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Workarea\Elecciones\2021\Oaxaca 2021\Memoria\USB\excel\"/>
    </mc:Choice>
  </mc:AlternateContent>
  <bookViews>
    <workbookView xWindow="0" yWindow="0" windowWidth="14568" windowHeight="9120"/>
  </bookViews>
  <sheets>
    <sheet name="OAX_DIP_LOC_2021" sheetId="1" r:id="rId1"/>
  </sheets>
  <calcPr calcId="0"/>
</workbook>
</file>

<file path=xl/calcChain.xml><?xml version="1.0" encoding="utf-8"?>
<calcChain xmlns="http://schemas.openxmlformats.org/spreadsheetml/2006/main">
  <c r="E4" i="1" l="1"/>
  <c r="G4" i="1"/>
  <c r="H4" i="1"/>
  <c r="M4" i="1"/>
  <c r="A7" i="1"/>
  <c r="B7" i="1"/>
  <c r="C7" i="1"/>
  <c r="E7" i="1"/>
  <c r="G7" i="1"/>
  <c r="H7" i="1"/>
  <c r="A8" i="1"/>
  <c r="B8" i="1"/>
  <c r="C8" i="1"/>
  <c r="E8" i="1"/>
  <c r="G8" i="1"/>
  <c r="H8" i="1"/>
  <c r="A9" i="1"/>
  <c r="B9" i="1"/>
  <c r="C9" i="1"/>
  <c r="E9" i="1"/>
  <c r="G9" i="1"/>
  <c r="H9" i="1"/>
  <c r="A10" i="1"/>
  <c r="B10" i="1"/>
  <c r="C10" i="1"/>
  <c r="E10" i="1"/>
  <c r="G10" i="1"/>
  <c r="H10" i="1"/>
  <c r="A11" i="1"/>
  <c r="B11" i="1"/>
  <c r="C11" i="1"/>
  <c r="E11" i="1"/>
  <c r="G11" i="1"/>
  <c r="H11" i="1"/>
  <c r="A12" i="1"/>
  <c r="B12" i="1"/>
  <c r="C12" i="1"/>
  <c r="E12" i="1"/>
  <c r="G12" i="1"/>
  <c r="H12" i="1"/>
  <c r="A13" i="1"/>
  <c r="B13" i="1"/>
  <c r="C13" i="1"/>
  <c r="E13" i="1"/>
  <c r="G13" i="1"/>
  <c r="H13" i="1"/>
  <c r="A14" i="1"/>
  <c r="B14" i="1"/>
  <c r="C14" i="1"/>
  <c r="E14" i="1"/>
  <c r="G14" i="1"/>
  <c r="H14" i="1"/>
  <c r="A15" i="1"/>
  <c r="B15" i="1"/>
  <c r="C15" i="1"/>
  <c r="E15" i="1"/>
  <c r="G15" i="1"/>
  <c r="H15" i="1"/>
  <c r="A16" i="1"/>
  <c r="B16" i="1"/>
  <c r="C16" i="1"/>
  <c r="E16" i="1"/>
  <c r="G16" i="1"/>
  <c r="H16" i="1"/>
  <c r="A17" i="1"/>
  <c r="B17" i="1"/>
  <c r="C17" i="1"/>
  <c r="E17" i="1"/>
  <c r="G17" i="1"/>
  <c r="H17" i="1"/>
  <c r="A18" i="1"/>
  <c r="B18" i="1"/>
  <c r="C18" i="1"/>
  <c r="E18" i="1"/>
  <c r="G18" i="1"/>
  <c r="H18" i="1"/>
  <c r="A19" i="1"/>
  <c r="B19" i="1"/>
  <c r="C19" i="1"/>
  <c r="E19" i="1"/>
  <c r="G19" i="1"/>
  <c r="H19" i="1"/>
  <c r="A20" i="1"/>
  <c r="B20" i="1"/>
  <c r="C20" i="1"/>
  <c r="E20" i="1"/>
  <c r="G20" i="1"/>
  <c r="H20" i="1"/>
  <c r="A21" i="1"/>
  <c r="B21" i="1"/>
  <c r="C21" i="1"/>
  <c r="E21" i="1"/>
  <c r="G21" i="1"/>
  <c r="H21" i="1"/>
  <c r="A22" i="1"/>
  <c r="B22" i="1"/>
  <c r="C22" i="1"/>
  <c r="E22" i="1"/>
  <c r="G22" i="1"/>
  <c r="H22" i="1"/>
  <c r="A23" i="1"/>
  <c r="B23" i="1"/>
  <c r="C23" i="1"/>
  <c r="E23" i="1"/>
  <c r="G23" i="1"/>
  <c r="H23" i="1"/>
  <c r="A24" i="1"/>
  <c r="B24" i="1"/>
  <c r="C24" i="1"/>
  <c r="E24" i="1"/>
  <c r="G24" i="1"/>
  <c r="H24" i="1"/>
  <c r="A25" i="1"/>
  <c r="B25" i="1"/>
  <c r="C25" i="1"/>
  <c r="E25" i="1"/>
  <c r="G25" i="1"/>
  <c r="H25" i="1"/>
  <c r="A26" i="1"/>
  <c r="B26" i="1"/>
  <c r="C26" i="1"/>
  <c r="E26" i="1"/>
  <c r="G26" i="1"/>
  <c r="H26" i="1"/>
  <c r="A27" i="1"/>
  <c r="B27" i="1"/>
  <c r="C27" i="1"/>
  <c r="E27" i="1"/>
  <c r="G27" i="1"/>
  <c r="H27" i="1"/>
  <c r="A28" i="1"/>
  <c r="B28" i="1"/>
  <c r="C28" i="1"/>
  <c r="E28" i="1"/>
  <c r="G28" i="1"/>
  <c r="H28" i="1"/>
  <c r="A29" i="1"/>
  <c r="B29" i="1"/>
  <c r="C29" i="1"/>
  <c r="E29" i="1"/>
  <c r="G29" i="1"/>
  <c r="H29" i="1"/>
  <c r="A30" i="1"/>
  <c r="B30" i="1"/>
  <c r="C30" i="1"/>
  <c r="E30" i="1"/>
  <c r="G30" i="1"/>
  <c r="H30" i="1"/>
  <c r="A31" i="1"/>
  <c r="B31" i="1"/>
  <c r="C31" i="1"/>
  <c r="E31" i="1"/>
  <c r="G31" i="1"/>
  <c r="H31" i="1"/>
  <c r="A32" i="1"/>
  <c r="B32" i="1"/>
  <c r="C32" i="1"/>
  <c r="E32" i="1"/>
  <c r="G32" i="1"/>
  <c r="H32" i="1"/>
  <c r="A33" i="1"/>
  <c r="B33" i="1"/>
  <c r="C33" i="1"/>
  <c r="E33" i="1"/>
  <c r="G33" i="1"/>
  <c r="H33" i="1"/>
  <c r="A34" i="1"/>
  <c r="B34" i="1"/>
  <c r="C34" i="1"/>
  <c r="E34" i="1"/>
  <c r="G34" i="1"/>
  <c r="H34" i="1"/>
  <c r="A35" i="1"/>
  <c r="B35" i="1"/>
  <c r="C35" i="1"/>
  <c r="E35" i="1"/>
  <c r="G35" i="1"/>
  <c r="H35" i="1"/>
  <c r="A36" i="1"/>
  <c r="B36" i="1"/>
  <c r="C36" i="1"/>
  <c r="E36" i="1"/>
  <c r="G36" i="1"/>
  <c r="H36" i="1"/>
  <c r="A37" i="1"/>
  <c r="B37" i="1"/>
  <c r="C37" i="1"/>
  <c r="E37" i="1"/>
  <c r="G37" i="1"/>
  <c r="H37" i="1"/>
  <c r="A38" i="1"/>
  <c r="B38" i="1"/>
  <c r="C38" i="1"/>
  <c r="E38" i="1"/>
  <c r="G38" i="1"/>
  <c r="H38" i="1"/>
  <c r="A39" i="1"/>
  <c r="B39" i="1"/>
  <c r="C39" i="1"/>
  <c r="E39" i="1"/>
  <c r="G39" i="1"/>
  <c r="H39" i="1"/>
  <c r="A40" i="1"/>
  <c r="B40" i="1"/>
  <c r="C40" i="1"/>
  <c r="E40" i="1"/>
  <c r="G40" i="1"/>
  <c r="H40" i="1"/>
  <c r="A41" i="1"/>
  <c r="B41" i="1"/>
  <c r="C41" i="1"/>
  <c r="E41" i="1"/>
  <c r="G41" i="1"/>
  <c r="H41" i="1"/>
  <c r="A42" i="1"/>
  <c r="B42" i="1"/>
  <c r="C42" i="1"/>
  <c r="E42" i="1"/>
  <c r="G42" i="1"/>
  <c r="H42" i="1"/>
  <c r="A43" i="1"/>
  <c r="B43" i="1"/>
  <c r="C43" i="1"/>
  <c r="E43" i="1"/>
  <c r="G43" i="1"/>
  <c r="H43" i="1"/>
  <c r="A44" i="1"/>
  <c r="B44" i="1"/>
  <c r="C44" i="1"/>
  <c r="E44" i="1"/>
  <c r="G44" i="1"/>
  <c r="H44" i="1"/>
  <c r="A45" i="1"/>
  <c r="B45" i="1"/>
  <c r="C45" i="1"/>
  <c r="E45" i="1"/>
  <c r="G45" i="1"/>
  <c r="H45" i="1"/>
  <c r="A46" i="1"/>
  <c r="B46" i="1"/>
  <c r="C46" i="1"/>
  <c r="E46" i="1"/>
  <c r="G46" i="1"/>
  <c r="H46" i="1"/>
  <c r="A47" i="1"/>
  <c r="B47" i="1"/>
  <c r="C47" i="1"/>
  <c r="E47" i="1"/>
  <c r="G47" i="1"/>
  <c r="H47" i="1"/>
  <c r="A48" i="1"/>
  <c r="B48" i="1"/>
  <c r="C48" i="1"/>
  <c r="E48" i="1"/>
  <c r="G48" i="1"/>
  <c r="H48" i="1"/>
  <c r="A49" i="1"/>
  <c r="B49" i="1"/>
  <c r="C49" i="1"/>
  <c r="E49" i="1"/>
  <c r="G49" i="1"/>
  <c r="H49" i="1"/>
  <c r="A50" i="1"/>
  <c r="B50" i="1"/>
  <c r="C50" i="1"/>
  <c r="E50" i="1"/>
  <c r="G50" i="1"/>
  <c r="H50" i="1"/>
  <c r="A51" i="1"/>
  <c r="B51" i="1"/>
  <c r="C51" i="1"/>
  <c r="E51" i="1"/>
  <c r="G51" i="1"/>
  <c r="H51" i="1"/>
  <c r="A52" i="1"/>
  <c r="B52" i="1"/>
  <c r="C52" i="1"/>
  <c r="E52" i="1"/>
  <c r="G52" i="1"/>
  <c r="H52" i="1"/>
  <c r="A53" i="1"/>
  <c r="B53" i="1"/>
  <c r="C53" i="1"/>
  <c r="E53" i="1"/>
  <c r="G53" i="1"/>
  <c r="H53" i="1"/>
  <c r="A54" i="1"/>
  <c r="B54" i="1"/>
  <c r="C54" i="1"/>
  <c r="E54" i="1"/>
  <c r="G54" i="1"/>
  <c r="H54" i="1"/>
  <c r="A55" i="1"/>
  <c r="B55" i="1"/>
  <c r="C55" i="1"/>
  <c r="E55" i="1"/>
  <c r="G55" i="1"/>
  <c r="H55" i="1"/>
  <c r="A56" i="1"/>
  <c r="B56" i="1"/>
  <c r="C56" i="1"/>
  <c r="E56" i="1"/>
  <c r="G56" i="1"/>
  <c r="H56" i="1"/>
  <c r="A57" i="1"/>
  <c r="B57" i="1"/>
  <c r="C57" i="1"/>
  <c r="E57" i="1"/>
  <c r="G57" i="1"/>
  <c r="H57" i="1"/>
  <c r="A58" i="1"/>
  <c r="B58" i="1"/>
  <c r="C58" i="1"/>
  <c r="E58" i="1"/>
  <c r="G58" i="1"/>
  <c r="H58" i="1"/>
  <c r="A59" i="1"/>
  <c r="B59" i="1"/>
  <c r="C59" i="1"/>
  <c r="E59" i="1"/>
  <c r="G59" i="1"/>
  <c r="H59" i="1"/>
  <c r="A60" i="1"/>
  <c r="B60" i="1"/>
  <c r="C60" i="1"/>
  <c r="E60" i="1"/>
  <c r="G60" i="1"/>
  <c r="H60" i="1"/>
  <c r="A61" i="1"/>
  <c r="B61" i="1"/>
  <c r="C61" i="1"/>
  <c r="E61" i="1"/>
  <c r="G61" i="1"/>
  <c r="H61" i="1"/>
  <c r="A62" i="1"/>
  <c r="B62" i="1"/>
  <c r="C62" i="1"/>
  <c r="E62" i="1"/>
  <c r="G62" i="1"/>
  <c r="H62" i="1"/>
  <c r="A63" i="1"/>
  <c r="B63" i="1"/>
  <c r="C63" i="1"/>
  <c r="E63" i="1"/>
  <c r="G63" i="1"/>
  <c r="H63" i="1"/>
  <c r="A64" i="1"/>
  <c r="B64" i="1"/>
  <c r="C64" i="1"/>
  <c r="E64" i="1"/>
  <c r="G64" i="1"/>
  <c r="H64" i="1"/>
  <c r="A65" i="1"/>
  <c r="B65" i="1"/>
  <c r="C65" i="1"/>
  <c r="E65" i="1"/>
  <c r="G65" i="1"/>
  <c r="H65" i="1"/>
  <c r="A66" i="1"/>
  <c r="B66" i="1"/>
  <c r="C66" i="1"/>
  <c r="E66" i="1"/>
  <c r="G66" i="1"/>
  <c r="H66" i="1"/>
  <c r="A67" i="1"/>
  <c r="B67" i="1"/>
  <c r="C67" i="1"/>
  <c r="E67" i="1"/>
  <c r="G67" i="1"/>
  <c r="H67" i="1"/>
  <c r="A68" i="1"/>
  <c r="B68" i="1"/>
  <c r="C68" i="1"/>
  <c r="E68" i="1"/>
  <c r="G68" i="1"/>
  <c r="H68" i="1"/>
  <c r="A69" i="1"/>
  <c r="B69" i="1"/>
  <c r="C69" i="1"/>
  <c r="E69" i="1"/>
  <c r="G69" i="1"/>
  <c r="H69" i="1"/>
  <c r="A70" i="1"/>
  <c r="B70" i="1"/>
  <c r="C70" i="1"/>
  <c r="E70" i="1"/>
  <c r="G70" i="1"/>
  <c r="H70" i="1"/>
  <c r="A71" i="1"/>
  <c r="B71" i="1"/>
  <c r="C71" i="1"/>
  <c r="E71" i="1"/>
  <c r="G71" i="1"/>
  <c r="H71" i="1"/>
  <c r="A72" i="1"/>
  <c r="B72" i="1"/>
  <c r="C72" i="1"/>
  <c r="E72" i="1"/>
  <c r="G72" i="1"/>
  <c r="H72" i="1"/>
  <c r="A73" i="1"/>
  <c r="B73" i="1"/>
  <c r="C73" i="1"/>
  <c r="E73" i="1"/>
  <c r="G73" i="1"/>
  <c r="H73" i="1"/>
  <c r="A74" i="1"/>
  <c r="B74" i="1"/>
  <c r="C74" i="1"/>
  <c r="E74" i="1"/>
  <c r="G74" i="1"/>
  <c r="H74" i="1"/>
  <c r="A75" i="1"/>
  <c r="B75" i="1"/>
  <c r="C75" i="1"/>
  <c r="E75" i="1"/>
  <c r="G75" i="1"/>
  <c r="H75" i="1"/>
  <c r="A76" i="1"/>
  <c r="B76" i="1"/>
  <c r="C76" i="1"/>
  <c r="E76" i="1"/>
  <c r="G76" i="1"/>
  <c r="H76" i="1"/>
  <c r="A77" i="1"/>
  <c r="B77" i="1"/>
  <c r="C77" i="1"/>
  <c r="E77" i="1"/>
  <c r="G77" i="1"/>
  <c r="H77" i="1"/>
  <c r="A78" i="1"/>
  <c r="B78" i="1"/>
  <c r="C78" i="1"/>
  <c r="E78" i="1"/>
  <c r="G78" i="1"/>
  <c r="H78" i="1"/>
  <c r="A79" i="1"/>
  <c r="B79" i="1"/>
  <c r="C79" i="1"/>
  <c r="E79" i="1"/>
  <c r="G79" i="1"/>
  <c r="H79" i="1"/>
  <c r="A80" i="1"/>
  <c r="B80" i="1"/>
  <c r="C80" i="1"/>
  <c r="E80" i="1"/>
  <c r="G80" i="1"/>
  <c r="H80" i="1"/>
  <c r="A81" i="1"/>
  <c r="B81" i="1"/>
  <c r="C81" i="1"/>
  <c r="E81" i="1"/>
  <c r="G81" i="1"/>
  <c r="H81" i="1"/>
  <c r="A82" i="1"/>
  <c r="B82" i="1"/>
  <c r="C82" i="1"/>
  <c r="E82" i="1"/>
  <c r="G82" i="1"/>
  <c r="H82" i="1"/>
  <c r="A83" i="1"/>
  <c r="B83" i="1"/>
  <c r="C83" i="1"/>
  <c r="E83" i="1"/>
  <c r="G83" i="1"/>
  <c r="H83" i="1"/>
  <c r="A84" i="1"/>
  <c r="B84" i="1"/>
  <c r="C84" i="1"/>
  <c r="E84" i="1"/>
  <c r="G84" i="1"/>
  <c r="H84" i="1"/>
  <c r="A85" i="1"/>
  <c r="B85" i="1"/>
  <c r="C85" i="1"/>
  <c r="E85" i="1"/>
  <c r="G85" i="1"/>
  <c r="H85" i="1"/>
  <c r="A86" i="1"/>
  <c r="B86" i="1"/>
  <c r="C86" i="1"/>
  <c r="E86" i="1"/>
  <c r="G86" i="1"/>
  <c r="H86" i="1"/>
  <c r="A87" i="1"/>
  <c r="B87" i="1"/>
  <c r="C87" i="1"/>
  <c r="E87" i="1"/>
  <c r="G87" i="1"/>
  <c r="H87" i="1"/>
  <c r="A88" i="1"/>
  <c r="B88" i="1"/>
  <c r="C88" i="1"/>
  <c r="E88" i="1"/>
  <c r="G88" i="1"/>
  <c r="H88" i="1"/>
  <c r="A89" i="1"/>
  <c r="B89" i="1"/>
  <c r="C89" i="1"/>
  <c r="E89" i="1"/>
  <c r="G89" i="1"/>
  <c r="H89" i="1"/>
  <c r="A90" i="1"/>
  <c r="B90" i="1"/>
  <c r="C90" i="1"/>
  <c r="E90" i="1"/>
  <c r="G90" i="1"/>
  <c r="H90" i="1"/>
  <c r="A91" i="1"/>
  <c r="B91" i="1"/>
  <c r="C91" i="1"/>
  <c r="E91" i="1"/>
  <c r="G91" i="1"/>
  <c r="H91" i="1"/>
  <c r="A92" i="1"/>
  <c r="B92" i="1"/>
  <c r="C92" i="1"/>
  <c r="E92" i="1"/>
  <c r="G92" i="1"/>
  <c r="H92" i="1"/>
  <c r="A93" i="1"/>
  <c r="B93" i="1"/>
  <c r="C93" i="1"/>
  <c r="E93" i="1"/>
  <c r="G93" i="1"/>
  <c r="H93" i="1"/>
  <c r="A94" i="1"/>
  <c r="B94" i="1"/>
  <c r="C94" i="1"/>
  <c r="E94" i="1"/>
  <c r="G94" i="1"/>
  <c r="H94" i="1"/>
  <c r="A95" i="1"/>
  <c r="B95" i="1"/>
  <c r="C95" i="1"/>
  <c r="E95" i="1"/>
  <c r="G95" i="1"/>
  <c r="H95" i="1"/>
  <c r="A96" i="1"/>
  <c r="B96" i="1"/>
  <c r="C96" i="1"/>
  <c r="E96" i="1"/>
  <c r="G96" i="1"/>
  <c r="H96" i="1"/>
  <c r="A97" i="1"/>
  <c r="B97" i="1"/>
  <c r="C97" i="1"/>
  <c r="E97" i="1"/>
  <c r="G97" i="1"/>
  <c r="H97" i="1"/>
  <c r="A98" i="1"/>
  <c r="B98" i="1"/>
  <c r="C98" i="1"/>
  <c r="E98" i="1"/>
  <c r="G98" i="1"/>
  <c r="H98" i="1"/>
  <c r="A99" i="1"/>
  <c r="B99" i="1"/>
  <c r="C99" i="1"/>
  <c r="E99" i="1"/>
  <c r="G99" i="1"/>
  <c r="H99" i="1"/>
  <c r="A100" i="1"/>
  <c r="B100" i="1"/>
  <c r="C100" i="1"/>
  <c r="E100" i="1"/>
  <c r="G100" i="1"/>
  <c r="H100" i="1"/>
  <c r="A101" i="1"/>
  <c r="B101" i="1"/>
  <c r="C101" i="1"/>
  <c r="E101" i="1"/>
  <c r="G101" i="1"/>
  <c r="H101" i="1"/>
  <c r="A102" i="1"/>
  <c r="B102" i="1"/>
  <c r="C102" i="1"/>
  <c r="E102" i="1"/>
  <c r="G102" i="1"/>
  <c r="H102" i="1"/>
  <c r="A103" i="1"/>
  <c r="B103" i="1"/>
  <c r="C103" i="1"/>
  <c r="E103" i="1"/>
  <c r="G103" i="1"/>
  <c r="H103" i="1"/>
  <c r="A104" i="1"/>
  <c r="B104" i="1"/>
  <c r="C104" i="1"/>
  <c r="E104" i="1"/>
  <c r="G104" i="1"/>
  <c r="H104" i="1"/>
  <c r="A105" i="1"/>
  <c r="B105" i="1"/>
  <c r="C105" i="1"/>
  <c r="E105" i="1"/>
  <c r="G105" i="1"/>
  <c r="H105" i="1"/>
  <c r="A106" i="1"/>
  <c r="B106" i="1"/>
  <c r="C106" i="1"/>
  <c r="E106" i="1"/>
  <c r="G106" i="1"/>
  <c r="H106" i="1"/>
  <c r="A107" i="1"/>
  <c r="B107" i="1"/>
  <c r="C107" i="1"/>
  <c r="E107" i="1"/>
  <c r="G107" i="1"/>
  <c r="H107" i="1"/>
  <c r="A108" i="1"/>
  <c r="B108" i="1"/>
  <c r="C108" i="1"/>
  <c r="E108" i="1"/>
  <c r="G108" i="1"/>
  <c r="H108" i="1"/>
  <c r="A109" i="1"/>
  <c r="B109" i="1"/>
  <c r="C109" i="1"/>
  <c r="E109" i="1"/>
  <c r="G109" i="1"/>
  <c r="H109" i="1"/>
  <c r="A110" i="1"/>
  <c r="B110" i="1"/>
  <c r="C110" i="1"/>
  <c r="E110" i="1"/>
  <c r="G110" i="1"/>
  <c r="H110" i="1"/>
  <c r="A111" i="1"/>
  <c r="B111" i="1"/>
  <c r="C111" i="1"/>
  <c r="E111" i="1"/>
  <c r="G111" i="1"/>
  <c r="H111" i="1"/>
  <c r="A112" i="1"/>
  <c r="B112" i="1"/>
  <c r="C112" i="1"/>
  <c r="E112" i="1"/>
  <c r="G112" i="1"/>
  <c r="H112" i="1"/>
  <c r="A113" i="1"/>
  <c r="B113" i="1"/>
  <c r="C113" i="1"/>
  <c r="E113" i="1"/>
  <c r="G113" i="1"/>
  <c r="H113" i="1"/>
  <c r="A114" i="1"/>
  <c r="B114" i="1"/>
  <c r="C114" i="1"/>
  <c r="E114" i="1"/>
  <c r="G114" i="1"/>
  <c r="H114" i="1"/>
  <c r="A115" i="1"/>
  <c r="B115" i="1"/>
  <c r="C115" i="1"/>
  <c r="E115" i="1"/>
  <c r="G115" i="1"/>
  <c r="H115" i="1"/>
  <c r="A116" i="1"/>
  <c r="B116" i="1"/>
  <c r="C116" i="1"/>
  <c r="E116" i="1"/>
  <c r="G116" i="1"/>
  <c r="H116" i="1"/>
  <c r="A117" i="1"/>
  <c r="B117" i="1"/>
  <c r="C117" i="1"/>
  <c r="E117" i="1"/>
  <c r="G117" i="1"/>
  <c r="H117" i="1"/>
  <c r="A118" i="1"/>
  <c r="B118" i="1"/>
  <c r="C118" i="1"/>
  <c r="E118" i="1"/>
  <c r="G118" i="1"/>
  <c r="H118" i="1"/>
  <c r="A119" i="1"/>
  <c r="B119" i="1"/>
  <c r="C119" i="1"/>
  <c r="E119" i="1"/>
  <c r="G119" i="1"/>
  <c r="H119" i="1"/>
  <c r="A120" i="1"/>
  <c r="B120" i="1"/>
  <c r="C120" i="1"/>
  <c r="E120" i="1"/>
  <c r="G120" i="1"/>
  <c r="H120" i="1"/>
  <c r="A121" i="1"/>
  <c r="B121" i="1"/>
  <c r="C121" i="1"/>
  <c r="E121" i="1"/>
  <c r="G121" i="1"/>
  <c r="H121" i="1"/>
  <c r="A122" i="1"/>
  <c r="B122" i="1"/>
  <c r="C122" i="1"/>
  <c r="E122" i="1"/>
  <c r="G122" i="1"/>
  <c r="H122" i="1"/>
  <c r="A123" i="1"/>
  <c r="B123" i="1"/>
  <c r="C123" i="1"/>
  <c r="E123" i="1"/>
  <c r="G123" i="1"/>
  <c r="H123" i="1"/>
  <c r="A124" i="1"/>
  <c r="B124" i="1"/>
  <c r="C124" i="1"/>
  <c r="E124" i="1"/>
  <c r="G124" i="1"/>
  <c r="H124" i="1"/>
  <c r="A125" i="1"/>
  <c r="B125" i="1"/>
  <c r="C125" i="1"/>
  <c r="E125" i="1"/>
  <c r="G125" i="1"/>
  <c r="H125" i="1"/>
  <c r="A126" i="1"/>
  <c r="B126" i="1"/>
  <c r="C126" i="1"/>
  <c r="E126" i="1"/>
  <c r="G126" i="1"/>
  <c r="H126" i="1"/>
  <c r="A127" i="1"/>
  <c r="B127" i="1"/>
  <c r="C127" i="1"/>
  <c r="E127" i="1"/>
  <c r="G127" i="1"/>
  <c r="H127" i="1"/>
  <c r="A128" i="1"/>
  <c r="B128" i="1"/>
  <c r="C128" i="1"/>
  <c r="E128" i="1"/>
  <c r="G128" i="1"/>
  <c r="H128" i="1"/>
  <c r="A129" i="1"/>
  <c r="B129" i="1"/>
  <c r="C129" i="1"/>
  <c r="E129" i="1"/>
  <c r="G129" i="1"/>
  <c r="H129" i="1"/>
  <c r="A130" i="1"/>
  <c r="B130" i="1"/>
  <c r="C130" i="1"/>
  <c r="E130" i="1"/>
  <c r="G130" i="1"/>
  <c r="H130" i="1"/>
  <c r="A131" i="1"/>
  <c r="B131" i="1"/>
  <c r="C131" i="1"/>
  <c r="E131" i="1"/>
  <c r="G131" i="1"/>
  <c r="H131" i="1"/>
  <c r="A132" i="1"/>
  <c r="B132" i="1"/>
  <c r="C132" i="1"/>
  <c r="E132" i="1"/>
  <c r="G132" i="1"/>
  <c r="H132" i="1"/>
  <c r="A133" i="1"/>
  <c r="B133" i="1"/>
  <c r="C133" i="1"/>
  <c r="E133" i="1"/>
  <c r="G133" i="1"/>
  <c r="H133" i="1"/>
  <c r="A134" i="1"/>
  <c r="B134" i="1"/>
  <c r="C134" i="1"/>
  <c r="E134" i="1"/>
  <c r="G134" i="1"/>
  <c r="H134" i="1"/>
  <c r="A135" i="1"/>
  <c r="B135" i="1"/>
  <c r="C135" i="1"/>
  <c r="E135" i="1"/>
  <c r="G135" i="1"/>
  <c r="H135" i="1"/>
  <c r="A136" i="1"/>
  <c r="B136" i="1"/>
  <c r="C136" i="1"/>
  <c r="E136" i="1"/>
  <c r="G136" i="1"/>
  <c r="H136" i="1"/>
  <c r="A137" i="1"/>
  <c r="B137" i="1"/>
  <c r="C137" i="1"/>
  <c r="E137" i="1"/>
  <c r="G137" i="1"/>
  <c r="H137" i="1"/>
  <c r="A138" i="1"/>
  <c r="B138" i="1"/>
  <c r="C138" i="1"/>
  <c r="E138" i="1"/>
  <c r="G138" i="1"/>
  <c r="H138" i="1"/>
  <c r="A139" i="1"/>
  <c r="B139" i="1"/>
  <c r="C139" i="1"/>
  <c r="E139" i="1"/>
  <c r="G139" i="1"/>
  <c r="H139" i="1"/>
  <c r="A140" i="1"/>
  <c r="B140" i="1"/>
  <c r="C140" i="1"/>
  <c r="E140" i="1"/>
  <c r="G140" i="1"/>
  <c r="H140" i="1"/>
  <c r="A141" i="1"/>
  <c r="B141" i="1"/>
  <c r="C141" i="1"/>
  <c r="E141" i="1"/>
  <c r="G141" i="1"/>
  <c r="H141" i="1"/>
  <c r="A142" i="1"/>
  <c r="B142" i="1"/>
  <c r="C142" i="1"/>
  <c r="E142" i="1"/>
  <c r="G142" i="1"/>
  <c r="H142" i="1"/>
  <c r="A143" i="1"/>
  <c r="B143" i="1"/>
  <c r="C143" i="1"/>
  <c r="E143" i="1"/>
  <c r="G143" i="1"/>
  <c r="H143" i="1"/>
  <c r="A144" i="1"/>
  <c r="B144" i="1"/>
  <c r="C144" i="1"/>
  <c r="E144" i="1"/>
  <c r="G144" i="1"/>
  <c r="H144" i="1"/>
  <c r="A145" i="1"/>
  <c r="B145" i="1"/>
  <c r="C145" i="1"/>
  <c r="E145" i="1"/>
  <c r="G145" i="1"/>
  <c r="H145" i="1"/>
  <c r="A146" i="1"/>
  <c r="B146" i="1"/>
  <c r="C146" i="1"/>
  <c r="E146" i="1"/>
  <c r="G146" i="1"/>
  <c r="H146" i="1"/>
  <c r="A147" i="1"/>
  <c r="B147" i="1"/>
  <c r="C147" i="1"/>
  <c r="E147" i="1"/>
  <c r="G147" i="1"/>
  <c r="H147" i="1"/>
  <c r="A148" i="1"/>
  <c r="B148" i="1"/>
  <c r="C148" i="1"/>
  <c r="E148" i="1"/>
  <c r="G148" i="1"/>
  <c r="H148" i="1"/>
  <c r="A149" i="1"/>
  <c r="B149" i="1"/>
  <c r="C149" i="1"/>
  <c r="E149" i="1"/>
  <c r="G149" i="1"/>
  <c r="H149" i="1"/>
  <c r="A150" i="1"/>
  <c r="B150" i="1"/>
  <c r="C150" i="1"/>
  <c r="E150" i="1"/>
  <c r="G150" i="1"/>
  <c r="H150" i="1"/>
  <c r="A151" i="1"/>
  <c r="B151" i="1"/>
  <c r="C151" i="1"/>
  <c r="E151" i="1"/>
  <c r="G151" i="1"/>
  <c r="H151" i="1"/>
  <c r="A152" i="1"/>
  <c r="B152" i="1"/>
  <c r="C152" i="1"/>
  <c r="E152" i="1"/>
  <c r="G152" i="1"/>
  <c r="H152" i="1"/>
  <c r="A153" i="1"/>
  <c r="B153" i="1"/>
  <c r="C153" i="1"/>
  <c r="E153" i="1"/>
  <c r="G153" i="1"/>
  <c r="H153" i="1"/>
  <c r="A154" i="1"/>
  <c r="B154" i="1"/>
  <c r="C154" i="1"/>
  <c r="E154" i="1"/>
  <c r="G154" i="1"/>
  <c r="H154" i="1"/>
  <c r="A155" i="1"/>
  <c r="B155" i="1"/>
  <c r="C155" i="1"/>
  <c r="E155" i="1"/>
  <c r="G155" i="1"/>
  <c r="H155" i="1"/>
  <c r="A156" i="1"/>
  <c r="B156" i="1"/>
  <c r="C156" i="1"/>
  <c r="E156" i="1"/>
  <c r="G156" i="1"/>
  <c r="H156" i="1"/>
  <c r="A157" i="1"/>
  <c r="B157" i="1"/>
  <c r="C157" i="1"/>
  <c r="E157" i="1"/>
  <c r="G157" i="1"/>
  <c r="H157" i="1"/>
  <c r="A158" i="1"/>
  <c r="B158" i="1"/>
  <c r="C158" i="1"/>
  <c r="E158" i="1"/>
  <c r="G158" i="1"/>
  <c r="H158" i="1"/>
  <c r="A159" i="1"/>
  <c r="B159" i="1"/>
  <c r="C159" i="1"/>
  <c r="E159" i="1"/>
  <c r="G159" i="1"/>
  <c r="H159" i="1"/>
  <c r="A160" i="1"/>
  <c r="B160" i="1"/>
  <c r="C160" i="1"/>
  <c r="E160" i="1"/>
  <c r="G160" i="1"/>
  <c r="H160" i="1"/>
  <c r="A161" i="1"/>
  <c r="B161" i="1"/>
  <c r="C161" i="1"/>
  <c r="E161" i="1"/>
  <c r="G161" i="1"/>
  <c r="H161" i="1"/>
  <c r="A162" i="1"/>
  <c r="B162" i="1"/>
  <c r="C162" i="1"/>
  <c r="E162" i="1"/>
  <c r="G162" i="1"/>
  <c r="H162" i="1"/>
  <c r="A163" i="1"/>
  <c r="B163" i="1"/>
  <c r="C163" i="1"/>
  <c r="E163" i="1"/>
  <c r="G163" i="1"/>
  <c r="H163" i="1"/>
  <c r="A164" i="1"/>
  <c r="B164" i="1"/>
  <c r="C164" i="1"/>
  <c r="E164" i="1"/>
  <c r="G164" i="1"/>
  <c r="H164" i="1"/>
  <c r="A165" i="1"/>
  <c r="B165" i="1"/>
  <c r="C165" i="1"/>
  <c r="E165" i="1"/>
  <c r="G165" i="1"/>
  <c r="H165" i="1"/>
  <c r="A166" i="1"/>
  <c r="B166" i="1"/>
  <c r="C166" i="1"/>
  <c r="E166" i="1"/>
  <c r="G166" i="1"/>
  <c r="H166" i="1"/>
  <c r="A167" i="1"/>
  <c r="B167" i="1"/>
  <c r="C167" i="1"/>
  <c r="E167" i="1"/>
  <c r="G167" i="1"/>
  <c r="H167" i="1"/>
  <c r="A168" i="1"/>
  <c r="B168" i="1"/>
  <c r="C168" i="1"/>
  <c r="E168" i="1"/>
  <c r="G168" i="1"/>
  <c r="H168" i="1"/>
  <c r="A169" i="1"/>
  <c r="B169" i="1"/>
  <c r="C169" i="1"/>
  <c r="E169" i="1"/>
  <c r="G169" i="1"/>
  <c r="H169" i="1"/>
  <c r="A170" i="1"/>
  <c r="B170" i="1"/>
  <c r="C170" i="1"/>
  <c r="E170" i="1"/>
  <c r="G170" i="1"/>
  <c r="H170" i="1"/>
  <c r="A171" i="1"/>
  <c r="B171" i="1"/>
  <c r="C171" i="1"/>
  <c r="E171" i="1"/>
  <c r="G171" i="1"/>
  <c r="H171" i="1"/>
  <c r="A172" i="1"/>
  <c r="B172" i="1"/>
  <c r="C172" i="1"/>
  <c r="E172" i="1"/>
  <c r="G172" i="1"/>
  <c r="H172" i="1"/>
  <c r="A173" i="1"/>
  <c r="B173" i="1"/>
  <c r="C173" i="1"/>
  <c r="E173" i="1"/>
  <c r="G173" i="1"/>
  <c r="H173" i="1"/>
  <c r="A174" i="1"/>
  <c r="B174" i="1"/>
  <c r="C174" i="1"/>
  <c r="E174" i="1"/>
  <c r="G174" i="1"/>
  <c r="H174" i="1"/>
  <c r="A175" i="1"/>
  <c r="B175" i="1"/>
  <c r="C175" i="1"/>
  <c r="E175" i="1"/>
  <c r="G175" i="1"/>
  <c r="H175" i="1"/>
  <c r="A176" i="1"/>
  <c r="B176" i="1"/>
  <c r="C176" i="1"/>
  <c r="E176" i="1"/>
  <c r="G176" i="1"/>
  <c r="H176" i="1"/>
  <c r="A177" i="1"/>
  <c r="B177" i="1"/>
  <c r="C177" i="1"/>
  <c r="E177" i="1"/>
  <c r="G177" i="1"/>
  <c r="H177" i="1"/>
  <c r="A178" i="1"/>
  <c r="B178" i="1"/>
  <c r="C178" i="1"/>
  <c r="E178" i="1"/>
  <c r="G178" i="1"/>
  <c r="H178" i="1"/>
  <c r="A179" i="1"/>
  <c r="B179" i="1"/>
  <c r="C179" i="1"/>
  <c r="E179" i="1"/>
  <c r="G179" i="1"/>
  <c r="H179" i="1"/>
  <c r="A180" i="1"/>
  <c r="B180" i="1"/>
  <c r="C180" i="1"/>
  <c r="E180" i="1"/>
  <c r="G180" i="1"/>
  <c r="H180" i="1"/>
  <c r="A181" i="1"/>
  <c r="B181" i="1"/>
  <c r="C181" i="1"/>
  <c r="E181" i="1"/>
  <c r="G181" i="1"/>
  <c r="H181" i="1"/>
  <c r="A182" i="1"/>
  <c r="B182" i="1"/>
  <c r="C182" i="1"/>
  <c r="E182" i="1"/>
  <c r="G182" i="1"/>
  <c r="H182" i="1"/>
  <c r="A183" i="1"/>
  <c r="B183" i="1"/>
  <c r="C183" i="1"/>
  <c r="E183" i="1"/>
  <c r="G183" i="1"/>
  <c r="H183" i="1"/>
  <c r="A184" i="1"/>
  <c r="B184" i="1"/>
  <c r="C184" i="1"/>
  <c r="E184" i="1"/>
  <c r="G184" i="1"/>
  <c r="H184" i="1"/>
  <c r="A185" i="1"/>
  <c r="B185" i="1"/>
  <c r="C185" i="1"/>
  <c r="E185" i="1"/>
  <c r="G185" i="1"/>
  <c r="H185" i="1"/>
  <c r="A186" i="1"/>
  <c r="B186" i="1"/>
  <c r="C186" i="1"/>
  <c r="E186" i="1"/>
  <c r="G186" i="1"/>
  <c r="H186" i="1"/>
  <c r="A187" i="1"/>
  <c r="B187" i="1"/>
  <c r="C187" i="1"/>
  <c r="E187" i="1"/>
  <c r="G187" i="1"/>
  <c r="H187" i="1"/>
  <c r="A188" i="1"/>
  <c r="B188" i="1"/>
  <c r="C188" i="1"/>
  <c r="E188" i="1"/>
  <c r="G188" i="1"/>
  <c r="H188" i="1"/>
  <c r="A189" i="1"/>
  <c r="B189" i="1"/>
  <c r="C189" i="1"/>
  <c r="E189" i="1"/>
  <c r="G189" i="1"/>
  <c r="H189" i="1"/>
  <c r="A190" i="1"/>
  <c r="B190" i="1"/>
  <c r="C190" i="1"/>
  <c r="E190" i="1"/>
  <c r="G190" i="1"/>
  <c r="H190" i="1"/>
  <c r="A191" i="1"/>
  <c r="B191" i="1"/>
  <c r="C191" i="1"/>
  <c r="E191" i="1"/>
  <c r="G191" i="1"/>
  <c r="H191" i="1"/>
  <c r="A192" i="1"/>
  <c r="B192" i="1"/>
  <c r="C192" i="1"/>
  <c r="E192" i="1"/>
  <c r="G192" i="1"/>
  <c r="H192" i="1"/>
  <c r="A193" i="1"/>
  <c r="B193" i="1"/>
  <c r="C193" i="1"/>
  <c r="E193" i="1"/>
  <c r="G193" i="1"/>
  <c r="H193" i="1"/>
  <c r="A194" i="1"/>
  <c r="B194" i="1"/>
  <c r="C194" i="1"/>
  <c r="E194" i="1"/>
  <c r="G194" i="1"/>
  <c r="H194" i="1"/>
  <c r="A195" i="1"/>
  <c r="B195" i="1"/>
  <c r="C195" i="1"/>
  <c r="E195" i="1"/>
  <c r="G195" i="1"/>
  <c r="H195" i="1"/>
  <c r="A196" i="1"/>
  <c r="B196" i="1"/>
  <c r="C196" i="1"/>
  <c r="E196" i="1"/>
  <c r="G196" i="1"/>
  <c r="H196" i="1"/>
  <c r="A197" i="1"/>
  <c r="B197" i="1"/>
  <c r="C197" i="1"/>
  <c r="E197" i="1"/>
  <c r="G197" i="1"/>
  <c r="H197" i="1"/>
  <c r="A198" i="1"/>
  <c r="B198" i="1"/>
  <c r="C198" i="1"/>
  <c r="E198" i="1"/>
  <c r="G198" i="1"/>
  <c r="H198" i="1"/>
  <c r="A199" i="1"/>
  <c r="B199" i="1"/>
  <c r="C199" i="1"/>
  <c r="E199" i="1"/>
  <c r="G199" i="1"/>
  <c r="H199" i="1"/>
  <c r="A200" i="1"/>
  <c r="B200" i="1"/>
  <c r="C200" i="1"/>
  <c r="E200" i="1"/>
  <c r="G200" i="1"/>
  <c r="H200" i="1"/>
  <c r="A201" i="1"/>
  <c r="B201" i="1"/>
  <c r="C201" i="1"/>
  <c r="E201" i="1"/>
  <c r="G201" i="1"/>
  <c r="H201" i="1"/>
  <c r="A202" i="1"/>
  <c r="B202" i="1"/>
  <c r="C202" i="1"/>
  <c r="E202" i="1"/>
  <c r="G202" i="1"/>
  <c r="H202" i="1"/>
  <c r="A203" i="1"/>
  <c r="B203" i="1"/>
  <c r="C203" i="1"/>
  <c r="E203" i="1"/>
  <c r="G203" i="1"/>
  <c r="H203" i="1"/>
  <c r="A204" i="1"/>
  <c r="B204" i="1"/>
  <c r="C204" i="1"/>
  <c r="E204" i="1"/>
  <c r="G204" i="1"/>
  <c r="H204" i="1"/>
  <c r="A205" i="1"/>
  <c r="B205" i="1"/>
  <c r="C205" i="1"/>
  <c r="E205" i="1"/>
  <c r="G205" i="1"/>
  <c r="H205" i="1"/>
  <c r="A206" i="1"/>
  <c r="B206" i="1"/>
  <c r="C206" i="1"/>
  <c r="E206" i="1"/>
  <c r="G206" i="1"/>
  <c r="H206" i="1"/>
  <c r="A207" i="1"/>
  <c r="B207" i="1"/>
  <c r="C207" i="1"/>
  <c r="E207" i="1"/>
  <c r="G207" i="1"/>
  <c r="H207" i="1"/>
  <c r="A208" i="1"/>
  <c r="B208" i="1"/>
  <c r="C208" i="1"/>
  <c r="E208" i="1"/>
  <c r="G208" i="1"/>
  <c r="H208" i="1"/>
  <c r="A209" i="1"/>
  <c r="B209" i="1"/>
  <c r="C209" i="1"/>
  <c r="E209" i="1"/>
  <c r="G209" i="1"/>
  <c r="H209" i="1"/>
  <c r="A210" i="1"/>
  <c r="B210" i="1"/>
  <c r="C210" i="1"/>
  <c r="E210" i="1"/>
  <c r="G210" i="1"/>
  <c r="H210" i="1"/>
  <c r="A211" i="1"/>
  <c r="B211" i="1"/>
  <c r="C211" i="1"/>
  <c r="E211" i="1"/>
  <c r="G211" i="1"/>
  <c r="H211" i="1"/>
  <c r="A212" i="1"/>
  <c r="B212" i="1"/>
  <c r="C212" i="1"/>
  <c r="E212" i="1"/>
  <c r="G212" i="1"/>
  <c r="H212" i="1"/>
  <c r="A213" i="1"/>
  <c r="B213" i="1"/>
  <c r="C213" i="1"/>
  <c r="E213" i="1"/>
  <c r="G213" i="1"/>
  <c r="H213" i="1"/>
  <c r="A214" i="1"/>
  <c r="B214" i="1"/>
  <c r="C214" i="1"/>
  <c r="E214" i="1"/>
  <c r="G214" i="1"/>
  <c r="H214" i="1"/>
  <c r="A215" i="1"/>
  <c r="B215" i="1"/>
  <c r="C215" i="1"/>
  <c r="E215" i="1"/>
  <c r="G215" i="1"/>
  <c r="H215" i="1"/>
  <c r="A216" i="1"/>
  <c r="B216" i="1"/>
  <c r="C216" i="1"/>
  <c r="E216" i="1"/>
  <c r="G216" i="1"/>
  <c r="H216" i="1"/>
  <c r="A217" i="1"/>
  <c r="B217" i="1"/>
  <c r="C217" i="1"/>
  <c r="E217" i="1"/>
  <c r="G217" i="1"/>
  <c r="H217" i="1"/>
  <c r="A218" i="1"/>
  <c r="B218" i="1"/>
  <c r="C218" i="1"/>
  <c r="E218" i="1"/>
  <c r="G218" i="1"/>
  <c r="H218" i="1"/>
  <c r="A219" i="1"/>
  <c r="B219" i="1"/>
  <c r="C219" i="1"/>
  <c r="E219" i="1"/>
  <c r="G219" i="1"/>
  <c r="H219" i="1"/>
  <c r="A220" i="1"/>
  <c r="B220" i="1"/>
  <c r="C220" i="1"/>
  <c r="E220" i="1"/>
  <c r="G220" i="1"/>
  <c r="H220" i="1"/>
  <c r="A221" i="1"/>
  <c r="B221" i="1"/>
  <c r="C221" i="1"/>
  <c r="E221" i="1"/>
  <c r="G221" i="1"/>
  <c r="H221" i="1"/>
  <c r="A222" i="1"/>
  <c r="B222" i="1"/>
  <c r="C222" i="1"/>
  <c r="E222" i="1"/>
  <c r="G222" i="1"/>
  <c r="H222" i="1"/>
  <c r="A223" i="1"/>
  <c r="B223" i="1"/>
  <c r="C223" i="1"/>
  <c r="E223" i="1"/>
  <c r="G223" i="1"/>
  <c r="H223" i="1"/>
  <c r="A224" i="1"/>
  <c r="B224" i="1"/>
  <c r="C224" i="1"/>
  <c r="E224" i="1"/>
  <c r="G224" i="1"/>
  <c r="H224" i="1"/>
  <c r="A225" i="1"/>
  <c r="B225" i="1"/>
  <c r="C225" i="1"/>
  <c r="E225" i="1"/>
  <c r="G225" i="1"/>
  <c r="H225" i="1"/>
  <c r="A226" i="1"/>
  <c r="B226" i="1"/>
  <c r="C226" i="1"/>
  <c r="E226" i="1"/>
  <c r="G226" i="1"/>
  <c r="H226" i="1"/>
  <c r="A227" i="1"/>
  <c r="B227" i="1"/>
  <c r="C227" i="1"/>
  <c r="E227" i="1"/>
  <c r="G227" i="1"/>
  <c r="H227" i="1"/>
  <c r="A228" i="1"/>
  <c r="B228" i="1"/>
  <c r="C228" i="1"/>
  <c r="E228" i="1"/>
  <c r="G228" i="1"/>
  <c r="H228" i="1"/>
  <c r="A229" i="1"/>
  <c r="B229" i="1"/>
  <c r="C229" i="1"/>
  <c r="E229" i="1"/>
  <c r="G229" i="1"/>
  <c r="H229" i="1"/>
  <c r="A230" i="1"/>
  <c r="B230" i="1"/>
  <c r="C230" i="1"/>
  <c r="E230" i="1"/>
  <c r="G230" i="1"/>
  <c r="H230" i="1"/>
  <c r="A231" i="1"/>
  <c r="B231" i="1"/>
  <c r="C231" i="1"/>
  <c r="E231" i="1"/>
  <c r="G231" i="1"/>
  <c r="H231" i="1"/>
  <c r="A232" i="1"/>
  <c r="B232" i="1"/>
  <c r="C232" i="1"/>
  <c r="E232" i="1"/>
  <c r="G232" i="1"/>
  <c r="H232" i="1"/>
  <c r="A233" i="1"/>
  <c r="B233" i="1"/>
  <c r="C233" i="1"/>
  <c r="E233" i="1"/>
  <c r="G233" i="1"/>
  <c r="H233" i="1"/>
  <c r="A234" i="1"/>
  <c r="B234" i="1"/>
  <c r="C234" i="1"/>
  <c r="E234" i="1"/>
  <c r="G234" i="1"/>
  <c r="H234" i="1"/>
  <c r="A235" i="1"/>
  <c r="B235" i="1"/>
  <c r="C235" i="1"/>
  <c r="E235" i="1"/>
  <c r="G235" i="1"/>
  <c r="H235" i="1"/>
  <c r="A236" i="1"/>
  <c r="B236" i="1"/>
  <c r="C236" i="1"/>
  <c r="E236" i="1"/>
  <c r="G236" i="1"/>
  <c r="H236" i="1"/>
  <c r="A237" i="1"/>
  <c r="B237" i="1"/>
  <c r="C237" i="1"/>
  <c r="E237" i="1"/>
  <c r="G237" i="1"/>
  <c r="H237" i="1"/>
  <c r="A238" i="1"/>
  <c r="B238" i="1"/>
  <c r="C238" i="1"/>
  <c r="E238" i="1"/>
  <c r="G238" i="1"/>
  <c r="H238" i="1"/>
  <c r="A239" i="1"/>
  <c r="B239" i="1"/>
  <c r="C239" i="1"/>
  <c r="E239" i="1"/>
  <c r="G239" i="1"/>
  <c r="H239" i="1"/>
  <c r="A240" i="1"/>
  <c r="B240" i="1"/>
  <c r="C240" i="1"/>
  <c r="E240" i="1"/>
  <c r="G240" i="1"/>
  <c r="H240" i="1"/>
  <c r="A241" i="1"/>
  <c r="B241" i="1"/>
  <c r="C241" i="1"/>
  <c r="E241" i="1"/>
  <c r="G241" i="1"/>
  <c r="H241" i="1"/>
  <c r="A242" i="1"/>
  <c r="B242" i="1"/>
  <c r="C242" i="1"/>
  <c r="E242" i="1"/>
  <c r="G242" i="1"/>
  <c r="H242" i="1"/>
  <c r="A243" i="1"/>
  <c r="B243" i="1"/>
  <c r="C243" i="1"/>
  <c r="E243" i="1"/>
  <c r="G243" i="1"/>
  <c r="H243" i="1"/>
  <c r="A244" i="1"/>
  <c r="B244" i="1"/>
  <c r="C244" i="1"/>
  <c r="E244" i="1"/>
  <c r="G244" i="1"/>
  <c r="H244" i="1"/>
  <c r="A245" i="1"/>
  <c r="B245" i="1"/>
  <c r="C245" i="1"/>
  <c r="E245" i="1"/>
  <c r="G245" i="1"/>
  <c r="H245" i="1"/>
  <c r="A246" i="1"/>
  <c r="B246" i="1"/>
  <c r="C246" i="1"/>
  <c r="E246" i="1"/>
  <c r="G246" i="1"/>
  <c r="H246" i="1"/>
  <c r="A247" i="1"/>
  <c r="B247" i="1"/>
  <c r="C247" i="1"/>
  <c r="E247" i="1"/>
  <c r="G247" i="1"/>
  <c r="H247" i="1"/>
  <c r="A248" i="1"/>
  <c r="B248" i="1"/>
  <c r="C248" i="1"/>
  <c r="E248" i="1"/>
  <c r="G248" i="1"/>
  <c r="H248" i="1"/>
  <c r="A249" i="1"/>
  <c r="B249" i="1"/>
  <c r="C249" i="1"/>
  <c r="E249" i="1"/>
  <c r="G249" i="1"/>
  <c r="H249" i="1"/>
  <c r="A250" i="1"/>
  <c r="B250" i="1"/>
  <c r="C250" i="1"/>
  <c r="E250" i="1"/>
  <c r="G250" i="1"/>
  <c r="H250" i="1"/>
  <c r="A251" i="1"/>
  <c r="B251" i="1"/>
  <c r="C251" i="1"/>
  <c r="E251" i="1"/>
  <c r="G251" i="1"/>
  <c r="H251" i="1"/>
  <c r="A252" i="1"/>
  <c r="B252" i="1"/>
  <c r="C252" i="1"/>
  <c r="E252" i="1"/>
  <c r="G252" i="1"/>
  <c r="H252" i="1"/>
  <c r="A253" i="1"/>
  <c r="B253" i="1"/>
  <c r="C253" i="1"/>
  <c r="E253" i="1"/>
  <c r="G253" i="1"/>
  <c r="H253" i="1"/>
  <c r="A254" i="1"/>
  <c r="B254" i="1"/>
  <c r="C254" i="1"/>
  <c r="E254" i="1"/>
  <c r="G254" i="1"/>
  <c r="H254" i="1"/>
  <c r="A255" i="1"/>
  <c r="B255" i="1"/>
  <c r="C255" i="1"/>
  <c r="E255" i="1"/>
  <c r="G255" i="1"/>
  <c r="H255" i="1"/>
  <c r="A256" i="1"/>
  <c r="B256" i="1"/>
  <c r="C256" i="1"/>
  <c r="E256" i="1"/>
  <c r="G256" i="1"/>
  <c r="H256" i="1"/>
  <c r="A257" i="1"/>
  <c r="B257" i="1"/>
  <c r="C257" i="1"/>
  <c r="E257" i="1"/>
  <c r="G257" i="1"/>
  <c r="H257" i="1"/>
  <c r="A258" i="1"/>
  <c r="B258" i="1"/>
  <c r="C258" i="1"/>
  <c r="E258" i="1"/>
  <c r="G258" i="1"/>
  <c r="H258" i="1"/>
  <c r="A259" i="1"/>
  <c r="B259" i="1"/>
  <c r="C259" i="1"/>
  <c r="E259" i="1"/>
  <c r="G259" i="1"/>
  <c r="H259" i="1"/>
  <c r="A260" i="1"/>
  <c r="B260" i="1"/>
  <c r="C260" i="1"/>
  <c r="E260" i="1"/>
  <c r="G260" i="1"/>
  <c r="H260" i="1"/>
  <c r="A261" i="1"/>
  <c r="B261" i="1"/>
  <c r="C261" i="1"/>
  <c r="E261" i="1"/>
  <c r="G261" i="1"/>
  <c r="H261" i="1"/>
  <c r="A262" i="1"/>
  <c r="B262" i="1"/>
  <c r="C262" i="1"/>
  <c r="E262" i="1"/>
  <c r="G262" i="1"/>
  <c r="H262" i="1"/>
  <c r="A263" i="1"/>
  <c r="B263" i="1"/>
  <c r="C263" i="1"/>
  <c r="E263" i="1"/>
  <c r="G263" i="1"/>
  <c r="H263" i="1"/>
  <c r="A264" i="1"/>
  <c r="B264" i="1"/>
  <c r="C264" i="1"/>
  <c r="E264" i="1"/>
  <c r="G264" i="1"/>
  <c r="H264" i="1"/>
  <c r="A265" i="1"/>
  <c r="B265" i="1"/>
  <c r="C265" i="1"/>
  <c r="E265" i="1"/>
  <c r="G265" i="1"/>
  <c r="H265" i="1"/>
  <c r="A266" i="1"/>
  <c r="B266" i="1"/>
  <c r="C266" i="1"/>
  <c r="E266" i="1"/>
  <c r="G266" i="1"/>
  <c r="H266" i="1"/>
  <c r="A267" i="1"/>
  <c r="B267" i="1"/>
  <c r="C267" i="1"/>
  <c r="E267" i="1"/>
  <c r="G267" i="1"/>
  <c r="H267" i="1"/>
  <c r="A268" i="1"/>
  <c r="B268" i="1"/>
  <c r="C268" i="1"/>
  <c r="E268" i="1"/>
  <c r="G268" i="1"/>
  <c r="H268" i="1"/>
  <c r="A269" i="1"/>
  <c r="B269" i="1"/>
  <c r="C269" i="1"/>
  <c r="E269" i="1"/>
  <c r="G269" i="1"/>
  <c r="H269" i="1"/>
  <c r="A270" i="1"/>
  <c r="B270" i="1"/>
  <c r="C270" i="1"/>
  <c r="E270" i="1"/>
  <c r="G270" i="1"/>
  <c r="H270" i="1"/>
  <c r="A271" i="1"/>
  <c r="B271" i="1"/>
  <c r="C271" i="1"/>
  <c r="E271" i="1"/>
  <c r="G271" i="1"/>
  <c r="H271" i="1"/>
  <c r="A272" i="1"/>
  <c r="B272" i="1"/>
  <c r="C272" i="1"/>
  <c r="E272" i="1"/>
  <c r="G272" i="1"/>
  <c r="H272" i="1"/>
  <c r="A273" i="1"/>
  <c r="B273" i="1"/>
  <c r="C273" i="1"/>
  <c r="E273" i="1"/>
  <c r="G273" i="1"/>
  <c r="H273" i="1"/>
  <c r="A274" i="1"/>
  <c r="B274" i="1"/>
  <c r="C274" i="1"/>
  <c r="E274" i="1"/>
  <c r="G274" i="1"/>
  <c r="H274" i="1"/>
  <c r="A275" i="1"/>
  <c r="B275" i="1"/>
  <c r="C275" i="1"/>
  <c r="E275" i="1"/>
  <c r="G275" i="1"/>
  <c r="H275" i="1"/>
  <c r="A276" i="1"/>
  <c r="B276" i="1"/>
  <c r="C276" i="1"/>
  <c r="E276" i="1"/>
  <c r="G276" i="1"/>
  <c r="H276" i="1"/>
  <c r="A277" i="1"/>
  <c r="B277" i="1"/>
  <c r="C277" i="1"/>
  <c r="E277" i="1"/>
  <c r="G277" i="1"/>
  <c r="H277" i="1"/>
  <c r="A278" i="1"/>
  <c r="B278" i="1"/>
  <c r="C278" i="1"/>
  <c r="E278" i="1"/>
  <c r="G278" i="1"/>
  <c r="H278" i="1"/>
  <c r="A279" i="1"/>
  <c r="B279" i="1"/>
  <c r="C279" i="1"/>
  <c r="E279" i="1"/>
  <c r="G279" i="1"/>
  <c r="H279" i="1"/>
  <c r="A280" i="1"/>
  <c r="B280" i="1"/>
  <c r="C280" i="1"/>
  <c r="E280" i="1"/>
  <c r="G280" i="1"/>
  <c r="H280" i="1"/>
  <c r="A281" i="1"/>
  <c r="B281" i="1"/>
  <c r="C281" i="1"/>
  <c r="E281" i="1"/>
  <c r="G281" i="1"/>
  <c r="H281" i="1"/>
  <c r="A282" i="1"/>
  <c r="B282" i="1"/>
  <c r="C282" i="1"/>
  <c r="E282" i="1"/>
  <c r="G282" i="1"/>
  <c r="H282" i="1"/>
  <c r="A283" i="1"/>
  <c r="B283" i="1"/>
  <c r="C283" i="1"/>
  <c r="E283" i="1"/>
  <c r="G283" i="1"/>
  <c r="H283" i="1"/>
  <c r="A284" i="1"/>
  <c r="B284" i="1"/>
  <c r="C284" i="1"/>
  <c r="E284" i="1"/>
  <c r="G284" i="1"/>
  <c r="H284" i="1"/>
  <c r="A285" i="1"/>
  <c r="B285" i="1"/>
  <c r="C285" i="1"/>
  <c r="E285" i="1"/>
  <c r="G285" i="1"/>
  <c r="H285" i="1"/>
  <c r="A286" i="1"/>
  <c r="B286" i="1"/>
  <c r="C286" i="1"/>
  <c r="E286" i="1"/>
  <c r="G286" i="1"/>
  <c r="H286" i="1"/>
  <c r="A287" i="1"/>
  <c r="B287" i="1"/>
  <c r="C287" i="1"/>
  <c r="E287" i="1"/>
  <c r="G287" i="1"/>
  <c r="H287" i="1"/>
  <c r="A288" i="1"/>
  <c r="B288" i="1"/>
  <c r="C288" i="1"/>
  <c r="E288" i="1"/>
  <c r="G288" i="1"/>
  <c r="H288" i="1"/>
  <c r="A289" i="1"/>
  <c r="B289" i="1"/>
  <c r="C289" i="1"/>
  <c r="E289" i="1"/>
  <c r="G289" i="1"/>
  <c r="H289" i="1"/>
  <c r="A290" i="1"/>
  <c r="B290" i="1"/>
  <c r="C290" i="1"/>
  <c r="E290" i="1"/>
  <c r="G290" i="1"/>
  <c r="H290" i="1"/>
  <c r="A291" i="1"/>
  <c r="B291" i="1"/>
  <c r="C291" i="1"/>
  <c r="E291" i="1"/>
  <c r="G291" i="1"/>
  <c r="H291" i="1"/>
  <c r="A292" i="1"/>
  <c r="B292" i="1"/>
  <c r="C292" i="1"/>
  <c r="E292" i="1"/>
  <c r="G292" i="1"/>
  <c r="H292" i="1"/>
  <c r="A293" i="1"/>
  <c r="B293" i="1"/>
  <c r="C293" i="1"/>
  <c r="E293" i="1"/>
  <c r="G293" i="1"/>
  <c r="H293" i="1"/>
  <c r="A294" i="1"/>
  <c r="B294" i="1"/>
  <c r="C294" i="1"/>
  <c r="E294" i="1"/>
  <c r="G294" i="1"/>
  <c r="H294" i="1"/>
  <c r="A295" i="1"/>
  <c r="B295" i="1"/>
  <c r="C295" i="1"/>
  <c r="E295" i="1"/>
  <c r="G295" i="1"/>
  <c r="H295" i="1"/>
  <c r="A296" i="1"/>
  <c r="B296" i="1"/>
  <c r="C296" i="1"/>
  <c r="E296" i="1"/>
  <c r="G296" i="1"/>
  <c r="H296" i="1"/>
  <c r="A297" i="1"/>
  <c r="B297" i="1"/>
  <c r="C297" i="1"/>
  <c r="E297" i="1"/>
  <c r="G297" i="1"/>
  <c r="H297" i="1"/>
  <c r="A298" i="1"/>
  <c r="B298" i="1"/>
  <c r="C298" i="1"/>
  <c r="E298" i="1"/>
  <c r="G298" i="1"/>
  <c r="H298" i="1"/>
  <c r="A299" i="1"/>
  <c r="B299" i="1"/>
  <c r="C299" i="1"/>
  <c r="E299" i="1"/>
  <c r="G299" i="1"/>
  <c r="H299" i="1"/>
  <c r="A300" i="1"/>
  <c r="B300" i="1"/>
  <c r="C300" i="1"/>
  <c r="E300" i="1"/>
  <c r="G300" i="1"/>
  <c r="H300" i="1"/>
  <c r="A301" i="1"/>
  <c r="B301" i="1"/>
  <c r="C301" i="1"/>
  <c r="E301" i="1"/>
  <c r="G301" i="1"/>
  <c r="H301" i="1"/>
  <c r="A302" i="1"/>
  <c r="B302" i="1"/>
  <c r="C302" i="1"/>
  <c r="E302" i="1"/>
  <c r="G302" i="1"/>
  <c r="H302" i="1"/>
  <c r="A303" i="1"/>
  <c r="B303" i="1"/>
  <c r="C303" i="1"/>
  <c r="E303" i="1"/>
  <c r="G303" i="1"/>
  <c r="H303" i="1"/>
  <c r="A304" i="1"/>
  <c r="B304" i="1"/>
  <c r="C304" i="1"/>
  <c r="E304" i="1"/>
  <c r="G304" i="1"/>
  <c r="H304" i="1"/>
  <c r="A305" i="1"/>
  <c r="B305" i="1"/>
  <c r="C305" i="1"/>
  <c r="E305" i="1"/>
  <c r="G305" i="1"/>
  <c r="H305" i="1"/>
  <c r="A306" i="1"/>
  <c r="B306" i="1"/>
  <c r="C306" i="1"/>
  <c r="E306" i="1"/>
  <c r="G306" i="1"/>
  <c r="H306" i="1"/>
  <c r="A307" i="1"/>
  <c r="B307" i="1"/>
  <c r="C307" i="1"/>
  <c r="E307" i="1"/>
  <c r="G307" i="1"/>
  <c r="H307" i="1"/>
  <c r="A308" i="1"/>
  <c r="B308" i="1"/>
  <c r="C308" i="1"/>
  <c r="E308" i="1"/>
  <c r="G308" i="1"/>
  <c r="H308" i="1"/>
  <c r="A309" i="1"/>
  <c r="B309" i="1"/>
  <c r="C309" i="1"/>
  <c r="E309" i="1"/>
  <c r="G309" i="1"/>
  <c r="H309" i="1"/>
  <c r="A310" i="1"/>
  <c r="B310" i="1"/>
  <c r="C310" i="1"/>
  <c r="E310" i="1"/>
  <c r="G310" i="1"/>
  <c r="H310" i="1"/>
  <c r="A311" i="1"/>
  <c r="B311" i="1"/>
  <c r="C311" i="1"/>
  <c r="E311" i="1"/>
  <c r="G311" i="1"/>
  <c r="H311" i="1"/>
  <c r="A312" i="1"/>
  <c r="B312" i="1"/>
  <c r="C312" i="1"/>
  <c r="E312" i="1"/>
  <c r="G312" i="1"/>
  <c r="H312" i="1"/>
  <c r="A313" i="1"/>
  <c r="B313" i="1"/>
  <c r="C313" i="1"/>
  <c r="E313" i="1"/>
  <c r="G313" i="1"/>
  <c r="H313" i="1"/>
  <c r="A314" i="1"/>
  <c r="B314" i="1"/>
  <c r="C314" i="1"/>
  <c r="E314" i="1"/>
  <c r="G314" i="1"/>
  <c r="H314" i="1"/>
  <c r="A315" i="1"/>
  <c r="B315" i="1"/>
  <c r="C315" i="1"/>
  <c r="E315" i="1"/>
  <c r="G315" i="1"/>
  <c r="H315" i="1"/>
  <c r="A316" i="1"/>
  <c r="B316" i="1"/>
  <c r="C316" i="1"/>
  <c r="E316" i="1"/>
  <c r="G316" i="1"/>
  <c r="H316" i="1"/>
  <c r="A317" i="1"/>
  <c r="B317" i="1"/>
  <c r="C317" i="1"/>
  <c r="E317" i="1"/>
  <c r="G317" i="1"/>
  <c r="H317" i="1"/>
  <c r="A318" i="1"/>
  <c r="B318" i="1"/>
  <c r="C318" i="1"/>
  <c r="E318" i="1"/>
  <c r="G318" i="1"/>
  <c r="H318" i="1"/>
  <c r="A319" i="1"/>
  <c r="B319" i="1"/>
  <c r="C319" i="1"/>
  <c r="E319" i="1"/>
  <c r="G319" i="1"/>
  <c r="H319" i="1"/>
  <c r="A320" i="1"/>
  <c r="B320" i="1"/>
  <c r="C320" i="1"/>
  <c r="E320" i="1"/>
  <c r="G320" i="1"/>
  <c r="H320" i="1"/>
  <c r="A321" i="1"/>
  <c r="B321" i="1"/>
  <c r="C321" i="1"/>
  <c r="E321" i="1"/>
  <c r="G321" i="1"/>
  <c r="H321" i="1"/>
  <c r="A322" i="1"/>
  <c r="B322" i="1"/>
  <c r="C322" i="1"/>
  <c r="E322" i="1"/>
  <c r="G322" i="1"/>
  <c r="H322" i="1"/>
  <c r="A323" i="1"/>
  <c r="B323" i="1"/>
  <c r="C323" i="1"/>
  <c r="E323" i="1"/>
  <c r="G323" i="1"/>
  <c r="H323" i="1"/>
  <c r="A324" i="1"/>
  <c r="B324" i="1"/>
  <c r="C324" i="1"/>
  <c r="E324" i="1"/>
  <c r="G324" i="1"/>
  <c r="H324" i="1"/>
  <c r="A325" i="1"/>
  <c r="B325" i="1"/>
  <c r="C325" i="1"/>
  <c r="E325" i="1"/>
  <c r="G325" i="1"/>
  <c r="H325" i="1"/>
  <c r="A326" i="1"/>
  <c r="B326" i="1"/>
  <c r="C326" i="1"/>
  <c r="E326" i="1"/>
  <c r="G326" i="1"/>
  <c r="H326" i="1"/>
  <c r="A327" i="1"/>
  <c r="B327" i="1"/>
  <c r="C327" i="1"/>
  <c r="E327" i="1"/>
  <c r="G327" i="1"/>
  <c r="H327" i="1"/>
  <c r="A328" i="1"/>
  <c r="B328" i="1"/>
  <c r="C328" i="1"/>
  <c r="E328" i="1"/>
  <c r="G328" i="1"/>
  <c r="H328" i="1"/>
  <c r="A329" i="1"/>
  <c r="B329" i="1"/>
  <c r="C329" i="1"/>
  <c r="E329" i="1"/>
  <c r="G329" i="1"/>
  <c r="H329" i="1"/>
  <c r="A330" i="1"/>
  <c r="B330" i="1"/>
  <c r="C330" i="1"/>
  <c r="E330" i="1"/>
  <c r="G330" i="1"/>
  <c r="H330" i="1"/>
  <c r="A331" i="1"/>
  <c r="B331" i="1"/>
  <c r="C331" i="1"/>
  <c r="E331" i="1"/>
  <c r="G331" i="1"/>
  <c r="H331" i="1"/>
  <c r="A332" i="1"/>
  <c r="B332" i="1"/>
  <c r="C332" i="1"/>
  <c r="E332" i="1"/>
  <c r="G332" i="1"/>
  <c r="H332" i="1"/>
  <c r="A333" i="1"/>
  <c r="B333" i="1"/>
  <c r="C333" i="1"/>
  <c r="E333" i="1"/>
  <c r="G333" i="1"/>
  <c r="H333" i="1"/>
  <c r="A334" i="1"/>
  <c r="B334" i="1"/>
  <c r="C334" i="1"/>
  <c r="E334" i="1"/>
  <c r="G334" i="1"/>
  <c r="H334" i="1"/>
  <c r="A335" i="1"/>
  <c r="B335" i="1"/>
  <c r="C335" i="1"/>
  <c r="E335" i="1"/>
  <c r="G335" i="1"/>
  <c r="H335" i="1"/>
  <c r="A336" i="1"/>
  <c r="B336" i="1"/>
  <c r="C336" i="1"/>
  <c r="E336" i="1"/>
  <c r="G336" i="1"/>
  <c r="H336" i="1"/>
  <c r="A337" i="1"/>
  <c r="B337" i="1"/>
  <c r="C337" i="1"/>
  <c r="E337" i="1"/>
  <c r="G337" i="1"/>
  <c r="H337" i="1"/>
  <c r="A338" i="1"/>
  <c r="B338" i="1"/>
  <c r="C338" i="1"/>
  <c r="E338" i="1"/>
  <c r="G338" i="1"/>
  <c r="H338" i="1"/>
  <c r="A339" i="1"/>
  <c r="B339" i="1"/>
  <c r="C339" i="1"/>
  <c r="E339" i="1"/>
  <c r="G339" i="1"/>
  <c r="H339" i="1"/>
  <c r="A340" i="1"/>
  <c r="B340" i="1"/>
  <c r="C340" i="1"/>
  <c r="E340" i="1"/>
  <c r="G340" i="1"/>
  <c r="H340" i="1"/>
  <c r="A341" i="1"/>
  <c r="B341" i="1"/>
  <c r="C341" i="1"/>
  <c r="E341" i="1"/>
  <c r="G341" i="1"/>
  <c r="H341" i="1"/>
  <c r="A342" i="1"/>
  <c r="B342" i="1"/>
  <c r="C342" i="1"/>
  <c r="E342" i="1"/>
  <c r="G342" i="1"/>
  <c r="H342" i="1"/>
  <c r="A343" i="1"/>
  <c r="B343" i="1"/>
  <c r="C343" i="1"/>
  <c r="E343" i="1"/>
  <c r="G343" i="1"/>
  <c r="H343" i="1"/>
  <c r="A344" i="1"/>
  <c r="B344" i="1"/>
  <c r="C344" i="1"/>
  <c r="E344" i="1"/>
  <c r="G344" i="1"/>
  <c r="H344" i="1"/>
  <c r="A345" i="1"/>
  <c r="B345" i="1"/>
  <c r="C345" i="1"/>
  <c r="E345" i="1"/>
  <c r="G345" i="1"/>
  <c r="H345" i="1"/>
  <c r="A346" i="1"/>
  <c r="B346" i="1"/>
  <c r="C346" i="1"/>
  <c r="E346" i="1"/>
  <c r="G346" i="1"/>
  <c r="H346" i="1"/>
  <c r="A347" i="1"/>
  <c r="B347" i="1"/>
  <c r="C347" i="1"/>
  <c r="E347" i="1"/>
  <c r="G347" i="1"/>
  <c r="H347" i="1"/>
  <c r="A348" i="1"/>
  <c r="B348" i="1"/>
  <c r="C348" i="1"/>
  <c r="E348" i="1"/>
  <c r="G348" i="1"/>
  <c r="H348" i="1"/>
  <c r="A349" i="1"/>
  <c r="B349" i="1"/>
  <c r="C349" i="1"/>
  <c r="E349" i="1"/>
  <c r="G349" i="1"/>
  <c r="H349" i="1"/>
  <c r="A350" i="1"/>
  <c r="B350" i="1"/>
  <c r="C350" i="1"/>
  <c r="E350" i="1"/>
  <c r="G350" i="1"/>
  <c r="H350" i="1"/>
  <c r="A351" i="1"/>
  <c r="B351" i="1"/>
  <c r="C351" i="1"/>
  <c r="E351" i="1"/>
  <c r="G351" i="1"/>
  <c r="H351" i="1"/>
  <c r="A352" i="1"/>
  <c r="B352" i="1"/>
  <c r="C352" i="1"/>
  <c r="E352" i="1"/>
  <c r="G352" i="1"/>
  <c r="H352" i="1"/>
  <c r="A353" i="1"/>
  <c r="B353" i="1"/>
  <c r="C353" i="1"/>
  <c r="E353" i="1"/>
  <c r="G353" i="1"/>
  <c r="H353" i="1"/>
  <c r="A354" i="1"/>
  <c r="B354" i="1"/>
  <c r="C354" i="1"/>
  <c r="E354" i="1"/>
  <c r="G354" i="1"/>
  <c r="H354" i="1"/>
  <c r="A355" i="1"/>
  <c r="B355" i="1"/>
  <c r="C355" i="1"/>
  <c r="E355" i="1"/>
  <c r="G355" i="1"/>
  <c r="H355" i="1"/>
  <c r="A356" i="1"/>
  <c r="B356" i="1"/>
  <c r="C356" i="1"/>
  <c r="E356" i="1"/>
  <c r="G356" i="1"/>
  <c r="H356" i="1"/>
  <c r="A357" i="1"/>
  <c r="B357" i="1"/>
  <c r="C357" i="1"/>
  <c r="E357" i="1"/>
  <c r="G357" i="1"/>
  <c r="H357" i="1"/>
  <c r="A358" i="1"/>
  <c r="B358" i="1"/>
  <c r="C358" i="1"/>
  <c r="E358" i="1"/>
  <c r="G358" i="1"/>
  <c r="H358" i="1"/>
  <c r="A359" i="1"/>
  <c r="B359" i="1"/>
  <c r="C359" i="1"/>
  <c r="E359" i="1"/>
  <c r="G359" i="1"/>
  <c r="H359" i="1"/>
  <c r="A360" i="1"/>
  <c r="B360" i="1"/>
  <c r="C360" i="1"/>
  <c r="E360" i="1"/>
  <c r="G360" i="1"/>
  <c r="H360" i="1"/>
  <c r="A361" i="1"/>
  <c r="B361" i="1"/>
  <c r="C361" i="1"/>
  <c r="E361" i="1"/>
  <c r="G361" i="1"/>
  <c r="H361" i="1"/>
  <c r="A362" i="1"/>
  <c r="B362" i="1"/>
  <c r="C362" i="1"/>
  <c r="E362" i="1"/>
  <c r="G362" i="1"/>
  <c r="H362" i="1"/>
  <c r="A363" i="1"/>
  <c r="B363" i="1"/>
  <c r="C363" i="1"/>
  <c r="E363" i="1"/>
  <c r="G363" i="1"/>
  <c r="H363" i="1"/>
  <c r="A364" i="1"/>
  <c r="B364" i="1"/>
  <c r="C364" i="1"/>
  <c r="E364" i="1"/>
  <c r="G364" i="1"/>
  <c r="H364" i="1"/>
  <c r="A365" i="1"/>
  <c r="B365" i="1"/>
  <c r="C365" i="1"/>
  <c r="E365" i="1"/>
  <c r="G365" i="1"/>
  <c r="H365" i="1"/>
  <c r="A366" i="1"/>
  <c r="B366" i="1"/>
  <c r="C366" i="1"/>
  <c r="E366" i="1"/>
  <c r="G366" i="1"/>
  <c r="H366" i="1"/>
  <c r="A367" i="1"/>
  <c r="B367" i="1"/>
  <c r="C367" i="1"/>
  <c r="E367" i="1"/>
  <c r="G367" i="1"/>
  <c r="H367" i="1"/>
  <c r="A368" i="1"/>
  <c r="B368" i="1"/>
  <c r="C368" i="1"/>
  <c r="E368" i="1"/>
  <c r="G368" i="1"/>
  <c r="H368" i="1"/>
  <c r="A369" i="1"/>
  <c r="B369" i="1"/>
  <c r="C369" i="1"/>
  <c r="E369" i="1"/>
  <c r="G369" i="1"/>
  <c r="H369" i="1"/>
  <c r="A370" i="1"/>
  <c r="B370" i="1"/>
  <c r="C370" i="1"/>
  <c r="E370" i="1"/>
  <c r="G370" i="1"/>
  <c r="H370" i="1"/>
  <c r="A371" i="1"/>
  <c r="B371" i="1"/>
  <c r="C371" i="1"/>
  <c r="E371" i="1"/>
  <c r="G371" i="1"/>
  <c r="H371" i="1"/>
  <c r="A372" i="1"/>
  <c r="B372" i="1"/>
  <c r="C372" i="1"/>
  <c r="E372" i="1"/>
  <c r="G372" i="1"/>
  <c r="H372" i="1"/>
  <c r="A373" i="1"/>
  <c r="B373" i="1"/>
  <c r="C373" i="1"/>
  <c r="E373" i="1"/>
  <c r="G373" i="1"/>
  <c r="H373" i="1"/>
  <c r="A374" i="1"/>
  <c r="B374" i="1"/>
  <c r="C374" i="1"/>
  <c r="E374" i="1"/>
  <c r="G374" i="1"/>
  <c r="H374" i="1"/>
  <c r="A375" i="1"/>
  <c r="B375" i="1"/>
  <c r="C375" i="1"/>
  <c r="E375" i="1"/>
  <c r="G375" i="1"/>
  <c r="H375" i="1"/>
  <c r="A376" i="1"/>
  <c r="B376" i="1"/>
  <c r="C376" i="1"/>
  <c r="E376" i="1"/>
  <c r="G376" i="1"/>
  <c r="H376" i="1"/>
  <c r="A377" i="1"/>
  <c r="B377" i="1"/>
  <c r="C377" i="1"/>
  <c r="E377" i="1"/>
  <c r="G377" i="1"/>
  <c r="H377" i="1"/>
  <c r="A378" i="1"/>
  <c r="B378" i="1"/>
  <c r="C378" i="1"/>
  <c r="E378" i="1"/>
  <c r="G378" i="1"/>
  <c r="H378" i="1"/>
  <c r="A379" i="1"/>
  <c r="B379" i="1"/>
  <c r="C379" i="1"/>
  <c r="E379" i="1"/>
  <c r="G379" i="1"/>
  <c r="H379" i="1"/>
  <c r="A380" i="1"/>
  <c r="B380" i="1"/>
  <c r="C380" i="1"/>
  <c r="E380" i="1"/>
  <c r="G380" i="1"/>
  <c r="H380" i="1"/>
  <c r="A381" i="1"/>
  <c r="B381" i="1"/>
  <c r="C381" i="1"/>
  <c r="E381" i="1"/>
  <c r="G381" i="1"/>
  <c r="H381" i="1"/>
  <c r="A382" i="1"/>
  <c r="B382" i="1"/>
  <c r="C382" i="1"/>
  <c r="E382" i="1"/>
  <c r="G382" i="1"/>
  <c r="H382" i="1"/>
  <c r="A383" i="1"/>
  <c r="B383" i="1"/>
  <c r="C383" i="1"/>
  <c r="E383" i="1"/>
  <c r="G383" i="1"/>
  <c r="H383" i="1"/>
  <c r="A384" i="1"/>
  <c r="B384" i="1"/>
  <c r="C384" i="1"/>
  <c r="E384" i="1"/>
  <c r="G384" i="1"/>
  <c r="H384" i="1"/>
  <c r="A385" i="1"/>
  <c r="B385" i="1"/>
  <c r="C385" i="1"/>
  <c r="E385" i="1"/>
  <c r="G385" i="1"/>
  <c r="H385" i="1"/>
  <c r="A386" i="1"/>
  <c r="B386" i="1"/>
  <c r="C386" i="1"/>
  <c r="E386" i="1"/>
  <c r="G386" i="1"/>
  <c r="H386" i="1"/>
  <c r="A387" i="1"/>
  <c r="B387" i="1"/>
  <c r="C387" i="1"/>
  <c r="E387" i="1"/>
  <c r="G387" i="1"/>
  <c r="H387" i="1"/>
  <c r="A388" i="1"/>
  <c r="B388" i="1"/>
  <c r="C388" i="1"/>
  <c r="E388" i="1"/>
  <c r="G388" i="1"/>
  <c r="H388" i="1"/>
  <c r="A389" i="1"/>
  <c r="B389" i="1"/>
  <c r="C389" i="1"/>
  <c r="E389" i="1"/>
  <c r="G389" i="1"/>
  <c r="H389" i="1"/>
  <c r="A390" i="1"/>
  <c r="B390" i="1"/>
  <c r="C390" i="1"/>
  <c r="E390" i="1"/>
  <c r="G390" i="1"/>
  <c r="H390" i="1"/>
  <c r="A391" i="1"/>
  <c r="B391" i="1"/>
  <c r="C391" i="1"/>
  <c r="E391" i="1"/>
  <c r="G391" i="1"/>
  <c r="H391" i="1"/>
  <c r="A392" i="1"/>
  <c r="B392" i="1"/>
  <c r="C392" i="1"/>
  <c r="E392" i="1"/>
  <c r="G392" i="1"/>
  <c r="H392" i="1"/>
  <c r="A393" i="1"/>
  <c r="B393" i="1"/>
  <c r="C393" i="1"/>
  <c r="E393" i="1"/>
  <c r="G393" i="1"/>
  <c r="H393" i="1"/>
  <c r="A394" i="1"/>
  <c r="B394" i="1"/>
  <c r="C394" i="1"/>
  <c r="E394" i="1"/>
  <c r="G394" i="1"/>
  <c r="H394" i="1"/>
  <c r="A395" i="1"/>
  <c r="B395" i="1"/>
  <c r="C395" i="1"/>
  <c r="E395" i="1"/>
  <c r="G395" i="1"/>
  <c r="H395" i="1"/>
  <c r="A396" i="1"/>
  <c r="B396" i="1"/>
  <c r="C396" i="1"/>
  <c r="E396" i="1"/>
  <c r="G396" i="1"/>
  <c r="H396" i="1"/>
  <c r="A397" i="1"/>
  <c r="B397" i="1"/>
  <c r="C397" i="1"/>
  <c r="E397" i="1"/>
  <c r="G397" i="1"/>
  <c r="H397" i="1"/>
  <c r="A398" i="1"/>
  <c r="B398" i="1"/>
  <c r="C398" i="1"/>
  <c r="E398" i="1"/>
  <c r="G398" i="1"/>
  <c r="H398" i="1"/>
  <c r="A399" i="1"/>
  <c r="B399" i="1"/>
  <c r="C399" i="1"/>
  <c r="E399" i="1"/>
  <c r="G399" i="1"/>
  <c r="H399" i="1"/>
  <c r="A400" i="1"/>
  <c r="B400" i="1"/>
  <c r="C400" i="1"/>
  <c r="E400" i="1"/>
  <c r="G400" i="1"/>
  <c r="H400" i="1"/>
  <c r="A401" i="1"/>
  <c r="B401" i="1"/>
  <c r="C401" i="1"/>
  <c r="E401" i="1"/>
  <c r="G401" i="1"/>
  <c r="H401" i="1"/>
  <c r="A402" i="1"/>
  <c r="B402" i="1"/>
  <c r="C402" i="1"/>
  <c r="E402" i="1"/>
  <c r="G402" i="1"/>
  <c r="H402" i="1"/>
  <c r="A403" i="1"/>
  <c r="B403" i="1"/>
  <c r="C403" i="1"/>
  <c r="E403" i="1"/>
  <c r="G403" i="1"/>
  <c r="H403" i="1"/>
  <c r="A404" i="1"/>
  <c r="B404" i="1"/>
  <c r="C404" i="1"/>
  <c r="E404" i="1"/>
  <c r="G404" i="1"/>
  <c r="H404" i="1"/>
  <c r="A405" i="1"/>
  <c r="B405" i="1"/>
  <c r="C405" i="1"/>
  <c r="E405" i="1"/>
  <c r="G405" i="1"/>
  <c r="H405" i="1"/>
  <c r="A406" i="1"/>
  <c r="B406" i="1"/>
  <c r="C406" i="1"/>
  <c r="E406" i="1"/>
  <c r="G406" i="1"/>
  <c r="H406" i="1"/>
  <c r="A407" i="1"/>
  <c r="B407" i="1"/>
  <c r="C407" i="1"/>
  <c r="E407" i="1"/>
  <c r="G407" i="1"/>
  <c r="H407" i="1"/>
  <c r="A408" i="1"/>
  <c r="B408" i="1"/>
  <c r="C408" i="1"/>
  <c r="E408" i="1"/>
  <c r="G408" i="1"/>
  <c r="H408" i="1"/>
  <c r="A409" i="1"/>
  <c r="B409" i="1"/>
  <c r="C409" i="1"/>
  <c r="E409" i="1"/>
  <c r="G409" i="1"/>
  <c r="H409" i="1"/>
  <c r="A410" i="1"/>
  <c r="B410" i="1"/>
  <c r="C410" i="1"/>
  <c r="E410" i="1"/>
  <c r="G410" i="1"/>
  <c r="H410" i="1"/>
  <c r="A411" i="1"/>
  <c r="B411" i="1"/>
  <c r="C411" i="1"/>
  <c r="E411" i="1"/>
  <c r="G411" i="1"/>
  <c r="H411" i="1"/>
  <c r="A412" i="1"/>
  <c r="B412" i="1"/>
  <c r="C412" i="1"/>
  <c r="E412" i="1"/>
  <c r="G412" i="1"/>
  <c r="H412" i="1"/>
  <c r="A413" i="1"/>
  <c r="B413" i="1"/>
  <c r="C413" i="1"/>
  <c r="E413" i="1"/>
  <c r="G413" i="1"/>
  <c r="H413" i="1"/>
  <c r="A414" i="1"/>
  <c r="B414" i="1"/>
  <c r="C414" i="1"/>
  <c r="E414" i="1"/>
  <c r="G414" i="1"/>
  <c r="H414" i="1"/>
  <c r="A415" i="1"/>
  <c r="B415" i="1"/>
  <c r="C415" i="1"/>
  <c r="E415" i="1"/>
  <c r="G415" i="1"/>
  <c r="H415" i="1"/>
  <c r="A416" i="1"/>
  <c r="B416" i="1"/>
  <c r="C416" i="1"/>
  <c r="E416" i="1"/>
  <c r="G416" i="1"/>
  <c r="H416" i="1"/>
  <c r="A417" i="1"/>
  <c r="B417" i="1"/>
  <c r="C417" i="1"/>
  <c r="E417" i="1"/>
  <c r="G417" i="1"/>
  <c r="H417" i="1"/>
  <c r="A418" i="1"/>
  <c r="B418" i="1"/>
  <c r="C418" i="1"/>
  <c r="E418" i="1"/>
  <c r="G418" i="1"/>
  <c r="H418" i="1"/>
  <c r="A419" i="1"/>
  <c r="B419" i="1"/>
  <c r="C419" i="1"/>
  <c r="E419" i="1"/>
  <c r="G419" i="1"/>
  <c r="H419" i="1"/>
  <c r="A420" i="1"/>
  <c r="B420" i="1"/>
  <c r="C420" i="1"/>
  <c r="E420" i="1"/>
  <c r="G420" i="1"/>
  <c r="H420" i="1"/>
  <c r="A421" i="1"/>
  <c r="B421" i="1"/>
  <c r="C421" i="1"/>
  <c r="E421" i="1"/>
  <c r="G421" i="1"/>
  <c r="H421" i="1"/>
  <c r="A422" i="1"/>
  <c r="B422" i="1"/>
  <c r="C422" i="1"/>
  <c r="E422" i="1"/>
  <c r="G422" i="1"/>
  <c r="H422" i="1"/>
  <c r="A423" i="1"/>
  <c r="B423" i="1"/>
  <c r="C423" i="1"/>
  <c r="E423" i="1"/>
  <c r="G423" i="1"/>
  <c r="H423" i="1"/>
  <c r="A424" i="1"/>
  <c r="B424" i="1"/>
  <c r="C424" i="1"/>
  <c r="E424" i="1"/>
  <c r="G424" i="1"/>
  <c r="H424" i="1"/>
  <c r="A425" i="1"/>
  <c r="B425" i="1"/>
  <c r="C425" i="1"/>
  <c r="E425" i="1"/>
  <c r="G425" i="1"/>
  <c r="H425" i="1"/>
  <c r="A426" i="1"/>
  <c r="B426" i="1"/>
  <c r="C426" i="1"/>
  <c r="E426" i="1"/>
  <c r="G426" i="1"/>
  <c r="H426" i="1"/>
  <c r="A427" i="1"/>
  <c r="B427" i="1"/>
  <c r="C427" i="1"/>
  <c r="E427" i="1"/>
  <c r="G427" i="1"/>
  <c r="H427" i="1"/>
  <c r="A428" i="1"/>
  <c r="B428" i="1"/>
  <c r="C428" i="1"/>
  <c r="E428" i="1"/>
  <c r="G428" i="1"/>
  <c r="H428" i="1"/>
  <c r="A429" i="1"/>
  <c r="B429" i="1"/>
  <c r="C429" i="1"/>
  <c r="E429" i="1"/>
  <c r="G429" i="1"/>
  <c r="H429" i="1"/>
  <c r="A430" i="1"/>
  <c r="B430" i="1"/>
  <c r="C430" i="1"/>
  <c r="E430" i="1"/>
  <c r="G430" i="1"/>
  <c r="H430" i="1"/>
  <c r="A431" i="1"/>
  <c r="B431" i="1"/>
  <c r="C431" i="1"/>
  <c r="E431" i="1"/>
  <c r="G431" i="1"/>
  <c r="H431" i="1"/>
  <c r="A432" i="1"/>
  <c r="B432" i="1"/>
  <c r="C432" i="1"/>
  <c r="E432" i="1"/>
  <c r="G432" i="1"/>
  <c r="H432" i="1"/>
  <c r="A433" i="1"/>
  <c r="B433" i="1"/>
  <c r="C433" i="1"/>
  <c r="E433" i="1"/>
  <c r="G433" i="1"/>
  <c r="H433" i="1"/>
  <c r="A434" i="1"/>
  <c r="B434" i="1"/>
  <c r="C434" i="1"/>
  <c r="E434" i="1"/>
  <c r="G434" i="1"/>
  <c r="H434" i="1"/>
  <c r="A435" i="1"/>
  <c r="B435" i="1"/>
  <c r="C435" i="1"/>
  <c r="E435" i="1"/>
  <c r="G435" i="1"/>
  <c r="H435" i="1"/>
  <c r="A436" i="1"/>
  <c r="B436" i="1"/>
  <c r="C436" i="1"/>
  <c r="E436" i="1"/>
  <c r="G436" i="1"/>
  <c r="H436" i="1"/>
  <c r="A437" i="1"/>
  <c r="B437" i="1"/>
  <c r="C437" i="1"/>
  <c r="E437" i="1"/>
  <c r="G437" i="1"/>
  <c r="H437" i="1"/>
  <c r="A438" i="1"/>
  <c r="B438" i="1"/>
  <c r="C438" i="1"/>
  <c r="E438" i="1"/>
  <c r="G438" i="1"/>
  <c r="H438" i="1"/>
  <c r="A439" i="1"/>
  <c r="B439" i="1"/>
  <c r="C439" i="1"/>
  <c r="E439" i="1"/>
  <c r="G439" i="1"/>
  <c r="H439" i="1"/>
  <c r="A440" i="1"/>
  <c r="B440" i="1"/>
  <c r="C440" i="1"/>
  <c r="E440" i="1"/>
  <c r="G440" i="1"/>
  <c r="H440" i="1"/>
  <c r="A441" i="1"/>
  <c r="B441" i="1"/>
  <c r="C441" i="1"/>
  <c r="E441" i="1"/>
  <c r="G441" i="1"/>
  <c r="H441" i="1"/>
  <c r="A442" i="1"/>
  <c r="B442" i="1"/>
  <c r="C442" i="1"/>
  <c r="E442" i="1"/>
  <c r="G442" i="1"/>
  <c r="H442" i="1"/>
  <c r="A443" i="1"/>
  <c r="B443" i="1"/>
  <c r="C443" i="1"/>
  <c r="E443" i="1"/>
  <c r="G443" i="1"/>
  <c r="H443" i="1"/>
  <c r="A444" i="1"/>
  <c r="B444" i="1"/>
  <c r="C444" i="1"/>
  <c r="E444" i="1"/>
  <c r="G444" i="1"/>
  <c r="H444" i="1"/>
  <c r="A445" i="1"/>
  <c r="B445" i="1"/>
  <c r="C445" i="1"/>
  <c r="E445" i="1"/>
  <c r="G445" i="1"/>
  <c r="H445" i="1"/>
  <c r="A446" i="1"/>
  <c r="B446" i="1"/>
  <c r="C446" i="1"/>
  <c r="E446" i="1"/>
  <c r="G446" i="1"/>
  <c r="H446" i="1"/>
  <c r="A447" i="1"/>
  <c r="B447" i="1"/>
  <c r="C447" i="1"/>
  <c r="E447" i="1"/>
  <c r="G447" i="1"/>
  <c r="H447" i="1"/>
  <c r="A448" i="1"/>
  <c r="B448" i="1"/>
  <c r="C448" i="1"/>
  <c r="E448" i="1"/>
  <c r="G448" i="1"/>
  <c r="H448" i="1"/>
  <c r="A449" i="1"/>
  <c r="B449" i="1"/>
  <c r="C449" i="1"/>
  <c r="E449" i="1"/>
  <c r="G449" i="1"/>
  <c r="H449" i="1"/>
  <c r="A450" i="1"/>
  <c r="B450" i="1"/>
  <c r="C450" i="1"/>
  <c r="E450" i="1"/>
  <c r="G450" i="1"/>
  <c r="H450" i="1"/>
  <c r="A451" i="1"/>
  <c r="B451" i="1"/>
  <c r="C451" i="1"/>
  <c r="E451" i="1"/>
  <c r="G451" i="1"/>
  <c r="H451" i="1"/>
  <c r="A452" i="1"/>
  <c r="B452" i="1"/>
  <c r="C452" i="1"/>
  <c r="E452" i="1"/>
  <c r="G452" i="1"/>
  <c r="H452" i="1"/>
  <c r="A453" i="1"/>
  <c r="B453" i="1"/>
  <c r="C453" i="1"/>
  <c r="E453" i="1"/>
  <c r="G453" i="1"/>
  <c r="H453" i="1"/>
  <c r="A454" i="1"/>
  <c r="B454" i="1"/>
  <c r="C454" i="1"/>
  <c r="E454" i="1"/>
  <c r="G454" i="1"/>
  <c r="H454" i="1"/>
  <c r="A455" i="1"/>
  <c r="B455" i="1"/>
  <c r="C455" i="1"/>
  <c r="E455" i="1"/>
  <c r="G455" i="1"/>
  <c r="H455" i="1"/>
  <c r="A456" i="1"/>
  <c r="B456" i="1"/>
  <c r="C456" i="1"/>
  <c r="E456" i="1"/>
  <c r="G456" i="1"/>
  <c r="H456" i="1"/>
  <c r="A457" i="1"/>
  <c r="B457" i="1"/>
  <c r="C457" i="1"/>
  <c r="E457" i="1"/>
  <c r="G457" i="1"/>
  <c r="H457" i="1"/>
  <c r="A458" i="1"/>
  <c r="B458" i="1"/>
  <c r="C458" i="1"/>
  <c r="E458" i="1"/>
  <c r="G458" i="1"/>
  <c r="H458" i="1"/>
  <c r="A459" i="1"/>
  <c r="B459" i="1"/>
  <c r="C459" i="1"/>
  <c r="E459" i="1"/>
  <c r="G459" i="1"/>
  <c r="H459" i="1"/>
  <c r="A460" i="1"/>
  <c r="B460" i="1"/>
  <c r="C460" i="1"/>
  <c r="E460" i="1"/>
  <c r="G460" i="1"/>
  <c r="H460" i="1"/>
  <c r="A461" i="1"/>
  <c r="B461" i="1"/>
  <c r="C461" i="1"/>
  <c r="E461" i="1"/>
  <c r="G461" i="1"/>
  <c r="H461" i="1"/>
  <c r="A462" i="1"/>
  <c r="B462" i="1"/>
  <c r="C462" i="1"/>
  <c r="E462" i="1"/>
  <c r="G462" i="1"/>
  <c r="H462" i="1"/>
  <c r="A463" i="1"/>
  <c r="B463" i="1"/>
  <c r="C463" i="1"/>
  <c r="E463" i="1"/>
  <c r="G463" i="1"/>
  <c r="H463" i="1"/>
  <c r="A464" i="1"/>
  <c r="B464" i="1"/>
  <c r="C464" i="1"/>
  <c r="E464" i="1"/>
  <c r="G464" i="1"/>
  <c r="H464" i="1"/>
  <c r="A465" i="1"/>
  <c r="B465" i="1"/>
  <c r="C465" i="1"/>
  <c r="E465" i="1"/>
  <c r="G465" i="1"/>
  <c r="H465" i="1"/>
  <c r="A466" i="1"/>
  <c r="B466" i="1"/>
  <c r="C466" i="1"/>
  <c r="E466" i="1"/>
  <c r="G466" i="1"/>
  <c r="H466" i="1"/>
  <c r="A467" i="1"/>
  <c r="B467" i="1"/>
  <c r="C467" i="1"/>
  <c r="E467" i="1"/>
  <c r="G467" i="1"/>
  <c r="H467" i="1"/>
  <c r="A468" i="1"/>
  <c r="B468" i="1"/>
  <c r="C468" i="1"/>
  <c r="E468" i="1"/>
  <c r="G468" i="1"/>
  <c r="H468" i="1"/>
  <c r="A469" i="1"/>
  <c r="B469" i="1"/>
  <c r="C469" i="1"/>
  <c r="E469" i="1"/>
  <c r="G469" i="1"/>
  <c r="H469" i="1"/>
  <c r="A470" i="1"/>
  <c r="B470" i="1"/>
  <c r="C470" i="1"/>
  <c r="E470" i="1"/>
  <c r="G470" i="1"/>
  <c r="H470" i="1"/>
  <c r="A471" i="1"/>
  <c r="B471" i="1"/>
  <c r="C471" i="1"/>
  <c r="E471" i="1"/>
  <c r="G471" i="1"/>
  <c r="H471" i="1"/>
  <c r="A472" i="1"/>
  <c r="B472" i="1"/>
  <c r="C472" i="1"/>
  <c r="E472" i="1"/>
  <c r="G472" i="1"/>
  <c r="H472" i="1"/>
  <c r="A473" i="1"/>
  <c r="B473" i="1"/>
  <c r="C473" i="1"/>
  <c r="E473" i="1"/>
  <c r="G473" i="1"/>
  <c r="H473" i="1"/>
  <c r="A474" i="1"/>
  <c r="B474" i="1"/>
  <c r="C474" i="1"/>
  <c r="E474" i="1"/>
  <c r="G474" i="1"/>
  <c r="H474" i="1"/>
  <c r="A475" i="1"/>
  <c r="B475" i="1"/>
  <c r="C475" i="1"/>
  <c r="E475" i="1"/>
  <c r="G475" i="1"/>
  <c r="H475" i="1"/>
  <c r="A476" i="1"/>
  <c r="B476" i="1"/>
  <c r="C476" i="1"/>
  <c r="E476" i="1"/>
  <c r="G476" i="1"/>
  <c r="H476" i="1"/>
  <c r="A477" i="1"/>
  <c r="B477" i="1"/>
  <c r="C477" i="1"/>
  <c r="E477" i="1"/>
  <c r="G477" i="1"/>
  <c r="H477" i="1"/>
  <c r="A478" i="1"/>
  <c r="B478" i="1"/>
  <c r="C478" i="1"/>
  <c r="E478" i="1"/>
  <c r="G478" i="1"/>
  <c r="H478" i="1"/>
  <c r="A479" i="1"/>
  <c r="B479" i="1"/>
  <c r="C479" i="1"/>
  <c r="E479" i="1"/>
  <c r="G479" i="1"/>
  <c r="H479" i="1"/>
  <c r="A480" i="1"/>
  <c r="B480" i="1"/>
  <c r="C480" i="1"/>
  <c r="E480" i="1"/>
  <c r="G480" i="1"/>
  <c r="H480" i="1"/>
  <c r="A481" i="1"/>
  <c r="B481" i="1"/>
  <c r="C481" i="1"/>
  <c r="E481" i="1"/>
  <c r="G481" i="1"/>
  <c r="H481" i="1"/>
  <c r="A482" i="1"/>
  <c r="B482" i="1"/>
  <c r="C482" i="1"/>
  <c r="E482" i="1"/>
  <c r="G482" i="1"/>
  <c r="H482" i="1"/>
  <c r="A483" i="1"/>
  <c r="B483" i="1"/>
  <c r="C483" i="1"/>
  <c r="E483" i="1"/>
  <c r="G483" i="1"/>
  <c r="H483" i="1"/>
  <c r="A484" i="1"/>
  <c r="B484" i="1"/>
  <c r="C484" i="1"/>
  <c r="E484" i="1"/>
  <c r="G484" i="1"/>
  <c r="H484" i="1"/>
  <c r="A485" i="1"/>
  <c r="B485" i="1"/>
  <c r="C485" i="1"/>
  <c r="E485" i="1"/>
  <c r="G485" i="1"/>
  <c r="H485" i="1"/>
  <c r="A486" i="1"/>
  <c r="B486" i="1"/>
  <c r="C486" i="1"/>
  <c r="E486" i="1"/>
  <c r="G486" i="1"/>
  <c r="H486" i="1"/>
  <c r="A487" i="1"/>
  <c r="B487" i="1"/>
  <c r="C487" i="1"/>
  <c r="E487" i="1"/>
  <c r="G487" i="1"/>
  <c r="H487" i="1"/>
  <c r="A488" i="1"/>
  <c r="B488" i="1"/>
  <c r="C488" i="1"/>
  <c r="E488" i="1"/>
  <c r="G488" i="1"/>
  <c r="H488" i="1"/>
  <c r="A489" i="1"/>
  <c r="B489" i="1"/>
  <c r="C489" i="1"/>
  <c r="E489" i="1"/>
  <c r="G489" i="1"/>
  <c r="H489" i="1"/>
  <c r="A490" i="1"/>
  <c r="B490" i="1"/>
  <c r="C490" i="1"/>
  <c r="E490" i="1"/>
  <c r="G490" i="1"/>
  <c r="H490" i="1"/>
  <c r="A491" i="1"/>
  <c r="B491" i="1"/>
  <c r="C491" i="1"/>
  <c r="E491" i="1"/>
  <c r="G491" i="1"/>
  <c r="H491" i="1"/>
  <c r="A492" i="1"/>
  <c r="B492" i="1"/>
  <c r="C492" i="1"/>
  <c r="E492" i="1"/>
  <c r="G492" i="1"/>
  <c r="H492" i="1"/>
  <c r="A493" i="1"/>
  <c r="B493" i="1"/>
  <c r="C493" i="1"/>
  <c r="E493" i="1"/>
  <c r="G493" i="1"/>
  <c r="H493" i="1"/>
  <c r="A494" i="1"/>
  <c r="B494" i="1"/>
  <c r="C494" i="1"/>
  <c r="E494" i="1"/>
  <c r="G494" i="1"/>
  <c r="H494" i="1"/>
  <c r="A495" i="1"/>
  <c r="B495" i="1"/>
  <c r="C495" i="1"/>
  <c r="E495" i="1"/>
  <c r="G495" i="1"/>
  <c r="H495" i="1"/>
  <c r="A496" i="1"/>
  <c r="B496" i="1"/>
  <c r="C496" i="1"/>
  <c r="E496" i="1"/>
  <c r="G496" i="1"/>
  <c r="H496" i="1"/>
  <c r="A497" i="1"/>
  <c r="B497" i="1"/>
  <c r="C497" i="1"/>
  <c r="E497" i="1"/>
  <c r="G497" i="1"/>
  <c r="H497" i="1"/>
  <c r="A498" i="1"/>
  <c r="B498" i="1"/>
  <c r="C498" i="1"/>
  <c r="E498" i="1"/>
  <c r="G498" i="1"/>
  <c r="H498" i="1"/>
  <c r="A499" i="1"/>
  <c r="B499" i="1"/>
  <c r="C499" i="1"/>
  <c r="E499" i="1"/>
  <c r="G499" i="1"/>
  <c r="H499" i="1"/>
  <c r="A500" i="1"/>
  <c r="B500" i="1"/>
  <c r="C500" i="1"/>
  <c r="E500" i="1"/>
  <c r="G500" i="1"/>
  <c r="H500" i="1"/>
  <c r="A501" i="1"/>
  <c r="B501" i="1"/>
  <c r="C501" i="1"/>
  <c r="E501" i="1"/>
  <c r="G501" i="1"/>
  <c r="H501" i="1"/>
  <c r="A502" i="1"/>
  <c r="B502" i="1"/>
  <c r="C502" i="1"/>
  <c r="E502" i="1"/>
  <c r="G502" i="1"/>
  <c r="H502" i="1"/>
  <c r="A503" i="1"/>
  <c r="B503" i="1"/>
  <c r="C503" i="1"/>
  <c r="E503" i="1"/>
  <c r="G503" i="1"/>
  <c r="H503" i="1"/>
  <c r="A504" i="1"/>
  <c r="B504" i="1"/>
  <c r="C504" i="1"/>
  <c r="E504" i="1"/>
  <c r="G504" i="1"/>
  <c r="H504" i="1"/>
  <c r="A505" i="1"/>
  <c r="B505" i="1"/>
  <c r="C505" i="1"/>
  <c r="E505" i="1"/>
  <c r="G505" i="1"/>
  <c r="H505" i="1"/>
  <c r="A506" i="1"/>
  <c r="B506" i="1"/>
  <c r="C506" i="1"/>
  <c r="E506" i="1"/>
  <c r="G506" i="1"/>
  <c r="H506" i="1"/>
  <c r="A507" i="1"/>
  <c r="B507" i="1"/>
  <c r="C507" i="1"/>
  <c r="E507" i="1"/>
  <c r="G507" i="1"/>
  <c r="H507" i="1"/>
  <c r="A508" i="1"/>
  <c r="B508" i="1"/>
  <c r="C508" i="1"/>
  <c r="E508" i="1"/>
  <c r="G508" i="1"/>
  <c r="H508" i="1"/>
  <c r="A509" i="1"/>
  <c r="B509" i="1"/>
  <c r="C509" i="1"/>
  <c r="E509" i="1"/>
  <c r="G509" i="1"/>
  <c r="H509" i="1"/>
  <c r="A510" i="1"/>
  <c r="B510" i="1"/>
  <c r="C510" i="1"/>
  <c r="E510" i="1"/>
  <c r="G510" i="1"/>
  <c r="H510" i="1"/>
  <c r="A511" i="1"/>
  <c r="B511" i="1"/>
  <c r="C511" i="1"/>
  <c r="E511" i="1"/>
  <c r="G511" i="1"/>
  <c r="H511" i="1"/>
  <c r="A512" i="1"/>
  <c r="B512" i="1"/>
  <c r="C512" i="1"/>
  <c r="E512" i="1"/>
  <c r="G512" i="1"/>
  <c r="H512" i="1"/>
  <c r="A513" i="1"/>
  <c r="B513" i="1"/>
  <c r="C513" i="1"/>
  <c r="E513" i="1"/>
  <c r="G513" i="1"/>
  <c r="H513" i="1"/>
  <c r="A514" i="1"/>
  <c r="B514" i="1"/>
  <c r="C514" i="1"/>
  <c r="E514" i="1"/>
  <c r="G514" i="1"/>
  <c r="H514" i="1"/>
  <c r="A515" i="1"/>
  <c r="B515" i="1"/>
  <c r="C515" i="1"/>
  <c r="E515" i="1"/>
  <c r="G515" i="1"/>
  <c r="H515" i="1"/>
  <c r="A516" i="1"/>
  <c r="B516" i="1"/>
  <c r="C516" i="1"/>
  <c r="E516" i="1"/>
  <c r="G516" i="1"/>
  <c r="H516" i="1"/>
  <c r="A517" i="1"/>
  <c r="B517" i="1"/>
  <c r="C517" i="1"/>
  <c r="E517" i="1"/>
  <c r="G517" i="1"/>
  <c r="H517" i="1"/>
  <c r="A518" i="1"/>
  <c r="B518" i="1"/>
  <c r="C518" i="1"/>
  <c r="E518" i="1"/>
  <c r="G518" i="1"/>
  <c r="H518" i="1"/>
  <c r="A519" i="1"/>
  <c r="B519" i="1"/>
  <c r="C519" i="1"/>
  <c r="E519" i="1"/>
  <c r="G519" i="1"/>
  <c r="H519" i="1"/>
  <c r="A520" i="1"/>
  <c r="B520" i="1"/>
  <c r="C520" i="1"/>
  <c r="E520" i="1"/>
  <c r="G520" i="1"/>
  <c r="H520" i="1"/>
  <c r="A521" i="1"/>
  <c r="B521" i="1"/>
  <c r="C521" i="1"/>
  <c r="E521" i="1"/>
  <c r="G521" i="1"/>
  <c r="H521" i="1"/>
  <c r="A522" i="1"/>
  <c r="B522" i="1"/>
  <c r="C522" i="1"/>
  <c r="E522" i="1"/>
  <c r="G522" i="1"/>
  <c r="H522" i="1"/>
  <c r="A523" i="1"/>
  <c r="B523" i="1"/>
  <c r="C523" i="1"/>
  <c r="E523" i="1"/>
  <c r="G523" i="1"/>
  <c r="H523" i="1"/>
  <c r="A524" i="1"/>
  <c r="B524" i="1"/>
  <c r="C524" i="1"/>
  <c r="E524" i="1"/>
  <c r="G524" i="1"/>
  <c r="H524" i="1"/>
  <c r="A525" i="1"/>
  <c r="B525" i="1"/>
  <c r="C525" i="1"/>
  <c r="E525" i="1"/>
  <c r="G525" i="1"/>
  <c r="H525" i="1"/>
  <c r="A526" i="1"/>
  <c r="B526" i="1"/>
  <c r="C526" i="1"/>
  <c r="E526" i="1"/>
  <c r="G526" i="1"/>
  <c r="H526" i="1"/>
  <c r="A527" i="1"/>
  <c r="B527" i="1"/>
  <c r="C527" i="1"/>
  <c r="E527" i="1"/>
  <c r="G527" i="1"/>
  <c r="H527" i="1"/>
  <c r="A528" i="1"/>
  <c r="B528" i="1"/>
  <c r="C528" i="1"/>
  <c r="E528" i="1"/>
  <c r="G528" i="1"/>
  <c r="H528" i="1"/>
  <c r="A529" i="1"/>
  <c r="B529" i="1"/>
  <c r="C529" i="1"/>
  <c r="E529" i="1"/>
  <c r="G529" i="1"/>
  <c r="H529" i="1"/>
  <c r="A530" i="1"/>
  <c r="B530" i="1"/>
  <c r="C530" i="1"/>
  <c r="E530" i="1"/>
  <c r="G530" i="1"/>
  <c r="H530" i="1"/>
  <c r="A531" i="1"/>
  <c r="B531" i="1"/>
  <c r="C531" i="1"/>
  <c r="E531" i="1"/>
  <c r="G531" i="1"/>
  <c r="H531" i="1"/>
  <c r="A532" i="1"/>
  <c r="B532" i="1"/>
  <c r="C532" i="1"/>
  <c r="E532" i="1"/>
  <c r="G532" i="1"/>
  <c r="H532" i="1"/>
  <c r="A533" i="1"/>
  <c r="B533" i="1"/>
  <c r="C533" i="1"/>
  <c r="E533" i="1"/>
  <c r="G533" i="1"/>
  <c r="H533" i="1"/>
  <c r="A534" i="1"/>
  <c r="B534" i="1"/>
  <c r="C534" i="1"/>
  <c r="E534" i="1"/>
  <c r="G534" i="1"/>
  <c r="H534" i="1"/>
  <c r="A535" i="1"/>
  <c r="B535" i="1"/>
  <c r="C535" i="1"/>
  <c r="E535" i="1"/>
  <c r="G535" i="1"/>
  <c r="H535" i="1"/>
  <c r="A536" i="1"/>
  <c r="B536" i="1"/>
  <c r="C536" i="1"/>
  <c r="E536" i="1"/>
  <c r="G536" i="1"/>
  <c r="H536" i="1"/>
  <c r="A537" i="1"/>
  <c r="B537" i="1"/>
  <c r="C537" i="1"/>
  <c r="E537" i="1"/>
  <c r="G537" i="1"/>
  <c r="H537" i="1"/>
  <c r="A538" i="1"/>
  <c r="B538" i="1"/>
  <c r="C538" i="1"/>
  <c r="E538" i="1"/>
  <c r="G538" i="1"/>
  <c r="H538" i="1"/>
  <c r="A539" i="1"/>
  <c r="B539" i="1"/>
  <c r="C539" i="1"/>
  <c r="E539" i="1"/>
  <c r="G539" i="1"/>
  <c r="H539" i="1"/>
  <c r="A540" i="1"/>
  <c r="B540" i="1"/>
  <c r="C540" i="1"/>
  <c r="E540" i="1"/>
  <c r="G540" i="1"/>
  <c r="H540" i="1"/>
  <c r="A541" i="1"/>
  <c r="B541" i="1"/>
  <c r="C541" i="1"/>
  <c r="E541" i="1"/>
  <c r="G541" i="1"/>
  <c r="H541" i="1"/>
  <c r="A542" i="1"/>
  <c r="B542" i="1"/>
  <c r="C542" i="1"/>
  <c r="E542" i="1"/>
  <c r="G542" i="1"/>
  <c r="H542" i="1"/>
  <c r="A543" i="1"/>
  <c r="B543" i="1"/>
  <c r="C543" i="1"/>
  <c r="E543" i="1"/>
  <c r="G543" i="1"/>
  <c r="H543" i="1"/>
  <c r="A544" i="1"/>
  <c r="B544" i="1"/>
  <c r="C544" i="1"/>
  <c r="E544" i="1"/>
  <c r="G544" i="1"/>
  <c r="H544" i="1"/>
  <c r="A545" i="1"/>
  <c r="B545" i="1"/>
  <c r="C545" i="1"/>
  <c r="E545" i="1"/>
  <c r="G545" i="1"/>
  <c r="H545" i="1"/>
  <c r="A546" i="1"/>
  <c r="B546" i="1"/>
  <c r="C546" i="1"/>
  <c r="E546" i="1"/>
  <c r="G546" i="1"/>
  <c r="H546" i="1"/>
  <c r="A547" i="1"/>
  <c r="B547" i="1"/>
  <c r="C547" i="1"/>
  <c r="E547" i="1"/>
  <c r="G547" i="1"/>
  <c r="H547" i="1"/>
  <c r="A548" i="1"/>
  <c r="B548" i="1"/>
  <c r="C548" i="1"/>
  <c r="E548" i="1"/>
  <c r="G548" i="1"/>
  <c r="H548" i="1"/>
  <c r="A549" i="1"/>
  <c r="B549" i="1"/>
  <c r="C549" i="1"/>
  <c r="E549" i="1"/>
  <c r="G549" i="1"/>
  <c r="H549" i="1"/>
  <c r="A550" i="1"/>
  <c r="B550" i="1"/>
  <c r="C550" i="1"/>
  <c r="E550" i="1"/>
  <c r="G550" i="1"/>
  <c r="H550" i="1"/>
  <c r="A551" i="1"/>
  <c r="B551" i="1"/>
  <c r="C551" i="1"/>
  <c r="E551" i="1"/>
  <c r="G551" i="1"/>
  <c r="H551" i="1"/>
  <c r="A552" i="1"/>
  <c r="B552" i="1"/>
  <c r="C552" i="1"/>
  <c r="E552" i="1"/>
  <c r="G552" i="1"/>
  <c r="H552" i="1"/>
  <c r="A553" i="1"/>
  <c r="B553" i="1"/>
  <c r="C553" i="1"/>
  <c r="E553" i="1"/>
  <c r="G553" i="1"/>
  <c r="H553" i="1"/>
  <c r="A554" i="1"/>
  <c r="B554" i="1"/>
  <c r="C554" i="1"/>
  <c r="E554" i="1"/>
  <c r="G554" i="1"/>
  <c r="H554" i="1"/>
  <c r="A555" i="1"/>
  <c r="B555" i="1"/>
  <c r="C555" i="1"/>
  <c r="E555" i="1"/>
  <c r="G555" i="1"/>
  <c r="H555" i="1"/>
  <c r="A556" i="1"/>
  <c r="B556" i="1"/>
  <c r="C556" i="1"/>
  <c r="E556" i="1"/>
  <c r="G556" i="1"/>
  <c r="H556" i="1"/>
  <c r="A557" i="1"/>
  <c r="B557" i="1"/>
  <c r="C557" i="1"/>
  <c r="E557" i="1"/>
  <c r="G557" i="1"/>
  <c r="H557" i="1"/>
  <c r="A558" i="1"/>
  <c r="B558" i="1"/>
  <c r="C558" i="1"/>
  <c r="E558" i="1"/>
  <c r="G558" i="1"/>
  <c r="H558" i="1"/>
  <c r="A559" i="1"/>
  <c r="B559" i="1"/>
  <c r="C559" i="1"/>
  <c r="E559" i="1"/>
  <c r="G559" i="1"/>
  <c r="H559" i="1"/>
  <c r="A560" i="1"/>
  <c r="B560" i="1"/>
  <c r="C560" i="1"/>
  <c r="E560" i="1"/>
  <c r="G560" i="1"/>
  <c r="H560" i="1"/>
  <c r="A561" i="1"/>
  <c r="B561" i="1"/>
  <c r="C561" i="1"/>
  <c r="E561" i="1"/>
  <c r="G561" i="1"/>
  <c r="H561" i="1"/>
  <c r="A562" i="1"/>
  <c r="B562" i="1"/>
  <c r="C562" i="1"/>
  <c r="E562" i="1"/>
  <c r="G562" i="1"/>
  <c r="H562" i="1"/>
  <c r="A563" i="1"/>
  <c r="B563" i="1"/>
  <c r="C563" i="1"/>
  <c r="E563" i="1"/>
  <c r="G563" i="1"/>
  <c r="H563" i="1"/>
  <c r="A564" i="1"/>
  <c r="B564" i="1"/>
  <c r="C564" i="1"/>
  <c r="E564" i="1"/>
  <c r="G564" i="1"/>
  <c r="H564" i="1"/>
  <c r="A565" i="1"/>
  <c r="B565" i="1"/>
  <c r="C565" i="1"/>
  <c r="E565" i="1"/>
  <c r="G565" i="1"/>
  <c r="H565" i="1"/>
  <c r="A566" i="1"/>
  <c r="B566" i="1"/>
  <c r="C566" i="1"/>
  <c r="E566" i="1"/>
  <c r="G566" i="1"/>
  <c r="H566" i="1"/>
  <c r="A567" i="1"/>
  <c r="B567" i="1"/>
  <c r="C567" i="1"/>
  <c r="E567" i="1"/>
  <c r="G567" i="1"/>
  <c r="H567" i="1"/>
  <c r="A568" i="1"/>
  <c r="B568" i="1"/>
  <c r="C568" i="1"/>
  <c r="E568" i="1"/>
  <c r="G568" i="1"/>
  <c r="H568" i="1"/>
  <c r="A569" i="1"/>
  <c r="B569" i="1"/>
  <c r="C569" i="1"/>
  <c r="E569" i="1"/>
  <c r="G569" i="1"/>
  <c r="H569" i="1"/>
  <c r="A570" i="1"/>
  <c r="B570" i="1"/>
  <c r="C570" i="1"/>
  <c r="E570" i="1"/>
  <c r="G570" i="1"/>
  <c r="H570" i="1"/>
  <c r="A571" i="1"/>
  <c r="B571" i="1"/>
  <c r="C571" i="1"/>
  <c r="E571" i="1"/>
  <c r="G571" i="1"/>
  <c r="H571" i="1"/>
  <c r="A572" i="1"/>
  <c r="B572" i="1"/>
  <c r="C572" i="1"/>
  <c r="E572" i="1"/>
  <c r="G572" i="1"/>
  <c r="H572" i="1"/>
  <c r="A573" i="1"/>
  <c r="B573" i="1"/>
  <c r="C573" i="1"/>
  <c r="E573" i="1"/>
  <c r="G573" i="1"/>
  <c r="H573" i="1"/>
  <c r="A574" i="1"/>
  <c r="B574" i="1"/>
  <c r="C574" i="1"/>
  <c r="E574" i="1"/>
  <c r="G574" i="1"/>
  <c r="H574" i="1"/>
  <c r="A575" i="1"/>
  <c r="B575" i="1"/>
  <c r="C575" i="1"/>
  <c r="E575" i="1"/>
  <c r="G575" i="1"/>
  <c r="H575" i="1"/>
  <c r="A576" i="1"/>
  <c r="B576" i="1"/>
  <c r="C576" i="1"/>
  <c r="E576" i="1"/>
  <c r="G576" i="1"/>
  <c r="H576" i="1"/>
  <c r="A577" i="1"/>
  <c r="B577" i="1"/>
  <c r="C577" i="1"/>
  <c r="E577" i="1"/>
  <c r="G577" i="1"/>
  <c r="H577" i="1"/>
  <c r="A578" i="1"/>
  <c r="B578" i="1"/>
  <c r="C578" i="1"/>
  <c r="E578" i="1"/>
  <c r="G578" i="1"/>
  <c r="H578" i="1"/>
  <c r="A579" i="1"/>
  <c r="B579" i="1"/>
  <c r="C579" i="1"/>
  <c r="E579" i="1"/>
  <c r="G579" i="1"/>
  <c r="H579" i="1"/>
  <c r="A580" i="1"/>
  <c r="B580" i="1"/>
  <c r="C580" i="1"/>
  <c r="E580" i="1"/>
  <c r="G580" i="1"/>
  <c r="H580" i="1"/>
  <c r="A581" i="1"/>
  <c r="B581" i="1"/>
  <c r="C581" i="1"/>
  <c r="E581" i="1"/>
  <c r="G581" i="1"/>
  <c r="H581" i="1"/>
  <c r="A582" i="1"/>
  <c r="B582" i="1"/>
  <c r="C582" i="1"/>
  <c r="E582" i="1"/>
  <c r="G582" i="1"/>
  <c r="H582" i="1"/>
  <c r="A583" i="1"/>
  <c r="B583" i="1"/>
  <c r="C583" i="1"/>
  <c r="E583" i="1"/>
  <c r="G583" i="1"/>
  <c r="H583" i="1"/>
  <c r="A584" i="1"/>
  <c r="B584" i="1"/>
  <c r="C584" i="1"/>
  <c r="E584" i="1"/>
  <c r="G584" i="1"/>
  <c r="H584" i="1"/>
  <c r="A585" i="1"/>
  <c r="B585" i="1"/>
  <c r="C585" i="1"/>
  <c r="E585" i="1"/>
  <c r="G585" i="1"/>
  <c r="H585" i="1"/>
  <c r="A586" i="1"/>
  <c r="B586" i="1"/>
  <c r="C586" i="1"/>
  <c r="E586" i="1"/>
  <c r="G586" i="1"/>
  <c r="H586" i="1"/>
  <c r="A587" i="1"/>
  <c r="B587" i="1"/>
  <c r="C587" i="1"/>
  <c r="E587" i="1"/>
  <c r="G587" i="1"/>
  <c r="H587" i="1"/>
  <c r="A588" i="1"/>
  <c r="B588" i="1"/>
  <c r="C588" i="1"/>
  <c r="E588" i="1"/>
  <c r="G588" i="1"/>
  <c r="H588" i="1"/>
  <c r="A589" i="1"/>
  <c r="B589" i="1"/>
  <c r="C589" i="1"/>
  <c r="E589" i="1"/>
  <c r="G589" i="1"/>
  <c r="H589" i="1"/>
  <c r="A590" i="1"/>
  <c r="B590" i="1"/>
  <c r="C590" i="1"/>
  <c r="E590" i="1"/>
  <c r="G590" i="1"/>
  <c r="H590" i="1"/>
  <c r="A591" i="1"/>
  <c r="B591" i="1"/>
  <c r="C591" i="1"/>
  <c r="E591" i="1"/>
  <c r="G591" i="1"/>
  <c r="H591" i="1"/>
  <c r="A592" i="1"/>
  <c r="B592" i="1"/>
  <c r="C592" i="1"/>
  <c r="E592" i="1"/>
  <c r="G592" i="1"/>
  <c r="H592" i="1"/>
  <c r="A593" i="1"/>
  <c r="B593" i="1"/>
  <c r="C593" i="1"/>
  <c r="E593" i="1"/>
  <c r="G593" i="1"/>
  <c r="H593" i="1"/>
  <c r="A594" i="1"/>
  <c r="B594" i="1"/>
  <c r="C594" i="1"/>
  <c r="E594" i="1"/>
  <c r="G594" i="1"/>
  <c r="H594" i="1"/>
  <c r="A595" i="1"/>
  <c r="B595" i="1"/>
  <c r="C595" i="1"/>
  <c r="E595" i="1"/>
  <c r="G595" i="1"/>
  <c r="H595" i="1"/>
  <c r="A596" i="1"/>
  <c r="B596" i="1"/>
  <c r="C596" i="1"/>
  <c r="E596" i="1"/>
  <c r="G596" i="1"/>
  <c r="H596" i="1"/>
  <c r="A597" i="1"/>
  <c r="B597" i="1"/>
  <c r="C597" i="1"/>
  <c r="E597" i="1"/>
  <c r="G597" i="1"/>
  <c r="H597" i="1"/>
  <c r="A598" i="1"/>
  <c r="B598" i="1"/>
  <c r="C598" i="1"/>
  <c r="E598" i="1"/>
  <c r="G598" i="1"/>
  <c r="H598" i="1"/>
  <c r="A599" i="1"/>
  <c r="B599" i="1"/>
  <c r="C599" i="1"/>
  <c r="E599" i="1"/>
  <c r="G599" i="1"/>
  <c r="H599" i="1"/>
  <c r="A600" i="1"/>
  <c r="B600" i="1"/>
  <c r="C600" i="1"/>
  <c r="E600" i="1"/>
  <c r="G600" i="1"/>
  <c r="H600" i="1"/>
  <c r="A601" i="1"/>
  <c r="B601" i="1"/>
  <c r="C601" i="1"/>
  <c r="E601" i="1"/>
  <c r="G601" i="1"/>
  <c r="H601" i="1"/>
  <c r="A602" i="1"/>
  <c r="B602" i="1"/>
  <c r="C602" i="1"/>
  <c r="E602" i="1"/>
  <c r="G602" i="1"/>
  <c r="H602" i="1"/>
  <c r="A603" i="1"/>
  <c r="B603" i="1"/>
  <c r="C603" i="1"/>
  <c r="E603" i="1"/>
  <c r="G603" i="1"/>
  <c r="H603" i="1"/>
  <c r="A604" i="1"/>
  <c r="B604" i="1"/>
  <c r="C604" i="1"/>
  <c r="E604" i="1"/>
  <c r="G604" i="1"/>
  <c r="H604" i="1"/>
  <c r="A605" i="1"/>
  <c r="B605" i="1"/>
  <c r="C605" i="1"/>
  <c r="E605" i="1"/>
  <c r="G605" i="1"/>
  <c r="H605" i="1"/>
  <c r="A606" i="1"/>
  <c r="B606" i="1"/>
  <c r="C606" i="1"/>
  <c r="E606" i="1"/>
  <c r="G606" i="1"/>
  <c r="H606" i="1"/>
  <c r="A607" i="1"/>
  <c r="B607" i="1"/>
  <c r="C607" i="1"/>
  <c r="E607" i="1"/>
  <c r="G607" i="1"/>
  <c r="H607" i="1"/>
  <c r="A608" i="1"/>
  <c r="B608" i="1"/>
  <c r="C608" i="1"/>
  <c r="E608" i="1"/>
  <c r="G608" i="1"/>
  <c r="H608" i="1"/>
  <c r="A609" i="1"/>
  <c r="B609" i="1"/>
  <c r="C609" i="1"/>
  <c r="E609" i="1"/>
  <c r="G609" i="1"/>
  <c r="H609" i="1"/>
  <c r="A610" i="1"/>
  <c r="B610" i="1"/>
  <c r="C610" i="1"/>
  <c r="E610" i="1"/>
  <c r="G610" i="1"/>
  <c r="H610" i="1"/>
  <c r="A611" i="1"/>
  <c r="B611" i="1"/>
  <c r="C611" i="1"/>
  <c r="E611" i="1"/>
  <c r="G611" i="1"/>
  <c r="H611" i="1"/>
  <c r="A612" i="1"/>
  <c r="B612" i="1"/>
  <c r="C612" i="1"/>
  <c r="E612" i="1"/>
  <c r="G612" i="1"/>
  <c r="H612" i="1"/>
  <c r="A613" i="1"/>
  <c r="B613" i="1"/>
  <c r="C613" i="1"/>
  <c r="E613" i="1"/>
  <c r="G613" i="1"/>
  <c r="H613" i="1"/>
  <c r="A614" i="1"/>
  <c r="B614" i="1"/>
  <c r="C614" i="1"/>
  <c r="E614" i="1"/>
  <c r="G614" i="1"/>
  <c r="H614" i="1"/>
  <c r="A615" i="1"/>
  <c r="B615" i="1"/>
  <c r="C615" i="1"/>
  <c r="E615" i="1"/>
  <c r="G615" i="1"/>
  <c r="H615" i="1"/>
  <c r="A616" i="1"/>
  <c r="B616" i="1"/>
  <c r="C616" i="1"/>
  <c r="E616" i="1"/>
  <c r="G616" i="1"/>
  <c r="H616" i="1"/>
  <c r="A617" i="1"/>
  <c r="B617" i="1"/>
  <c r="C617" i="1"/>
  <c r="E617" i="1"/>
  <c r="G617" i="1"/>
  <c r="H617" i="1"/>
  <c r="A618" i="1"/>
  <c r="B618" i="1"/>
  <c r="C618" i="1"/>
  <c r="E618" i="1"/>
  <c r="G618" i="1"/>
  <c r="H618" i="1"/>
  <c r="A619" i="1"/>
  <c r="B619" i="1"/>
  <c r="C619" i="1"/>
  <c r="E619" i="1"/>
  <c r="G619" i="1"/>
  <c r="H619" i="1"/>
  <c r="A620" i="1"/>
  <c r="B620" i="1"/>
  <c r="C620" i="1"/>
  <c r="E620" i="1"/>
  <c r="G620" i="1"/>
  <c r="H620" i="1"/>
  <c r="A621" i="1"/>
  <c r="B621" i="1"/>
  <c r="C621" i="1"/>
  <c r="E621" i="1"/>
  <c r="G621" i="1"/>
  <c r="H621" i="1"/>
  <c r="A622" i="1"/>
  <c r="B622" i="1"/>
  <c r="C622" i="1"/>
  <c r="E622" i="1"/>
  <c r="G622" i="1"/>
  <c r="H622" i="1"/>
  <c r="A623" i="1"/>
  <c r="B623" i="1"/>
  <c r="C623" i="1"/>
  <c r="E623" i="1"/>
  <c r="G623" i="1"/>
  <c r="H623" i="1"/>
  <c r="A624" i="1"/>
  <c r="B624" i="1"/>
  <c r="C624" i="1"/>
  <c r="E624" i="1"/>
  <c r="G624" i="1"/>
  <c r="H624" i="1"/>
  <c r="A625" i="1"/>
  <c r="B625" i="1"/>
  <c r="C625" i="1"/>
  <c r="E625" i="1"/>
  <c r="G625" i="1"/>
  <c r="H625" i="1"/>
  <c r="A626" i="1"/>
  <c r="B626" i="1"/>
  <c r="C626" i="1"/>
  <c r="E626" i="1"/>
  <c r="G626" i="1"/>
  <c r="H626" i="1"/>
  <c r="A627" i="1"/>
  <c r="B627" i="1"/>
  <c r="C627" i="1"/>
  <c r="E627" i="1"/>
  <c r="G627" i="1"/>
  <c r="H627" i="1"/>
  <c r="A628" i="1"/>
  <c r="B628" i="1"/>
  <c r="C628" i="1"/>
  <c r="E628" i="1"/>
  <c r="G628" i="1"/>
  <c r="H628" i="1"/>
  <c r="A629" i="1"/>
  <c r="B629" i="1"/>
  <c r="C629" i="1"/>
  <c r="E629" i="1"/>
  <c r="G629" i="1"/>
  <c r="H629" i="1"/>
  <c r="A630" i="1"/>
  <c r="B630" i="1"/>
  <c r="C630" i="1"/>
  <c r="E630" i="1"/>
  <c r="G630" i="1"/>
  <c r="H630" i="1"/>
  <c r="A631" i="1"/>
  <c r="B631" i="1"/>
  <c r="C631" i="1"/>
  <c r="E631" i="1"/>
  <c r="G631" i="1"/>
  <c r="H631" i="1"/>
  <c r="A632" i="1"/>
  <c r="B632" i="1"/>
  <c r="C632" i="1"/>
  <c r="E632" i="1"/>
  <c r="G632" i="1"/>
  <c r="H632" i="1"/>
  <c r="A633" i="1"/>
  <c r="B633" i="1"/>
  <c r="C633" i="1"/>
  <c r="E633" i="1"/>
  <c r="G633" i="1"/>
  <c r="H633" i="1"/>
  <c r="A634" i="1"/>
  <c r="B634" i="1"/>
  <c r="C634" i="1"/>
  <c r="E634" i="1"/>
  <c r="G634" i="1"/>
  <c r="H634" i="1"/>
  <c r="A635" i="1"/>
  <c r="B635" i="1"/>
  <c r="C635" i="1"/>
  <c r="E635" i="1"/>
  <c r="G635" i="1"/>
  <c r="H635" i="1"/>
  <c r="A636" i="1"/>
  <c r="B636" i="1"/>
  <c r="C636" i="1"/>
  <c r="E636" i="1"/>
  <c r="G636" i="1"/>
  <c r="H636" i="1"/>
  <c r="A637" i="1"/>
  <c r="B637" i="1"/>
  <c r="C637" i="1"/>
  <c r="E637" i="1"/>
  <c r="G637" i="1"/>
  <c r="H637" i="1"/>
  <c r="A638" i="1"/>
  <c r="B638" i="1"/>
  <c r="C638" i="1"/>
  <c r="E638" i="1"/>
  <c r="G638" i="1"/>
  <c r="H638" i="1"/>
  <c r="A639" i="1"/>
  <c r="B639" i="1"/>
  <c r="C639" i="1"/>
  <c r="E639" i="1"/>
  <c r="G639" i="1"/>
  <c r="H639" i="1"/>
  <c r="A640" i="1"/>
  <c r="B640" i="1"/>
  <c r="C640" i="1"/>
  <c r="E640" i="1"/>
  <c r="G640" i="1"/>
  <c r="H640" i="1"/>
  <c r="A641" i="1"/>
  <c r="B641" i="1"/>
  <c r="C641" i="1"/>
  <c r="E641" i="1"/>
  <c r="G641" i="1"/>
  <c r="H641" i="1"/>
  <c r="A642" i="1"/>
  <c r="B642" i="1"/>
  <c r="C642" i="1"/>
  <c r="E642" i="1"/>
  <c r="G642" i="1"/>
  <c r="H642" i="1"/>
  <c r="A643" i="1"/>
  <c r="B643" i="1"/>
  <c r="C643" i="1"/>
  <c r="E643" i="1"/>
  <c r="G643" i="1"/>
  <c r="H643" i="1"/>
  <c r="A644" i="1"/>
  <c r="B644" i="1"/>
  <c r="C644" i="1"/>
  <c r="E644" i="1"/>
  <c r="G644" i="1"/>
  <c r="H644" i="1"/>
  <c r="A645" i="1"/>
  <c r="B645" i="1"/>
  <c r="C645" i="1"/>
  <c r="E645" i="1"/>
  <c r="G645" i="1"/>
  <c r="H645" i="1"/>
  <c r="A646" i="1"/>
  <c r="B646" i="1"/>
  <c r="C646" i="1"/>
  <c r="E646" i="1"/>
  <c r="G646" i="1"/>
  <c r="H646" i="1"/>
  <c r="A647" i="1"/>
  <c r="B647" i="1"/>
  <c r="C647" i="1"/>
  <c r="E647" i="1"/>
  <c r="G647" i="1"/>
  <c r="H647" i="1"/>
  <c r="A648" i="1"/>
  <c r="B648" i="1"/>
  <c r="C648" i="1"/>
  <c r="E648" i="1"/>
  <c r="G648" i="1"/>
  <c r="H648" i="1"/>
  <c r="A649" i="1"/>
  <c r="B649" i="1"/>
  <c r="C649" i="1"/>
  <c r="E649" i="1"/>
  <c r="G649" i="1"/>
  <c r="H649" i="1"/>
  <c r="A650" i="1"/>
  <c r="B650" i="1"/>
  <c r="C650" i="1"/>
  <c r="E650" i="1"/>
  <c r="G650" i="1"/>
  <c r="H650" i="1"/>
  <c r="A651" i="1"/>
  <c r="B651" i="1"/>
  <c r="C651" i="1"/>
  <c r="E651" i="1"/>
  <c r="G651" i="1"/>
  <c r="H651" i="1"/>
  <c r="A652" i="1"/>
  <c r="B652" i="1"/>
  <c r="C652" i="1"/>
  <c r="E652" i="1"/>
  <c r="G652" i="1"/>
  <c r="H652" i="1"/>
  <c r="A653" i="1"/>
  <c r="B653" i="1"/>
  <c r="C653" i="1"/>
  <c r="E653" i="1"/>
  <c r="G653" i="1"/>
  <c r="H653" i="1"/>
  <c r="A654" i="1"/>
  <c r="B654" i="1"/>
  <c r="C654" i="1"/>
  <c r="E654" i="1"/>
  <c r="G654" i="1"/>
  <c r="H654" i="1"/>
  <c r="A655" i="1"/>
  <c r="B655" i="1"/>
  <c r="C655" i="1"/>
  <c r="E655" i="1"/>
  <c r="G655" i="1"/>
  <c r="H655" i="1"/>
  <c r="A656" i="1"/>
  <c r="B656" i="1"/>
  <c r="C656" i="1"/>
  <c r="E656" i="1"/>
  <c r="G656" i="1"/>
  <c r="H656" i="1"/>
  <c r="A657" i="1"/>
  <c r="B657" i="1"/>
  <c r="C657" i="1"/>
  <c r="E657" i="1"/>
  <c r="G657" i="1"/>
  <c r="H657" i="1"/>
  <c r="A658" i="1"/>
  <c r="B658" i="1"/>
  <c r="C658" i="1"/>
  <c r="E658" i="1"/>
  <c r="G658" i="1"/>
  <c r="H658" i="1"/>
  <c r="A659" i="1"/>
  <c r="B659" i="1"/>
  <c r="C659" i="1"/>
  <c r="E659" i="1"/>
  <c r="G659" i="1"/>
  <c r="H659" i="1"/>
  <c r="A660" i="1"/>
  <c r="B660" i="1"/>
  <c r="C660" i="1"/>
  <c r="E660" i="1"/>
  <c r="G660" i="1"/>
  <c r="H660" i="1"/>
  <c r="A661" i="1"/>
  <c r="B661" i="1"/>
  <c r="C661" i="1"/>
  <c r="E661" i="1"/>
  <c r="G661" i="1"/>
  <c r="H661" i="1"/>
  <c r="A662" i="1"/>
  <c r="B662" i="1"/>
  <c r="C662" i="1"/>
  <c r="E662" i="1"/>
  <c r="G662" i="1"/>
  <c r="H662" i="1"/>
  <c r="A663" i="1"/>
  <c r="B663" i="1"/>
  <c r="C663" i="1"/>
  <c r="E663" i="1"/>
  <c r="G663" i="1"/>
  <c r="H663" i="1"/>
  <c r="A664" i="1"/>
  <c r="B664" i="1"/>
  <c r="C664" i="1"/>
  <c r="E664" i="1"/>
  <c r="G664" i="1"/>
  <c r="H664" i="1"/>
  <c r="A665" i="1"/>
  <c r="B665" i="1"/>
  <c r="C665" i="1"/>
  <c r="E665" i="1"/>
  <c r="G665" i="1"/>
  <c r="H665" i="1"/>
  <c r="A666" i="1"/>
  <c r="B666" i="1"/>
  <c r="C666" i="1"/>
  <c r="E666" i="1"/>
  <c r="G666" i="1"/>
  <c r="H666" i="1"/>
  <c r="A667" i="1"/>
  <c r="B667" i="1"/>
  <c r="C667" i="1"/>
  <c r="E667" i="1"/>
  <c r="G667" i="1"/>
  <c r="H667" i="1"/>
  <c r="A668" i="1"/>
  <c r="B668" i="1"/>
  <c r="C668" i="1"/>
  <c r="E668" i="1"/>
  <c r="G668" i="1"/>
  <c r="H668" i="1"/>
  <c r="A669" i="1"/>
  <c r="B669" i="1"/>
  <c r="C669" i="1"/>
  <c r="E669" i="1"/>
  <c r="G669" i="1"/>
  <c r="H669" i="1"/>
  <c r="A670" i="1"/>
  <c r="B670" i="1"/>
  <c r="C670" i="1"/>
  <c r="E670" i="1"/>
  <c r="G670" i="1"/>
  <c r="H670" i="1"/>
  <c r="A671" i="1"/>
  <c r="B671" i="1"/>
  <c r="C671" i="1"/>
  <c r="E671" i="1"/>
  <c r="G671" i="1"/>
  <c r="H671" i="1"/>
  <c r="A672" i="1"/>
  <c r="B672" i="1"/>
  <c r="C672" i="1"/>
  <c r="E672" i="1"/>
  <c r="G672" i="1"/>
  <c r="H672" i="1"/>
  <c r="A673" i="1"/>
  <c r="B673" i="1"/>
  <c r="C673" i="1"/>
  <c r="E673" i="1"/>
  <c r="G673" i="1"/>
  <c r="H673" i="1"/>
  <c r="A674" i="1"/>
  <c r="B674" i="1"/>
  <c r="C674" i="1"/>
  <c r="E674" i="1"/>
  <c r="G674" i="1"/>
  <c r="H674" i="1"/>
  <c r="A675" i="1"/>
  <c r="B675" i="1"/>
  <c r="C675" i="1"/>
  <c r="E675" i="1"/>
  <c r="G675" i="1"/>
  <c r="H675" i="1"/>
  <c r="A676" i="1"/>
  <c r="B676" i="1"/>
  <c r="C676" i="1"/>
  <c r="E676" i="1"/>
  <c r="G676" i="1"/>
  <c r="H676" i="1"/>
  <c r="A677" i="1"/>
  <c r="B677" i="1"/>
  <c r="C677" i="1"/>
  <c r="E677" i="1"/>
  <c r="G677" i="1"/>
  <c r="H677" i="1"/>
  <c r="A678" i="1"/>
  <c r="B678" i="1"/>
  <c r="C678" i="1"/>
  <c r="E678" i="1"/>
  <c r="G678" i="1"/>
  <c r="H678" i="1"/>
  <c r="A679" i="1"/>
  <c r="B679" i="1"/>
  <c r="C679" i="1"/>
  <c r="E679" i="1"/>
  <c r="G679" i="1"/>
  <c r="H679" i="1"/>
  <c r="A680" i="1"/>
  <c r="B680" i="1"/>
  <c r="C680" i="1"/>
  <c r="E680" i="1"/>
  <c r="G680" i="1"/>
  <c r="H680" i="1"/>
  <c r="A681" i="1"/>
  <c r="B681" i="1"/>
  <c r="C681" i="1"/>
  <c r="E681" i="1"/>
  <c r="G681" i="1"/>
  <c r="H681" i="1"/>
  <c r="A682" i="1"/>
  <c r="B682" i="1"/>
  <c r="C682" i="1"/>
  <c r="E682" i="1"/>
  <c r="G682" i="1"/>
  <c r="H682" i="1"/>
  <c r="A683" i="1"/>
  <c r="B683" i="1"/>
  <c r="C683" i="1"/>
  <c r="E683" i="1"/>
  <c r="G683" i="1"/>
  <c r="H683" i="1"/>
  <c r="A684" i="1"/>
  <c r="B684" i="1"/>
  <c r="C684" i="1"/>
  <c r="E684" i="1"/>
  <c r="G684" i="1"/>
  <c r="H684" i="1"/>
  <c r="A685" i="1"/>
  <c r="B685" i="1"/>
  <c r="C685" i="1"/>
  <c r="E685" i="1"/>
  <c r="G685" i="1"/>
  <c r="H685" i="1"/>
  <c r="A686" i="1"/>
  <c r="B686" i="1"/>
  <c r="C686" i="1"/>
  <c r="E686" i="1"/>
  <c r="G686" i="1"/>
  <c r="H686" i="1"/>
  <c r="A687" i="1"/>
  <c r="B687" i="1"/>
  <c r="C687" i="1"/>
  <c r="E687" i="1"/>
  <c r="G687" i="1"/>
  <c r="H687" i="1"/>
  <c r="A688" i="1"/>
  <c r="B688" i="1"/>
  <c r="C688" i="1"/>
  <c r="E688" i="1"/>
  <c r="G688" i="1"/>
  <c r="H688" i="1"/>
  <c r="A689" i="1"/>
  <c r="B689" i="1"/>
  <c r="C689" i="1"/>
  <c r="E689" i="1"/>
  <c r="G689" i="1"/>
  <c r="H689" i="1"/>
  <c r="A690" i="1"/>
  <c r="B690" i="1"/>
  <c r="C690" i="1"/>
  <c r="E690" i="1"/>
  <c r="G690" i="1"/>
  <c r="H690" i="1"/>
  <c r="A691" i="1"/>
  <c r="B691" i="1"/>
  <c r="C691" i="1"/>
  <c r="E691" i="1"/>
  <c r="G691" i="1"/>
  <c r="H691" i="1"/>
  <c r="A692" i="1"/>
  <c r="B692" i="1"/>
  <c r="C692" i="1"/>
  <c r="E692" i="1"/>
  <c r="G692" i="1"/>
  <c r="H692" i="1"/>
  <c r="A693" i="1"/>
  <c r="B693" i="1"/>
  <c r="C693" i="1"/>
  <c r="E693" i="1"/>
  <c r="G693" i="1"/>
  <c r="H693" i="1"/>
  <c r="A694" i="1"/>
  <c r="B694" i="1"/>
  <c r="C694" i="1"/>
  <c r="E694" i="1"/>
  <c r="G694" i="1"/>
  <c r="H694" i="1"/>
  <c r="A695" i="1"/>
  <c r="B695" i="1"/>
  <c r="C695" i="1"/>
  <c r="E695" i="1"/>
  <c r="G695" i="1"/>
  <c r="H695" i="1"/>
  <c r="A696" i="1"/>
  <c r="B696" i="1"/>
  <c r="C696" i="1"/>
  <c r="E696" i="1"/>
  <c r="G696" i="1"/>
  <c r="H696" i="1"/>
  <c r="A697" i="1"/>
  <c r="B697" i="1"/>
  <c r="C697" i="1"/>
  <c r="E697" i="1"/>
  <c r="G697" i="1"/>
  <c r="H697" i="1"/>
  <c r="A698" i="1"/>
  <c r="B698" i="1"/>
  <c r="C698" i="1"/>
  <c r="E698" i="1"/>
  <c r="G698" i="1"/>
  <c r="H698" i="1"/>
  <c r="A699" i="1"/>
  <c r="B699" i="1"/>
  <c r="C699" i="1"/>
  <c r="E699" i="1"/>
  <c r="G699" i="1"/>
  <c r="H699" i="1"/>
  <c r="A700" i="1"/>
  <c r="B700" i="1"/>
  <c r="C700" i="1"/>
  <c r="E700" i="1"/>
  <c r="G700" i="1"/>
  <c r="H700" i="1"/>
  <c r="A701" i="1"/>
  <c r="B701" i="1"/>
  <c r="C701" i="1"/>
  <c r="E701" i="1"/>
  <c r="G701" i="1"/>
  <c r="H701" i="1"/>
  <c r="A702" i="1"/>
  <c r="B702" i="1"/>
  <c r="C702" i="1"/>
  <c r="E702" i="1"/>
  <c r="G702" i="1"/>
  <c r="H702" i="1"/>
  <c r="A703" i="1"/>
  <c r="B703" i="1"/>
  <c r="C703" i="1"/>
  <c r="E703" i="1"/>
  <c r="G703" i="1"/>
  <c r="H703" i="1"/>
  <c r="A704" i="1"/>
  <c r="B704" i="1"/>
  <c r="C704" i="1"/>
  <c r="E704" i="1"/>
  <c r="G704" i="1"/>
  <c r="H704" i="1"/>
  <c r="A705" i="1"/>
  <c r="B705" i="1"/>
  <c r="C705" i="1"/>
  <c r="E705" i="1"/>
  <c r="G705" i="1"/>
  <c r="H705" i="1"/>
  <c r="A706" i="1"/>
  <c r="B706" i="1"/>
  <c r="C706" i="1"/>
  <c r="E706" i="1"/>
  <c r="G706" i="1"/>
  <c r="H706" i="1"/>
  <c r="A707" i="1"/>
  <c r="B707" i="1"/>
  <c r="C707" i="1"/>
  <c r="E707" i="1"/>
  <c r="G707" i="1"/>
  <c r="H707" i="1"/>
  <c r="A708" i="1"/>
  <c r="B708" i="1"/>
  <c r="C708" i="1"/>
  <c r="E708" i="1"/>
  <c r="G708" i="1"/>
  <c r="H708" i="1"/>
  <c r="A709" i="1"/>
  <c r="B709" i="1"/>
  <c r="C709" i="1"/>
  <c r="E709" i="1"/>
  <c r="G709" i="1"/>
  <c r="H709" i="1"/>
  <c r="A710" i="1"/>
  <c r="B710" i="1"/>
  <c r="C710" i="1"/>
  <c r="E710" i="1"/>
  <c r="G710" i="1"/>
  <c r="H710" i="1"/>
  <c r="A711" i="1"/>
  <c r="B711" i="1"/>
  <c r="C711" i="1"/>
  <c r="E711" i="1"/>
  <c r="G711" i="1"/>
  <c r="H711" i="1"/>
  <c r="A712" i="1"/>
  <c r="B712" i="1"/>
  <c r="C712" i="1"/>
  <c r="E712" i="1"/>
  <c r="G712" i="1"/>
  <c r="H712" i="1"/>
  <c r="A713" i="1"/>
  <c r="B713" i="1"/>
  <c r="C713" i="1"/>
  <c r="E713" i="1"/>
  <c r="G713" i="1"/>
  <c r="H713" i="1"/>
  <c r="A714" i="1"/>
  <c r="B714" i="1"/>
  <c r="C714" i="1"/>
  <c r="E714" i="1"/>
  <c r="G714" i="1"/>
  <c r="H714" i="1"/>
  <c r="A715" i="1"/>
  <c r="B715" i="1"/>
  <c r="C715" i="1"/>
  <c r="E715" i="1"/>
  <c r="G715" i="1"/>
  <c r="H715" i="1"/>
  <c r="A716" i="1"/>
  <c r="B716" i="1"/>
  <c r="C716" i="1"/>
  <c r="E716" i="1"/>
  <c r="G716" i="1"/>
  <c r="H716" i="1"/>
  <c r="A717" i="1"/>
  <c r="B717" i="1"/>
  <c r="C717" i="1"/>
  <c r="E717" i="1"/>
  <c r="G717" i="1"/>
  <c r="H717" i="1"/>
  <c r="A718" i="1"/>
  <c r="B718" i="1"/>
  <c r="C718" i="1"/>
  <c r="E718" i="1"/>
  <c r="G718" i="1"/>
  <c r="H718" i="1"/>
  <c r="A719" i="1"/>
  <c r="B719" i="1"/>
  <c r="C719" i="1"/>
  <c r="E719" i="1"/>
  <c r="G719" i="1"/>
  <c r="H719" i="1"/>
  <c r="A720" i="1"/>
  <c r="B720" i="1"/>
  <c r="C720" i="1"/>
  <c r="E720" i="1"/>
  <c r="G720" i="1"/>
  <c r="H720" i="1"/>
  <c r="A721" i="1"/>
  <c r="B721" i="1"/>
  <c r="C721" i="1"/>
  <c r="E721" i="1"/>
  <c r="G721" i="1"/>
  <c r="H721" i="1"/>
  <c r="A722" i="1"/>
  <c r="B722" i="1"/>
  <c r="C722" i="1"/>
  <c r="E722" i="1"/>
  <c r="G722" i="1"/>
  <c r="H722" i="1"/>
  <c r="A723" i="1"/>
  <c r="B723" i="1"/>
  <c r="C723" i="1"/>
  <c r="E723" i="1"/>
  <c r="G723" i="1"/>
  <c r="H723" i="1"/>
  <c r="A724" i="1"/>
  <c r="B724" i="1"/>
  <c r="C724" i="1"/>
  <c r="E724" i="1"/>
  <c r="G724" i="1"/>
  <c r="H724" i="1"/>
  <c r="A725" i="1"/>
  <c r="B725" i="1"/>
  <c r="C725" i="1"/>
  <c r="E725" i="1"/>
  <c r="G725" i="1"/>
  <c r="H725" i="1"/>
  <c r="A726" i="1"/>
  <c r="B726" i="1"/>
  <c r="C726" i="1"/>
  <c r="E726" i="1"/>
  <c r="G726" i="1"/>
  <c r="H726" i="1"/>
  <c r="A727" i="1"/>
  <c r="B727" i="1"/>
  <c r="C727" i="1"/>
  <c r="E727" i="1"/>
  <c r="G727" i="1"/>
  <c r="H727" i="1"/>
  <c r="A728" i="1"/>
  <c r="B728" i="1"/>
  <c r="C728" i="1"/>
  <c r="E728" i="1"/>
  <c r="G728" i="1"/>
  <c r="H728" i="1"/>
  <c r="A729" i="1"/>
  <c r="B729" i="1"/>
  <c r="C729" i="1"/>
  <c r="E729" i="1"/>
  <c r="G729" i="1"/>
  <c r="H729" i="1"/>
  <c r="A730" i="1"/>
  <c r="B730" i="1"/>
  <c r="C730" i="1"/>
  <c r="E730" i="1"/>
  <c r="G730" i="1"/>
  <c r="H730" i="1"/>
  <c r="A731" i="1"/>
  <c r="B731" i="1"/>
  <c r="C731" i="1"/>
  <c r="E731" i="1"/>
  <c r="G731" i="1"/>
  <c r="H731" i="1"/>
  <c r="A732" i="1"/>
  <c r="B732" i="1"/>
  <c r="C732" i="1"/>
  <c r="E732" i="1"/>
  <c r="G732" i="1"/>
  <c r="H732" i="1"/>
  <c r="A733" i="1"/>
  <c r="B733" i="1"/>
  <c r="C733" i="1"/>
  <c r="E733" i="1"/>
  <c r="G733" i="1"/>
  <c r="H733" i="1"/>
  <c r="A734" i="1"/>
  <c r="B734" i="1"/>
  <c r="C734" i="1"/>
  <c r="E734" i="1"/>
  <c r="G734" i="1"/>
  <c r="H734" i="1"/>
  <c r="A735" i="1"/>
  <c r="B735" i="1"/>
  <c r="C735" i="1"/>
  <c r="E735" i="1"/>
  <c r="G735" i="1"/>
  <c r="H735" i="1"/>
  <c r="A736" i="1"/>
  <c r="B736" i="1"/>
  <c r="C736" i="1"/>
  <c r="E736" i="1"/>
  <c r="G736" i="1"/>
  <c r="H736" i="1"/>
  <c r="A737" i="1"/>
  <c r="B737" i="1"/>
  <c r="C737" i="1"/>
  <c r="E737" i="1"/>
  <c r="G737" i="1"/>
  <c r="H737" i="1"/>
  <c r="A738" i="1"/>
  <c r="B738" i="1"/>
  <c r="C738" i="1"/>
  <c r="E738" i="1"/>
  <c r="G738" i="1"/>
  <c r="H738" i="1"/>
  <c r="A739" i="1"/>
  <c r="B739" i="1"/>
  <c r="C739" i="1"/>
  <c r="E739" i="1"/>
  <c r="G739" i="1"/>
  <c r="H739" i="1"/>
  <c r="A740" i="1"/>
  <c r="B740" i="1"/>
  <c r="C740" i="1"/>
  <c r="E740" i="1"/>
  <c r="G740" i="1"/>
  <c r="H740" i="1"/>
  <c r="A741" i="1"/>
  <c r="B741" i="1"/>
  <c r="C741" i="1"/>
  <c r="E741" i="1"/>
  <c r="G741" i="1"/>
  <c r="H741" i="1"/>
  <c r="A742" i="1"/>
  <c r="B742" i="1"/>
  <c r="C742" i="1"/>
  <c r="E742" i="1"/>
  <c r="G742" i="1"/>
  <c r="H742" i="1"/>
  <c r="A743" i="1"/>
  <c r="B743" i="1"/>
  <c r="C743" i="1"/>
  <c r="E743" i="1"/>
  <c r="G743" i="1"/>
  <c r="H743" i="1"/>
  <c r="A744" i="1"/>
  <c r="B744" i="1"/>
  <c r="C744" i="1"/>
  <c r="E744" i="1"/>
  <c r="G744" i="1"/>
  <c r="H744" i="1"/>
  <c r="A745" i="1"/>
  <c r="B745" i="1"/>
  <c r="C745" i="1"/>
  <c r="E745" i="1"/>
  <c r="G745" i="1"/>
  <c r="H745" i="1"/>
  <c r="A746" i="1"/>
  <c r="B746" i="1"/>
  <c r="C746" i="1"/>
  <c r="E746" i="1"/>
  <c r="G746" i="1"/>
  <c r="H746" i="1"/>
  <c r="A747" i="1"/>
  <c r="B747" i="1"/>
  <c r="C747" i="1"/>
  <c r="E747" i="1"/>
  <c r="G747" i="1"/>
  <c r="H747" i="1"/>
  <c r="A748" i="1"/>
  <c r="B748" i="1"/>
  <c r="C748" i="1"/>
  <c r="E748" i="1"/>
  <c r="G748" i="1"/>
  <c r="H748" i="1"/>
  <c r="A749" i="1"/>
  <c r="B749" i="1"/>
  <c r="C749" i="1"/>
  <c r="E749" i="1"/>
  <c r="G749" i="1"/>
  <c r="H749" i="1"/>
  <c r="A750" i="1"/>
  <c r="B750" i="1"/>
  <c r="C750" i="1"/>
  <c r="E750" i="1"/>
  <c r="G750" i="1"/>
  <c r="H750" i="1"/>
  <c r="A751" i="1"/>
  <c r="B751" i="1"/>
  <c r="C751" i="1"/>
  <c r="E751" i="1"/>
  <c r="G751" i="1"/>
  <c r="H751" i="1"/>
  <c r="A752" i="1"/>
  <c r="B752" i="1"/>
  <c r="C752" i="1"/>
  <c r="E752" i="1"/>
  <c r="G752" i="1"/>
  <c r="H752" i="1"/>
  <c r="A753" i="1"/>
  <c r="B753" i="1"/>
  <c r="C753" i="1"/>
  <c r="E753" i="1"/>
  <c r="G753" i="1"/>
  <c r="H753" i="1"/>
  <c r="A754" i="1"/>
  <c r="B754" i="1"/>
  <c r="C754" i="1"/>
  <c r="E754" i="1"/>
  <c r="G754" i="1"/>
  <c r="H754" i="1"/>
  <c r="A755" i="1"/>
  <c r="B755" i="1"/>
  <c r="C755" i="1"/>
  <c r="E755" i="1"/>
  <c r="G755" i="1"/>
  <c r="H755" i="1"/>
  <c r="A756" i="1"/>
  <c r="B756" i="1"/>
  <c r="C756" i="1"/>
  <c r="E756" i="1"/>
  <c r="G756" i="1"/>
  <c r="H756" i="1"/>
  <c r="A757" i="1"/>
  <c r="B757" i="1"/>
  <c r="C757" i="1"/>
  <c r="E757" i="1"/>
  <c r="G757" i="1"/>
  <c r="H757" i="1"/>
  <c r="A758" i="1"/>
  <c r="B758" i="1"/>
  <c r="C758" i="1"/>
  <c r="E758" i="1"/>
  <c r="G758" i="1"/>
  <c r="H758" i="1"/>
  <c r="A759" i="1"/>
  <c r="B759" i="1"/>
  <c r="C759" i="1"/>
  <c r="E759" i="1"/>
  <c r="G759" i="1"/>
  <c r="H759" i="1"/>
  <c r="A760" i="1"/>
  <c r="B760" i="1"/>
  <c r="C760" i="1"/>
  <c r="E760" i="1"/>
  <c r="G760" i="1"/>
  <c r="H760" i="1"/>
  <c r="A761" i="1"/>
  <c r="B761" i="1"/>
  <c r="C761" i="1"/>
  <c r="E761" i="1"/>
  <c r="G761" i="1"/>
  <c r="H761" i="1"/>
  <c r="A762" i="1"/>
  <c r="B762" i="1"/>
  <c r="C762" i="1"/>
  <c r="E762" i="1"/>
  <c r="G762" i="1"/>
  <c r="H762" i="1"/>
  <c r="A763" i="1"/>
  <c r="B763" i="1"/>
  <c r="C763" i="1"/>
  <c r="E763" i="1"/>
  <c r="G763" i="1"/>
  <c r="H763" i="1"/>
  <c r="A764" i="1"/>
  <c r="B764" i="1"/>
  <c r="C764" i="1"/>
  <c r="E764" i="1"/>
  <c r="G764" i="1"/>
  <c r="H764" i="1"/>
  <c r="A765" i="1"/>
  <c r="B765" i="1"/>
  <c r="C765" i="1"/>
  <c r="E765" i="1"/>
  <c r="G765" i="1"/>
  <c r="H765" i="1"/>
  <c r="A766" i="1"/>
  <c r="B766" i="1"/>
  <c r="C766" i="1"/>
  <c r="E766" i="1"/>
  <c r="G766" i="1"/>
  <c r="H766" i="1"/>
  <c r="A767" i="1"/>
  <c r="B767" i="1"/>
  <c r="C767" i="1"/>
  <c r="E767" i="1"/>
  <c r="G767" i="1"/>
  <c r="H767" i="1"/>
  <c r="A768" i="1"/>
  <c r="B768" i="1"/>
  <c r="C768" i="1"/>
  <c r="E768" i="1"/>
  <c r="G768" i="1"/>
  <c r="H768" i="1"/>
  <c r="A769" i="1"/>
  <c r="B769" i="1"/>
  <c r="C769" i="1"/>
  <c r="E769" i="1"/>
  <c r="G769" i="1"/>
  <c r="H769" i="1"/>
  <c r="A770" i="1"/>
  <c r="B770" i="1"/>
  <c r="C770" i="1"/>
  <c r="E770" i="1"/>
  <c r="G770" i="1"/>
  <c r="H770" i="1"/>
  <c r="A771" i="1"/>
  <c r="B771" i="1"/>
  <c r="C771" i="1"/>
  <c r="E771" i="1"/>
  <c r="G771" i="1"/>
  <c r="H771" i="1"/>
  <c r="A772" i="1"/>
  <c r="B772" i="1"/>
  <c r="C772" i="1"/>
  <c r="E772" i="1"/>
  <c r="G772" i="1"/>
  <c r="H772" i="1"/>
  <c r="A773" i="1"/>
  <c r="B773" i="1"/>
  <c r="C773" i="1"/>
  <c r="E773" i="1"/>
  <c r="G773" i="1"/>
  <c r="H773" i="1"/>
  <c r="A774" i="1"/>
  <c r="B774" i="1"/>
  <c r="C774" i="1"/>
  <c r="E774" i="1"/>
  <c r="G774" i="1"/>
  <c r="H774" i="1"/>
  <c r="A775" i="1"/>
  <c r="B775" i="1"/>
  <c r="C775" i="1"/>
  <c r="E775" i="1"/>
  <c r="G775" i="1"/>
  <c r="H775" i="1"/>
  <c r="A776" i="1"/>
  <c r="B776" i="1"/>
  <c r="C776" i="1"/>
  <c r="E776" i="1"/>
  <c r="G776" i="1"/>
  <c r="H776" i="1"/>
  <c r="A777" i="1"/>
  <c r="B777" i="1"/>
  <c r="C777" i="1"/>
  <c r="E777" i="1"/>
  <c r="G777" i="1"/>
  <c r="H777" i="1"/>
  <c r="A778" i="1"/>
  <c r="B778" i="1"/>
  <c r="C778" i="1"/>
  <c r="E778" i="1"/>
  <c r="G778" i="1"/>
  <c r="H778" i="1"/>
  <c r="A779" i="1"/>
  <c r="B779" i="1"/>
  <c r="C779" i="1"/>
  <c r="E779" i="1"/>
  <c r="G779" i="1"/>
  <c r="H779" i="1"/>
  <c r="A780" i="1"/>
  <c r="B780" i="1"/>
  <c r="C780" i="1"/>
  <c r="E780" i="1"/>
  <c r="G780" i="1"/>
  <c r="H780" i="1"/>
  <c r="A781" i="1"/>
  <c r="B781" i="1"/>
  <c r="C781" i="1"/>
  <c r="E781" i="1"/>
  <c r="G781" i="1"/>
  <c r="H781" i="1"/>
  <c r="A782" i="1"/>
  <c r="B782" i="1"/>
  <c r="C782" i="1"/>
  <c r="E782" i="1"/>
  <c r="G782" i="1"/>
  <c r="H782" i="1"/>
  <c r="A783" i="1"/>
  <c r="B783" i="1"/>
  <c r="C783" i="1"/>
  <c r="E783" i="1"/>
  <c r="G783" i="1"/>
  <c r="H783" i="1"/>
  <c r="A784" i="1"/>
  <c r="B784" i="1"/>
  <c r="C784" i="1"/>
  <c r="E784" i="1"/>
  <c r="G784" i="1"/>
  <c r="H784" i="1"/>
  <c r="A785" i="1"/>
  <c r="B785" i="1"/>
  <c r="C785" i="1"/>
  <c r="E785" i="1"/>
  <c r="G785" i="1"/>
  <c r="H785" i="1"/>
  <c r="A786" i="1"/>
  <c r="B786" i="1"/>
  <c r="C786" i="1"/>
  <c r="E786" i="1"/>
  <c r="G786" i="1"/>
  <c r="H786" i="1"/>
  <c r="A787" i="1"/>
  <c r="B787" i="1"/>
  <c r="C787" i="1"/>
  <c r="E787" i="1"/>
  <c r="G787" i="1"/>
  <c r="H787" i="1"/>
  <c r="A788" i="1"/>
  <c r="B788" i="1"/>
  <c r="C788" i="1"/>
  <c r="E788" i="1"/>
  <c r="G788" i="1"/>
  <c r="H788" i="1"/>
  <c r="A789" i="1"/>
  <c r="B789" i="1"/>
  <c r="C789" i="1"/>
  <c r="E789" i="1"/>
  <c r="G789" i="1"/>
  <c r="H789" i="1"/>
  <c r="A790" i="1"/>
  <c r="B790" i="1"/>
  <c r="C790" i="1"/>
  <c r="E790" i="1"/>
  <c r="G790" i="1"/>
  <c r="H790" i="1"/>
  <c r="A791" i="1"/>
  <c r="B791" i="1"/>
  <c r="C791" i="1"/>
  <c r="E791" i="1"/>
  <c r="G791" i="1"/>
  <c r="H791" i="1"/>
  <c r="A792" i="1"/>
  <c r="B792" i="1"/>
  <c r="C792" i="1"/>
  <c r="E792" i="1"/>
  <c r="G792" i="1"/>
  <c r="H792" i="1"/>
  <c r="A793" i="1"/>
  <c r="B793" i="1"/>
  <c r="C793" i="1"/>
  <c r="E793" i="1"/>
  <c r="G793" i="1"/>
  <c r="H793" i="1"/>
  <c r="A794" i="1"/>
  <c r="B794" i="1"/>
  <c r="C794" i="1"/>
  <c r="E794" i="1"/>
  <c r="G794" i="1"/>
  <c r="H794" i="1"/>
  <c r="A795" i="1"/>
  <c r="B795" i="1"/>
  <c r="C795" i="1"/>
  <c r="E795" i="1"/>
  <c r="G795" i="1"/>
  <c r="H795" i="1"/>
  <c r="A796" i="1"/>
  <c r="B796" i="1"/>
  <c r="C796" i="1"/>
  <c r="E796" i="1"/>
  <c r="G796" i="1"/>
  <c r="H796" i="1"/>
  <c r="A797" i="1"/>
  <c r="B797" i="1"/>
  <c r="C797" i="1"/>
  <c r="E797" i="1"/>
  <c r="G797" i="1"/>
  <c r="H797" i="1"/>
  <c r="A798" i="1"/>
  <c r="B798" i="1"/>
  <c r="C798" i="1"/>
  <c r="E798" i="1"/>
  <c r="G798" i="1"/>
  <c r="H798" i="1"/>
  <c r="A799" i="1"/>
  <c r="B799" i="1"/>
  <c r="C799" i="1"/>
  <c r="E799" i="1"/>
  <c r="G799" i="1"/>
  <c r="H799" i="1"/>
  <c r="A800" i="1"/>
  <c r="B800" i="1"/>
  <c r="C800" i="1"/>
  <c r="E800" i="1"/>
  <c r="G800" i="1"/>
  <c r="H800" i="1"/>
  <c r="A801" i="1"/>
  <c r="B801" i="1"/>
  <c r="C801" i="1"/>
  <c r="E801" i="1"/>
  <c r="G801" i="1"/>
  <c r="H801" i="1"/>
  <c r="A802" i="1"/>
  <c r="B802" i="1"/>
  <c r="C802" i="1"/>
  <c r="E802" i="1"/>
  <c r="G802" i="1"/>
  <c r="H802" i="1"/>
  <c r="A803" i="1"/>
  <c r="B803" i="1"/>
  <c r="C803" i="1"/>
  <c r="E803" i="1"/>
  <c r="G803" i="1"/>
  <c r="H803" i="1"/>
  <c r="A804" i="1"/>
  <c r="B804" i="1"/>
  <c r="C804" i="1"/>
  <c r="E804" i="1"/>
  <c r="G804" i="1"/>
  <c r="H804" i="1"/>
  <c r="A805" i="1"/>
  <c r="B805" i="1"/>
  <c r="C805" i="1"/>
  <c r="E805" i="1"/>
  <c r="G805" i="1"/>
  <c r="H805" i="1"/>
  <c r="A806" i="1"/>
  <c r="B806" i="1"/>
  <c r="C806" i="1"/>
  <c r="E806" i="1"/>
  <c r="G806" i="1"/>
  <c r="H806" i="1"/>
  <c r="A807" i="1"/>
  <c r="B807" i="1"/>
  <c r="C807" i="1"/>
  <c r="E807" i="1"/>
  <c r="G807" i="1"/>
  <c r="H807" i="1"/>
  <c r="A808" i="1"/>
  <c r="B808" i="1"/>
  <c r="C808" i="1"/>
  <c r="E808" i="1"/>
  <c r="G808" i="1"/>
  <c r="H808" i="1"/>
  <c r="A809" i="1"/>
  <c r="B809" i="1"/>
  <c r="C809" i="1"/>
  <c r="E809" i="1"/>
  <c r="G809" i="1"/>
  <c r="H809" i="1"/>
  <c r="A810" i="1"/>
  <c r="B810" i="1"/>
  <c r="C810" i="1"/>
  <c r="E810" i="1"/>
  <c r="G810" i="1"/>
  <c r="H810" i="1"/>
  <c r="A811" i="1"/>
  <c r="B811" i="1"/>
  <c r="C811" i="1"/>
  <c r="E811" i="1"/>
  <c r="G811" i="1"/>
  <c r="H811" i="1"/>
  <c r="A812" i="1"/>
  <c r="B812" i="1"/>
  <c r="C812" i="1"/>
  <c r="E812" i="1"/>
  <c r="G812" i="1"/>
  <c r="H812" i="1"/>
  <c r="A813" i="1"/>
  <c r="B813" i="1"/>
  <c r="C813" i="1"/>
  <c r="E813" i="1"/>
  <c r="G813" i="1"/>
  <c r="H813" i="1"/>
  <c r="A814" i="1"/>
  <c r="B814" i="1"/>
  <c r="C814" i="1"/>
  <c r="E814" i="1"/>
  <c r="G814" i="1"/>
  <c r="H814" i="1"/>
  <c r="A815" i="1"/>
  <c r="B815" i="1"/>
  <c r="C815" i="1"/>
  <c r="E815" i="1"/>
  <c r="G815" i="1"/>
  <c r="H815" i="1"/>
  <c r="A816" i="1"/>
  <c r="B816" i="1"/>
  <c r="C816" i="1"/>
  <c r="E816" i="1"/>
  <c r="G816" i="1"/>
  <c r="H816" i="1"/>
  <c r="A817" i="1"/>
  <c r="B817" i="1"/>
  <c r="C817" i="1"/>
  <c r="E817" i="1"/>
  <c r="G817" i="1"/>
  <c r="H817" i="1"/>
  <c r="A818" i="1"/>
  <c r="B818" i="1"/>
  <c r="C818" i="1"/>
  <c r="E818" i="1"/>
  <c r="G818" i="1"/>
  <c r="H818" i="1"/>
  <c r="A819" i="1"/>
  <c r="B819" i="1"/>
  <c r="C819" i="1"/>
  <c r="E819" i="1"/>
  <c r="G819" i="1"/>
  <c r="H819" i="1"/>
  <c r="A820" i="1"/>
  <c r="B820" i="1"/>
  <c r="C820" i="1"/>
  <c r="E820" i="1"/>
  <c r="G820" i="1"/>
  <c r="H820" i="1"/>
  <c r="A821" i="1"/>
  <c r="B821" i="1"/>
  <c r="C821" i="1"/>
  <c r="E821" i="1"/>
  <c r="G821" i="1"/>
  <c r="H821" i="1"/>
  <c r="A822" i="1"/>
  <c r="B822" i="1"/>
  <c r="C822" i="1"/>
  <c r="E822" i="1"/>
  <c r="G822" i="1"/>
  <c r="H822" i="1"/>
  <c r="A823" i="1"/>
  <c r="B823" i="1"/>
  <c r="C823" i="1"/>
  <c r="E823" i="1"/>
  <c r="G823" i="1"/>
  <c r="H823" i="1"/>
  <c r="A824" i="1"/>
  <c r="B824" i="1"/>
  <c r="C824" i="1"/>
  <c r="E824" i="1"/>
  <c r="G824" i="1"/>
  <c r="H824" i="1"/>
  <c r="A825" i="1"/>
  <c r="B825" i="1"/>
  <c r="C825" i="1"/>
  <c r="E825" i="1"/>
  <c r="G825" i="1"/>
  <c r="H825" i="1"/>
  <c r="A826" i="1"/>
  <c r="B826" i="1"/>
  <c r="C826" i="1"/>
  <c r="E826" i="1"/>
  <c r="G826" i="1"/>
  <c r="H826" i="1"/>
  <c r="A827" i="1"/>
  <c r="B827" i="1"/>
  <c r="C827" i="1"/>
  <c r="E827" i="1"/>
  <c r="G827" i="1"/>
  <c r="H827" i="1"/>
  <c r="A828" i="1"/>
  <c r="B828" i="1"/>
  <c r="C828" i="1"/>
  <c r="E828" i="1"/>
  <c r="G828" i="1"/>
  <c r="H828" i="1"/>
  <c r="A829" i="1"/>
  <c r="B829" i="1"/>
  <c r="C829" i="1"/>
  <c r="E829" i="1"/>
  <c r="G829" i="1"/>
  <c r="H829" i="1"/>
  <c r="A830" i="1"/>
  <c r="B830" i="1"/>
  <c r="C830" i="1"/>
  <c r="E830" i="1"/>
  <c r="G830" i="1"/>
  <c r="H830" i="1"/>
  <c r="A831" i="1"/>
  <c r="B831" i="1"/>
  <c r="C831" i="1"/>
  <c r="E831" i="1"/>
  <c r="G831" i="1"/>
  <c r="H831" i="1"/>
  <c r="A832" i="1"/>
  <c r="B832" i="1"/>
  <c r="C832" i="1"/>
  <c r="E832" i="1"/>
  <c r="G832" i="1"/>
  <c r="H832" i="1"/>
  <c r="A833" i="1"/>
  <c r="B833" i="1"/>
  <c r="C833" i="1"/>
  <c r="E833" i="1"/>
  <c r="G833" i="1"/>
  <c r="H833" i="1"/>
  <c r="A834" i="1"/>
  <c r="B834" i="1"/>
  <c r="C834" i="1"/>
  <c r="E834" i="1"/>
  <c r="G834" i="1"/>
  <c r="H834" i="1"/>
  <c r="A835" i="1"/>
  <c r="B835" i="1"/>
  <c r="C835" i="1"/>
  <c r="E835" i="1"/>
  <c r="G835" i="1"/>
  <c r="H835" i="1"/>
  <c r="A836" i="1"/>
  <c r="B836" i="1"/>
  <c r="C836" i="1"/>
  <c r="E836" i="1"/>
  <c r="G836" i="1"/>
  <c r="H836" i="1"/>
  <c r="A837" i="1"/>
  <c r="B837" i="1"/>
  <c r="C837" i="1"/>
  <c r="E837" i="1"/>
  <c r="G837" i="1"/>
  <c r="H837" i="1"/>
  <c r="A838" i="1"/>
  <c r="B838" i="1"/>
  <c r="C838" i="1"/>
  <c r="E838" i="1"/>
  <c r="G838" i="1"/>
  <c r="H838" i="1"/>
  <c r="A839" i="1"/>
  <c r="B839" i="1"/>
  <c r="C839" i="1"/>
  <c r="E839" i="1"/>
  <c r="G839" i="1"/>
  <c r="H839" i="1"/>
  <c r="A840" i="1"/>
  <c r="B840" i="1"/>
  <c r="C840" i="1"/>
  <c r="E840" i="1"/>
  <c r="G840" i="1"/>
  <c r="H840" i="1"/>
  <c r="A841" i="1"/>
  <c r="B841" i="1"/>
  <c r="C841" i="1"/>
  <c r="E841" i="1"/>
  <c r="G841" i="1"/>
  <c r="H841" i="1"/>
  <c r="A842" i="1"/>
  <c r="B842" i="1"/>
  <c r="C842" i="1"/>
  <c r="E842" i="1"/>
  <c r="G842" i="1"/>
  <c r="H842" i="1"/>
  <c r="A843" i="1"/>
  <c r="B843" i="1"/>
  <c r="C843" i="1"/>
  <c r="E843" i="1"/>
  <c r="G843" i="1"/>
  <c r="H843" i="1"/>
  <c r="A844" i="1"/>
  <c r="B844" i="1"/>
  <c r="C844" i="1"/>
  <c r="E844" i="1"/>
  <c r="G844" i="1"/>
  <c r="H844" i="1"/>
  <c r="A845" i="1"/>
  <c r="B845" i="1"/>
  <c r="C845" i="1"/>
  <c r="E845" i="1"/>
  <c r="G845" i="1"/>
  <c r="H845" i="1"/>
  <c r="A846" i="1"/>
  <c r="B846" i="1"/>
  <c r="C846" i="1"/>
  <c r="E846" i="1"/>
  <c r="G846" i="1"/>
  <c r="H846" i="1"/>
  <c r="A847" i="1"/>
  <c r="B847" i="1"/>
  <c r="C847" i="1"/>
  <c r="E847" i="1"/>
  <c r="G847" i="1"/>
  <c r="H847" i="1"/>
  <c r="A848" i="1"/>
  <c r="B848" i="1"/>
  <c r="C848" i="1"/>
  <c r="E848" i="1"/>
  <c r="G848" i="1"/>
  <c r="H848" i="1"/>
  <c r="A849" i="1"/>
  <c r="B849" i="1"/>
  <c r="C849" i="1"/>
  <c r="E849" i="1"/>
  <c r="G849" i="1"/>
  <c r="H849" i="1"/>
  <c r="A850" i="1"/>
  <c r="B850" i="1"/>
  <c r="C850" i="1"/>
  <c r="E850" i="1"/>
  <c r="G850" i="1"/>
  <c r="H850" i="1"/>
  <c r="A851" i="1"/>
  <c r="B851" i="1"/>
  <c r="C851" i="1"/>
  <c r="E851" i="1"/>
  <c r="G851" i="1"/>
  <c r="H851" i="1"/>
  <c r="A852" i="1"/>
  <c r="B852" i="1"/>
  <c r="C852" i="1"/>
  <c r="E852" i="1"/>
  <c r="G852" i="1"/>
  <c r="H852" i="1"/>
  <c r="A853" i="1"/>
  <c r="B853" i="1"/>
  <c r="C853" i="1"/>
  <c r="E853" i="1"/>
  <c r="G853" i="1"/>
  <c r="H853" i="1"/>
  <c r="A854" i="1"/>
  <c r="B854" i="1"/>
  <c r="C854" i="1"/>
  <c r="E854" i="1"/>
  <c r="G854" i="1"/>
  <c r="H854" i="1"/>
  <c r="A855" i="1"/>
  <c r="B855" i="1"/>
  <c r="C855" i="1"/>
  <c r="E855" i="1"/>
  <c r="G855" i="1"/>
  <c r="H855" i="1"/>
  <c r="A856" i="1"/>
  <c r="B856" i="1"/>
  <c r="C856" i="1"/>
  <c r="E856" i="1"/>
  <c r="G856" i="1"/>
  <c r="H856" i="1"/>
  <c r="A857" i="1"/>
  <c r="B857" i="1"/>
  <c r="C857" i="1"/>
  <c r="E857" i="1"/>
  <c r="G857" i="1"/>
  <c r="H857" i="1"/>
  <c r="A858" i="1"/>
  <c r="B858" i="1"/>
  <c r="C858" i="1"/>
  <c r="E858" i="1"/>
  <c r="G858" i="1"/>
  <c r="H858" i="1"/>
  <c r="A859" i="1"/>
  <c r="B859" i="1"/>
  <c r="C859" i="1"/>
  <c r="E859" i="1"/>
  <c r="G859" i="1"/>
  <c r="H859" i="1"/>
  <c r="A860" i="1"/>
  <c r="B860" i="1"/>
  <c r="C860" i="1"/>
  <c r="E860" i="1"/>
  <c r="G860" i="1"/>
  <c r="H860" i="1"/>
  <c r="A861" i="1"/>
  <c r="B861" i="1"/>
  <c r="C861" i="1"/>
  <c r="E861" i="1"/>
  <c r="G861" i="1"/>
  <c r="H861" i="1"/>
  <c r="A862" i="1"/>
  <c r="B862" i="1"/>
  <c r="C862" i="1"/>
  <c r="E862" i="1"/>
  <c r="G862" i="1"/>
  <c r="H862" i="1"/>
  <c r="A863" i="1"/>
  <c r="B863" i="1"/>
  <c r="C863" i="1"/>
  <c r="E863" i="1"/>
  <c r="G863" i="1"/>
  <c r="H863" i="1"/>
  <c r="A864" i="1"/>
  <c r="B864" i="1"/>
  <c r="C864" i="1"/>
  <c r="E864" i="1"/>
  <c r="G864" i="1"/>
  <c r="H864" i="1"/>
  <c r="A865" i="1"/>
  <c r="B865" i="1"/>
  <c r="C865" i="1"/>
  <c r="E865" i="1"/>
  <c r="G865" i="1"/>
  <c r="H865" i="1"/>
  <c r="A866" i="1"/>
  <c r="B866" i="1"/>
  <c r="C866" i="1"/>
  <c r="E866" i="1"/>
  <c r="G866" i="1"/>
  <c r="H866" i="1"/>
  <c r="A867" i="1"/>
  <c r="B867" i="1"/>
  <c r="C867" i="1"/>
  <c r="E867" i="1"/>
  <c r="G867" i="1"/>
  <c r="H867" i="1"/>
  <c r="A868" i="1"/>
  <c r="B868" i="1"/>
  <c r="C868" i="1"/>
  <c r="E868" i="1"/>
  <c r="G868" i="1"/>
  <c r="H868" i="1"/>
  <c r="A869" i="1"/>
  <c r="B869" i="1"/>
  <c r="C869" i="1"/>
  <c r="E869" i="1"/>
  <c r="G869" i="1"/>
  <c r="H869" i="1"/>
  <c r="A870" i="1"/>
  <c r="B870" i="1"/>
  <c r="C870" i="1"/>
  <c r="E870" i="1"/>
  <c r="G870" i="1"/>
  <c r="H870" i="1"/>
  <c r="A871" i="1"/>
  <c r="B871" i="1"/>
  <c r="C871" i="1"/>
  <c r="E871" i="1"/>
  <c r="G871" i="1"/>
  <c r="H871" i="1"/>
  <c r="A872" i="1"/>
  <c r="B872" i="1"/>
  <c r="C872" i="1"/>
  <c r="E872" i="1"/>
  <c r="G872" i="1"/>
  <c r="H872" i="1"/>
  <c r="A873" i="1"/>
  <c r="B873" i="1"/>
  <c r="C873" i="1"/>
  <c r="E873" i="1"/>
  <c r="G873" i="1"/>
  <c r="H873" i="1"/>
  <c r="A874" i="1"/>
  <c r="B874" i="1"/>
  <c r="C874" i="1"/>
  <c r="E874" i="1"/>
  <c r="G874" i="1"/>
  <c r="H874" i="1"/>
  <c r="A875" i="1"/>
  <c r="B875" i="1"/>
  <c r="C875" i="1"/>
  <c r="E875" i="1"/>
  <c r="G875" i="1"/>
  <c r="H875" i="1"/>
  <c r="A876" i="1"/>
  <c r="B876" i="1"/>
  <c r="C876" i="1"/>
  <c r="E876" i="1"/>
  <c r="G876" i="1"/>
  <c r="H876" i="1"/>
  <c r="A877" i="1"/>
  <c r="B877" i="1"/>
  <c r="C877" i="1"/>
  <c r="E877" i="1"/>
  <c r="G877" i="1"/>
  <c r="H877" i="1"/>
  <c r="A878" i="1"/>
  <c r="B878" i="1"/>
  <c r="C878" i="1"/>
  <c r="E878" i="1"/>
  <c r="G878" i="1"/>
  <c r="H878" i="1"/>
  <c r="A879" i="1"/>
  <c r="B879" i="1"/>
  <c r="C879" i="1"/>
  <c r="E879" i="1"/>
  <c r="G879" i="1"/>
  <c r="H879" i="1"/>
  <c r="A880" i="1"/>
  <c r="B880" i="1"/>
  <c r="C880" i="1"/>
  <c r="E880" i="1"/>
  <c r="G880" i="1"/>
  <c r="H880" i="1"/>
  <c r="A881" i="1"/>
  <c r="B881" i="1"/>
  <c r="C881" i="1"/>
  <c r="E881" i="1"/>
  <c r="G881" i="1"/>
  <c r="H881" i="1"/>
  <c r="A882" i="1"/>
  <c r="B882" i="1"/>
  <c r="C882" i="1"/>
  <c r="E882" i="1"/>
  <c r="G882" i="1"/>
  <c r="H882" i="1"/>
  <c r="A883" i="1"/>
  <c r="B883" i="1"/>
  <c r="C883" i="1"/>
  <c r="E883" i="1"/>
  <c r="G883" i="1"/>
  <c r="H883" i="1"/>
  <c r="A884" i="1"/>
  <c r="B884" i="1"/>
  <c r="C884" i="1"/>
  <c r="E884" i="1"/>
  <c r="G884" i="1"/>
  <c r="H884" i="1"/>
  <c r="A885" i="1"/>
  <c r="B885" i="1"/>
  <c r="C885" i="1"/>
  <c r="E885" i="1"/>
  <c r="G885" i="1"/>
  <c r="H885" i="1"/>
  <c r="A886" i="1"/>
  <c r="B886" i="1"/>
  <c r="C886" i="1"/>
  <c r="E886" i="1"/>
  <c r="G886" i="1"/>
  <c r="H886" i="1"/>
  <c r="A887" i="1"/>
  <c r="B887" i="1"/>
  <c r="C887" i="1"/>
  <c r="E887" i="1"/>
  <c r="G887" i="1"/>
  <c r="H887" i="1"/>
  <c r="A888" i="1"/>
  <c r="B888" i="1"/>
  <c r="C888" i="1"/>
  <c r="E888" i="1"/>
  <c r="G888" i="1"/>
  <c r="H888" i="1"/>
  <c r="A889" i="1"/>
  <c r="B889" i="1"/>
  <c r="C889" i="1"/>
  <c r="E889" i="1"/>
  <c r="G889" i="1"/>
  <c r="H889" i="1"/>
  <c r="A890" i="1"/>
  <c r="B890" i="1"/>
  <c r="C890" i="1"/>
  <c r="E890" i="1"/>
  <c r="G890" i="1"/>
  <c r="H890" i="1"/>
  <c r="A891" i="1"/>
  <c r="B891" i="1"/>
  <c r="C891" i="1"/>
  <c r="E891" i="1"/>
  <c r="G891" i="1"/>
  <c r="H891" i="1"/>
  <c r="A892" i="1"/>
  <c r="B892" i="1"/>
  <c r="C892" i="1"/>
  <c r="E892" i="1"/>
  <c r="G892" i="1"/>
  <c r="H892" i="1"/>
  <c r="A893" i="1"/>
  <c r="B893" i="1"/>
  <c r="C893" i="1"/>
  <c r="E893" i="1"/>
  <c r="G893" i="1"/>
  <c r="H893" i="1"/>
  <c r="A894" i="1"/>
  <c r="B894" i="1"/>
  <c r="C894" i="1"/>
  <c r="E894" i="1"/>
  <c r="G894" i="1"/>
  <c r="H894" i="1"/>
  <c r="A895" i="1"/>
  <c r="B895" i="1"/>
  <c r="C895" i="1"/>
  <c r="E895" i="1"/>
  <c r="G895" i="1"/>
  <c r="H895" i="1"/>
  <c r="A896" i="1"/>
  <c r="B896" i="1"/>
  <c r="C896" i="1"/>
  <c r="E896" i="1"/>
  <c r="G896" i="1"/>
  <c r="H896" i="1"/>
  <c r="A897" i="1"/>
  <c r="B897" i="1"/>
  <c r="C897" i="1"/>
  <c r="E897" i="1"/>
  <c r="G897" i="1"/>
  <c r="H897" i="1"/>
  <c r="A898" i="1"/>
  <c r="B898" i="1"/>
  <c r="C898" i="1"/>
  <c r="E898" i="1"/>
  <c r="G898" i="1"/>
  <c r="H898" i="1"/>
  <c r="A899" i="1"/>
  <c r="B899" i="1"/>
  <c r="C899" i="1"/>
  <c r="E899" i="1"/>
  <c r="G899" i="1"/>
  <c r="H899" i="1"/>
  <c r="A900" i="1"/>
  <c r="B900" i="1"/>
  <c r="C900" i="1"/>
  <c r="E900" i="1"/>
  <c r="G900" i="1"/>
  <c r="H900" i="1"/>
  <c r="A901" i="1"/>
  <c r="B901" i="1"/>
  <c r="C901" i="1"/>
  <c r="E901" i="1"/>
  <c r="G901" i="1"/>
  <c r="H901" i="1"/>
  <c r="A902" i="1"/>
  <c r="B902" i="1"/>
  <c r="C902" i="1"/>
  <c r="E902" i="1"/>
  <c r="G902" i="1"/>
  <c r="H902" i="1"/>
  <c r="A903" i="1"/>
  <c r="B903" i="1"/>
  <c r="C903" i="1"/>
  <c r="E903" i="1"/>
  <c r="G903" i="1"/>
  <c r="H903" i="1"/>
  <c r="A904" i="1"/>
  <c r="B904" i="1"/>
  <c r="C904" i="1"/>
  <c r="E904" i="1"/>
  <c r="G904" i="1"/>
  <c r="H904" i="1"/>
  <c r="A905" i="1"/>
  <c r="B905" i="1"/>
  <c r="C905" i="1"/>
  <c r="E905" i="1"/>
  <c r="G905" i="1"/>
  <c r="H905" i="1"/>
  <c r="A906" i="1"/>
  <c r="B906" i="1"/>
  <c r="C906" i="1"/>
  <c r="E906" i="1"/>
  <c r="G906" i="1"/>
  <c r="H906" i="1"/>
  <c r="A907" i="1"/>
  <c r="B907" i="1"/>
  <c r="C907" i="1"/>
  <c r="E907" i="1"/>
  <c r="G907" i="1"/>
  <c r="H907" i="1"/>
  <c r="A908" i="1"/>
  <c r="B908" i="1"/>
  <c r="C908" i="1"/>
  <c r="E908" i="1"/>
  <c r="G908" i="1"/>
  <c r="H908" i="1"/>
  <c r="A909" i="1"/>
  <c r="B909" i="1"/>
  <c r="C909" i="1"/>
  <c r="E909" i="1"/>
  <c r="G909" i="1"/>
  <c r="H909" i="1"/>
  <c r="A910" i="1"/>
  <c r="B910" i="1"/>
  <c r="C910" i="1"/>
  <c r="E910" i="1"/>
  <c r="G910" i="1"/>
  <c r="H910" i="1"/>
  <c r="A911" i="1"/>
  <c r="B911" i="1"/>
  <c r="C911" i="1"/>
  <c r="E911" i="1"/>
  <c r="G911" i="1"/>
  <c r="H911" i="1"/>
  <c r="A912" i="1"/>
  <c r="B912" i="1"/>
  <c r="C912" i="1"/>
  <c r="E912" i="1"/>
  <c r="G912" i="1"/>
  <c r="H912" i="1"/>
  <c r="A913" i="1"/>
  <c r="B913" i="1"/>
  <c r="C913" i="1"/>
  <c r="E913" i="1"/>
  <c r="G913" i="1"/>
  <c r="H913" i="1"/>
  <c r="A914" i="1"/>
  <c r="B914" i="1"/>
  <c r="C914" i="1"/>
  <c r="E914" i="1"/>
  <c r="G914" i="1"/>
  <c r="H914" i="1"/>
  <c r="A915" i="1"/>
  <c r="B915" i="1"/>
  <c r="C915" i="1"/>
  <c r="E915" i="1"/>
  <c r="G915" i="1"/>
  <c r="H915" i="1"/>
  <c r="A916" i="1"/>
  <c r="B916" i="1"/>
  <c r="C916" i="1"/>
  <c r="E916" i="1"/>
  <c r="G916" i="1"/>
  <c r="H916" i="1"/>
  <c r="A917" i="1"/>
  <c r="B917" i="1"/>
  <c r="C917" i="1"/>
  <c r="E917" i="1"/>
  <c r="G917" i="1"/>
  <c r="H917" i="1"/>
  <c r="A918" i="1"/>
  <c r="B918" i="1"/>
  <c r="C918" i="1"/>
  <c r="E918" i="1"/>
  <c r="G918" i="1"/>
  <c r="H918" i="1"/>
  <c r="A919" i="1"/>
  <c r="B919" i="1"/>
  <c r="C919" i="1"/>
  <c r="E919" i="1"/>
  <c r="G919" i="1"/>
  <c r="H919" i="1"/>
  <c r="A920" i="1"/>
  <c r="B920" i="1"/>
  <c r="C920" i="1"/>
  <c r="E920" i="1"/>
  <c r="G920" i="1"/>
  <c r="H920" i="1"/>
  <c r="A921" i="1"/>
  <c r="B921" i="1"/>
  <c r="C921" i="1"/>
  <c r="E921" i="1"/>
  <c r="G921" i="1"/>
  <c r="H921" i="1"/>
  <c r="A922" i="1"/>
  <c r="B922" i="1"/>
  <c r="C922" i="1"/>
  <c r="E922" i="1"/>
  <c r="G922" i="1"/>
  <c r="H922" i="1"/>
  <c r="A923" i="1"/>
  <c r="B923" i="1"/>
  <c r="C923" i="1"/>
  <c r="E923" i="1"/>
  <c r="G923" i="1"/>
  <c r="H923" i="1"/>
  <c r="A924" i="1"/>
  <c r="B924" i="1"/>
  <c r="C924" i="1"/>
  <c r="E924" i="1"/>
  <c r="G924" i="1"/>
  <c r="H924" i="1"/>
  <c r="A925" i="1"/>
  <c r="B925" i="1"/>
  <c r="C925" i="1"/>
  <c r="E925" i="1"/>
  <c r="G925" i="1"/>
  <c r="H925" i="1"/>
  <c r="A926" i="1"/>
  <c r="B926" i="1"/>
  <c r="C926" i="1"/>
  <c r="E926" i="1"/>
  <c r="G926" i="1"/>
  <c r="H926" i="1"/>
  <c r="A927" i="1"/>
  <c r="B927" i="1"/>
  <c r="C927" i="1"/>
  <c r="E927" i="1"/>
  <c r="G927" i="1"/>
  <c r="H927" i="1"/>
  <c r="A928" i="1"/>
  <c r="B928" i="1"/>
  <c r="C928" i="1"/>
  <c r="E928" i="1"/>
  <c r="G928" i="1"/>
  <c r="H928" i="1"/>
  <c r="A929" i="1"/>
  <c r="B929" i="1"/>
  <c r="C929" i="1"/>
  <c r="E929" i="1"/>
  <c r="G929" i="1"/>
  <c r="H929" i="1"/>
  <c r="A930" i="1"/>
  <c r="B930" i="1"/>
  <c r="C930" i="1"/>
  <c r="E930" i="1"/>
  <c r="G930" i="1"/>
  <c r="H930" i="1"/>
  <c r="A931" i="1"/>
  <c r="B931" i="1"/>
  <c r="C931" i="1"/>
  <c r="E931" i="1"/>
  <c r="G931" i="1"/>
  <c r="H931" i="1"/>
  <c r="A932" i="1"/>
  <c r="B932" i="1"/>
  <c r="C932" i="1"/>
  <c r="E932" i="1"/>
  <c r="G932" i="1"/>
  <c r="H932" i="1"/>
  <c r="A933" i="1"/>
  <c r="B933" i="1"/>
  <c r="C933" i="1"/>
  <c r="E933" i="1"/>
  <c r="G933" i="1"/>
  <c r="H933" i="1"/>
  <c r="A934" i="1"/>
  <c r="B934" i="1"/>
  <c r="C934" i="1"/>
  <c r="E934" i="1"/>
  <c r="G934" i="1"/>
  <c r="H934" i="1"/>
  <c r="A935" i="1"/>
  <c r="B935" i="1"/>
  <c r="C935" i="1"/>
  <c r="E935" i="1"/>
  <c r="G935" i="1"/>
  <c r="H935" i="1"/>
  <c r="A936" i="1"/>
  <c r="B936" i="1"/>
  <c r="C936" i="1"/>
  <c r="E936" i="1"/>
  <c r="G936" i="1"/>
  <c r="H936" i="1"/>
  <c r="A937" i="1"/>
  <c r="B937" i="1"/>
  <c r="C937" i="1"/>
  <c r="E937" i="1"/>
  <c r="G937" i="1"/>
  <c r="H937" i="1"/>
  <c r="A938" i="1"/>
  <c r="B938" i="1"/>
  <c r="C938" i="1"/>
  <c r="E938" i="1"/>
  <c r="G938" i="1"/>
  <c r="H938" i="1"/>
  <c r="A939" i="1"/>
  <c r="B939" i="1"/>
  <c r="C939" i="1"/>
  <c r="E939" i="1"/>
  <c r="G939" i="1"/>
  <c r="H939" i="1"/>
  <c r="A940" i="1"/>
  <c r="B940" i="1"/>
  <c r="C940" i="1"/>
  <c r="E940" i="1"/>
  <c r="G940" i="1"/>
  <c r="H940" i="1"/>
  <c r="A941" i="1"/>
  <c r="B941" i="1"/>
  <c r="C941" i="1"/>
  <c r="E941" i="1"/>
  <c r="G941" i="1"/>
  <c r="H941" i="1"/>
  <c r="A942" i="1"/>
  <c r="B942" i="1"/>
  <c r="C942" i="1"/>
  <c r="E942" i="1"/>
  <c r="G942" i="1"/>
  <c r="H942" i="1"/>
  <c r="A943" i="1"/>
  <c r="B943" i="1"/>
  <c r="C943" i="1"/>
  <c r="E943" i="1"/>
  <c r="G943" i="1"/>
  <c r="H943" i="1"/>
  <c r="A944" i="1"/>
  <c r="B944" i="1"/>
  <c r="C944" i="1"/>
  <c r="E944" i="1"/>
  <c r="G944" i="1"/>
  <c r="H944" i="1"/>
  <c r="A945" i="1"/>
  <c r="B945" i="1"/>
  <c r="C945" i="1"/>
  <c r="E945" i="1"/>
  <c r="G945" i="1"/>
  <c r="H945" i="1"/>
  <c r="A946" i="1"/>
  <c r="B946" i="1"/>
  <c r="C946" i="1"/>
  <c r="E946" i="1"/>
  <c r="G946" i="1"/>
  <c r="H946" i="1"/>
  <c r="A947" i="1"/>
  <c r="B947" i="1"/>
  <c r="C947" i="1"/>
  <c r="E947" i="1"/>
  <c r="G947" i="1"/>
  <c r="H947" i="1"/>
  <c r="A948" i="1"/>
  <c r="B948" i="1"/>
  <c r="C948" i="1"/>
  <c r="E948" i="1"/>
  <c r="G948" i="1"/>
  <c r="H948" i="1"/>
  <c r="A949" i="1"/>
  <c r="B949" i="1"/>
  <c r="C949" i="1"/>
  <c r="E949" i="1"/>
  <c r="G949" i="1"/>
  <c r="H949" i="1"/>
  <c r="A950" i="1"/>
  <c r="B950" i="1"/>
  <c r="C950" i="1"/>
  <c r="E950" i="1"/>
  <c r="G950" i="1"/>
  <c r="H950" i="1"/>
  <c r="A951" i="1"/>
  <c r="B951" i="1"/>
  <c r="C951" i="1"/>
  <c r="E951" i="1"/>
  <c r="G951" i="1"/>
  <c r="H951" i="1"/>
  <c r="A952" i="1"/>
  <c r="B952" i="1"/>
  <c r="C952" i="1"/>
  <c r="E952" i="1"/>
  <c r="G952" i="1"/>
  <c r="H952" i="1"/>
  <c r="A953" i="1"/>
  <c r="B953" i="1"/>
  <c r="C953" i="1"/>
  <c r="E953" i="1"/>
  <c r="G953" i="1"/>
  <c r="H953" i="1"/>
  <c r="A954" i="1"/>
  <c r="B954" i="1"/>
  <c r="C954" i="1"/>
  <c r="E954" i="1"/>
  <c r="G954" i="1"/>
  <c r="H954" i="1"/>
  <c r="A955" i="1"/>
  <c r="B955" i="1"/>
  <c r="C955" i="1"/>
  <c r="E955" i="1"/>
  <c r="G955" i="1"/>
  <c r="H955" i="1"/>
  <c r="A956" i="1"/>
  <c r="B956" i="1"/>
  <c r="C956" i="1"/>
  <c r="E956" i="1"/>
  <c r="G956" i="1"/>
  <c r="H956" i="1"/>
  <c r="A957" i="1"/>
  <c r="B957" i="1"/>
  <c r="C957" i="1"/>
  <c r="E957" i="1"/>
  <c r="G957" i="1"/>
  <c r="H957" i="1"/>
  <c r="A958" i="1"/>
  <c r="B958" i="1"/>
  <c r="C958" i="1"/>
  <c r="E958" i="1"/>
  <c r="G958" i="1"/>
  <c r="H958" i="1"/>
  <c r="A959" i="1"/>
  <c r="B959" i="1"/>
  <c r="C959" i="1"/>
  <c r="E959" i="1"/>
  <c r="G959" i="1"/>
  <c r="H959" i="1"/>
  <c r="A960" i="1"/>
  <c r="B960" i="1"/>
  <c r="C960" i="1"/>
  <c r="E960" i="1"/>
  <c r="G960" i="1"/>
  <c r="H960" i="1"/>
  <c r="A961" i="1"/>
  <c r="B961" i="1"/>
  <c r="C961" i="1"/>
  <c r="E961" i="1"/>
  <c r="G961" i="1"/>
  <c r="H961" i="1"/>
  <c r="A962" i="1"/>
  <c r="B962" i="1"/>
  <c r="C962" i="1"/>
  <c r="E962" i="1"/>
  <c r="G962" i="1"/>
  <c r="H962" i="1"/>
  <c r="A963" i="1"/>
  <c r="B963" i="1"/>
  <c r="C963" i="1"/>
  <c r="E963" i="1"/>
  <c r="G963" i="1"/>
  <c r="H963" i="1"/>
  <c r="A964" i="1"/>
  <c r="B964" i="1"/>
  <c r="C964" i="1"/>
  <c r="E964" i="1"/>
  <c r="G964" i="1"/>
  <c r="H964" i="1"/>
  <c r="A965" i="1"/>
  <c r="B965" i="1"/>
  <c r="C965" i="1"/>
  <c r="E965" i="1"/>
  <c r="G965" i="1"/>
  <c r="H965" i="1"/>
  <c r="A966" i="1"/>
  <c r="B966" i="1"/>
  <c r="C966" i="1"/>
  <c r="E966" i="1"/>
  <c r="G966" i="1"/>
  <c r="H966" i="1"/>
  <c r="A967" i="1"/>
  <c r="B967" i="1"/>
  <c r="C967" i="1"/>
  <c r="E967" i="1"/>
  <c r="G967" i="1"/>
  <c r="H967" i="1"/>
  <c r="A968" i="1"/>
  <c r="B968" i="1"/>
  <c r="C968" i="1"/>
  <c r="E968" i="1"/>
  <c r="G968" i="1"/>
  <c r="H968" i="1"/>
  <c r="A969" i="1"/>
  <c r="B969" i="1"/>
  <c r="C969" i="1"/>
  <c r="E969" i="1"/>
  <c r="G969" i="1"/>
  <c r="H969" i="1"/>
  <c r="A970" i="1"/>
  <c r="B970" i="1"/>
  <c r="C970" i="1"/>
  <c r="E970" i="1"/>
  <c r="G970" i="1"/>
  <c r="H970" i="1"/>
  <c r="A971" i="1"/>
  <c r="B971" i="1"/>
  <c r="C971" i="1"/>
  <c r="E971" i="1"/>
  <c r="G971" i="1"/>
  <c r="H971" i="1"/>
  <c r="A972" i="1"/>
  <c r="B972" i="1"/>
  <c r="C972" i="1"/>
  <c r="E972" i="1"/>
  <c r="G972" i="1"/>
  <c r="H972" i="1"/>
  <c r="A973" i="1"/>
  <c r="B973" i="1"/>
  <c r="C973" i="1"/>
  <c r="E973" i="1"/>
  <c r="G973" i="1"/>
  <c r="H973" i="1"/>
  <c r="A974" i="1"/>
  <c r="B974" i="1"/>
  <c r="C974" i="1"/>
  <c r="E974" i="1"/>
  <c r="G974" i="1"/>
  <c r="H974" i="1"/>
  <c r="A975" i="1"/>
  <c r="B975" i="1"/>
  <c r="C975" i="1"/>
  <c r="E975" i="1"/>
  <c r="G975" i="1"/>
  <c r="H975" i="1"/>
  <c r="A976" i="1"/>
  <c r="B976" i="1"/>
  <c r="C976" i="1"/>
  <c r="E976" i="1"/>
  <c r="G976" i="1"/>
  <c r="H976" i="1"/>
  <c r="A977" i="1"/>
  <c r="B977" i="1"/>
  <c r="C977" i="1"/>
  <c r="E977" i="1"/>
  <c r="G977" i="1"/>
  <c r="H977" i="1"/>
  <c r="A978" i="1"/>
  <c r="B978" i="1"/>
  <c r="C978" i="1"/>
  <c r="E978" i="1"/>
  <c r="G978" i="1"/>
  <c r="H978" i="1"/>
  <c r="A979" i="1"/>
  <c r="B979" i="1"/>
  <c r="C979" i="1"/>
  <c r="E979" i="1"/>
  <c r="G979" i="1"/>
  <c r="H979" i="1"/>
  <c r="A980" i="1"/>
  <c r="B980" i="1"/>
  <c r="C980" i="1"/>
  <c r="E980" i="1"/>
  <c r="G980" i="1"/>
  <c r="H980" i="1"/>
  <c r="A981" i="1"/>
  <c r="B981" i="1"/>
  <c r="C981" i="1"/>
  <c r="E981" i="1"/>
  <c r="G981" i="1"/>
  <c r="H981" i="1"/>
  <c r="A982" i="1"/>
  <c r="B982" i="1"/>
  <c r="C982" i="1"/>
  <c r="E982" i="1"/>
  <c r="G982" i="1"/>
  <c r="H982" i="1"/>
  <c r="A983" i="1"/>
  <c r="B983" i="1"/>
  <c r="C983" i="1"/>
  <c r="E983" i="1"/>
  <c r="G983" i="1"/>
  <c r="H983" i="1"/>
  <c r="A984" i="1"/>
  <c r="B984" i="1"/>
  <c r="C984" i="1"/>
  <c r="E984" i="1"/>
  <c r="G984" i="1"/>
  <c r="H984" i="1"/>
  <c r="A985" i="1"/>
  <c r="B985" i="1"/>
  <c r="C985" i="1"/>
  <c r="E985" i="1"/>
  <c r="G985" i="1"/>
  <c r="H985" i="1"/>
  <c r="A986" i="1"/>
  <c r="B986" i="1"/>
  <c r="C986" i="1"/>
  <c r="E986" i="1"/>
  <c r="G986" i="1"/>
  <c r="H986" i="1"/>
  <c r="A987" i="1"/>
  <c r="B987" i="1"/>
  <c r="C987" i="1"/>
  <c r="E987" i="1"/>
  <c r="G987" i="1"/>
  <c r="H987" i="1"/>
  <c r="A988" i="1"/>
  <c r="B988" i="1"/>
  <c r="C988" i="1"/>
  <c r="E988" i="1"/>
  <c r="G988" i="1"/>
  <c r="H988" i="1"/>
  <c r="A989" i="1"/>
  <c r="B989" i="1"/>
  <c r="C989" i="1"/>
  <c r="E989" i="1"/>
  <c r="G989" i="1"/>
  <c r="H989" i="1"/>
  <c r="A990" i="1"/>
  <c r="B990" i="1"/>
  <c r="C990" i="1"/>
  <c r="E990" i="1"/>
  <c r="G990" i="1"/>
  <c r="H990" i="1"/>
  <c r="A991" i="1"/>
  <c r="B991" i="1"/>
  <c r="C991" i="1"/>
  <c r="E991" i="1"/>
  <c r="G991" i="1"/>
  <c r="H991" i="1"/>
  <c r="A992" i="1"/>
  <c r="B992" i="1"/>
  <c r="C992" i="1"/>
  <c r="E992" i="1"/>
  <c r="G992" i="1"/>
  <c r="H992" i="1"/>
  <c r="A993" i="1"/>
  <c r="B993" i="1"/>
  <c r="C993" i="1"/>
  <c r="E993" i="1"/>
  <c r="G993" i="1"/>
  <c r="H993" i="1"/>
  <c r="A994" i="1"/>
  <c r="B994" i="1"/>
  <c r="C994" i="1"/>
  <c r="E994" i="1"/>
  <c r="G994" i="1"/>
  <c r="H994" i="1"/>
  <c r="A995" i="1"/>
  <c r="B995" i="1"/>
  <c r="C995" i="1"/>
  <c r="E995" i="1"/>
  <c r="G995" i="1"/>
  <c r="H995" i="1"/>
  <c r="A996" i="1"/>
  <c r="B996" i="1"/>
  <c r="C996" i="1"/>
  <c r="E996" i="1"/>
  <c r="G996" i="1"/>
  <c r="H996" i="1"/>
  <c r="A997" i="1"/>
  <c r="B997" i="1"/>
  <c r="C997" i="1"/>
  <c r="E997" i="1"/>
  <c r="G997" i="1"/>
  <c r="H997" i="1"/>
  <c r="A998" i="1"/>
  <c r="B998" i="1"/>
  <c r="C998" i="1"/>
  <c r="E998" i="1"/>
  <c r="G998" i="1"/>
  <c r="H998" i="1"/>
  <c r="A999" i="1"/>
  <c r="B999" i="1"/>
  <c r="C999" i="1"/>
  <c r="E999" i="1"/>
  <c r="G999" i="1"/>
  <c r="H999" i="1"/>
  <c r="A1000" i="1"/>
  <c r="B1000" i="1"/>
  <c r="C1000" i="1"/>
  <c r="E1000" i="1"/>
  <c r="G1000" i="1"/>
  <c r="H1000" i="1"/>
  <c r="A1001" i="1"/>
  <c r="B1001" i="1"/>
  <c r="C1001" i="1"/>
  <c r="E1001" i="1"/>
  <c r="G1001" i="1"/>
  <c r="H1001" i="1"/>
  <c r="A1002" i="1"/>
  <c r="B1002" i="1"/>
  <c r="C1002" i="1"/>
  <c r="E1002" i="1"/>
  <c r="G1002" i="1"/>
  <c r="H1002" i="1"/>
  <c r="A1003" i="1"/>
  <c r="B1003" i="1"/>
  <c r="C1003" i="1"/>
  <c r="E1003" i="1"/>
  <c r="G1003" i="1"/>
  <c r="H1003" i="1"/>
  <c r="A1004" i="1"/>
  <c r="B1004" i="1"/>
  <c r="C1004" i="1"/>
  <c r="E1004" i="1"/>
  <c r="G1004" i="1"/>
  <c r="H1004" i="1"/>
  <c r="A1005" i="1"/>
  <c r="B1005" i="1"/>
  <c r="C1005" i="1"/>
  <c r="E1005" i="1"/>
  <c r="G1005" i="1"/>
  <c r="H1005" i="1"/>
  <c r="A1006" i="1"/>
  <c r="B1006" i="1"/>
  <c r="C1006" i="1"/>
  <c r="E1006" i="1"/>
  <c r="G1006" i="1"/>
  <c r="H1006" i="1"/>
  <c r="A1007" i="1"/>
  <c r="B1007" i="1"/>
  <c r="C1007" i="1"/>
  <c r="E1007" i="1"/>
  <c r="G1007" i="1"/>
  <c r="H1007" i="1"/>
  <c r="A1008" i="1"/>
  <c r="B1008" i="1"/>
  <c r="C1008" i="1"/>
  <c r="E1008" i="1"/>
  <c r="G1008" i="1"/>
  <c r="H1008" i="1"/>
  <c r="A1009" i="1"/>
  <c r="B1009" i="1"/>
  <c r="C1009" i="1"/>
  <c r="E1009" i="1"/>
  <c r="G1009" i="1"/>
  <c r="H1009" i="1"/>
  <c r="A1010" i="1"/>
  <c r="B1010" i="1"/>
  <c r="C1010" i="1"/>
  <c r="E1010" i="1"/>
  <c r="G1010" i="1"/>
  <c r="H1010" i="1"/>
  <c r="A1011" i="1"/>
  <c r="B1011" i="1"/>
  <c r="C1011" i="1"/>
  <c r="E1011" i="1"/>
  <c r="G1011" i="1"/>
  <c r="H1011" i="1"/>
  <c r="A1012" i="1"/>
  <c r="B1012" i="1"/>
  <c r="C1012" i="1"/>
  <c r="E1012" i="1"/>
  <c r="G1012" i="1"/>
  <c r="H1012" i="1"/>
  <c r="A1013" i="1"/>
  <c r="B1013" i="1"/>
  <c r="C1013" i="1"/>
  <c r="E1013" i="1"/>
  <c r="G1013" i="1"/>
  <c r="H1013" i="1"/>
  <c r="A1014" i="1"/>
  <c r="B1014" i="1"/>
  <c r="C1014" i="1"/>
  <c r="E1014" i="1"/>
  <c r="G1014" i="1"/>
  <c r="H1014" i="1"/>
  <c r="A1015" i="1"/>
  <c r="B1015" i="1"/>
  <c r="C1015" i="1"/>
  <c r="E1015" i="1"/>
  <c r="G1015" i="1"/>
  <c r="H1015" i="1"/>
  <c r="A1016" i="1"/>
  <c r="B1016" i="1"/>
  <c r="C1016" i="1"/>
  <c r="E1016" i="1"/>
  <c r="G1016" i="1"/>
  <c r="H1016" i="1"/>
  <c r="A1017" i="1"/>
  <c r="B1017" i="1"/>
  <c r="C1017" i="1"/>
  <c r="E1017" i="1"/>
  <c r="G1017" i="1"/>
  <c r="H1017" i="1"/>
  <c r="A1018" i="1"/>
  <c r="B1018" i="1"/>
  <c r="C1018" i="1"/>
  <c r="E1018" i="1"/>
  <c r="G1018" i="1"/>
  <c r="H1018" i="1"/>
  <c r="A1019" i="1"/>
  <c r="B1019" i="1"/>
  <c r="C1019" i="1"/>
  <c r="E1019" i="1"/>
  <c r="G1019" i="1"/>
  <c r="H1019" i="1"/>
  <c r="A1020" i="1"/>
  <c r="B1020" i="1"/>
  <c r="C1020" i="1"/>
  <c r="E1020" i="1"/>
  <c r="G1020" i="1"/>
  <c r="H1020" i="1"/>
  <c r="A1021" i="1"/>
  <c r="B1021" i="1"/>
  <c r="C1021" i="1"/>
  <c r="E1021" i="1"/>
  <c r="G1021" i="1"/>
  <c r="H1021" i="1"/>
  <c r="A1022" i="1"/>
  <c r="B1022" i="1"/>
  <c r="C1022" i="1"/>
  <c r="E1022" i="1"/>
  <c r="G1022" i="1"/>
  <c r="H1022" i="1"/>
  <c r="A1023" i="1"/>
  <c r="B1023" i="1"/>
  <c r="C1023" i="1"/>
  <c r="E1023" i="1"/>
  <c r="G1023" i="1"/>
  <c r="H1023" i="1"/>
  <c r="A1024" i="1"/>
  <c r="B1024" i="1"/>
  <c r="C1024" i="1"/>
  <c r="E1024" i="1"/>
  <c r="G1024" i="1"/>
  <c r="H1024" i="1"/>
  <c r="A1025" i="1"/>
  <c r="B1025" i="1"/>
  <c r="C1025" i="1"/>
  <c r="E1025" i="1"/>
  <c r="G1025" i="1"/>
  <c r="H1025" i="1"/>
  <c r="A1026" i="1"/>
  <c r="B1026" i="1"/>
  <c r="C1026" i="1"/>
  <c r="E1026" i="1"/>
  <c r="G1026" i="1"/>
  <c r="H1026" i="1"/>
  <c r="A1027" i="1"/>
  <c r="B1027" i="1"/>
  <c r="C1027" i="1"/>
  <c r="E1027" i="1"/>
  <c r="G1027" i="1"/>
  <c r="H1027" i="1"/>
  <c r="A1028" i="1"/>
  <c r="B1028" i="1"/>
  <c r="C1028" i="1"/>
  <c r="E1028" i="1"/>
  <c r="G1028" i="1"/>
  <c r="H1028" i="1"/>
  <c r="A1029" i="1"/>
  <c r="B1029" i="1"/>
  <c r="C1029" i="1"/>
  <c r="E1029" i="1"/>
  <c r="G1029" i="1"/>
  <c r="H1029" i="1"/>
  <c r="A1030" i="1"/>
  <c r="B1030" i="1"/>
  <c r="C1030" i="1"/>
  <c r="E1030" i="1"/>
  <c r="G1030" i="1"/>
  <c r="H1030" i="1"/>
  <c r="A1031" i="1"/>
  <c r="B1031" i="1"/>
  <c r="C1031" i="1"/>
  <c r="E1031" i="1"/>
  <c r="G1031" i="1"/>
  <c r="H1031" i="1"/>
  <c r="A1032" i="1"/>
  <c r="B1032" i="1"/>
  <c r="C1032" i="1"/>
  <c r="E1032" i="1"/>
  <c r="G1032" i="1"/>
  <c r="H1032" i="1"/>
  <c r="A1033" i="1"/>
  <c r="B1033" i="1"/>
  <c r="C1033" i="1"/>
  <c r="E1033" i="1"/>
  <c r="G1033" i="1"/>
  <c r="H1033" i="1"/>
  <c r="A1034" i="1"/>
  <c r="B1034" i="1"/>
  <c r="C1034" i="1"/>
  <c r="E1034" i="1"/>
  <c r="G1034" i="1"/>
  <c r="H1034" i="1"/>
  <c r="A1035" i="1"/>
  <c r="B1035" i="1"/>
  <c r="C1035" i="1"/>
  <c r="E1035" i="1"/>
  <c r="G1035" i="1"/>
  <c r="H1035" i="1"/>
  <c r="A1036" i="1"/>
  <c r="B1036" i="1"/>
  <c r="C1036" i="1"/>
  <c r="E1036" i="1"/>
  <c r="G1036" i="1"/>
  <c r="H1036" i="1"/>
  <c r="A1037" i="1"/>
  <c r="B1037" i="1"/>
  <c r="C1037" i="1"/>
  <c r="E1037" i="1"/>
  <c r="G1037" i="1"/>
  <c r="H1037" i="1"/>
  <c r="A1038" i="1"/>
  <c r="B1038" i="1"/>
  <c r="C1038" i="1"/>
  <c r="E1038" i="1"/>
  <c r="G1038" i="1"/>
  <c r="H1038" i="1"/>
  <c r="A1039" i="1"/>
  <c r="B1039" i="1"/>
  <c r="C1039" i="1"/>
  <c r="E1039" i="1"/>
  <c r="G1039" i="1"/>
  <c r="H1039" i="1"/>
  <c r="A1040" i="1"/>
  <c r="B1040" i="1"/>
  <c r="C1040" i="1"/>
  <c r="E1040" i="1"/>
  <c r="G1040" i="1"/>
  <c r="H1040" i="1"/>
  <c r="A1041" i="1"/>
  <c r="B1041" i="1"/>
  <c r="C1041" i="1"/>
  <c r="E1041" i="1"/>
  <c r="G1041" i="1"/>
  <c r="H1041" i="1"/>
  <c r="A1042" i="1"/>
  <c r="B1042" i="1"/>
  <c r="C1042" i="1"/>
  <c r="E1042" i="1"/>
  <c r="G1042" i="1"/>
  <c r="H1042" i="1"/>
  <c r="A1043" i="1"/>
  <c r="B1043" i="1"/>
  <c r="C1043" i="1"/>
  <c r="E1043" i="1"/>
  <c r="G1043" i="1"/>
  <c r="H1043" i="1"/>
  <c r="A1044" i="1"/>
  <c r="B1044" i="1"/>
  <c r="C1044" i="1"/>
  <c r="E1044" i="1"/>
  <c r="G1044" i="1"/>
  <c r="H1044" i="1"/>
  <c r="A1045" i="1"/>
  <c r="B1045" i="1"/>
  <c r="C1045" i="1"/>
  <c r="E1045" i="1"/>
  <c r="G1045" i="1"/>
  <c r="H1045" i="1"/>
  <c r="A1046" i="1"/>
  <c r="B1046" i="1"/>
  <c r="C1046" i="1"/>
  <c r="E1046" i="1"/>
  <c r="G1046" i="1"/>
  <c r="H1046" i="1"/>
  <c r="A1047" i="1"/>
  <c r="B1047" i="1"/>
  <c r="C1047" i="1"/>
  <c r="E1047" i="1"/>
  <c r="G1047" i="1"/>
  <c r="H1047" i="1"/>
  <c r="A1048" i="1"/>
  <c r="B1048" i="1"/>
  <c r="C1048" i="1"/>
  <c r="E1048" i="1"/>
  <c r="G1048" i="1"/>
  <c r="H1048" i="1"/>
  <c r="A1049" i="1"/>
  <c r="B1049" i="1"/>
  <c r="C1049" i="1"/>
  <c r="E1049" i="1"/>
  <c r="G1049" i="1"/>
  <c r="H1049" i="1"/>
  <c r="A1050" i="1"/>
  <c r="B1050" i="1"/>
  <c r="C1050" i="1"/>
  <c r="E1050" i="1"/>
  <c r="G1050" i="1"/>
  <c r="H1050" i="1"/>
  <c r="A1051" i="1"/>
  <c r="B1051" i="1"/>
  <c r="C1051" i="1"/>
  <c r="E1051" i="1"/>
  <c r="G1051" i="1"/>
  <c r="H1051" i="1"/>
  <c r="A1052" i="1"/>
  <c r="B1052" i="1"/>
  <c r="C1052" i="1"/>
  <c r="E1052" i="1"/>
  <c r="G1052" i="1"/>
  <c r="H1052" i="1"/>
  <c r="A1053" i="1"/>
  <c r="B1053" i="1"/>
  <c r="C1053" i="1"/>
  <c r="E1053" i="1"/>
  <c r="G1053" i="1"/>
  <c r="H1053" i="1"/>
  <c r="A1054" i="1"/>
  <c r="B1054" i="1"/>
  <c r="C1054" i="1"/>
  <c r="E1054" i="1"/>
  <c r="G1054" i="1"/>
  <c r="H1054" i="1"/>
  <c r="A1055" i="1"/>
  <c r="B1055" i="1"/>
  <c r="C1055" i="1"/>
  <c r="E1055" i="1"/>
  <c r="G1055" i="1"/>
  <c r="H1055" i="1"/>
  <c r="A1056" i="1"/>
  <c r="B1056" i="1"/>
  <c r="C1056" i="1"/>
  <c r="E1056" i="1"/>
  <c r="G1056" i="1"/>
  <c r="H1056" i="1"/>
  <c r="A1057" i="1"/>
  <c r="B1057" i="1"/>
  <c r="C1057" i="1"/>
  <c r="E1057" i="1"/>
  <c r="G1057" i="1"/>
  <c r="H1057" i="1"/>
  <c r="A1058" i="1"/>
  <c r="B1058" i="1"/>
  <c r="C1058" i="1"/>
  <c r="E1058" i="1"/>
  <c r="G1058" i="1"/>
  <c r="H1058" i="1"/>
  <c r="A1059" i="1"/>
  <c r="B1059" i="1"/>
  <c r="C1059" i="1"/>
  <c r="E1059" i="1"/>
  <c r="G1059" i="1"/>
  <c r="H1059" i="1"/>
  <c r="A1060" i="1"/>
  <c r="B1060" i="1"/>
  <c r="C1060" i="1"/>
  <c r="E1060" i="1"/>
  <c r="G1060" i="1"/>
  <c r="H1060" i="1"/>
  <c r="A1061" i="1"/>
  <c r="B1061" i="1"/>
  <c r="C1061" i="1"/>
  <c r="E1061" i="1"/>
  <c r="G1061" i="1"/>
  <c r="H1061" i="1"/>
  <c r="A1062" i="1"/>
  <c r="B1062" i="1"/>
  <c r="C1062" i="1"/>
  <c r="E1062" i="1"/>
  <c r="G1062" i="1"/>
  <c r="H1062" i="1"/>
  <c r="A1063" i="1"/>
  <c r="B1063" i="1"/>
  <c r="C1063" i="1"/>
  <c r="E1063" i="1"/>
  <c r="G1063" i="1"/>
  <c r="H1063" i="1"/>
  <c r="A1064" i="1"/>
  <c r="B1064" i="1"/>
  <c r="C1064" i="1"/>
  <c r="E1064" i="1"/>
  <c r="G1064" i="1"/>
  <c r="H1064" i="1"/>
  <c r="A1065" i="1"/>
  <c r="B1065" i="1"/>
  <c r="C1065" i="1"/>
  <c r="E1065" i="1"/>
  <c r="G1065" i="1"/>
  <c r="H1065" i="1"/>
  <c r="A1066" i="1"/>
  <c r="B1066" i="1"/>
  <c r="C1066" i="1"/>
  <c r="E1066" i="1"/>
  <c r="G1066" i="1"/>
  <c r="H1066" i="1"/>
  <c r="A1067" i="1"/>
  <c r="B1067" i="1"/>
  <c r="C1067" i="1"/>
  <c r="E1067" i="1"/>
  <c r="G1067" i="1"/>
  <c r="H1067" i="1"/>
  <c r="A1068" i="1"/>
  <c r="B1068" i="1"/>
  <c r="C1068" i="1"/>
  <c r="E1068" i="1"/>
  <c r="G1068" i="1"/>
  <c r="H1068" i="1"/>
  <c r="A1069" i="1"/>
  <c r="B1069" i="1"/>
  <c r="C1069" i="1"/>
  <c r="E1069" i="1"/>
  <c r="G1069" i="1"/>
  <c r="H1069" i="1"/>
  <c r="A1070" i="1"/>
  <c r="B1070" i="1"/>
  <c r="C1070" i="1"/>
  <c r="E1070" i="1"/>
  <c r="G1070" i="1"/>
  <c r="H1070" i="1"/>
  <c r="A1071" i="1"/>
  <c r="B1071" i="1"/>
  <c r="C1071" i="1"/>
  <c r="E1071" i="1"/>
  <c r="G1071" i="1"/>
  <c r="H1071" i="1"/>
  <c r="A1072" i="1"/>
  <c r="B1072" i="1"/>
  <c r="C1072" i="1"/>
  <c r="E1072" i="1"/>
  <c r="G1072" i="1"/>
  <c r="H1072" i="1"/>
  <c r="A1073" i="1"/>
  <c r="B1073" i="1"/>
  <c r="C1073" i="1"/>
  <c r="E1073" i="1"/>
  <c r="G1073" i="1"/>
  <c r="H1073" i="1"/>
  <c r="A1074" i="1"/>
  <c r="B1074" i="1"/>
  <c r="C1074" i="1"/>
  <c r="E1074" i="1"/>
  <c r="G1074" i="1"/>
  <c r="H1074" i="1"/>
  <c r="A1075" i="1"/>
  <c r="B1075" i="1"/>
  <c r="C1075" i="1"/>
  <c r="E1075" i="1"/>
  <c r="G1075" i="1"/>
  <c r="H1075" i="1"/>
  <c r="A1076" i="1"/>
  <c r="B1076" i="1"/>
  <c r="C1076" i="1"/>
  <c r="E1076" i="1"/>
  <c r="G1076" i="1"/>
  <c r="H1076" i="1"/>
  <c r="A1077" i="1"/>
  <c r="B1077" i="1"/>
  <c r="C1077" i="1"/>
  <c r="E1077" i="1"/>
  <c r="G1077" i="1"/>
  <c r="H1077" i="1"/>
  <c r="A1078" i="1"/>
  <c r="B1078" i="1"/>
  <c r="C1078" i="1"/>
  <c r="E1078" i="1"/>
  <c r="G1078" i="1"/>
  <c r="H1078" i="1"/>
  <c r="A1079" i="1"/>
  <c r="B1079" i="1"/>
  <c r="C1079" i="1"/>
  <c r="E1079" i="1"/>
  <c r="G1079" i="1"/>
  <c r="H1079" i="1"/>
  <c r="A1080" i="1"/>
  <c r="B1080" i="1"/>
  <c r="C1080" i="1"/>
  <c r="E1080" i="1"/>
  <c r="G1080" i="1"/>
  <c r="H1080" i="1"/>
  <c r="A1081" i="1"/>
  <c r="B1081" i="1"/>
  <c r="C1081" i="1"/>
  <c r="E1081" i="1"/>
  <c r="G1081" i="1"/>
  <c r="H1081" i="1"/>
  <c r="A1082" i="1"/>
  <c r="B1082" i="1"/>
  <c r="C1082" i="1"/>
  <c r="E1082" i="1"/>
  <c r="G1082" i="1"/>
  <c r="H1082" i="1"/>
  <c r="A1083" i="1"/>
  <c r="B1083" i="1"/>
  <c r="C1083" i="1"/>
  <c r="E1083" i="1"/>
  <c r="G1083" i="1"/>
  <c r="H1083" i="1"/>
  <c r="A1084" i="1"/>
  <c r="B1084" i="1"/>
  <c r="C1084" i="1"/>
  <c r="E1084" i="1"/>
  <c r="G1084" i="1"/>
  <c r="H1084" i="1"/>
  <c r="A1085" i="1"/>
  <c r="B1085" i="1"/>
  <c r="C1085" i="1"/>
  <c r="E1085" i="1"/>
  <c r="G1085" i="1"/>
  <c r="H1085" i="1"/>
  <c r="A1086" i="1"/>
  <c r="B1086" i="1"/>
  <c r="C1086" i="1"/>
  <c r="E1086" i="1"/>
  <c r="G1086" i="1"/>
  <c r="H1086" i="1"/>
  <c r="A1087" i="1"/>
  <c r="B1087" i="1"/>
  <c r="C1087" i="1"/>
  <c r="E1087" i="1"/>
  <c r="G1087" i="1"/>
  <c r="H1087" i="1"/>
  <c r="A1088" i="1"/>
  <c r="B1088" i="1"/>
  <c r="C1088" i="1"/>
  <c r="E1088" i="1"/>
  <c r="G1088" i="1"/>
  <c r="H1088" i="1"/>
  <c r="A1089" i="1"/>
  <c r="B1089" i="1"/>
  <c r="C1089" i="1"/>
  <c r="E1089" i="1"/>
  <c r="G1089" i="1"/>
  <c r="H1089" i="1"/>
  <c r="A1090" i="1"/>
  <c r="B1090" i="1"/>
  <c r="C1090" i="1"/>
  <c r="E1090" i="1"/>
  <c r="G1090" i="1"/>
  <c r="H1090" i="1"/>
  <c r="A1091" i="1"/>
  <c r="B1091" i="1"/>
  <c r="C1091" i="1"/>
  <c r="E1091" i="1"/>
  <c r="G1091" i="1"/>
  <c r="H1091" i="1"/>
  <c r="A1092" i="1"/>
  <c r="B1092" i="1"/>
  <c r="C1092" i="1"/>
  <c r="E1092" i="1"/>
  <c r="G1092" i="1"/>
  <c r="H1092" i="1"/>
  <c r="A1093" i="1"/>
  <c r="B1093" i="1"/>
  <c r="C1093" i="1"/>
  <c r="E1093" i="1"/>
  <c r="G1093" i="1"/>
  <c r="H1093" i="1"/>
  <c r="A1094" i="1"/>
  <c r="B1094" i="1"/>
  <c r="C1094" i="1"/>
  <c r="E1094" i="1"/>
  <c r="G1094" i="1"/>
  <c r="H1094" i="1"/>
  <c r="A1095" i="1"/>
  <c r="B1095" i="1"/>
  <c r="C1095" i="1"/>
  <c r="E1095" i="1"/>
  <c r="G1095" i="1"/>
  <c r="H1095" i="1"/>
  <c r="A1096" i="1"/>
  <c r="B1096" i="1"/>
  <c r="C1096" i="1"/>
  <c r="E1096" i="1"/>
  <c r="G1096" i="1"/>
  <c r="H1096" i="1"/>
  <c r="A1097" i="1"/>
  <c r="B1097" i="1"/>
  <c r="C1097" i="1"/>
  <c r="E1097" i="1"/>
  <c r="G1097" i="1"/>
  <c r="H1097" i="1"/>
  <c r="A1098" i="1"/>
  <c r="B1098" i="1"/>
  <c r="C1098" i="1"/>
  <c r="E1098" i="1"/>
  <c r="G1098" i="1"/>
  <c r="H1098" i="1"/>
  <c r="A1099" i="1"/>
  <c r="B1099" i="1"/>
  <c r="C1099" i="1"/>
  <c r="E1099" i="1"/>
  <c r="G1099" i="1"/>
  <c r="H1099" i="1"/>
  <c r="A1100" i="1"/>
  <c r="B1100" i="1"/>
  <c r="C1100" i="1"/>
  <c r="E1100" i="1"/>
  <c r="G1100" i="1"/>
  <c r="H1100" i="1"/>
  <c r="A1101" i="1"/>
  <c r="B1101" i="1"/>
  <c r="C1101" i="1"/>
  <c r="E1101" i="1"/>
  <c r="G1101" i="1"/>
  <c r="H1101" i="1"/>
  <c r="A1102" i="1"/>
  <c r="B1102" i="1"/>
  <c r="C1102" i="1"/>
  <c r="E1102" i="1"/>
  <c r="G1102" i="1"/>
  <c r="H1102" i="1"/>
  <c r="A1103" i="1"/>
  <c r="B1103" i="1"/>
  <c r="C1103" i="1"/>
  <c r="E1103" i="1"/>
  <c r="G1103" i="1"/>
  <c r="H1103" i="1"/>
  <c r="A1104" i="1"/>
  <c r="B1104" i="1"/>
  <c r="C1104" i="1"/>
  <c r="E1104" i="1"/>
  <c r="G1104" i="1"/>
  <c r="H1104" i="1"/>
  <c r="A1105" i="1"/>
  <c r="B1105" i="1"/>
  <c r="C1105" i="1"/>
  <c r="E1105" i="1"/>
  <c r="G1105" i="1"/>
  <c r="H1105" i="1"/>
  <c r="A1106" i="1"/>
  <c r="B1106" i="1"/>
  <c r="C1106" i="1"/>
  <c r="E1106" i="1"/>
  <c r="G1106" i="1"/>
  <c r="H1106" i="1"/>
  <c r="A1107" i="1"/>
  <c r="B1107" i="1"/>
  <c r="C1107" i="1"/>
  <c r="E1107" i="1"/>
  <c r="G1107" i="1"/>
  <c r="H1107" i="1"/>
  <c r="A1108" i="1"/>
  <c r="B1108" i="1"/>
  <c r="C1108" i="1"/>
  <c r="E1108" i="1"/>
  <c r="G1108" i="1"/>
  <c r="H1108" i="1"/>
  <c r="A1109" i="1"/>
  <c r="B1109" i="1"/>
  <c r="C1109" i="1"/>
  <c r="E1109" i="1"/>
  <c r="G1109" i="1"/>
  <c r="H1109" i="1"/>
  <c r="A1110" i="1"/>
  <c r="B1110" i="1"/>
  <c r="C1110" i="1"/>
  <c r="E1110" i="1"/>
  <c r="G1110" i="1"/>
  <c r="H1110" i="1"/>
  <c r="A1111" i="1"/>
  <c r="B1111" i="1"/>
  <c r="C1111" i="1"/>
  <c r="E1111" i="1"/>
  <c r="G1111" i="1"/>
  <c r="H1111" i="1"/>
  <c r="A1112" i="1"/>
  <c r="B1112" i="1"/>
  <c r="C1112" i="1"/>
  <c r="E1112" i="1"/>
  <c r="G1112" i="1"/>
  <c r="H1112" i="1"/>
  <c r="A1113" i="1"/>
  <c r="B1113" i="1"/>
  <c r="C1113" i="1"/>
  <c r="E1113" i="1"/>
  <c r="G1113" i="1"/>
  <c r="H1113" i="1"/>
  <c r="A1114" i="1"/>
  <c r="B1114" i="1"/>
  <c r="C1114" i="1"/>
  <c r="E1114" i="1"/>
  <c r="G1114" i="1"/>
  <c r="H1114" i="1"/>
  <c r="A1115" i="1"/>
  <c r="B1115" i="1"/>
  <c r="C1115" i="1"/>
  <c r="E1115" i="1"/>
  <c r="G1115" i="1"/>
  <c r="H1115" i="1"/>
  <c r="A1116" i="1"/>
  <c r="B1116" i="1"/>
  <c r="C1116" i="1"/>
  <c r="E1116" i="1"/>
  <c r="G1116" i="1"/>
  <c r="H1116" i="1"/>
  <c r="A1117" i="1"/>
  <c r="B1117" i="1"/>
  <c r="C1117" i="1"/>
  <c r="E1117" i="1"/>
  <c r="G1117" i="1"/>
  <c r="H1117" i="1"/>
  <c r="A1118" i="1"/>
  <c r="B1118" i="1"/>
  <c r="C1118" i="1"/>
  <c r="E1118" i="1"/>
  <c r="G1118" i="1"/>
  <c r="H1118" i="1"/>
  <c r="A1119" i="1"/>
  <c r="B1119" i="1"/>
  <c r="C1119" i="1"/>
  <c r="E1119" i="1"/>
  <c r="G1119" i="1"/>
  <c r="H1119" i="1"/>
  <c r="A1120" i="1"/>
  <c r="B1120" i="1"/>
  <c r="C1120" i="1"/>
  <c r="E1120" i="1"/>
  <c r="G1120" i="1"/>
  <c r="H1120" i="1"/>
  <c r="A1121" i="1"/>
  <c r="B1121" i="1"/>
  <c r="C1121" i="1"/>
  <c r="E1121" i="1"/>
  <c r="G1121" i="1"/>
  <c r="H1121" i="1"/>
  <c r="A1122" i="1"/>
  <c r="B1122" i="1"/>
  <c r="C1122" i="1"/>
  <c r="E1122" i="1"/>
  <c r="G1122" i="1"/>
  <c r="H1122" i="1"/>
  <c r="A1123" i="1"/>
  <c r="B1123" i="1"/>
  <c r="C1123" i="1"/>
  <c r="E1123" i="1"/>
  <c r="G1123" i="1"/>
  <c r="H1123" i="1"/>
  <c r="A1124" i="1"/>
  <c r="B1124" i="1"/>
  <c r="C1124" i="1"/>
  <c r="E1124" i="1"/>
  <c r="G1124" i="1"/>
  <c r="H1124" i="1"/>
  <c r="A1125" i="1"/>
  <c r="B1125" i="1"/>
  <c r="C1125" i="1"/>
  <c r="E1125" i="1"/>
  <c r="G1125" i="1"/>
  <c r="H1125" i="1"/>
  <c r="A1126" i="1"/>
  <c r="B1126" i="1"/>
  <c r="C1126" i="1"/>
  <c r="E1126" i="1"/>
  <c r="G1126" i="1"/>
  <c r="H1126" i="1"/>
  <c r="A1127" i="1"/>
  <c r="B1127" i="1"/>
  <c r="C1127" i="1"/>
  <c r="E1127" i="1"/>
  <c r="G1127" i="1"/>
  <c r="H1127" i="1"/>
  <c r="A1128" i="1"/>
  <c r="B1128" i="1"/>
  <c r="C1128" i="1"/>
  <c r="E1128" i="1"/>
  <c r="G1128" i="1"/>
  <c r="H1128" i="1"/>
  <c r="A1129" i="1"/>
  <c r="B1129" i="1"/>
  <c r="C1129" i="1"/>
  <c r="E1129" i="1"/>
  <c r="G1129" i="1"/>
  <c r="H1129" i="1"/>
  <c r="A1130" i="1"/>
  <c r="B1130" i="1"/>
  <c r="C1130" i="1"/>
  <c r="E1130" i="1"/>
  <c r="G1130" i="1"/>
  <c r="H1130" i="1"/>
  <c r="A1131" i="1"/>
  <c r="B1131" i="1"/>
  <c r="C1131" i="1"/>
  <c r="E1131" i="1"/>
  <c r="G1131" i="1"/>
  <c r="H1131" i="1"/>
  <c r="A1132" i="1"/>
  <c r="B1132" i="1"/>
  <c r="C1132" i="1"/>
  <c r="E1132" i="1"/>
  <c r="G1132" i="1"/>
  <c r="H1132" i="1"/>
  <c r="A1133" i="1"/>
  <c r="B1133" i="1"/>
  <c r="C1133" i="1"/>
  <c r="E1133" i="1"/>
  <c r="G1133" i="1"/>
  <c r="H1133" i="1"/>
  <c r="A1134" i="1"/>
  <c r="B1134" i="1"/>
  <c r="C1134" i="1"/>
  <c r="E1134" i="1"/>
  <c r="G1134" i="1"/>
  <c r="H1134" i="1"/>
  <c r="A1135" i="1"/>
  <c r="B1135" i="1"/>
  <c r="C1135" i="1"/>
  <c r="E1135" i="1"/>
  <c r="G1135" i="1"/>
  <c r="H1135" i="1"/>
  <c r="A1136" i="1"/>
  <c r="B1136" i="1"/>
  <c r="C1136" i="1"/>
  <c r="E1136" i="1"/>
  <c r="G1136" i="1"/>
  <c r="H1136" i="1"/>
  <c r="A1137" i="1"/>
  <c r="B1137" i="1"/>
  <c r="C1137" i="1"/>
  <c r="E1137" i="1"/>
  <c r="G1137" i="1"/>
  <c r="H1137" i="1"/>
  <c r="A1138" i="1"/>
  <c r="B1138" i="1"/>
  <c r="C1138" i="1"/>
  <c r="E1138" i="1"/>
  <c r="G1138" i="1"/>
  <c r="H1138" i="1"/>
  <c r="A1139" i="1"/>
  <c r="B1139" i="1"/>
  <c r="C1139" i="1"/>
  <c r="E1139" i="1"/>
  <c r="G1139" i="1"/>
  <c r="H1139" i="1"/>
  <c r="A1140" i="1"/>
  <c r="B1140" i="1"/>
  <c r="C1140" i="1"/>
  <c r="E1140" i="1"/>
  <c r="G1140" i="1"/>
  <c r="H1140" i="1"/>
  <c r="A1141" i="1"/>
  <c r="B1141" i="1"/>
  <c r="C1141" i="1"/>
  <c r="E1141" i="1"/>
  <c r="G1141" i="1"/>
  <c r="H1141" i="1"/>
  <c r="A1142" i="1"/>
  <c r="B1142" i="1"/>
  <c r="C1142" i="1"/>
  <c r="E1142" i="1"/>
  <c r="G1142" i="1"/>
  <c r="H1142" i="1"/>
  <c r="A1143" i="1"/>
  <c r="B1143" i="1"/>
  <c r="C1143" i="1"/>
  <c r="E1143" i="1"/>
  <c r="G1143" i="1"/>
  <c r="H1143" i="1"/>
  <c r="A1144" i="1"/>
  <c r="B1144" i="1"/>
  <c r="C1144" i="1"/>
  <c r="E1144" i="1"/>
  <c r="G1144" i="1"/>
  <c r="H1144" i="1"/>
  <c r="A1145" i="1"/>
  <c r="B1145" i="1"/>
  <c r="C1145" i="1"/>
  <c r="E1145" i="1"/>
  <c r="G1145" i="1"/>
  <c r="H1145" i="1"/>
  <c r="A1146" i="1"/>
  <c r="B1146" i="1"/>
  <c r="C1146" i="1"/>
  <c r="E1146" i="1"/>
  <c r="G1146" i="1"/>
  <c r="H1146" i="1"/>
  <c r="A1147" i="1"/>
  <c r="B1147" i="1"/>
  <c r="C1147" i="1"/>
  <c r="E1147" i="1"/>
  <c r="G1147" i="1"/>
  <c r="H1147" i="1"/>
  <c r="A1148" i="1"/>
  <c r="B1148" i="1"/>
  <c r="C1148" i="1"/>
  <c r="E1148" i="1"/>
  <c r="G1148" i="1"/>
  <c r="H1148" i="1"/>
  <c r="A1149" i="1"/>
  <c r="B1149" i="1"/>
  <c r="C1149" i="1"/>
  <c r="E1149" i="1"/>
  <c r="G1149" i="1"/>
  <c r="H1149" i="1"/>
  <c r="A1150" i="1"/>
  <c r="B1150" i="1"/>
  <c r="C1150" i="1"/>
  <c r="E1150" i="1"/>
  <c r="G1150" i="1"/>
  <c r="H1150" i="1"/>
  <c r="A1151" i="1"/>
  <c r="B1151" i="1"/>
  <c r="C1151" i="1"/>
  <c r="E1151" i="1"/>
  <c r="G1151" i="1"/>
  <c r="H1151" i="1"/>
  <c r="A1152" i="1"/>
  <c r="B1152" i="1"/>
  <c r="C1152" i="1"/>
  <c r="E1152" i="1"/>
  <c r="G1152" i="1"/>
  <c r="H1152" i="1"/>
  <c r="A1153" i="1"/>
  <c r="B1153" i="1"/>
  <c r="C1153" i="1"/>
  <c r="E1153" i="1"/>
  <c r="G1153" i="1"/>
  <c r="H1153" i="1"/>
  <c r="A1154" i="1"/>
  <c r="B1154" i="1"/>
  <c r="C1154" i="1"/>
  <c r="E1154" i="1"/>
  <c r="G1154" i="1"/>
  <c r="H1154" i="1"/>
  <c r="A1155" i="1"/>
  <c r="B1155" i="1"/>
  <c r="C1155" i="1"/>
  <c r="E1155" i="1"/>
  <c r="G1155" i="1"/>
  <c r="H1155" i="1"/>
  <c r="A1156" i="1"/>
  <c r="B1156" i="1"/>
  <c r="C1156" i="1"/>
  <c r="E1156" i="1"/>
  <c r="G1156" i="1"/>
  <c r="H1156" i="1"/>
  <c r="A1157" i="1"/>
  <c r="B1157" i="1"/>
  <c r="C1157" i="1"/>
  <c r="E1157" i="1"/>
  <c r="G1157" i="1"/>
  <c r="H1157" i="1"/>
  <c r="A1158" i="1"/>
  <c r="B1158" i="1"/>
  <c r="C1158" i="1"/>
  <c r="E1158" i="1"/>
  <c r="G1158" i="1"/>
  <c r="H1158" i="1"/>
  <c r="A1159" i="1"/>
  <c r="B1159" i="1"/>
  <c r="C1159" i="1"/>
  <c r="E1159" i="1"/>
  <c r="G1159" i="1"/>
  <c r="H1159" i="1"/>
  <c r="A1160" i="1"/>
  <c r="B1160" i="1"/>
  <c r="C1160" i="1"/>
  <c r="E1160" i="1"/>
  <c r="G1160" i="1"/>
  <c r="H1160" i="1"/>
  <c r="A1161" i="1"/>
  <c r="B1161" i="1"/>
  <c r="C1161" i="1"/>
  <c r="E1161" i="1"/>
  <c r="G1161" i="1"/>
  <c r="H1161" i="1"/>
  <c r="A1162" i="1"/>
  <c r="B1162" i="1"/>
  <c r="C1162" i="1"/>
  <c r="E1162" i="1"/>
  <c r="G1162" i="1"/>
  <c r="H1162" i="1"/>
  <c r="A1163" i="1"/>
  <c r="B1163" i="1"/>
  <c r="C1163" i="1"/>
  <c r="E1163" i="1"/>
  <c r="G1163" i="1"/>
  <c r="H1163" i="1"/>
  <c r="A1164" i="1"/>
  <c r="B1164" i="1"/>
  <c r="C1164" i="1"/>
  <c r="E1164" i="1"/>
  <c r="G1164" i="1"/>
  <c r="H1164" i="1"/>
  <c r="A1165" i="1"/>
  <c r="B1165" i="1"/>
  <c r="C1165" i="1"/>
  <c r="E1165" i="1"/>
  <c r="G1165" i="1"/>
  <c r="H1165" i="1"/>
  <c r="A1166" i="1"/>
  <c r="B1166" i="1"/>
  <c r="C1166" i="1"/>
  <c r="E1166" i="1"/>
  <c r="G1166" i="1"/>
  <c r="H1166" i="1"/>
  <c r="A1167" i="1"/>
  <c r="B1167" i="1"/>
  <c r="C1167" i="1"/>
  <c r="E1167" i="1"/>
  <c r="G1167" i="1"/>
  <c r="H1167" i="1"/>
  <c r="A1168" i="1"/>
  <c r="B1168" i="1"/>
  <c r="C1168" i="1"/>
  <c r="E1168" i="1"/>
  <c r="G1168" i="1"/>
  <c r="H1168" i="1"/>
  <c r="A1169" i="1"/>
  <c r="B1169" i="1"/>
  <c r="C1169" i="1"/>
  <c r="E1169" i="1"/>
  <c r="G1169" i="1"/>
  <c r="H1169" i="1"/>
  <c r="A1170" i="1"/>
  <c r="B1170" i="1"/>
  <c r="C1170" i="1"/>
  <c r="E1170" i="1"/>
  <c r="G1170" i="1"/>
  <c r="H1170" i="1"/>
  <c r="A1171" i="1"/>
  <c r="B1171" i="1"/>
  <c r="C1171" i="1"/>
  <c r="E1171" i="1"/>
  <c r="G1171" i="1"/>
  <c r="H1171" i="1"/>
  <c r="A1172" i="1"/>
  <c r="B1172" i="1"/>
  <c r="C1172" i="1"/>
  <c r="E1172" i="1"/>
  <c r="G1172" i="1"/>
  <c r="H1172" i="1"/>
  <c r="A1173" i="1"/>
  <c r="B1173" i="1"/>
  <c r="C1173" i="1"/>
  <c r="E1173" i="1"/>
  <c r="G1173" i="1"/>
  <c r="H1173" i="1"/>
  <c r="A1174" i="1"/>
  <c r="B1174" i="1"/>
  <c r="C1174" i="1"/>
  <c r="E1174" i="1"/>
  <c r="G1174" i="1"/>
  <c r="H1174" i="1"/>
  <c r="A1175" i="1"/>
  <c r="B1175" i="1"/>
  <c r="C1175" i="1"/>
  <c r="E1175" i="1"/>
  <c r="G1175" i="1"/>
  <c r="H1175" i="1"/>
  <c r="A1176" i="1"/>
  <c r="B1176" i="1"/>
  <c r="C1176" i="1"/>
  <c r="E1176" i="1"/>
  <c r="G1176" i="1"/>
  <c r="H1176" i="1"/>
  <c r="A1177" i="1"/>
  <c r="B1177" i="1"/>
  <c r="C1177" i="1"/>
  <c r="E1177" i="1"/>
  <c r="G1177" i="1"/>
  <c r="H1177" i="1"/>
  <c r="A1178" i="1"/>
  <c r="B1178" i="1"/>
  <c r="C1178" i="1"/>
  <c r="E1178" i="1"/>
  <c r="G1178" i="1"/>
  <c r="H1178" i="1"/>
  <c r="A1179" i="1"/>
  <c r="B1179" i="1"/>
  <c r="C1179" i="1"/>
  <c r="E1179" i="1"/>
  <c r="G1179" i="1"/>
  <c r="H1179" i="1"/>
  <c r="A1180" i="1"/>
  <c r="B1180" i="1"/>
  <c r="C1180" i="1"/>
  <c r="E1180" i="1"/>
  <c r="G1180" i="1"/>
  <c r="H1180" i="1"/>
  <c r="A1181" i="1"/>
  <c r="B1181" i="1"/>
  <c r="C1181" i="1"/>
  <c r="E1181" i="1"/>
  <c r="G1181" i="1"/>
  <c r="H1181" i="1"/>
  <c r="A1182" i="1"/>
  <c r="B1182" i="1"/>
  <c r="C1182" i="1"/>
  <c r="E1182" i="1"/>
  <c r="G1182" i="1"/>
  <c r="H1182" i="1"/>
  <c r="A1183" i="1"/>
  <c r="B1183" i="1"/>
  <c r="C1183" i="1"/>
  <c r="E1183" i="1"/>
  <c r="G1183" i="1"/>
  <c r="H1183" i="1"/>
  <c r="A1184" i="1"/>
  <c r="B1184" i="1"/>
  <c r="C1184" i="1"/>
  <c r="E1184" i="1"/>
  <c r="G1184" i="1"/>
  <c r="H1184" i="1"/>
  <c r="A1185" i="1"/>
  <c r="B1185" i="1"/>
  <c r="C1185" i="1"/>
  <c r="E1185" i="1"/>
  <c r="G1185" i="1"/>
  <c r="H1185" i="1"/>
  <c r="A1186" i="1"/>
  <c r="B1186" i="1"/>
  <c r="C1186" i="1"/>
  <c r="E1186" i="1"/>
  <c r="G1186" i="1"/>
  <c r="H1186" i="1"/>
  <c r="A1187" i="1"/>
  <c r="B1187" i="1"/>
  <c r="C1187" i="1"/>
  <c r="E1187" i="1"/>
  <c r="G1187" i="1"/>
  <c r="H1187" i="1"/>
  <c r="A1188" i="1"/>
  <c r="B1188" i="1"/>
  <c r="C1188" i="1"/>
  <c r="E1188" i="1"/>
  <c r="G1188" i="1"/>
  <c r="H1188" i="1"/>
  <c r="A1189" i="1"/>
  <c r="B1189" i="1"/>
  <c r="C1189" i="1"/>
  <c r="E1189" i="1"/>
  <c r="G1189" i="1"/>
  <c r="H1189" i="1"/>
  <c r="A1190" i="1"/>
  <c r="B1190" i="1"/>
  <c r="C1190" i="1"/>
  <c r="E1190" i="1"/>
  <c r="G1190" i="1"/>
  <c r="H1190" i="1"/>
  <c r="A1191" i="1"/>
  <c r="B1191" i="1"/>
  <c r="C1191" i="1"/>
  <c r="E1191" i="1"/>
  <c r="G1191" i="1"/>
  <c r="H1191" i="1"/>
  <c r="A1192" i="1"/>
  <c r="B1192" i="1"/>
  <c r="C1192" i="1"/>
  <c r="E1192" i="1"/>
  <c r="G1192" i="1"/>
  <c r="H1192" i="1"/>
  <c r="A1193" i="1"/>
  <c r="B1193" i="1"/>
  <c r="C1193" i="1"/>
  <c r="E1193" i="1"/>
  <c r="G1193" i="1"/>
  <c r="H1193" i="1"/>
  <c r="A1194" i="1"/>
  <c r="B1194" i="1"/>
  <c r="C1194" i="1"/>
  <c r="E1194" i="1"/>
  <c r="G1194" i="1"/>
  <c r="H1194" i="1"/>
  <c r="A1195" i="1"/>
  <c r="B1195" i="1"/>
  <c r="C1195" i="1"/>
  <c r="E1195" i="1"/>
  <c r="G1195" i="1"/>
  <c r="H1195" i="1"/>
  <c r="A1196" i="1"/>
  <c r="B1196" i="1"/>
  <c r="C1196" i="1"/>
  <c r="E1196" i="1"/>
  <c r="G1196" i="1"/>
  <c r="H1196" i="1"/>
  <c r="A1197" i="1"/>
  <c r="B1197" i="1"/>
  <c r="C1197" i="1"/>
  <c r="E1197" i="1"/>
  <c r="G1197" i="1"/>
  <c r="H1197" i="1"/>
  <c r="A1198" i="1"/>
  <c r="B1198" i="1"/>
  <c r="C1198" i="1"/>
  <c r="E1198" i="1"/>
  <c r="G1198" i="1"/>
  <c r="H1198" i="1"/>
  <c r="A1199" i="1"/>
  <c r="B1199" i="1"/>
  <c r="C1199" i="1"/>
  <c r="E1199" i="1"/>
  <c r="G1199" i="1"/>
  <c r="H1199" i="1"/>
  <c r="A1200" i="1"/>
  <c r="B1200" i="1"/>
  <c r="C1200" i="1"/>
  <c r="E1200" i="1"/>
  <c r="G1200" i="1"/>
  <c r="H1200" i="1"/>
  <c r="A1201" i="1"/>
  <c r="B1201" i="1"/>
  <c r="C1201" i="1"/>
  <c r="E1201" i="1"/>
  <c r="G1201" i="1"/>
  <c r="H1201" i="1"/>
  <c r="A1202" i="1"/>
  <c r="B1202" i="1"/>
  <c r="C1202" i="1"/>
  <c r="E1202" i="1"/>
  <c r="G1202" i="1"/>
  <c r="H1202" i="1"/>
  <c r="A1203" i="1"/>
  <c r="B1203" i="1"/>
  <c r="C1203" i="1"/>
  <c r="E1203" i="1"/>
  <c r="G1203" i="1"/>
  <c r="H1203" i="1"/>
  <c r="A1204" i="1"/>
  <c r="B1204" i="1"/>
  <c r="C1204" i="1"/>
  <c r="E1204" i="1"/>
  <c r="G1204" i="1"/>
  <c r="H1204" i="1"/>
  <c r="A1205" i="1"/>
  <c r="B1205" i="1"/>
  <c r="C1205" i="1"/>
  <c r="E1205" i="1"/>
  <c r="G1205" i="1"/>
  <c r="H1205" i="1"/>
  <c r="A1206" i="1"/>
  <c r="B1206" i="1"/>
  <c r="C1206" i="1"/>
  <c r="E1206" i="1"/>
  <c r="G1206" i="1"/>
  <c r="H1206" i="1"/>
  <c r="A1207" i="1"/>
  <c r="B1207" i="1"/>
  <c r="C1207" i="1"/>
  <c r="E1207" i="1"/>
  <c r="G1207" i="1"/>
  <c r="H1207" i="1"/>
  <c r="A1208" i="1"/>
  <c r="B1208" i="1"/>
  <c r="C1208" i="1"/>
  <c r="E1208" i="1"/>
  <c r="G1208" i="1"/>
  <c r="H1208" i="1"/>
  <c r="A1209" i="1"/>
  <c r="B1209" i="1"/>
  <c r="C1209" i="1"/>
  <c r="E1209" i="1"/>
  <c r="G1209" i="1"/>
  <c r="H1209" i="1"/>
  <c r="A1210" i="1"/>
  <c r="B1210" i="1"/>
  <c r="C1210" i="1"/>
  <c r="E1210" i="1"/>
  <c r="G1210" i="1"/>
  <c r="H1210" i="1"/>
  <c r="A1211" i="1"/>
  <c r="B1211" i="1"/>
  <c r="C1211" i="1"/>
  <c r="E1211" i="1"/>
  <c r="G1211" i="1"/>
  <c r="H1211" i="1"/>
  <c r="A1212" i="1"/>
  <c r="B1212" i="1"/>
  <c r="C1212" i="1"/>
  <c r="E1212" i="1"/>
  <c r="G1212" i="1"/>
  <c r="H1212" i="1"/>
  <c r="A1213" i="1"/>
  <c r="B1213" i="1"/>
  <c r="C1213" i="1"/>
  <c r="E1213" i="1"/>
  <c r="G1213" i="1"/>
  <c r="H1213" i="1"/>
  <c r="A1214" i="1"/>
  <c r="B1214" i="1"/>
  <c r="C1214" i="1"/>
  <c r="E1214" i="1"/>
  <c r="G1214" i="1"/>
  <c r="H1214" i="1"/>
  <c r="A1215" i="1"/>
  <c r="B1215" i="1"/>
  <c r="C1215" i="1"/>
  <c r="E1215" i="1"/>
  <c r="G1215" i="1"/>
  <c r="H1215" i="1"/>
  <c r="A1216" i="1"/>
  <c r="B1216" i="1"/>
  <c r="C1216" i="1"/>
  <c r="E1216" i="1"/>
  <c r="G1216" i="1"/>
  <c r="H1216" i="1"/>
  <c r="A1217" i="1"/>
  <c r="B1217" i="1"/>
  <c r="C1217" i="1"/>
  <c r="E1217" i="1"/>
  <c r="G1217" i="1"/>
  <c r="H1217" i="1"/>
  <c r="A1218" i="1"/>
  <c r="B1218" i="1"/>
  <c r="C1218" i="1"/>
  <c r="E1218" i="1"/>
  <c r="G1218" i="1"/>
  <c r="H1218" i="1"/>
  <c r="A1219" i="1"/>
  <c r="B1219" i="1"/>
  <c r="C1219" i="1"/>
  <c r="E1219" i="1"/>
  <c r="G1219" i="1"/>
  <c r="H1219" i="1"/>
  <c r="A1220" i="1"/>
  <c r="B1220" i="1"/>
  <c r="C1220" i="1"/>
  <c r="E1220" i="1"/>
  <c r="G1220" i="1"/>
  <c r="H1220" i="1"/>
  <c r="A1221" i="1"/>
  <c r="B1221" i="1"/>
  <c r="C1221" i="1"/>
  <c r="E1221" i="1"/>
  <c r="G1221" i="1"/>
  <c r="H1221" i="1"/>
  <c r="A1222" i="1"/>
  <c r="B1222" i="1"/>
  <c r="C1222" i="1"/>
  <c r="E1222" i="1"/>
  <c r="G1222" i="1"/>
  <c r="H1222" i="1"/>
  <c r="A1223" i="1"/>
  <c r="B1223" i="1"/>
  <c r="C1223" i="1"/>
  <c r="E1223" i="1"/>
  <c r="G1223" i="1"/>
  <c r="H1223" i="1"/>
  <c r="A1224" i="1"/>
  <c r="B1224" i="1"/>
  <c r="C1224" i="1"/>
  <c r="E1224" i="1"/>
  <c r="G1224" i="1"/>
  <c r="H1224" i="1"/>
  <c r="A1225" i="1"/>
  <c r="B1225" i="1"/>
  <c r="C1225" i="1"/>
  <c r="E1225" i="1"/>
  <c r="G1225" i="1"/>
  <c r="H1225" i="1"/>
  <c r="A1226" i="1"/>
  <c r="B1226" i="1"/>
  <c r="C1226" i="1"/>
  <c r="E1226" i="1"/>
  <c r="G1226" i="1"/>
  <c r="H1226" i="1"/>
  <c r="A1227" i="1"/>
  <c r="B1227" i="1"/>
  <c r="C1227" i="1"/>
  <c r="E1227" i="1"/>
  <c r="G1227" i="1"/>
  <c r="H1227" i="1"/>
  <c r="A1228" i="1"/>
  <c r="B1228" i="1"/>
  <c r="C1228" i="1"/>
  <c r="E1228" i="1"/>
  <c r="G1228" i="1"/>
  <c r="H1228" i="1"/>
  <c r="A1229" i="1"/>
  <c r="B1229" i="1"/>
  <c r="C1229" i="1"/>
  <c r="E1229" i="1"/>
  <c r="G1229" i="1"/>
  <c r="H1229" i="1"/>
  <c r="A1230" i="1"/>
  <c r="B1230" i="1"/>
  <c r="C1230" i="1"/>
  <c r="E1230" i="1"/>
  <c r="G1230" i="1"/>
  <c r="H1230" i="1"/>
  <c r="A1231" i="1"/>
  <c r="B1231" i="1"/>
  <c r="C1231" i="1"/>
  <c r="E1231" i="1"/>
  <c r="G1231" i="1"/>
  <c r="H1231" i="1"/>
  <c r="A1232" i="1"/>
  <c r="B1232" i="1"/>
  <c r="C1232" i="1"/>
  <c r="E1232" i="1"/>
  <c r="G1232" i="1"/>
  <c r="H1232" i="1"/>
  <c r="A1233" i="1"/>
  <c r="B1233" i="1"/>
  <c r="C1233" i="1"/>
  <c r="E1233" i="1"/>
  <c r="G1233" i="1"/>
  <c r="H1233" i="1"/>
  <c r="A1234" i="1"/>
  <c r="B1234" i="1"/>
  <c r="C1234" i="1"/>
  <c r="E1234" i="1"/>
  <c r="G1234" i="1"/>
  <c r="H1234" i="1"/>
  <c r="A1235" i="1"/>
  <c r="B1235" i="1"/>
  <c r="C1235" i="1"/>
  <c r="E1235" i="1"/>
  <c r="G1235" i="1"/>
  <c r="H1235" i="1"/>
  <c r="A1236" i="1"/>
  <c r="B1236" i="1"/>
  <c r="C1236" i="1"/>
  <c r="E1236" i="1"/>
  <c r="G1236" i="1"/>
  <c r="H1236" i="1"/>
  <c r="A1237" i="1"/>
  <c r="B1237" i="1"/>
  <c r="C1237" i="1"/>
  <c r="E1237" i="1"/>
  <c r="G1237" i="1"/>
  <c r="H1237" i="1"/>
  <c r="A1238" i="1"/>
  <c r="B1238" i="1"/>
  <c r="C1238" i="1"/>
  <c r="E1238" i="1"/>
  <c r="G1238" i="1"/>
  <c r="H1238" i="1"/>
  <c r="A1239" i="1"/>
  <c r="B1239" i="1"/>
  <c r="C1239" i="1"/>
  <c r="E1239" i="1"/>
  <c r="G1239" i="1"/>
  <c r="H1239" i="1"/>
  <c r="A1240" i="1"/>
  <c r="B1240" i="1"/>
  <c r="C1240" i="1"/>
  <c r="E1240" i="1"/>
  <c r="G1240" i="1"/>
  <c r="H1240" i="1"/>
  <c r="A1241" i="1"/>
  <c r="B1241" i="1"/>
  <c r="C1241" i="1"/>
  <c r="E1241" i="1"/>
  <c r="G1241" i="1"/>
  <c r="H1241" i="1"/>
  <c r="A1242" i="1"/>
  <c r="B1242" i="1"/>
  <c r="C1242" i="1"/>
  <c r="E1242" i="1"/>
  <c r="G1242" i="1"/>
  <c r="H1242" i="1"/>
  <c r="A1243" i="1"/>
  <c r="B1243" i="1"/>
  <c r="C1243" i="1"/>
  <c r="E1243" i="1"/>
  <c r="G1243" i="1"/>
  <c r="H1243" i="1"/>
  <c r="A1244" i="1"/>
  <c r="B1244" i="1"/>
  <c r="C1244" i="1"/>
  <c r="E1244" i="1"/>
  <c r="G1244" i="1"/>
  <c r="H1244" i="1"/>
  <c r="A1245" i="1"/>
  <c r="B1245" i="1"/>
  <c r="C1245" i="1"/>
  <c r="E1245" i="1"/>
  <c r="G1245" i="1"/>
  <c r="H1245" i="1"/>
  <c r="A1246" i="1"/>
  <c r="B1246" i="1"/>
  <c r="C1246" i="1"/>
  <c r="E1246" i="1"/>
  <c r="G1246" i="1"/>
  <c r="H1246" i="1"/>
  <c r="A1247" i="1"/>
  <c r="B1247" i="1"/>
  <c r="C1247" i="1"/>
  <c r="E1247" i="1"/>
  <c r="G1247" i="1"/>
  <c r="H1247" i="1"/>
  <c r="A1248" i="1"/>
  <c r="B1248" i="1"/>
  <c r="C1248" i="1"/>
  <c r="E1248" i="1"/>
  <c r="G1248" i="1"/>
  <c r="H1248" i="1"/>
  <c r="A1249" i="1"/>
  <c r="B1249" i="1"/>
  <c r="C1249" i="1"/>
  <c r="E1249" i="1"/>
  <c r="G1249" i="1"/>
  <c r="H1249" i="1"/>
  <c r="A1250" i="1"/>
  <c r="B1250" i="1"/>
  <c r="C1250" i="1"/>
  <c r="E1250" i="1"/>
  <c r="G1250" i="1"/>
  <c r="H1250" i="1"/>
  <c r="A1251" i="1"/>
  <c r="B1251" i="1"/>
  <c r="C1251" i="1"/>
  <c r="E1251" i="1"/>
  <c r="G1251" i="1"/>
  <c r="H1251" i="1"/>
  <c r="A1252" i="1"/>
  <c r="B1252" i="1"/>
  <c r="C1252" i="1"/>
  <c r="E1252" i="1"/>
  <c r="G1252" i="1"/>
  <c r="H1252" i="1"/>
  <c r="A1253" i="1"/>
  <c r="B1253" i="1"/>
  <c r="C1253" i="1"/>
  <c r="E1253" i="1"/>
  <c r="G1253" i="1"/>
  <c r="H1253" i="1"/>
  <c r="A1254" i="1"/>
  <c r="B1254" i="1"/>
  <c r="C1254" i="1"/>
  <c r="E1254" i="1"/>
  <c r="G1254" i="1"/>
  <c r="H1254" i="1"/>
  <c r="A1255" i="1"/>
  <c r="B1255" i="1"/>
  <c r="C1255" i="1"/>
  <c r="E1255" i="1"/>
  <c r="G1255" i="1"/>
  <c r="H1255" i="1"/>
  <c r="A1256" i="1"/>
  <c r="B1256" i="1"/>
  <c r="C1256" i="1"/>
  <c r="E1256" i="1"/>
  <c r="G1256" i="1"/>
  <c r="H1256" i="1"/>
  <c r="A1257" i="1"/>
  <c r="B1257" i="1"/>
  <c r="C1257" i="1"/>
  <c r="E1257" i="1"/>
  <c r="G1257" i="1"/>
  <c r="H1257" i="1"/>
  <c r="A1258" i="1"/>
  <c r="B1258" i="1"/>
  <c r="C1258" i="1"/>
  <c r="E1258" i="1"/>
  <c r="G1258" i="1"/>
  <c r="H1258" i="1"/>
  <c r="A1259" i="1"/>
  <c r="B1259" i="1"/>
  <c r="C1259" i="1"/>
  <c r="E1259" i="1"/>
  <c r="G1259" i="1"/>
  <c r="H1259" i="1"/>
  <c r="A1260" i="1"/>
  <c r="B1260" i="1"/>
  <c r="C1260" i="1"/>
  <c r="E1260" i="1"/>
  <c r="G1260" i="1"/>
  <c r="H1260" i="1"/>
  <c r="A1261" i="1"/>
  <c r="B1261" i="1"/>
  <c r="C1261" i="1"/>
  <c r="E1261" i="1"/>
  <c r="G1261" i="1"/>
  <c r="H1261" i="1"/>
  <c r="A1262" i="1"/>
  <c r="B1262" i="1"/>
  <c r="C1262" i="1"/>
  <c r="E1262" i="1"/>
  <c r="G1262" i="1"/>
  <c r="H1262" i="1"/>
  <c r="A1263" i="1"/>
  <c r="B1263" i="1"/>
  <c r="C1263" i="1"/>
  <c r="E1263" i="1"/>
  <c r="G1263" i="1"/>
  <c r="H1263" i="1"/>
  <c r="A1264" i="1"/>
  <c r="B1264" i="1"/>
  <c r="C1264" i="1"/>
  <c r="E1264" i="1"/>
  <c r="G1264" i="1"/>
  <c r="H1264" i="1"/>
  <c r="A1265" i="1"/>
  <c r="B1265" i="1"/>
  <c r="C1265" i="1"/>
  <c r="E1265" i="1"/>
  <c r="G1265" i="1"/>
  <c r="H1265" i="1"/>
  <c r="A1266" i="1"/>
  <c r="B1266" i="1"/>
  <c r="C1266" i="1"/>
  <c r="E1266" i="1"/>
  <c r="G1266" i="1"/>
  <c r="H1266" i="1"/>
  <c r="A1267" i="1"/>
  <c r="B1267" i="1"/>
  <c r="C1267" i="1"/>
  <c r="E1267" i="1"/>
  <c r="G1267" i="1"/>
  <c r="H1267" i="1"/>
  <c r="A1268" i="1"/>
  <c r="B1268" i="1"/>
  <c r="C1268" i="1"/>
  <c r="E1268" i="1"/>
  <c r="G1268" i="1"/>
  <c r="H1268" i="1"/>
  <c r="A1269" i="1"/>
  <c r="B1269" i="1"/>
  <c r="C1269" i="1"/>
  <c r="E1269" i="1"/>
  <c r="G1269" i="1"/>
  <c r="H1269" i="1"/>
  <c r="A1270" i="1"/>
  <c r="B1270" i="1"/>
  <c r="C1270" i="1"/>
  <c r="E1270" i="1"/>
  <c r="G1270" i="1"/>
  <c r="H1270" i="1"/>
  <c r="A1271" i="1"/>
  <c r="B1271" i="1"/>
  <c r="C1271" i="1"/>
  <c r="E1271" i="1"/>
  <c r="G1271" i="1"/>
  <c r="H1271" i="1"/>
  <c r="A1272" i="1"/>
  <c r="B1272" i="1"/>
  <c r="C1272" i="1"/>
  <c r="E1272" i="1"/>
  <c r="G1272" i="1"/>
  <c r="H1272" i="1"/>
  <c r="A1273" i="1"/>
  <c r="B1273" i="1"/>
  <c r="C1273" i="1"/>
  <c r="E1273" i="1"/>
  <c r="G1273" i="1"/>
  <c r="H1273" i="1"/>
  <c r="A1274" i="1"/>
  <c r="B1274" i="1"/>
  <c r="C1274" i="1"/>
  <c r="E1274" i="1"/>
  <c r="G1274" i="1"/>
  <c r="H1274" i="1"/>
  <c r="A1275" i="1"/>
  <c r="B1275" i="1"/>
  <c r="C1275" i="1"/>
  <c r="E1275" i="1"/>
  <c r="G1275" i="1"/>
  <c r="H1275" i="1"/>
  <c r="A1276" i="1"/>
  <c r="B1276" i="1"/>
  <c r="C1276" i="1"/>
  <c r="E1276" i="1"/>
  <c r="G1276" i="1"/>
  <c r="H1276" i="1"/>
  <c r="A1277" i="1"/>
  <c r="B1277" i="1"/>
  <c r="C1277" i="1"/>
  <c r="E1277" i="1"/>
  <c r="G1277" i="1"/>
  <c r="H1277" i="1"/>
  <c r="A1278" i="1"/>
  <c r="B1278" i="1"/>
  <c r="C1278" i="1"/>
  <c r="E1278" i="1"/>
  <c r="G1278" i="1"/>
  <c r="H1278" i="1"/>
  <c r="A1279" i="1"/>
  <c r="B1279" i="1"/>
  <c r="C1279" i="1"/>
  <c r="E1279" i="1"/>
  <c r="G1279" i="1"/>
  <c r="H1279" i="1"/>
  <c r="A1280" i="1"/>
  <c r="B1280" i="1"/>
  <c r="C1280" i="1"/>
  <c r="E1280" i="1"/>
  <c r="G1280" i="1"/>
  <c r="H1280" i="1"/>
  <c r="A1281" i="1"/>
  <c r="B1281" i="1"/>
  <c r="C1281" i="1"/>
  <c r="E1281" i="1"/>
  <c r="G1281" i="1"/>
  <c r="H1281" i="1"/>
  <c r="A1282" i="1"/>
  <c r="B1282" i="1"/>
  <c r="C1282" i="1"/>
  <c r="E1282" i="1"/>
  <c r="G1282" i="1"/>
  <c r="H1282" i="1"/>
  <c r="A1283" i="1"/>
  <c r="B1283" i="1"/>
  <c r="C1283" i="1"/>
  <c r="E1283" i="1"/>
  <c r="G1283" i="1"/>
  <c r="H1283" i="1"/>
  <c r="A1284" i="1"/>
  <c r="B1284" i="1"/>
  <c r="C1284" i="1"/>
  <c r="E1284" i="1"/>
  <c r="G1284" i="1"/>
  <c r="H1284" i="1"/>
  <c r="A1285" i="1"/>
  <c r="B1285" i="1"/>
  <c r="C1285" i="1"/>
  <c r="E1285" i="1"/>
  <c r="G1285" i="1"/>
  <c r="H1285" i="1"/>
  <c r="A1286" i="1"/>
  <c r="B1286" i="1"/>
  <c r="C1286" i="1"/>
  <c r="E1286" i="1"/>
  <c r="G1286" i="1"/>
  <c r="H1286" i="1"/>
  <c r="A1287" i="1"/>
  <c r="B1287" i="1"/>
  <c r="C1287" i="1"/>
  <c r="E1287" i="1"/>
  <c r="G1287" i="1"/>
  <c r="H1287" i="1"/>
  <c r="A1288" i="1"/>
  <c r="B1288" i="1"/>
  <c r="C1288" i="1"/>
  <c r="E1288" i="1"/>
  <c r="G1288" i="1"/>
  <c r="H1288" i="1"/>
  <c r="A1289" i="1"/>
  <c r="B1289" i="1"/>
  <c r="C1289" i="1"/>
  <c r="E1289" i="1"/>
  <c r="G1289" i="1"/>
  <c r="H1289" i="1"/>
  <c r="A1290" i="1"/>
  <c r="B1290" i="1"/>
  <c r="C1290" i="1"/>
  <c r="E1290" i="1"/>
  <c r="G1290" i="1"/>
  <c r="H1290" i="1"/>
  <c r="A1291" i="1"/>
  <c r="B1291" i="1"/>
  <c r="C1291" i="1"/>
  <c r="E1291" i="1"/>
  <c r="G1291" i="1"/>
  <c r="H1291" i="1"/>
  <c r="A1292" i="1"/>
  <c r="B1292" i="1"/>
  <c r="C1292" i="1"/>
  <c r="E1292" i="1"/>
  <c r="G1292" i="1"/>
  <c r="H1292" i="1"/>
  <c r="A1293" i="1"/>
  <c r="B1293" i="1"/>
  <c r="C1293" i="1"/>
  <c r="E1293" i="1"/>
  <c r="G1293" i="1"/>
  <c r="H1293" i="1"/>
  <c r="A1294" i="1"/>
  <c r="B1294" i="1"/>
  <c r="C1294" i="1"/>
  <c r="E1294" i="1"/>
  <c r="G1294" i="1"/>
  <c r="H1294" i="1"/>
  <c r="A1295" i="1"/>
  <c r="B1295" i="1"/>
  <c r="C1295" i="1"/>
  <c r="E1295" i="1"/>
  <c r="G1295" i="1"/>
  <c r="H1295" i="1"/>
  <c r="A1296" i="1"/>
  <c r="B1296" i="1"/>
  <c r="C1296" i="1"/>
  <c r="E1296" i="1"/>
  <c r="G1296" i="1"/>
  <c r="H1296" i="1"/>
  <c r="A1297" i="1"/>
  <c r="B1297" i="1"/>
  <c r="C1297" i="1"/>
  <c r="E1297" i="1"/>
  <c r="G1297" i="1"/>
  <c r="H1297" i="1"/>
  <c r="A1298" i="1"/>
  <c r="B1298" i="1"/>
  <c r="C1298" i="1"/>
  <c r="E1298" i="1"/>
  <c r="G1298" i="1"/>
  <c r="H1298" i="1"/>
  <c r="A1299" i="1"/>
  <c r="B1299" i="1"/>
  <c r="C1299" i="1"/>
  <c r="E1299" i="1"/>
  <c r="G1299" i="1"/>
  <c r="H1299" i="1"/>
  <c r="A1300" i="1"/>
  <c r="B1300" i="1"/>
  <c r="C1300" i="1"/>
  <c r="E1300" i="1"/>
  <c r="G1300" i="1"/>
  <c r="H1300" i="1"/>
  <c r="A1301" i="1"/>
  <c r="B1301" i="1"/>
  <c r="C1301" i="1"/>
  <c r="E1301" i="1"/>
  <c r="G1301" i="1"/>
  <c r="H1301" i="1"/>
  <c r="A1302" i="1"/>
  <c r="B1302" i="1"/>
  <c r="C1302" i="1"/>
  <c r="E1302" i="1"/>
  <c r="G1302" i="1"/>
  <c r="H1302" i="1"/>
  <c r="A1303" i="1"/>
  <c r="B1303" i="1"/>
  <c r="C1303" i="1"/>
  <c r="E1303" i="1"/>
  <c r="G1303" i="1"/>
  <c r="H1303" i="1"/>
  <c r="A1304" i="1"/>
  <c r="B1304" i="1"/>
  <c r="C1304" i="1"/>
  <c r="E1304" i="1"/>
  <c r="G1304" i="1"/>
  <c r="H1304" i="1"/>
  <c r="A1305" i="1"/>
  <c r="B1305" i="1"/>
  <c r="C1305" i="1"/>
  <c r="E1305" i="1"/>
  <c r="G1305" i="1"/>
  <c r="H1305" i="1"/>
  <c r="A1306" i="1"/>
  <c r="B1306" i="1"/>
  <c r="C1306" i="1"/>
  <c r="E1306" i="1"/>
  <c r="G1306" i="1"/>
  <c r="H1306" i="1"/>
  <c r="A1307" i="1"/>
  <c r="B1307" i="1"/>
  <c r="C1307" i="1"/>
  <c r="E1307" i="1"/>
  <c r="G1307" i="1"/>
  <c r="H1307" i="1"/>
  <c r="A1308" i="1"/>
  <c r="B1308" i="1"/>
  <c r="C1308" i="1"/>
  <c r="E1308" i="1"/>
  <c r="G1308" i="1"/>
  <c r="H1308" i="1"/>
  <c r="A1309" i="1"/>
  <c r="B1309" i="1"/>
  <c r="C1309" i="1"/>
  <c r="E1309" i="1"/>
  <c r="G1309" i="1"/>
  <c r="H1309" i="1"/>
  <c r="A1310" i="1"/>
  <c r="B1310" i="1"/>
  <c r="C1310" i="1"/>
  <c r="E1310" i="1"/>
  <c r="G1310" i="1"/>
  <c r="H1310" i="1"/>
  <c r="A1311" i="1"/>
  <c r="B1311" i="1"/>
  <c r="C1311" i="1"/>
  <c r="E1311" i="1"/>
  <c r="G1311" i="1"/>
  <c r="H1311" i="1"/>
  <c r="A1312" i="1"/>
  <c r="B1312" i="1"/>
  <c r="C1312" i="1"/>
  <c r="E1312" i="1"/>
  <c r="G1312" i="1"/>
  <c r="H1312" i="1"/>
  <c r="A1313" i="1"/>
  <c r="B1313" i="1"/>
  <c r="C1313" i="1"/>
  <c r="E1313" i="1"/>
  <c r="G1313" i="1"/>
  <c r="H1313" i="1"/>
  <c r="A1314" i="1"/>
  <c r="B1314" i="1"/>
  <c r="C1314" i="1"/>
  <c r="E1314" i="1"/>
  <c r="G1314" i="1"/>
  <c r="H1314" i="1"/>
  <c r="A1315" i="1"/>
  <c r="B1315" i="1"/>
  <c r="C1315" i="1"/>
  <c r="E1315" i="1"/>
  <c r="G1315" i="1"/>
  <c r="H1315" i="1"/>
  <c r="A1316" i="1"/>
  <c r="B1316" i="1"/>
  <c r="C1316" i="1"/>
  <c r="E1316" i="1"/>
  <c r="G1316" i="1"/>
  <c r="H1316" i="1"/>
  <c r="A1317" i="1"/>
  <c r="B1317" i="1"/>
  <c r="C1317" i="1"/>
  <c r="E1317" i="1"/>
  <c r="G1317" i="1"/>
  <c r="H1317" i="1"/>
  <c r="A1318" i="1"/>
  <c r="B1318" i="1"/>
  <c r="C1318" i="1"/>
  <c r="E1318" i="1"/>
  <c r="G1318" i="1"/>
  <c r="H1318" i="1"/>
  <c r="A1319" i="1"/>
  <c r="B1319" i="1"/>
  <c r="C1319" i="1"/>
  <c r="E1319" i="1"/>
  <c r="G1319" i="1"/>
  <c r="H1319" i="1"/>
  <c r="A1320" i="1"/>
  <c r="B1320" i="1"/>
  <c r="C1320" i="1"/>
  <c r="E1320" i="1"/>
  <c r="G1320" i="1"/>
  <c r="H1320" i="1"/>
  <c r="A1321" i="1"/>
  <c r="B1321" i="1"/>
  <c r="C1321" i="1"/>
  <c r="E1321" i="1"/>
  <c r="G1321" i="1"/>
  <c r="H1321" i="1"/>
  <c r="A1322" i="1"/>
  <c r="B1322" i="1"/>
  <c r="C1322" i="1"/>
  <c r="E1322" i="1"/>
  <c r="G1322" i="1"/>
  <c r="H1322" i="1"/>
  <c r="A1323" i="1"/>
  <c r="B1323" i="1"/>
  <c r="C1323" i="1"/>
  <c r="E1323" i="1"/>
  <c r="G1323" i="1"/>
  <c r="H1323" i="1"/>
  <c r="A1324" i="1"/>
  <c r="B1324" i="1"/>
  <c r="C1324" i="1"/>
  <c r="E1324" i="1"/>
  <c r="G1324" i="1"/>
  <c r="H1324" i="1"/>
  <c r="A1325" i="1"/>
  <c r="B1325" i="1"/>
  <c r="C1325" i="1"/>
  <c r="E1325" i="1"/>
  <c r="G1325" i="1"/>
  <c r="H1325" i="1"/>
  <c r="A1326" i="1"/>
  <c r="B1326" i="1"/>
  <c r="C1326" i="1"/>
  <c r="E1326" i="1"/>
  <c r="G1326" i="1"/>
  <c r="H1326" i="1"/>
  <c r="A1327" i="1"/>
  <c r="B1327" i="1"/>
  <c r="C1327" i="1"/>
  <c r="E1327" i="1"/>
  <c r="G1327" i="1"/>
  <c r="H1327" i="1"/>
  <c r="A1328" i="1"/>
  <c r="B1328" i="1"/>
  <c r="C1328" i="1"/>
  <c r="E1328" i="1"/>
  <c r="G1328" i="1"/>
  <c r="H1328" i="1"/>
  <c r="A1329" i="1"/>
  <c r="B1329" i="1"/>
  <c r="C1329" i="1"/>
  <c r="E1329" i="1"/>
  <c r="G1329" i="1"/>
  <c r="H1329" i="1"/>
  <c r="A1330" i="1"/>
  <c r="B1330" i="1"/>
  <c r="C1330" i="1"/>
  <c r="E1330" i="1"/>
  <c r="G1330" i="1"/>
  <c r="H1330" i="1"/>
  <c r="A1331" i="1"/>
  <c r="B1331" i="1"/>
  <c r="C1331" i="1"/>
  <c r="E1331" i="1"/>
  <c r="G1331" i="1"/>
  <c r="H1331" i="1"/>
  <c r="A1332" i="1"/>
  <c r="B1332" i="1"/>
  <c r="C1332" i="1"/>
  <c r="E1332" i="1"/>
  <c r="G1332" i="1"/>
  <c r="H1332" i="1"/>
  <c r="A1333" i="1"/>
  <c r="B1333" i="1"/>
  <c r="C1333" i="1"/>
  <c r="E1333" i="1"/>
  <c r="G1333" i="1"/>
  <c r="H1333" i="1"/>
  <c r="A1334" i="1"/>
  <c r="B1334" i="1"/>
  <c r="C1334" i="1"/>
  <c r="E1334" i="1"/>
  <c r="G1334" i="1"/>
  <c r="H1334" i="1"/>
  <c r="A1335" i="1"/>
  <c r="B1335" i="1"/>
  <c r="C1335" i="1"/>
  <c r="E1335" i="1"/>
  <c r="G1335" i="1"/>
  <c r="H1335" i="1"/>
  <c r="A1336" i="1"/>
  <c r="B1336" i="1"/>
  <c r="C1336" i="1"/>
  <c r="E1336" i="1"/>
  <c r="G1336" i="1"/>
  <c r="H1336" i="1"/>
  <c r="A1337" i="1"/>
  <c r="B1337" i="1"/>
  <c r="C1337" i="1"/>
  <c r="E1337" i="1"/>
  <c r="G1337" i="1"/>
  <c r="H1337" i="1"/>
  <c r="A1338" i="1"/>
  <c r="B1338" i="1"/>
  <c r="C1338" i="1"/>
  <c r="E1338" i="1"/>
  <c r="G1338" i="1"/>
  <c r="H1338" i="1"/>
  <c r="A1339" i="1"/>
  <c r="B1339" i="1"/>
  <c r="C1339" i="1"/>
  <c r="E1339" i="1"/>
  <c r="G1339" i="1"/>
  <c r="H1339" i="1"/>
  <c r="A1340" i="1"/>
  <c r="B1340" i="1"/>
  <c r="C1340" i="1"/>
  <c r="E1340" i="1"/>
  <c r="G1340" i="1"/>
  <c r="H1340" i="1"/>
  <c r="A1341" i="1"/>
  <c r="B1341" i="1"/>
  <c r="C1341" i="1"/>
  <c r="E1341" i="1"/>
  <c r="G1341" i="1"/>
  <c r="H1341" i="1"/>
  <c r="A1342" i="1"/>
  <c r="B1342" i="1"/>
  <c r="C1342" i="1"/>
  <c r="E1342" i="1"/>
  <c r="G1342" i="1"/>
  <c r="H1342" i="1"/>
  <c r="A1343" i="1"/>
  <c r="B1343" i="1"/>
  <c r="C1343" i="1"/>
  <c r="E1343" i="1"/>
  <c r="G1343" i="1"/>
  <c r="H1343" i="1"/>
  <c r="A1344" i="1"/>
  <c r="B1344" i="1"/>
  <c r="C1344" i="1"/>
  <c r="E1344" i="1"/>
  <c r="G1344" i="1"/>
  <c r="H1344" i="1"/>
  <c r="A1345" i="1"/>
  <c r="B1345" i="1"/>
  <c r="C1345" i="1"/>
  <c r="E1345" i="1"/>
  <c r="G1345" i="1"/>
  <c r="H1345" i="1"/>
  <c r="A1346" i="1"/>
  <c r="B1346" i="1"/>
  <c r="C1346" i="1"/>
  <c r="E1346" i="1"/>
  <c r="G1346" i="1"/>
  <c r="H1346" i="1"/>
  <c r="A1347" i="1"/>
  <c r="B1347" i="1"/>
  <c r="C1347" i="1"/>
  <c r="E1347" i="1"/>
  <c r="G1347" i="1"/>
  <c r="H1347" i="1"/>
  <c r="A1348" i="1"/>
  <c r="B1348" i="1"/>
  <c r="C1348" i="1"/>
  <c r="E1348" i="1"/>
  <c r="G1348" i="1"/>
  <c r="H1348" i="1"/>
  <c r="A1349" i="1"/>
  <c r="B1349" i="1"/>
  <c r="C1349" i="1"/>
  <c r="E1349" i="1"/>
  <c r="G1349" i="1"/>
  <c r="H1349" i="1"/>
  <c r="A1350" i="1"/>
  <c r="B1350" i="1"/>
  <c r="C1350" i="1"/>
  <c r="E1350" i="1"/>
  <c r="G1350" i="1"/>
  <c r="H1350" i="1"/>
  <c r="A1351" i="1"/>
  <c r="B1351" i="1"/>
  <c r="C1351" i="1"/>
  <c r="E1351" i="1"/>
  <c r="G1351" i="1"/>
  <c r="H1351" i="1"/>
  <c r="A1352" i="1"/>
  <c r="B1352" i="1"/>
  <c r="C1352" i="1"/>
  <c r="E1352" i="1"/>
  <c r="G1352" i="1"/>
  <c r="H1352" i="1"/>
  <c r="A1353" i="1"/>
  <c r="B1353" i="1"/>
  <c r="C1353" i="1"/>
  <c r="E1353" i="1"/>
  <c r="G1353" i="1"/>
  <c r="H1353" i="1"/>
  <c r="A1354" i="1"/>
  <c r="B1354" i="1"/>
  <c r="C1354" i="1"/>
  <c r="E1354" i="1"/>
  <c r="G1354" i="1"/>
  <c r="H1354" i="1"/>
  <c r="A1355" i="1"/>
  <c r="B1355" i="1"/>
  <c r="C1355" i="1"/>
  <c r="E1355" i="1"/>
  <c r="G1355" i="1"/>
  <c r="H1355" i="1"/>
  <c r="A1356" i="1"/>
  <c r="B1356" i="1"/>
  <c r="C1356" i="1"/>
  <c r="E1356" i="1"/>
  <c r="G1356" i="1"/>
  <c r="H1356" i="1"/>
  <c r="A1357" i="1"/>
  <c r="B1357" i="1"/>
  <c r="C1357" i="1"/>
  <c r="E1357" i="1"/>
  <c r="G1357" i="1"/>
  <c r="H1357" i="1"/>
  <c r="A1358" i="1"/>
  <c r="B1358" i="1"/>
  <c r="C1358" i="1"/>
  <c r="E1358" i="1"/>
  <c r="G1358" i="1"/>
  <c r="H1358" i="1"/>
  <c r="A1359" i="1"/>
  <c r="B1359" i="1"/>
  <c r="C1359" i="1"/>
  <c r="E1359" i="1"/>
  <c r="G1359" i="1"/>
  <c r="H1359" i="1"/>
  <c r="A1360" i="1"/>
  <c r="B1360" i="1"/>
  <c r="C1360" i="1"/>
  <c r="E1360" i="1"/>
  <c r="G1360" i="1"/>
  <c r="H1360" i="1"/>
  <c r="A1361" i="1"/>
  <c r="B1361" i="1"/>
  <c r="C1361" i="1"/>
  <c r="E1361" i="1"/>
  <c r="G1361" i="1"/>
  <c r="H1361" i="1"/>
  <c r="A1362" i="1"/>
  <c r="B1362" i="1"/>
  <c r="C1362" i="1"/>
  <c r="E1362" i="1"/>
  <c r="G1362" i="1"/>
  <c r="H1362" i="1"/>
  <c r="A1363" i="1"/>
  <c r="B1363" i="1"/>
  <c r="C1363" i="1"/>
  <c r="E1363" i="1"/>
  <c r="G1363" i="1"/>
  <c r="H1363" i="1"/>
  <c r="A1364" i="1"/>
  <c r="B1364" i="1"/>
  <c r="C1364" i="1"/>
  <c r="E1364" i="1"/>
  <c r="G1364" i="1"/>
  <c r="H1364" i="1"/>
  <c r="A1365" i="1"/>
  <c r="B1365" i="1"/>
  <c r="C1365" i="1"/>
  <c r="E1365" i="1"/>
  <c r="G1365" i="1"/>
  <c r="H1365" i="1"/>
  <c r="A1366" i="1"/>
  <c r="B1366" i="1"/>
  <c r="C1366" i="1"/>
  <c r="E1366" i="1"/>
  <c r="G1366" i="1"/>
  <c r="H1366" i="1"/>
  <c r="A1367" i="1"/>
  <c r="B1367" i="1"/>
  <c r="C1367" i="1"/>
  <c r="E1367" i="1"/>
  <c r="G1367" i="1"/>
  <c r="H1367" i="1"/>
  <c r="A1368" i="1"/>
  <c r="B1368" i="1"/>
  <c r="C1368" i="1"/>
  <c r="E1368" i="1"/>
  <c r="G1368" i="1"/>
  <c r="H1368" i="1"/>
  <c r="A1369" i="1"/>
  <c r="B1369" i="1"/>
  <c r="C1369" i="1"/>
  <c r="E1369" i="1"/>
  <c r="G1369" i="1"/>
  <c r="H1369" i="1"/>
  <c r="A1370" i="1"/>
  <c r="B1370" i="1"/>
  <c r="C1370" i="1"/>
  <c r="E1370" i="1"/>
  <c r="G1370" i="1"/>
  <c r="H1370" i="1"/>
  <c r="A1371" i="1"/>
  <c r="B1371" i="1"/>
  <c r="C1371" i="1"/>
  <c r="E1371" i="1"/>
  <c r="G1371" i="1"/>
  <c r="H1371" i="1"/>
  <c r="A1372" i="1"/>
  <c r="B1372" i="1"/>
  <c r="C1372" i="1"/>
  <c r="E1372" i="1"/>
  <c r="G1372" i="1"/>
  <c r="H1372" i="1"/>
  <c r="A1373" i="1"/>
  <c r="B1373" i="1"/>
  <c r="C1373" i="1"/>
  <c r="E1373" i="1"/>
  <c r="G1373" i="1"/>
  <c r="H1373" i="1"/>
  <c r="A1374" i="1"/>
  <c r="B1374" i="1"/>
  <c r="C1374" i="1"/>
  <c r="E1374" i="1"/>
  <c r="G1374" i="1"/>
  <c r="H1374" i="1"/>
  <c r="A1375" i="1"/>
  <c r="B1375" i="1"/>
  <c r="C1375" i="1"/>
  <c r="E1375" i="1"/>
  <c r="G1375" i="1"/>
  <c r="H1375" i="1"/>
  <c r="A1376" i="1"/>
  <c r="B1376" i="1"/>
  <c r="C1376" i="1"/>
  <c r="E1376" i="1"/>
  <c r="G1376" i="1"/>
  <c r="H1376" i="1"/>
  <c r="A1377" i="1"/>
  <c r="B1377" i="1"/>
  <c r="C1377" i="1"/>
  <c r="E1377" i="1"/>
  <c r="G1377" i="1"/>
  <c r="H1377" i="1"/>
  <c r="A1378" i="1"/>
  <c r="B1378" i="1"/>
  <c r="C1378" i="1"/>
  <c r="E1378" i="1"/>
  <c r="G1378" i="1"/>
  <c r="H1378" i="1"/>
  <c r="A1379" i="1"/>
  <c r="B1379" i="1"/>
  <c r="C1379" i="1"/>
  <c r="E1379" i="1"/>
  <c r="G1379" i="1"/>
  <c r="H1379" i="1"/>
  <c r="A1380" i="1"/>
  <c r="B1380" i="1"/>
  <c r="C1380" i="1"/>
  <c r="E1380" i="1"/>
  <c r="G1380" i="1"/>
  <c r="H1380" i="1"/>
  <c r="A1381" i="1"/>
  <c r="B1381" i="1"/>
  <c r="C1381" i="1"/>
  <c r="E1381" i="1"/>
  <c r="G1381" i="1"/>
  <c r="H1381" i="1"/>
  <c r="A1382" i="1"/>
  <c r="B1382" i="1"/>
  <c r="C1382" i="1"/>
  <c r="E1382" i="1"/>
  <c r="G1382" i="1"/>
  <c r="H1382" i="1"/>
  <c r="A1383" i="1"/>
  <c r="B1383" i="1"/>
  <c r="C1383" i="1"/>
  <c r="E1383" i="1"/>
  <c r="G1383" i="1"/>
  <c r="H1383" i="1"/>
  <c r="A1384" i="1"/>
  <c r="B1384" i="1"/>
  <c r="C1384" i="1"/>
  <c r="E1384" i="1"/>
  <c r="G1384" i="1"/>
  <c r="H1384" i="1"/>
  <c r="A1385" i="1"/>
  <c r="B1385" i="1"/>
  <c r="C1385" i="1"/>
  <c r="E1385" i="1"/>
  <c r="G1385" i="1"/>
  <c r="H1385" i="1"/>
  <c r="A1386" i="1"/>
  <c r="B1386" i="1"/>
  <c r="C1386" i="1"/>
  <c r="E1386" i="1"/>
  <c r="G1386" i="1"/>
  <c r="H1386" i="1"/>
  <c r="A1387" i="1"/>
  <c r="B1387" i="1"/>
  <c r="C1387" i="1"/>
  <c r="E1387" i="1"/>
  <c r="G1387" i="1"/>
  <c r="H1387" i="1"/>
  <c r="A1388" i="1"/>
  <c r="B1388" i="1"/>
  <c r="C1388" i="1"/>
  <c r="E1388" i="1"/>
  <c r="G1388" i="1"/>
  <c r="H1388" i="1"/>
  <c r="A1389" i="1"/>
  <c r="B1389" i="1"/>
  <c r="C1389" i="1"/>
  <c r="E1389" i="1"/>
  <c r="G1389" i="1"/>
  <c r="H1389" i="1"/>
  <c r="A1390" i="1"/>
  <c r="B1390" i="1"/>
  <c r="C1390" i="1"/>
  <c r="E1390" i="1"/>
  <c r="G1390" i="1"/>
  <c r="H1390" i="1"/>
  <c r="A1391" i="1"/>
  <c r="B1391" i="1"/>
  <c r="C1391" i="1"/>
  <c r="E1391" i="1"/>
  <c r="G1391" i="1"/>
  <c r="H1391" i="1"/>
  <c r="A1392" i="1"/>
  <c r="B1392" i="1"/>
  <c r="C1392" i="1"/>
  <c r="E1392" i="1"/>
  <c r="G1392" i="1"/>
  <c r="H1392" i="1"/>
  <c r="A1393" i="1"/>
  <c r="B1393" i="1"/>
  <c r="C1393" i="1"/>
  <c r="E1393" i="1"/>
  <c r="G1393" i="1"/>
  <c r="H1393" i="1"/>
  <c r="A1394" i="1"/>
  <c r="B1394" i="1"/>
  <c r="C1394" i="1"/>
  <c r="E1394" i="1"/>
  <c r="G1394" i="1"/>
  <c r="H1394" i="1"/>
  <c r="A1395" i="1"/>
  <c r="B1395" i="1"/>
  <c r="C1395" i="1"/>
  <c r="E1395" i="1"/>
  <c r="G1395" i="1"/>
  <c r="H1395" i="1"/>
  <c r="A1396" i="1"/>
  <c r="B1396" i="1"/>
  <c r="C1396" i="1"/>
  <c r="E1396" i="1"/>
  <c r="G1396" i="1"/>
  <c r="H1396" i="1"/>
  <c r="A1397" i="1"/>
  <c r="B1397" i="1"/>
  <c r="C1397" i="1"/>
  <c r="E1397" i="1"/>
  <c r="G1397" i="1"/>
  <c r="H1397" i="1"/>
  <c r="A1398" i="1"/>
  <c r="B1398" i="1"/>
  <c r="C1398" i="1"/>
  <c r="E1398" i="1"/>
  <c r="G1398" i="1"/>
  <c r="H1398" i="1"/>
  <c r="A1399" i="1"/>
  <c r="B1399" i="1"/>
  <c r="C1399" i="1"/>
  <c r="E1399" i="1"/>
  <c r="G1399" i="1"/>
  <c r="H1399" i="1"/>
  <c r="A1400" i="1"/>
  <c r="B1400" i="1"/>
  <c r="C1400" i="1"/>
  <c r="E1400" i="1"/>
  <c r="G1400" i="1"/>
  <c r="H1400" i="1"/>
  <c r="A1401" i="1"/>
  <c r="B1401" i="1"/>
  <c r="C1401" i="1"/>
  <c r="E1401" i="1"/>
  <c r="G1401" i="1"/>
  <c r="H1401" i="1"/>
  <c r="A1402" i="1"/>
  <c r="B1402" i="1"/>
  <c r="C1402" i="1"/>
  <c r="E1402" i="1"/>
  <c r="G1402" i="1"/>
  <c r="H1402" i="1"/>
  <c r="A1403" i="1"/>
  <c r="B1403" i="1"/>
  <c r="C1403" i="1"/>
  <c r="E1403" i="1"/>
  <c r="G1403" i="1"/>
  <c r="H1403" i="1"/>
  <c r="A1404" i="1"/>
  <c r="B1404" i="1"/>
  <c r="C1404" i="1"/>
  <c r="E1404" i="1"/>
  <c r="G1404" i="1"/>
  <c r="H1404" i="1"/>
  <c r="A1405" i="1"/>
  <c r="B1405" i="1"/>
  <c r="C1405" i="1"/>
  <c r="E1405" i="1"/>
  <c r="G1405" i="1"/>
  <c r="H1405" i="1"/>
  <c r="A1406" i="1"/>
  <c r="B1406" i="1"/>
  <c r="C1406" i="1"/>
  <c r="E1406" i="1"/>
  <c r="G1406" i="1"/>
  <c r="H1406" i="1"/>
  <c r="A1407" i="1"/>
  <c r="B1407" i="1"/>
  <c r="C1407" i="1"/>
  <c r="E1407" i="1"/>
  <c r="G1407" i="1"/>
  <c r="H1407" i="1"/>
  <c r="A1408" i="1"/>
  <c r="B1408" i="1"/>
  <c r="C1408" i="1"/>
  <c r="E1408" i="1"/>
  <c r="G1408" i="1"/>
  <c r="H1408" i="1"/>
  <c r="A1409" i="1"/>
  <c r="B1409" i="1"/>
  <c r="C1409" i="1"/>
  <c r="E1409" i="1"/>
  <c r="G1409" i="1"/>
  <c r="H1409" i="1"/>
  <c r="A1410" i="1"/>
  <c r="B1410" i="1"/>
  <c r="C1410" i="1"/>
  <c r="E1410" i="1"/>
  <c r="G1410" i="1"/>
  <c r="H1410" i="1"/>
  <c r="A1411" i="1"/>
  <c r="B1411" i="1"/>
  <c r="C1411" i="1"/>
  <c r="E1411" i="1"/>
  <c r="G1411" i="1"/>
  <c r="H1411" i="1"/>
  <c r="A1412" i="1"/>
  <c r="B1412" i="1"/>
  <c r="C1412" i="1"/>
  <c r="E1412" i="1"/>
  <c r="G1412" i="1"/>
  <c r="H1412" i="1"/>
  <c r="A1413" i="1"/>
  <c r="B1413" i="1"/>
  <c r="C1413" i="1"/>
  <c r="E1413" i="1"/>
  <c r="G1413" i="1"/>
  <c r="H1413" i="1"/>
  <c r="A1414" i="1"/>
  <c r="B1414" i="1"/>
  <c r="C1414" i="1"/>
  <c r="E1414" i="1"/>
  <c r="G1414" i="1"/>
  <c r="H1414" i="1"/>
  <c r="A1415" i="1"/>
  <c r="B1415" i="1"/>
  <c r="C1415" i="1"/>
  <c r="E1415" i="1"/>
  <c r="G1415" i="1"/>
  <c r="H1415" i="1"/>
  <c r="A1416" i="1"/>
  <c r="B1416" i="1"/>
  <c r="C1416" i="1"/>
  <c r="E1416" i="1"/>
  <c r="G1416" i="1"/>
  <c r="H1416" i="1"/>
  <c r="A1417" i="1"/>
  <c r="B1417" i="1"/>
  <c r="C1417" i="1"/>
  <c r="E1417" i="1"/>
  <c r="G1417" i="1"/>
  <c r="H1417" i="1"/>
  <c r="A1418" i="1"/>
  <c r="B1418" i="1"/>
  <c r="C1418" i="1"/>
  <c r="E1418" i="1"/>
  <c r="G1418" i="1"/>
  <c r="H1418" i="1"/>
  <c r="A1419" i="1"/>
  <c r="B1419" i="1"/>
  <c r="C1419" i="1"/>
  <c r="E1419" i="1"/>
  <c r="G1419" i="1"/>
  <c r="H1419" i="1"/>
  <c r="A1420" i="1"/>
  <c r="B1420" i="1"/>
  <c r="C1420" i="1"/>
  <c r="E1420" i="1"/>
  <c r="G1420" i="1"/>
  <c r="H1420" i="1"/>
  <c r="A1421" i="1"/>
  <c r="B1421" i="1"/>
  <c r="C1421" i="1"/>
  <c r="E1421" i="1"/>
  <c r="G1421" i="1"/>
  <c r="H1421" i="1"/>
  <c r="A1422" i="1"/>
  <c r="B1422" i="1"/>
  <c r="C1422" i="1"/>
  <c r="E1422" i="1"/>
  <c r="G1422" i="1"/>
  <c r="H1422" i="1"/>
  <c r="A1423" i="1"/>
  <c r="B1423" i="1"/>
  <c r="C1423" i="1"/>
  <c r="E1423" i="1"/>
  <c r="G1423" i="1"/>
  <c r="H1423" i="1"/>
  <c r="A1424" i="1"/>
  <c r="B1424" i="1"/>
  <c r="C1424" i="1"/>
  <c r="E1424" i="1"/>
  <c r="G1424" i="1"/>
  <c r="H1424" i="1"/>
  <c r="A1425" i="1"/>
  <c r="B1425" i="1"/>
  <c r="C1425" i="1"/>
  <c r="E1425" i="1"/>
  <c r="G1425" i="1"/>
  <c r="H1425" i="1"/>
  <c r="A1426" i="1"/>
  <c r="B1426" i="1"/>
  <c r="C1426" i="1"/>
  <c r="E1426" i="1"/>
  <c r="G1426" i="1"/>
  <c r="H1426" i="1"/>
  <c r="A1427" i="1"/>
  <c r="B1427" i="1"/>
  <c r="C1427" i="1"/>
  <c r="E1427" i="1"/>
  <c r="G1427" i="1"/>
  <c r="H1427" i="1"/>
  <c r="A1428" i="1"/>
  <c r="B1428" i="1"/>
  <c r="C1428" i="1"/>
  <c r="E1428" i="1"/>
  <c r="G1428" i="1"/>
  <c r="H1428" i="1"/>
  <c r="A1429" i="1"/>
  <c r="B1429" i="1"/>
  <c r="C1429" i="1"/>
  <c r="E1429" i="1"/>
  <c r="G1429" i="1"/>
  <c r="H1429" i="1"/>
  <c r="A1430" i="1"/>
  <c r="B1430" i="1"/>
  <c r="C1430" i="1"/>
  <c r="E1430" i="1"/>
  <c r="G1430" i="1"/>
  <c r="H1430" i="1"/>
  <c r="A1431" i="1"/>
  <c r="B1431" i="1"/>
  <c r="C1431" i="1"/>
  <c r="E1431" i="1"/>
  <c r="G1431" i="1"/>
  <c r="H1431" i="1"/>
  <c r="A1432" i="1"/>
  <c r="B1432" i="1"/>
  <c r="C1432" i="1"/>
  <c r="E1432" i="1"/>
  <c r="G1432" i="1"/>
  <c r="H1432" i="1"/>
  <c r="A1433" i="1"/>
  <c r="B1433" i="1"/>
  <c r="C1433" i="1"/>
  <c r="E1433" i="1"/>
  <c r="G1433" i="1"/>
  <c r="H1433" i="1"/>
  <c r="A1434" i="1"/>
  <c r="B1434" i="1"/>
  <c r="C1434" i="1"/>
  <c r="E1434" i="1"/>
  <c r="G1434" i="1"/>
  <c r="H1434" i="1"/>
  <c r="A1435" i="1"/>
  <c r="B1435" i="1"/>
  <c r="C1435" i="1"/>
  <c r="E1435" i="1"/>
  <c r="G1435" i="1"/>
  <c r="H1435" i="1"/>
  <c r="A1436" i="1"/>
  <c r="B1436" i="1"/>
  <c r="C1436" i="1"/>
  <c r="E1436" i="1"/>
  <c r="G1436" i="1"/>
  <c r="H1436" i="1"/>
  <c r="A1437" i="1"/>
  <c r="B1437" i="1"/>
  <c r="C1437" i="1"/>
  <c r="E1437" i="1"/>
  <c r="G1437" i="1"/>
  <c r="H1437" i="1"/>
  <c r="A1438" i="1"/>
  <c r="B1438" i="1"/>
  <c r="C1438" i="1"/>
  <c r="E1438" i="1"/>
  <c r="G1438" i="1"/>
  <c r="H1438" i="1"/>
  <c r="A1439" i="1"/>
  <c r="B1439" i="1"/>
  <c r="C1439" i="1"/>
  <c r="E1439" i="1"/>
  <c r="G1439" i="1"/>
  <c r="H1439" i="1"/>
  <c r="A1440" i="1"/>
  <c r="B1440" i="1"/>
  <c r="C1440" i="1"/>
  <c r="E1440" i="1"/>
  <c r="G1440" i="1"/>
  <c r="H1440" i="1"/>
  <c r="A1441" i="1"/>
  <c r="B1441" i="1"/>
  <c r="C1441" i="1"/>
  <c r="E1441" i="1"/>
  <c r="G1441" i="1"/>
  <c r="H1441" i="1"/>
  <c r="A1442" i="1"/>
  <c r="B1442" i="1"/>
  <c r="C1442" i="1"/>
  <c r="E1442" i="1"/>
  <c r="G1442" i="1"/>
  <c r="H1442" i="1"/>
  <c r="A1443" i="1"/>
  <c r="B1443" i="1"/>
  <c r="C1443" i="1"/>
  <c r="E1443" i="1"/>
  <c r="G1443" i="1"/>
  <c r="H1443" i="1"/>
  <c r="A1444" i="1"/>
  <c r="B1444" i="1"/>
  <c r="C1444" i="1"/>
  <c r="E1444" i="1"/>
  <c r="G1444" i="1"/>
  <c r="H1444" i="1"/>
  <c r="A1445" i="1"/>
  <c r="B1445" i="1"/>
  <c r="C1445" i="1"/>
  <c r="E1445" i="1"/>
  <c r="G1445" i="1"/>
  <c r="H1445" i="1"/>
  <c r="A1446" i="1"/>
  <c r="B1446" i="1"/>
  <c r="C1446" i="1"/>
  <c r="E1446" i="1"/>
  <c r="G1446" i="1"/>
  <c r="H1446" i="1"/>
  <c r="A1447" i="1"/>
  <c r="B1447" i="1"/>
  <c r="C1447" i="1"/>
  <c r="E1447" i="1"/>
  <c r="G1447" i="1"/>
  <c r="H1447" i="1"/>
  <c r="A1448" i="1"/>
  <c r="B1448" i="1"/>
  <c r="C1448" i="1"/>
  <c r="E1448" i="1"/>
  <c r="G1448" i="1"/>
  <c r="H1448" i="1"/>
  <c r="A1449" i="1"/>
  <c r="B1449" i="1"/>
  <c r="C1449" i="1"/>
  <c r="E1449" i="1"/>
  <c r="G1449" i="1"/>
  <c r="H1449" i="1"/>
  <c r="A1450" i="1"/>
  <c r="B1450" i="1"/>
  <c r="C1450" i="1"/>
  <c r="E1450" i="1"/>
  <c r="G1450" i="1"/>
  <c r="H1450" i="1"/>
  <c r="A1451" i="1"/>
  <c r="B1451" i="1"/>
  <c r="C1451" i="1"/>
  <c r="E1451" i="1"/>
  <c r="G1451" i="1"/>
  <c r="H1451" i="1"/>
  <c r="A1452" i="1"/>
  <c r="B1452" i="1"/>
  <c r="C1452" i="1"/>
  <c r="E1452" i="1"/>
  <c r="G1452" i="1"/>
  <c r="H1452" i="1"/>
  <c r="A1453" i="1"/>
  <c r="B1453" i="1"/>
  <c r="C1453" i="1"/>
  <c r="E1453" i="1"/>
  <c r="G1453" i="1"/>
  <c r="H1453" i="1"/>
  <c r="A1454" i="1"/>
  <c r="B1454" i="1"/>
  <c r="C1454" i="1"/>
  <c r="E1454" i="1"/>
  <c r="G1454" i="1"/>
  <c r="H1454" i="1"/>
  <c r="A1455" i="1"/>
  <c r="B1455" i="1"/>
  <c r="C1455" i="1"/>
  <c r="E1455" i="1"/>
  <c r="G1455" i="1"/>
  <c r="H1455" i="1"/>
  <c r="A1456" i="1"/>
  <c r="B1456" i="1"/>
  <c r="C1456" i="1"/>
  <c r="E1456" i="1"/>
  <c r="G1456" i="1"/>
  <c r="H1456" i="1"/>
  <c r="A1457" i="1"/>
  <c r="B1457" i="1"/>
  <c r="C1457" i="1"/>
  <c r="E1457" i="1"/>
  <c r="G1457" i="1"/>
  <c r="H1457" i="1"/>
  <c r="A1458" i="1"/>
  <c r="B1458" i="1"/>
  <c r="C1458" i="1"/>
  <c r="E1458" i="1"/>
  <c r="G1458" i="1"/>
  <c r="H1458" i="1"/>
  <c r="A1459" i="1"/>
  <c r="B1459" i="1"/>
  <c r="C1459" i="1"/>
  <c r="E1459" i="1"/>
  <c r="G1459" i="1"/>
  <c r="H1459" i="1"/>
  <c r="A1460" i="1"/>
  <c r="B1460" i="1"/>
  <c r="C1460" i="1"/>
  <c r="E1460" i="1"/>
  <c r="G1460" i="1"/>
  <c r="H1460" i="1"/>
  <c r="A1461" i="1"/>
  <c r="B1461" i="1"/>
  <c r="C1461" i="1"/>
  <c r="E1461" i="1"/>
  <c r="G1461" i="1"/>
  <c r="H1461" i="1"/>
  <c r="A1462" i="1"/>
  <c r="B1462" i="1"/>
  <c r="C1462" i="1"/>
  <c r="E1462" i="1"/>
  <c r="G1462" i="1"/>
  <c r="H1462" i="1"/>
  <c r="A1463" i="1"/>
  <c r="B1463" i="1"/>
  <c r="C1463" i="1"/>
  <c r="E1463" i="1"/>
  <c r="G1463" i="1"/>
  <c r="H1463" i="1"/>
  <c r="A1464" i="1"/>
  <c r="B1464" i="1"/>
  <c r="C1464" i="1"/>
  <c r="E1464" i="1"/>
  <c r="G1464" i="1"/>
  <c r="H1464" i="1"/>
  <c r="A1465" i="1"/>
  <c r="B1465" i="1"/>
  <c r="C1465" i="1"/>
  <c r="E1465" i="1"/>
  <c r="G1465" i="1"/>
  <c r="H1465" i="1"/>
  <c r="A1466" i="1"/>
  <c r="B1466" i="1"/>
  <c r="C1466" i="1"/>
  <c r="E1466" i="1"/>
  <c r="G1466" i="1"/>
  <c r="H1466" i="1"/>
  <c r="A1467" i="1"/>
  <c r="B1467" i="1"/>
  <c r="C1467" i="1"/>
  <c r="E1467" i="1"/>
  <c r="G1467" i="1"/>
  <c r="H1467" i="1"/>
  <c r="A1468" i="1"/>
  <c r="B1468" i="1"/>
  <c r="C1468" i="1"/>
  <c r="E1468" i="1"/>
  <c r="G1468" i="1"/>
  <c r="H1468" i="1"/>
  <c r="A1469" i="1"/>
  <c r="B1469" i="1"/>
  <c r="C1469" i="1"/>
  <c r="E1469" i="1"/>
  <c r="G1469" i="1"/>
  <c r="H1469" i="1"/>
  <c r="A1470" i="1"/>
  <c r="B1470" i="1"/>
  <c r="C1470" i="1"/>
  <c r="E1470" i="1"/>
  <c r="G1470" i="1"/>
  <c r="H1470" i="1"/>
  <c r="A1471" i="1"/>
  <c r="B1471" i="1"/>
  <c r="C1471" i="1"/>
  <c r="E1471" i="1"/>
  <c r="G1471" i="1"/>
  <c r="H1471" i="1"/>
  <c r="A1472" i="1"/>
  <c r="B1472" i="1"/>
  <c r="C1472" i="1"/>
  <c r="E1472" i="1"/>
  <c r="G1472" i="1"/>
  <c r="H1472" i="1"/>
  <c r="A1473" i="1"/>
  <c r="B1473" i="1"/>
  <c r="C1473" i="1"/>
  <c r="E1473" i="1"/>
  <c r="G1473" i="1"/>
  <c r="H1473" i="1"/>
  <c r="A1474" i="1"/>
  <c r="B1474" i="1"/>
  <c r="C1474" i="1"/>
  <c r="E1474" i="1"/>
  <c r="G1474" i="1"/>
  <c r="H1474" i="1"/>
  <c r="A1475" i="1"/>
  <c r="B1475" i="1"/>
  <c r="C1475" i="1"/>
  <c r="E1475" i="1"/>
  <c r="G1475" i="1"/>
  <c r="H1475" i="1"/>
  <c r="A1476" i="1"/>
  <c r="B1476" i="1"/>
  <c r="C1476" i="1"/>
  <c r="E1476" i="1"/>
  <c r="G1476" i="1"/>
  <c r="H1476" i="1"/>
  <c r="A1477" i="1"/>
  <c r="B1477" i="1"/>
  <c r="C1477" i="1"/>
  <c r="E1477" i="1"/>
  <c r="G1477" i="1"/>
  <c r="H1477" i="1"/>
  <c r="A1478" i="1"/>
  <c r="B1478" i="1"/>
  <c r="C1478" i="1"/>
  <c r="E1478" i="1"/>
  <c r="G1478" i="1"/>
  <c r="H1478" i="1"/>
  <c r="A1479" i="1"/>
  <c r="B1479" i="1"/>
  <c r="C1479" i="1"/>
  <c r="E1479" i="1"/>
  <c r="G1479" i="1"/>
  <c r="H1479" i="1"/>
  <c r="A1480" i="1"/>
  <c r="B1480" i="1"/>
  <c r="C1480" i="1"/>
  <c r="E1480" i="1"/>
  <c r="G1480" i="1"/>
  <c r="H1480" i="1"/>
  <c r="A1481" i="1"/>
  <c r="B1481" i="1"/>
  <c r="C1481" i="1"/>
  <c r="E1481" i="1"/>
  <c r="G1481" i="1"/>
  <c r="H1481" i="1"/>
  <c r="A1482" i="1"/>
  <c r="B1482" i="1"/>
  <c r="C1482" i="1"/>
  <c r="E1482" i="1"/>
  <c r="G1482" i="1"/>
  <c r="H1482" i="1"/>
  <c r="A1483" i="1"/>
  <c r="B1483" i="1"/>
  <c r="C1483" i="1"/>
  <c r="E1483" i="1"/>
  <c r="G1483" i="1"/>
  <c r="H1483" i="1"/>
  <c r="A1484" i="1"/>
  <c r="B1484" i="1"/>
  <c r="C1484" i="1"/>
  <c r="E1484" i="1"/>
  <c r="G1484" i="1"/>
  <c r="H1484" i="1"/>
  <c r="A1485" i="1"/>
  <c r="B1485" i="1"/>
  <c r="C1485" i="1"/>
  <c r="E1485" i="1"/>
  <c r="G1485" i="1"/>
  <c r="H1485" i="1"/>
  <c r="A1486" i="1"/>
  <c r="B1486" i="1"/>
  <c r="C1486" i="1"/>
  <c r="E1486" i="1"/>
  <c r="G1486" i="1"/>
  <c r="H1486" i="1"/>
  <c r="A1487" i="1"/>
  <c r="B1487" i="1"/>
  <c r="C1487" i="1"/>
  <c r="E1487" i="1"/>
  <c r="G1487" i="1"/>
  <c r="H1487" i="1"/>
  <c r="A1488" i="1"/>
  <c r="B1488" i="1"/>
  <c r="C1488" i="1"/>
  <c r="E1488" i="1"/>
  <c r="G1488" i="1"/>
  <c r="H1488" i="1"/>
  <c r="A1489" i="1"/>
  <c r="B1489" i="1"/>
  <c r="C1489" i="1"/>
  <c r="E1489" i="1"/>
  <c r="G1489" i="1"/>
  <c r="H1489" i="1"/>
  <c r="A1490" i="1"/>
  <c r="B1490" i="1"/>
  <c r="C1490" i="1"/>
  <c r="E1490" i="1"/>
  <c r="G1490" i="1"/>
  <c r="H1490" i="1"/>
  <c r="A1491" i="1"/>
  <c r="B1491" i="1"/>
  <c r="C1491" i="1"/>
  <c r="E1491" i="1"/>
  <c r="G1491" i="1"/>
  <c r="H1491" i="1"/>
  <c r="A1492" i="1"/>
  <c r="B1492" i="1"/>
  <c r="C1492" i="1"/>
  <c r="E1492" i="1"/>
  <c r="G1492" i="1"/>
  <c r="H1492" i="1"/>
  <c r="A1493" i="1"/>
  <c r="B1493" i="1"/>
  <c r="C1493" i="1"/>
  <c r="E1493" i="1"/>
  <c r="G1493" i="1"/>
  <c r="H1493" i="1"/>
  <c r="A1494" i="1"/>
  <c r="B1494" i="1"/>
  <c r="C1494" i="1"/>
  <c r="E1494" i="1"/>
  <c r="G1494" i="1"/>
  <c r="H1494" i="1"/>
  <c r="A1495" i="1"/>
  <c r="B1495" i="1"/>
  <c r="C1495" i="1"/>
  <c r="E1495" i="1"/>
  <c r="G1495" i="1"/>
  <c r="H1495" i="1"/>
  <c r="A1496" i="1"/>
  <c r="B1496" i="1"/>
  <c r="C1496" i="1"/>
  <c r="E1496" i="1"/>
  <c r="G1496" i="1"/>
  <c r="H1496" i="1"/>
  <c r="A1497" i="1"/>
  <c r="B1497" i="1"/>
  <c r="C1497" i="1"/>
  <c r="E1497" i="1"/>
  <c r="G1497" i="1"/>
  <c r="H1497" i="1"/>
  <c r="A1498" i="1"/>
  <c r="B1498" i="1"/>
  <c r="C1498" i="1"/>
  <c r="E1498" i="1"/>
  <c r="G1498" i="1"/>
  <c r="H1498" i="1"/>
  <c r="A1499" i="1"/>
  <c r="B1499" i="1"/>
  <c r="C1499" i="1"/>
  <c r="E1499" i="1"/>
  <c r="G1499" i="1"/>
  <c r="H1499" i="1"/>
  <c r="A1500" i="1"/>
  <c r="B1500" i="1"/>
  <c r="C1500" i="1"/>
  <c r="E1500" i="1"/>
  <c r="G1500" i="1"/>
  <c r="H1500" i="1"/>
  <c r="A1501" i="1"/>
  <c r="B1501" i="1"/>
  <c r="C1501" i="1"/>
  <c r="E1501" i="1"/>
  <c r="G1501" i="1"/>
  <c r="H1501" i="1"/>
  <c r="A1502" i="1"/>
  <c r="B1502" i="1"/>
  <c r="C1502" i="1"/>
  <c r="E1502" i="1"/>
  <c r="G1502" i="1"/>
  <c r="H1502" i="1"/>
  <c r="A1503" i="1"/>
  <c r="B1503" i="1"/>
  <c r="C1503" i="1"/>
  <c r="E1503" i="1"/>
  <c r="G1503" i="1"/>
  <c r="H1503" i="1"/>
  <c r="A1504" i="1"/>
  <c r="B1504" i="1"/>
  <c r="C1504" i="1"/>
  <c r="E1504" i="1"/>
  <c r="G1504" i="1"/>
  <c r="H1504" i="1"/>
  <c r="A1505" i="1"/>
  <c r="B1505" i="1"/>
  <c r="C1505" i="1"/>
  <c r="E1505" i="1"/>
  <c r="G1505" i="1"/>
  <c r="H1505" i="1"/>
  <c r="A1506" i="1"/>
  <c r="B1506" i="1"/>
  <c r="C1506" i="1"/>
  <c r="E1506" i="1"/>
  <c r="G1506" i="1"/>
  <c r="H1506" i="1"/>
  <c r="A1507" i="1"/>
  <c r="B1507" i="1"/>
  <c r="C1507" i="1"/>
  <c r="E1507" i="1"/>
  <c r="G1507" i="1"/>
  <c r="H1507" i="1"/>
  <c r="A1508" i="1"/>
  <c r="B1508" i="1"/>
  <c r="C1508" i="1"/>
  <c r="E1508" i="1"/>
  <c r="G1508" i="1"/>
  <c r="H1508" i="1"/>
  <c r="A1509" i="1"/>
  <c r="B1509" i="1"/>
  <c r="C1509" i="1"/>
  <c r="E1509" i="1"/>
  <c r="G1509" i="1"/>
  <c r="H1509" i="1"/>
  <c r="A1510" i="1"/>
  <c r="B1510" i="1"/>
  <c r="C1510" i="1"/>
  <c r="E1510" i="1"/>
  <c r="G1510" i="1"/>
  <c r="H1510" i="1"/>
  <c r="A1511" i="1"/>
  <c r="B1511" i="1"/>
  <c r="C1511" i="1"/>
  <c r="E1511" i="1"/>
  <c r="G1511" i="1"/>
  <c r="H1511" i="1"/>
  <c r="A1512" i="1"/>
  <c r="B1512" i="1"/>
  <c r="C1512" i="1"/>
  <c r="E1512" i="1"/>
  <c r="G1512" i="1"/>
  <c r="H1512" i="1"/>
  <c r="A1513" i="1"/>
  <c r="B1513" i="1"/>
  <c r="C1513" i="1"/>
  <c r="E1513" i="1"/>
  <c r="G1513" i="1"/>
  <c r="H1513" i="1"/>
  <c r="A1514" i="1"/>
  <c r="B1514" i="1"/>
  <c r="C1514" i="1"/>
  <c r="E1514" i="1"/>
  <c r="G1514" i="1"/>
  <c r="H1514" i="1"/>
  <c r="A1515" i="1"/>
  <c r="B1515" i="1"/>
  <c r="C1515" i="1"/>
  <c r="E1515" i="1"/>
  <c r="G1515" i="1"/>
  <c r="H1515" i="1"/>
  <c r="A1516" i="1"/>
  <c r="B1516" i="1"/>
  <c r="C1516" i="1"/>
  <c r="E1516" i="1"/>
  <c r="G1516" i="1"/>
  <c r="H1516" i="1"/>
  <c r="A1517" i="1"/>
  <c r="B1517" i="1"/>
  <c r="C1517" i="1"/>
  <c r="E1517" i="1"/>
  <c r="G1517" i="1"/>
  <c r="H1517" i="1"/>
  <c r="A1518" i="1"/>
  <c r="B1518" i="1"/>
  <c r="C1518" i="1"/>
  <c r="E1518" i="1"/>
  <c r="G1518" i="1"/>
  <c r="H1518" i="1"/>
  <c r="A1519" i="1"/>
  <c r="B1519" i="1"/>
  <c r="C1519" i="1"/>
  <c r="E1519" i="1"/>
  <c r="G1519" i="1"/>
  <c r="H1519" i="1"/>
  <c r="A1520" i="1"/>
  <c r="B1520" i="1"/>
  <c r="C1520" i="1"/>
  <c r="E1520" i="1"/>
  <c r="G1520" i="1"/>
  <c r="H1520" i="1"/>
  <c r="A1521" i="1"/>
  <c r="B1521" i="1"/>
  <c r="C1521" i="1"/>
  <c r="E1521" i="1"/>
  <c r="G1521" i="1"/>
  <c r="H1521" i="1"/>
  <c r="A1522" i="1"/>
  <c r="B1522" i="1"/>
  <c r="C1522" i="1"/>
  <c r="E1522" i="1"/>
  <c r="G1522" i="1"/>
  <c r="H1522" i="1"/>
  <c r="A1523" i="1"/>
  <c r="B1523" i="1"/>
  <c r="C1523" i="1"/>
  <c r="E1523" i="1"/>
  <c r="G1523" i="1"/>
  <c r="H1523" i="1"/>
  <c r="A1524" i="1"/>
  <c r="B1524" i="1"/>
  <c r="C1524" i="1"/>
  <c r="E1524" i="1"/>
  <c r="G1524" i="1"/>
  <c r="H1524" i="1"/>
  <c r="A1525" i="1"/>
  <c r="B1525" i="1"/>
  <c r="C1525" i="1"/>
  <c r="E1525" i="1"/>
  <c r="G1525" i="1"/>
  <c r="H1525" i="1"/>
  <c r="A1526" i="1"/>
  <c r="B1526" i="1"/>
  <c r="C1526" i="1"/>
  <c r="E1526" i="1"/>
  <c r="G1526" i="1"/>
  <c r="H1526" i="1"/>
  <c r="A1527" i="1"/>
  <c r="B1527" i="1"/>
  <c r="C1527" i="1"/>
  <c r="E1527" i="1"/>
  <c r="G1527" i="1"/>
  <c r="H1527" i="1"/>
  <c r="A1528" i="1"/>
  <c r="B1528" i="1"/>
  <c r="C1528" i="1"/>
  <c r="E1528" i="1"/>
  <c r="G1528" i="1"/>
  <c r="H1528" i="1"/>
  <c r="A1529" i="1"/>
  <c r="B1529" i="1"/>
  <c r="C1529" i="1"/>
  <c r="E1529" i="1"/>
  <c r="G1529" i="1"/>
  <c r="H1529" i="1"/>
  <c r="A1530" i="1"/>
  <c r="B1530" i="1"/>
  <c r="C1530" i="1"/>
  <c r="E1530" i="1"/>
  <c r="G1530" i="1"/>
  <c r="H1530" i="1"/>
  <c r="A1531" i="1"/>
  <c r="B1531" i="1"/>
  <c r="C1531" i="1"/>
  <c r="E1531" i="1"/>
  <c r="G1531" i="1"/>
  <c r="H1531" i="1"/>
  <c r="A1532" i="1"/>
  <c r="B1532" i="1"/>
  <c r="C1532" i="1"/>
  <c r="E1532" i="1"/>
  <c r="G1532" i="1"/>
  <c r="H1532" i="1"/>
  <c r="A1533" i="1"/>
  <c r="B1533" i="1"/>
  <c r="C1533" i="1"/>
  <c r="E1533" i="1"/>
  <c r="G1533" i="1"/>
  <c r="H1533" i="1"/>
  <c r="A1534" i="1"/>
  <c r="B1534" i="1"/>
  <c r="C1534" i="1"/>
  <c r="E1534" i="1"/>
  <c r="G1534" i="1"/>
  <c r="H1534" i="1"/>
  <c r="A1535" i="1"/>
  <c r="B1535" i="1"/>
  <c r="C1535" i="1"/>
  <c r="E1535" i="1"/>
  <c r="G1535" i="1"/>
  <c r="H1535" i="1"/>
  <c r="A1536" i="1"/>
  <c r="B1536" i="1"/>
  <c r="C1536" i="1"/>
  <c r="E1536" i="1"/>
  <c r="G1536" i="1"/>
  <c r="H1536" i="1"/>
  <c r="A1537" i="1"/>
  <c r="B1537" i="1"/>
  <c r="C1537" i="1"/>
  <c r="E1537" i="1"/>
  <c r="G1537" i="1"/>
  <c r="H1537" i="1"/>
  <c r="A1538" i="1"/>
  <c r="B1538" i="1"/>
  <c r="C1538" i="1"/>
  <c r="E1538" i="1"/>
  <c r="G1538" i="1"/>
  <c r="H1538" i="1"/>
  <c r="A1539" i="1"/>
  <c r="B1539" i="1"/>
  <c r="C1539" i="1"/>
  <c r="E1539" i="1"/>
  <c r="G1539" i="1"/>
  <c r="H1539" i="1"/>
  <c r="A1540" i="1"/>
  <c r="B1540" i="1"/>
  <c r="C1540" i="1"/>
  <c r="E1540" i="1"/>
  <c r="G1540" i="1"/>
  <c r="H1540" i="1"/>
  <c r="A1541" i="1"/>
  <c r="B1541" i="1"/>
  <c r="C1541" i="1"/>
  <c r="E1541" i="1"/>
  <c r="G1541" i="1"/>
  <c r="H1541" i="1"/>
  <c r="A1542" i="1"/>
  <c r="B1542" i="1"/>
  <c r="C1542" i="1"/>
  <c r="E1542" i="1"/>
  <c r="G1542" i="1"/>
  <c r="H1542" i="1"/>
  <c r="A1543" i="1"/>
  <c r="B1543" i="1"/>
  <c r="C1543" i="1"/>
  <c r="E1543" i="1"/>
  <c r="G1543" i="1"/>
  <c r="H1543" i="1"/>
  <c r="A1544" i="1"/>
  <c r="B1544" i="1"/>
  <c r="C1544" i="1"/>
  <c r="E1544" i="1"/>
  <c r="G1544" i="1"/>
  <c r="H1544" i="1"/>
  <c r="A1545" i="1"/>
  <c r="B1545" i="1"/>
  <c r="C1545" i="1"/>
  <c r="E1545" i="1"/>
  <c r="G1545" i="1"/>
  <c r="H1545" i="1"/>
  <c r="A1546" i="1"/>
  <c r="B1546" i="1"/>
  <c r="C1546" i="1"/>
  <c r="E1546" i="1"/>
  <c r="G1546" i="1"/>
  <c r="H1546" i="1"/>
  <c r="A1547" i="1"/>
  <c r="B1547" i="1"/>
  <c r="C1547" i="1"/>
  <c r="E1547" i="1"/>
  <c r="G1547" i="1"/>
  <c r="H1547" i="1"/>
  <c r="A1548" i="1"/>
  <c r="B1548" i="1"/>
  <c r="C1548" i="1"/>
  <c r="E1548" i="1"/>
  <c r="G1548" i="1"/>
  <c r="H1548" i="1"/>
  <c r="A1549" i="1"/>
  <c r="B1549" i="1"/>
  <c r="C1549" i="1"/>
  <c r="E1549" i="1"/>
  <c r="G1549" i="1"/>
  <c r="H1549" i="1"/>
  <c r="A1550" i="1"/>
  <c r="B1550" i="1"/>
  <c r="C1550" i="1"/>
  <c r="E1550" i="1"/>
  <c r="G1550" i="1"/>
  <c r="H1550" i="1"/>
  <c r="A1551" i="1"/>
  <c r="B1551" i="1"/>
  <c r="C1551" i="1"/>
  <c r="E1551" i="1"/>
  <c r="G1551" i="1"/>
  <c r="H1551" i="1"/>
  <c r="A1552" i="1"/>
  <c r="B1552" i="1"/>
  <c r="C1552" i="1"/>
  <c r="E1552" i="1"/>
  <c r="G1552" i="1"/>
  <c r="H1552" i="1"/>
  <c r="A1553" i="1"/>
  <c r="B1553" i="1"/>
  <c r="C1553" i="1"/>
  <c r="E1553" i="1"/>
  <c r="G1553" i="1"/>
  <c r="H1553" i="1"/>
  <c r="A1554" i="1"/>
  <c r="B1554" i="1"/>
  <c r="C1554" i="1"/>
  <c r="E1554" i="1"/>
  <c r="G1554" i="1"/>
  <c r="H1554" i="1"/>
  <c r="A1555" i="1"/>
  <c r="B1555" i="1"/>
  <c r="C1555" i="1"/>
  <c r="E1555" i="1"/>
  <c r="G1555" i="1"/>
  <c r="H1555" i="1"/>
  <c r="A1556" i="1"/>
  <c r="B1556" i="1"/>
  <c r="C1556" i="1"/>
  <c r="E1556" i="1"/>
  <c r="G1556" i="1"/>
  <c r="H1556" i="1"/>
  <c r="A1557" i="1"/>
  <c r="B1557" i="1"/>
  <c r="C1557" i="1"/>
  <c r="E1557" i="1"/>
  <c r="G1557" i="1"/>
  <c r="H1557" i="1"/>
  <c r="A1558" i="1"/>
  <c r="B1558" i="1"/>
  <c r="C1558" i="1"/>
  <c r="E1558" i="1"/>
  <c r="G1558" i="1"/>
  <c r="H1558" i="1"/>
  <c r="A1559" i="1"/>
  <c r="B1559" i="1"/>
  <c r="C1559" i="1"/>
  <c r="E1559" i="1"/>
  <c r="G1559" i="1"/>
  <c r="H1559" i="1"/>
  <c r="A1560" i="1"/>
  <c r="B1560" i="1"/>
  <c r="C1560" i="1"/>
  <c r="E1560" i="1"/>
  <c r="G1560" i="1"/>
  <c r="H1560" i="1"/>
  <c r="A1561" i="1"/>
  <c r="B1561" i="1"/>
  <c r="C1561" i="1"/>
  <c r="E1561" i="1"/>
  <c r="G1561" i="1"/>
  <c r="H1561" i="1"/>
  <c r="A1562" i="1"/>
  <c r="B1562" i="1"/>
  <c r="C1562" i="1"/>
  <c r="E1562" i="1"/>
  <c r="G1562" i="1"/>
  <c r="H1562" i="1"/>
  <c r="A1563" i="1"/>
  <c r="B1563" i="1"/>
  <c r="C1563" i="1"/>
  <c r="E1563" i="1"/>
  <c r="G1563" i="1"/>
  <c r="H1563" i="1"/>
  <c r="A1564" i="1"/>
  <c r="B1564" i="1"/>
  <c r="C1564" i="1"/>
  <c r="E1564" i="1"/>
  <c r="G1564" i="1"/>
  <c r="H1564" i="1"/>
  <c r="A1565" i="1"/>
  <c r="B1565" i="1"/>
  <c r="C1565" i="1"/>
  <c r="E1565" i="1"/>
  <c r="G1565" i="1"/>
  <c r="H1565" i="1"/>
  <c r="A1566" i="1"/>
  <c r="B1566" i="1"/>
  <c r="C1566" i="1"/>
  <c r="E1566" i="1"/>
  <c r="G1566" i="1"/>
  <c r="H1566" i="1"/>
  <c r="A1567" i="1"/>
  <c r="B1567" i="1"/>
  <c r="C1567" i="1"/>
  <c r="E1567" i="1"/>
  <c r="G1567" i="1"/>
  <c r="H1567" i="1"/>
  <c r="A1568" i="1"/>
  <c r="B1568" i="1"/>
  <c r="C1568" i="1"/>
  <c r="E1568" i="1"/>
  <c r="G1568" i="1"/>
  <c r="H1568" i="1"/>
  <c r="A1569" i="1"/>
  <c r="B1569" i="1"/>
  <c r="C1569" i="1"/>
  <c r="E1569" i="1"/>
  <c r="G1569" i="1"/>
  <c r="H1569" i="1"/>
  <c r="A1570" i="1"/>
  <c r="B1570" i="1"/>
  <c r="C1570" i="1"/>
  <c r="E1570" i="1"/>
  <c r="G1570" i="1"/>
  <c r="H1570" i="1"/>
  <c r="A1571" i="1"/>
  <c r="B1571" i="1"/>
  <c r="C1571" i="1"/>
  <c r="E1571" i="1"/>
  <c r="G1571" i="1"/>
  <c r="H1571" i="1"/>
  <c r="A1572" i="1"/>
  <c r="B1572" i="1"/>
  <c r="C1572" i="1"/>
  <c r="E1572" i="1"/>
  <c r="G1572" i="1"/>
  <c r="H1572" i="1"/>
  <c r="A1573" i="1"/>
  <c r="B1573" i="1"/>
  <c r="C1573" i="1"/>
  <c r="E1573" i="1"/>
  <c r="G1573" i="1"/>
  <c r="H1573" i="1"/>
  <c r="A1574" i="1"/>
  <c r="B1574" i="1"/>
  <c r="C1574" i="1"/>
  <c r="E1574" i="1"/>
  <c r="G1574" i="1"/>
  <c r="H1574" i="1"/>
  <c r="A1575" i="1"/>
  <c r="B1575" i="1"/>
  <c r="C1575" i="1"/>
  <c r="E1575" i="1"/>
  <c r="G1575" i="1"/>
  <c r="H1575" i="1"/>
  <c r="A1576" i="1"/>
  <c r="B1576" i="1"/>
  <c r="C1576" i="1"/>
  <c r="E1576" i="1"/>
  <c r="G1576" i="1"/>
  <c r="H1576" i="1"/>
  <c r="A1577" i="1"/>
  <c r="B1577" i="1"/>
  <c r="C1577" i="1"/>
  <c r="E1577" i="1"/>
  <c r="G1577" i="1"/>
  <c r="H1577" i="1"/>
  <c r="A1578" i="1"/>
  <c r="B1578" i="1"/>
  <c r="C1578" i="1"/>
  <c r="E1578" i="1"/>
  <c r="G1578" i="1"/>
  <c r="H1578" i="1"/>
  <c r="A1579" i="1"/>
  <c r="B1579" i="1"/>
  <c r="C1579" i="1"/>
  <c r="E1579" i="1"/>
  <c r="G1579" i="1"/>
  <c r="H1579" i="1"/>
  <c r="A1580" i="1"/>
  <c r="B1580" i="1"/>
  <c r="C1580" i="1"/>
  <c r="E1580" i="1"/>
  <c r="G1580" i="1"/>
  <c r="H1580" i="1"/>
  <c r="A1581" i="1"/>
  <c r="B1581" i="1"/>
  <c r="C1581" i="1"/>
  <c r="E1581" i="1"/>
  <c r="G1581" i="1"/>
  <c r="H1581" i="1"/>
  <c r="A1582" i="1"/>
  <c r="B1582" i="1"/>
  <c r="C1582" i="1"/>
  <c r="E1582" i="1"/>
  <c r="G1582" i="1"/>
  <c r="H1582" i="1"/>
  <c r="A1583" i="1"/>
  <c r="B1583" i="1"/>
  <c r="C1583" i="1"/>
  <c r="E1583" i="1"/>
  <c r="G1583" i="1"/>
  <c r="H1583" i="1"/>
  <c r="A1584" i="1"/>
  <c r="B1584" i="1"/>
  <c r="C1584" i="1"/>
  <c r="E1584" i="1"/>
  <c r="G1584" i="1"/>
  <c r="H1584" i="1"/>
  <c r="A1585" i="1"/>
  <c r="B1585" i="1"/>
  <c r="C1585" i="1"/>
  <c r="E1585" i="1"/>
  <c r="G1585" i="1"/>
  <c r="H1585" i="1"/>
  <c r="A1586" i="1"/>
  <c r="B1586" i="1"/>
  <c r="C1586" i="1"/>
  <c r="E1586" i="1"/>
  <c r="G1586" i="1"/>
  <c r="H1586" i="1"/>
  <c r="A1587" i="1"/>
  <c r="B1587" i="1"/>
  <c r="C1587" i="1"/>
  <c r="E1587" i="1"/>
  <c r="G1587" i="1"/>
  <c r="H1587" i="1"/>
  <c r="A1588" i="1"/>
  <c r="B1588" i="1"/>
  <c r="C1588" i="1"/>
  <c r="E1588" i="1"/>
  <c r="G1588" i="1"/>
  <c r="H1588" i="1"/>
  <c r="A1589" i="1"/>
  <c r="B1589" i="1"/>
  <c r="C1589" i="1"/>
  <c r="E1589" i="1"/>
  <c r="G1589" i="1"/>
  <c r="H1589" i="1"/>
  <c r="A1590" i="1"/>
  <c r="B1590" i="1"/>
  <c r="C1590" i="1"/>
  <c r="E1590" i="1"/>
  <c r="G1590" i="1"/>
  <c r="H1590" i="1"/>
  <c r="A1591" i="1"/>
  <c r="B1591" i="1"/>
  <c r="C1591" i="1"/>
  <c r="E1591" i="1"/>
  <c r="G1591" i="1"/>
  <c r="H1591" i="1"/>
  <c r="A1592" i="1"/>
  <c r="B1592" i="1"/>
  <c r="C1592" i="1"/>
  <c r="E1592" i="1"/>
  <c r="G1592" i="1"/>
  <c r="H1592" i="1"/>
  <c r="A1593" i="1"/>
  <c r="B1593" i="1"/>
  <c r="C1593" i="1"/>
  <c r="E1593" i="1"/>
  <c r="G1593" i="1"/>
  <c r="H1593" i="1"/>
  <c r="A1594" i="1"/>
  <c r="B1594" i="1"/>
  <c r="C1594" i="1"/>
  <c r="E1594" i="1"/>
  <c r="G1594" i="1"/>
  <c r="H1594" i="1"/>
  <c r="A1595" i="1"/>
  <c r="B1595" i="1"/>
  <c r="C1595" i="1"/>
  <c r="E1595" i="1"/>
  <c r="G1595" i="1"/>
  <c r="H1595" i="1"/>
  <c r="A1596" i="1"/>
  <c r="B1596" i="1"/>
  <c r="C1596" i="1"/>
  <c r="E1596" i="1"/>
  <c r="G1596" i="1"/>
  <c r="H1596" i="1"/>
  <c r="A1597" i="1"/>
  <c r="B1597" i="1"/>
  <c r="C1597" i="1"/>
  <c r="E1597" i="1"/>
  <c r="G1597" i="1"/>
  <c r="H1597" i="1"/>
  <c r="A1598" i="1"/>
  <c r="B1598" i="1"/>
  <c r="C1598" i="1"/>
  <c r="E1598" i="1"/>
  <c r="G1598" i="1"/>
  <c r="H1598" i="1"/>
  <c r="A1599" i="1"/>
  <c r="B1599" i="1"/>
  <c r="C1599" i="1"/>
  <c r="E1599" i="1"/>
  <c r="G1599" i="1"/>
  <c r="H1599" i="1"/>
  <c r="A1600" i="1"/>
  <c r="B1600" i="1"/>
  <c r="C1600" i="1"/>
  <c r="E1600" i="1"/>
  <c r="G1600" i="1"/>
  <c r="H1600" i="1"/>
  <c r="A1601" i="1"/>
  <c r="B1601" i="1"/>
  <c r="C1601" i="1"/>
  <c r="E1601" i="1"/>
  <c r="G1601" i="1"/>
  <c r="H1601" i="1"/>
  <c r="A1602" i="1"/>
  <c r="B1602" i="1"/>
  <c r="C1602" i="1"/>
  <c r="E1602" i="1"/>
  <c r="G1602" i="1"/>
  <c r="H1602" i="1"/>
  <c r="A1603" i="1"/>
  <c r="B1603" i="1"/>
  <c r="C1603" i="1"/>
  <c r="E1603" i="1"/>
  <c r="G1603" i="1"/>
  <c r="H1603" i="1"/>
  <c r="A1604" i="1"/>
  <c r="B1604" i="1"/>
  <c r="C1604" i="1"/>
  <c r="E1604" i="1"/>
  <c r="G1604" i="1"/>
  <c r="H1604" i="1"/>
  <c r="A1605" i="1"/>
  <c r="B1605" i="1"/>
  <c r="C1605" i="1"/>
  <c r="E1605" i="1"/>
  <c r="G1605" i="1"/>
  <c r="H1605" i="1"/>
  <c r="A1606" i="1"/>
  <c r="B1606" i="1"/>
  <c r="C1606" i="1"/>
  <c r="E1606" i="1"/>
  <c r="G1606" i="1"/>
  <c r="H1606" i="1"/>
  <c r="A1607" i="1"/>
  <c r="B1607" i="1"/>
  <c r="C1607" i="1"/>
  <c r="E1607" i="1"/>
  <c r="G1607" i="1"/>
  <c r="H1607" i="1"/>
  <c r="A1608" i="1"/>
  <c r="B1608" i="1"/>
  <c r="C1608" i="1"/>
  <c r="E1608" i="1"/>
  <c r="G1608" i="1"/>
  <c r="H1608" i="1"/>
  <c r="A1609" i="1"/>
  <c r="B1609" i="1"/>
  <c r="C1609" i="1"/>
  <c r="E1609" i="1"/>
  <c r="G1609" i="1"/>
  <c r="H1609" i="1"/>
  <c r="A1610" i="1"/>
  <c r="B1610" i="1"/>
  <c r="C1610" i="1"/>
  <c r="E1610" i="1"/>
  <c r="G1610" i="1"/>
  <c r="H1610" i="1"/>
  <c r="A1611" i="1"/>
  <c r="B1611" i="1"/>
  <c r="C1611" i="1"/>
  <c r="E1611" i="1"/>
  <c r="G1611" i="1"/>
  <c r="H1611" i="1"/>
  <c r="A1612" i="1"/>
  <c r="B1612" i="1"/>
  <c r="C1612" i="1"/>
  <c r="E1612" i="1"/>
  <c r="G1612" i="1"/>
  <c r="H1612" i="1"/>
  <c r="A1613" i="1"/>
  <c r="B1613" i="1"/>
  <c r="C1613" i="1"/>
  <c r="E1613" i="1"/>
  <c r="G1613" i="1"/>
  <c r="H1613" i="1"/>
  <c r="A1614" i="1"/>
  <c r="B1614" i="1"/>
  <c r="C1614" i="1"/>
  <c r="E1614" i="1"/>
  <c r="G1614" i="1"/>
  <c r="H1614" i="1"/>
  <c r="A1615" i="1"/>
  <c r="B1615" i="1"/>
  <c r="C1615" i="1"/>
  <c r="E1615" i="1"/>
  <c r="G1615" i="1"/>
  <c r="H1615" i="1"/>
  <c r="A1616" i="1"/>
  <c r="B1616" i="1"/>
  <c r="C1616" i="1"/>
  <c r="E1616" i="1"/>
  <c r="G1616" i="1"/>
  <c r="H1616" i="1"/>
  <c r="A1617" i="1"/>
  <c r="B1617" i="1"/>
  <c r="C1617" i="1"/>
  <c r="E1617" i="1"/>
  <c r="G1617" i="1"/>
  <c r="H1617" i="1"/>
  <c r="A1618" i="1"/>
  <c r="B1618" i="1"/>
  <c r="C1618" i="1"/>
  <c r="E1618" i="1"/>
  <c r="G1618" i="1"/>
  <c r="H1618" i="1"/>
  <c r="A1619" i="1"/>
  <c r="B1619" i="1"/>
  <c r="C1619" i="1"/>
  <c r="E1619" i="1"/>
  <c r="G1619" i="1"/>
  <c r="H1619" i="1"/>
  <c r="A1620" i="1"/>
  <c r="B1620" i="1"/>
  <c r="C1620" i="1"/>
  <c r="E1620" i="1"/>
  <c r="G1620" i="1"/>
  <c r="H1620" i="1"/>
  <c r="A1621" i="1"/>
  <c r="B1621" i="1"/>
  <c r="C1621" i="1"/>
  <c r="E1621" i="1"/>
  <c r="G1621" i="1"/>
  <c r="H1621" i="1"/>
  <c r="A1622" i="1"/>
  <c r="B1622" i="1"/>
  <c r="C1622" i="1"/>
  <c r="E1622" i="1"/>
  <c r="G1622" i="1"/>
  <c r="H1622" i="1"/>
  <c r="A1623" i="1"/>
  <c r="B1623" i="1"/>
  <c r="C1623" i="1"/>
  <c r="E1623" i="1"/>
  <c r="G1623" i="1"/>
  <c r="H1623" i="1"/>
  <c r="A1624" i="1"/>
  <c r="B1624" i="1"/>
  <c r="C1624" i="1"/>
  <c r="E1624" i="1"/>
  <c r="G1624" i="1"/>
  <c r="H1624" i="1"/>
  <c r="A1625" i="1"/>
  <c r="B1625" i="1"/>
  <c r="C1625" i="1"/>
  <c r="E1625" i="1"/>
  <c r="G1625" i="1"/>
  <c r="H1625" i="1"/>
  <c r="A1626" i="1"/>
  <c r="B1626" i="1"/>
  <c r="C1626" i="1"/>
  <c r="E1626" i="1"/>
  <c r="G1626" i="1"/>
  <c r="H1626" i="1"/>
  <c r="A1627" i="1"/>
  <c r="B1627" i="1"/>
  <c r="C1627" i="1"/>
  <c r="E1627" i="1"/>
  <c r="G1627" i="1"/>
  <c r="H1627" i="1"/>
  <c r="A1628" i="1"/>
  <c r="B1628" i="1"/>
  <c r="C1628" i="1"/>
  <c r="E1628" i="1"/>
  <c r="G1628" i="1"/>
  <c r="H1628" i="1"/>
  <c r="A1629" i="1"/>
  <c r="B1629" i="1"/>
  <c r="C1629" i="1"/>
  <c r="E1629" i="1"/>
  <c r="G1629" i="1"/>
  <c r="H1629" i="1"/>
  <c r="A1630" i="1"/>
  <c r="B1630" i="1"/>
  <c r="C1630" i="1"/>
  <c r="E1630" i="1"/>
  <c r="G1630" i="1"/>
  <c r="H1630" i="1"/>
  <c r="A1631" i="1"/>
  <c r="B1631" i="1"/>
  <c r="C1631" i="1"/>
  <c r="E1631" i="1"/>
  <c r="G1631" i="1"/>
  <c r="H1631" i="1"/>
  <c r="A1632" i="1"/>
  <c r="B1632" i="1"/>
  <c r="C1632" i="1"/>
  <c r="E1632" i="1"/>
  <c r="G1632" i="1"/>
  <c r="H1632" i="1"/>
  <c r="A1633" i="1"/>
  <c r="B1633" i="1"/>
  <c r="C1633" i="1"/>
  <c r="E1633" i="1"/>
  <c r="G1633" i="1"/>
  <c r="H1633" i="1"/>
  <c r="A1634" i="1"/>
  <c r="B1634" i="1"/>
  <c r="C1634" i="1"/>
  <c r="E1634" i="1"/>
  <c r="G1634" i="1"/>
  <c r="H1634" i="1"/>
  <c r="A1635" i="1"/>
  <c r="B1635" i="1"/>
  <c r="C1635" i="1"/>
  <c r="E1635" i="1"/>
  <c r="G1635" i="1"/>
  <c r="H1635" i="1"/>
  <c r="A1636" i="1"/>
  <c r="B1636" i="1"/>
  <c r="C1636" i="1"/>
  <c r="E1636" i="1"/>
  <c r="G1636" i="1"/>
  <c r="H1636" i="1"/>
  <c r="A1637" i="1"/>
  <c r="B1637" i="1"/>
  <c r="C1637" i="1"/>
  <c r="E1637" i="1"/>
  <c r="G1637" i="1"/>
  <c r="H1637" i="1"/>
  <c r="A1638" i="1"/>
  <c r="B1638" i="1"/>
  <c r="C1638" i="1"/>
  <c r="E1638" i="1"/>
  <c r="G1638" i="1"/>
  <c r="H1638" i="1"/>
  <c r="A1639" i="1"/>
  <c r="B1639" i="1"/>
  <c r="C1639" i="1"/>
  <c r="E1639" i="1"/>
  <c r="G1639" i="1"/>
  <c r="H1639" i="1"/>
  <c r="A1640" i="1"/>
  <c r="B1640" i="1"/>
  <c r="C1640" i="1"/>
  <c r="E1640" i="1"/>
  <c r="G1640" i="1"/>
  <c r="H1640" i="1"/>
  <c r="A1641" i="1"/>
  <c r="B1641" i="1"/>
  <c r="C1641" i="1"/>
  <c r="E1641" i="1"/>
  <c r="G1641" i="1"/>
  <c r="H1641" i="1"/>
  <c r="A1642" i="1"/>
  <c r="B1642" i="1"/>
  <c r="C1642" i="1"/>
  <c r="E1642" i="1"/>
  <c r="G1642" i="1"/>
  <c r="H1642" i="1"/>
  <c r="A1643" i="1"/>
  <c r="B1643" i="1"/>
  <c r="C1643" i="1"/>
  <c r="E1643" i="1"/>
  <c r="G1643" i="1"/>
  <c r="H1643" i="1"/>
  <c r="A1644" i="1"/>
  <c r="B1644" i="1"/>
  <c r="C1644" i="1"/>
  <c r="E1644" i="1"/>
  <c r="G1644" i="1"/>
  <c r="H1644" i="1"/>
  <c r="A1645" i="1"/>
  <c r="B1645" i="1"/>
  <c r="C1645" i="1"/>
  <c r="E1645" i="1"/>
  <c r="G1645" i="1"/>
  <c r="H1645" i="1"/>
  <c r="A1646" i="1"/>
  <c r="B1646" i="1"/>
  <c r="C1646" i="1"/>
  <c r="E1646" i="1"/>
  <c r="G1646" i="1"/>
  <c r="H1646" i="1"/>
  <c r="A1647" i="1"/>
  <c r="B1647" i="1"/>
  <c r="C1647" i="1"/>
  <c r="E1647" i="1"/>
  <c r="G1647" i="1"/>
  <c r="H1647" i="1"/>
  <c r="A1648" i="1"/>
  <c r="B1648" i="1"/>
  <c r="C1648" i="1"/>
  <c r="E1648" i="1"/>
  <c r="G1648" i="1"/>
  <c r="H1648" i="1"/>
  <c r="A1649" i="1"/>
  <c r="B1649" i="1"/>
  <c r="C1649" i="1"/>
  <c r="E1649" i="1"/>
  <c r="G1649" i="1"/>
  <c r="H1649" i="1"/>
  <c r="A1650" i="1"/>
  <c r="B1650" i="1"/>
  <c r="C1650" i="1"/>
  <c r="E1650" i="1"/>
  <c r="G1650" i="1"/>
  <c r="H1650" i="1"/>
  <c r="A1651" i="1"/>
  <c r="B1651" i="1"/>
  <c r="C1651" i="1"/>
  <c r="E1651" i="1"/>
  <c r="G1651" i="1"/>
  <c r="H1651" i="1"/>
  <c r="A1652" i="1"/>
  <c r="B1652" i="1"/>
  <c r="C1652" i="1"/>
  <c r="E1652" i="1"/>
  <c r="G1652" i="1"/>
  <c r="H1652" i="1"/>
  <c r="A1653" i="1"/>
  <c r="B1653" i="1"/>
  <c r="C1653" i="1"/>
  <c r="E1653" i="1"/>
  <c r="G1653" i="1"/>
  <c r="H1653" i="1"/>
  <c r="A1654" i="1"/>
  <c r="B1654" i="1"/>
  <c r="C1654" i="1"/>
  <c r="E1654" i="1"/>
  <c r="G1654" i="1"/>
  <c r="H1654" i="1"/>
  <c r="A1655" i="1"/>
  <c r="B1655" i="1"/>
  <c r="C1655" i="1"/>
  <c r="E1655" i="1"/>
  <c r="G1655" i="1"/>
  <c r="H1655" i="1"/>
  <c r="A1656" i="1"/>
  <c r="B1656" i="1"/>
  <c r="C1656" i="1"/>
  <c r="E1656" i="1"/>
  <c r="G1656" i="1"/>
  <c r="H1656" i="1"/>
  <c r="A1657" i="1"/>
  <c r="B1657" i="1"/>
  <c r="C1657" i="1"/>
  <c r="E1657" i="1"/>
  <c r="G1657" i="1"/>
  <c r="H1657" i="1"/>
  <c r="A1658" i="1"/>
  <c r="B1658" i="1"/>
  <c r="C1658" i="1"/>
  <c r="E1658" i="1"/>
  <c r="G1658" i="1"/>
  <c r="H1658" i="1"/>
  <c r="A1659" i="1"/>
  <c r="B1659" i="1"/>
  <c r="C1659" i="1"/>
  <c r="E1659" i="1"/>
  <c r="G1659" i="1"/>
  <c r="H1659" i="1"/>
  <c r="A1660" i="1"/>
  <c r="B1660" i="1"/>
  <c r="C1660" i="1"/>
  <c r="E1660" i="1"/>
  <c r="G1660" i="1"/>
  <c r="H1660" i="1"/>
  <c r="A1661" i="1"/>
  <c r="B1661" i="1"/>
  <c r="C1661" i="1"/>
  <c r="E1661" i="1"/>
  <c r="G1661" i="1"/>
  <c r="H1661" i="1"/>
  <c r="A1662" i="1"/>
  <c r="B1662" i="1"/>
  <c r="C1662" i="1"/>
  <c r="E1662" i="1"/>
  <c r="G1662" i="1"/>
  <c r="H1662" i="1"/>
  <c r="A1663" i="1"/>
  <c r="B1663" i="1"/>
  <c r="C1663" i="1"/>
  <c r="E1663" i="1"/>
  <c r="G1663" i="1"/>
  <c r="H1663" i="1"/>
  <c r="A1664" i="1"/>
  <c r="B1664" i="1"/>
  <c r="C1664" i="1"/>
  <c r="E1664" i="1"/>
  <c r="G1664" i="1"/>
  <c r="H1664" i="1"/>
  <c r="A1665" i="1"/>
  <c r="B1665" i="1"/>
  <c r="C1665" i="1"/>
  <c r="E1665" i="1"/>
  <c r="G1665" i="1"/>
  <c r="H1665" i="1"/>
  <c r="A1666" i="1"/>
  <c r="B1666" i="1"/>
  <c r="C1666" i="1"/>
  <c r="E1666" i="1"/>
  <c r="G1666" i="1"/>
  <c r="H1666" i="1"/>
  <c r="A1667" i="1"/>
  <c r="B1667" i="1"/>
  <c r="C1667" i="1"/>
  <c r="E1667" i="1"/>
  <c r="G1667" i="1"/>
  <c r="H1667" i="1"/>
  <c r="A1668" i="1"/>
  <c r="B1668" i="1"/>
  <c r="C1668" i="1"/>
  <c r="E1668" i="1"/>
  <c r="G1668" i="1"/>
  <c r="H1668" i="1"/>
  <c r="A1669" i="1"/>
  <c r="B1669" i="1"/>
  <c r="C1669" i="1"/>
  <c r="E1669" i="1"/>
  <c r="G1669" i="1"/>
  <c r="H1669" i="1"/>
  <c r="A1670" i="1"/>
  <c r="B1670" i="1"/>
  <c r="C1670" i="1"/>
  <c r="E1670" i="1"/>
  <c r="G1670" i="1"/>
  <c r="H1670" i="1"/>
  <c r="A1671" i="1"/>
  <c r="B1671" i="1"/>
  <c r="C1671" i="1"/>
  <c r="E1671" i="1"/>
  <c r="G1671" i="1"/>
  <c r="H1671" i="1"/>
  <c r="A1672" i="1"/>
  <c r="B1672" i="1"/>
  <c r="C1672" i="1"/>
  <c r="E1672" i="1"/>
  <c r="G1672" i="1"/>
  <c r="H1672" i="1"/>
  <c r="A1673" i="1"/>
  <c r="B1673" i="1"/>
  <c r="C1673" i="1"/>
  <c r="E1673" i="1"/>
  <c r="G1673" i="1"/>
  <c r="H1673" i="1"/>
  <c r="A1674" i="1"/>
  <c r="B1674" i="1"/>
  <c r="C1674" i="1"/>
  <c r="E1674" i="1"/>
  <c r="G1674" i="1"/>
  <c r="H1674" i="1"/>
  <c r="A1675" i="1"/>
  <c r="B1675" i="1"/>
  <c r="C1675" i="1"/>
  <c r="E1675" i="1"/>
  <c r="G1675" i="1"/>
  <c r="H1675" i="1"/>
  <c r="A1676" i="1"/>
  <c r="B1676" i="1"/>
  <c r="C1676" i="1"/>
  <c r="E1676" i="1"/>
  <c r="G1676" i="1"/>
  <c r="H1676" i="1"/>
  <c r="A1677" i="1"/>
  <c r="B1677" i="1"/>
  <c r="C1677" i="1"/>
  <c r="E1677" i="1"/>
  <c r="G1677" i="1"/>
  <c r="H1677" i="1"/>
  <c r="A1678" i="1"/>
  <c r="B1678" i="1"/>
  <c r="C1678" i="1"/>
  <c r="E1678" i="1"/>
  <c r="G1678" i="1"/>
  <c r="H1678" i="1"/>
  <c r="A1679" i="1"/>
  <c r="B1679" i="1"/>
  <c r="C1679" i="1"/>
  <c r="E1679" i="1"/>
  <c r="G1679" i="1"/>
  <c r="H1679" i="1"/>
  <c r="A1680" i="1"/>
  <c r="B1680" i="1"/>
  <c r="C1680" i="1"/>
  <c r="E1680" i="1"/>
  <c r="G1680" i="1"/>
  <c r="H1680" i="1"/>
  <c r="A1681" i="1"/>
  <c r="B1681" i="1"/>
  <c r="C1681" i="1"/>
  <c r="E1681" i="1"/>
  <c r="G1681" i="1"/>
  <c r="H1681" i="1"/>
  <c r="A1682" i="1"/>
  <c r="B1682" i="1"/>
  <c r="C1682" i="1"/>
  <c r="E1682" i="1"/>
  <c r="G1682" i="1"/>
  <c r="H1682" i="1"/>
  <c r="A1683" i="1"/>
  <c r="B1683" i="1"/>
  <c r="C1683" i="1"/>
  <c r="E1683" i="1"/>
  <c r="G1683" i="1"/>
  <c r="H1683" i="1"/>
  <c r="A1684" i="1"/>
  <c r="B1684" i="1"/>
  <c r="C1684" i="1"/>
  <c r="E1684" i="1"/>
  <c r="G1684" i="1"/>
  <c r="H1684" i="1"/>
  <c r="A1685" i="1"/>
  <c r="B1685" i="1"/>
  <c r="C1685" i="1"/>
  <c r="E1685" i="1"/>
  <c r="G1685" i="1"/>
  <c r="H1685" i="1"/>
  <c r="A1686" i="1"/>
  <c r="B1686" i="1"/>
  <c r="C1686" i="1"/>
  <c r="E1686" i="1"/>
  <c r="G1686" i="1"/>
  <c r="H1686" i="1"/>
  <c r="A1687" i="1"/>
  <c r="B1687" i="1"/>
  <c r="C1687" i="1"/>
  <c r="E1687" i="1"/>
  <c r="G1687" i="1"/>
  <c r="H1687" i="1"/>
  <c r="A1688" i="1"/>
  <c r="B1688" i="1"/>
  <c r="C1688" i="1"/>
  <c r="E1688" i="1"/>
  <c r="G1688" i="1"/>
  <c r="H1688" i="1"/>
  <c r="A1689" i="1"/>
  <c r="B1689" i="1"/>
  <c r="C1689" i="1"/>
  <c r="E1689" i="1"/>
  <c r="G1689" i="1"/>
  <c r="H1689" i="1"/>
  <c r="A1690" i="1"/>
  <c r="B1690" i="1"/>
  <c r="C1690" i="1"/>
  <c r="E1690" i="1"/>
  <c r="G1690" i="1"/>
  <c r="H1690" i="1"/>
  <c r="A1691" i="1"/>
  <c r="B1691" i="1"/>
  <c r="C1691" i="1"/>
  <c r="E1691" i="1"/>
  <c r="G1691" i="1"/>
  <c r="H1691" i="1"/>
  <c r="A1692" i="1"/>
  <c r="B1692" i="1"/>
  <c r="C1692" i="1"/>
  <c r="E1692" i="1"/>
  <c r="G1692" i="1"/>
  <c r="H1692" i="1"/>
  <c r="A1693" i="1"/>
  <c r="B1693" i="1"/>
  <c r="C1693" i="1"/>
  <c r="E1693" i="1"/>
  <c r="G1693" i="1"/>
  <c r="H1693" i="1"/>
  <c r="A1694" i="1"/>
  <c r="B1694" i="1"/>
  <c r="C1694" i="1"/>
  <c r="E1694" i="1"/>
  <c r="G1694" i="1"/>
  <c r="H1694" i="1"/>
  <c r="A1695" i="1"/>
  <c r="B1695" i="1"/>
  <c r="C1695" i="1"/>
  <c r="E1695" i="1"/>
  <c r="G1695" i="1"/>
  <c r="H1695" i="1"/>
  <c r="A1696" i="1"/>
  <c r="B1696" i="1"/>
  <c r="C1696" i="1"/>
  <c r="E1696" i="1"/>
  <c r="G1696" i="1"/>
  <c r="H1696" i="1"/>
  <c r="A1697" i="1"/>
  <c r="B1697" i="1"/>
  <c r="C1697" i="1"/>
  <c r="E1697" i="1"/>
  <c r="G1697" i="1"/>
  <c r="H1697" i="1"/>
  <c r="A1698" i="1"/>
  <c r="B1698" i="1"/>
  <c r="C1698" i="1"/>
  <c r="E1698" i="1"/>
  <c r="G1698" i="1"/>
  <c r="H1698" i="1"/>
  <c r="A1699" i="1"/>
  <c r="B1699" i="1"/>
  <c r="C1699" i="1"/>
  <c r="E1699" i="1"/>
  <c r="G1699" i="1"/>
  <c r="H1699" i="1"/>
  <c r="A1700" i="1"/>
  <c r="B1700" i="1"/>
  <c r="C1700" i="1"/>
  <c r="E1700" i="1"/>
  <c r="G1700" i="1"/>
  <c r="H1700" i="1"/>
  <c r="A1701" i="1"/>
  <c r="B1701" i="1"/>
  <c r="C1701" i="1"/>
  <c r="E1701" i="1"/>
  <c r="G1701" i="1"/>
  <c r="H1701" i="1"/>
  <c r="A1702" i="1"/>
  <c r="B1702" i="1"/>
  <c r="C1702" i="1"/>
  <c r="E1702" i="1"/>
  <c r="G1702" i="1"/>
  <c r="H1702" i="1"/>
  <c r="A1703" i="1"/>
  <c r="B1703" i="1"/>
  <c r="C1703" i="1"/>
  <c r="E1703" i="1"/>
  <c r="G1703" i="1"/>
  <c r="H1703" i="1"/>
  <c r="A1704" i="1"/>
  <c r="B1704" i="1"/>
  <c r="C1704" i="1"/>
  <c r="E1704" i="1"/>
  <c r="G1704" i="1"/>
  <c r="H1704" i="1"/>
  <c r="A1705" i="1"/>
  <c r="B1705" i="1"/>
  <c r="C1705" i="1"/>
  <c r="E1705" i="1"/>
  <c r="G1705" i="1"/>
  <c r="H1705" i="1"/>
  <c r="A1706" i="1"/>
  <c r="B1706" i="1"/>
  <c r="C1706" i="1"/>
  <c r="E1706" i="1"/>
  <c r="G1706" i="1"/>
  <c r="H1706" i="1"/>
  <c r="A1707" i="1"/>
  <c r="B1707" i="1"/>
  <c r="C1707" i="1"/>
  <c r="E1707" i="1"/>
  <c r="G1707" i="1"/>
  <c r="H1707" i="1"/>
  <c r="A1708" i="1"/>
  <c r="B1708" i="1"/>
  <c r="C1708" i="1"/>
  <c r="E1708" i="1"/>
  <c r="G1708" i="1"/>
  <c r="H1708" i="1"/>
  <c r="A1709" i="1"/>
  <c r="B1709" i="1"/>
  <c r="C1709" i="1"/>
  <c r="E1709" i="1"/>
  <c r="G1709" i="1"/>
  <c r="H1709" i="1"/>
  <c r="A1710" i="1"/>
  <c r="B1710" i="1"/>
  <c r="C1710" i="1"/>
  <c r="E1710" i="1"/>
  <c r="G1710" i="1"/>
  <c r="H1710" i="1"/>
  <c r="A1711" i="1"/>
  <c r="B1711" i="1"/>
  <c r="C1711" i="1"/>
  <c r="E1711" i="1"/>
  <c r="G1711" i="1"/>
  <c r="H1711" i="1"/>
  <c r="A1712" i="1"/>
  <c r="B1712" i="1"/>
  <c r="C1712" i="1"/>
  <c r="E1712" i="1"/>
  <c r="G1712" i="1"/>
  <c r="H1712" i="1"/>
  <c r="A1713" i="1"/>
  <c r="B1713" i="1"/>
  <c r="C1713" i="1"/>
  <c r="E1713" i="1"/>
  <c r="G1713" i="1"/>
  <c r="H1713" i="1"/>
  <c r="A1714" i="1"/>
  <c r="B1714" i="1"/>
  <c r="C1714" i="1"/>
  <c r="E1714" i="1"/>
  <c r="G1714" i="1"/>
  <c r="H1714" i="1"/>
  <c r="A1715" i="1"/>
  <c r="B1715" i="1"/>
  <c r="C1715" i="1"/>
  <c r="E1715" i="1"/>
  <c r="G1715" i="1"/>
  <c r="H1715" i="1"/>
  <c r="A1716" i="1"/>
  <c r="B1716" i="1"/>
  <c r="C1716" i="1"/>
  <c r="E1716" i="1"/>
  <c r="G1716" i="1"/>
  <c r="H1716" i="1"/>
  <c r="A1717" i="1"/>
  <c r="B1717" i="1"/>
  <c r="C1717" i="1"/>
  <c r="E1717" i="1"/>
  <c r="G1717" i="1"/>
  <c r="H1717" i="1"/>
  <c r="A1718" i="1"/>
  <c r="B1718" i="1"/>
  <c r="C1718" i="1"/>
  <c r="E1718" i="1"/>
  <c r="G1718" i="1"/>
  <c r="H1718" i="1"/>
  <c r="A1719" i="1"/>
  <c r="B1719" i="1"/>
  <c r="C1719" i="1"/>
  <c r="E1719" i="1"/>
  <c r="G1719" i="1"/>
  <c r="H1719" i="1"/>
  <c r="A1720" i="1"/>
  <c r="B1720" i="1"/>
  <c r="C1720" i="1"/>
  <c r="E1720" i="1"/>
  <c r="G1720" i="1"/>
  <c r="H1720" i="1"/>
  <c r="A1721" i="1"/>
  <c r="B1721" i="1"/>
  <c r="C1721" i="1"/>
  <c r="E1721" i="1"/>
  <c r="G1721" i="1"/>
  <c r="H1721" i="1"/>
  <c r="A1722" i="1"/>
  <c r="B1722" i="1"/>
  <c r="C1722" i="1"/>
  <c r="E1722" i="1"/>
  <c r="G1722" i="1"/>
  <c r="H1722" i="1"/>
  <c r="A1723" i="1"/>
  <c r="B1723" i="1"/>
  <c r="C1723" i="1"/>
  <c r="E1723" i="1"/>
  <c r="G1723" i="1"/>
  <c r="H1723" i="1"/>
  <c r="A1724" i="1"/>
  <c r="B1724" i="1"/>
  <c r="C1724" i="1"/>
  <c r="E1724" i="1"/>
  <c r="G1724" i="1"/>
  <c r="H1724" i="1"/>
  <c r="A1725" i="1"/>
  <c r="B1725" i="1"/>
  <c r="C1725" i="1"/>
  <c r="E1725" i="1"/>
  <c r="G1725" i="1"/>
  <c r="H1725" i="1"/>
  <c r="A1726" i="1"/>
  <c r="B1726" i="1"/>
  <c r="C1726" i="1"/>
  <c r="E1726" i="1"/>
  <c r="G1726" i="1"/>
  <c r="H1726" i="1"/>
  <c r="A1727" i="1"/>
  <c r="B1727" i="1"/>
  <c r="C1727" i="1"/>
  <c r="E1727" i="1"/>
  <c r="G1727" i="1"/>
  <c r="H1727" i="1"/>
  <c r="A1728" i="1"/>
  <c r="B1728" i="1"/>
  <c r="C1728" i="1"/>
  <c r="E1728" i="1"/>
  <c r="G1728" i="1"/>
  <c r="H1728" i="1"/>
  <c r="A1729" i="1"/>
  <c r="B1729" i="1"/>
  <c r="C1729" i="1"/>
  <c r="E1729" i="1"/>
  <c r="G1729" i="1"/>
  <c r="H1729" i="1"/>
  <c r="A1730" i="1"/>
  <c r="B1730" i="1"/>
  <c r="C1730" i="1"/>
  <c r="E1730" i="1"/>
  <c r="G1730" i="1"/>
  <c r="H1730" i="1"/>
  <c r="A1731" i="1"/>
  <c r="B1731" i="1"/>
  <c r="C1731" i="1"/>
  <c r="E1731" i="1"/>
  <c r="G1731" i="1"/>
  <c r="H1731" i="1"/>
  <c r="A1732" i="1"/>
  <c r="B1732" i="1"/>
  <c r="C1732" i="1"/>
  <c r="E1732" i="1"/>
  <c r="G1732" i="1"/>
  <c r="H1732" i="1"/>
  <c r="A1733" i="1"/>
  <c r="B1733" i="1"/>
  <c r="C1733" i="1"/>
  <c r="E1733" i="1"/>
  <c r="G1733" i="1"/>
  <c r="H1733" i="1"/>
  <c r="A1734" i="1"/>
  <c r="B1734" i="1"/>
  <c r="C1734" i="1"/>
  <c r="E1734" i="1"/>
  <c r="G1734" i="1"/>
  <c r="H1734" i="1"/>
  <c r="A1735" i="1"/>
  <c r="B1735" i="1"/>
  <c r="C1735" i="1"/>
  <c r="E1735" i="1"/>
  <c r="G1735" i="1"/>
  <c r="H1735" i="1"/>
  <c r="A1736" i="1"/>
  <c r="B1736" i="1"/>
  <c r="C1736" i="1"/>
  <c r="E1736" i="1"/>
  <c r="G1736" i="1"/>
  <c r="H1736" i="1"/>
  <c r="A1737" i="1"/>
  <c r="B1737" i="1"/>
  <c r="C1737" i="1"/>
  <c r="E1737" i="1"/>
  <c r="G1737" i="1"/>
  <c r="H1737" i="1"/>
  <c r="A1738" i="1"/>
  <c r="B1738" i="1"/>
  <c r="C1738" i="1"/>
  <c r="E1738" i="1"/>
  <c r="G1738" i="1"/>
  <c r="H1738" i="1"/>
  <c r="A1739" i="1"/>
  <c r="B1739" i="1"/>
  <c r="C1739" i="1"/>
  <c r="E1739" i="1"/>
  <c r="G1739" i="1"/>
  <c r="H1739" i="1"/>
  <c r="A1740" i="1"/>
  <c r="B1740" i="1"/>
  <c r="C1740" i="1"/>
  <c r="E1740" i="1"/>
  <c r="G1740" i="1"/>
  <c r="H1740" i="1"/>
  <c r="A1741" i="1"/>
  <c r="B1741" i="1"/>
  <c r="C1741" i="1"/>
  <c r="E1741" i="1"/>
  <c r="G1741" i="1"/>
  <c r="H1741" i="1"/>
  <c r="A1742" i="1"/>
  <c r="B1742" i="1"/>
  <c r="C1742" i="1"/>
  <c r="E1742" i="1"/>
  <c r="G1742" i="1"/>
  <c r="H1742" i="1"/>
  <c r="A1743" i="1"/>
  <c r="B1743" i="1"/>
  <c r="C1743" i="1"/>
  <c r="E1743" i="1"/>
  <c r="G1743" i="1"/>
  <c r="H1743" i="1"/>
  <c r="A1744" i="1"/>
  <c r="B1744" i="1"/>
  <c r="C1744" i="1"/>
  <c r="E1744" i="1"/>
  <c r="G1744" i="1"/>
  <c r="H1744" i="1"/>
  <c r="A1745" i="1"/>
  <c r="B1745" i="1"/>
  <c r="C1745" i="1"/>
  <c r="E1745" i="1"/>
  <c r="G1745" i="1"/>
  <c r="H1745" i="1"/>
  <c r="A1746" i="1"/>
  <c r="B1746" i="1"/>
  <c r="C1746" i="1"/>
  <c r="E1746" i="1"/>
  <c r="G1746" i="1"/>
  <c r="H1746" i="1"/>
  <c r="A1747" i="1"/>
  <c r="B1747" i="1"/>
  <c r="C1747" i="1"/>
  <c r="E1747" i="1"/>
  <c r="G1747" i="1"/>
  <c r="H1747" i="1"/>
  <c r="A1748" i="1"/>
  <c r="B1748" i="1"/>
  <c r="C1748" i="1"/>
  <c r="E1748" i="1"/>
  <c r="G1748" i="1"/>
  <c r="H1748" i="1"/>
  <c r="A1749" i="1"/>
  <c r="B1749" i="1"/>
  <c r="C1749" i="1"/>
  <c r="E1749" i="1"/>
  <c r="G1749" i="1"/>
  <c r="H1749" i="1"/>
  <c r="A1750" i="1"/>
  <c r="B1750" i="1"/>
  <c r="C1750" i="1"/>
  <c r="E1750" i="1"/>
  <c r="G1750" i="1"/>
  <c r="H1750" i="1"/>
  <c r="A1751" i="1"/>
  <c r="B1751" i="1"/>
  <c r="C1751" i="1"/>
  <c r="E1751" i="1"/>
  <c r="G1751" i="1"/>
  <c r="H1751" i="1"/>
  <c r="A1752" i="1"/>
  <c r="B1752" i="1"/>
  <c r="C1752" i="1"/>
  <c r="E1752" i="1"/>
  <c r="G1752" i="1"/>
  <c r="H1752" i="1"/>
  <c r="A1753" i="1"/>
  <c r="B1753" i="1"/>
  <c r="C1753" i="1"/>
  <c r="E1753" i="1"/>
  <c r="G1753" i="1"/>
  <c r="H1753" i="1"/>
  <c r="A1754" i="1"/>
  <c r="B1754" i="1"/>
  <c r="C1754" i="1"/>
  <c r="E1754" i="1"/>
  <c r="G1754" i="1"/>
  <c r="H1754" i="1"/>
  <c r="A1755" i="1"/>
  <c r="B1755" i="1"/>
  <c r="C1755" i="1"/>
  <c r="E1755" i="1"/>
  <c r="G1755" i="1"/>
  <c r="H1755" i="1"/>
  <c r="A1756" i="1"/>
  <c r="B1756" i="1"/>
  <c r="C1756" i="1"/>
  <c r="E1756" i="1"/>
  <c r="G1756" i="1"/>
  <c r="H1756" i="1"/>
  <c r="A1757" i="1"/>
  <c r="B1757" i="1"/>
  <c r="C1757" i="1"/>
  <c r="E1757" i="1"/>
  <c r="G1757" i="1"/>
  <c r="H1757" i="1"/>
  <c r="A1758" i="1"/>
  <c r="B1758" i="1"/>
  <c r="C1758" i="1"/>
  <c r="E1758" i="1"/>
  <c r="G1758" i="1"/>
  <c r="H1758" i="1"/>
  <c r="A1759" i="1"/>
  <c r="B1759" i="1"/>
  <c r="C1759" i="1"/>
  <c r="E1759" i="1"/>
  <c r="G1759" i="1"/>
  <c r="H1759" i="1"/>
  <c r="A1760" i="1"/>
  <c r="B1760" i="1"/>
  <c r="C1760" i="1"/>
  <c r="E1760" i="1"/>
  <c r="G1760" i="1"/>
  <c r="H1760" i="1"/>
  <c r="A1761" i="1"/>
  <c r="B1761" i="1"/>
  <c r="C1761" i="1"/>
  <c r="E1761" i="1"/>
  <c r="G1761" i="1"/>
  <c r="H1761" i="1"/>
  <c r="A1762" i="1"/>
  <c r="B1762" i="1"/>
  <c r="C1762" i="1"/>
  <c r="E1762" i="1"/>
  <c r="G1762" i="1"/>
  <c r="H1762" i="1"/>
  <c r="A1763" i="1"/>
  <c r="B1763" i="1"/>
  <c r="C1763" i="1"/>
  <c r="E1763" i="1"/>
  <c r="G1763" i="1"/>
  <c r="H1763" i="1"/>
  <c r="A1764" i="1"/>
  <c r="B1764" i="1"/>
  <c r="C1764" i="1"/>
  <c r="E1764" i="1"/>
  <c r="G1764" i="1"/>
  <c r="H1764" i="1"/>
  <c r="A1765" i="1"/>
  <c r="B1765" i="1"/>
  <c r="C1765" i="1"/>
  <c r="E1765" i="1"/>
  <c r="G1765" i="1"/>
  <c r="H1765" i="1"/>
  <c r="A1766" i="1"/>
  <c r="B1766" i="1"/>
  <c r="C1766" i="1"/>
  <c r="E1766" i="1"/>
  <c r="G1766" i="1"/>
  <c r="H1766" i="1"/>
  <c r="A1767" i="1"/>
  <c r="B1767" i="1"/>
  <c r="C1767" i="1"/>
  <c r="E1767" i="1"/>
  <c r="G1767" i="1"/>
  <c r="H1767" i="1"/>
  <c r="A1768" i="1"/>
  <c r="B1768" i="1"/>
  <c r="C1768" i="1"/>
  <c r="E1768" i="1"/>
  <c r="G1768" i="1"/>
  <c r="H1768" i="1"/>
  <c r="A1769" i="1"/>
  <c r="B1769" i="1"/>
  <c r="C1769" i="1"/>
  <c r="E1769" i="1"/>
  <c r="G1769" i="1"/>
  <c r="H1769" i="1"/>
  <c r="A1770" i="1"/>
  <c r="B1770" i="1"/>
  <c r="C1770" i="1"/>
  <c r="E1770" i="1"/>
  <c r="G1770" i="1"/>
  <c r="H1770" i="1"/>
  <c r="A1771" i="1"/>
  <c r="B1771" i="1"/>
  <c r="C1771" i="1"/>
  <c r="E1771" i="1"/>
  <c r="G1771" i="1"/>
  <c r="H1771" i="1"/>
  <c r="A1772" i="1"/>
  <c r="B1772" i="1"/>
  <c r="C1772" i="1"/>
  <c r="E1772" i="1"/>
  <c r="G1772" i="1"/>
  <c r="H1772" i="1"/>
  <c r="A1773" i="1"/>
  <c r="B1773" i="1"/>
  <c r="C1773" i="1"/>
  <c r="E1773" i="1"/>
  <c r="G1773" i="1"/>
  <c r="H1773" i="1"/>
  <c r="A1774" i="1"/>
  <c r="B1774" i="1"/>
  <c r="C1774" i="1"/>
  <c r="E1774" i="1"/>
  <c r="G1774" i="1"/>
  <c r="H1774" i="1"/>
  <c r="A1775" i="1"/>
  <c r="B1775" i="1"/>
  <c r="C1775" i="1"/>
  <c r="E1775" i="1"/>
  <c r="G1775" i="1"/>
  <c r="H1775" i="1"/>
  <c r="A1776" i="1"/>
  <c r="B1776" i="1"/>
  <c r="C1776" i="1"/>
  <c r="E1776" i="1"/>
  <c r="G1776" i="1"/>
  <c r="H1776" i="1"/>
  <c r="A1777" i="1"/>
  <c r="B1777" i="1"/>
  <c r="C1777" i="1"/>
  <c r="E1777" i="1"/>
  <c r="G1777" i="1"/>
  <c r="H1777" i="1"/>
  <c r="A1778" i="1"/>
  <c r="B1778" i="1"/>
  <c r="C1778" i="1"/>
  <c r="E1778" i="1"/>
  <c r="G1778" i="1"/>
  <c r="H1778" i="1"/>
  <c r="A1779" i="1"/>
  <c r="B1779" i="1"/>
  <c r="C1779" i="1"/>
  <c r="E1779" i="1"/>
  <c r="G1779" i="1"/>
  <c r="H1779" i="1"/>
  <c r="A1780" i="1"/>
  <c r="B1780" i="1"/>
  <c r="C1780" i="1"/>
  <c r="E1780" i="1"/>
  <c r="G1780" i="1"/>
  <c r="H1780" i="1"/>
  <c r="A1781" i="1"/>
  <c r="B1781" i="1"/>
  <c r="C1781" i="1"/>
  <c r="E1781" i="1"/>
  <c r="G1781" i="1"/>
  <c r="H1781" i="1"/>
  <c r="A1782" i="1"/>
  <c r="B1782" i="1"/>
  <c r="C1782" i="1"/>
  <c r="E1782" i="1"/>
  <c r="G1782" i="1"/>
  <c r="H1782" i="1"/>
  <c r="A1783" i="1"/>
  <c r="B1783" i="1"/>
  <c r="C1783" i="1"/>
  <c r="E1783" i="1"/>
  <c r="G1783" i="1"/>
  <c r="H1783" i="1"/>
  <c r="A1784" i="1"/>
  <c r="B1784" i="1"/>
  <c r="C1784" i="1"/>
  <c r="E1784" i="1"/>
  <c r="G1784" i="1"/>
  <c r="H1784" i="1"/>
  <c r="A1785" i="1"/>
  <c r="B1785" i="1"/>
  <c r="C1785" i="1"/>
  <c r="E1785" i="1"/>
  <c r="G1785" i="1"/>
  <c r="H1785" i="1"/>
  <c r="A1786" i="1"/>
  <c r="B1786" i="1"/>
  <c r="C1786" i="1"/>
  <c r="E1786" i="1"/>
  <c r="G1786" i="1"/>
  <c r="H1786" i="1"/>
  <c r="A1787" i="1"/>
  <c r="B1787" i="1"/>
  <c r="C1787" i="1"/>
  <c r="E1787" i="1"/>
  <c r="G1787" i="1"/>
  <c r="H1787" i="1"/>
  <c r="A1788" i="1"/>
  <c r="B1788" i="1"/>
  <c r="C1788" i="1"/>
  <c r="E1788" i="1"/>
  <c r="G1788" i="1"/>
  <c r="H1788" i="1"/>
  <c r="A1789" i="1"/>
  <c r="B1789" i="1"/>
  <c r="C1789" i="1"/>
  <c r="E1789" i="1"/>
  <c r="G1789" i="1"/>
  <c r="H1789" i="1"/>
  <c r="A1790" i="1"/>
  <c r="B1790" i="1"/>
  <c r="C1790" i="1"/>
  <c r="E1790" i="1"/>
  <c r="G1790" i="1"/>
  <c r="H1790" i="1"/>
  <c r="A1791" i="1"/>
  <c r="B1791" i="1"/>
  <c r="C1791" i="1"/>
  <c r="E1791" i="1"/>
  <c r="G1791" i="1"/>
  <c r="H1791" i="1"/>
  <c r="A1792" i="1"/>
  <c r="B1792" i="1"/>
  <c r="C1792" i="1"/>
  <c r="E1792" i="1"/>
  <c r="G1792" i="1"/>
  <c r="H1792" i="1"/>
  <c r="A1793" i="1"/>
  <c r="B1793" i="1"/>
  <c r="C1793" i="1"/>
  <c r="E1793" i="1"/>
  <c r="G1793" i="1"/>
  <c r="H1793" i="1"/>
  <c r="A1794" i="1"/>
  <c r="B1794" i="1"/>
  <c r="C1794" i="1"/>
  <c r="E1794" i="1"/>
  <c r="G1794" i="1"/>
  <c r="H1794" i="1"/>
  <c r="A1795" i="1"/>
  <c r="B1795" i="1"/>
  <c r="C1795" i="1"/>
  <c r="E1795" i="1"/>
  <c r="G1795" i="1"/>
  <c r="H1795" i="1"/>
  <c r="A1796" i="1"/>
  <c r="B1796" i="1"/>
  <c r="C1796" i="1"/>
  <c r="E1796" i="1"/>
  <c r="G1796" i="1"/>
  <c r="H1796" i="1"/>
  <c r="A1797" i="1"/>
  <c r="B1797" i="1"/>
  <c r="C1797" i="1"/>
  <c r="E1797" i="1"/>
  <c r="G1797" i="1"/>
  <c r="H1797" i="1"/>
  <c r="A1798" i="1"/>
  <c r="B1798" i="1"/>
  <c r="C1798" i="1"/>
  <c r="E1798" i="1"/>
  <c r="G1798" i="1"/>
  <c r="H1798" i="1"/>
  <c r="A1799" i="1"/>
  <c r="B1799" i="1"/>
  <c r="C1799" i="1"/>
  <c r="E1799" i="1"/>
  <c r="G1799" i="1"/>
  <c r="H1799" i="1"/>
  <c r="A1800" i="1"/>
  <c r="B1800" i="1"/>
  <c r="C1800" i="1"/>
  <c r="E1800" i="1"/>
  <c r="G1800" i="1"/>
  <c r="H1800" i="1"/>
  <c r="A1801" i="1"/>
  <c r="B1801" i="1"/>
  <c r="C1801" i="1"/>
  <c r="E1801" i="1"/>
  <c r="G1801" i="1"/>
  <c r="H1801" i="1"/>
  <c r="A1802" i="1"/>
  <c r="B1802" i="1"/>
  <c r="C1802" i="1"/>
  <c r="E1802" i="1"/>
  <c r="G1802" i="1"/>
  <c r="H1802" i="1"/>
  <c r="A1803" i="1"/>
  <c r="B1803" i="1"/>
  <c r="C1803" i="1"/>
  <c r="E1803" i="1"/>
  <c r="G1803" i="1"/>
  <c r="H1803" i="1"/>
  <c r="A1804" i="1"/>
  <c r="B1804" i="1"/>
  <c r="C1804" i="1"/>
  <c r="E1804" i="1"/>
  <c r="G1804" i="1"/>
  <c r="H1804" i="1"/>
  <c r="A1805" i="1"/>
  <c r="B1805" i="1"/>
  <c r="C1805" i="1"/>
  <c r="E1805" i="1"/>
  <c r="G1805" i="1"/>
  <c r="H1805" i="1"/>
  <c r="A1806" i="1"/>
  <c r="B1806" i="1"/>
  <c r="C1806" i="1"/>
  <c r="E1806" i="1"/>
  <c r="G1806" i="1"/>
  <c r="H1806" i="1"/>
  <c r="A1807" i="1"/>
  <c r="B1807" i="1"/>
  <c r="C1807" i="1"/>
  <c r="E1807" i="1"/>
  <c r="G1807" i="1"/>
  <c r="H1807" i="1"/>
  <c r="A1808" i="1"/>
  <c r="B1808" i="1"/>
  <c r="C1808" i="1"/>
  <c r="E1808" i="1"/>
  <c r="G1808" i="1"/>
  <c r="H1808" i="1"/>
  <c r="A1809" i="1"/>
  <c r="B1809" i="1"/>
  <c r="C1809" i="1"/>
  <c r="E1809" i="1"/>
  <c r="G1809" i="1"/>
  <c r="H1809" i="1"/>
  <c r="A1810" i="1"/>
  <c r="B1810" i="1"/>
  <c r="C1810" i="1"/>
  <c r="E1810" i="1"/>
  <c r="G1810" i="1"/>
  <c r="H1810" i="1"/>
  <c r="A1811" i="1"/>
  <c r="B1811" i="1"/>
  <c r="C1811" i="1"/>
  <c r="E1811" i="1"/>
  <c r="G1811" i="1"/>
  <c r="H1811" i="1"/>
  <c r="A1812" i="1"/>
  <c r="B1812" i="1"/>
  <c r="C1812" i="1"/>
  <c r="E1812" i="1"/>
  <c r="G1812" i="1"/>
  <c r="H1812" i="1"/>
  <c r="A1813" i="1"/>
  <c r="B1813" i="1"/>
  <c r="C1813" i="1"/>
  <c r="E1813" i="1"/>
  <c r="G1813" i="1"/>
  <c r="H1813" i="1"/>
  <c r="A1814" i="1"/>
  <c r="B1814" i="1"/>
  <c r="C1814" i="1"/>
  <c r="E1814" i="1"/>
  <c r="G1814" i="1"/>
  <c r="H1814" i="1"/>
  <c r="A1815" i="1"/>
  <c r="B1815" i="1"/>
  <c r="C1815" i="1"/>
  <c r="E1815" i="1"/>
  <c r="G1815" i="1"/>
  <c r="H1815" i="1"/>
  <c r="A1816" i="1"/>
  <c r="B1816" i="1"/>
  <c r="C1816" i="1"/>
  <c r="E1816" i="1"/>
  <c r="G1816" i="1"/>
  <c r="H1816" i="1"/>
  <c r="A1817" i="1"/>
  <c r="B1817" i="1"/>
  <c r="C1817" i="1"/>
  <c r="E1817" i="1"/>
  <c r="G1817" i="1"/>
  <c r="H1817" i="1"/>
  <c r="A1818" i="1"/>
  <c r="B1818" i="1"/>
  <c r="C1818" i="1"/>
  <c r="E1818" i="1"/>
  <c r="G1818" i="1"/>
  <c r="H1818" i="1"/>
  <c r="A1819" i="1"/>
  <c r="B1819" i="1"/>
  <c r="C1819" i="1"/>
  <c r="E1819" i="1"/>
  <c r="G1819" i="1"/>
  <c r="H1819" i="1"/>
  <c r="A1820" i="1"/>
  <c r="B1820" i="1"/>
  <c r="C1820" i="1"/>
  <c r="E1820" i="1"/>
  <c r="G1820" i="1"/>
  <c r="H1820" i="1"/>
  <c r="A1821" i="1"/>
  <c r="B1821" i="1"/>
  <c r="C1821" i="1"/>
  <c r="E1821" i="1"/>
  <c r="G1821" i="1"/>
  <c r="H1821" i="1"/>
  <c r="A1822" i="1"/>
  <c r="B1822" i="1"/>
  <c r="C1822" i="1"/>
  <c r="E1822" i="1"/>
  <c r="G1822" i="1"/>
  <c r="H1822" i="1"/>
  <c r="A1823" i="1"/>
  <c r="B1823" i="1"/>
  <c r="C1823" i="1"/>
  <c r="E1823" i="1"/>
  <c r="G1823" i="1"/>
  <c r="H1823" i="1"/>
  <c r="A1824" i="1"/>
  <c r="B1824" i="1"/>
  <c r="C1824" i="1"/>
  <c r="E1824" i="1"/>
  <c r="G1824" i="1"/>
  <c r="H1824" i="1"/>
  <c r="A1825" i="1"/>
  <c r="B1825" i="1"/>
  <c r="C1825" i="1"/>
  <c r="E1825" i="1"/>
  <c r="G1825" i="1"/>
  <c r="H1825" i="1"/>
  <c r="A1826" i="1"/>
  <c r="B1826" i="1"/>
  <c r="C1826" i="1"/>
  <c r="E1826" i="1"/>
  <c r="G1826" i="1"/>
  <c r="H1826" i="1"/>
  <c r="A1827" i="1"/>
  <c r="B1827" i="1"/>
  <c r="C1827" i="1"/>
  <c r="E1827" i="1"/>
  <c r="G1827" i="1"/>
  <c r="H1827" i="1"/>
  <c r="A1828" i="1"/>
  <c r="B1828" i="1"/>
  <c r="C1828" i="1"/>
  <c r="E1828" i="1"/>
  <c r="G1828" i="1"/>
  <c r="H1828" i="1"/>
  <c r="A1829" i="1"/>
  <c r="B1829" i="1"/>
  <c r="C1829" i="1"/>
  <c r="E1829" i="1"/>
  <c r="G1829" i="1"/>
  <c r="H1829" i="1"/>
  <c r="A1830" i="1"/>
  <c r="B1830" i="1"/>
  <c r="C1830" i="1"/>
  <c r="E1830" i="1"/>
  <c r="G1830" i="1"/>
  <c r="H1830" i="1"/>
  <c r="A1831" i="1"/>
  <c r="B1831" i="1"/>
  <c r="C1831" i="1"/>
  <c r="E1831" i="1"/>
  <c r="G1831" i="1"/>
  <c r="H1831" i="1"/>
  <c r="A1832" i="1"/>
  <c r="B1832" i="1"/>
  <c r="C1832" i="1"/>
  <c r="E1832" i="1"/>
  <c r="G1832" i="1"/>
  <c r="H1832" i="1"/>
  <c r="A1833" i="1"/>
  <c r="B1833" i="1"/>
  <c r="C1833" i="1"/>
  <c r="E1833" i="1"/>
  <c r="G1833" i="1"/>
  <c r="H1833" i="1"/>
  <c r="A1834" i="1"/>
  <c r="B1834" i="1"/>
  <c r="C1834" i="1"/>
  <c r="E1834" i="1"/>
  <c r="G1834" i="1"/>
  <c r="H1834" i="1"/>
  <c r="A1835" i="1"/>
  <c r="B1835" i="1"/>
  <c r="C1835" i="1"/>
  <c r="E1835" i="1"/>
  <c r="G1835" i="1"/>
  <c r="H1835" i="1"/>
  <c r="A1836" i="1"/>
  <c r="B1836" i="1"/>
  <c r="C1836" i="1"/>
  <c r="E1836" i="1"/>
  <c r="G1836" i="1"/>
  <c r="H1836" i="1"/>
  <c r="A1837" i="1"/>
  <c r="B1837" i="1"/>
  <c r="C1837" i="1"/>
  <c r="E1837" i="1"/>
  <c r="G1837" i="1"/>
  <c r="H1837" i="1"/>
  <c r="A1838" i="1"/>
  <c r="B1838" i="1"/>
  <c r="C1838" i="1"/>
  <c r="E1838" i="1"/>
  <c r="G1838" i="1"/>
  <c r="H1838" i="1"/>
  <c r="A1839" i="1"/>
  <c r="B1839" i="1"/>
  <c r="C1839" i="1"/>
  <c r="E1839" i="1"/>
  <c r="G1839" i="1"/>
  <c r="H1839" i="1"/>
  <c r="A1840" i="1"/>
  <c r="B1840" i="1"/>
  <c r="C1840" i="1"/>
  <c r="E1840" i="1"/>
  <c r="G1840" i="1"/>
  <c r="H1840" i="1"/>
  <c r="A1841" i="1"/>
  <c r="B1841" i="1"/>
  <c r="C1841" i="1"/>
  <c r="E1841" i="1"/>
  <c r="G1841" i="1"/>
  <c r="H1841" i="1"/>
  <c r="A1842" i="1"/>
  <c r="B1842" i="1"/>
  <c r="C1842" i="1"/>
  <c r="E1842" i="1"/>
  <c r="G1842" i="1"/>
  <c r="H1842" i="1"/>
  <c r="A1843" i="1"/>
  <c r="B1843" i="1"/>
  <c r="C1843" i="1"/>
  <c r="E1843" i="1"/>
  <c r="G1843" i="1"/>
  <c r="H1843" i="1"/>
  <c r="A1844" i="1"/>
  <c r="B1844" i="1"/>
  <c r="C1844" i="1"/>
  <c r="E1844" i="1"/>
  <c r="G1844" i="1"/>
  <c r="H1844" i="1"/>
  <c r="A1845" i="1"/>
  <c r="B1845" i="1"/>
  <c r="C1845" i="1"/>
  <c r="E1845" i="1"/>
  <c r="G1845" i="1"/>
  <c r="H1845" i="1"/>
  <c r="A1846" i="1"/>
  <c r="B1846" i="1"/>
  <c r="C1846" i="1"/>
  <c r="E1846" i="1"/>
  <c r="G1846" i="1"/>
  <c r="H1846" i="1"/>
  <c r="A1847" i="1"/>
  <c r="B1847" i="1"/>
  <c r="C1847" i="1"/>
  <c r="E1847" i="1"/>
  <c r="G1847" i="1"/>
  <c r="H1847" i="1"/>
  <c r="A1848" i="1"/>
  <c r="B1848" i="1"/>
  <c r="C1848" i="1"/>
  <c r="E1848" i="1"/>
  <c r="G1848" i="1"/>
  <c r="H1848" i="1"/>
  <c r="A1849" i="1"/>
  <c r="B1849" i="1"/>
  <c r="C1849" i="1"/>
  <c r="E1849" i="1"/>
  <c r="G1849" i="1"/>
  <c r="H1849" i="1"/>
  <c r="A1850" i="1"/>
  <c r="B1850" i="1"/>
  <c r="C1850" i="1"/>
  <c r="E1850" i="1"/>
  <c r="G1850" i="1"/>
  <c r="H1850" i="1"/>
  <c r="A1851" i="1"/>
  <c r="B1851" i="1"/>
  <c r="C1851" i="1"/>
  <c r="E1851" i="1"/>
  <c r="G1851" i="1"/>
  <c r="H1851" i="1"/>
  <c r="A1852" i="1"/>
  <c r="B1852" i="1"/>
  <c r="C1852" i="1"/>
  <c r="E1852" i="1"/>
  <c r="G1852" i="1"/>
  <c r="H1852" i="1"/>
  <c r="A1853" i="1"/>
  <c r="B1853" i="1"/>
  <c r="C1853" i="1"/>
  <c r="E1853" i="1"/>
  <c r="G1853" i="1"/>
  <c r="H1853" i="1"/>
  <c r="A1854" i="1"/>
  <c r="B1854" i="1"/>
  <c r="C1854" i="1"/>
  <c r="E1854" i="1"/>
  <c r="G1854" i="1"/>
  <c r="H1854" i="1"/>
  <c r="A1855" i="1"/>
  <c r="B1855" i="1"/>
  <c r="C1855" i="1"/>
  <c r="E1855" i="1"/>
  <c r="G1855" i="1"/>
  <c r="H1855" i="1"/>
  <c r="A1856" i="1"/>
  <c r="B1856" i="1"/>
  <c r="C1856" i="1"/>
  <c r="E1856" i="1"/>
  <c r="G1856" i="1"/>
  <c r="H1856" i="1"/>
  <c r="A1857" i="1"/>
  <c r="B1857" i="1"/>
  <c r="C1857" i="1"/>
  <c r="E1857" i="1"/>
  <c r="G1857" i="1"/>
  <c r="H1857" i="1"/>
  <c r="A1858" i="1"/>
  <c r="B1858" i="1"/>
  <c r="C1858" i="1"/>
  <c r="E1858" i="1"/>
  <c r="G1858" i="1"/>
  <c r="H1858" i="1"/>
  <c r="A1859" i="1"/>
  <c r="B1859" i="1"/>
  <c r="C1859" i="1"/>
  <c r="E1859" i="1"/>
  <c r="G1859" i="1"/>
  <c r="H1859" i="1"/>
  <c r="A1860" i="1"/>
  <c r="B1860" i="1"/>
  <c r="C1860" i="1"/>
  <c r="E1860" i="1"/>
  <c r="G1860" i="1"/>
  <c r="H1860" i="1"/>
  <c r="A1861" i="1"/>
  <c r="B1861" i="1"/>
  <c r="C1861" i="1"/>
  <c r="E1861" i="1"/>
  <c r="G1861" i="1"/>
  <c r="H1861" i="1"/>
  <c r="A1862" i="1"/>
  <c r="B1862" i="1"/>
  <c r="C1862" i="1"/>
  <c r="E1862" i="1"/>
  <c r="G1862" i="1"/>
  <c r="H1862" i="1"/>
  <c r="A1863" i="1"/>
  <c r="B1863" i="1"/>
  <c r="C1863" i="1"/>
  <c r="E1863" i="1"/>
  <c r="G1863" i="1"/>
  <c r="H1863" i="1"/>
  <c r="A1864" i="1"/>
  <c r="B1864" i="1"/>
  <c r="C1864" i="1"/>
  <c r="E1864" i="1"/>
  <c r="G1864" i="1"/>
  <c r="H1864" i="1"/>
  <c r="A1865" i="1"/>
  <c r="B1865" i="1"/>
  <c r="C1865" i="1"/>
  <c r="E1865" i="1"/>
  <c r="G1865" i="1"/>
  <c r="H1865" i="1"/>
  <c r="A1866" i="1"/>
  <c r="B1866" i="1"/>
  <c r="C1866" i="1"/>
  <c r="E1866" i="1"/>
  <c r="G1866" i="1"/>
  <c r="H1866" i="1"/>
  <c r="A1867" i="1"/>
  <c r="B1867" i="1"/>
  <c r="C1867" i="1"/>
  <c r="E1867" i="1"/>
  <c r="G1867" i="1"/>
  <c r="H1867" i="1"/>
  <c r="A1868" i="1"/>
  <c r="B1868" i="1"/>
  <c r="C1868" i="1"/>
  <c r="E1868" i="1"/>
  <c r="G1868" i="1"/>
  <c r="H1868" i="1"/>
  <c r="A1869" i="1"/>
  <c r="B1869" i="1"/>
  <c r="C1869" i="1"/>
  <c r="E1869" i="1"/>
  <c r="G1869" i="1"/>
  <c r="H1869" i="1"/>
  <c r="A1870" i="1"/>
  <c r="B1870" i="1"/>
  <c r="C1870" i="1"/>
  <c r="E1870" i="1"/>
  <c r="G1870" i="1"/>
  <c r="H1870" i="1"/>
  <c r="A1871" i="1"/>
  <c r="B1871" i="1"/>
  <c r="C1871" i="1"/>
  <c r="E1871" i="1"/>
  <c r="G1871" i="1"/>
  <c r="H1871" i="1"/>
  <c r="A1872" i="1"/>
  <c r="B1872" i="1"/>
  <c r="C1872" i="1"/>
  <c r="E1872" i="1"/>
  <c r="G1872" i="1"/>
  <c r="H1872" i="1"/>
  <c r="A1873" i="1"/>
  <c r="B1873" i="1"/>
  <c r="C1873" i="1"/>
  <c r="E1873" i="1"/>
  <c r="G1873" i="1"/>
  <c r="H1873" i="1"/>
  <c r="A1874" i="1"/>
  <c r="B1874" i="1"/>
  <c r="C1874" i="1"/>
  <c r="E1874" i="1"/>
  <c r="G1874" i="1"/>
  <c r="H1874" i="1"/>
  <c r="A1875" i="1"/>
  <c r="B1875" i="1"/>
  <c r="C1875" i="1"/>
  <c r="E1875" i="1"/>
  <c r="G1875" i="1"/>
  <c r="H1875" i="1"/>
  <c r="A1876" i="1"/>
  <c r="B1876" i="1"/>
  <c r="C1876" i="1"/>
  <c r="E1876" i="1"/>
  <c r="G1876" i="1"/>
  <c r="H1876" i="1"/>
  <c r="A1877" i="1"/>
  <c r="B1877" i="1"/>
  <c r="C1877" i="1"/>
  <c r="E1877" i="1"/>
  <c r="G1877" i="1"/>
  <c r="H1877" i="1"/>
  <c r="A1878" i="1"/>
  <c r="B1878" i="1"/>
  <c r="C1878" i="1"/>
  <c r="E1878" i="1"/>
  <c r="G1878" i="1"/>
  <c r="H1878" i="1"/>
  <c r="A1879" i="1"/>
  <c r="B1879" i="1"/>
  <c r="C1879" i="1"/>
  <c r="E1879" i="1"/>
  <c r="G1879" i="1"/>
  <c r="H1879" i="1"/>
  <c r="A1880" i="1"/>
  <c r="B1880" i="1"/>
  <c r="C1880" i="1"/>
  <c r="E1880" i="1"/>
  <c r="G1880" i="1"/>
  <c r="H1880" i="1"/>
  <c r="A1881" i="1"/>
  <c r="B1881" i="1"/>
  <c r="C1881" i="1"/>
  <c r="E1881" i="1"/>
  <c r="G1881" i="1"/>
  <c r="H1881" i="1"/>
  <c r="A1882" i="1"/>
  <c r="B1882" i="1"/>
  <c r="C1882" i="1"/>
  <c r="E1882" i="1"/>
  <c r="G1882" i="1"/>
  <c r="H1882" i="1"/>
  <c r="A1883" i="1"/>
  <c r="B1883" i="1"/>
  <c r="C1883" i="1"/>
  <c r="E1883" i="1"/>
  <c r="G1883" i="1"/>
  <c r="H1883" i="1"/>
  <c r="A1884" i="1"/>
  <c r="B1884" i="1"/>
  <c r="C1884" i="1"/>
  <c r="E1884" i="1"/>
  <c r="G1884" i="1"/>
  <c r="H1884" i="1"/>
  <c r="A1885" i="1"/>
  <c r="B1885" i="1"/>
  <c r="C1885" i="1"/>
  <c r="E1885" i="1"/>
  <c r="G1885" i="1"/>
  <c r="H1885" i="1"/>
  <c r="A1886" i="1"/>
  <c r="B1886" i="1"/>
  <c r="C1886" i="1"/>
  <c r="E1886" i="1"/>
  <c r="G1886" i="1"/>
  <c r="H1886" i="1"/>
  <c r="A1887" i="1"/>
  <c r="B1887" i="1"/>
  <c r="C1887" i="1"/>
  <c r="E1887" i="1"/>
  <c r="G1887" i="1"/>
  <c r="H1887" i="1"/>
  <c r="A1888" i="1"/>
  <c r="B1888" i="1"/>
  <c r="C1888" i="1"/>
  <c r="E1888" i="1"/>
  <c r="G1888" i="1"/>
  <c r="H1888" i="1"/>
  <c r="A1889" i="1"/>
  <c r="B1889" i="1"/>
  <c r="C1889" i="1"/>
  <c r="E1889" i="1"/>
  <c r="G1889" i="1"/>
  <c r="H1889" i="1"/>
  <c r="A1890" i="1"/>
  <c r="B1890" i="1"/>
  <c r="C1890" i="1"/>
  <c r="E1890" i="1"/>
  <c r="G1890" i="1"/>
  <c r="H1890" i="1"/>
  <c r="A1891" i="1"/>
  <c r="B1891" i="1"/>
  <c r="C1891" i="1"/>
  <c r="E1891" i="1"/>
  <c r="G1891" i="1"/>
  <c r="H1891" i="1"/>
  <c r="A1892" i="1"/>
  <c r="B1892" i="1"/>
  <c r="C1892" i="1"/>
  <c r="E1892" i="1"/>
  <c r="G1892" i="1"/>
  <c r="H1892" i="1"/>
  <c r="A1893" i="1"/>
  <c r="B1893" i="1"/>
  <c r="C1893" i="1"/>
  <c r="E1893" i="1"/>
  <c r="G1893" i="1"/>
  <c r="H1893" i="1"/>
  <c r="A1894" i="1"/>
  <c r="B1894" i="1"/>
  <c r="C1894" i="1"/>
  <c r="E1894" i="1"/>
  <c r="G1894" i="1"/>
  <c r="H1894" i="1"/>
  <c r="A1895" i="1"/>
  <c r="B1895" i="1"/>
  <c r="C1895" i="1"/>
  <c r="E1895" i="1"/>
  <c r="G1895" i="1"/>
  <c r="H1895" i="1"/>
  <c r="A1896" i="1"/>
  <c r="B1896" i="1"/>
  <c r="C1896" i="1"/>
  <c r="E1896" i="1"/>
  <c r="G1896" i="1"/>
  <c r="H1896" i="1"/>
  <c r="A1897" i="1"/>
  <c r="B1897" i="1"/>
  <c r="C1897" i="1"/>
  <c r="E1897" i="1"/>
  <c r="G1897" i="1"/>
  <c r="H1897" i="1"/>
  <c r="A1898" i="1"/>
  <c r="B1898" i="1"/>
  <c r="C1898" i="1"/>
  <c r="E1898" i="1"/>
  <c r="G1898" i="1"/>
  <c r="H1898" i="1"/>
  <c r="A1899" i="1"/>
  <c r="B1899" i="1"/>
  <c r="C1899" i="1"/>
  <c r="E1899" i="1"/>
  <c r="G1899" i="1"/>
  <c r="H1899" i="1"/>
  <c r="A1900" i="1"/>
  <c r="B1900" i="1"/>
  <c r="C1900" i="1"/>
  <c r="E1900" i="1"/>
  <c r="G1900" i="1"/>
  <c r="H1900" i="1"/>
  <c r="A1901" i="1"/>
  <c r="B1901" i="1"/>
  <c r="C1901" i="1"/>
  <c r="E1901" i="1"/>
  <c r="G1901" i="1"/>
  <c r="H1901" i="1"/>
  <c r="A1902" i="1"/>
  <c r="B1902" i="1"/>
  <c r="C1902" i="1"/>
  <c r="E1902" i="1"/>
  <c r="G1902" i="1"/>
  <c r="H1902" i="1"/>
  <c r="A1903" i="1"/>
  <c r="B1903" i="1"/>
  <c r="C1903" i="1"/>
  <c r="E1903" i="1"/>
  <c r="G1903" i="1"/>
  <c r="H1903" i="1"/>
  <c r="A1904" i="1"/>
  <c r="B1904" i="1"/>
  <c r="C1904" i="1"/>
  <c r="E1904" i="1"/>
  <c r="G1904" i="1"/>
  <c r="H1904" i="1"/>
  <c r="A1905" i="1"/>
  <c r="B1905" i="1"/>
  <c r="C1905" i="1"/>
  <c r="E1905" i="1"/>
  <c r="G1905" i="1"/>
  <c r="H1905" i="1"/>
  <c r="A1906" i="1"/>
  <c r="B1906" i="1"/>
  <c r="C1906" i="1"/>
  <c r="E1906" i="1"/>
  <c r="G1906" i="1"/>
  <c r="H1906" i="1"/>
  <c r="A1907" i="1"/>
  <c r="B1907" i="1"/>
  <c r="C1907" i="1"/>
  <c r="E1907" i="1"/>
  <c r="G1907" i="1"/>
  <c r="H1907" i="1"/>
  <c r="A1908" i="1"/>
  <c r="B1908" i="1"/>
  <c r="C1908" i="1"/>
  <c r="E1908" i="1"/>
  <c r="G1908" i="1"/>
  <c r="H1908" i="1"/>
  <c r="A1909" i="1"/>
  <c r="B1909" i="1"/>
  <c r="C1909" i="1"/>
  <c r="E1909" i="1"/>
  <c r="G1909" i="1"/>
  <c r="H1909" i="1"/>
  <c r="A1910" i="1"/>
  <c r="B1910" i="1"/>
  <c r="C1910" i="1"/>
  <c r="E1910" i="1"/>
  <c r="G1910" i="1"/>
  <c r="H1910" i="1"/>
  <c r="A1911" i="1"/>
  <c r="B1911" i="1"/>
  <c r="C1911" i="1"/>
  <c r="E1911" i="1"/>
  <c r="G1911" i="1"/>
  <c r="H1911" i="1"/>
  <c r="A1912" i="1"/>
  <c r="B1912" i="1"/>
  <c r="C1912" i="1"/>
  <c r="E1912" i="1"/>
  <c r="G1912" i="1"/>
  <c r="H1912" i="1"/>
  <c r="A1913" i="1"/>
  <c r="B1913" i="1"/>
  <c r="C1913" i="1"/>
  <c r="E1913" i="1"/>
  <c r="G1913" i="1"/>
  <c r="H1913" i="1"/>
  <c r="A1914" i="1"/>
  <c r="B1914" i="1"/>
  <c r="C1914" i="1"/>
  <c r="E1914" i="1"/>
  <c r="G1914" i="1"/>
  <c r="H1914" i="1"/>
  <c r="A1915" i="1"/>
  <c r="B1915" i="1"/>
  <c r="C1915" i="1"/>
  <c r="E1915" i="1"/>
  <c r="G1915" i="1"/>
  <c r="H1915" i="1"/>
  <c r="A1916" i="1"/>
  <c r="B1916" i="1"/>
  <c r="C1916" i="1"/>
  <c r="E1916" i="1"/>
  <c r="G1916" i="1"/>
  <c r="H1916" i="1"/>
  <c r="A1917" i="1"/>
  <c r="B1917" i="1"/>
  <c r="C1917" i="1"/>
  <c r="E1917" i="1"/>
  <c r="G1917" i="1"/>
  <c r="H1917" i="1"/>
  <c r="A1918" i="1"/>
  <c r="B1918" i="1"/>
  <c r="C1918" i="1"/>
  <c r="E1918" i="1"/>
  <c r="G1918" i="1"/>
  <c r="H1918" i="1"/>
  <c r="A1919" i="1"/>
  <c r="B1919" i="1"/>
  <c r="C1919" i="1"/>
  <c r="E1919" i="1"/>
  <c r="G1919" i="1"/>
  <c r="H1919" i="1"/>
  <c r="A1920" i="1"/>
  <c r="B1920" i="1"/>
  <c r="C1920" i="1"/>
  <c r="E1920" i="1"/>
  <c r="G1920" i="1"/>
  <c r="H1920" i="1"/>
  <c r="A1921" i="1"/>
  <c r="B1921" i="1"/>
  <c r="C1921" i="1"/>
  <c r="E1921" i="1"/>
  <c r="G1921" i="1"/>
  <c r="H1921" i="1"/>
  <c r="A1922" i="1"/>
  <c r="B1922" i="1"/>
  <c r="C1922" i="1"/>
  <c r="E1922" i="1"/>
  <c r="G1922" i="1"/>
  <c r="H1922" i="1"/>
  <c r="A1923" i="1"/>
  <c r="B1923" i="1"/>
  <c r="C1923" i="1"/>
  <c r="E1923" i="1"/>
  <c r="G1923" i="1"/>
  <c r="H1923" i="1"/>
  <c r="A1924" i="1"/>
  <c r="B1924" i="1"/>
  <c r="C1924" i="1"/>
  <c r="E1924" i="1"/>
  <c r="G1924" i="1"/>
  <c r="H1924" i="1"/>
  <c r="A1925" i="1"/>
  <c r="B1925" i="1"/>
  <c r="C1925" i="1"/>
  <c r="E1925" i="1"/>
  <c r="G1925" i="1"/>
  <c r="H1925" i="1"/>
  <c r="A1926" i="1"/>
  <c r="B1926" i="1"/>
  <c r="C1926" i="1"/>
  <c r="E1926" i="1"/>
  <c r="G1926" i="1"/>
  <c r="H1926" i="1"/>
  <c r="A1927" i="1"/>
  <c r="B1927" i="1"/>
  <c r="C1927" i="1"/>
  <c r="E1927" i="1"/>
  <c r="G1927" i="1"/>
  <c r="H1927" i="1"/>
  <c r="A1928" i="1"/>
  <c r="B1928" i="1"/>
  <c r="C1928" i="1"/>
  <c r="E1928" i="1"/>
  <c r="G1928" i="1"/>
  <c r="H1928" i="1"/>
  <c r="A1929" i="1"/>
  <c r="B1929" i="1"/>
  <c r="C1929" i="1"/>
  <c r="E1929" i="1"/>
  <c r="G1929" i="1"/>
  <c r="H1929" i="1"/>
  <c r="A1930" i="1"/>
  <c r="B1930" i="1"/>
  <c r="C1930" i="1"/>
  <c r="E1930" i="1"/>
  <c r="G1930" i="1"/>
  <c r="H1930" i="1"/>
  <c r="A1931" i="1"/>
  <c r="B1931" i="1"/>
  <c r="C1931" i="1"/>
  <c r="E1931" i="1"/>
  <c r="G1931" i="1"/>
  <c r="H1931" i="1"/>
  <c r="A1932" i="1"/>
  <c r="B1932" i="1"/>
  <c r="C1932" i="1"/>
  <c r="E1932" i="1"/>
  <c r="G1932" i="1"/>
  <c r="H1932" i="1"/>
  <c r="A1933" i="1"/>
  <c r="B1933" i="1"/>
  <c r="C1933" i="1"/>
  <c r="E1933" i="1"/>
  <c r="G1933" i="1"/>
  <c r="H1933" i="1"/>
  <c r="A1934" i="1"/>
  <c r="B1934" i="1"/>
  <c r="C1934" i="1"/>
  <c r="E1934" i="1"/>
  <c r="G1934" i="1"/>
  <c r="H1934" i="1"/>
  <c r="A1935" i="1"/>
  <c r="B1935" i="1"/>
  <c r="C1935" i="1"/>
  <c r="E1935" i="1"/>
  <c r="G1935" i="1"/>
  <c r="H1935" i="1"/>
  <c r="A1936" i="1"/>
  <c r="B1936" i="1"/>
  <c r="C1936" i="1"/>
  <c r="E1936" i="1"/>
  <c r="G1936" i="1"/>
  <c r="H1936" i="1"/>
  <c r="A1937" i="1"/>
  <c r="B1937" i="1"/>
  <c r="C1937" i="1"/>
  <c r="E1937" i="1"/>
  <c r="G1937" i="1"/>
  <c r="H1937" i="1"/>
  <c r="A1938" i="1"/>
  <c r="B1938" i="1"/>
  <c r="C1938" i="1"/>
  <c r="E1938" i="1"/>
  <c r="G1938" i="1"/>
  <c r="H1938" i="1"/>
  <c r="A1939" i="1"/>
  <c r="B1939" i="1"/>
  <c r="C1939" i="1"/>
  <c r="E1939" i="1"/>
  <c r="G1939" i="1"/>
  <c r="H1939" i="1"/>
  <c r="A1940" i="1"/>
  <c r="B1940" i="1"/>
  <c r="C1940" i="1"/>
  <c r="E1940" i="1"/>
  <c r="G1940" i="1"/>
  <c r="H1940" i="1"/>
  <c r="A1941" i="1"/>
  <c r="B1941" i="1"/>
  <c r="C1941" i="1"/>
  <c r="E1941" i="1"/>
  <c r="G1941" i="1"/>
  <c r="H1941" i="1"/>
  <c r="A1942" i="1"/>
  <c r="B1942" i="1"/>
  <c r="C1942" i="1"/>
  <c r="E1942" i="1"/>
  <c r="G1942" i="1"/>
  <c r="H1942" i="1"/>
  <c r="A1943" i="1"/>
  <c r="B1943" i="1"/>
  <c r="C1943" i="1"/>
  <c r="E1943" i="1"/>
  <c r="G1943" i="1"/>
  <c r="H1943" i="1"/>
  <c r="A1944" i="1"/>
  <c r="B1944" i="1"/>
  <c r="C1944" i="1"/>
  <c r="E1944" i="1"/>
  <c r="G1944" i="1"/>
  <c r="H1944" i="1"/>
  <c r="A1945" i="1"/>
  <c r="B1945" i="1"/>
  <c r="C1945" i="1"/>
  <c r="E1945" i="1"/>
  <c r="G1945" i="1"/>
  <c r="H1945" i="1"/>
  <c r="A1946" i="1"/>
  <c r="B1946" i="1"/>
  <c r="C1946" i="1"/>
  <c r="E1946" i="1"/>
  <c r="G1946" i="1"/>
  <c r="H1946" i="1"/>
  <c r="A1947" i="1"/>
  <c r="B1947" i="1"/>
  <c r="C1947" i="1"/>
  <c r="E1947" i="1"/>
  <c r="G1947" i="1"/>
  <c r="H1947" i="1"/>
  <c r="A1948" i="1"/>
  <c r="B1948" i="1"/>
  <c r="C1948" i="1"/>
  <c r="E1948" i="1"/>
  <c r="G1948" i="1"/>
  <c r="H1948" i="1"/>
  <c r="A1949" i="1"/>
  <c r="B1949" i="1"/>
  <c r="C1949" i="1"/>
  <c r="E1949" i="1"/>
  <c r="G1949" i="1"/>
  <c r="H1949" i="1"/>
  <c r="A1950" i="1"/>
  <c r="B1950" i="1"/>
  <c r="C1950" i="1"/>
  <c r="E1950" i="1"/>
  <c r="G1950" i="1"/>
  <c r="H1950" i="1"/>
  <c r="A1951" i="1"/>
  <c r="B1951" i="1"/>
  <c r="C1951" i="1"/>
  <c r="E1951" i="1"/>
  <c r="G1951" i="1"/>
  <c r="H1951" i="1"/>
  <c r="A1952" i="1"/>
  <c r="B1952" i="1"/>
  <c r="C1952" i="1"/>
  <c r="E1952" i="1"/>
  <c r="G1952" i="1"/>
  <c r="H1952" i="1"/>
  <c r="A1953" i="1"/>
  <c r="B1953" i="1"/>
  <c r="C1953" i="1"/>
  <c r="E1953" i="1"/>
  <c r="G1953" i="1"/>
  <c r="H1953" i="1"/>
  <c r="A1954" i="1"/>
  <c r="B1954" i="1"/>
  <c r="C1954" i="1"/>
  <c r="E1954" i="1"/>
  <c r="G1954" i="1"/>
  <c r="H1954" i="1"/>
  <c r="A1955" i="1"/>
  <c r="B1955" i="1"/>
  <c r="C1955" i="1"/>
  <c r="E1955" i="1"/>
  <c r="G1955" i="1"/>
  <c r="H1955" i="1"/>
  <c r="A1956" i="1"/>
  <c r="B1956" i="1"/>
  <c r="C1956" i="1"/>
  <c r="E1956" i="1"/>
  <c r="G1956" i="1"/>
  <c r="H1956" i="1"/>
  <c r="A1957" i="1"/>
  <c r="B1957" i="1"/>
  <c r="C1957" i="1"/>
  <c r="E1957" i="1"/>
  <c r="G1957" i="1"/>
  <c r="H1957" i="1"/>
  <c r="A1958" i="1"/>
  <c r="B1958" i="1"/>
  <c r="C1958" i="1"/>
  <c r="E1958" i="1"/>
  <c r="G1958" i="1"/>
  <c r="H1958" i="1"/>
  <c r="A1959" i="1"/>
  <c r="B1959" i="1"/>
  <c r="C1959" i="1"/>
  <c r="E1959" i="1"/>
  <c r="G1959" i="1"/>
  <c r="H1959" i="1"/>
  <c r="A1960" i="1"/>
  <c r="B1960" i="1"/>
  <c r="C1960" i="1"/>
  <c r="E1960" i="1"/>
  <c r="G1960" i="1"/>
  <c r="H1960" i="1"/>
  <c r="A1961" i="1"/>
  <c r="B1961" i="1"/>
  <c r="C1961" i="1"/>
  <c r="E1961" i="1"/>
  <c r="G1961" i="1"/>
  <c r="H1961" i="1"/>
  <c r="A1962" i="1"/>
  <c r="B1962" i="1"/>
  <c r="C1962" i="1"/>
  <c r="E1962" i="1"/>
  <c r="G1962" i="1"/>
  <c r="H1962" i="1"/>
  <c r="A1963" i="1"/>
  <c r="B1963" i="1"/>
  <c r="C1963" i="1"/>
  <c r="E1963" i="1"/>
  <c r="G1963" i="1"/>
  <c r="H1963" i="1"/>
  <c r="A1964" i="1"/>
  <c r="B1964" i="1"/>
  <c r="C1964" i="1"/>
  <c r="E1964" i="1"/>
  <c r="G1964" i="1"/>
  <c r="H1964" i="1"/>
  <c r="A1965" i="1"/>
  <c r="B1965" i="1"/>
  <c r="C1965" i="1"/>
  <c r="E1965" i="1"/>
  <c r="G1965" i="1"/>
  <c r="H1965" i="1"/>
  <c r="A1966" i="1"/>
  <c r="B1966" i="1"/>
  <c r="C1966" i="1"/>
  <c r="E1966" i="1"/>
  <c r="G1966" i="1"/>
  <c r="H1966" i="1"/>
  <c r="A1967" i="1"/>
  <c r="B1967" i="1"/>
  <c r="C1967" i="1"/>
  <c r="E1967" i="1"/>
  <c r="G1967" i="1"/>
  <c r="H1967" i="1"/>
  <c r="A1968" i="1"/>
  <c r="B1968" i="1"/>
  <c r="C1968" i="1"/>
  <c r="E1968" i="1"/>
  <c r="G1968" i="1"/>
  <c r="H1968" i="1"/>
  <c r="A1969" i="1"/>
  <c r="B1969" i="1"/>
  <c r="C1969" i="1"/>
  <c r="E1969" i="1"/>
  <c r="G1969" i="1"/>
  <c r="H1969" i="1"/>
  <c r="A1970" i="1"/>
  <c r="B1970" i="1"/>
  <c r="C1970" i="1"/>
  <c r="E1970" i="1"/>
  <c r="G1970" i="1"/>
  <c r="H1970" i="1"/>
  <c r="A1971" i="1"/>
  <c r="B1971" i="1"/>
  <c r="C1971" i="1"/>
  <c r="E1971" i="1"/>
  <c r="G1971" i="1"/>
  <c r="H1971" i="1"/>
  <c r="A1972" i="1"/>
  <c r="B1972" i="1"/>
  <c r="C1972" i="1"/>
  <c r="E1972" i="1"/>
  <c r="G1972" i="1"/>
  <c r="H1972" i="1"/>
  <c r="A1973" i="1"/>
  <c r="B1973" i="1"/>
  <c r="C1973" i="1"/>
  <c r="E1973" i="1"/>
  <c r="G1973" i="1"/>
  <c r="H1973" i="1"/>
  <c r="A1974" i="1"/>
  <c r="B1974" i="1"/>
  <c r="C1974" i="1"/>
  <c r="E1974" i="1"/>
  <c r="G1974" i="1"/>
  <c r="H1974" i="1"/>
  <c r="A1975" i="1"/>
  <c r="B1975" i="1"/>
  <c r="C1975" i="1"/>
  <c r="E1975" i="1"/>
  <c r="G1975" i="1"/>
  <c r="H1975" i="1"/>
  <c r="A1976" i="1"/>
  <c r="B1976" i="1"/>
  <c r="C1976" i="1"/>
  <c r="E1976" i="1"/>
  <c r="G1976" i="1"/>
  <c r="H1976" i="1"/>
  <c r="A1977" i="1"/>
  <c r="B1977" i="1"/>
  <c r="C1977" i="1"/>
  <c r="E1977" i="1"/>
  <c r="G1977" i="1"/>
  <c r="H1977" i="1"/>
  <c r="A1978" i="1"/>
  <c r="B1978" i="1"/>
  <c r="C1978" i="1"/>
  <c r="E1978" i="1"/>
  <c r="G1978" i="1"/>
  <c r="H1978" i="1"/>
  <c r="A1979" i="1"/>
  <c r="B1979" i="1"/>
  <c r="C1979" i="1"/>
  <c r="E1979" i="1"/>
  <c r="G1979" i="1"/>
  <c r="H1979" i="1"/>
  <c r="A1980" i="1"/>
  <c r="B1980" i="1"/>
  <c r="C1980" i="1"/>
  <c r="E1980" i="1"/>
  <c r="G1980" i="1"/>
  <c r="H1980" i="1"/>
  <c r="A1981" i="1"/>
  <c r="B1981" i="1"/>
  <c r="C1981" i="1"/>
  <c r="E1981" i="1"/>
  <c r="G1981" i="1"/>
  <c r="H1981" i="1"/>
  <c r="A1982" i="1"/>
  <c r="B1982" i="1"/>
  <c r="C1982" i="1"/>
  <c r="E1982" i="1"/>
  <c r="G1982" i="1"/>
  <c r="H1982" i="1"/>
  <c r="A1983" i="1"/>
  <c r="B1983" i="1"/>
  <c r="C1983" i="1"/>
  <c r="E1983" i="1"/>
  <c r="G1983" i="1"/>
  <c r="H1983" i="1"/>
  <c r="A1984" i="1"/>
  <c r="B1984" i="1"/>
  <c r="C1984" i="1"/>
  <c r="E1984" i="1"/>
  <c r="G1984" i="1"/>
  <c r="H1984" i="1"/>
  <c r="A1985" i="1"/>
  <c r="B1985" i="1"/>
  <c r="C1985" i="1"/>
  <c r="E1985" i="1"/>
  <c r="G1985" i="1"/>
  <c r="H1985" i="1"/>
  <c r="A1986" i="1"/>
  <c r="B1986" i="1"/>
  <c r="C1986" i="1"/>
  <c r="E1986" i="1"/>
  <c r="G1986" i="1"/>
  <c r="H1986" i="1"/>
  <c r="A1987" i="1"/>
  <c r="B1987" i="1"/>
  <c r="C1987" i="1"/>
  <c r="E1987" i="1"/>
  <c r="G1987" i="1"/>
  <c r="H1987" i="1"/>
  <c r="A1988" i="1"/>
  <c r="B1988" i="1"/>
  <c r="C1988" i="1"/>
  <c r="E1988" i="1"/>
  <c r="G1988" i="1"/>
  <c r="H1988" i="1"/>
  <c r="A1989" i="1"/>
  <c r="B1989" i="1"/>
  <c r="C1989" i="1"/>
  <c r="E1989" i="1"/>
  <c r="G1989" i="1"/>
  <c r="H1989" i="1"/>
  <c r="A1990" i="1"/>
  <c r="B1990" i="1"/>
  <c r="C1990" i="1"/>
  <c r="E1990" i="1"/>
  <c r="G1990" i="1"/>
  <c r="H1990" i="1"/>
  <c r="A1991" i="1"/>
  <c r="B1991" i="1"/>
  <c r="C1991" i="1"/>
  <c r="E1991" i="1"/>
  <c r="G1991" i="1"/>
  <c r="H1991" i="1"/>
  <c r="A1992" i="1"/>
  <c r="B1992" i="1"/>
  <c r="C1992" i="1"/>
  <c r="E1992" i="1"/>
  <c r="G1992" i="1"/>
  <c r="H1992" i="1"/>
  <c r="A1993" i="1"/>
  <c r="B1993" i="1"/>
  <c r="C1993" i="1"/>
  <c r="E1993" i="1"/>
  <c r="G1993" i="1"/>
  <c r="H1993" i="1"/>
  <c r="A1994" i="1"/>
  <c r="B1994" i="1"/>
  <c r="C1994" i="1"/>
  <c r="E1994" i="1"/>
  <c r="G1994" i="1"/>
  <c r="H1994" i="1"/>
  <c r="A1995" i="1"/>
  <c r="B1995" i="1"/>
  <c r="C1995" i="1"/>
  <c r="E1995" i="1"/>
  <c r="G1995" i="1"/>
  <c r="H1995" i="1"/>
  <c r="A1996" i="1"/>
  <c r="B1996" i="1"/>
  <c r="C1996" i="1"/>
  <c r="E1996" i="1"/>
  <c r="G1996" i="1"/>
  <c r="H1996" i="1"/>
  <c r="A1997" i="1"/>
  <c r="B1997" i="1"/>
  <c r="C1997" i="1"/>
  <c r="E1997" i="1"/>
  <c r="G1997" i="1"/>
  <c r="H1997" i="1"/>
  <c r="A1998" i="1"/>
  <c r="B1998" i="1"/>
  <c r="C1998" i="1"/>
  <c r="E1998" i="1"/>
  <c r="G1998" i="1"/>
  <c r="H1998" i="1"/>
  <c r="A1999" i="1"/>
  <c r="B1999" i="1"/>
  <c r="C1999" i="1"/>
  <c r="E1999" i="1"/>
  <c r="G1999" i="1"/>
  <c r="H1999" i="1"/>
  <c r="A2000" i="1"/>
  <c r="B2000" i="1"/>
  <c r="C2000" i="1"/>
  <c r="E2000" i="1"/>
  <c r="G2000" i="1"/>
  <c r="H2000" i="1"/>
  <c r="A2001" i="1"/>
  <c r="B2001" i="1"/>
  <c r="C2001" i="1"/>
  <c r="E2001" i="1"/>
  <c r="G2001" i="1"/>
  <c r="H2001" i="1"/>
  <c r="A2002" i="1"/>
  <c r="B2002" i="1"/>
  <c r="C2002" i="1"/>
  <c r="E2002" i="1"/>
  <c r="G2002" i="1"/>
  <c r="H2002" i="1"/>
  <c r="A2003" i="1"/>
  <c r="B2003" i="1"/>
  <c r="C2003" i="1"/>
  <c r="E2003" i="1"/>
  <c r="G2003" i="1"/>
  <c r="H2003" i="1"/>
  <c r="A2004" i="1"/>
  <c r="B2004" i="1"/>
  <c r="C2004" i="1"/>
  <c r="E2004" i="1"/>
  <c r="G2004" i="1"/>
  <c r="H2004" i="1"/>
  <c r="A2005" i="1"/>
  <c r="B2005" i="1"/>
  <c r="C2005" i="1"/>
  <c r="E2005" i="1"/>
  <c r="G2005" i="1"/>
  <c r="H2005" i="1"/>
  <c r="A2006" i="1"/>
  <c r="B2006" i="1"/>
  <c r="C2006" i="1"/>
  <c r="E2006" i="1"/>
  <c r="G2006" i="1"/>
  <c r="H2006" i="1"/>
  <c r="A2007" i="1"/>
  <c r="B2007" i="1"/>
  <c r="C2007" i="1"/>
  <c r="E2007" i="1"/>
  <c r="G2007" i="1"/>
  <c r="H2007" i="1"/>
  <c r="A2008" i="1"/>
  <c r="B2008" i="1"/>
  <c r="C2008" i="1"/>
  <c r="E2008" i="1"/>
  <c r="G2008" i="1"/>
  <c r="H2008" i="1"/>
  <c r="A2009" i="1"/>
  <c r="B2009" i="1"/>
  <c r="C2009" i="1"/>
  <c r="E2009" i="1"/>
  <c r="G2009" i="1"/>
  <c r="H2009" i="1"/>
  <c r="A2010" i="1"/>
  <c r="B2010" i="1"/>
  <c r="C2010" i="1"/>
  <c r="E2010" i="1"/>
  <c r="G2010" i="1"/>
  <c r="H2010" i="1"/>
  <c r="A2011" i="1"/>
  <c r="B2011" i="1"/>
  <c r="C2011" i="1"/>
  <c r="E2011" i="1"/>
  <c r="G2011" i="1"/>
  <c r="H2011" i="1"/>
  <c r="A2012" i="1"/>
  <c r="B2012" i="1"/>
  <c r="C2012" i="1"/>
  <c r="E2012" i="1"/>
  <c r="G2012" i="1"/>
  <c r="H2012" i="1"/>
  <c r="A2013" i="1"/>
  <c r="B2013" i="1"/>
  <c r="C2013" i="1"/>
  <c r="E2013" i="1"/>
  <c r="G2013" i="1"/>
  <c r="H2013" i="1"/>
  <c r="A2014" i="1"/>
  <c r="B2014" i="1"/>
  <c r="C2014" i="1"/>
  <c r="E2014" i="1"/>
  <c r="G2014" i="1"/>
  <c r="H2014" i="1"/>
  <c r="A2015" i="1"/>
  <c r="B2015" i="1"/>
  <c r="C2015" i="1"/>
  <c r="E2015" i="1"/>
  <c r="G2015" i="1"/>
  <c r="H2015" i="1"/>
  <c r="A2016" i="1"/>
  <c r="B2016" i="1"/>
  <c r="C2016" i="1"/>
  <c r="E2016" i="1"/>
  <c r="G2016" i="1"/>
  <c r="H2016" i="1"/>
  <c r="A2017" i="1"/>
  <c r="B2017" i="1"/>
  <c r="C2017" i="1"/>
  <c r="E2017" i="1"/>
  <c r="G2017" i="1"/>
  <c r="H2017" i="1"/>
  <c r="A2018" i="1"/>
  <c r="B2018" i="1"/>
  <c r="C2018" i="1"/>
  <c r="E2018" i="1"/>
  <c r="G2018" i="1"/>
  <c r="H2018" i="1"/>
  <c r="A2019" i="1"/>
  <c r="B2019" i="1"/>
  <c r="C2019" i="1"/>
  <c r="E2019" i="1"/>
  <c r="G2019" i="1"/>
  <c r="H2019" i="1"/>
  <c r="A2020" i="1"/>
  <c r="B2020" i="1"/>
  <c r="C2020" i="1"/>
  <c r="E2020" i="1"/>
  <c r="G2020" i="1"/>
  <c r="H2020" i="1"/>
  <c r="A2021" i="1"/>
  <c r="B2021" i="1"/>
  <c r="C2021" i="1"/>
  <c r="E2021" i="1"/>
  <c r="G2021" i="1"/>
  <c r="H2021" i="1"/>
  <c r="A2022" i="1"/>
  <c r="B2022" i="1"/>
  <c r="C2022" i="1"/>
  <c r="E2022" i="1"/>
  <c r="G2022" i="1"/>
  <c r="H2022" i="1"/>
  <c r="A2023" i="1"/>
  <c r="B2023" i="1"/>
  <c r="C2023" i="1"/>
  <c r="E2023" i="1"/>
  <c r="G2023" i="1"/>
  <c r="H2023" i="1"/>
  <c r="A2024" i="1"/>
  <c r="B2024" i="1"/>
  <c r="C2024" i="1"/>
  <c r="E2024" i="1"/>
  <c r="G2024" i="1"/>
  <c r="H2024" i="1"/>
  <c r="A2025" i="1"/>
  <c r="B2025" i="1"/>
  <c r="C2025" i="1"/>
  <c r="E2025" i="1"/>
  <c r="G2025" i="1"/>
  <c r="H2025" i="1"/>
  <c r="A2026" i="1"/>
  <c r="B2026" i="1"/>
  <c r="C2026" i="1"/>
  <c r="E2026" i="1"/>
  <c r="G2026" i="1"/>
  <c r="H2026" i="1"/>
  <c r="A2027" i="1"/>
  <c r="B2027" i="1"/>
  <c r="C2027" i="1"/>
  <c r="E2027" i="1"/>
  <c r="G2027" i="1"/>
  <c r="H2027" i="1"/>
  <c r="A2028" i="1"/>
  <c r="B2028" i="1"/>
  <c r="C2028" i="1"/>
  <c r="E2028" i="1"/>
  <c r="G2028" i="1"/>
  <c r="H2028" i="1"/>
  <c r="A2029" i="1"/>
  <c r="B2029" i="1"/>
  <c r="C2029" i="1"/>
  <c r="E2029" i="1"/>
  <c r="G2029" i="1"/>
  <c r="H2029" i="1"/>
  <c r="A2030" i="1"/>
  <c r="B2030" i="1"/>
  <c r="C2030" i="1"/>
  <c r="E2030" i="1"/>
  <c r="G2030" i="1"/>
  <c r="H2030" i="1"/>
  <c r="A2031" i="1"/>
  <c r="B2031" i="1"/>
  <c r="C2031" i="1"/>
  <c r="E2031" i="1"/>
  <c r="G2031" i="1"/>
  <c r="H2031" i="1"/>
  <c r="A2032" i="1"/>
  <c r="B2032" i="1"/>
  <c r="C2032" i="1"/>
  <c r="E2032" i="1"/>
  <c r="G2032" i="1"/>
  <c r="H2032" i="1"/>
  <c r="A2033" i="1"/>
  <c r="B2033" i="1"/>
  <c r="C2033" i="1"/>
  <c r="E2033" i="1"/>
  <c r="G2033" i="1"/>
  <c r="H2033" i="1"/>
  <c r="A2034" i="1"/>
  <c r="B2034" i="1"/>
  <c r="C2034" i="1"/>
  <c r="E2034" i="1"/>
  <c r="G2034" i="1"/>
  <c r="H2034" i="1"/>
  <c r="A2035" i="1"/>
  <c r="B2035" i="1"/>
  <c r="C2035" i="1"/>
  <c r="E2035" i="1"/>
  <c r="G2035" i="1"/>
  <c r="H2035" i="1"/>
  <c r="A2036" i="1"/>
  <c r="B2036" i="1"/>
  <c r="C2036" i="1"/>
  <c r="E2036" i="1"/>
  <c r="G2036" i="1"/>
  <c r="H2036" i="1"/>
  <c r="A2037" i="1"/>
  <c r="B2037" i="1"/>
  <c r="C2037" i="1"/>
  <c r="E2037" i="1"/>
  <c r="G2037" i="1"/>
  <c r="H2037" i="1"/>
  <c r="A2038" i="1"/>
  <c r="B2038" i="1"/>
  <c r="C2038" i="1"/>
  <c r="E2038" i="1"/>
  <c r="G2038" i="1"/>
  <c r="H2038" i="1"/>
  <c r="A2039" i="1"/>
  <c r="B2039" i="1"/>
  <c r="C2039" i="1"/>
  <c r="E2039" i="1"/>
  <c r="G2039" i="1"/>
  <c r="H2039" i="1"/>
  <c r="A2040" i="1"/>
  <c r="B2040" i="1"/>
  <c r="C2040" i="1"/>
  <c r="E2040" i="1"/>
  <c r="G2040" i="1"/>
  <c r="H2040" i="1"/>
  <c r="A2041" i="1"/>
  <c r="B2041" i="1"/>
  <c r="C2041" i="1"/>
  <c r="E2041" i="1"/>
  <c r="G2041" i="1"/>
  <c r="H2041" i="1"/>
  <c r="A2042" i="1"/>
  <c r="B2042" i="1"/>
  <c r="C2042" i="1"/>
  <c r="E2042" i="1"/>
  <c r="G2042" i="1"/>
  <c r="H2042" i="1"/>
  <c r="A2043" i="1"/>
  <c r="B2043" i="1"/>
  <c r="C2043" i="1"/>
  <c r="E2043" i="1"/>
  <c r="G2043" i="1"/>
  <c r="H2043" i="1"/>
  <c r="A2044" i="1"/>
  <c r="B2044" i="1"/>
  <c r="C2044" i="1"/>
  <c r="E2044" i="1"/>
  <c r="G2044" i="1"/>
  <c r="H2044" i="1"/>
  <c r="A2045" i="1"/>
  <c r="B2045" i="1"/>
  <c r="C2045" i="1"/>
  <c r="E2045" i="1"/>
  <c r="G2045" i="1"/>
  <c r="H2045" i="1"/>
  <c r="A2046" i="1"/>
  <c r="B2046" i="1"/>
  <c r="C2046" i="1"/>
  <c r="E2046" i="1"/>
  <c r="G2046" i="1"/>
  <c r="H2046" i="1"/>
  <c r="A2047" i="1"/>
  <c r="B2047" i="1"/>
  <c r="C2047" i="1"/>
  <c r="E2047" i="1"/>
  <c r="G2047" i="1"/>
  <c r="H2047" i="1"/>
  <c r="A2048" i="1"/>
  <c r="B2048" i="1"/>
  <c r="C2048" i="1"/>
  <c r="E2048" i="1"/>
  <c r="G2048" i="1"/>
  <c r="H2048" i="1"/>
  <c r="A2049" i="1"/>
  <c r="B2049" i="1"/>
  <c r="C2049" i="1"/>
  <c r="E2049" i="1"/>
  <c r="G2049" i="1"/>
  <c r="H2049" i="1"/>
  <c r="A2050" i="1"/>
  <c r="B2050" i="1"/>
  <c r="C2050" i="1"/>
  <c r="E2050" i="1"/>
  <c r="G2050" i="1"/>
  <c r="H2050" i="1"/>
  <c r="A2051" i="1"/>
  <c r="B2051" i="1"/>
  <c r="C2051" i="1"/>
  <c r="E2051" i="1"/>
  <c r="G2051" i="1"/>
  <c r="H2051" i="1"/>
  <c r="A2052" i="1"/>
  <c r="B2052" i="1"/>
  <c r="C2052" i="1"/>
  <c r="E2052" i="1"/>
  <c r="G2052" i="1"/>
  <c r="H2052" i="1"/>
  <c r="A2053" i="1"/>
  <c r="B2053" i="1"/>
  <c r="C2053" i="1"/>
  <c r="E2053" i="1"/>
  <c r="G2053" i="1"/>
  <c r="H2053" i="1"/>
  <c r="A2054" i="1"/>
  <c r="B2054" i="1"/>
  <c r="C2054" i="1"/>
  <c r="E2054" i="1"/>
  <c r="G2054" i="1"/>
  <c r="H2054" i="1"/>
  <c r="A2055" i="1"/>
  <c r="B2055" i="1"/>
  <c r="C2055" i="1"/>
  <c r="E2055" i="1"/>
  <c r="G2055" i="1"/>
  <c r="H2055" i="1"/>
  <c r="A2056" i="1"/>
  <c r="B2056" i="1"/>
  <c r="C2056" i="1"/>
  <c r="E2056" i="1"/>
  <c r="G2056" i="1"/>
  <c r="H2056" i="1"/>
  <c r="A2057" i="1"/>
  <c r="B2057" i="1"/>
  <c r="C2057" i="1"/>
  <c r="E2057" i="1"/>
  <c r="G2057" i="1"/>
  <c r="H2057" i="1"/>
  <c r="A2058" i="1"/>
  <c r="B2058" i="1"/>
  <c r="C2058" i="1"/>
  <c r="E2058" i="1"/>
  <c r="G2058" i="1"/>
  <c r="H2058" i="1"/>
  <c r="A2059" i="1"/>
  <c r="B2059" i="1"/>
  <c r="C2059" i="1"/>
  <c r="E2059" i="1"/>
  <c r="G2059" i="1"/>
  <c r="H2059" i="1"/>
  <c r="A2060" i="1"/>
  <c r="B2060" i="1"/>
  <c r="C2060" i="1"/>
  <c r="E2060" i="1"/>
  <c r="G2060" i="1"/>
  <c r="H2060" i="1"/>
  <c r="A2061" i="1"/>
  <c r="B2061" i="1"/>
  <c r="C2061" i="1"/>
  <c r="E2061" i="1"/>
  <c r="G2061" i="1"/>
  <c r="H2061" i="1"/>
  <c r="A2062" i="1"/>
  <c r="B2062" i="1"/>
  <c r="C2062" i="1"/>
  <c r="E2062" i="1"/>
  <c r="G2062" i="1"/>
  <c r="H2062" i="1"/>
  <c r="A2063" i="1"/>
  <c r="B2063" i="1"/>
  <c r="C2063" i="1"/>
  <c r="E2063" i="1"/>
  <c r="G2063" i="1"/>
  <c r="H2063" i="1"/>
  <c r="A2064" i="1"/>
  <c r="B2064" i="1"/>
  <c r="C2064" i="1"/>
  <c r="E2064" i="1"/>
  <c r="G2064" i="1"/>
  <c r="H2064" i="1"/>
  <c r="A2065" i="1"/>
  <c r="B2065" i="1"/>
  <c r="C2065" i="1"/>
  <c r="E2065" i="1"/>
  <c r="G2065" i="1"/>
  <c r="H2065" i="1"/>
  <c r="A2066" i="1"/>
  <c r="B2066" i="1"/>
  <c r="C2066" i="1"/>
  <c r="E2066" i="1"/>
  <c r="G2066" i="1"/>
  <c r="H2066" i="1"/>
  <c r="A2067" i="1"/>
  <c r="B2067" i="1"/>
  <c r="C2067" i="1"/>
  <c r="E2067" i="1"/>
  <c r="G2067" i="1"/>
  <c r="H2067" i="1"/>
  <c r="A2068" i="1"/>
  <c r="B2068" i="1"/>
  <c r="C2068" i="1"/>
  <c r="E2068" i="1"/>
  <c r="G2068" i="1"/>
  <c r="H2068" i="1"/>
  <c r="A2069" i="1"/>
  <c r="B2069" i="1"/>
  <c r="C2069" i="1"/>
  <c r="E2069" i="1"/>
  <c r="G2069" i="1"/>
  <c r="H2069" i="1"/>
  <c r="A2070" i="1"/>
  <c r="B2070" i="1"/>
  <c r="C2070" i="1"/>
  <c r="E2070" i="1"/>
  <c r="G2070" i="1"/>
  <c r="H2070" i="1"/>
  <c r="A2071" i="1"/>
  <c r="B2071" i="1"/>
  <c r="C2071" i="1"/>
  <c r="E2071" i="1"/>
  <c r="G2071" i="1"/>
  <c r="H2071" i="1"/>
  <c r="A2072" i="1"/>
  <c r="B2072" i="1"/>
  <c r="C2072" i="1"/>
  <c r="E2072" i="1"/>
  <c r="G2072" i="1"/>
  <c r="H2072" i="1"/>
  <c r="A2073" i="1"/>
  <c r="B2073" i="1"/>
  <c r="C2073" i="1"/>
  <c r="E2073" i="1"/>
  <c r="G2073" i="1"/>
  <c r="H2073" i="1"/>
  <c r="A2074" i="1"/>
  <c r="B2074" i="1"/>
  <c r="C2074" i="1"/>
  <c r="E2074" i="1"/>
  <c r="G2074" i="1"/>
  <c r="H2074" i="1"/>
  <c r="A2075" i="1"/>
  <c r="B2075" i="1"/>
  <c r="C2075" i="1"/>
  <c r="E2075" i="1"/>
  <c r="G2075" i="1"/>
  <c r="H2075" i="1"/>
  <c r="A2076" i="1"/>
  <c r="B2076" i="1"/>
  <c r="C2076" i="1"/>
  <c r="E2076" i="1"/>
  <c r="G2076" i="1"/>
  <c r="H2076" i="1"/>
  <c r="A2077" i="1"/>
  <c r="B2077" i="1"/>
  <c r="C2077" i="1"/>
  <c r="E2077" i="1"/>
  <c r="G2077" i="1"/>
  <c r="H2077" i="1"/>
  <c r="A2078" i="1"/>
  <c r="B2078" i="1"/>
  <c r="C2078" i="1"/>
  <c r="E2078" i="1"/>
  <c r="G2078" i="1"/>
  <c r="H2078" i="1"/>
  <c r="A2079" i="1"/>
  <c r="B2079" i="1"/>
  <c r="C2079" i="1"/>
  <c r="E2079" i="1"/>
  <c r="G2079" i="1"/>
  <c r="H2079" i="1"/>
  <c r="A2080" i="1"/>
  <c r="B2080" i="1"/>
  <c r="C2080" i="1"/>
  <c r="E2080" i="1"/>
  <c r="G2080" i="1"/>
  <c r="H2080" i="1"/>
  <c r="A2081" i="1"/>
  <c r="B2081" i="1"/>
  <c r="C2081" i="1"/>
  <c r="E2081" i="1"/>
  <c r="G2081" i="1"/>
  <c r="H2081" i="1"/>
  <c r="A2082" i="1"/>
  <c r="B2082" i="1"/>
  <c r="C2082" i="1"/>
  <c r="E2082" i="1"/>
  <c r="G2082" i="1"/>
  <c r="H2082" i="1"/>
  <c r="A2083" i="1"/>
  <c r="B2083" i="1"/>
  <c r="C2083" i="1"/>
  <c r="E2083" i="1"/>
  <c r="G2083" i="1"/>
  <c r="H2083" i="1"/>
  <c r="A2084" i="1"/>
  <c r="B2084" i="1"/>
  <c r="C2084" i="1"/>
  <c r="E2084" i="1"/>
  <c r="G2084" i="1"/>
  <c r="H2084" i="1"/>
  <c r="A2085" i="1"/>
  <c r="B2085" i="1"/>
  <c r="C2085" i="1"/>
  <c r="E2085" i="1"/>
  <c r="G2085" i="1"/>
  <c r="H2085" i="1"/>
  <c r="A2086" i="1"/>
  <c r="B2086" i="1"/>
  <c r="C2086" i="1"/>
  <c r="E2086" i="1"/>
  <c r="G2086" i="1"/>
  <c r="H2086" i="1"/>
  <c r="A2087" i="1"/>
  <c r="B2087" i="1"/>
  <c r="C2087" i="1"/>
  <c r="E2087" i="1"/>
  <c r="G2087" i="1"/>
  <c r="H2087" i="1"/>
  <c r="A2088" i="1"/>
  <c r="B2088" i="1"/>
  <c r="C2088" i="1"/>
  <c r="E2088" i="1"/>
  <c r="G2088" i="1"/>
  <c r="H2088" i="1"/>
  <c r="A2089" i="1"/>
  <c r="B2089" i="1"/>
  <c r="C2089" i="1"/>
  <c r="E2089" i="1"/>
  <c r="G2089" i="1"/>
  <c r="H2089" i="1"/>
  <c r="A2090" i="1"/>
  <c r="B2090" i="1"/>
  <c r="C2090" i="1"/>
  <c r="E2090" i="1"/>
  <c r="G2090" i="1"/>
  <c r="H2090" i="1"/>
  <c r="A2091" i="1"/>
  <c r="B2091" i="1"/>
  <c r="C2091" i="1"/>
  <c r="E2091" i="1"/>
  <c r="G2091" i="1"/>
  <c r="H2091" i="1"/>
  <c r="A2092" i="1"/>
  <c r="B2092" i="1"/>
  <c r="C2092" i="1"/>
  <c r="E2092" i="1"/>
  <c r="G2092" i="1"/>
  <c r="H2092" i="1"/>
  <c r="A2093" i="1"/>
  <c r="B2093" i="1"/>
  <c r="C2093" i="1"/>
  <c r="E2093" i="1"/>
  <c r="G2093" i="1"/>
  <c r="H2093" i="1"/>
  <c r="A2094" i="1"/>
  <c r="B2094" i="1"/>
  <c r="C2094" i="1"/>
  <c r="E2094" i="1"/>
  <c r="G2094" i="1"/>
  <c r="H2094" i="1"/>
  <c r="A2095" i="1"/>
  <c r="B2095" i="1"/>
  <c r="C2095" i="1"/>
  <c r="E2095" i="1"/>
  <c r="G2095" i="1"/>
  <c r="H2095" i="1"/>
  <c r="A2096" i="1"/>
  <c r="B2096" i="1"/>
  <c r="C2096" i="1"/>
  <c r="E2096" i="1"/>
  <c r="G2096" i="1"/>
  <c r="H2096" i="1"/>
  <c r="A2097" i="1"/>
  <c r="B2097" i="1"/>
  <c r="C2097" i="1"/>
  <c r="E2097" i="1"/>
  <c r="G2097" i="1"/>
  <c r="H2097" i="1"/>
  <c r="A2098" i="1"/>
  <c r="B2098" i="1"/>
  <c r="C2098" i="1"/>
  <c r="E2098" i="1"/>
  <c r="G2098" i="1"/>
  <c r="H2098" i="1"/>
  <c r="A2099" i="1"/>
  <c r="B2099" i="1"/>
  <c r="C2099" i="1"/>
  <c r="E2099" i="1"/>
  <c r="G2099" i="1"/>
  <c r="H2099" i="1"/>
  <c r="A2100" i="1"/>
  <c r="B2100" i="1"/>
  <c r="C2100" i="1"/>
  <c r="E2100" i="1"/>
  <c r="G2100" i="1"/>
  <c r="H2100" i="1"/>
  <c r="A2101" i="1"/>
  <c r="B2101" i="1"/>
  <c r="C2101" i="1"/>
  <c r="E2101" i="1"/>
  <c r="G2101" i="1"/>
  <c r="H2101" i="1"/>
  <c r="A2102" i="1"/>
  <c r="B2102" i="1"/>
  <c r="C2102" i="1"/>
  <c r="E2102" i="1"/>
  <c r="G2102" i="1"/>
  <c r="H2102" i="1"/>
  <c r="A2103" i="1"/>
  <c r="B2103" i="1"/>
  <c r="C2103" i="1"/>
  <c r="E2103" i="1"/>
  <c r="G2103" i="1"/>
  <c r="H2103" i="1"/>
  <c r="A2104" i="1"/>
  <c r="B2104" i="1"/>
  <c r="C2104" i="1"/>
  <c r="E2104" i="1"/>
  <c r="G2104" i="1"/>
  <c r="H2104" i="1"/>
  <c r="A2105" i="1"/>
  <c r="B2105" i="1"/>
  <c r="C2105" i="1"/>
  <c r="E2105" i="1"/>
  <c r="G2105" i="1"/>
  <c r="H2105" i="1"/>
  <c r="A2106" i="1"/>
  <c r="B2106" i="1"/>
  <c r="C2106" i="1"/>
  <c r="E2106" i="1"/>
  <c r="G2106" i="1"/>
  <c r="H2106" i="1"/>
  <c r="A2107" i="1"/>
  <c r="B2107" i="1"/>
  <c r="C2107" i="1"/>
  <c r="E2107" i="1"/>
  <c r="G2107" i="1"/>
  <c r="H2107" i="1"/>
  <c r="A2108" i="1"/>
  <c r="B2108" i="1"/>
  <c r="C2108" i="1"/>
  <c r="E2108" i="1"/>
  <c r="G2108" i="1"/>
  <c r="H2108" i="1"/>
  <c r="A2109" i="1"/>
  <c r="B2109" i="1"/>
  <c r="C2109" i="1"/>
  <c r="E2109" i="1"/>
  <c r="G2109" i="1"/>
  <c r="H2109" i="1"/>
  <c r="A2110" i="1"/>
  <c r="B2110" i="1"/>
  <c r="C2110" i="1"/>
  <c r="E2110" i="1"/>
  <c r="G2110" i="1"/>
  <c r="H2110" i="1"/>
  <c r="A2111" i="1"/>
  <c r="B2111" i="1"/>
  <c r="C2111" i="1"/>
  <c r="E2111" i="1"/>
  <c r="G2111" i="1"/>
  <c r="H2111" i="1"/>
  <c r="A2112" i="1"/>
  <c r="B2112" i="1"/>
  <c r="C2112" i="1"/>
  <c r="E2112" i="1"/>
  <c r="G2112" i="1"/>
  <c r="H2112" i="1"/>
  <c r="A2113" i="1"/>
  <c r="B2113" i="1"/>
  <c r="C2113" i="1"/>
  <c r="E2113" i="1"/>
  <c r="G2113" i="1"/>
  <c r="H2113" i="1"/>
  <c r="A2114" i="1"/>
  <c r="B2114" i="1"/>
  <c r="C2114" i="1"/>
  <c r="E2114" i="1"/>
  <c r="G2114" i="1"/>
  <c r="H2114" i="1"/>
  <c r="A2115" i="1"/>
  <c r="B2115" i="1"/>
  <c r="C2115" i="1"/>
  <c r="E2115" i="1"/>
  <c r="G2115" i="1"/>
  <c r="H2115" i="1"/>
  <c r="A2116" i="1"/>
  <c r="B2116" i="1"/>
  <c r="C2116" i="1"/>
  <c r="E2116" i="1"/>
  <c r="G2116" i="1"/>
  <c r="H2116" i="1"/>
  <c r="A2117" i="1"/>
  <c r="B2117" i="1"/>
  <c r="C2117" i="1"/>
  <c r="E2117" i="1"/>
  <c r="G2117" i="1"/>
  <c r="H2117" i="1"/>
  <c r="A2118" i="1"/>
  <c r="B2118" i="1"/>
  <c r="C2118" i="1"/>
  <c r="E2118" i="1"/>
  <c r="G2118" i="1"/>
  <c r="H2118" i="1"/>
  <c r="A2119" i="1"/>
  <c r="B2119" i="1"/>
  <c r="C2119" i="1"/>
  <c r="E2119" i="1"/>
  <c r="G2119" i="1"/>
  <c r="H2119" i="1"/>
  <c r="A2120" i="1"/>
  <c r="B2120" i="1"/>
  <c r="C2120" i="1"/>
  <c r="E2120" i="1"/>
  <c r="G2120" i="1"/>
  <c r="H2120" i="1"/>
  <c r="A2121" i="1"/>
  <c r="B2121" i="1"/>
  <c r="C2121" i="1"/>
  <c r="E2121" i="1"/>
  <c r="G2121" i="1"/>
  <c r="H2121" i="1"/>
  <c r="A2122" i="1"/>
  <c r="B2122" i="1"/>
  <c r="C2122" i="1"/>
  <c r="E2122" i="1"/>
  <c r="G2122" i="1"/>
  <c r="H2122" i="1"/>
  <c r="A2123" i="1"/>
  <c r="B2123" i="1"/>
  <c r="C2123" i="1"/>
  <c r="E2123" i="1"/>
  <c r="G2123" i="1"/>
  <c r="H2123" i="1"/>
  <c r="A2124" i="1"/>
  <c r="B2124" i="1"/>
  <c r="C2124" i="1"/>
  <c r="E2124" i="1"/>
  <c r="G2124" i="1"/>
  <c r="H2124" i="1"/>
  <c r="A2125" i="1"/>
  <c r="B2125" i="1"/>
  <c r="C2125" i="1"/>
  <c r="E2125" i="1"/>
  <c r="G2125" i="1"/>
  <c r="H2125" i="1"/>
  <c r="A2126" i="1"/>
  <c r="B2126" i="1"/>
  <c r="C2126" i="1"/>
  <c r="E2126" i="1"/>
  <c r="G2126" i="1"/>
  <c r="H2126" i="1"/>
  <c r="A2127" i="1"/>
  <c r="B2127" i="1"/>
  <c r="C2127" i="1"/>
  <c r="E2127" i="1"/>
  <c r="G2127" i="1"/>
  <c r="H2127" i="1"/>
  <c r="A2128" i="1"/>
  <c r="B2128" i="1"/>
  <c r="C2128" i="1"/>
  <c r="E2128" i="1"/>
  <c r="G2128" i="1"/>
  <c r="H2128" i="1"/>
  <c r="A2129" i="1"/>
  <c r="B2129" i="1"/>
  <c r="C2129" i="1"/>
  <c r="E2129" i="1"/>
  <c r="G2129" i="1"/>
  <c r="H2129" i="1"/>
  <c r="A2130" i="1"/>
  <c r="B2130" i="1"/>
  <c r="C2130" i="1"/>
  <c r="E2130" i="1"/>
  <c r="G2130" i="1"/>
  <c r="H2130" i="1"/>
  <c r="A2131" i="1"/>
  <c r="B2131" i="1"/>
  <c r="C2131" i="1"/>
  <c r="E2131" i="1"/>
  <c r="G2131" i="1"/>
  <c r="H2131" i="1"/>
  <c r="A2132" i="1"/>
  <c r="B2132" i="1"/>
  <c r="C2132" i="1"/>
  <c r="E2132" i="1"/>
  <c r="G2132" i="1"/>
  <c r="H2132" i="1"/>
  <c r="A2133" i="1"/>
  <c r="B2133" i="1"/>
  <c r="C2133" i="1"/>
  <c r="E2133" i="1"/>
  <c r="G2133" i="1"/>
  <c r="H2133" i="1"/>
  <c r="A2134" i="1"/>
  <c r="B2134" i="1"/>
  <c r="C2134" i="1"/>
  <c r="E2134" i="1"/>
  <c r="G2134" i="1"/>
  <c r="H2134" i="1"/>
  <c r="A2135" i="1"/>
  <c r="B2135" i="1"/>
  <c r="C2135" i="1"/>
  <c r="E2135" i="1"/>
  <c r="G2135" i="1"/>
  <c r="H2135" i="1"/>
  <c r="A2136" i="1"/>
  <c r="B2136" i="1"/>
  <c r="C2136" i="1"/>
  <c r="E2136" i="1"/>
  <c r="G2136" i="1"/>
  <c r="H2136" i="1"/>
  <c r="A2137" i="1"/>
  <c r="B2137" i="1"/>
  <c r="C2137" i="1"/>
  <c r="E2137" i="1"/>
  <c r="G2137" i="1"/>
  <c r="H2137" i="1"/>
  <c r="A2138" i="1"/>
  <c r="B2138" i="1"/>
  <c r="C2138" i="1"/>
  <c r="E2138" i="1"/>
  <c r="G2138" i="1"/>
  <c r="H2138" i="1"/>
  <c r="A2139" i="1"/>
  <c r="B2139" i="1"/>
  <c r="C2139" i="1"/>
  <c r="E2139" i="1"/>
  <c r="G2139" i="1"/>
  <c r="H2139" i="1"/>
  <c r="A2140" i="1"/>
  <c r="B2140" i="1"/>
  <c r="C2140" i="1"/>
  <c r="E2140" i="1"/>
  <c r="G2140" i="1"/>
  <c r="H2140" i="1"/>
  <c r="A2141" i="1"/>
  <c r="B2141" i="1"/>
  <c r="C2141" i="1"/>
  <c r="E2141" i="1"/>
  <c r="G2141" i="1"/>
  <c r="H2141" i="1"/>
  <c r="A2142" i="1"/>
  <c r="B2142" i="1"/>
  <c r="C2142" i="1"/>
  <c r="E2142" i="1"/>
  <c r="G2142" i="1"/>
  <c r="H2142" i="1"/>
  <c r="A2143" i="1"/>
  <c r="B2143" i="1"/>
  <c r="C2143" i="1"/>
  <c r="E2143" i="1"/>
  <c r="G2143" i="1"/>
  <c r="H2143" i="1"/>
  <c r="A2144" i="1"/>
  <c r="B2144" i="1"/>
  <c r="C2144" i="1"/>
  <c r="E2144" i="1"/>
  <c r="G2144" i="1"/>
  <c r="H2144" i="1"/>
  <c r="A2145" i="1"/>
  <c r="B2145" i="1"/>
  <c r="C2145" i="1"/>
  <c r="E2145" i="1"/>
  <c r="G2145" i="1"/>
  <c r="H2145" i="1"/>
  <c r="A2146" i="1"/>
  <c r="B2146" i="1"/>
  <c r="C2146" i="1"/>
  <c r="E2146" i="1"/>
  <c r="G2146" i="1"/>
  <c r="H2146" i="1"/>
  <c r="A2147" i="1"/>
  <c r="B2147" i="1"/>
  <c r="C2147" i="1"/>
  <c r="E2147" i="1"/>
  <c r="G2147" i="1"/>
  <c r="H2147" i="1"/>
  <c r="A2148" i="1"/>
  <c r="B2148" i="1"/>
  <c r="C2148" i="1"/>
  <c r="E2148" i="1"/>
  <c r="G2148" i="1"/>
  <c r="H2148" i="1"/>
  <c r="A2149" i="1"/>
  <c r="B2149" i="1"/>
  <c r="C2149" i="1"/>
  <c r="E2149" i="1"/>
  <c r="G2149" i="1"/>
  <c r="H2149" i="1"/>
  <c r="A2150" i="1"/>
  <c r="B2150" i="1"/>
  <c r="C2150" i="1"/>
  <c r="E2150" i="1"/>
  <c r="G2150" i="1"/>
  <c r="H2150" i="1"/>
  <c r="A2151" i="1"/>
  <c r="B2151" i="1"/>
  <c r="C2151" i="1"/>
  <c r="E2151" i="1"/>
  <c r="G2151" i="1"/>
  <c r="H2151" i="1"/>
  <c r="A2152" i="1"/>
  <c r="B2152" i="1"/>
  <c r="C2152" i="1"/>
  <c r="E2152" i="1"/>
  <c r="G2152" i="1"/>
  <c r="H2152" i="1"/>
  <c r="A2153" i="1"/>
  <c r="B2153" i="1"/>
  <c r="C2153" i="1"/>
  <c r="E2153" i="1"/>
  <c r="G2153" i="1"/>
  <c r="H2153" i="1"/>
  <c r="A2154" i="1"/>
  <c r="B2154" i="1"/>
  <c r="C2154" i="1"/>
  <c r="E2154" i="1"/>
  <c r="G2154" i="1"/>
  <c r="H2154" i="1"/>
  <c r="A2155" i="1"/>
  <c r="B2155" i="1"/>
  <c r="C2155" i="1"/>
  <c r="E2155" i="1"/>
  <c r="G2155" i="1"/>
  <c r="H2155" i="1"/>
  <c r="A2156" i="1"/>
  <c r="B2156" i="1"/>
  <c r="C2156" i="1"/>
  <c r="E2156" i="1"/>
  <c r="G2156" i="1"/>
  <c r="H2156" i="1"/>
  <c r="A2157" i="1"/>
  <c r="B2157" i="1"/>
  <c r="C2157" i="1"/>
  <c r="E2157" i="1"/>
  <c r="G2157" i="1"/>
  <c r="H2157" i="1"/>
  <c r="A2158" i="1"/>
  <c r="B2158" i="1"/>
  <c r="C2158" i="1"/>
  <c r="E2158" i="1"/>
  <c r="G2158" i="1"/>
  <c r="H2158" i="1"/>
  <c r="A2159" i="1"/>
  <c r="B2159" i="1"/>
  <c r="C2159" i="1"/>
  <c r="E2159" i="1"/>
  <c r="G2159" i="1"/>
  <c r="H2159" i="1"/>
  <c r="A2160" i="1"/>
  <c r="B2160" i="1"/>
  <c r="C2160" i="1"/>
  <c r="E2160" i="1"/>
  <c r="G2160" i="1"/>
  <c r="H2160" i="1"/>
  <c r="A2161" i="1"/>
  <c r="B2161" i="1"/>
  <c r="C2161" i="1"/>
  <c r="E2161" i="1"/>
  <c r="G2161" i="1"/>
  <c r="H2161" i="1"/>
  <c r="A2162" i="1"/>
  <c r="B2162" i="1"/>
  <c r="C2162" i="1"/>
  <c r="E2162" i="1"/>
  <c r="G2162" i="1"/>
  <c r="H2162" i="1"/>
  <c r="A2163" i="1"/>
  <c r="B2163" i="1"/>
  <c r="C2163" i="1"/>
  <c r="E2163" i="1"/>
  <c r="G2163" i="1"/>
  <c r="H2163" i="1"/>
  <c r="A2164" i="1"/>
  <c r="B2164" i="1"/>
  <c r="C2164" i="1"/>
  <c r="E2164" i="1"/>
  <c r="G2164" i="1"/>
  <c r="H2164" i="1"/>
  <c r="A2165" i="1"/>
  <c r="B2165" i="1"/>
  <c r="C2165" i="1"/>
  <c r="E2165" i="1"/>
  <c r="G2165" i="1"/>
  <c r="H2165" i="1"/>
  <c r="A2166" i="1"/>
  <c r="B2166" i="1"/>
  <c r="C2166" i="1"/>
  <c r="E2166" i="1"/>
  <c r="G2166" i="1"/>
  <c r="H2166" i="1"/>
  <c r="A2167" i="1"/>
  <c r="B2167" i="1"/>
  <c r="C2167" i="1"/>
  <c r="E2167" i="1"/>
  <c r="G2167" i="1"/>
  <c r="H2167" i="1"/>
  <c r="A2168" i="1"/>
  <c r="B2168" i="1"/>
  <c r="C2168" i="1"/>
  <c r="E2168" i="1"/>
  <c r="G2168" i="1"/>
  <c r="H2168" i="1"/>
  <c r="A2169" i="1"/>
  <c r="B2169" i="1"/>
  <c r="C2169" i="1"/>
  <c r="E2169" i="1"/>
  <c r="G2169" i="1"/>
  <c r="H2169" i="1"/>
  <c r="A2170" i="1"/>
  <c r="B2170" i="1"/>
  <c r="C2170" i="1"/>
  <c r="E2170" i="1"/>
  <c r="G2170" i="1"/>
  <c r="H2170" i="1"/>
  <c r="A2171" i="1"/>
  <c r="B2171" i="1"/>
  <c r="C2171" i="1"/>
  <c r="E2171" i="1"/>
  <c r="G2171" i="1"/>
  <c r="H2171" i="1"/>
  <c r="A2172" i="1"/>
  <c r="B2172" i="1"/>
  <c r="C2172" i="1"/>
  <c r="E2172" i="1"/>
  <c r="G2172" i="1"/>
  <c r="H2172" i="1"/>
  <c r="A2173" i="1"/>
  <c r="B2173" i="1"/>
  <c r="C2173" i="1"/>
  <c r="E2173" i="1"/>
  <c r="G2173" i="1"/>
  <c r="H2173" i="1"/>
  <c r="A2174" i="1"/>
  <c r="B2174" i="1"/>
  <c r="C2174" i="1"/>
  <c r="E2174" i="1"/>
  <c r="G2174" i="1"/>
  <c r="H2174" i="1"/>
  <c r="A2175" i="1"/>
  <c r="B2175" i="1"/>
  <c r="C2175" i="1"/>
  <c r="E2175" i="1"/>
  <c r="G2175" i="1"/>
  <c r="H2175" i="1"/>
  <c r="A2176" i="1"/>
  <c r="B2176" i="1"/>
  <c r="C2176" i="1"/>
  <c r="E2176" i="1"/>
  <c r="G2176" i="1"/>
  <c r="H2176" i="1"/>
  <c r="A2177" i="1"/>
  <c r="B2177" i="1"/>
  <c r="C2177" i="1"/>
  <c r="E2177" i="1"/>
  <c r="G2177" i="1"/>
  <c r="H2177" i="1"/>
  <c r="A2178" i="1"/>
  <c r="B2178" i="1"/>
  <c r="C2178" i="1"/>
  <c r="E2178" i="1"/>
  <c r="G2178" i="1"/>
  <c r="H2178" i="1"/>
  <c r="A2179" i="1"/>
  <c r="B2179" i="1"/>
  <c r="C2179" i="1"/>
  <c r="E2179" i="1"/>
  <c r="G2179" i="1"/>
  <c r="H2179" i="1"/>
  <c r="A2180" i="1"/>
  <c r="B2180" i="1"/>
  <c r="C2180" i="1"/>
  <c r="E2180" i="1"/>
  <c r="G2180" i="1"/>
  <c r="H2180" i="1"/>
  <c r="A2181" i="1"/>
  <c r="B2181" i="1"/>
  <c r="C2181" i="1"/>
  <c r="E2181" i="1"/>
  <c r="G2181" i="1"/>
  <c r="H2181" i="1"/>
  <c r="A2182" i="1"/>
  <c r="B2182" i="1"/>
  <c r="C2182" i="1"/>
  <c r="E2182" i="1"/>
  <c r="G2182" i="1"/>
  <c r="H2182" i="1"/>
  <c r="A2183" i="1"/>
  <c r="B2183" i="1"/>
  <c r="C2183" i="1"/>
  <c r="E2183" i="1"/>
  <c r="G2183" i="1"/>
  <c r="H2183" i="1"/>
  <c r="A2184" i="1"/>
  <c r="B2184" i="1"/>
  <c r="C2184" i="1"/>
  <c r="E2184" i="1"/>
  <c r="G2184" i="1"/>
  <c r="H2184" i="1"/>
  <c r="A2185" i="1"/>
  <c r="B2185" i="1"/>
  <c r="C2185" i="1"/>
  <c r="E2185" i="1"/>
  <c r="G2185" i="1"/>
  <c r="H2185" i="1"/>
  <c r="A2186" i="1"/>
  <c r="B2186" i="1"/>
  <c r="C2186" i="1"/>
  <c r="E2186" i="1"/>
  <c r="G2186" i="1"/>
  <c r="H2186" i="1"/>
  <c r="A2187" i="1"/>
  <c r="B2187" i="1"/>
  <c r="C2187" i="1"/>
  <c r="E2187" i="1"/>
  <c r="G2187" i="1"/>
  <c r="H2187" i="1"/>
  <c r="A2188" i="1"/>
  <c r="B2188" i="1"/>
  <c r="C2188" i="1"/>
  <c r="E2188" i="1"/>
  <c r="G2188" i="1"/>
  <c r="H2188" i="1"/>
  <c r="A2189" i="1"/>
  <c r="B2189" i="1"/>
  <c r="C2189" i="1"/>
  <c r="E2189" i="1"/>
  <c r="G2189" i="1"/>
  <c r="H2189" i="1"/>
  <c r="A2190" i="1"/>
  <c r="B2190" i="1"/>
  <c r="C2190" i="1"/>
  <c r="E2190" i="1"/>
  <c r="G2190" i="1"/>
  <c r="H2190" i="1"/>
  <c r="A2191" i="1"/>
  <c r="B2191" i="1"/>
  <c r="C2191" i="1"/>
  <c r="E2191" i="1"/>
  <c r="G2191" i="1"/>
  <c r="H2191" i="1"/>
  <c r="A2192" i="1"/>
  <c r="B2192" i="1"/>
  <c r="C2192" i="1"/>
  <c r="E2192" i="1"/>
  <c r="G2192" i="1"/>
  <c r="H2192" i="1"/>
  <c r="A2193" i="1"/>
  <c r="B2193" i="1"/>
  <c r="C2193" i="1"/>
  <c r="E2193" i="1"/>
  <c r="G2193" i="1"/>
  <c r="H2193" i="1"/>
  <c r="A2194" i="1"/>
  <c r="B2194" i="1"/>
  <c r="C2194" i="1"/>
  <c r="E2194" i="1"/>
  <c r="G2194" i="1"/>
  <c r="H2194" i="1"/>
  <c r="A2195" i="1"/>
  <c r="B2195" i="1"/>
  <c r="C2195" i="1"/>
  <c r="E2195" i="1"/>
  <c r="G2195" i="1"/>
  <c r="H2195" i="1"/>
  <c r="A2196" i="1"/>
  <c r="B2196" i="1"/>
  <c r="C2196" i="1"/>
  <c r="E2196" i="1"/>
  <c r="G2196" i="1"/>
  <c r="H2196" i="1"/>
  <c r="A2197" i="1"/>
  <c r="B2197" i="1"/>
  <c r="C2197" i="1"/>
  <c r="E2197" i="1"/>
  <c r="G2197" i="1"/>
  <c r="H2197" i="1"/>
  <c r="A2198" i="1"/>
  <c r="B2198" i="1"/>
  <c r="C2198" i="1"/>
  <c r="E2198" i="1"/>
  <c r="G2198" i="1"/>
  <c r="H2198" i="1"/>
  <c r="A2199" i="1"/>
  <c r="B2199" i="1"/>
  <c r="C2199" i="1"/>
  <c r="E2199" i="1"/>
  <c r="G2199" i="1"/>
  <c r="H2199" i="1"/>
  <c r="A2200" i="1"/>
  <c r="B2200" i="1"/>
  <c r="C2200" i="1"/>
  <c r="E2200" i="1"/>
  <c r="G2200" i="1"/>
  <c r="H2200" i="1"/>
  <c r="A2201" i="1"/>
  <c r="B2201" i="1"/>
  <c r="C2201" i="1"/>
  <c r="E2201" i="1"/>
  <c r="G2201" i="1"/>
  <c r="H2201" i="1"/>
  <c r="A2202" i="1"/>
  <c r="B2202" i="1"/>
  <c r="C2202" i="1"/>
  <c r="E2202" i="1"/>
  <c r="G2202" i="1"/>
  <c r="H2202" i="1"/>
  <c r="A2203" i="1"/>
  <c r="B2203" i="1"/>
  <c r="C2203" i="1"/>
  <c r="E2203" i="1"/>
  <c r="G2203" i="1"/>
  <c r="H2203" i="1"/>
  <c r="A2204" i="1"/>
  <c r="B2204" i="1"/>
  <c r="C2204" i="1"/>
  <c r="E2204" i="1"/>
  <c r="G2204" i="1"/>
  <c r="H2204" i="1"/>
  <c r="A2205" i="1"/>
  <c r="B2205" i="1"/>
  <c r="C2205" i="1"/>
  <c r="E2205" i="1"/>
  <c r="G2205" i="1"/>
  <c r="H2205" i="1"/>
  <c r="A2206" i="1"/>
  <c r="B2206" i="1"/>
  <c r="C2206" i="1"/>
  <c r="E2206" i="1"/>
  <c r="G2206" i="1"/>
  <c r="H2206" i="1"/>
  <c r="A2207" i="1"/>
  <c r="B2207" i="1"/>
  <c r="C2207" i="1"/>
  <c r="E2207" i="1"/>
  <c r="G2207" i="1"/>
  <c r="H2207" i="1"/>
  <c r="A2208" i="1"/>
  <c r="B2208" i="1"/>
  <c r="C2208" i="1"/>
  <c r="E2208" i="1"/>
  <c r="G2208" i="1"/>
  <c r="H2208" i="1"/>
  <c r="A2209" i="1"/>
  <c r="B2209" i="1"/>
  <c r="C2209" i="1"/>
  <c r="E2209" i="1"/>
  <c r="G2209" i="1"/>
  <c r="H2209" i="1"/>
  <c r="A2210" i="1"/>
  <c r="B2210" i="1"/>
  <c r="C2210" i="1"/>
  <c r="E2210" i="1"/>
  <c r="G2210" i="1"/>
  <c r="H2210" i="1"/>
  <c r="A2211" i="1"/>
  <c r="B2211" i="1"/>
  <c r="C2211" i="1"/>
  <c r="E2211" i="1"/>
  <c r="G2211" i="1"/>
  <c r="H2211" i="1"/>
  <c r="A2212" i="1"/>
  <c r="B2212" i="1"/>
  <c r="C2212" i="1"/>
  <c r="E2212" i="1"/>
  <c r="G2212" i="1"/>
  <c r="H2212" i="1"/>
  <c r="A2213" i="1"/>
  <c r="B2213" i="1"/>
  <c r="C2213" i="1"/>
  <c r="E2213" i="1"/>
  <c r="G2213" i="1"/>
  <c r="H2213" i="1"/>
  <c r="A2214" i="1"/>
  <c r="B2214" i="1"/>
  <c r="C2214" i="1"/>
  <c r="E2214" i="1"/>
  <c r="G2214" i="1"/>
  <c r="H2214" i="1"/>
  <c r="A2215" i="1"/>
  <c r="B2215" i="1"/>
  <c r="C2215" i="1"/>
  <c r="E2215" i="1"/>
  <c r="G2215" i="1"/>
  <c r="H2215" i="1"/>
  <c r="A2216" i="1"/>
  <c r="B2216" i="1"/>
  <c r="C2216" i="1"/>
  <c r="E2216" i="1"/>
  <c r="G2216" i="1"/>
  <c r="H2216" i="1"/>
  <c r="A2217" i="1"/>
  <c r="B2217" i="1"/>
  <c r="C2217" i="1"/>
  <c r="E2217" i="1"/>
  <c r="G2217" i="1"/>
  <c r="H2217" i="1"/>
  <c r="A2218" i="1"/>
  <c r="B2218" i="1"/>
  <c r="C2218" i="1"/>
  <c r="E2218" i="1"/>
  <c r="G2218" i="1"/>
  <c r="H2218" i="1"/>
  <c r="A2219" i="1"/>
  <c r="B2219" i="1"/>
  <c r="C2219" i="1"/>
  <c r="E2219" i="1"/>
  <c r="G2219" i="1"/>
  <c r="H2219" i="1"/>
  <c r="A2220" i="1"/>
  <c r="B2220" i="1"/>
  <c r="C2220" i="1"/>
  <c r="E2220" i="1"/>
  <c r="G2220" i="1"/>
  <c r="H2220" i="1"/>
  <c r="A2221" i="1"/>
  <c r="B2221" i="1"/>
  <c r="C2221" i="1"/>
  <c r="E2221" i="1"/>
  <c r="G2221" i="1"/>
  <c r="H2221" i="1"/>
  <c r="A2222" i="1"/>
  <c r="B2222" i="1"/>
  <c r="C2222" i="1"/>
  <c r="E2222" i="1"/>
  <c r="G2222" i="1"/>
  <c r="H2222" i="1"/>
  <c r="A2223" i="1"/>
  <c r="B2223" i="1"/>
  <c r="C2223" i="1"/>
  <c r="E2223" i="1"/>
  <c r="G2223" i="1"/>
  <c r="H2223" i="1"/>
  <c r="A2224" i="1"/>
  <c r="B2224" i="1"/>
  <c r="C2224" i="1"/>
  <c r="E2224" i="1"/>
  <c r="G2224" i="1"/>
  <c r="H2224" i="1"/>
  <c r="A2225" i="1"/>
  <c r="B2225" i="1"/>
  <c r="C2225" i="1"/>
  <c r="E2225" i="1"/>
  <c r="G2225" i="1"/>
  <c r="H2225" i="1"/>
  <c r="A2226" i="1"/>
  <c r="B2226" i="1"/>
  <c r="C2226" i="1"/>
  <c r="E2226" i="1"/>
  <c r="G2226" i="1"/>
  <c r="H2226" i="1"/>
  <c r="A2227" i="1"/>
  <c r="B2227" i="1"/>
  <c r="C2227" i="1"/>
  <c r="E2227" i="1"/>
  <c r="G2227" i="1"/>
  <c r="H2227" i="1"/>
  <c r="A2228" i="1"/>
  <c r="B2228" i="1"/>
  <c r="C2228" i="1"/>
  <c r="E2228" i="1"/>
  <c r="G2228" i="1"/>
  <c r="H2228" i="1"/>
  <c r="A2229" i="1"/>
  <c r="B2229" i="1"/>
  <c r="C2229" i="1"/>
  <c r="E2229" i="1"/>
  <c r="G2229" i="1"/>
  <c r="H2229" i="1"/>
  <c r="A2230" i="1"/>
  <c r="B2230" i="1"/>
  <c r="C2230" i="1"/>
  <c r="E2230" i="1"/>
  <c r="G2230" i="1"/>
  <c r="H2230" i="1"/>
  <c r="A2231" i="1"/>
  <c r="B2231" i="1"/>
  <c r="C2231" i="1"/>
  <c r="E2231" i="1"/>
  <c r="G2231" i="1"/>
  <c r="H2231" i="1"/>
  <c r="A2232" i="1"/>
  <c r="B2232" i="1"/>
  <c r="C2232" i="1"/>
  <c r="E2232" i="1"/>
  <c r="G2232" i="1"/>
  <c r="H2232" i="1"/>
  <c r="A2233" i="1"/>
  <c r="B2233" i="1"/>
  <c r="C2233" i="1"/>
  <c r="E2233" i="1"/>
  <c r="G2233" i="1"/>
  <c r="H2233" i="1"/>
  <c r="A2234" i="1"/>
  <c r="B2234" i="1"/>
  <c r="C2234" i="1"/>
  <c r="E2234" i="1"/>
  <c r="G2234" i="1"/>
  <c r="H2234" i="1"/>
  <c r="A2235" i="1"/>
  <c r="B2235" i="1"/>
  <c r="C2235" i="1"/>
  <c r="E2235" i="1"/>
  <c r="G2235" i="1"/>
  <c r="H2235" i="1"/>
  <c r="A2236" i="1"/>
  <c r="B2236" i="1"/>
  <c r="C2236" i="1"/>
  <c r="E2236" i="1"/>
  <c r="G2236" i="1"/>
  <c r="H2236" i="1"/>
  <c r="A2237" i="1"/>
  <c r="B2237" i="1"/>
  <c r="C2237" i="1"/>
  <c r="E2237" i="1"/>
  <c r="G2237" i="1"/>
  <c r="H2237" i="1"/>
  <c r="A2238" i="1"/>
  <c r="B2238" i="1"/>
  <c r="C2238" i="1"/>
  <c r="E2238" i="1"/>
  <c r="G2238" i="1"/>
  <c r="H2238" i="1"/>
  <c r="A2239" i="1"/>
  <c r="B2239" i="1"/>
  <c r="C2239" i="1"/>
  <c r="E2239" i="1"/>
  <c r="G2239" i="1"/>
  <c r="H2239" i="1"/>
  <c r="A2240" i="1"/>
  <c r="B2240" i="1"/>
  <c r="C2240" i="1"/>
  <c r="E2240" i="1"/>
  <c r="G2240" i="1"/>
  <c r="H2240" i="1"/>
  <c r="A2241" i="1"/>
  <c r="B2241" i="1"/>
  <c r="C2241" i="1"/>
  <c r="E2241" i="1"/>
  <c r="G2241" i="1"/>
  <c r="H2241" i="1"/>
  <c r="A2242" i="1"/>
  <c r="B2242" i="1"/>
  <c r="C2242" i="1"/>
  <c r="E2242" i="1"/>
  <c r="G2242" i="1"/>
  <c r="H2242" i="1"/>
  <c r="A2243" i="1"/>
  <c r="B2243" i="1"/>
  <c r="C2243" i="1"/>
  <c r="E2243" i="1"/>
  <c r="G2243" i="1"/>
  <c r="H2243" i="1"/>
  <c r="A2244" i="1"/>
  <c r="B2244" i="1"/>
  <c r="C2244" i="1"/>
  <c r="E2244" i="1"/>
  <c r="G2244" i="1"/>
  <c r="H2244" i="1"/>
  <c r="A2245" i="1"/>
  <c r="B2245" i="1"/>
  <c r="C2245" i="1"/>
  <c r="E2245" i="1"/>
  <c r="G2245" i="1"/>
  <c r="H2245" i="1"/>
  <c r="A2246" i="1"/>
  <c r="B2246" i="1"/>
  <c r="C2246" i="1"/>
  <c r="E2246" i="1"/>
  <c r="G2246" i="1"/>
  <c r="H2246" i="1"/>
  <c r="A2247" i="1"/>
  <c r="B2247" i="1"/>
  <c r="C2247" i="1"/>
  <c r="E2247" i="1"/>
  <c r="G2247" i="1"/>
  <c r="H2247" i="1"/>
  <c r="A2248" i="1"/>
  <c r="B2248" i="1"/>
  <c r="C2248" i="1"/>
  <c r="E2248" i="1"/>
  <c r="G2248" i="1"/>
  <c r="H2248" i="1"/>
  <c r="A2249" i="1"/>
  <c r="B2249" i="1"/>
  <c r="C2249" i="1"/>
  <c r="E2249" i="1"/>
  <c r="G2249" i="1"/>
  <c r="H2249" i="1"/>
  <c r="A2250" i="1"/>
  <c r="B2250" i="1"/>
  <c r="C2250" i="1"/>
  <c r="E2250" i="1"/>
  <c r="G2250" i="1"/>
  <c r="H2250" i="1"/>
  <c r="A2251" i="1"/>
  <c r="B2251" i="1"/>
  <c r="C2251" i="1"/>
  <c r="E2251" i="1"/>
  <c r="G2251" i="1"/>
  <c r="H2251" i="1"/>
  <c r="A2252" i="1"/>
  <c r="B2252" i="1"/>
  <c r="C2252" i="1"/>
  <c r="E2252" i="1"/>
  <c r="G2252" i="1"/>
  <c r="H2252" i="1"/>
  <c r="A2253" i="1"/>
  <c r="B2253" i="1"/>
  <c r="C2253" i="1"/>
  <c r="E2253" i="1"/>
  <c r="G2253" i="1"/>
  <c r="H2253" i="1"/>
  <c r="A2254" i="1"/>
  <c r="B2254" i="1"/>
  <c r="C2254" i="1"/>
  <c r="E2254" i="1"/>
  <c r="G2254" i="1"/>
  <c r="H2254" i="1"/>
  <c r="A2255" i="1"/>
  <c r="B2255" i="1"/>
  <c r="C2255" i="1"/>
  <c r="E2255" i="1"/>
  <c r="G2255" i="1"/>
  <c r="H2255" i="1"/>
  <c r="A2256" i="1"/>
  <c r="B2256" i="1"/>
  <c r="C2256" i="1"/>
  <c r="E2256" i="1"/>
  <c r="G2256" i="1"/>
  <c r="H2256" i="1"/>
  <c r="A2257" i="1"/>
  <c r="B2257" i="1"/>
  <c r="C2257" i="1"/>
  <c r="E2257" i="1"/>
  <c r="G2257" i="1"/>
  <c r="H2257" i="1"/>
  <c r="A2258" i="1"/>
  <c r="B2258" i="1"/>
  <c r="C2258" i="1"/>
  <c r="E2258" i="1"/>
  <c r="G2258" i="1"/>
  <c r="H2258" i="1"/>
  <c r="A2259" i="1"/>
  <c r="B2259" i="1"/>
  <c r="C2259" i="1"/>
  <c r="E2259" i="1"/>
  <c r="G2259" i="1"/>
  <c r="H2259" i="1"/>
  <c r="A2260" i="1"/>
  <c r="B2260" i="1"/>
  <c r="C2260" i="1"/>
  <c r="E2260" i="1"/>
  <c r="G2260" i="1"/>
  <c r="H2260" i="1"/>
  <c r="A2261" i="1"/>
  <c r="B2261" i="1"/>
  <c r="C2261" i="1"/>
  <c r="E2261" i="1"/>
  <c r="G2261" i="1"/>
  <c r="H2261" i="1"/>
  <c r="A2262" i="1"/>
  <c r="B2262" i="1"/>
  <c r="C2262" i="1"/>
  <c r="E2262" i="1"/>
  <c r="G2262" i="1"/>
  <c r="H2262" i="1"/>
  <c r="A2263" i="1"/>
  <c r="B2263" i="1"/>
  <c r="C2263" i="1"/>
  <c r="E2263" i="1"/>
  <c r="G2263" i="1"/>
  <c r="H2263" i="1"/>
  <c r="A2264" i="1"/>
  <c r="B2264" i="1"/>
  <c r="C2264" i="1"/>
  <c r="E2264" i="1"/>
  <c r="G2264" i="1"/>
  <c r="H2264" i="1"/>
  <c r="A2265" i="1"/>
  <c r="B2265" i="1"/>
  <c r="C2265" i="1"/>
  <c r="E2265" i="1"/>
  <c r="G2265" i="1"/>
  <c r="H2265" i="1"/>
  <c r="A2266" i="1"/>
  <c r="B2266" i="1"/>
  <c r="C2266" i="1"/>
  <c r="E2266" i="1"/>
  <c r="G2266" i="1"/>
  <c r="H2266" i="1"/>
  <c r="A2267" i="1"/>
  <c r="B2267" i="1"/>
  <c r="C2267" i="1"/>
  <c r="E2267" i="1"/>
  <c r="G2267" i="1"/>
  <c r="H2267" i="1"/>
  <c r="A2268" i="1"/>
  <c r="B2268" i="1"/>
  <c r="C2268" i="1"/>
  <c r="E2268" i="1"/>
  <c r="G2268" i="1"/>
  <c r="H2268" i="1"/>
  <c r="A2269" i="1"/>
  <c r="B2269" i="1"/>
  <c r="C2269" i="1"/>
  <c r="E2269" i="1"/>
  <c r="G2269" i="1"/>
  <c r="H2269" i="1"/>
  <c r="A2270" i="1"/>
  <c r="B2270" i="1"/>
  <c r="C2270" i="1"/>
  <c r="E2270" i="1"/>
  <c r="G2270" i="1"/>
  <c r="H2270" i="1"/>
  <c r="A2271" i="1"/>
  <c r="B2271" i="1"/>
  <c r="C2271" i="1"/>
  <c r="E2271" i="1"/>
  <c r="G2271" i="1"/>
  <c r="H2271" i="1"/>
  <c r="A2272" i="1"/>
  <c r="B2272" i="1"/>
  <c r="C2272" i="1"/>
  <c r="E2272" i="1"/>
  <c r="G2272" i="1"/>
  <c r="H2272" i="1"/>
  <c r="A2273" i="1"/>
  <c r="B2273" i="1"/>
  <c r="C2273" i="1"/>
  <c r="E2273" i="1"/>
  <c r="G2273" i="1"/>
  <c r="H2273" i="1"/>
  <c r="A2274" i="1"/>
  <c r="B2274" i="1"/>
  <c r="C2274" i="1"/>
  <c r="E2274" i="1"/>
  <c r="G2274" i="1"/>
  <c r="H2274" i="1"/>
  <c r="A2275" i="1"/>
  <c r="B2275" i="1"/>
  <c r="C2275" i="1"/>
  <c r="E2275" i="1"/>
  <c r="G2275" i="1"/>
  <c r="H2275" i="1"/>
  <c r="A2276" i="1"/>
  <c r="B2276" i="1"/>
  <c r="C2276" i="1"/>
  <c r="E2276" i="1"/>
  <c r="G2276" i="1"/>
  <c r="H2276" i="1"/>
  <c r="A2277" i="1"/>
  <c r="B2277" i="1"/>
  <c r="C2277" i="1"/>
  <c r="E2277" i="1"/>
  <c r="G2277" i="1"/>
  <c r="H2277" i="1"/>
  <c r="A2278" i="1"/>
  <c r="B2278" i="1"/>
  <c r="C2278" i="1"/>
  <c r="E2278" i="1"/>
  <c r="G2278" i="1"/>
  <c r="H2278" i="1"/>
  <c r="A2279" i="1"/>
  <c r="B2279" i="1"/>
  <c r="C2279" i="1"/>
  <c r="E2279" i="1"/>
  <c r="G2279" i="1"/>
  <c r="H2279" i="1"/>
  <c r="A2280" i="1"/>
  <c r="B2280" i="1"/>
  <c r="C2280" i="1"/>
  <c r="E2280" i="1"/>
  <c r="G2280" i="1"/>
  <c r="H2280" i="1"/>
  <c r="A2281" i="1"/>
  <c r="B2281" i="1"/>
  <c r="C2281" i="1"/>
  <c r="E2281" i="1"/>
  <c r="G2281" i="1"/>
  <c r="H2281" i="1"/>
  <c r="A2282" i="1"/>
  <c r="B2282" i="1"/>
  <c r="C2282" i="1"/>
  <c r="E2282" i="1"/>
  <c r="G2282" i="1"/>
  <c r="H2282" i="1"/>
  <c r="A2283" i="1"/>
  <c r="B2283" i="1"/>
  <c r="C2283" i="1"/>
  <c r="E2283" i="1"/>
  <c r="G2283" i="1"/>
  <c r="H2283" i="1"/>
  <c r="A2284" i="1"/>
  <c r="B2284" i="1"/>
  <c r="C2284" i="1"/>
  <c r="E2284" i="1"/>
  <c r="G2284" i="1"/>
  <c r="H2284" i="1"/>
  <c r="A2285" i="1"/>
  <c r="B2285" i="1"/>
  <c r="C2285" i="1"/>
  <c r="E2285" i="1"/>
  <c r="G2285" i="1"/>
  <c r="H2285" i="1"/>
  <c r="A2286" i="1"/>
  <c r="B2286" i="1"/>
  <c r="C2286" i="1"/>
  <c r="E2286" i="1"/>
  <c r="G2286" i="1"/>
  <c r="H2286" i="1"/>
  <c r="A2287" i="1"/>
  <c r="B2287" i="1"/>
  <c r="C2287" i="1"/>
  <c r="E2287" i="1"/>
  <c r="G2287" i="1"/>
  <c r="H2287" i="1"/>
  <c r="A2288" i="1"/>
  <c r="B2288" i="1"/>
  <c r="C2288" i="1"/>
  <c r="E2288" i="1"/>
  <c r="G2288" i="1"/>
  <c r="H2288" i="1"/>
  <c r="A2289" i="1"/>
  <c r="B2289" i="1"/>
  <c r="C2289" i="1"/>
  <c r="E2289" i="1"/>
  <c r="G2289" i="1"/>
  <c r="H2289" i="1"/>
  <c r="A2290" i="1"/>
  <c r="B2290" i="1"/>
  <c r="C2290" i="1"/>
  <c r="E2290" i="1"/>
  <c r="G2290" i="1"/>
  <c r="H2290" i="1"/>
  <c r="A2291" i="1"/>
  <c r="B2291" i="1"/>
  <c r="C2291" i="1"/>
  <c r="E2291" i="1"/>
  <c r="G2291" i="1"/>
  <c r="H2291" i="1"/>
  <c r="A2292" i="1"/>
  <c r="B2292" i="1"/>
  <c r="C2292" i="1"/>
  <c r="E2292" i="1"/>
  <c r="G2292" i="1"/>
  <c r="H2292" i="1"/>
  <c r="A2293" i="1"/>
  <c r="B2293" i="1"/>
  <c r="C2293" i="1"/>
  <c r="E2293" i="1"/>
  <c r="G2293" i="1"/>
  <c r="H2293" i="1"/>
  <c r="A2294" i="1"/>
  <c r="B2294" i="1"/>
  <c r="C2294" i="1"/>
  <c r="E2294" i="1"/>
  <c r="G2294" i="1"/>
  <c r="H2294" i="1"/>
  <c r="A2295" i="1"/>
  <c r="B2295" i="1"/>
  <c r="C2295" i="1"/>
  <c r="E2295" i="1"/>
  <c r="G2295" i="1"/>
  <c r="H2295" i="1"/>
  <c r="A2296" i="1"/>
  <c r="B2296" i="1"/>
  <c r="C2296" i="1"/>
  <c r="E2296" i="1"/>
  <c r="G2296" i="1"/>
  <c r="H2296" i="1"/>
  <c r="A2297" i="1"/>
  <c r="B2297" i="1"/>
  <c r="C2297" i="1"/>
  <c r="E2297" i="1"/>
  <c r="G2297" i="1"/>
  <c r="H2297" i="1"/>
  <c r="A2298" i="1"/>
  <c r="B2298" i="1"/>
  <c r="C2298" i="1"/>
  <c r="E2298" i="1"/>
  <c r="G2298" i="1"/>
  <c r="H2298" i="1"/>
  <c r="A2299" i="1"/>
  <c r="B2299" i="1"/>
  <c r="C2299" i="1"/>
  <c r="E2299" i="1"/>
  <c r="G2299" i="1"/>
  <c r="H2299" i="1"/>
  <c r="A2300" i="1"/>
  <c r="B2300" i="1"/>
  <c r="C2300" i="1"/>
  <c r="E2300" i="1"/>
  <c r="G2300" i="1"/>
  <c r="H2300" i="1"/>
  <c r="A2301" i="1"/>
  <c r="B2301" i="1"/>
  <c r="C2301" i="1"/>
  <c r="E2301" i="1"/>
  <c r="G2301" i="1"/>
  <c r="H2301" i="1"/>
  <c r="A2302" i="1"/>
  <c r="B2302" i="1"/>
  <c r="C2302" i="1"/>
  <c r="E2302" i="1"/>
  <c r="G2302" i="1"/>
  <c r="H2302" i="1"/>
  <c r="A2303" i="1"/>
  <c r="B2303" i="1"/>
  <c r="C2303" i="1"/>
  <c r="E2303" i="1"/>
  <c r="G2303" i="1"/>
  <c r="H2303" i="1"/>
  <c r="A2304" i="1"/>
  <c r="B2304" i="1"/>
  <c r="C2304" i="1"/>
  <c r="E2304" i="1"/>
  <c r="G2304" i="1"/>
  <c r="H2304" i="1"/>
  <c r="A2305" i="1"/>
  <c r="B2305" i="1"/>
  <c r="C2305" i="1"/>
  <c r="E2305" i="1"/>
  <c r="G2305" i="1"/>
  <c r="H2305" i="1"/>
  <c r="A2306" i="1"/>
  <c r="B2306" i="1"/>
  <c r="C2306" i="1"/>
  <c r="E2306" i="1"/>
  <c r="G2306" i="1"/>
  <c r="H2306" i="1"/>
  <c r="A2307" i="1"/>
  <c r="B2307" i="1"/>
  <c r="C2307" i="1"/>
  <c r="E2307" i="1"/>
  <c r="G2307" i="1"/>
  <c r="H2307" i="1"/>
  <c r="A2308" i="1"/>
  <c r="B2308" i="1"/>
  <c r="C2308" i="1"/>
  <c r="E2308" i="1"/>
  <c r="G2308" i="1"/>
  <c r="H2308" i="1"/>
  <c r="A2309" i="1"/>
  <c r="B2309" i="1"/>
  <c r="C2309" i="1"/>
  <c r="E2309" i="1"/>
  <c r="G2309" i="1"/>
  <c r="H2309" i="1"/>
  <c r="A2310" i="1"/>
  <c r="B2310" i="1"/>
  <c r="C2310" i="1"/>
  <c r="E2310" i="1"/>
  <c r="G2310" i="1"/>
  <c r="H2310" i="1"/>
  <c r="A2311" i="1"/>
  <c r="B2311" i="1"/>
  <c r="C2311" i="1"/>
  <c r="E2311" i="1"/>
  <c r="G2311" i="1"/>
  <c r="H2311" i="1"/>
  <c r="A2312" i="1"/>
  <c r="B2312" i="1"/>
  <c r="C2312" i="1"/>
  <c r="E2312" i="1"/>
  <c r="G2312" i="1"/>
  <c r="H2312" i="1"/>
  <c r="A2313" i="1"/>
  <c r="B2313" i="1"/>
  <c r="C2313" i="1"/>
  <c r="E2313" i="1"/>
  <c r="G2313" i="1"/>
  <c r="H2313" i="1"/>
  <c r="A2314" i="1"/>
  <c r="B2314" i="1"/>
  <c r="C2314" i="1"/>
  <c r="E2314" i="1"/>
  <c r="G2314" i="1"/>
  <c r="H2314" i="1"/>
  <c r="A2315" i="1"/>
  <c r="B2315" i="1"/>
  <c r="C2315" i="1"/>
  <c r="E2315" i="1"/>
  <c r="G2315" i="1"/>
  <c r="H2315" i="1"/>
  <c r="A2316" i="1"/>
  <c r="B2316" i="1"/>
  <c r="C2316" i="1"/>
  <c r="E2316" i="1"/>
  <c r="G2316" i="1"/>
  <c r="H2316" i="1"/>
  <c r="A2317" i="1"/>
  <c r="B2317" i="1"/>
  <c r="C2317" i="1"/>
  <c r="E2317" i="1"/>
  <c r="G2317" i="1"/>
  <c r="H2317" i="1"/>
  <c r="A2318" i="1"/>
  <c r="B2318" i="1"/>
  <c r="C2318" i="1"/>
  <c r="E2318" i="1"/>
  <c r="G2318" i="1"/>
  <c r="H2318" i="1"/>
  <c r="A2319" i="1"/>
  <c r="B2319" i="1"/>
  <c r="C2319" i="1"/>
  <c r="E2319" i="1"/>
  <c r="G2319" i="1"/>
  <c r="H2319" i="1"/>
  <c r="A2320" i="1"/>
  <c r="B2320" i="1"/>
  <c r="C2320" i="1"/>
  <c r="E2320" i="1"/>
  <c r="G2320" i="1"/>
  <c r="H2320" i="1"/>
  <c r="A2321" i="1"/>
  <c r="B2321" i="1"/>
  <c r="C2321" i="1"/>
  <c r="E2321" i="1"/>
  <c r="G2321" i="1"/>
  <c r="H2321" i="1"/>
  <c r="A2322" i="1"/>
  <c r="B2322" i="1"/>
  <c r="C2322" i="1"/>
  <c r="E2322" i="1"/>
  <c r="G2322" i="1"/>
  <c r="H2322" i="1"/>
  <c r="A2323" i="1"/>
  <c r="B2323" i="1"/>
  <c r="C2323" i="1"/>
  <c r="E2323" i="1"/>
  <c r="G2323" i="1"/>
  <c r="H2323" i="1"/>
  <c r="A2324" i="1"/>
  <c r="B2324" i="1"/>
  <c r="C2324" i="1"/>
  <c r="E2324" i="1"/>
  <c r="G2324" i="1"/>
  <c r="H2324" i="1"/>
  <c r="A2325" i="1"/>
  <c r="B2325" i="1"/>
  <c r="C2325" i="1"/>
  <c r="E2325" i="1"/>
  <c r="G2325" i="1"/>
  <c r="H2325" i="1"/>
  <c r="A2326" i="1"/>
  <c r="B2326" i="1"/>
  <c r="C2326" i="1"/>
  <c r="E2326" i="1"/>
  <c r="G2326" i="1"/>
  <c r="H2326" i="1"/>
  <c r="A2327" i="1"/>
  <c r="B2327" i="1"/>
  <c r="C2327" i="1"/>
  <c r="E2327" i="1"/>
  <c r="G2327" i="1"/>
  <c r="H2327" i="1"/>
  <c r="A2328" i="1"/>
  <c r="B2328" i="1"/>
  <c r="C2328" i="1"/>
  <c r="E2328" i="1"/>
  <c r="G2328" i="1"/>
  <c r="H2328" i="1"/>
  <c r="A2329" i="1"/>
  <c r="B2329" i="1"/>
  <c r="C2329" i="1"/>
  <c r="E2329" i="1"/>
  <c r="G2329" i="1"/>
  <c r="H2329" i="1"/>
  <c r="A2330" i="1"/>
  <c r="B2330" i="1"/>
  <c r="C2330" i="1"/>
  <c r="E2330" i="1"/>
  <c r="G2330" i="1"/>
  <c r="H2330" i="1"/>
  <c r="A2331" i="1"/>
  <c r="B2331" i="1"/>
  <c r="C2331" i="1"/>
  <c r="E2331" i="1"/>
  <c r="G2331" i="1"/>
  <c r="H2331" i="1"/>
  <c r="A2332" i="1"/>
  <c r="B2332" i="1"/>
  <c r="C2332" i="1"/>
  <c r="E2332" i="1"/>
  <c r="G2332" i="1"/>
  <c r="H2332" i="1"/>
  <c r="A2333" i="1"/>
  <c r="B2333" i="1"/>
  <c r="C2333" i="1"/>
  <c r="E2333" i="1"/>
  <c r="G2333" i="1"/>
  <c r="H2333" i="1"/>
  <c r="A2334" i="1"/>
  <c r="B2334" i="1"/>
  <c r="C2334" i="1"/>
  <c r="E2334" i="1"/>
  <c r="G2334" i="1"/>
  <c r="H2334" i="1"/>
  <c r="A2335" i="1"/>
  <c r="B2335" i="1"/>
  <c r="C2335" i="1"/>
  <c r="E2335" i="1"/>
  <c r="G2335" i="1"/>
  <c r="H2335" i="1"/>
  <c r="A2336" i="1"/>
  <c r="B2336" i="1"/>
  <c r="C2336" i="1"/>
  <c r="E2336" i="1"/>
  <c r="G2336" i="1"/>
  <c r="H2336" i="1"/>
  <c r="A2337" i="1"/>
  <c r="B2337" i="1"/>
  <c r="C2337" i="1"/>
  <c r="E2337" i="1"/>
  <c r="G2337" i="1"/>
  <c r="H2337" i="1"/>
  <c r="A2338" i="1"/>
  <c r="B2338" i="1"/>
  <c r="C2338" i="1"/>
  <c r="E2338" i="1"/>
  <c r="G2338" i="1"/>
  <c r="H2338" i="1"/>
  <c r="A2339" i="1"/>
  <c r="B2339" i="1"/>
  <c r="C2339" i="1"/>
  <c r="E2339" i="1"/>
  <c r="G2339" i="1"/>
  <c r="H2339" i="1"/>
  <c r="A2340" i="1"/>
  <c r="B2340" i="1"/>
  <c r="C2340" i="1"/>
  <c r="E2340" i="1"/>
  <c r="G2340" i="1"/>
  <c r="H2340" i="1"/>
  <c r="A2341" i="1"/>
  <c r="B2341" i="1"/>
  <c r="C2341" i="1"/>
  <c r="E2341" i="1"/>
  <c r="G2341" i="1"/>
  <c r="H2341" i="1"/>
  <c r="A2342" i="1"/>
  <c r="B2342" i="1"/>
  <c r="C2342" i="1"/>
  <c r="E2342" i="1"/>
  <c r="G2342" i="1"/>
  <c r="H2342" i="1"/>
  <c r="A2343" i="1"/>
  <c r="B2343" i="1"/>
  <c r="C2343" i="1"/>
  <c r="E2343" i="1"/>
  <c r="G2343" i="1"/>
  <c r="H2343" i="1"/>
  <c r="A2344" i="1"/>
  <c r="B2344" i="1"/>
  <c r="C2344" i="1"/>
  <c r="E2344" i="1"/>
  <c r="G2344" i="1"/>
  <c r="H2344" i="1"/>
  <c r="A2345" i="1"/>
  <c r="B2345" i="1"/>
  <c r="C2345" i="1"/>
  <c r="E2345" i="1"/>
  <c r="G2345" i="1"/>
  <c r="H2345" i="1"/>
  <c r="A2346" i="1"/>
  <c r="B2346" i="1"/>
  <c r="C2346" i="1"/>
  <c r="E2346" i="1"/>
  <c r="G2346" i="1"/>
  <c r="H2346" i="1"/>
  <c r="A2347" i="1"/>
  <c r="B2347" i="1"/>
  <c r="C2347" i="1"/>
  <c r="E2347" i="1"/>
  <c r="G2347" i="1"/>
  <c r="H2347" i="1"/>
  <c r="A2348" i="1"/>
  <c r="B2348" i="1"/>
  <c r="C2348" i="1"/>
  <c r="E2348" i="1"/>
  <c r="G2348" i="1"/>
  <c r="H2348" i="1"/>
  <c r="A2349" i="1"/>
  <c r="B2349" i="1"/>
  <c r="C2349" i="1"/>
  <c r="E2349" i="1"/>
  <c r="G2349" i="1"/>
  <c r="H2349" i="1"/>
  <c r="A2350" i="1"/>
  <c r="B2350" i="1"/>
  <c r="C2350" i="1"/>
  <c r="E2350" i="1"/>
  <c r="G2350" i="1"/>
  <c r="H2350" i="1"/>
  <c r="A2351" i="1"/>
  <c r="B2351" i="1"/>
  <c r="C2351" i="1"/>
  <c r="E2351" i="1"/>
  <c r="G2351" i="1"/>
  <c r="H2351" i="1"/>
  <c r="A2352" i="1"/>
  <c r="B2352" i="1"/>
  <c r="C2352" i="1"/>
  <c r="E2352" i="1"/>
  <c r="G2352" i="1"/>
  <c r="H2352" i="1"/>
  <c r="A2353" i="1"/>
  <c r="B2353" i="1"/>
  <c r="C2353" i="1"/>
  <c r="E2353" i="1"/>
  <c r="G2353" i="1"/>
  <c r="H2353" i="1"/>
  <c r="A2354" i="1"/>
  <c r="B2354" i="1"/>
  <c r="C2354" i="1"/>
  <c r="E2354" i="1"/>
  <c r="G2354" i="1"/>
  <c r="H2354" i="1"/>
  <c r="A2355" i="1"/>
  <c r="B2355" i="1"/>
  <c r="C2355" i="1"/>
  <c r="E2355" i="1"/>
  <c r="G2355" i="1"/>
  <c r="H2355" i="1"/>
  <c r="A2356" i="1"/>
  <c r="B2356" i="1"/>
  <c r="C2356" i="1"/>
  <c r="E2356" i="1"/>
  <c r="G2356" i="1"/>
  <c r="H2356" i="1"/>
  <c r="A2357" i="1"/>
  <c r="B2357" i="1"/>
  <c r="C2357" i="1"/>
  <c r="E2357" i="1"/>
  <c r="G2357" i="1"/>
  <c r="H2357" i="1"/>
  <c r="A2358" i="1"/>
  <c r="B2358" i="1"/>
  <c r="C2358" i="1"/>
  <c r="E2358" i="1"/>
  <c r="G2358" i="1"/>
  <c r="H2358" i="1"/>
  <c r="A2359" i="1"/>
  <c r="B2359" i="1"/>
  <c r="C2359" i="1"/>
  <c r="E2359" i="1"/>
  <c r="G2359" i="1"/>
  <c r="H2359" i="1"/>
  <c r="A2360" i="1"/>
  <c r="B2360" i="1"/>
  <c r="C2360" i="1"/>
  <c r="E2360" i="1"/>
  <c r="G2360" i="1"/>
  <c r="H2360" i="1"/>
  <c r="A2361" i="1"/>
  <c r="B2361" i="1"/>
  <c r="C2361" i="1"/>
  <c r="E2361" i="1"/>
  <c r="G2361" i="1"/>
  <c r="H2361" i="1"/>
  <c r="A2362" i="1"/>
  <c r="B2362" i="1"/>
  <c r="C2362" i="1"/>
  <c r="E2362" i="1"/>
  <c r="G2362" i="1"/>
  <c r="H2362" i="1"/>
  <c r="A2363" i="1"/>
  <c r="B2363" i="1"/>
  <c r="C2363" i="1"/>
  <c r="E2363" i="1"/>
  <c r="G2363" i="1"/>
  <c r="H2363" i="1"/>
  <c r="A2364" i="1"/>
  <c r="B2364" i="1"/>
  <c r="C2364" i="1"/>
  <c r="E2364" i="1"/>
  <c r="G2364" i="1"/>
  <c r="H2364" i="1"/>
  <c r="A2365" i="1"/>
  <c r="B2365" i="1"/>
  <c r="C2365" i="1"/>
  <c r="E2365" i="1"/>
  <c r="G2365" i="1"/>
  <c r="H2365" i="1"/>
  <c r="A2366" i="1"/>
  <c r="B2366" i="1"/>
  <c r="C2366" i="1"/>
  <c r="E2366" i="1"/>
  <c r="G2366" i="1"/>
  <c r="H2366" i="1"/>
  <c r="A2367" i="1"/>
  <c r="B2367" i="1"/>
  <c r="C2367" i="1"/>
  <c r="E2367" i="1"/>
  <c r="G2367" i="1"/>
  <c r="H2367" i="1"/>
  <c r="A2368" i="1"/>
  <c r="B2368" i="1"/>
  <c r="C2368" i="1"/>
  <c r="E2368" i="1"/>
  <c r="G2368" i="1"/>
  <c r="H2368" i="1"/>
  <c r="A2369" i="1"/>
  <c r="B2369" i="1"/>
  <c r="C2369" i="1"/>
  <c r="E2369" i="1"/>
  <c r="G2369" i="1"/>
  <c r="H2369" i="1"/>
  <c r="A2370" i="1"/>
  <c r="B2370" i="1"/>
  <c r="C2370" i="1"/>
  <c r="E2370" i="1"/>
  <c r="G2370" i="1"/>
  <c r="H2370" i="1"/>
  <c r="A2371" i="1"/>
  <c r="B2371" i="1"/>
  <c r="C2371" i="1"/>
  <c r="E2371" i="1"/>
  <c r="G2371" i="1"/>
  <c r="H2371" i="1"/>
  <c r="A2372" i="1"/>
  <c r="B2372" i="1"/>
  <c r="C2372" i="1"/>
  <c r="E2372" i="1"/>
  <c r="G2372" i="1"/>
  <c r="H2372" i="1"/>
  <c r="A2373" i="1"/>
  <c r="B2373" i="1"/>
  <c r="C2373" i="1"/>
  <c r="E2373" i="1"/>
  <c r="G2373" i="1"/>
  <c r="H2373" i="1"/>
  <c r="A2374" i="1"/>
  <c r="B2374" i="1"/>
  <c r="C2374" i="1"/>
  <c r="E2374" i="1"/>
  <c r="G2374" i="1"/>
  <c r="H2374" i="1"/>
  <c r="A2375" i="1"/>
  <c r="B2375" i="1"/>
  <c r="C2375" i="1"/>
  <c r="E2375" i="1"/>
  <c r="G2375" i="1"/>
  <c r="H2375" i="1"/>
  <c r="A2376" i="1"/>
  <c r="B2376" i="1"/>
  <c r="C2376" i="1"/>
  <c r="E2376" i="1"/>
  <c r="G2376" i="1"/>
  <c r="H2376" i="1"/>
  <c r="A2377" i="1"/>
  <c r="B2377" i="1"/>
  <c r="C2377" i="1"/>
  <c r="E2377" i="1"/>
  <c r="G2377" i="1"/>
  <c r="H2377" i="1"/>
  <c r="A2378" i="1"/>
  <c r="B2378" i="1"/>
  <c r="C2378" i="1"/>
  <c r="E2378" i="1"/>
  <c r="G2378" i="1"/>
  <c r="H2378" i="1"/>
  <c r="A2379" i="1"/>
  <c r="B2379" i="1"/>
  <c r="C2379" i="1"/>
  <c r="E2379" i="1"/>
  <c r="G2379" i="1"/>
  <c r="H2379" i="1"/>
  <c r="A2380" i="1"/>
  <c r="B2380" i="1"/>
  <c r="C2380" i="1"/>
  <c r="E2380" i="1"/>
  <c r="G2380" i="1"/>
  <c r="H2380" i="1"/>
  <c r="A2381" i="1"/>
  <c r="B2381" i="1"/>
  <c r="C2381" i="1"/>
  <c r="E2381" i="1"/>
  <c r="G2381" i="1"/>
  <c r="H2381" i="1"/>
  <c r="A2382" i="1"/>
  <c r="B2382" i="1"/>
  <c r="C2382" i="1"/>
  <c r="E2382" i="1"/>
  <c r="G2382" i="1"/>
  <c r="H2382" i="1"/>
  <c r="A2383" i="1"/>
  <c r="B2383" i="1"/>
  <c r="C2383" i="1"/>
  <c r="E2383" i="1"/>
  <c r="G2383" i="1"/>
  <c r="H2383" i="1"/>
  <c r="A2384" i="1"/>
  <c r="B2384" i="1"/>
  <c r="C2384" i="1"/>
  <c r="E2384" i="1"/>
  <c r="G2384" i="1"/>
  <c r="H2384" i="1"/>
  <c r="A2385" i="1"/>
  <c r="B2385" i="1"/>
  <c r="C2385" i="1"/>
  <c r="E2385" i="1"/>
  <c r="G2385" i="1"/>
  <c r="H2385" i="1"/>
  <c r="A2386" i="1"/>
  <c r="B2386" i="1"/>
  <c r="C2386" i="1"/>
  <c r="E2386" i="1"/>
  <c r="G2386" i="1"/>
  <c r="H2386" i="1"/>
  <c r="A2387" i="1"/>
  <c r="B2387" i="1"/>
  <c r="C2387" i="1"/>
  <c r="E2387" i="1"/>
  <c r="G2387" i="1"/>
  <c r="H2387" i="1"/>
  <c r="A2388" i="1"/>
  <c r="B2388" i="1"/>
  <c r="C2388" i="1"/>
  <c r="E2388" i="1"/>
  <c r="G2388" i="1"/>
  <c r="H2388" i="1"/>
  <c r="A2389" i="1"/>
  <c r="B2389" i="1"/>
  <c r="C2389" i="1"/>
  <c r="E2389" i="1"/>
  <c r="G2389" i="1"/>
  <c r="H2389" i="1"/>
  <c r="A2390" i="1"/>
  <c r="B2390" i="1"/>
  <c r="C2390" i="1"/>
  <c r="E2390" i="1"/>
  <c r="G2390" i="1"/>
  <c r="H2390" i="1"/>
  <c r="A2391" i="1"/>
  <c r="B2391" i="1"/>
  <c r="C2391" i="1"/>
  <c r="E2391" i="1"/>
  <c r="G2391" i="1"/>
  <c r="H2391" i="1"/>
  <c r="A2392" i="1"/>
  <c r="B2392" i="1"/>
  <c r="C2392" i="1"/>
  <c r="E2392" i="1"/>
  <c r="G2392" i="1"/>
  <c r="H2392" i="1"/>
  <c r="A2393" i="1"/>
  <c r="B2393" i="1"/>
  <c r="C2393" i="1"/>
  <c r="E2393" i="1"/>
  <c r="G2393" i="1"/>
  <c r="H2393" i="1"/>
  <c r="A2394" i="1"/>
  <c r="B2394" i="1"/>
  <c r="C2394" i="1"/>
  <c r="E2394" i="1"/>
  <c r="G2394" i="1"/>
  <c r="H2394" i="1"/>
  <c r="A2395" i="1"/>
  <c r="B2395" i="1"/>
  <c r="C2395" i="1"/>
  <c r="E2395" i="1"/>
  <c r="G2395" i="1"/>
  <c r="H2395" i="1"/>
  <c r="A2396" i="1"/>
  <c r="B2396" i="1"/>
  <c r="C2396" i="1"/>
  <c r="E2396" i="1"/>
  <c r="G2396" i="1"/>
  <c r="H2396" i="1"/>
  <c r="A2397" i="1"/>
  <c r="B2397" i="1"/>
  <c r="C2397" i="1"/>
  <c r="E2397" i="1"/>
  <c r="G2397" i="1"/>
  <c r="H2397" i="1"/>
  <c r="A2398" i="1"/>
  <c r="B2398" i="1"/>
  <c r="C2398" i="1"/>
  <c r="E2398" i="1"/>
  <c r="G2398" i="1"/>
  <c r="H2398" i="1"/>
  <c r="A2399" i="1"/>
  <c r="B2399" i="1"/>
  <c r="C2399" i="1"/>
  <c r="E2399" i="1"/>
  <c r="G2399" i="1"/>
  <c r="H2399" i="1"/>
  <c r="A2400" i="1"/>
  <c r="B2400" i="1"/>
  <c r="C2400" i="1"/>
  <c r="E2400" i="1"/>
  <c r="G2400" i="1"/>
  <c r="H2400" i="1"/>
  <c r="A2401" i="1"/>
  <c r="B2401" i="1"/>
  <c r="C2401" i="1"/>
  <c r="E2401" i="1"/>
  <c r="G2401" i="1"/>
  <c r="H2401" i="1"/>
  <c r="A2402" i="1"/>
  <c r="B2402" i="1"/>
  <c r="C2402" i="1"/>
  <c r="E2402" i="1"/>
  <c r="G2402" i="1"/>
  <c r="H2402" i="1"/>
  <c r="A2403" i="1"/>
  <c r="B2403" i="1"/>
  <c r="C2403" i="1"/>
  <c r="E2403" i="1"/>
  <c r="G2403" i="1"/>
  <c r="H2403" i="1"/>
  <c r="A2404" i="1"/>
  <c r="B2404" i="1"/>
  <c r="C2404" i="1"/>
  <c r="E2404" i="1"/>
  <c r="G2404" i="1"/>
  <c r="H2404" i="1"/>
  <c r="A2405" i="1"/>
  <c r="B2405" i="1"/>
  <c r="C2405" i="1"/>
  <c r="E2405" i="1"/>
  <c r="G2405" i="1"/>
  <c r="H2405" i="1"/>
  <c r="A2406" i="1"/>
  <c r="B2406" i="1"/>
  <c r="C2406" i="1"/>
  <c r="E2406" i="1"/>
  <c r="G2406" i="1"/>
  <c r="H2406" i="1"/>
  <c r="A2407" i="1"/>
  <c r="B2407" i="1"/>
  <c r="C2407" i="1"/>
  <c r="E2407" i="1"/>
  <c r="G2407" i="1"/>
  <c r="H2407" i="1"/>
  <c r="A2408" i="1"/>
  <c r="B2408" i="1"/>
  <c r="C2408" i="1"/>
  <c r="E2408" i="1"/>
  <c r="G2408" i="1"/>
  <c r="H2408" i="1"/>
  <c r="A2409" i="1"/>
  <c r="B2409" i="1"/>
  <c r="C2409" i="1"/>
  <c r="E2409" i="1"/>
  <c r="G2409" i="1"/>
  <c r="H2409" i="1"/>
  <c r="A2410" i="1"/>
  <c r="B2410" i="1"/>
  <c r="C2410" i="1"/>
  <c r="E2410" i="1"/>
  <c r="G2410" i="1"/>
  <c r="H2410" i="1"/>
  <c r="A2411" i="1"/>
  <c r="B2411" i="1"/>
  <c r="C2411" i="1"/>
  <c r="E2411" i="1"/>
  <c r="G2411" i="1"/>
  <c r="H2411" i="1"/>
  <c r="A2412" i="1"/>
  <c r="B2412" i="1"/>
  <c r="C2412" i="1"/>
  <c r="E2412" i="1"/>
  <c r="G2412" i="1"/>
  <c r="H2412" i="1"/>
  <c r="A2413" i="1"/>
  <c r="B2413" i="1"/>
  <c r="C2413" i="1"/>
  <c r="E2413" i="1"/>
  <c r="G2413" i="1"/>
  <c r="H2413" i="1"/>
  <c r="A2414" i="1"/>
  <c r="B2414" i="1"/>
  <c r="C2414" i="1"/>
  <c r="E2414" i="1"/>
  <c r="G2414" i="1"/>
  <c r="H2414" i="1"/>
  <c r="A2415" i="1"/>
  <c r="B2415" i="1"/>
  <c r="C2415" i="1"/>
  <c r="E2415" i="1"/>
  <c r="G2415" i="1"/>
  <c r="H2415" i="1"/>
  <c r="A2416" i="1"/>
  <c r="B2416" i="1"/>
  <c r="C2416" i="1"/>
  <c r="E2416" i="1"/>
  <c r="G2416" i="1"/>
  <c r="H2416" i="1"/>
  <c r="A2417" i="1"/>
  <c r="B2417" i="1"/>
  <c r="C2417" i="1"/>
  <c r="E2417" i="1"/>
  <c r="G2417" i="1"/>
  <c r="H2417" i="1"/>
  <c r="A2418" i="1"/>
  <c r="B2418" i="1"/>
  <c r="C2418" i="1"/>
  <c r="E2418" i="1"/>
  <c r="G2418" i="1"/>
  <c r="H2418" i="1"/>
  <c r="A2419" i="1"/>
  <c r="B2419" i="1"/>
  <c r="C2419" i="1"/>
  <c r="E2419" i="1"/>
  <c r="G2419" i="1"/>
  <c r="H2419" i="1"/>
  <c r="A2420" i="1"/>
  <c r="B2420" i="1"/>
  <c r="C2420" i="1"/>
  <c r="E2420" i="1"/>
  <c r="G2420" i="1"/>
  <c r="H2420" i="1"/>
  <c r="A2421" i="1"/>
  <c r="B2421" i="1"/>
  <c r="C2421" i="1"/>
  <c r="E2421" i="1"/>
  <c r="G2421" i="1"/>
  <c r="H2421" i="1"/>
  <c r="A2422" i="1"/>
  <c r="B2422" i="1"/>
  <c r="C2422" i="1"/>
  <c r="E2422" i="1"/>
  <c r="G2422" i="1"/>
  <c r="H2422" i="1"/>
  <c r="A2423" i="1"/>
  <c r="B2423" i="1"/>
  <c r="C2423" i="1"/>
  <c r="E2423" i="1"/>
  <c r="G2423" i="1"/>
  <c r="H2423" i="1"/>
  <c r="A2424" i="1"/>
  <c r="B2424" i="1"/>
  <c r="C2424" i="1"/>
  <c r="E2424" i="1"/>
  <c r="G2424" i="1"/>
  <c r="H2424" i="1"/>
  <c r="A2425" i="1"/>
  <c r="B2425" i="1"/>
  <c r="C2425" i="1"/>
  <c r="E2425" i="1"/>
  <c r="G2425" i="1"/>
  <c r="H2425" i="1"/>
  <c r="A2426" i="1"/>
  <c r="B2426" i="1"/>
  <c r="C2426" i="1"/>
  <c r="E2426" i="1"/>
  <c r="G2426" i="1"/>
  <c r="H2426" i="1"/>
  <c r="A2427" i="1"/>
  <c r="B2427" i="1"/>
  <c r="C2427" i="1"/>
  <c r="E2427" i="1"/>
  <c r="G2427" i="1"/>
  <c r="H2427" i="1"/>
  <c r="A2428" i="1"/>
  <c r="B2428" i="1"/>
  <c r="C2428" i="1"/>
  <c r="E2428" i="1"/>
  <c r="G2428" i="1"/>
  <c r="H2428" i="1"/>
  <c r="A2429" i="1"/>
  <c r="B2429" i="1"/>
  <c r="C2429" i="1"/>
  <c r="E2429" i="1"/>
  <c r="G2429" i="1"/>
  <c r="H2429" i="1"/>
  <c r="A2430" i="1"/>
  <c r="B2430" i="1"/>
  <c r="C2430" i="1"/>
  <c r="E2430" i="1"/>
  <c r="G2430" i="1"/>
  <c r="H2430" i="1"/>
  <c r="A2431" i="1"/>
  <c r="B2431" i="1"/>
  <c r="C2431" i="1"/>
  <c r="E2431" i="1"/>
  <c r="G2431" i="1"/>
  <c r="H2431" i="1"/>
  <c r="A2432" i="1"/>
  <c r="B2432" i="1"/>
  <c r="C2432" i="1"/>
  <c r="E2432" i="1"/>
  <c r="G2432" i="1"/>
  <c r="H2432" i="1"/>
  <c r="A2433" i="1"/>
  <c r="B2433" i="1"/>
  <c r="C2433" i="1"/>
  <c r="E2433" i="1"/>
  <c r="G2433" i="1"/>
  <c r="H2433" i="1"/>
  <c r="A2434" i="1"/>
  <c r="B2434" i="1"/>
  <c r="C2434" i="1"/>
  <c r="E2434" i="1"/>
  <c r="G2434" i="1"/>
  <c r="H2434" i="1"/>
  <c r="A2435" i="1"/>
  <c r="B2435" i="1"/>
  <c r="C2435" i="1"/>
  <c r="E2435" i="1"/>
  <c r="G2435" i="1"/>
  <c r="H2435" i="1"/>
  <c r="A2436" i="1"/>
  <c r="B2436" i="1"/>
  <c r="C2436" i="1"/>
  <c r="E2436" i="1"/>
  <c r="G2436" i="1"/>
  <c r="H2436" i="1"/>
  <c r="A2437" i="1"/>
  <c r="B2437" i="1"/>
  <c r="C2437" i="1"/>
  <c r="E2437" i="1"/>
  <c r="G2437" i="1"/>
  <c r="H2437" i="1"/>
  <c r="A2438" i="1"/>
  <c r="B2438" i="1"/>
  <c r="C2438" i="1"/>
  <c r="E2438" i="1"/>
  <c r="G2438" i="1"/>
  <c r="H2438" i="1"/>
  <c r="A2439" i="1"/>
  <c r="B2439" i="1"/>
  <c r="C2439" i="1"/>
  <c r="E2439" i="1"/>
  <c r="G2439" i="1"/>
  <c r="H2439" i="1"/>
  <c r="A2440" i="1"/>
  <c r="B2440" i="1"/>
  <c r="C2440" i="1"/>
  <c r="E2440" i="1"/>
  <c r="G2440" i="1"/>
  <c r="H2440" i="1"/>
  <c r="A2441" i="1"/>
  <c r="B2441" i="1"/>
  <c r="C2441" i="1"/>
  <c r="E2441" i="1"/>
  <c r="G2441" i="1"/>
  <c r="H2441" i="1"/>
  <c r="A2442" i="1"/>
  <c r="B2442" i="1"/>
  <c r="C2442" i="1"/>
  <c r="E2442" i="1"/>
  <c r="G2442" i="1"/>
  <c r="H2442" i="1"/>
  <c r="A2443" i="1"/>
  <c r="B2443" i="1"/>
  <c r="C2443" i="1"/>
  <c r="E2443" i="1"/>
  <c r="G2443" i="1"/>
  <c r="H2443" i="1"/>
  <c r="A2444" i="1"/>
  <c r="B2444" i="1"/>
  <c r="C2444" i="1"/>
  <c r="E2444" i="1"/>
  <c r="G2444" i="1"/>
  <c r="H2444" i="1"/>
  <c r="A2445" i="1"/>
  <c r="B2445" i="1"/>
  <c r="C2445" i="1"/>
  <c r="E2445" i="1"/>
  <c r="G2445" i="1"/>
  <c r="H2445" i="1"/>
  <c r="A2446" i="1"/>
  <c r="B2446" i="1"/>
  <c r="C2446" i="1"/>
  <c r="E2446" i="1"/>
  <c r="G2446" i="1"/>
  <c r="H2446" i="1"/>
  <c r="A2447" i="1"/>
  <c r="B2447" i="1"/>
  <c r="C2447" i="1"/>
  <c r="E2447" i="1"/>
  <c r="G2447" i="1"/>
  <c r="H2447" i="1"/>
  <c r="A2448" i="1"/>
  <c r="B2448" i="1"/>
  <c r="C2448" i="1"/>
  <c r="E2448" i="1"/>
  <c r="G2448" i="1"/>
  <c r="H2448" i="1"/>
  <c r="A2449" i="1"/>
  <c r="B2449" i="1"/>
  <c r="C2449" i="1"/>
  <c r="E2449" i="1"/>
  <c r="G2449" i="1"/>
  <c r="H2449" i="1"/>
  <c r="A2450" i="1"/>
  <c r="B2450" i="1"/>
  <c r="C2450" i="1"/>
  <c r="E2450" i="1"/>
  <c r="G2450" i="1"/>
  <c r="H2450" i="1"/>
  <c r="A2451" i="1"/>
  <c r="B2451" i="1"/>
  <c r="C2451" i="1"/>
  <c r="E2451" i="1"/>
  <c r="G2451" i="1"/>
  <c r="H2451" i="1"/>
  <c r="A2452" i="1"/>
  <c r="B2452" i="1"/>
  <c r="C2452" i="1"/>
  <c r="E2452" i="1"/>
  <c r="G2452" i="1"/>
  <c r="H2452" i="1"/>
  <c r="A2453" i="1"/>
  <c r="B2453" i="1"/>
  <c r="C2453" i="1"/>
  <c r="E2453" i="1"/>
  <c r="G2453" i="1"/>
  <c r="H2453" i="1"/>
  <c r="A2454" i="1"/>
  <c r="B2454" i="1"/>
  <c r="C2454" i="1"/>
  <c r="E2454" i="1"/>
  <c r="G2454" i="1"/>
  <c r="H2454" i="1"/>
  <c r="A2455" i="1"/>
  <c r="B2455" i="1"/>
  <c r="C2455" i="1"/>
  <c r="E2455" i="1"/>
  <c r="G2455" i="1"/>
  <c r="H2455" i="1"/>
  <c r="A2456" i="1"/>
  <c r="B2456" i="1"/>
  <c r="C2456" i="1"/>
  <c r="E2456" i="1"/>
  <c r="G2456" i="1"/>
  <c r="H2456" i="1"/>
  <c r="A2457" i="1"/>
  <c r="B2457" i="1"/>
  <c r="C2457" i="1"/>
  <c r="E2457" i="1"/>
  <c r="G2457" i="1"/>
  <c r="H2457" i="1"/>
  <c r="A2458" i="1"/>
  <c r="B2458" i="1"/>
  <c r="C2458" i="1"/>
  <c r="E2458" i="1"/>
  <c r="G2458" i="1"/>
  <c r="H2458" i="1"/>
  <c r="A2459" i="1"/>
  <c r="B2459" i="1"/>
  <c r="C2459" i="1"/>
  <c r="E2459" i="1"/>
  <c r="G2459" i="1"/>
  <c r="H2459" i="1"/>
  <c r="A2460" i="1"/>
  <c r="B2460" i="1"/>
  <c r="C2460" i="1"/>
  <c r="E2460" i="1"/>
  <c r="G2460" i="1"/>
  <c r="H2460" i="1"/>
  <c r="A2461" i="1"/>
  <c r="B2461" i="1"/>
  <c r="C2461" i="1"/>
  <c r="E2461" i="1"/>
  <c r="G2461" i="1"/>
  <c r="H2461" i="1"/>
  <c r="A2462" i="1"/>
  <c r="B2462" i="1"/>
  <c r="C2462" i="1"/>
  <c r="E2462" i="1"/>
  <c r="G2462" i="1"/>
  <c r="H2462" i="1"/>
  <c r="A2463" i="1"/>
  <c r="B2463" i="1"/>
  <c r="C2463" i="1"/>
  <c r="E2463" i="1"/>
  <c r="G2463" i="1"/>
  <c r="H2463" i="1"/>
  <c r="A2464" i="1"/>
  <c r="B2464" i="1"/>
  <c r="C2464" i="1"/>
  <c r="E2464" i="1"/>
  <c r="G2464" i="1"/>
  <c r="H2464" i="1"/>
  <c r="A2465" i="1"/>
  <c r="B2465" i="1"/>
  <c r="C2465" i="1"/>
  <c r="E2465" i="1"/>
  <c r="G2465" i="1"/>
  <c r="H2465" i="1"/>
  <c r="A2466" i="1"/>
  <c r="B2466" i="1"/>
  <c r="C2466" i="1"/>
  <c r="E2466" i="1"/>
  <c r="G2466" i="1"/>
  <c r="H2466" i="1"/>
  <c r="A2467" i="1"/>
  <c r="B2467" i="1"/>
  <c r="C2467" i="1"/>
  <c r="E2467" i="1"/>
  <c r="G2467" i="1"/>
  <c r="H2467" i="1"/>
  <c r="A2468" i="1"/>
  <c r="B2468" i="1"/>
  <c r="C2468" i="1"/>
  <c r="E2468" i="1"/>
  <c r="G2468" i="1"/>
  <c r="H2468" i="1"/>
  <c r="A2469" i="1"/>
  <c r="B2469" i="1"/>
  <c r="C2469" i="1"/>
  <c r="E2469" i="1"/>
  <c r="G2469" i="1"/>
  <c r="H2469" i="1"/>
  <c r="A2470" i="1"/>
  <c r="B2470" i="1"/>
  <c r="C2470" i="1"/>
  <c r="E2470" i="1"/>
  <c r="G2470" i="1"/>
  <c r="H2470" i="1"/>
  <c r="A2471" i="1"/>
  <c r="B2471" i="1"/>
  <c r="C2471" i="1"/>
  <c r="E2471" i="1"/>
  <c r="G2471" i="1"/>
  <c r="H2471" i="1"/>
  <c r="A2472" i="1"/>
  <c r="B2472" i="1"/>
  <c r="C2472" i="1"/>
  <c r="E2472" i="1"/>
  <c r="G2472" i="1"/>
  <c r="H2472" i="1"/>
  <c r="A2473" i="1"/>
  <c r="B2473" i="1"/>
  <c r="C2473" i="1"/>
  <c r="E2473" i="1"/>
  <c r="G2473" i="1"/>
  <c r="H2473" i="1"/>
  <c r="A2474" i="1"/>
  <c r="B2474" i="1"/>
  <c r="C2474" i="1"/>
  <c r="E2474" i="1"/>
  <c r="G2474" i="1"/>
  <c r="H2474" i="1"/>
  <c r="A2475" i="1"/>
  <c r="B2475" i="1"/>
  <c r="C2475" i="1"/>
  <c r="E2475" i="1"/>
  <c r="G2475" i="1"/>
  <c r="H2475" i="1"/>
  <c r="A2476" i="1"/>
  <c r="B2476" i="1"/>
  <c r="C2476" i="1"/>
  <c r="E2476" i="1"/>
  <c r="G2476" i="1"/>
  <c r="H2476" i="1"/>
  <c r="A2477" i="1"/>
  <c r="B2477" i="1"/>
  <c r="C2477" i="1"/>
  <c r="E2477" i="1"/>
  <c r="G2477" i="1"/>
  <c r="H2477" i="1"/>
  <c r="A2478" i="1"/>
  <c r="B2478" i="1"/>
  <c r="C2478" i="1"/>
  <c r="E2478" i="1"/>
  <c r="G2478" i="1"/>
  <c r="H2478" i="1"/>
  <c r="A2479" i="1"/>
  <c r="B2479" i="1"/>
  <c r="C2479" i="1"/>
  <c r="E2479" i="1"/>
  <c r="G2479" i="1"/>
  <c r="H2479" i="1"/>
  <c r="A2480" i="1"/>
  <c r="B2480" i="1"/>
  <c r="C2480" i="1"/>
  <c r="E2480" i="1"/>
  <c r="G2480" i="1"/>
  <c r="H2480" i="1"/>
  <c r="A2481" i="1"/>
  <c r="B2481" i="1"/>
  <c r="C2481" i="1"/>
  <c r="E2481" i="1"/>
  <c r="G2481" i="1"/>
  <c r="H2481" i="1"/>
  <c r="A2482" i="1"/>
  <c r="B2482" i="1"/>
  <c r="C2482" i="1"/>
  <c r="E2482" i="1"/>
  <c r="G2482" i="1"/>
  <c r="H2482" i="1"/>
  <c r="A2483" i="1"/>
  <c r="B2483" i="1"/>
  <c r="C2483" i="1"/>
  <c r="E2483" i="1"/>
  <c r="G2483" i="1"/>
  <c r="H2483" i="1"/>
  <c r="A2484" i="1"/>
  <c r="B2484" i="1"/>
  <c r="C2484" i="1"/>
  <c r="E2484" i="1"/>
  <c r="G2484" i="1"/>
  <c r="H2484" i="1"/>
  <c r="A2485" i="1"/>
  <c r="B2485" i="1"/>
  <c r="C2485" i="1"/>
  <c r="E2485" i="1"/>
  <c r="G2485" i="1"/>
  <c r="H2485" i="1"/>
  <c r="A2486" i="1"/>
  <c r="B2486" i="1"/>
  <c r="C2486" i="1"/>
  <c r="E2486" i="1"/>
  <c r="G2486" i="1"/>
  <c r="H2486" i="1"/>
  <c r="A2487" i="1"/>
  <c r="B2487" i="1"/>
  <c r="C2487" i="1"/>
  <c r="E2487" i="1"/>
  <c r="G2487" i="1"/>
  <c r="H2487" i="1"/>
  <c r="A2488" i="1"/>
  <c r="B2488" i="1"/>
  <c r="C2488" i="1"/>
  <c r="E2488" i="1"/>
  <c r="G2488" i="1"/>
  <c r="H2488" i="1"/>
  <c r="A2489" i="1"/>
  <c r="B2489" i="1"/>
  <c r="C2489" i="1"/>
  <c r="E2489" i="1"/>
  <c r="G2489" i="1"/>
  <c r="H2489" i="1"/>
  <c r="A2490" i="1"/>
  <c r="B2490" i="1"/>
  <c r="C2490" i="1"/>
  <c r="E2490" i="1"/>
  <c r="G2490" i="1"/>
  <c r="H2490" i="1"/>
  <c r="A2491" i="1"/>
  <c r="B2491" i="1"/>
  <c r="C2491" i="1"/>
  <c r="E2491" i="1"/>
  <c r="G2491" i="1"/>
  <c r="H2491" i="1"/>
  <c r="A2492" i="1"/>
  <c r="B2492" i="1"/>
  <c r="C2492" i="1"/>
  <c r="E2492" i="1"/>
  <c r="G2492" i="1"/>
  <c r="H2492" i="1"/>
  <c r="A2493" i="1"/>
  <c r="B2493" i="1"/>
  <c r="C2493" i="1"/>
  <c r="E2493" i="1"/>
  <c r="G2493" i="1"/>
  <c r="H2493" i="1"/>
  <c r="A2494" i="1"/>
  <c r="B2494" i="1"/>
  <c r="C2494" i="1"/>
  <c r="E2494" i="1"/>
  <c r="G2494" i="1"/>
  <c r="H2494" i="1"/>
  <c r="A2495" i="1"/>
  <c r="B2495" i="1"/>
  <c r="C2495" i="1"/>
  <c r="E2495" i="1"/>
  <c r="G2495" i="1"/>
  <c r="H2495" i="1"/>
  <c r="A2496" i="1"/>
  <c r="B2496" i="1"/>
  <c r="C2496" i="1"/>
  <c r="E2496" i="1"/>
  <c r="G2496" i="1"/>
  <c r="H2496" i="1"/>
  <c r="A2497" i="1"/>
  <c r="B2497" i="1"/>
  <c r="C2497" i="1"/>
  <c r="E2497" i="1"/>
  <c r="G2497" i="1"/>
  <c r="H2497" i="1"/>
  <c r="A2498" i="1"/>
  <c r="B2498" i="1"/>
  <c r="C2498" i="1"/>
  <c r="E2498" i="1"/>
  <c r="G2498" i="1"/>
  <c r="H2498" i="1"/>
  <c r="A2499" i="1"/>
  <c r="B2499" i="1"/>
  <c r="C2499" i="1"/>
  <c r="E2499" i="1"/>
  <c r="G2499" i="1"/>
  <c r="H2499" i="1"/>
  <c r="A2500" i="1"/>
  <c r="B2500" i="1"/>
  <c r="C2500" i="1"/>
  <c r="E2500" i="1"/>
  <c r="G2500" i="1"/>
  <c r="H2500" i="1"/>
  <c r="A2501" i="1"/>
  <c r="B2501" i="1"/>
  <c r="C2501" i="1"/>
  <c r="E2501" i="1"/>
  <c r="G2501" i="1"/>
  <c r="H2501" i="1"/>
  <c r="A2502" i="1"/>
  <c r="B2502" i="1"/>
  <c r="C2502" i="1"/>
  <c r="E2502" i="1"/>
  <c r="G2502" i="1"/>
  <c r="H2502" i="1"/>
  <c r="A2503" i="1"/>
  <c r="B2503" i="1"/>
  <c r="C2503" i="1"/>
  <c r="E2503" i="1"/>
  <c r="G2503" i="1"/>
  <c r="H2503" i="1"/>
  <c r="A2504" i="1"/>
  <c r="B2504" i="1"/>
  <c r="C2504" i="1"/>
  <c r="E2504" i="1"/>
  <c r="G2504" i="1"/>
  <c r="H2504" i="1"/>
  <c r="A2505" i="1"/>
  <c r="B2505" i="1"/>
  <c r="C2505" i="1"/>
  <c r="E2505" i="1"/>
  <c r="G2505" i="1"/>
  <c r="H2505" i="1"/>
  <c r="A2506" i="1"/>
  <c r="B2506" i="1"/>
  <c r="C2506" i="1"/>
  <c r="E2506" i="1"/>
  <c r="G2506" i="1"/>
  <c r="H2506" i="1"/>
  <c r="A2507" i="1"/>
  <c r="B2507" i="1"/>
  <c r="C2507" i="1"/>
  <c r="E2507" i="1"/>
  <c r="G2507" i="1"/>
  <c r="H2507" i="1"/>
  <c r="A2508" i="1"/>
  <c r="B2508" i="1"/>
  <c r="C2508" i="1"/>
  <c r="E2508" i="1"/>
  <c r="G2508" i="1"/>
  <c r="H2508" i="1"/>
  <c r="A2509" i="1"/>
  <c r="B2509" i="1"/>
  <c r="C2509" i="1"/>
  <c r="E2509" i="1"/>
  <c r="G2509" i="1"/>
  <c r="H2509" i="1"/>
  <c r="A2510" i="1"/>
  <c r="B2510" i="1"/>
  <c r="C2510" i="1"/>
  <c r="E2510" i="1"/>
  <c r="G2510" i="1"/>
  <c r="H2510" i="1"/>
  <c r="A2511" i="1"/>
  <c r="B2511" i="1"/>
  <c r="C2511" i="1"/>
  <c r="E2511" i="1"/>
  <c r="G2511" i="1"/>
  <c r="H2511" i="1"/>
  <c r="A2512" i="1"/>
  <c r="B2512" i="1"/>
  <c r="C2512" i="1"/>
  <c r="E2512" i="1"/>
  <c r="G2512" i="1"/>
  <c r="H2512" i="1"/>
  <c r="A2513" i="1"/>
  <c r="B2513" i="1"/>
  <c r="C2513" i="1"/>
  <c r="E2513" i="1"/>
  <c r="G2513" i="1"/>
  <c r="H2513" i="1"/>
  <c r="A2514" i="1"/>
  <c r="B2514" i="1"/>
  <c r="C2514" i="1"/>
  <c r="E2514" i="1"/>
  <c r="G2514" i="1"/>
  <c r="H2514" i="1"/>
  <c r="A2515" i="1"/>
  <c r="B2515" i="1"/>
  <c r="C2515" i="1"/>
  <c r="E2515" i="1"/>
  <c r="G2515" i="1"/>
  <c r="H2515" i="1"/>
  <c r="A2516" i="1"/>
  <c r="B2516" i="1"/>
  <c r="C2516" i="1"/>
  <c r="E2516" i="1"/>
  <c r="G2516" i="1"/>
  <c r="H2516" i="1"/>
  <c r="A2517" i="1"/>
  <c r="B2517" i="1"/>
  <c r="C2517" i="1"/>
  <c r="E2517" i="1"/>
  <c r="G2517" i="1"/>
  <c r="H2517" i="1"/>
  <c r="A2518" i="1"/>
  <c r="B2518" i="1"/>
  <c r="C2518" i="1"/>
  <c r="E2518" i="1"/>
  <c r="G2518" i="1"/>
  <c r="H2518" i="1"/>
  <c r="A2519" i="1"/>
  <c r="B2519" i="1"/>
  <c r="C2519" i="1"/>
  <c r="E2519" i="1"/>
  <c r="G2519" i="1"/>
  <c r="H2519" i="1"/>
  <c r="A2520" i="1"/>
  <c r="B2520" i="1"/>
  <c r="C2520" i="1"/>
  <c r="E2520" i="1"/>
  <c r="G2520" i="1"/>
  <c r="H2520" i="1"/>
  <c r="A2521" i="1"/>
  <c r="B2521" i="1"/>
  <c r="C2521" i="1"/>
  <c r="E2521" i="1"/>
  <c r="G2521" i="1"/>
  <c r="H2521" i="1"/>
  <c r="A2522" i="1"/>
  <c r="B2522" i="1"/>
  <c r="C2522" i="1"/>
  <c r="E2522" i="1"/>
  <c r="G2522" i="1"/>
  <c r="H2522" i="1"/>
  <c r="A2523" i="1"/>
  <c r="B2523" i="1"/>
  <c r="C2523" i="1"/>
  <c r="E2523" i="1"/>
  <c r="G2523" i="1"/>
  <c r="H2523" i="1"/>
  <c r="A2524" i="1"/>
  <c r="B2524" i="1"/>
  <c r="C2524" i="1"/>
  <c r="E2524" i="1"/>
  <c r="G2524" i="1"/>
  <c r="H2524" i="1"/>
  <c r="A2525" i="1"/>
  <c r="B2525" i="1"/>
  <c r="C2525" i="1"/>
  <c r="E2525" i="1"/>
  <c r="G2525" i="1"/>
  <c r="H2525" i="1"/>
  <c r="A2526" i="1"/>
  <c r="B2526" i="1"/>
  <c r="C2526" i="1"/>
  <c r="E2526" i="1"/>
  <c r="G2526" i="1"/>
  <c r="H2526" i="1"/>
  <c r="A2527" i="1"/>
  <c r="B2527" i="1"/>
  <c r="C2527" i="1"/>
  <c r="E2527" i="1"/>
  <c r="G2527" i="1"/>
  <c r="H2527" i="1"/>
  <c r="A2528" i="1"/>
  <c r="B2528" i="1"/>
  <c r="C2528" i="1"/>
  <c r="E2528" i="1"/>
  <c r="G2528" i="1"/>
  <c r="H2528" i="1"/>
  <c r="A2529" i="1"/>
  <c r="B2529" i="1"/>
  <c r="C2529" i="1"/>
  <c r="E2529" i="1"/>
  <c r="G2529" i="1"/>
  <c r="H2529" i="1"/>
  <c r="A2530" i="1"/>
  <c r="B2530" i="1"/>
  <c r="C2530" i="1"/>
  <c r="E2530" i="1"/>
  <c r="G2530" i="1"/>
  <c r="H2530" i="1"/>
  <c r="A2531" i="1"/>
  <c r="B2531" i="1"/>
  <c r="C2531" i="1"/>
  <c r="E2531" i="1"/>
  <c r="G2531" i="1"/>
  <c r="H2531" i="1"/>
  <c r="A2532" i="1"/>
  <c r="B2532" i="1"/>
  <c r="C2532" i="1"/>
  <c r="E2532" i="1"/>
  <c r="G2532" i="1"/>
  <c r="H2532" i="1"/>
  <c r="A2533" i="1"/>
  <c r="B2533" i="1"/>
  <c r="C2533" i="1"/>
  <c r="E2533" i="1"/>
  <c r="G2533" i="1"/>
  <c r="H2533" i="1"/>
  <c r="A2534" i="1"/>
  <c r="B2534" i="1"/>
  <c r="C2534" i="1"/>
  <c r="E2534" i="1"/>
  <c r="G2534" i="1"/>
  <c r="H2534" i="1"/>
  <c r="A2535" i="1"/>
  <c r="B2535" i="1"/>
  <c r="C2535" i="1"/>
  <c r="E2535" i="1"/>
  <c r="G2535" i="1"/>
  <c r="H2535" i="1"/>
  <c r="A2536" i="1"/>
  <c r="B2536" i="1"/>
  <c r="C2536" i="1"/>
  <c r="E2536" i="1"/>
  <c r="G2536" i="1"/>
  <c r="H2536" i="1"/>
  <c r="A2537" i="1"/>
  <c r="B2537" i="1"/>
  <c r="C2537" i="1"/>
  <c r="E2537" i="1"/>
  <c r="G2537" i="1"/>
  <c r="H2537" i="1"/>
  <c r="A2538" i="1"/>
  <c r="B2538" i="1"/>
  <c r="C2538" i="1"/>
  <c r="E2538" i="1"/>
  <c r="G2538" i="1"/>
  <c r="H2538" i="1"/>
  <c r="A2539" i="1"/>
  <c r="B2539" i="1"/>
  <c r="C2539" i="1"/>
  <c r="E2539" i="1"/>
  <c r="G2539" i="1"/>
  <c r="H2539" i="1"/>
  <c r="A2540" i="1"/>
  <c r="B2540" i="1"/>
  <c r="C2540" i="1"/>
  <c r="E2540" i="1"/>
  <c r="G2540" i="1"/>
  <c r="H2540" i="1"/>
  <c r="A2541" i="1"/>
  <c r="B2541" i="1"/>
  <c r="C2541" i="1"/>
  <c r="E2541" i="1"/>
  <c r="G2541" i="1"/>
  <c r="H2541" i="1"/>
  <c r="A2542" i="1"/>
  <c r="B2542" i="1"/>
  <c r="C2542" i="1"/>
  <c r="E2542" i="1"/>
  <c r="G2542" i="1"/>
  <c r="H2542" i="1"/>
  <c r="A2543" i="1"/>
  <c r="B2543" i="1"/>
  <c r="C2543" i="1"/>
  <c r="E2543" i="1"/>
  <c r="G2543" i="1"/>
  <c r="H2543" i="1"/>
  <c r="A2544" i="1"/>
  <c r="B2544" i="1"/>
  <c r="C2544" i="1"/>
  <c r="E2544" i="1"/>
  <c r="G2544" i="1"/>
  <c r="H2544" i="1"/>
  <c r="A2545" i="1"/>
  <c r="B2545" i="1"/>
  <c r="C2545" i="1"/>
  <c r="E2545" i="1"/>
  <c r="G2545" i="1"/>
  <c r="H2545" i="1"/>
  <c r="A2546" i="1"/>
  <c r="B2546" i="1"/>
  <c r="C2546" i="1"/>
  <c r="E2546" i="1"/>
  <c r="G2546" i="1"/>
  <c r="H2546" i="1"/>
  <c r="A2547" i="1"/>
  <c r="B2547" i="1"/>
  <c r="C2547" i="1"/>
  <c r="E2547" i="1"/>
  <c r="G2547" i="1"/>
  <c r="H2547" i="1"/>
  <c r="A2548" i="1"/>
  <c r="B2548" i="1"/>
  <c r="C2548" i="1"/>
  <c r="E2548" i="1"/>
  <c r="G2548" i="1"/>
  <c r="H2548" i="1"/>
  <c r="A2549" i="1"/>
  <c r="B2549" i="1"/>
  <c r="C2549" i="1"/>
  <c r="E2549" i="1"/>
  <c r="G2549" i="1"/>
  <c r="H2549" i="1"/>
  <c r="A2550" i="1"/>
  <c r="B2550" i="1"/>
  <c r="C2550" i="1"/>
  <c r="E2550" i="1"/>
  <c r="G2550" i="1"/>
  <c r="H2550" i="1"/>
  <c r="A2551" i="1"/>
  <c r="B2551" i="1"/>
  <c r="C2551" i="1"/>
  <c r="E2551" i="1"/>
  <c r="G2551" i="1"/>
  <c r="H2551" i="1"/>
  <c r="A2552" i="1"/>
  <c r="B2552" i="1"/>
  <c r="C2552" i="1"/>
  <c r="E2552" i="1"/>
  <c r="G2552" i="1"/>
  <c r="H2552" i="1"/>
  <c r="A2553" i="1"/>
  <c r="B2553" i="1"/>
  <c r="C2553" i="1"/>
  <c r="E2553" i="1"/>
  <c r="G2553" i="1"/>
  <c r="H2553" i="1"/>
  <c r="A2554" i="1"/>
  <c r="B2554" i="1"/>
  <c r="C2554" i="1"/>
  <c r="E2554" i="1"/>
  <c r="G2554" i="1"/>
  <c r="H2554" i="1"/>
  <c r="A2555" i="1"/>
  <c r="B2555" i="1"/>
  <c r="C2555" i="1"/>
  <c r="E2555" i="1"/>
  <c r="G2555" i="1"/>
  <c r="H2555" i="1"/>
  <c r="A2556" i="1"/>
  <c r="B2556" i="1"/>
  <c r="C2556" i="1"/>
  <c r="E2556" i="1"/>
  <c r="G2556" i="1"/>
  <c r="H2556" i="1"/>
  <c r="A2557" i="1"/>
  <c r="B2557" i="1"/>
  <c r="C2557" i="1"/>
  <c r="E2557" i="1"/>
  <c r="G2557" i="1"/>
  <c r="H2557" i="1"/>
  <c r="A2558" i="1"/>
  <c r="B2558" i="1"/>
  <c r="C2558" i="1"/>
  <c r="E2558" i="1"/>
  <c r="G2558" i="1"/>
  <c r="H2558" i="1"/>
  <c r="A2559" i="1"/>
  <c r="B2559" i="1"/>
  <c r="C2559" i="1"/>
  <c r="E2559" i="1"/>
  <c r="G2559" i="1"/>
  <c r="H2559" i="1"/>
  <c r="A2560" i="1"/>
  <c r="B2560" i="1"/>
  <c r="C2560" i="1"/>
  <c r="E2560" i="1"/>
  <c r="G2560" i="1"/>
  <c r="H2560" i="1"/>
  <c r="A2561" i="1"/>
  <c r="B2561" i="1"/>
  <c r="C2561" i="1"/>
  <c r="E2561" i="1"/>
  <c r="G2561" i="1"/>
  <c r="H2561" i="1"/>
  <c r="A2562" i="1"/>
  <c r="B2562" i="1"/>
  <c r="C2562" i="1"/>
  <c r="E2562" i="1"/>
  <c r="G2562" i="1"/>
  <c r="H2562" i="1"/>
  <c r="A2563" i="1"/>
  <c r="B2563" i="1"/>
  <c r="C2563" i="1"/>
  <c r="E2563" i="1"/>
  <c r="G2563" i="1"/>
  <c r="H2563" i="1"/>
  <c r="A2564" i="1"/>
  <c r="B2564" i="1"/>
  <c r="C2564" i="1"/>
  <c r="E2564" i="1"/>
  <c r="G2564" i="1"/>
  <c r="H2564" i="1"/>
  <c r="A2565" i="1"/>
  <c r="B2565" i="1"/>
  <c r="C2565" i="1"/>
  <c r="E2565" i="1"/>
  <c r="G2565" i="1"/>
  <c r="H2565" i="1"/>
  <c r="A2566" i="1"/>
  <c r="B2566" i="1"/>
  <c r="C2566" i="1"/>
  <c r="E2566" i="1"/>
  <c r="G2566" i="1"/>
  <c r="H2566" i="1"/>
  <c r="A2567" i="1"/>
  <c r="B2567" i="1"/>
  <c r="C2567" i="1"/>
  <c r="E2567" i="1"/>
  <c r="G2567" i="1"/>
  <c r="H2567" i="1"/>
  <c r="A2568" i="1"/>
  <c r="B2568" i="1"/>
  <c r="C2568" i="1"/>
  <c r="E2568" i="1"/>
  <c r="G2568" i="1"/>
  <c r="H2568" i="1"/>
  <c r="A2569" i="1"/>
  <c r="B2569" i="1"/>
  <c r="C2569" i="1"/>
  <c r="E2569" i="1"/>
  <c r="G2569" i="1"/>
  <c r="H2569" i="1"/>
  <c r="A2570" i="1"/>
  <c r="B2570" i="1"/>
  <c r="C2570" i="1"/>
  <c r="E2570" i="1"/>
  <c r="G2570" i="1"/>
  <c r="H2570" i="1"/>
  <c r="A2571" i="1"/>
  <c r="B2571" i="1"/>
  <c r="C2571" i="1"/>
  <c r="E2571" i="1"/>
  <c r="G2571" i="1"/>
  <c r="H2571" i="1"/>
  <c r="A2572" i="1"/>
  <c r="B2572" i="1"/>
  <c r="C2572" i="1"/>
  <c r="E2572" i="1"/>
  <c r="G2572" i="1"/>
  <c r="H2572" i="1"/>
  <c r="A2573" i="1"/>
  <c r="B2573" i="1"/>
  <c r="C2573" i="1"/>
  <c r="E2573" i="1"/>
  <c r="G2573" i="1"/>
  <c r="H2573" i="1"/>
  <c r="A2574" i="1"/>
  <c r="B2574" i="1"/>
  <c r="C2574" i="1"/>
  <c r="E2574" i="1"/>
  <c r="G2574" i="1"/>
  <c r="H2574" i="1"/>
  <c r="A2575" i="1"/>
  <c r="B2575" i="1"/>
  <c r="C2575" i="1"/>
  <c r="E2575" i="1"/>
  <c r="G2575" i="1"/>
  <c r="H2575" i="1"/>
  <c r="A2576" i="1"/>
  <c r="B2576" i="1"/>
  <c r="C2576" i="1"/>
  <c r="E2576" i="1"/>
  <c r="G2576" i="1"/>
  <c r="H2576" i="1"/>
  <c r="A2577" i="1"/>
  <c r="B2577" i="1"/>
  <c r="C2577" i="1"/>
  <c r="E2577" i="1"/>
  <c r="G2577" i="1"/>
  <c r="H2577" i="1"/>
  <c r="A2578" i="1"/>
  <c r="B2578" i="1"/>
  <c r="C2578" i="1"/>
  <c r="E2578" i="1"/>
  <c r="G2578" i="1"/>
  <c r="H2578" i="1"/>
  <c r="A2579" i="1"/>
  <c r="B2579" i="1"/>
  <c r="C2579" i="1"/>
  <c r="E2579" i="1"/>
  <c r="G2579" i="1"/>
  <c r="H2579" i="1"/>
  <c r="A2580" i="1"/>
  <c r="B2580" i="1"/>
  <c r="C2580" i="1"/>
  <c r="E2580" i="1"/>
  <c r="G2580" i="1"/>
  <c r="H2580" i="1"/>
  <c r="A2581" i="1"/>
  <c r="B2581" i="1"/>
  <c r="C2581" i="1"/>
  <c r="E2581" i="1"/>
  <c r="G2581" i="1"/>
  <c r="H2581" i="1"/>
  <c r="A2582" i="1"/>
  <c r="B2582" i="1"/>
  <c r="C2582" i="1"/>
  <c r="E2582" i="1"/>
  <c r="G2582" i="1"/>
  <c r="H2582" i="1"/>
  <c r="A2583" i="1"/>
  <c r="B2583" i="1"/>
  <c r="C2583" i="1"/>
  <c r="E2583" i="1"/>
  <c r="G2583" i="1"/>
  <c r="H2583" i="1"/>
  <c r="A2584" i="1"/>
  <c r="B2584" i="1"/>
  <c r="C2584" i="1"/>
  <c r="E2584" i="1"/>
  <c r="G2584" i="1"/>
  <c r="H2584" i="1"/>
  <c r="A2585" i="1"/>
  <c r="B2585" i="1"/>
  <c r="C2585" i="1"/>
  <c r="E2585" i="1"/>
  <c r="G2585" i="1"/>
  <c r="H2585" i="1"/>
  <c r="A2586" i="1"/>
  <c r="B2586" i="1"/>
  <c r="C2586" i="1"/>
  <c r="E2586" i="1"/>
  <c r="G2586" i="1"/>
  <c r="H2586" i="1"/>
  <c r="A2587" i="1"/>
  <c r="B2587" i="1"/>
  <c r="C2587" i="1"/>
  <c r="E2587" i="1"/>
  <c r="G2587" i="1"/>
  <c r="H2587" i="1"/>
  <c r="A2588" i="1"/>
  <c r="B2588" i="1"/>
  <c r="C2588" i="1"/>
  <c r="E2588" i="1"/>
  <c r="G2588" i="1"/>
  <c r="H2588" i="1"/>
  <c r="A2589" i="1"/>
  <c r="B2589" i="1"/>
  <c r="C2589" i="1"/>
  <c r="E2589" i="1"/>
  <c r="G2589" i="1"/>
  <c r="H2589" i="1"/>
  <c r="A2590" i="1"/>
  <c r="B2590" i="1"/>
  <c r="C2590" i="1"/>
  <c r="E2590" i="1"/>
  <c r="G2590" i="1"/>
  <c r="H2590" i="1"/>
  <c r="A2591" i="1"/>
  <c r="B2591" i="1"/>
  <c r="C2591" i="1"/>
  <c r="E2591" i="1"/>
  <c r="G2591" i="1"/>
  <c r="H2591" i="1"/>
  <c r="A2592" i="1"/>
  <c r="B2592" i="1"/>
  <c r="C2592" i="1"/>
  <c r="E2592" i="1"/>
  <c r="G2592" i="1"/>
  <c r="H2592" i="1"/>
  <c r="A2593" i="1"/>
  <c r="B2593" i="1"/>
  <c r="C2593" i="1"/>
  <c r="E2593" i="1"/>
  <c r="G2593" i="1"/>
  <c r="H2593" i="1"/>
  <c r="A2594" i="1"/>
  <c r="B2594" i="1"/>
  <c r="C2594" i="1"/>
  <c r="E2594" i="1"/>
  <c r="G2594" i="1"/>
  <c r="H2594" i="1"/>
  <c r="A2595" i="1"/>
  <c r="B2595" i="1"/>
  <c r="C2595" i="1"/>
  <c r="E2595" i="1"/>
  <c r="G2595" i="1"/>
  <c r="H2595" i="1"/>
  <c r="A2596" i="1"/>
  <c r="B2596" i="1"/>
  <c r="C2596" i="1"/>
  <c r="E2596" i="1"/>
  <c r="G2596" i="1"/>
  <c r="H2596" i="1"/>
  <c r="A2597" i="1"/>
  <c r="B2597" i="1"/>
  <c r="C2597" i="1"/>
  <c r="E2597" i="1"/>
  <c r="G2597" i="1"/>
  <c r="H2597" i="1"/>
  <c r="A2598" i="1"/>
  <c r="B2598" i="1"/>
  <c r="C2598" i="1"/>
  <c r="E2598" i="1"/>
  <c r="G2598" i="1"/>
  <c r="H2598" i="1"/>
  <c r="A2599" i="1"/>
  <c r="B2599" i="1"/>
  <c r="C2599" i="1"/>
  <c r="E2599" i="1"/>
  <c r="G2599" i="1"/>
  <c r="H2599" i="1"/>
  <c r="A2600" i="1"/>
  <c r="B2600" i="1"/>
  <c r="C2600" i="1"/>
  <c r="E2600" i="1"/>
  <c r="G2600" i="1"/>
  <c r="H2600" i="1"/>
  <c r="A2601" i="1"/>
  <c r="B2601" i="1"/>
  <c r="C2601" i="1"/>
  <c r="E2601" i="1"/>
  <c r="G2601" i="1"/>
  <c r="H2601" i="1"/>
  <c r="A2602" i="1"/>
  <c r="B2602" i="1"/>
  <c r="C2602" i="1"/>
  <c r="E2602" i="1"/>
  <c r="G2602" i="1"/>
  <c r="H2602" i="1"/>
  <c r="A2603" i="1"/>
  <c r="B2603" i="1"/>
  <c r="C2603" i="1"/>
  <c r="E2603" i="1"/>
  <c r="G2603" i="1"/>
  <c r="H2603" i="1"/>
  <c r="A2604" i="1"/>
  <c r="B2604" i="1"/>
  <c r="C2604" i="1"/>
  <c r="E2604" i="1"/>
  <c r="G2604" i="1"/>
  <c r="H2604" i="1"/>
  <c r="A2605" i="1"/>
  <c r="B2605" i="1"/>
  <c r="C2605" i="1"/>
  <c r="E2605" i="1"/>
  <c r="G2605" i="1"/>
  <c r="H2605" i="1"/>
  <c r="A2606" i="1"/>
  <c r="B2606" i="1"/>
  <c r="C2606" i="1"/>
  <c r="E2606" i="1"/>
  <c r="G2606" i="1"/>
  <c r="H2606" i="1"/>
  <c r="A2607" i="1"/>
  <c r="B2607" i="1"/>
  <c r="C2607" i="1"/>
  <c r="E2607" i="1"/>
  <c r="G2607" i="1"/>
  <c r="H2607" i="1"/>
  <c r="A2608" i="1"/>
  <c r="B2608" i="1"/>
  <c r="C2608" i="1"/>
  <c r="E2608" i="1"/>
  <c r="G2608" i="1"/>
  <c r="H2608" i="1"/>
  <c r="A2609" i="1"/>
  <c r="B2609" i="1"/>
  <c r="C2609" i="1"/>
  <c r="E2609" i="1"/>
  <c r="G2609" i="1"/>
  <c r="H2609" i="1"/>
  <c r="A2610" i="1"/>
  <c r="B2610" i="1"/>
  <c r="C2610" i="1"/>
  <c r="E2610" i="1"/>
  <c r="G2610" i="1"/>
  <c r="H2610" i="1"/>
  <c r="A2611" i="1"/>
  <c r="B2611" i="1"/>
  <c r="C2611" i="1"/>
  <c r="E2611" i="1"/>
  <c r="G2611" i="1"/>
  <c r="H2611" i="1"/>
  <c r="A2612" i="1"/>
  <c r="B2612" i="1"/>
  <c r="C2612" i="1"/>
  <c r="E2612" i="1"/>
  <c r="G2612" i="1"/>
  <c r="H2612" i="1"/>
  <c r="A2613" i="1"/>
  <c r="B2613" i="1"/>
  <c r="C2613" i="1"/>
  <c r="E2613" i="1"/>
  <c r="G2613" i="1"/>
  <c r="H2613" i="1"/>
  <c r="A2614" i="1"/>
  <c r="B2614" i="1"/>
  <c r="C2614" i="1"/>
  <c r="E2614" i="1"/>
  <c r="G2614" i="1"/>
  <c r="H2614" i="1"/>
  <c r="A2615" i="1"/>
  <c r="B2615" i="1"/>
  <c r="C2615" i="1"/>
  <c r="E2615" i="1"/>
  <c r="G2615" i="1"/>
  <c r="H2615" i="1"/>
  <c r="A2616" i="1"/>
  <c r="B2616" i="1"/>
  <c r="C2616" i="1"/>
  <c r="E2616" i="1"/>
  <c r="G2616" i="1"/>
  <c r="H2616" i="1"/>
  <c r="A2617" i="1"/>
  <c r="B2617" i="1"/>
  <c r="C2617" i="1"/>
  <c r="E2617" i="1"/>
  <c r="G2617" i="1"/>
  <c r="H2617" i="1"/>
  <c r="A2618" i="1"/>
  <c r="B2618" i="1"/>
  <c r="C2618" i="1"/>
  <c r="E2618" i="1"/>
  <c r="G2618" i="1"/>
  <c r="H2618" i="1"/>
  <c r="A2619" i="1"/>
  <c r="B2619" i="1"/>
  <c r="C2619" i="1"/>
  <c r="E2619" i="1"/>
  <c r="G2619" i="1"/>
  <c r="H2619" i="1"/>
  <c r="A2620" i="1"/>
  <c r="B2620" i="1"/>
  <c r="C2620" i="1"/>
  <c r="E2620" i="1"/>
  <c r="G2620" i="1"/>
  <c r="H2620" i="1"/>
  <c r="A2621" i="1"/>
  <c r="B2621" i="1"/>
  <c r="C2621" i="1"/>
  <c r="E2621" i="1"/>
  <c r="G2621" i="1"/>
  <c r="H2621" i="1"/>
  <c r="A2622" i="1"/>
  <c r="B2622" i="1"/>
  <c r="C2622" i="1"/>
  <c r="E2622" i="1"/>
  <c r="G2622" i="1"/>
  <c r="H2622" i="1"/>
  <c r="A2623" i="1"/>
  <c r="B2623" i="1"/>
  <c r="C2623" i="1"/>
  <c r="E2623" i="1"/>
  <c r="G2623" i="1"/>
  <c r="H2623" i="1"/>
  <c r="A2624" i="1"/>
  <c r="B2624" i="1"/>
  <c r="C2624" i="1"/>
  <c r="E2624" i="1"/>
  <c r="G2624" i="1"/>
  <c r="H2624" i="1"/>
  <c r="A2625" i="1"/>
  <c r="B2625" i="1"/>
  <c r="C2625" i="1"/>
  <c r="E2625" i="1"/>
  <c r="G2625" i="1"/>
  <c r="H2625" i="1"/>
  <c r="A2626" i="1"/>
  <c r="B2626" i="1"/>
  <c r="C2626" i="1"/>
  <c r="E2626" i="1"/>
  <c r="G2626" i="1"/>
  <c r="H2626" i="1"/>
  <c r="A2627" i="1"/>
  <c r="B2627" i="1"/>
  <c r="C2627" i="1"/>
  <c r="E2627" i="1"/>
  <c r="G2627" i="1"/>
  <c r="H2627" i="1"/>
  <c r="A2628" i="1"/>
  <c r="B2628" i="1"/>
  <c r="C2628" i="1"/>
  <c r="E2628" i="1"/>
  <c r="G2628" i="1"/>
  <c r="H2628" i="1"/>
  <c r="A2629" i="1"/>
  <c r="B2629" i="1"/>
  <c r="C2629" i="1"/>
  <c r="E2629" i="1"/>
  <c r="G2629" i="1"/>
  <c r="H2629" i="1"/>
  <c r="A2630" i="1"/>
  <c r="B2630" i="1"/>
  <c r="C2630" i="1"/>
  <c r="E2630" i="1"/>
  <c r="G2630" i="1"/>
  <c r="H2630" i="1"/>
  <c r="A2631" i="1"/>
  <c r="B2631" i="1"/>
  <c r="C2631" i="1"/>
  <c r="E2631" i="1"/>
  <c r="G2631" i="1"/>
  <c r="H2631" i="1"/>
  <c r="A2632" i="1"/>
  <c r="B2632" i="1"/>
  <c r="C2632" i="1"/>
  <c r="E2632" i="1"/>
  <c r="G2632" i="1"/>
  <c r="H2632" i="1"/>
  <c r="A2633" i="1"/>
  <c r="B2633" i="1"/>
  <c r="C2633" i="1"/>
  <c r="E2633" i="1"/>
  <c r="G2633" i="1"/>
  <c r="H2633" i="1"/>
  <c r="A2634" i="1"/>
  <c r="B2634" i="1"/>
  <c r="C2634" i="1"/>
  <c r="E2634" i="1"/>
  <c r="G2634" i="1"/>
  <c r="H2634" i="1"/>
  <c r="A2635" i="1"/>
  <c r="B2635" i="1"/>
  <c r="C2635" i="1"/>
  <c r="E2635" i="1"/>
  <c r="G2635" i="1"/>
  <c r="H2635" i="1"/>
  <c r="A2636" i="1"/>
  <c r="B2636" i="1"/>
  <c r="C2636" i="1"/>
  <c r="E2636" i="1"/>
  <c r="G2636" i="1"/>
  <c r="H2636" i="1"/>
  <c r="A2637" i="1"/>
  <c r="B2637" i="1"/>
  <c r="C2637" i="1"/>
  <c r="E2637" i="1"/>
  <c r="G2637" i="1"/>
  <c r="H2637" i="1"/>
  <c r="A2638" i="1"/>
  <c r="B2638" i="1"/>
  <c r="C2638" i="1"/>
  <c r="E2638" i="1"/>
  <c r="G2638" i="1"/>
  <c r="H2638" i="1"/>
  <c r="A2639" i="1"/>
  <c r="B2639" i="1"/>
  <c r="C2639" i="1"/>
  <c r="E2639" i="1"/>
  <c r="G2639" i="1"/>
  <c r="H2639" i="1"/>
  <c r="A2640" i="1"/>
  <c r="B2640" i="1"/>
  <c r="C2640" i="1"/>
  <c r="E2640" i="1"/>
  <c r="G2640" i="1"/>
  <c r="H2640" i="1"/>
  <c r="A2641" i="1"/>
  <c r="B2641" i="1"/>
  <c r="C2641" i="1"/>
  <c r="E2641" i="1"/>
  <c r="G2641" i="1"/>
  <c r="H2641" i="1"/>
  <c r="A2642" i="1"/>
  <c r="B2642" i="1"/>
  <c r="C2642" i="1"/>
  <c r="E2642" i="1"/>
  <c r="G2642" i="1"/>
  <c r="H2642" i="1"/>
  <c r="A2643" i="1"/>
  <c r="B2643" i="1"/>
  <c r="C2643" i="1"/>
  <c r="E2643" i="1"/>
  <c r="G2643" i="1"/>
  <c r="H2643" i="1"/>
  <c r="A2644" i="1"/>
  <c r="B2644" i="1"/>
  <c r="C2644" i="1"/>
  <c r="E2644" i="1"/>
  <c r="G2644" i="1"/>
  <c r="H2644" i="1"/>
  <c r="A2645" i="1"/>
  <c r="B2645" i="1"/>
  <c r="C2645" i="1"/>
  <c r="E2645" i="1"/>
  <c r="G2645" i="1"/>
  <c r="H2645" i="1"/>
  <c r="A2646" i="1"/>
  <c r="B2646" i="1"/>
  <c r="C2646" i="1"/>
  <c r="E2646" i="1"/>
  <c r="G2646" i="1"/>
  <c r="H2646" i="1"/>
  <c r="A2647" i="1"/>
  <c r="B2647" i="1"/>
  <c r="C2647" i="1"/>
  <c r="E2647" i="1"/>
  <c r="G2647" i="1"/>
  <c r="H2647" i="1"/>
  <c r="A2648" i="1"/>
  <c r="B2648" i="1"/>
  <c r="C2648" i="1"/>
  <c r="E2648" i="1"/>
  <c r="G2648" i="1"/>
  <c r="H2648" i="1"/>
  <c r="A2649" i="1"/>
  <c r="B2649" i="1"/>
  <c r="C2649" i="1"/>
  <c r="E2649" i="1"/>
  <c r="G2649" i="1"/>
  <c r="H2649" i="1"/>
  <c r="A2650" i="1"/>
  <c r="B2650" i="1"/>
  <c r="C2650" i="1"/>
  <c r="E2650" i="1"/>
  <c r="G2650" i="1"/>
  <c r="H2650" i="1"/>
  <c r="A2651" i="1"/>
  <c r="B2651" i="1"/>
  <c r="C2651" i="1"/>
  <c r="E2651" i="1"/>
  <c r="G2651" i="1"/>
  <c r="H2651" i="1"/>
  <c r="A2652" i="1"/>
  <c r="B2652" i="1"/>
  <c r="C2652" i="1"/>
  <c r="E2652" i="1"/>
  <c r="G2652" i="1"/>
  <c r="H2652" i="1"/>
  <c r="A2653" i="1"/>
  <c r="B2653" i="1"/>
  <c r="C2653" i="1"/>
  <c r="E2653" i="1"/>
  <c r="G2653" i="1"/>
  <c r="H2653" i="1"/>
  <c r="A2654" i="1"/>
  <c r="B2654" i="1"/>
  <c r="C2654" i="1"/>
  <c r="E2654" i="1"/>
  <c r="G2654" i="1"/>
  <c r="H2654" i="1"/>
  <c r="A2655" i="1"/>
  <c r="B2655" i="1"/>
  <c r="C2655" i="1"/>
  <c r="E2655" i="1"/>
  <c r="G2655" i="1"/>
  <c r="H2655" i="1"/>
  <c r="A2656" i="1"/>
  <c r="B2656" i="1"/>
  <c r="C2656" i="1"/>
  <c r="E2656" i="1"/>
  <c r="G2656" i="1"/>
  <c r="H2656" i="1"/>
  <c r="A2657" i="1"/>
  <c r="B2657" i="1"/>
  <c r="C2657" i="1"/>
  <c r="E2657" i="1"/>
  <c r="G2657" i="1"/>
  <c r="H2657" i="1"/>
  <c r="A2658" i="1"/>
  <c r="B2658" i="1"/>
  <c r="C2658" i="1"/>
  <c r="E2658" i="1"/>
  <c r="G2658" i="1"/>
  <c r="H2658" i="1"/>
  <c r="A2659" i="1"/>
  <c r="B2659" i="1"/>
  <c r="C2659" i="1"/>
  <c r="E2659" i="1"/>
  <c r="G2659" i="1"/>
  <c r="H2659" i="1"/>
  <c r="A2660" i="1"/>
  <c r="B2660" i="1"/>
  <c r="C2660" i="1"/>
  <c r="E2660" i="1"/>
  <c r="G2660" i="1"/>
  <c r="H2660" i="1"/>
  <c r="A2661" i="1"/>
  <c r="B2661" i="1"/>
  <c r="C2661" i="1"/>
  <c r="E2661" i="1"/>
  <c r="G2661" i="1"/>
  <c r="H2661" i="1"/>
  <c r="A2662" i="1"/>
  <c r="B2662" i="1"/>
  <c r="C2662" i="1"/>
  <c r="E2662" i="1"/>
  <c r="G2662" i="1"/>
  <c r="H2662" i="1"/>
  <c r="A2663" i="1"/>
  <c r="B2663" i="1"/>
  <c r="C2663" i="1"/>
  <c r="E2663" i="1"/>
  <c r="G2663" i="1"/>
  <c r="H2663" i="1"/>
  <c r="A2664" i="1"/>
  <c r="B2664" i="1"/>
  <c r="C2664" i="1"/>
  <c r="E2664" i="1"/>
  <c r="G2664" i="1"/>
  <c r="H2664" i="1"/>
  <c r="A2665" i="1"/>
  <c r="B2665" i="1"/>
  <c r="C2665" i="1"/>
  <c r="E2665" i="1"/>
  <c r="G2665" i="1"/>
  <c r="H2665" i="1"/>
  <c r="A2666" i="1"/>
  <c r="B2666" i="1"/>
  <c r="C2666" i="1"/>
  <c r="E2666" i="1"/>
  <c r="G2666" i="1"/>
  <c r="H2666" i="1"/>
  <c r="A2667" i="1"/>
  <c r="B2667" i="1"/>
  <c r="C2667" i="1"/>
  <c r="E2667" i="1"/>
  <c r="G2667" i="1"/>
  <c r="H2667" i="1"/>
  <c r="A2668" i="1"/>
  <c r="B2668" i="1"/>
  <c r="C2668" i="1"/>
  <c r="E2668" i="1"/>
  <c r="G2668" i="1"/>
  <c r="H2668" i="1"/>
  <c r="A2669" i="1"/>
  <c r="B2669" i="1"/>
  <c r="C2669" i="1"/>
  <c r="E2669" i="1"/>
  <c r="G2669" i="1"/>
  <c r="H2669" i="1"/>
  <c r="A2670" i="1"/>
  <c r="B2670" i="1"/>
  <c r="C2670" i="1"/>
  <c r="E2670" i="1"/>
  <c r="G2670" i="1"/>
  <c r="H2670" i="1"/>
  <c r="A2671" i="1"/>
  <c r="B2671" i="1"/>
  <c r="C2671" i="1"/>
  <c r="E2671" i="1"/>
  <c r="G2671" i="1"/>
  <c r="H2671" i="1"/>
  <c r="A2672" i="1"/>
  <c r="B2672" i="1"/>
  <c r="C2672" i="1"/>
  <c r="E2672" i="1"/>
  <c r="G2672" i="1"/>
  <c r="H2672" i="1"/>
  <c r="A2673" i="1"/>
  <c r="B2673" i="1"/>
  <c r="C2673" i="1"/>
  <c r="E2673" i="1"/>
  <c r="G2673" i="1"/>
  <c r="H2673" i="1"/>
  <c r="A2674" i="1"/>
  <c r="B2674" i="1"/>
  <c r="C2674" i="1"/>
  <c r="E2674" i="1"/>
  <c r="G2674" i="1"/>
  <c r="H2674" i="1"/>
  <c r="A2675" i="1"/>
  <c r="B2675" i="1"/>
  <c r="C2675" i="1"/>
  <c r="E2675" i="1"/>
  <c r="G2675" i="1"/>
  <c r="H2675" i="1"/>
  <c r="A2676" i="1"/>
  <c r="B2676" i="1"/>
  <c r="C2676" i="1"/>
  <c r="E2676" i="1"/>
  <c r="G2676" i="1"/>
  <c r="H2676" i="1"/>
  <c r="A2677" i="1"/>
  <c r="B2677" i="1"/>
  <c r="C2677" i="1"/>
  <c r="E2677" i="1"/>
  <c r="G2677" i="1"/>
  <c r="H2677" i="1"/>
  <c r="A2678" i="1"/>
  <c r="B2678" i="1"/>
  <c r="C2678" i="1"/>
  <c r="E2678" i="1"/>
  <c r="G2678" i="1"/>
  <c r="H2678" i="1"/>
  <c r="A2679" i="1"/>
  <c r="B2679" i="1"/>
  <c r="C2679" i="1"/>
  <c r="E2679" i="1"/>
  <c r="G2679" i="1"/>
  <c r="H2679" i="1"/>
  <c r="A2680" i="1"/>
  <c r="B2680" i="1"/>
  <c r="C2680" i="1"/>
  <c r="E2680" i="1"/>
  <c r="G2680" i="1"/>
  <c r="H2680" i="1"/>
  <c r="A2681" i="1"/>
  <c r="B2681" i="1"/>
  <c r="C2681" i="1"/>
  <c r="E2681" i="1"/>
  <c r="G2681" i="1"/>
  <c r="H2681" i="1"/>
  <c r="A2682" i="1"/>
  <c r="B2682" i="1"/>
  <c r="C2682" i="1"/>
  <c r="E2682" i="1"/>
  <c r="G2682" i="1"/>
  <c r="H2682" i="1"/>
  <c r="A2683" i="1"/>
  <c r="B2683" i="1"/>
  <c r="C2683" i="1"/>
  <c r="E2683" i="1"/>
  <c r="G2683" i="1"/>
  <c r="H2683" i="1"/>
  <c r="A2684" i="1"/>
  <c r="B2684" i="1"/>
  <c r="C2684" i="1"/>
  <c r="E2684" i="1"/>
  <c r="G2684" i="1"/>
  <c r="H2684" i="1"/>
  <c r="A2685" i="1"/>
  <c r="B2685" i="1"/>
  <c r="C2685" i="1"/>
  <c r="E2685" i="1"/>
  <c r="G2685" i="1"/>
  <c r="H2685" i="1"/>
  <c r="A2686" i="1"/>
  <c r="B2686" i="1"/>
  <c r="C2686" i="1"/>
  <c r="E2686" i="1"/>
  <c r="G2686" i="1"/>
  <c r="H2686" i="1"/>
  <c r="A2687" i="1"/>
  <c r="B2687" i="1"/>
  <c r="C2687" i="1"/>
  <c r="E2687" i="1"/>
  <c r="G2687" i="1"/>
  <c r="H2687" i="1"/>
  <c r="A2688" i="1"/>
  <c r="B2688" i="1"/>
  <c r="C2688" i="1"/>
  <c r="E2688" i="1"/>
  <c r="G2688" i="1"/>
  <c r="H2688" i="1"/>
  <c r="A2689" i="1"/>
  <c r="B2689" i="1"/>
  <c r="C2689" i="1"/>
  <c r="E2689" i="1"/>
  <c r="G2689" i="1"/>
  <c r="H2689" i="1"/>
  <c r="A2690" i="1"/>
  <c r="B2690" i="1"/>
  <c r="C2690" i="1"/>
  <c r="E2690" i="1"/>
  <c r="G2690" i="1"/>
  <c r="H2690" i="1"/>
  <c r="A2691" i="1"/>
  <c r="B2691" i="1"/>
  <c r="C2691" i="1"/>
  <c r="E2691" i="1"/>
  <c r="G2691" i="1"/>
  <c r="H2691" i="1"/>
  <c r="A2692" i="1"/>
  <c r="B2692" i="1"/>
  <c r="C2692" i="1"/>
  <c r="E2692" i="1"/>
  <c r="G2692" i="1"/>
  <c r="H2692" i="1"/>
  <c r="A2693" i="1"/>
  <c r="B2693" i="1"/>
  <c r="C2693" i="1"/>
  <c r="E2693" i="1"/>
  <c r="G2693" i="1"/>
  <c r="H2693" i="1"/>
  <c r="A2694" i="1"/>
  <c r="B2694" i="1"/>
  <c r="C2694" i="1"/>
  <c r="E2694" i="1"/>
  <c r="G2694" i="1"/>
  <c r="H2694" i="1"/>
  <c r="A2695" i="1"/>
  <c r="B2695" i="1"/>
  <c r="C2695" i="1"/>
  <c r="E2695" i="1"/>
  <c r="G2695" i="1"/>
  <c r="H2695" i="1"/>
  <c r="A2696" i="1"/>
  <c r="B2696" i="1"/>
  <c r="C2696" i="1"/>
  <c r="E2696" i="1"/>
  <c r="G2696" i="1"/>
  <c r="H2696" i="1"/>
  <c r="A2697" i="1"/>
  <c r="B2697" i="1"/>
  <c r="C2697" i="1"/>
  <c r="E2697" i="1"/>
  <c r="G2697" i="1"/>
  <c r="H2697" i="1"/>
  <c r="A2698" i="1"/>
  <c r="B2698" i="1"/>
  <c r="C2698" i="1"/>
  <c r="E2698" i="1"/>
  <c r="G2698" i="1"/>
  <c r="H2698" i="1"/>
  <c r="A2699" i="1"/>
  <c r="B2699" i="1"/>
  <c r="C2699" i="1"/>
  <c r="E2699" i="1"/>
  <c r="G2699" i="1"/>
  <c r="H2699" i="1"/>
  <c r="A2700" i="1"/>
  <c r="B2700" i="1"/>
  <c r="C2700" i="1"/>
  <c r="E2700" i="1"/>
  <c r="G2700" i="1"/>
  <c r="H2700" i="1"/>
  <c r="A2701" i="1"/>
  <c r="B2701" i="1"/>
  <c r="C2701" i="1"/>
  <c r="E2701" i="1"/>
  <c r="G2701" i="1"/>
  <c r="H2701" i="1"/>
  <c r="A2702" i="1"/>
  <c r="B2702" i="1"/>
  <c r="C2702" i="1"/>
  <c r="E2702" i="1"/>
  <c r="G2702" i="1"/>
  <c r="H2702" i="1"/>
  <c r="A2703" i="1"/>
  <c r="B2703" i="1"/>
  <c r="C2703" i="1"/>
  <c r="E2703" i="1"/>
  <c r="G2703" i="1"/>
  <c r="H2703" i="1"/>
  <c r="A2704" i="1"/>
  <c r="B2704" i="1"/>
  <c r="C2704" i="1"/>
  <c r="E2704" i="1"/>
  <c r="G2704" i="1"/>
  <c r="H2704" i="1"/>
  <c r="A2705" i="1"/>
  <c r="B2705" i="1"/>
  <c r="C2705" i="1"/>
  <c r="E2705" i="1"/>
  <c r="G2705" i="1"/>
  <c r="H2705" i="1"/>
  <c r="A2706" i="1"/>
  <c r="B2706" i="1"/>
  <c r="C2706" i="1"/>
  <c r="E2706" i="1"/>
  <c r="G2706" i="1"/>
  <c r="H2706" i="1"/>
  <c r="A2707" i="1"/>
  <c r="B2707" i="1"/>
  <c r="C2707" i="1"/>
  <c r="E2707" i="1"/>
  <c r="G2707" i="1"/>
  <c r="H2707" i="1"/>
  <c r="A2708" i="1"/>
  <c r="B2708" i="1"/>
  <c r="C2708" i="1"/>
  <c r="E2708" i="1"/>
  <c r="G2708" i="1"/>
  <c r="H2708" i="1"/>
  <c r="A2709" i="1"/>
  <c r="B2709" i="1"/>
  <c r="C2709" i="1"/>
  <c r="E2709" i="1"/>
  <c r="G2709" i="1"/>
  <c r="H2709" i="1"/>
  <c r="A2710" i="1"/>
  <c r="B2710" i="1"/>
  <c r="C2710" i="1"/>
  <c r="E2710" i="1"/>
  <c r="G2710" i="1"/>
  <c r="H2710" i="1"/>
  <c r="A2711" i="1"/>
  <c r="B2711" i="1"/>
  <c r="C2711" i="1"/>
  <c r="E2711" i="1"/>
  <c r="G2711" i="1"/>
  <c r="H2711" i="1"/>
  <c r="A2712" i="1"/>
  <c r="B2712" i="1"/>
  <c r="C2712" i="1"/>
  <c r="E2712" i="1"/>
  <c r="G2712" i="1"/>
  <c r="H2712" i="1"/>
  <c r="A2713" i="1"/>
  <c r="B2713" i="1"/>
  <c r="C2713" i="1"/>
  <c r="E2713" i="1"/>
  <c r="G2713" i="1"/>
  <c r="H2713" i="1"/>
  <c r="A2714" i="1"/>
  <c r="B2714" i="1"/>
  <c r="C2714" i="1"/>
  <c r="E2714" i="1"/>
  <c r="G2714" i="1"/>
  <c r="H2714" i="1"/>
  <c r="A2715" i="1"/>
  <c r="B2715" i="1"/>
  <c r="C2715" i="1"/>
  <c r="E2715" i="1"/>
  <c r="G2715" i="1"/>
  <c r="H2715" i="1"/>
  <c r="A2716" i="1"/>
  <c r="B2716" i="1"/>
  <c r="C2716" i="1"/>
  <c r="E2716" i="1"/>
  <c r="G2716" i="1"/>
  <c r="H2716" i="1"/>
  <c r="A2717" i="1"/>
  <c r="B2717" i="1"/>
  <c r="C2717" i="1"/>
  <c r="E2717" i="1"/>
  <c r="G2717" i="1"/>
  <c r="H2717" i="1"/>
  <c r="A2718" i="1"/>
  <c r="B2718" i="1"/>
  <c r="C2718" i="1"/>
  <c r="E2718" i="1"/>
  <c r="G2718" i="1"/>
  <c r="H2718" i="1"/>
  <c r="A2719" i="1"/>
  <c r="B2719" i="1"/>
  <c r="C2719" i="1"/>
  <c r="E2719" i="1"/>
  <c r="G2719" i="1"/>
  <c r="H2719" i="1"/>
  <c r="A2720" i="1"/>
  <c r="B2720" i="1"/>
  <c r="C2720" i="1"/>
  <c r="E2720" i="1"/>
  <c r="G2720" i="1"/>
  <c r="H2720" i="1"/>
  <c r="A2721" i="1"/>
  <c r="B2721" i="1"/>
  <c r="C2721" i="1"/>
  <c r="E2721" i="1"/>
  <c r="G2721" i="1"/>
  <c r="H2721" i="1"/>
  <c r="A2722" i="1"/>
  <c r="B2722" i="1"/>
  <c r="C2722" i="1"/>
  <c r="E2722" i="1"/>
  <c r="G2722" i="1"/>
  <c r="H2722" i="1"/>
  <c r="A2723" i="1"/>
  <c r="B2723" i="1"/>
  <c r="C2723" i="1"/>
  <c r="E2723" i="1"/>
  <c r="G2723" i="1"/>
  <c r="H2723" i="1"/>
  <c r="A2724" i="1"/>
  <c r="B2724" i="1"/>
  <c r="C2724" i="1"/>
  <c r="E2724" i="1"/>
  <c r="G2724" i="1"/>
  <c r="H2724" i="1"/>
  <c r="A2725" i="1"/>
  <c r="B2725" i="1"/>
  <c r="C2725" i="1"/>
  <c r="E2725" i="1"/>
  <c r="G2725" i="1"/>
  <c r="H2725" i="1"/>
  <c r="A2726" i="1"/>
  <c r="B2726" i="1"/>
  <c r="C2726" i="1"/>
  <c r="E2726" i="1"/>
  <c r="G2726" i="1"/>
  <c r="H2726" i="1"/>
  <c r="A2727" i="1"/>
  <c r="B2727" i="1"/>
  <c r="C2727" i="1"/>
  <c r="E2727" i="1"/>
  <c r="G2727" i="1"/>
  <c r="H2727" i="1"/>
  <c r="A2728" i="1"/>
  <c r="B2728" i="1"/>
  <c r="C2728" i="1"/>
  <c r="E2728" i="1"/>
  <c r="G2728" i="1"/>
  <c r="H2728" i="1"/>
  <c r="A2729" i="1"/>
  <c r="B2729" i="1"/>
  <c r="C2729" i="1"/>
  <c r="E2729" i="1"/>
  <c r="G2729" i="1"/>
  <c r="H2729" i="1"/>
  <c r="A2730" i="1"/>
  <c r="B2730" i="1"/>
  <c r="C2730" i="1"/>
  <c r="E2730" i="1"/>
  <c r="G2730" i="1"/>
  <c r="H2730" i="1"/>
  <c r="A2731" i="1"/>
  <c r="B2731" i="1"/>
  <c r="C2731" i="1"/>
  <c r="E2731" i="1"/>
  <c r="G2731" i="1"/>
  <c r="H2731" i="1"/>
  <c r="A2732" i="1"/>
  <c r="B2732" i="1"/>
  <c r="C2732" i="1"/>
  <c r="E2732" i="1"/>
  <c r="G2732" i="1"/>
  <c r="H2732" i="1"/>
  <c r="A2733" i="1"/>
  <c r="B2733" i="1"/>
  <c r="C2733" i="1"/>
  <c r="E2733" i="1"/>
  <c r="G2733" i="1"/>
  <c r="H2733" i="1"/>
  <c r="A2734" i="1"/>
  <c r="B2734" i="1"/>
  <c r="C2734" i="1"/>
  <c r="E2734" i="1"/>
  <c r="G2734" i="1"/>
  <c r="H2734" i="1"/>
  <c r="A2735" i="1"/>
  <c r="B2735" i="1"/>
  <c r="C2735" i="1"/>
  <c r="E2735" i="1"/>
  <c r="G2735" i="1"/>
  <c r="H2735" i="1"/>
  <c r="A2736" i="1"/>
  <c r="B2736" i="1"/>
  <c r="C2736" i="1"/>
  <c r="E2736" i="1"/>
  <c r="G2736" i="1"/>
  <c r="H2736" i="1"/>
  <c r="A2737" i="1"/>
  <c r="B2737" i="1"/>
  <c r="C2737" i="1"/>
  <c r="E2737" i="1"/>
  <c r="G2737" i="1"/>
  <c r="H2737" i="1"/>
  <c r="A2738" i="1"/>
  <c r="B2738" i="1"/>
  <c r="C2738" i="1"/>
  <c r="E2738" i="1"/>
  <c r="G2738" i="1"/>
  <c r="H2738" i="1"/>
  <c r="A2739" i="1"/>
  <c r="B2739" i="1"/>
  <c r="C2739" i="1"/>
  <c r="E2739" i="1"/>
  <c r="G2739" i="1"/>
  <c r="H2739" i="1"/>
  <c r="A2740" i="1"/>
  <c r="B2740" i="1"/>
  <c r="C2740" i="1"/>
  <c r="E2740" i="1"/>
  <c r="G2740" i="1"/>
  <c r="H2740" i="1"/>
  <c r="A2741" i="1"/>
  <c r="B2741" i="1"/>
  <c r="C2741" i="1"/>
  <c r="E2741" i="1"/>
  <c r="G2741" i="1"/>
  <c r="H2741" i="1"/>
  <c r="A2742" i="1"/>
  <c r="B2742" i="1"/>
  <c r="C2742" i="1"/>
  <c r="E2742" i="1"/>
  <c r="G2742" i="1"/>
  <c r="H2742" i="1"/>
  <c r="A2743" i="1"/>
  <c r="B2743" i="1"/>
  <c r="C2743" i="1"/>
  <c r="E2743" i="1"/>
  <c r="G2743" i="1"/>
  <c r="H2743" i="1"/>
  <c r="A2744" i="1"/>
  <c r="B2744" i="1"/>
  <c r="C2744" i="1"/>
  <c r="E2744" i="1"/>
  <c r="G2744" i="1"/>
  <c r="H2744" i="1"/>
  <c r="A2745" i="1"/>
  <c r="B2745" i="1"/>
  <c r="C2745" i="1"/>
  <c r="E2745" i="1"/>
  <c r="G2745" i="1"/>
  <c r="H2745" i="1"/>
  <c r="A2746" i="1"/>
  <c r="B2746" i="1"/>
  <c r="C2746" i="1"/>
  <c r="E2746" i="1"/>
  <c r="G2746" i="1"/>
  <c r="H2746" i="1"/>
  <c r="A2747" i="1"/>
  <c r="B2747" i="1"/>
  <c r="C2747" i="1"/>
  <c r="E2747" i="1"/>
  <c r="G2747" i="1"/>
  <c r="H2747" i="1"/>
  <c r="A2748" i="1"/>
  <c r="B2748" i="1"/>
  <c r="C2748" i="1"/>
  <c r="E2748" i="1"/>
  <c r="G2748" i="1"/>
  <c r="H2748" i="1"/>
  <c r="A2749" i="1"/>
  <c r="B2749" i="1"/>
  <c r="C2749" i="1"/>
  <c r="E2749" i="1"/>
  <c r="G2749" i="1"/>
  <c r="H2749" i="1"/>
  <c r="A2750" i="1"/>
  <c r="B2750" i="1"/>
  <c r="C2750" i="1"/>
  <c r="E2750" i="1"/>
  <c r="G2750" i="1"/>
  <c r="H2750" i="1"/>
  <c r="A2751" i="1"/>
  <c r="B2751" i="1"/>
  <c r="C2751" i="1"/>
  <c r="E2751" i="1"/>
  <c r="G2751" i="1"/>
  <c r="H2751" i="1"/>
  <c r="A2752" i="1"/>
  <c r="B2752" i="1"/>
  <c r="C2752" i="1"/>
  <c r="E2752" i="1"/>
  <c r="G2752" i="1"/>
  <c r="H2752" i="1"/>
  <c r="A2753" i="1"/>
  <c r="B2753" i="1"/>
  <c r="C2753" i="1"/>
  <c r="E2753" i="1"/>
  <c r="G2753" i="1"/>
  <c r="H2753" i="1"/>
  <c r="A2754" i="1"/>
  <c r="B2754" i="1"/>
  <c r="C2754" i="1"/>
  <c r="E2754" i="1"/>
  <c r="G2754" i="1"/>
  <c r="H2754" i="1"/>
  <c r="A2755" i="1"/>
  <c r="B2755" i="1"/>
  <c r="C2755" i="1"/>
  <c r="E2755" i="1"/>
  <c r="G2755" i="1"/>
  <c r="H2755" i="1"/>
  <c r="A2756" i="1"/>
  <c r="B2756" i="1"/>
  <c r="C2756" i="1"/>
  <c r="E2756" i="1"/>
  <c r="G2756" i="1"/>
  <c r="H2756" i="1"/>
  <c r="A2757" i="1"/>
  <c r="B2757" i="1"/>
  <c r="C2757" i="1"/>
  <c r="E2757" i="1"/>
  <c r="G2757" i="1"/>
  <c r="H2757" i="1"/>
  <c r="A2758" i="1"/>
  <c r="B2758" i="1"/>
  <c r="C2758" i="1"/>
  <c r="E2758" i="1"/>
  <c r="G2758" i="1"/>
  <c r="H2758" i="1"/>
  <c r="A2759" i="1"/>
  <c r="B2759" i="1"/>
  <c r="C2759" i="1"/>
  <c r="E2759" i="1"/>
  <c r="G2759" i="1"/>
  <c r="H2759" i="1"/>
  <c r="A2760" i="1"/>
  <c r="B2760" i="1"/>
  <c r="C2760" i="1"/>
  <c r="E2760" i="1"/>
  <c r="G2760" i="1"/>
  <c r="H2760" i="1"/>
  <c r="A2761" i="1"/>
  <c r="B2761" i="1"/>
  <c r="C2761" i="1"/>
  <c r="E2761" i="1"/>
  <c r="G2761" i="1"/>
  <c r="H2761" i="1"/>
  <c r="A2762" i="1"/>
  <c r="B2762" i="1"/>
  <c r="C2762" i="1"/>
  <c r="E2762" i="1"/>
  <c r="G2762" i="1"/>
  <c r="H2762" i="1"/>
  <c r="A2763" i="1"/>
  <c r="B2763" i="1"/>
  <c r="C2763" i="1"/>
  <c r="E2763" i="1"/>
  <c r="G2763" i="1"/>
  <c r="H2763" i="1"/>
  <c r="A2764" i="1"/>
  <c r="B2764" i="1"/>
  <c r="C2764" i="1"/>
  <c r="E2764" i="1"/>
  <c r="G2764" i="1"/>
  <c r="H2764" i="1"/>
  <c r="A2765" i="1"/>
  <c r="B2765" i="1"/>
  <c r="C2765" i="1"/>
  <c r="E2765" i="1"/>
  <c r="G2765" i="1"/>
  <c r="H2765" i="1"/>
  <c r="A2766" i="1"/>
  <c r="B2766" i="1"/>
  <c r="C2766" i="1"/>
  <c r="E2766" i="1"/>
  <c r="G2766" i="1"/>
  <c r="H2766" i="1"/>
  <c r="A2767" i="1"/>
  <c r="B2767" i="1"/>
  <c r="C2767" i="1"/>
  <c r="E2767" i="1"/>
  <c r="G2767" i="1"/>
  <c r="H2767" i="1"/>
  <c r="A2768" i="1"/>
  <c r="B2768" i="1"/>
  <c r="C2768" i="1"/>
  <c r="E2768" i="1"/>
  <c r="G2768" i="1"/>
  <c r="H2768" i="1"/>
  <c r="A2769" i="1"/>
  <c r="B2769" i="1"/>
  <c r="C2769" i="1"/>
  <c r="E2769" i="1"/>
  <c r="G2769" i="1"/>
  <c r="H2769" i="1"/>
  <c r="A2770" i="1"/>
  <c r="B2770" i="1"/>
  <c r="C2770" i="1"/>
  <c r="E2770" i="1"/>
  <c r="G2770" i="1"/>
  <c r="H2770" i="1"/>
  <c r="A2771" i="1"/>
  <c r="B2771" i="1"/>
  <c r="C2771" i="1"/>
  <c r="E2771" i="1"/>
  <c r="G2771" i="1"/>
  <c r="H2771" i="1"/>
  <c r="A2772" i="1"/>
  <c r="B2772" i="1"/>
  <c r="C2772" i="1"/>
  <c r="E2772" i="1"/>
  <c r="G2772" i="1"/>
  <c r="H2772" i="1"/>
  <c r="A2773" i="1"/>
  <c r="B2773" i="1"/>
  <c r="C2773" i="1"/>
  <c r="E2773" i="1"/>
  <c r="G2773" i="1"/>
  <c r="H2773" i="1"/>
  <c r="A2774" i="1"/>
  <c r="B2774" i="1"/>
  <c r="C2774" i="1"/>
  <c r="E2774" i="1"/>
  <c r="G2774" i="1"/>
  <c r="H2774" i="1"/>
  <c r="A2775" i="1"/>
  <c r="B2775" i="1"/>
  <c r="C2775" i="1"/>
  <c r="E2775" i="1"/>
  <c r="G2775" i="1"/>
  <c r="H2775" i="1"/>
  <c r="A2776" i="1"/>
  <c r="B2776" i="1"/>
  <c r="C2776" i="1"/>
  <c r="E2776" i="1"/>
  <c r="G2776" i="1"/>
  <c r="H2776" i="1"/>
  <c r="A2777" i="1"/>
  <c r="B2777" i="1"/>
  <c r="C2777" i="1"/>
  <c r="E2777" i="1"/>
  <c r="G2777" i="1"/>
  <c r="H2777" i="1"/>
  <c r="A2778" i="1"/>
  <c r="B2778" i="1"/>
  <c r="C2778" i="1"/>
  <c r="E2778" i="1"/>
  <c r="G2778" i="1"/>
  <c r="H2778" i="1"/>
  <c r="A2779" i="1"/>
  <c r="B2779" i="1"/>
  <c r="C2779" i="1"/>
  <c r="E2779" i="1"/>
  <c r="G2779" i="1"/>
  <c r="H2779" i="1"/>
  <c r="A2780" i="1"/>
  <c r="B2780" i="1"/>
  <c r="C2780" i="1"/>
  <c r="E2780" i="1"/>
  <c r="G2780" i="1"/>
  <c r="H2780" i="1"/>
  <c r="A2781" i="1"/>
  <c r="B2781" i="1"/>
  <c r="C2781" i="1"/>
  <c r="E2781" i="1"/>
  <c r="G2781" i="1"/>
  <c r="H2781" i="1"/>
  <c r="A2782" i="1"/>
  <c r="B2782" i="1"/>
  <c r="C2782" i="1"/>
  <c r="E2782" i="1"/>
  <c r="G2782" i="1"/>
  <c r="H2782" i="1"/>
  <c r="A2783" i="1"/>
  <c r="B2783" i="1"/>
  <c r="C2783" i="1"/>
  <c r="E2783" i="1"/>
  <c r="G2783" i="1"/>
  <c r="H2783" i="1"/>
  <c r="A2784" i="1"/>
  <c r="B2784" i="1"/>
  <c r="C2784" i="1"/>
  <c r="E2784" i="1"/>
  <c r="G2784" i="1"/>
  <c r="H2784" i="1"/>
  <c r="A2785" i="1"/>
  <c r="B2785" i="1"/>
  <c r="C2785" i="1"/>
  <c r="E2785" i="1"/>
  <c r="G2785" i="1"/>
  <c r="H2785" i="1"/>
  <c r="A2786" i="1"/>
  <c r="B2786" i="1"/>
  <c r="C2786" i="1"/>
  <c r="E2786" i="1"/>
  <c r="G2786" i="1"/>
  <c r="H2786" i="1"/>
  <c r="A2787" i="1"/>
  <c r="B2787" i="1"/>
  <c r="C2787" i="1"/>
  <c r="E2787" i="1"/>
  <c r="G2787" i="1"/>
  <c r="H2787" i="1"/>
  <c r="A2788" i="1"/>
  <c r="B2788" i="1"/>
  <c r="C2788" i="1"/>
  <c r="E2788" i="1"/>
  <c r="G2788" i="1"/>
  <c r="H2788" i="1"/>
  <c r="A2789" i="1"/>
  <c r="B2789" i="1"/>
  <c r="C2789" i="1"/>
  <c r="E2789" i="1"/>
  <c r="G2789" i="1"/>
  <c r="H2789" i="1"/>
  <c r="A2790" i="1"/>
  <c r="B2790" i="1"/>
  <c r="C2790" i="1"/>
  <c r="E2790" i="1"/>
  <c r="G2790" i="1"/>
  <c r="H2790" i="1"/>
  <c r="A2791" i="1"/>
  <c r="B2791" i="1"/>
  <c r="C2791" i="1"/>
  <c r="E2791" i="1"/>
  <c r="G2791" i="1"/>
  <c r="H2791" i="1"/>
  <c r="A2792" i="1"/>
  <c r="B2792" i="1"/>
  <c r="C2792" i="1"/>
  <c r="E2792" i="1"/>
  <c r="G2792" i="1"/>
  <c r="H2792" i="1"/>
  <c r="A2793" i="1"/>
  <c r="B2793" i="1"/>
  <c r="C2793" i="1"/>
  <c r="E2793" i="1"/>
  <c r="G2793" i="1"/>
  <c r="H2793" i="1"/>
  <c r="A2794" i="1"/>
  <c r="B2794" i="1"/>
  <c r="C2794" i="1"/>
  <c r="E2794" i="1"/>
  <c r="G2794" i="1"/>
  <c r="H2794" i="1"/>
  <c r="A2795" i="1"/>
  <c r="B2795" i="1"/>
  <c r="C2795" i="1"/>
  <c r="E2795" i="1"/>
  <c r="G2795" i="1"/>
  <c r="H2795" i="1"/>
  <c r="A2796" i="1"/>
  <c r="B2796" i="1"/>
  <c r="C2796" i="1"/>
  <c r="E2796" i="1"/>
  <c r="G2796" i="1"/>
  <c r="H2796" i="1"/>
  <c r="A2797" i="1"/>
  <c r="B2797" i="1"/>
  <c r="C2797" i="1"/>
  <c r="E2797" i="1"/>
  <c r="G2797" i="1"/>
  <c r="H2797" i="1"/>
  <c r="A2798" i="1"/>
  <c r="B2798" i="1"/>
  <c r="C2798" i="1"/>
  <c r="E2798" i="1"/>
  <c r="G2798" i="1"/>
  <c r="H2798" i="1"/>
  <c r="A2799" i="1"/>
  <c r="B2799" i="1"/>
  <c r="C2799" i="1"/>
  <c r="E2799" i="1"/>
  <c r="G2799" i="1"/>
  <c r="H2799" i="1"/>
  <c r="A2800" i="1"/>
  <c r="B2800" i="1"/>
  <c r="C2800" i="1"/>
  <c r="E2800" i="1"/>
  <c r="G2800" i="1"/>
  <c r="H2800" i="1"/>
  <c r="A2801" i="1"/>
  <c r="B2801" i="1"/>
  <c r="C2801" i="1"/>
  <c r="E2801" i="1"/>
  <c r="G2801" i="1"/>
  <c r="H2801" i="1"/>
  <c r="A2802" i="1"/>
  <c r="B2802" i="1"/>
  <c r="C2802" i="1"/>
  <c r="E2802" i="1"/>
  <c r="G2802" i="1"/>
  <c r="H2802" i="1"/>
  <c r="A2803" i="1"/>
  <c r="B2803" i="1"/>
  <c r="C2803" i="1"/>
  <c r="E2803" i="1"/>
  <c r="G2803" i="1"/>
  <c r="H2803" i="1"/>
  <c r="A2804" i="1"/>
  <c r="B2804" i="1"/>
  <c r="C2804" i="1"/>
  <c r="E2804" i="1"/>
  <c r="G2804" i="1"/>
  <c r="H2804" i="1"/>
  <c r="A2805" i="1"/>
  <c r="B2805" i="1"/>
  <c r="C2805" i="1"/>
  <c r="E2805" i="1"/>
  <c r="G2805" i="1"/>
  <c r="H2805" i="1"/>
  <c r="A2806" i="1"/>
  <c r="B2806" i="1"/>
  <c r="C2806" i="1"/>
  <c r="E2806" i="1"/>
  <c r="G2806" i="1"/>
  <c r="H2806" i="1"/>
  <c r="A2807" i="1"/>
  <c r="B2807" i="1"/>
  <c r="C2807" i="1"/>
  <c r="E2807" i="1"/>
  <c r="G2807" i="1"/>
  <c r="H2807" i="1"/>
  <c r="A2808" i="1"/>
  <c r="B2808" i="1"/>
  <c r="C2808" i="1"/>
  <c r="E2808" i="1"/>
  <c r="G2808" i="1"/>
  <c r="H2808" i="1"/>
  <c r="A2809" i="1"/>
  <c r="B2809" i="1"/>
  <c r="C2809" i="1"/>
  <c r="E2809" i="1"/>
  <c r="G2809" i="1"/>
  <c r="H2809" i="1"/>
  <c r="A2810" i="1"/>
  <c r="B2810" i="1"/>
  <c r="C2810" i="1"/>
  <c r="E2810" i="1"/>
  <c r="G2810" i="1"/>
  <c r="H2810" i="1"/>
  <c r="A2811" i="1"/>
  <c r="B2811" i="1"/>
  <c r="C2811" i="1"/>
  <c r="E2811" i="1"/>
  <c r="G2811" i="1"/>
  <c r="H2811" i="1"/>
  <c r="A2812" i="1"/>
  <c r="B2812" i="1"/>
  <c r="C2812" i="1"/>
  <c r="E2812" i="1"/>
  <c r="G2812" i="1"/>
  <c r="H2812" i="1"/>
  <c r="A2813" i="1"/>
  <c r="B2813" i="1"/>
  <c r="C2813" i="1"/>
  <c r="E2813" i="1"/>
  <c r="G2813" i="1"/>
  <c r="H2813" i="1"/>
  <c r="A2814" i="1"/>
  <c r="B2814" i="1"/>
  <c r="C2814" i="1"/>
  <c r="E2814" i="1"/>
  <c r="G2814" i="1"/>
  <c r="H2814" i="1"/>
  <c r="A2815" i="1"/>
  <c r="B2815" i="1"/>
  <c r="C2815" i="1"/>
  <c r="E2815" i="1"/>
  <c r="G2815" i="1"/>
  <c r="H2815" i="1"/>
  <c r="A2816" i="1"/>
  <c r="B2816" i="1"/>
  <c r="C2816" i="1"/>
  <c r="E2816" i="1"/>
  <c r="G2816" i="1"/>
  <c r="H2816" i="1"/>
  <c r="A2817" i="1"/>
  <c r="B2817" i="1"/>
  <c r="C2817" i="1"/>
  <c r="E2817" i="1"/>
  <c r="G2817" i="1"/>
  <c r="H2817" i="1"/>
  <c r="A2818" i="1"/>
  <c r="B2818" i="1"/>
  <c r="C2818" i="1"/>
  <c r="E2818" i="1"/>
  <c r="G2818" i="1"/>
  <c r="H2818" i="1"/>
  <c r="A2819" i="1"/>
  <c r="B2819" i="1"/>
  <c r="C2819" i="1"/>
  <c r="E2819" i="1"/>
  <c r="G2819" i="1"/>
  <c r="H2819" i="1"/>
  <c r="A2820" i="1"/>
  <c r="B2820" i="1"/>
  <c r="C2820" i="1"/>
  <c r="E2820" i="1"/>
  <c r="G2820" i="1"/>
  <c r="H2820" i="1"/>
  <c r="A2821" i="1"/>
  <c r="B2821" i="1"/>
  <c r="C2821" i="1"/>
  <c r="E2821" i="1"/>
  <c r="G2821" i="1"/>
  <c r="H2821" i="1"/>
  <c r="A2822" i="1"/>
  <c r="B2822" i="1"/>
  <c r="C2822" i="1"/>
  <c r="E2822" i="1"/>
  <c r="G2822" i="1"/>
  <c r="H2822" i="1"/>
  <c r="A2823" i="1"/>
  <c r="B2823" i="1"/>
  <c r="C2823" i="1"/>
  <c r="E2823" i="1"/>
  <c r="G2823" i="1"/>
  <c r="H2823" i="1"/>
  <c r="A2824" i="1"/>
  <c r="B2824" i="1"/>
  <c r="C2824" i="1"/>
  <c r="E2824" i="1"/>
  <c r="G2824" i="1"/>
  <c r="H2824" i="1"/>
  <c r="A2825" i="1"/>
  <c r="B2825" i="1"/>
  <c r="C2825" i="1"/>
  <c r="E2825" i="1"/>
  <c r="G2825" i="1"/>
  <c r="H2825" i="1"/>
  <c r="A2826" i="1"/>
  <c r="B2826" i="1"/>
  <c r="C2826" i="1"/>
  <c r="E2826" i="1"/>
  <c r="G2826" i="1"/>
  <c r="H2826" i="1"/>
  <c r="A2827" i="1"/>
  <c r="B2827" i="1"/>
  <c r="C2827" i="1"/>
  <c r="E2827" i="1"/>
  <c r="G2827" i="1"/>
  <c r="H2827" i="1"/>
  <c r="A2828" i="1"/>
  <c r="B2828" i="1"/>
  <c r="C2828" i="1"/>
  <c r="E2828" i="1"/>
  <c r="G2828" i="1"/>
  <c r="H2828" i="1"/>
  <c r="A2829" i="1"/>
  <c r="B2829" i="1"/>
  <c r="C2829" i="1"/>
  <c r="E2829" i="1"/>
  <c r="G2829" i="1"/>
  <c r="H2829" i="1"/>
  <c r="A2830" i="1"/>
  <c r="B2830" i="1"/>
  <c r="C2830" i="1"/>
  <c r="E2830" i="1"/>
  <c r="G2830" i="1"/>
  <c r="H2830" i="1"/>
  <c r="A2831" i="1"/>
  <c r="B2831" i="1"/>
  <c r="C2831" i="1"/>
  <c r="E2831" i="1"/>
  <c r="G2831" i="1"/>
  <c r="H2831" i="1"/>
  <c r="A2832" i="1"/>
  <c r="B2832" i="1"/>
  <c r="C2832" i="1"/>
  <c r="E2832" i="1"/>
  <c r="G2832" i="1"/>
  <c r="H2832" i="1"/>
  <c r="A2833" i="1"/>
  <c r="B2833" i="1"/>
  <c r="C2833" i="1"/>
  <c r="E2833" i="1"/>
  <c r="G2833" i="1"/>
  <c r="H2833" i="1"/>
  <c r="A2834" i="1"/>
  <c r="B2834" i="1"/>
  <c r="C2834" i="1"/>
  <c r="E2834" i="1"/>
  <c r="G2834" i="1"/>
  <c r="H2834" i="1"/>
  <c r="A2835" i="1"/>
  <c r="B2835" i="1"/>
  <c r="C2835" i="1"/>
  <c r="E2835" i="1"/>
  <c r="G2835" i="1"/>
  <c r="H2835" i="1"/>
  <c r="A2836" i="1"/>
  <c r="B2836" i="1"/>
  <c r="C2836" i="1"/>
  <c r="E2836" i="1"/>
  <c r="G2836" i="1"/>
  <c r="H2836" i="1"/>
  <c r="A2837" i="1"/>
  <c r="B2837" i="1"/>
  <c r="C2837" i="1"/>
  <c r="E2837" i="1"/>
  <c r="G2837" i="1"/>
  <c r="H2837" i="1"/>
  <c r="A2838" i="1"/>
  <c r="B2838" i="1"/>
  <c r="C2838" i="1"/>
  <c r="E2838" i="1"/>
  <c r="G2838" i="1"/>
  <c r="H2838" i="1"/>
  <c r="A2839" i="1"/>
  <c r="B2839" i="1"/>
  <c r="C2839" i="1"/>
  <c r="E2839" i="1"/>
  <c r="G2839" i="1"/>
  <c r="H2839" i="1"/>
  <c r="A2840" i="1"/>
  <c r="B2840" i="1"/>
  <c r="C2840" i="1"/>
  <c r="E2840" i="1"/>
  <c r="G2840" i="1"/>
  <c r="H2840" i="1"/>
  <c r="A2841" i="1"/>
  <c r="B2841" i="1"/>
  <c r="C2841" i="1"/>
  <c r="E2841" i="1"/>
  <c r="G2841" i="1"/>
  <c r="H2841" i="1"/>
  <c r="A2842" i="1"/>
  <c r="B2842" i="1"/>
  <c r="C2842" i="1"/>
  <c r="E2842" i="1"/>
  <c r="G2842" i="1"/>
  <c r="H2842" i="1"/>
  <c r="A2843" i="1"/>
  <c r="B2843" i="1"/>
  <c r="C2843" i="1"/>
  <c r="E2843" i="1"/>
  <c r="G2843" i="1"/>
  <c r="H2843" i="1"/>
  <c r="A2844" i="1"/>
  <c r="B2844" i="1"/>
  <c r="C2844" i="1"/>
  <c r="E2844" i="1"/>
  <c r="G2844" i="1"/>
  <c r="H2844" i="1"/>
  <c r="A2845" i="1"/>
  <c r="B2845" i="1"/>
  <c r="C2845" i="1"/>
  <c r="E2845" i="1"/>
  <c r="G2845" i="1"/>
  <c r="H2845" i="1"/>
  <c r="A2846" i="1"/>
  <c r="B2846" i="1"/>
  <c r="C2846" i="1"/>
  <c r="E2846" i="1"/>
  <c r="G2846" i="1"/>
  <c r="H2846" i="1"/>
  <c r="A2847" i="1"/>
  <c r="B2847" i="1"/>
  <c r="C2847" i="1"/>
  <c r="E2847" i="1"/>
  <c r="G2847" i="1"/>
  <c r="H2847" i="1"/>
  <c r="A2848" i="1"/>
  <c r="B2848" i="1"/>
  <c r="C2848" i="1"/>
  <c r="E2848" i="1"/>
  <c r="G2848" i="1"/>
  <c r="H2848" i="1"/>
  <c r="A2849" i="1"/>
  <c r="B2849" i="1"/>
  <c r="C2849" i="1"/>
  <c r="E2849" i="1"/>
  <c r="G2849" i="1"/>
  <c r="H2849" i="1"/>
  <c r="A2850" i="1"/>
  <c r="B2850" i="1"/>
  <c r="C2850" i="1"/>
  <c r="E2850" i="1"/>
  <c r="G2850" i="1"/>
  <c r="H2850" i="1"/>
  <c r="A2851" i="1"/>
  <c r="B2851" i="1"/>
  <c r="C2851" i="1"/>
  <c r="E2851" i="1"/>
  <c r="G2851" i="1"/>
  <c r="H2851" i="1"/>
  <c r="A2852" i="1"/>
  <c r="B2852" i="1"/>
  <c r="C2852" i="1"/>
  <c r="E2852" i="1"/>
  <c r="G2852" i="1"/>
  <c r="H2852" i="1"/>
  <c r="A2853" i="1"/>
  <c r="B2853" i="1"/>
  <c r="C2853" i="1"/>
  <c r="E2853" i="1"/>
  <c r="G2853" i="1"/>
  <c r="H2853" i="1"/>
  <c r="A2854" i="1"/>
  <c r="B2854" i="1"/>
  <c r="C2854" i="1"/>
  <c r="E2854" i="1"/>
  <c r="G2854" i="1"/>
  <c r="H2854" i="1"/>
  <c r="A2855" i="1"/>
  <c r="B2855" i="1"/>
  <c r="C2855" i="1"/>
  <c r="E2855" i="1"/>
  <c r="G2855" i="1"/>
  <c r="H2855" i="1"/>
  <c r="A2856" i="1"/>
  <c r="B2856" i="1"/>
  <c r="C2856" i="1"/>
  <c r="E2856" i="1"/>
  <c r="G2856" i="1"/>
  <c r="H2856" i="1"/>
  <c r="A2857" i="1"/>
  <c r="B2857" i="1"/>
  <c r="C2857" i="1"/>
  <c r="E2857" i="1"/>
  <c r="G2857" i="1"/>
  <c r="H2857" i="1"/>
  <c r="A2858" i="1"/>
  <c r="B2858" i="1"/>
  <c r="C2858" i="1"/>
  <c r="E2858" i="1"/>
  <c r="G2858" i="1"/>
  <c r="H2858" i="1"/>
  <c r="A2859" i="1"/>
  <c r="B2859" i="1"/>
  <c r="C2859" i="1"/>
  <c r="E2859" i="1"/>
  <c r="G2859" i="1"/>
  <c r="H2859" i="1"/>
  <c r="A2860" i="1"/>
  <c r="B2860" i="1"/>
  <c r="C2860" i="1"/>
  <c r="E2860" i="1"/>
  <c r="G2860" i="1"/>
  <c r="H2860" i="1"/>
  <c r="A2861" i="1"/>
  <c r="B2861" i="1"/>
  <c r="C2861" i="1"/>
  <c r="E2861" i="1"/>
  <c r="G2861" i="1"/>
  <c r="H2861" i="1"/>
  <c r="A2862" i="1"/>
  <c r="B2862" i="1"/>
  <c r="C2862" i="1"/>
  <c r="E2862" i="1"/>
  <c r="G2862" i="1"/>
  <c r="H2862" i="1"/>
  <c r="A2863" i="1"/>
  <c r="B2863" i="1"/>
  <c r="C2863" i="1"/>
  <c r="E2863" i="1"/>
  <c r="G2863" i="1"/>
  <c r="H2863" i="1"/>
  <c r="A2864" i="1"/>
  <c r="B2864" i="1"/>
  <c r="C2864" i="1"/>
  <c r="E2864" i="1"/>
  <c r="G2864" i="1"/>
  <c r="H2864" i="1"/>
  <c r="A2865" i="1"/>
  <c r="B2865" i="1"/>
  <c r="C2865" i="1"/>
  <c r="E2865" i="1"/>
  <c r="G2865" i="1"/>
  <c r="H2865" i="1"/>
  <c r="A2866" i="1"/>
  <c r="B2866" i="1"/>
  <c r="C2866" i="1"/>
  <c r="E2866" i="1"/>
  <c r="G2866" i="1"/>
  <c r="H2866" i="1"/>
  <c r="A2867" i="1"/>
  <c r="B2867" i="1"/>
  <c r="C2867" i="1"/>
  <c r="E2867" i="1"/>
  <c r="G2867" i="1"/>
  <c r="H2867" i="1"/>
  <c r="A2868" i="1"/>
  <c r="B2868" i="1"/>
  <c r="C2868" i="1"/>
  <c r="E2868" i="1"/>
  <c r="G2868" i="1"/>
  <c r="H2868" i="1"/>
  <c r="A2869" i="1"/>
  <c r="B2869" i="1"/>
  <c r="C2869" i="1"/>
  <c r="E2869" i="1"/>
  <c r="G2869" i="1"/>
  <c r="H2869" i="1"/>
  <c r="A2870" i="1"/>
  <c r="B2870" i="1"/>
  <c r="C2870" i="1"/>
  <c r="E2870" i="1"/>
  <c r="G2870" i="1"/>
  <c r="H2870" i="1"/>
  <c r="A2871" i="1"/>
  <c r="B2871" i="1"/>
  <c r="C2871" i="1"/>
  <c r="E2871" i="1"/>
  <c r="G2871" i="1"/>
  <c r="H2871" i="1"/>
  <c r="A2872" i="1"/>
  <c r="B2872" i="1"/>
  <c r="C2872" i="1"/>
  <c r="E2872" i="1"/>
  <c r="G2872" i="1"/>
  <c r="H2872" i="1"/>
  <c r="A2873" i="1"/>
  <c r="B2873" i="1"/>
  <c r="C2873" i="1"/>
  <c r="E2873" i="1"/>
  <c r="G2873" i="1"/>
  <c r="H2873" i="1"/>
  <c r="A2874" i="1"/>
  <c r="B2874" i="1"/>
  <c r="C2874" i="1"/>
  <c r="E2874" i="1"/>
  <c r="G2874" i="1"/>
  <c r="H2874" i="1"/>
  <c r="A2875" i="1"/>
  <c r="B2875" i="1"/>
  <c r="C2875" i="1"/>
  <c r="E2875" i="1"/>
  <c r="G2875" i="1"/>
  <c r="H2875" i="1"/>
  <c r="A2876" i="1"/>
  <c r="B2876" i="1"/>
  <c r="C2876" i="1"/>
  <c r="E2876" i="1"/>
  <c r="G2876" i="1"/>
  <c r="H2876" i="1"/>
  <c r="A2877" i="1"/>
  <c r="B2877" i="1"/>
  <c r="C2877" i="1"/>
  <c r="E2877" i="1"/>
  <c r="G2877" i="1"/>
  <c r="H2877" i="1"/>
  <c r="A2878" i="1"/>
  <c r="B2878" i="1"/>
  <c r="C2878" i="1"/>
  <c r="E2878" i="1"/>
  <c r="G2878" i="1"/>
  <c r="H2878" i="1"/>
  <c r="A2879" i="1"/>
  <c r="B2879" i="1"/>
  <c r="C2879" i="1"/>
  <c r="E2879" i="1"/>
  <c r="G2879" i="1"/>
  <c r="H2879" i="1"/>
  <c r="A2880" i="1"/>
  <c r="B2880" i="1"/>
  <c r="C2880" i="1"/>
  <c r="E2880" i="1"/>
  <c r="G2880" i="1"/>
  <c r="H2880" i="1"/>
  <c r="A2881" i="1"/>
  <c r="B2881" i="1"/>
  <c r="C2881" i="1"/>
  <c r="E2881" i="1"/>
  <c r="G2881" i="1"/>
  <c r="H2881" i="1"/>
  <c r="A2882" i="1"/>
  <c r="B2882" i="1"/>
  <c r="C2882" i="1"/>
  <c r="E2882" i="1"/>
  <c r="G2882" i="1"/>
  <c r="H2882" i="1"/>
  <c r="A2883" i="1"/>
  <c r="B2883" i="1"/>
  <c r="C2883" i="1"/>
  <c r="E2883" i="1"/>
  <c r="G2883" i="1"/>
  <c r="H2883" i="1"/>
  <c r="A2884" i="1"/>
  <c r="B2884" i="1"/>
  <c r="C2884" i="1"/>
  <c r="E2884" i="1"/>
  <c r="G2884" i="1"/>
  <c r="H2884" i="1"/>
  <c r="A2885" i="1"/>
  <c r="B2885" i="1"/>
  <c r="C2885" i="1"/>
  <c r="E2885" i="1"/>
  <c r="G2885" i="1"/>
  <c r="H2885" i="1"/>
  <c r="A2886" i="1"/>
  <c r="B2886" i="1"/>
  <c r="C2886" i="1"/>
  <c r="E2886" i="1"/>
  <c r="G2886" i="1"/>
  <c r="H2886" i="1"/>
  <c r="A2887" i="1"/>
  <c r="B2887" i="1"/>
  <c r="C2887" i="1"/>
  <c r="E2887" i="1"/>
  <c r="G2887" i="1"/>
  <c r="H2887" i="1"/>
  <c r="A2888" i="1"/>
  <c r="B2888" i="1"/>
  <c r="C2888" i="1"/>
  <c r="E2888" i="1"/>
  <c r="G2888" i="1"/>
  <c r="H2888" i="1"/>
  <c r="A2889" i="1"/>
  <c r="B2889" i="1"/>
  <c r="C2889" i="1"/>
  <c r="E2889" i="1"/>
  <c r="G2889" i="1"/>
  <c r="H2889" i="1"/>
  <c r="A2890" i="1"/>
  <c r="B2890" i="1"/>
  <c r="C2890" i="1"/>
  <c r="E2890" i="1"/>
  <c r="G2890" i="1"/>
  <c r="H2890" i="1"/>
  <c r="A2891" i="1"/>
  <c r="B2891" i="1"/>
  <c r="C2891" i="1"/>
  <c r="E2891" i="1"/>
  <c r="G2891" i="1"/>
  <c r="H2891" i="1"/>
  <c r="A2892" i="1"/>
  <c r="B2892" i="1"/>
  <c r="C2892" i="1"/>
  <c r="E2892" i="1"/>
  <c r="G2892" i="1"/>
  <c r="H2892" i="1"/>
  <c r="A2893" i="1"/>
  <c r="B2893" i="1"/>
  <c r="C2893" i="1"/>
  <c r="E2893" i="1"/>
  <c r="G2893" i="1"/>
  <c r="H2893" i="1"/>
  <c r="A2894" i="1"/>
  <c r="B2894" i="1"/>
  <c r="C2894" i="1"/>
  <c r="E2894" i="1"/>
  <c r="G2894" i="1"/>
  <c r="H2894" i="1"/>
  <c r="A2895" i="1"/>
  <c r="B2895" i="1"/>
  <c r="C2895" i="1"/>
  <c r="E2895" i="1"/>
  <c r="G2895" i="1"/>
  <c r="H2895" i="1"/>
  <c r="A2896" i="1"/>
  <c r="B2896" i="1"/>
  <c r="C2896" i="1"/>
  <c r="E2896" i="1"/>
  <c r="G2896" i="1"/>
  <c r="H2896" i="1"/>
  <c r="A2897" i="1"/>
  <c r="B2897" i="1"/>
  <c r="C2897" i="1"/>
  <c r="E2897" i="1"/>
  <c r="G2897" i="1"/>
  <c r="H2897" i="1"/>
  <c r="A2898" i="1"/>
  <c r="B2898" i="1"/>
  <c r="C2898" i="1"/>
  <c r="E2898" i="1"/>
  <c r="G2898" i="1"/>
  <c r="H2898" i="1"/>
  <c r="A2899" i="1"/>
  <c r="B2899" i="1"/>
  <c r="C2899" i="1"/>
  <c r="E2899" i="1"/>
  <c r="G2899" i="1"/>
  <c r="H2899" i="1"/>
  <c r="A2900" i="1"/>
  <c r="B2900" i="1"/>
  <c r="C2900" i="1"/>
  <c r="E2900" i="1"/>
  <c r="G2900" i="1"/>
  <c r="H2900" i="1"/>
  <c r="A2901" i="1"/>
  <c r="B2901" i="1"/>
  <c r="C2901" i="1"/>
  <c r="E2901" i="1"/>
  <c r="G2901" i="1"/>
  <c r="H2901" i="1"/>
  <c r="A2902" i="1"/>
  <c r="B2902" i="1"/>
  <c r="C2902" i="1"/>
  <c r="E2902" i="1"/>
  <c r="G2902" i="1"/>
  <c r="H2902" i="1"/>
  <c r="A2903" i="1"/>
  <c r="B2903" i="1"/>
  <c r="C2903" i="1"/>
  <c r="E2903" i="1"/>
  <c r="G2903" i="1"/>
  <c r="H2903" i="1"/>
  <c r="A2904" i="1"/>
  <c r="B2904" i="1"/>
  <c r="C2904" i="1"/>
  <c r="E2904" i="1"/>
  <c r="G2904" i="1"/>
  <c r="H2904" i="1"/>
  <c r="A2905" i="1"/>
  <c r="B2905" i="1"/>
  <c r="C2905" i="1"/>
  <c r="E2905" i="1"/>
  <c r="G2905" i="1"/>
  <c r="H2905" i="1"/>
  <c r="A2906" i="1"/>
  <c r="B2906" i="1"/>
  <c r="C2906" i="1"/>
  <c r="E2906" i="1"/>
  <c r="G2906" i="1"/>
  <c r="H2906" i="1"/>
  <c r="A2907" i="1"/>
  <c r="B2907" i="1"/>
  <c r="C2907" i="1"/>
  <c r="E2907" i="1"/>
  <c r="G2907" i="1"/>
  <c r="H2907" i="1"/>
  <c r="A2908" i="1"/>
  <c r="B2908" i="1"/>
  <c r="C2908" i="1"/>
  <c r="E2908" i="1"/>
  <c r="G2908" i="1"/>
  <c r="H2908" i="1"/>
  <c r="A2909" i="1"/>
  <c r="B2909" i="1"/>
  <c r="C2909" i="1"/>
  <c r="E2909" i="1"/>
  <c r="G2909" i="1"/>
  <c r="H2909" i="1"/>
  <c r="A2910" i="1"/>
  <c r="B2910" i="1"/>
  <c r="C2910" i="1"/>
  <c r="E2910" i="1"/>
  <c r="G2910" i="1"/>
  <c r="H2910" i="1"/>
  <c r="A2911" i="1"/>
  <c r="B2911" i="1"/>
  <c r="C2911" i="1"/>
  <c r="E2911" i="1"/>
  <c r="G2911" i="1"/>
  <c r="H2911" i="1"/>
  <c r="A2912" i="1"/>
  <c r="B2912" i="1"/>
  <c r="C2912" i="1"/>
  <c r="E2912" i="1"/>
  <c r="G2912" i="1"/>
  <c r="H2912" i="1"/>
  <c r="A2913" i="1"/>
  <c r="B2913" i="1"/>
  <c r="C2913" i="1"/>
  <c r="E2913" i="1"/>
  <c r="G2913" i="1"/>
  <c r="H2913" i="1"/>
  <c r="A2914" i="1"/>
  <c r="B2914" i="1"/>
  <c r="C2914" i="1"/>
  <c r="E2914" i="1"/>
  <c r="G2914" i="1"/>
  <c r="H2914" i="1"/>
  <c r="A2915" i="1"/>
  <c r="B2915" i="1"/>
  <c r="C2915" i="1"/>
  <c r="E2915" i="1"/>
  <c r="G2915" i="1"/>
  <c r="H2915" i="1"/>
  <c r="A2916" i="1"/>
  <c r="B2916" i="1"/>
  <c r="C2916" i="1"/>
  <c r="E2916" i="1"/>
  <c r="G2916" i="1"/>
  <c r="H2916" i="1"/>
  <c r="A2917" i="1"/>
  <c r="B2917" i="1"/>
  <c r="C2917" i="1"/>
  <c r="E2917" i="1"/>
  <c r="G2917" i="1"/>
  <c r="H2917" i="1"/>
  <c r="A2918" i="1"/>
  <c r="B2918" i="1"/>
  <c r="C2918" i="1"/>
  <c r="E2918" i="1"/>
  <c r="G2918" i="1"/>
  <c r="H2918" i="1"/>
  <c r="A2919" i="1"/>
  <c r="B2919" i="1"/>
  <c r="C2919" i="1"/>
  <c r="E2919" i="1"/>
  <c r="G2919" i="1"/>
  <c r="H2919" i="1"/>
  <c r="A2920" i="1"/>
  <c r="B2920" i="1"/>
  <c r="C2920" i="1"/>
  <c r="E2920" i="1"/>
  <c r="G2920" i="1"/>
  <c r="H2920" i="1"/>
  <c r="A2921" i="1"/>
  <c r="B2921" i="1"/>
  <c r="C2921" i="1"/>
  <c r="E2921" i="1"/>
  <c r="G2921" i="1"/>
  <c r="H2921" i="1"/>
  <c r="A2922" i="1"/>
  <c r="B2922" i="1"/>
  <c r="C2922" i="1"/>
  <c r="E2922" i="1"/>
  <c r="G2922" i="1"/>
  <c r="H2922" i="1"/>
  <c r="A2923" i="1"/>
  <c r="B2923" i="1"/>
  <c r="C2923" i="1"/>
  <c r="E2923" i="1"/>
  <c r="G2923" i="1"/>
  <c r="H2923" i="1"/>
  <c r="A2924" i="1"/>
  <c r="B2924" i="1"/>
  <c r="C2924" i="1"/>
  <c r="E2924" i="1"/>
  <c r="G2924" i="1"/>
  <c r="H2924" i="1"/>
  <c r="A2925" i="1"/>
  <c r="B2925" i="1"/>
  <c r="C2925" i="1"/>
  <c r="E2925" i="1"/>
  <c r="G2925" i="1"/>
  <c r="H2925" i="1"/>
  <c r="A2926" i="1"/>
  <c r="B2926" i="1"/>
  <c r="C2926" i="1"/>
  <c r="E2926" i="1"/>
  <c r="G2926" i="1"/>
  <c r="H2926" i="1"/>
  <c r="A2927" i="1"/>
  <c r="B2927" i="1"/>
  <c r="C2927" i="1"/>
  <c r="E2927" i="1"/>
  <c r="G2927" i="1"/>
  <c r="H2927" i="1"/>
  <c r="A2928" i="1"/>
  <c r="B2928" i="1"/>
  <c r="C2928" i="1"/>
  <c r="E2928" i="1"/>
  <c r="G2928" i="1"/>
  <c r="H2928" i="1"/>
  <c r="A2929" i="1"/>
  <c r="B2929" i="1"/>
  <c r="C2929" i="1"/>
  <c r="E2929" i="1"/>
  <c r="G2929" i="1"/>
  <c r="H2929" i="1"/>
  <c r="A2930" i="1"/>
  <c r="B2930" i="1"/>
  <c r="C2930" i="1"/>
  <c r="E2930" i="1"/>
  <c r="G2930" i="1"/>
  <c r="H2930" i="1"/>
  <c r="A2931" i="1"/>
  <c r="B2931" i="1"/>
  <c r="C2931" i="1"/>
  <c r="E2931" i="1"/>
  <c r="G2931" i="1"/>
  <c r="H2931" i="1"/>
  <c r="A2932" i="1"/>
  <c r="B2932" i="1"/>
  <c r="C2932" i="1"/>
  <c r="E2932" i="1"/>
  <c r="G2932" i="1"/>
  <c r="H2932" i="1"/>
  <c r="A2933" i="1"/>
  <c r="B2933" i="1"/>
  <c r="C2933" i="1"/>
  <c r="E2933" i="1"/>
  <c r="G2933" i="1"/>
  <c r="H2933" i="1"/>
  <c r="A2934" i="1"/>
  <c r="B2934" i="1"/>
  <c r="C2934" i="1"/>
  <c r="E2934" i="1"/>
  <c r="G2934" i="1"/>
  <c r="H2934" i="1"/>
  <c r="A2935" i="1"/>
  <c r="B2935" i="1"/>
  <c r="C2935" i="1"/>
  <c r="E2935" i="1"/>
  <c r="G2935" i="1"/>
  <c r="H2935" i="1"/>
  <c r="A2936" i="1"/>
  <c r="B2936" i="1"/>
  <c r="C2936" i="1"/>
  <c r="E2936" i="1"/>
  <c r="G2936" i="1"/>
  <c r="H2936" i="1"/>
  <c r="A2937" i="1"/>
  <c r="B2937" i="1"/>
  <c r="C2937" i="1"/>
  <c r="E2937" i="1"/>
  <c r="G2937" i="1"/>
  <c r="H2937" i="1"/>
  <c r="A2938" i="1"/>
  <c r="B2938" i="1"/>
  <c r="C2938" i="1"/>
  <c r="E2938" i="1"/>
  <c r="G2938" i="1"/>
  <c r="H2938" i="1"/>
  <c r="A2939" i="1"/>
  <c r="B2939" i="1"/>
  <c r="C2939" i="1"/>
  <c r="E2939" i="1"/>
  <c r="G2939" i="1"/>
  <c r="H2939" i="1"/>
  <c r="A2940" i="1"/>
  <c r="B2940" i="1"/>
  <c r="C2940" i="1"/>
  <c r="E2940" i="1"/>
  <c r="G2940" i="1"/>
  <c r="H2940" i="1"/>
  <c r="A2941" i="1"/>
  <c r="B2941" i="1"/>
  <c r="C2941" i="1"/>
  <c r="E2941" i="1"/>
  <c r="G2941" i="1"/>
  <c r="H2941" i="1"/>
  <c r="A2942" i="1"/>
  <c r="B2942" i="1"/>
  <c r="C2942" i="1"/>
  <c r="E2942" i="1"/>
  <c r="G2942" i="1"/>
  <c r="H2942" i="1"/>
  <c r="A2943" i="1"/>
  <c r="B2943" i="1"/>
  <c r="C2943" i="1"/>
  <c r="E2943" i="1"/>
  <c r="G2943" i="1"/>
  <c r="H2943" i="1"/>
  <c r="A2944" i="1"/>
  <c r="B2944" i="1"/>
  <c r="C2944" i="1"/>
  <c r="E2944" i="1"/>
  <c r="G2944" i="1"/>
  <c r="H2944" i="1"/>
  <c r="A2945" i="1"/>
  <c r="B2945" i="1"/>
  <c r="C2945" i="1"/>
  <c r="E2945" i="1"/>
  <c r="G2945" i="1"/>
  <c r="H2945" i="1"/>
  <c r="A2946" i="1"/>
  <c r="B2946" i="1"/>
  <c r="C2946" i="1"/>
  <c r="E2946" i="1"/>
  <c r="G2946" i="1"/>
  <c r="H2946" i="1"/>
  <c r="A2947" i="1"/>
  <c r="B2947" i="1"/>
  <c r="C2947" i="1"/>
  <c r="E2947" i="1"/>
  <c r="G2947" i="1"/>
  <c r="H2947" i="1"/>
  <c r="A2948" i="1"/>
  <c r="B2948" i="1"/>
  <c r="C2948" i="1"/>
  <c r="E2948" i="1"/>
  <c r="G2948" i="1"/>
  <c r="H2948" i="1"/>
  <c r="A2949" i="1"/>
  <c r="B2949" i="1"/>
  <c r="C2949" i="1"/>
  <c r="E2949" i="1"/>
  <c r="G2949" i="1"/>
  <c r="H2949" i="1"/>
  <c r="A2950" i="1"/>
  <c r="B2950" i="1"/>
  <c r="C2950" i="1"/>
  <c r="E2950" i="1"/>
  <c r="G2950" i="1"/>
  <c r="H2950" i="1"/>
  <c r="A2951" i="1"/>
  <c r="B2951" i="1"/>
  <c r="C2951" i="1"/>
  <c r="E2951" i="1"/>
  <c r="G2951" i="1"/>
  <c r="H2951" i="1"/>
  <c r="A2952" i="1"/>
  <c r="B2952" i="1"/>
  <c r="C2952" i="1"/>
  <c r="E2952" i="1"/>
  <c r="G2952" i="1"/>
  <c r="H2952" i="1"/>
  <c r="A2953" i="1"/>
  <c r="B2953" i="1"/>
  <c r="C2953" i="1"/>
  <c r="E2953" i="1"/>
  <c r="G2953" i="1"/>
  <c r="H2953" i="1"/>
  <c r="A2954" i="1"/>
  <c r="B2954" i="1"/>
  <c r="C2954" i="1"/>
  <c r="E2954" i="1"/>
  <c r="G2954" i="1"/>
  <c r="H2954" i="1"/>
  <c r="A2955" i="1"/>
  <c r="B2955" i="1"/>
  <c r="C2955" i="1"/>
  <c r="E2955" i="1"/>
  <c r="G2955" i="1"/>
  <c r="H2955" i="1"/>
  <c r="A2956" i="1"/>
  <c r="B2956" i="1"/>
  <c r="C2956" i="1"/>
  <c r="E2956" i="1"/>
  <c r="G2956" i="1"/>
  <c r="H2956" i="1"/>
  <c r="A2957" i="1"/>
  <c r="B2957" i="1"/>
  <c r="C2957" i="1"/>
  <c r="E2957" i="1"/>
  <c r="G2957" i="1"/>
  <c r="H2957" i="1"/>
  <c r="A2958" i="1"/>
  <c r="B2958" i="1"/>
  <c r="C2958" i="1"/>
  <c r="E2958" i="1"/>
  <c r="G2958" i="1"/>
  <c r="H2958" i="1"/>
  <c r="A2959" i="1"/>
  <c r="B2959" i="1"/>
  <c r="C2959" i="1"/>
  <c r="E2959" i="1"/>
  <c r="G2959" i="1"/>
  <c r="H2959" i="1"/>
  <c r="A2960" i="1"/>
  <c r="B2960" i="1"/>
  <c r="C2960" i="1"/>
  <c r="E2960" i="1"/>
  <c r="G2960" i="1"/>
  <c r="H2960" i="1"/>
  <c r="A2961" i="1"/>
  <c r="B2961" i="1"/>
  <c r="C2961" i="1"/>
  <c r="E2961" i="1"/>
  <c r="G2961" i="1"/>
  <c r="H2961" i="1"/>
  <c r="A2962" i="1"/>
  <c r="B2962" i="1"/>
  <c r="C2962" i="1"/>
  <c r="E2962" i="1"/>
  <c r="G2962" i="1"/>
  <c r="H2962" i="1"/>
  <c r="A2963" i="1"/>
  <c r="B2963" i="1"/>
  <c r="C2963" i="1"/>
  <c r="E2963" i="1"/>
  <c r="G2963" i="1"/>
  <c r="H2963" i="1"/>
  <c r="A2964" i="1"/>
  <c r="B2964" i="1"/>
  <c r="C2964" i="1"/>
  <c r="E2964" i="1"/>
  <c r="G2964" i="1"/>
  <c r="H2964" i="1"/>
  <c r="A2965" i="1"/>
  <c r="B2965" i="1"/>
  <c r="C2965" i="1"/>
  <c r="E2965" i="1"/>
  <c r="G2965" i="1"/>
  <c r="H2965" i="1"/>
  <c r="A2966" i="1"/>
  <c r="B2966" i="1"/>
  <c r="C2966" i="1"/>
  <c r="E2966" i="1"/>
  <c r="G2966" i="1"/>
  <c r="H2966" i="1"/>
  <c r="A2967" i="1"/>
  <c r="B2967" i="1"/>
  <c r="C2967" i="1"/>
  <c r="E2967" i="1"/>
  <c r="G2967" i="1"/>
  <c r="H2967" i="1"/>
  <c r="A2968" i="1"/>
  <c r="B2968" i="1"/>
  <c r="C2968" i="1"/>
  <c r="E2968" i="1"/>
  <c r="G2968" i="1"/>
  <c r="H2968" i="1"/>
  <c r="A2969" i="1"/>
  <c r="B2969" i="1"/>
  <c r="C2969" i="1"/>
  <c r="E2969" i="1"/>
  <c r="G2969" i="1"/>
  <c r="H2969" i="1"/>
  <c r="A2970" i="1"/>
  <c r="B2970" i="1"/>
  <c r="C2970" i="1"/>
  <c r="E2970" i="1"/>
  <c r="G2970" i="1"/>
  <c r="H2970" i="1"/>
  <c r="A2971" i="1"/>
  <c r="B2971" i="1"/>
  <c r="C2971" i="1"/>
  <c r="E2971" i="1"/>
  <c r="G2971" i="1"/>
  <c r="H2971" i="1"/>
  <c r="A2972" i="1"/>
  <c r="B2972" i="1"/>
  <c r="C2972" i="1"/>
  <c r="E2972" i="1"/>
  <c r="G2972" i="1"/>
  <c r="H2972" i="1"/>
  <c r="A2973" i="1"/>
  <c r="B2973" i="1"/>
  <c r="C2973" i="1"/>
  <c r="E2973" i="1"/>
  <c r="G2973" i="1"/>
  <c r="H2973" i="1"/>
  <c r="A2974" i="1"/>
  <c r="B2974" i="1"/>
  <c r="C2974" i="1"/>
  <c r="E2974" i="1"/>
  <c r="G2974" i="1"/>
  <c r="H2974" i="1"/>
  <c r="A2975" i="1"/>
  <c r="B2975" i="1"/>
  <c r="C2975" i="1"/>
  <c r="E2975" i="1"/>
  <c r="G2975" i="1"/>
  <c r="H2975" i="1"/>
  <c r="A2976" i="1"/>
  <c r="B2976" i="1"/>
  <c r="C2976" i="1"/>
  <c r="E2976" i="1"/>
  <c r="G2976" i="1"/>
  <c r="H2976" i="1"/>
  <c r="A2977" i="1"/>
  <c r="B2977" i="1"/>
  <c r="C2977" i="1"/>
  <c r="E2977" i="1"/>
  <c r="G2977" i="1"/>
  <c r="H2977" i="1"/>
  <c r="A2978" i="1"/>
  <c r="B2978" i="1"/>
  <c r="C2978" i="1"/>
  <c r="E2978" i="1"/>
  <c r="G2978" i="1"/>
  <c r="H2978" i="1"/>
  <c r="A2979" i="1"/>
  <c r="B2979" i="1"/>
  <c r="C2979" i="1"/>
  <c r="E2979" i="1"/>
  <c r="G2979" i="1"/>
  <c r="H2979" i="1"/>
  <c r="A2980" i="1"/>
  <c r="B2980" i="1"/>
  <c r="C2980" i="1"/>
  <c r="E2980" i="1"/>
  <c r="G2980" i="1"/>
  <c r="H2980" i="1"/>
  <c r="A2981" i="1"/>
  <c r="B2981" i="1"/>
  <c r="C2981" i="1"/>
  <c r="E2981" i="1"/>
  <c r="G2981" i="1"/>
  <c r="H2981" i="1"/>
  <c r="A2982" i="1"/>
  <c r="B2982" i="1"/>
  <c r="C2982" i="1"/>
  <c r="E2982" i="1"/>
  <c r="G2982" i="1"/>
  <c r="H2982" i="1"/>
  <c r="A2983" i="1"/>
  <c r="B2983" i="1"/>
  <c r="C2983" i="1"/>
  <c r="E2983" i="1"/>
  <c r="G2983" i="1"/>
  <c r="H2983" i="1"/>
  <c r="A2984" i="1"/>
  <c r="B2984" i="1"/>
  <c r="C2984" i="1"/>
  <c r="E2984" i="1"/>
  <c r="G2984" i="1"/>
  <c r="H2984" i="1"/>
  <c r="A2985" i="1"/>
  <c r="B2985" i="1"/>
  <c r="C2985" i="1"/>
  <c r="E2985" i="1"/>
  <c r="G2985" i="1"/>
  <c r="H2985" i="1"/>
  <c r="A2986" i="1"/>
  <c r="B2986" i="1"/>
  <c r="C2986" i="1"/>
  <c r="E2986" i="1"/>
  <c r="G2986" i="1"/>
  <c r="H2986" i="1"/>
  <c r="A2987" i="1"/>
  <c r="B2987" i="1"/>
  <c r="C2987" i="1"/>
  <c r="E2987" i="1"/>
  <c r="G2987" i="1"/>
  <c r="H2987" i="1"/>
  <c r="A2988" i="1"/>
  <c r="B2988" i="1"/>
  <c r="C2988" i="1"/>
  <c r="E2988" i="1"/>
  <c r="G2988" i="1"/>
  <c r="H2988" i="1"/>
  <c r="A2989" i="1"/>
  <c r="B2989" i="1"/>
  <c r="C2989" i="1"/>
  <c r="E2989" i="1"/>
  <c r="G2989" i="1"/>
  <c r="H2989" i="1"/>
  <c r="A2990" i="1"/>
  <c r="B2990" i="1"/>
  <c r="C2990" i="1"/>
  <c r="E2990" i="1"/>
  <c r="G2990" i="1"/>
  <c r="H2990" i="1"/>
  <c r="A2991" i="1"/>
  <c r="B2991" i="1"/>
  <c r="C2991" i="1"/>
  <c r="E2991" i="1"/>
  <c r="G2991" i="1"/>
  <c r="H2991" i="1"/>
  <c r="A2992" i="1"/>
  <c r="B2992" i="1"/>
  <c r="C2992" i="1"/>
  <c r="E2992" i="1"/>
  <c r="G2992" i="1"/>
  <c r="H2992" i="1"/>
  <c r="A2993" i="1"/>
  <c r="B2993" i="1"/>
  <c r="C2993" i="1"/>
  <c r="E2993" i="1"/>
  <c r="G2993" i="1"/>
  <c r="H2993" i="1"/>
  <c r="A2994" i="1"/>
  <c r="B2994" i="1"/>
  <c r="C2994" i="1"/>
  <c r="E2994" i="1"/>
  <c r="G2994" i="1"/>
  <c r="H2994" i="1"/>
  <c r="A2995" i="1"/>
  <c r="B2995" i="1"/>
  <c r="C2995" i="1"/>
  <c r="E2995" i="1"/>
  <c r="G2995" i="1"/>
  <c r="H2995" i="1"/>
  <c r="A2996" i="1"/>
  <c r="B2996" i="1"/>
  <c r="C2996" i="1"/>
  <c r="E2996" i="1"/>
  <c r="G2996" i="1"/>
  <c r="H2996" i="1"/>
  <c r="A2997" i="1"/>
  <c r="B2997" i="1"/>
  <c r="C2997" i="1"/>
  <c r="E2997" i="1"/>
  <c r="G2997" i="1"/>
  <c r="H2997" i="1"/>
  <c r="A2998" i="1"/>
  <c r="B2998" i="1"/>
  <c r="C2998" i="1"/>
  <c r="E2998" i="1"/>
  <c r="G2998" i="1"/>
  <c r="H2998" i="1"/>
  <c r="A2999" i="1"/>
  <c r="B2999" i="1"/>
  <c r="C2999" i="1"/>
  <c r="E2999" i="1"/>
  <c r="G2999" i="1"/>
  <c r="H2999" i="1"/>
  <c r="A3000" i="1"/>
  <c r="B3000" i="1"/>
  <c r="C3000" i="1"/>
  <c r="E3000" i="1"/>
  <c r="G3000" i="1"/>
  <c r="H3000" i="1"/>
  <c r="A3001" i="1"/>
  <c r="B3001" i="1"/>
  <c r="C3001" i="1"/>
  <c r="E3001" i="1"/>
  <c r="G3001" i="1"/>
  <c r="H3001" i="1"/>
  <c r="A3002" i="1"/>
  <c r="B3002" i="1"/>
  <c r="C3002" i="1"/>
  <c r="E3002" i="1"/>
  <c r="G3002" i="1"/>
  <c r="H3002" i="1"/>
  <c r="A3003" i="1"/>
  <c r="B3003" i="1"/>
  <c r="C3003" i="1"/>
  <c r="E3003" i="1"/>
  <c r="G3003" i="1"/>
  <c r="H3003" i="1"/>
  <c r="A3004" i="1"/>
  <c r="B3004" i="1"/>
  <c r="C3004" i="1"/>
  <c r="E3004" i="1"/>
  <c r="G3004" i="1"/>
  <c r="H3004" i="1"/>
  <c r="A3005" i="1"/>
  <c r="B3005" i="1"/>
  <c r="C3005" i="1"/>
  <c r="E3005" i="1"/>
  <c r="G3005" i="1"/>
  <c r="H3005" i="1"/>
  <c r="A3006" i="1"/>
  <c r="B3006" i="1"/>
  <c r="C3006" i="1"/>
  <c r="E3006" i="1"/>
  <c r="G3006" i="1"/>
  <c r="H3006" i="1"/>
  <c r="A3007" i="1"/>
  <c r="B3007" i="1"/>
  <c r="C3007" i="1"/>
  <c r="E3007" i="1"/>
  <c r="G3007" i="1"/>
  <c r="H3007" i="1"/>
  <c r="A3008" i="1"/>
  <c r="B3008" i="1"/>
  <c r="C3008" i="1"/>
  <c r="E3008" i="1"/>
  <c r="G3008" i="1"/>
  <c r="H3008" i="1"/>
  <c r="A3009" i="1"/>
  <c r="B3009" i="1"/>
  <c r="C3009" i="1"/>
  <c r="E3009" i="1"/>
  <c r="G3009" i="1"/>
  <c r="H3009" i="1"/>
  <c r="A3010" i="1"/>
  <c r="B3010" i="1"/>
  <c r="C3010" i="1"/>
  <c r="E3010" i="1"/>
  <c r="G3010" i="1"/>
  <c r="H3010" i="1"/>
  <c r="A3011" i="1"/>
  <c r="B3011" i="1"/>
  <c r="C3011" i="1"/>
  <c r="E3011" i="1"/>
  <c r="G3011" i="1"/>
  <c r="H3011" i="1"/>
  <c r="A3012" i="1"/>
  <c r="B3012" i="1"/>
  <c r="C3012" i="1"/>
  <c r="E3012" i="1"/>
  <c r="G3012" i="1"/>
  <c r="H3012" i="1"/>
  <c r="A3013" i="1"/>
  <c r="B3013" i="1"/>
  <c r="C3013" i="1"/>
  <c r="E3013" i="1"/>
  <c r="G3013" i="1"/>
  <c r="H3013" i="1"/>
  <c r="A3014" i="1"/>
  <c r="B3014" i="1"/>
  <c r="C3014" i="1"/>
  <c r="E3014" i="1"/>
  <c r="G3014" i="1"/>
  <c r="H3014" i="1"/>
  <c r="A3015" i="1"/>
  <c r="B3015" i="1"/>
  <c r="C3015" i="1"/>
  <c r="E3015" i="1"/>
  <c r="G3015" i="1"/>
  <c r="H3015" i="1"/>
  <c r="A3016" i="1"/>
  <c r="B3016" i="1"/>
  <c r="C3016" i="1"/>
  <c r="E3016" i="1"/>
  <c r="G3016" i="1"/>
  <c r="H3016" i="1"/>
  <c r="A3017" i="1"/>
  <c r="B3017" i="1"/>
  <c r="C3017" i="1"/>
  <c r="E3017" i="1"/>
  <c r="G3017" i="1"/>
  <c r="H3017" i="1"/>
  <c r="A3018" i="1"/>
  <c r="B3018" i="1"/>
  <c r="C3018" i="1"/>
  <c r="E3018" i="1"/>
  <c r="G3018" i="1"/>
  <c r="H3018" i="1"/>
  <c r="A3019" i="1"/>
  <c r="B3019" i="1"/>
  <c r="C3019" i="1"/>
  <c r="E3019" i="1"/>
  <c r="G3019" i="1"/>
  <c r="H3019" i="1"/>
  <c r="A3020" i="1"/>
  <c r="B3020" i="1"/>
  <c r="C3020" i="1"/>
  <c r="E3020" i="1"/>
  <c r="G3020" i="1"/>
  <c r="H3020" i="1"/>
  <c r="A3021" i="1"/>
  <c r="B3021" i="1"/>
  <c r="C3021" i="1"/>
  <c r="E3021" i="1"/>
  <c r="G3021" i="1"/>
  <c r="H3021" i="1"/>
  <c r="A3022" i="1"/>
  <c r="B3022" i="1"/>
  <c r="C3022" i="1"/>
  <c r="E3022" i="1"/>
  <c r="G3022" i="1"/>
  <c r="H3022" i="1"/>
  <c r="A3023" i="1"/>
  <c r="B3023" i="1"/>
  <c r="C3023" i="1"/>
  <c r="E3023" i="1"/>
  <c r="G3023" i="1"/>
  <c r="H3023" i="1"/>
  <c r="A3024" i="1"/>
  <c r="B3024" i="1"/>
  <c r="C3024" i="1"/>
  <c r="E3024" i="1"/>
  <c r="G3024" i="1"/>
  <c r="H3024" i="1"/>
  <c r="A3025" i="1"/>
  <c r="B3025" i="1"/>
  <c r="C3025" i="1"/>
  <c r="E3025" i="1"/>
  <c r="G3025" i="1"/>
  <c r="H3025" i="1"/>
  <c r="A3026" i="1"/>
  <c r="B3026" i="1"/>
  <c r="C3026" i="1"/>
  <c r="E3026" i="1"/>
  <c r="G3026" i="1"/>
  <c r="H3026" i="1"/>
  <c r="A3027" i="1"/>
  <c r="B3027" i="1"/>
  <c r="C3027" i="1"/>
  <c r="E3027" i="1"/>
  <c r="G3027" i="1"/>
  <c r="H3027" i="1"/>
  <c r="A3028" i="1"/>
  <c r="B3028" i="1"/>
  <c r="C3028" i="1"/>
  <c r="E3028" i="1"/>
  <c r="G3028" i="1"/>
  <c r="H3028" i="1"/>
  <c r="A3029" i="1"/>
  <c r="B3029" i="1"/>
  <c r="C3029" i="1"/>
  <c r="E3029" i="1"/>
  <c r="G3029" i="1"/>
  <c r="H3029" i="1"/>
  <c r="A3030" i="1"/>
  <c r="B3030" i="1"/>
  <c r="C3030" i="1"/>
  <c r="E3030" i="1"/>
  <c r="G3030" i="1"/>
  <c r="H3030" i="1"/>
  <c r="A3031" i="1"/>
  <c r="B3031" i="1"/>
  <c r="C3031" i="1"/>
  <c r="E3031" i="1"/>
  <c r="G3031" i="1"/>
  <c r="H3031" i="1"/>
  <c r="A3032" i="1"/>
  <c r="B3032" i="1"/>
  <c r="C3032" i="1"/>
  <c r="E3032" i="1"/>
  <c r="G3032" i="1"/>
  <c r="H3032" i="1"/>
  <c r="A3033" i="1"/>
  <c r="B3033" i="1"/>
  <c r="C3033" i="1"/>
  <c r="E3033" i="1"/>
  <c r="G3033" i="1"/>
  <c r="H3033" i="1"/>
  <c r="A3034" i="1"/>
  <c r="B3034" i="1"/>
  <c r="C3034" i="1"/>
  <c r="E3034" i="1"/>
  <c r="G3034" i="1"/>
  <c r="H3034" i="1"/>
  <c r="A3035" i="1"/>
  <c r="B3035" i="1"/>
  <c r="C3035" i="1"/>
  <c r="E3035" i="1"/>
  <c r="G3035" i="1"/>
  <c r="H3035" i="1"/>
  <c r="A3036" i="1"/>
  <c r="B3036" i="1"/>
  <c r="C3036" i="1"/>
  <c r="E3036" i="1"/>
  <c r="G3036" i="1"/>
  <c r="H3036" i="1"/>
  <c r="A3037" i="1"/>
  <c r="B3037" i="1"/>
  <c r="C3037" i="1"/>
  <c r="E3037" i="1"/>
  <c r="G3037" i="1"/>
  <c r="H3037" i="1"/>
  <c r="A3038" i="1"/>
  <c r="B3038" i="1"/>
  <c r="C3038" i="1"/>
  <c r="E3038" i="1"/>
  <c r="G3038" i="1"/>
  <c r="H3038" i="1"/>
  <c r="A3039" i="1"/>
  <c r="B3039" i="1"/>
  <c r="C3039" i="1"/>
  <c r="E3039" i="1"/>
  <c r="G3039" i="1"/>
  <c r="H3039" i="1"/>
  <c r="A3040" i="1"/>
  <c r="B3040" i="1"/>
  <c r="C3040" i="1"/>
  <c r="E3040" i="1"/>
  <c r="G3040" i="1"/>
  <c r="H3040" i="1"/>
  <c r="A3041" i="1"/>
  <c r="B3041" i="1"/>
  <c r="C3041" i="1"/>
  <c r="E3041" i="1"/>
  <c r="G3041" i="1"/>
  <c r="H3041" i="1"/>
  <c r="A3042" i="1"/>
  <c r="B3042" i="1"/>
  <c r="C3042" i="1"/>
  <c r="E3042" i="1"/>
  <c r="G3042" i="1"/>
  <c r="H3042" i="1"/>
  <c r="A3043" i="1"/>
  <c r="B3043" i="1"/>
  <c r="C3043" i="1"/>
  <c r="E3043" i="1"/>
  <c r="G3043" i="1"/>
  <c r="H3043" i="1"/>
  <c r="A3044" i="1"/>
  <c r="B3044" i="1"/>
  <c r="C3044" i="1"/>
  <c r="E3044" i="1"/>
  <c r="G3044" i="1"/>
  <c r="H3044" i="1"/>
  <c r="A3045" i="1"/>
  <c r="B3045" i="1"/>
  <c r="C3045" i="1"/>
  <c r="E3045" i="1"/>
  <c r="G3045" i="1"/>
  <c r="H3045" i="1"/>
  <c r="A3046" i="1"/>
  <c r="B3046" i="1"/>
  <c r="C3046" i="1"/>
  <c r="E3046" i="1"/>
  <c r="G3046" i="1"/>
  <c r="H3046" i="1"/>
  <c r="A3047" i="1"/>
  <c r="B3047" i="1"/>
  <c r="C3047" i="1"/>
  <c r="E3047" i="1"/>
  <c r="G3047" i="1"/>
  <c r="H3047" i="1"/>
  <c r="A3048" i="1"/>
  <c r="B3048" i="1"/>
  <c r="C3048" i="1"/>
  <c r="E3048" i="1"/>
  <c r="G3048" i="1"/>
  <c r="H3048" i="1"/>
  <c r="A3049" i="1"/>
  <c r="B3049" i="1"/>
  <c r="C3049" i="1"/>
  <c r="E3049" i="1"/>
  <c r="G3049" i="1"/>
  <c r="H3049" i="1"/>
  <c r="A3050" i="1"/>
  <c r="B3050" i="1"/>
  <c r="C3050" i="1"/>
  <c r="E3050" i="1"/>
  <c r="G3050" i="1"/>
  <c r="H3050" i="1"/>
  <c r="A3051" i="1"/>
  <c r="B3051" i="1"/>
  <c r="C3051" i="1"/>
  <c r="E3051" i="1"/>
  <c r="G3051" i="1"/>
  <c r="H3051" i="1"/>
  <c r="A3052" i="1"/>
  <c r="B3052" i="1"/>
  <c r="C3052" i="1"/>
  <c r="E3052" i="1"/>
  <c r="G3052" i="1"/>
  <c r="H3052" i="1"/>
  <c r="A3053" i="1"/>
  <c r="B3053" i="1"/>
  <c r="C3053" i="1"/>
  <c r="E3053" i="1"/>
  <c r="G3053" i="1"/>
  <c r="H3053" i="1"/>
  <c r="A3054" i="1"/>
  <c r="B3054" i="1"/>
  <c r="C3054" i="1"/>
  <c r="E3054" i="1"/>
  <c r="G3054" i="1"/>
  <c r="H3054" i="1"/>
  <c r="A3055" i="1"/>
  <c r="B3055" i="1"/>
  <c r="C3055" i="1"/>
  <c r="E3055" i="1"/>
  <c r="G3055" i="1"/>
  <c r="H3055" i="1"/>
  <c r="A3056" i="1"/>
  <c r="B3056" i="1"/>
  <c r="C3056" i="1"/>
  <c r="E3056" i="1"/>
  <c r="G3056" i="1"/>
  <c r="H3056" i="1"/>
  <c r="A3057" i="1"/>
  <c r="B3057" i="1"/>
  <c r="C3057" i="1"/>
  <c r="E3057" i="1"/>
  <c r="G3057" i="1"/>
  <c r="H3057" i="1"/>
  <c r="A3058" i="1"/>
  <c r="B3058" i="1"/>
  <c r="C3058" i="1"/>
  <c r="E3058" i="1"/>
  <c r="G3058" i="1"/>
  <c r="H3058" i="1"/>
  <c r="A3059" i="1"/>
  <c r="B3059" i="1"/>
  <c r="C3059" i="1"/>
  <c r="E3059" i="1"/>
  <c r="G3059" i="1"/>
  <c r="H3059" i="1"/>
  <c r="A3060" i="1"/>
  <c r="B3060" i="1"/>
  <c r="C3060" i="1"/>
  <c r="E3060" i="1"/>
  <c r="G3060" i="1"/>
  <c r="H3060" i="1"/>
  <c r="A3061" i="1"/>
  <c r="B3061" i="1"/>
  <c r="C3061" i="1"/>
  <c r="E3061" i="1"/>
  <c r="G3061" i="1"/>
  <c r="H3061" i="1"/>
  <c r="A3062" i="1"/>
  <c r="B3062" i="1"/>
  <c r="C3062" i="1"/>
  <c r="E3062" i="1"/>
  <c r="G3062" i="1"/>
  <c r="H3062" i="1"/>
  <c r="A3063" i="1"/>
  <c r="B3063" i="1"/>
  <c r="C3063" i="1"/>
  <c r="E3063" i="1"/>
  <c r="G3063" i="1"/>
  <c r="H3063" i="1"/>
  <c r="A3064" i="1"/>
  <c r="B3064" i="1"/>
  <c r="C3064" i="1"/>
  <c r="E3064" i="1"/>
  <c r="G3064" i="1"/>
  <c r="H3064" i="1"/>
  <c r="A3065" i="1"/>
  <c r="B3065" i="1"/>
  <c r="C3065" i="1"/>
  <c r="E3065" i="1"/>
  <c r="G3065" i="1"/>
  <c r="H3065" i="1"/>
  <c r="A3066" i="1"/>
  <c r="B3066" i="1"/>
  <c r="C3066" i="1"/>
  <c r="E3066" i="1"/>
  <c r="G3066" i="1"/>
  <c r="H3066" i="1"/>
  <c r="A3067" i="1"/>
  <c r="B3067" i="1"/>
  <c r="C3067" i="1"/>
  <c r="E3067" i="1"/>
  <c r="G3067" i="1"/>
  <c r="H3067" i="1"/>
  <c r="A3068" i="1"/>
  <c r="B3068" i="1"/>
  <c r="C3068" i="1"/>
  <c r="E3068" i="1"/>
  <c r="G3068" i="1"/>
  <c r="H3068" i="1"/>
  <c r="A3069" i="1"/>
  <c r="B3069" i="1"/>
  <c r="C3069" i="1"/>
  <c r="E3069" i="1"/>
  <c r="G3069" i="1"/>
  <c r="H3069" i="1"/>
  <c r="A3070" i="1"/>
  <c r="B3070" i="1"/>
  <c r="C3070" i="1"/>
  <c r="E3070" i="1"/>
  <c r="G3070" i="1"/>
  <c r="H3070" i="1"/>
  <c r="A3071" i="1"/>
  <c r="B3071" i="1"/>
  <c r="C3071" i="1"/>
  <c r="E3071" i="1"/>
  <c r="G3071" i="1"/>
  <c r="H3071" i="1"/>
  <c r="A3072" i="1"/>
  <c r="B3072" i="1"/>
  <c r="C3072" i="1"/>
  <c r="E3072" i="1"/>
  <c r="G3072" i="1"/>
  <c r="H3072" i="1"/>
  <c r="A3073" i="1"/>
  <c r="B3073" i="1"/>
  <c r="C3073" i="1"/>
  <c r="E3073" i="1"/>
  <c r="G3073" i="1"/>
  <c r="H3073" i="1"/>
  <c r="A3074" i="1"/>
  <c r="B3074" i="1"/>
  <c r="C3074" i="1"/>
  <c r="E3074" i="1"/>
  <c r="G3074" i="1"/>
  <c r="H3074" i="1"/>
  <c r="A3075" i="1"/>
  <c r="B3075" i="1"/>
  <c r="C3075" i="1"/>
  <c r="E3075" i="1"/>
  <c r="G3075" i="1"/>
  <c r="H3075" i="1"/>
  <c r="A3076" i="1"/>
  <c r="B3076" i="1"/>
  <c r="C3076" i="1"/>
  <c r="E3076" i="1"/>
  <c r="G3076" i="1"/>
  <c r="H3076" i="1"/>
  <c r="A3077" i="1"/>
  <c r="B3077" i="1"/>
  <c r="C3077" i="1"/>
  <c r="E3077" i="1"/>
  <c r="G3077" i="1"/>
  <c r="H3077" i="1"/>
  <c r="A3078" i="1"/>
  <c r="B3078" i="1"/>
  <c r="C3078" i="1"/>
  <c r="E3078" i="1"/>
  <c r="G3078" i="1"/>
  <c r="H3078" i="1"/>
  <c r="A3079" i="1"/>
  <c r="B3079" i="1"/>
  <c r="C3079" i="1"/>
  <c r="E3079" i="1"/>
  <c r="G3079" i="1"/>
  <c r="H3079" i="1"/>
  <c r="A3080" i="1"/>
  <c r="B3080" i="1"/>
  <c r="C3080" i="1"/>
  <c r="E3080" i="1"/>
  <c r="G3080" i="1"/>
  <c r="H3080" i="1"/>
  <c r="A3081" i="1"/>
  <c r="B3081" i="1"/>
  <c r="C3081" i="1"/>
  <c r="E3081" i="1"/>
  <c r="G3081" i="1"/>
  <c r="H3081" i="1"/>
  <c r="A3082" i="1"/>
  <c r="B3082" i="1"/>
  <c r="C3082" i="1"/>
  <c r="E3082" i="1"/>
  <c r="G3082" i="1"/>
  <c r="H3082" i="1"/>
  <c r="A3083" i="1"/>
  <c r="B3083" i="1"/>
  <c r="C3083" i="1"/>
  <c r="E3083" i="1"/>
  <c r="G3083" i="1"/>
  <c r="H3083" i="1"/>
  <c r="A3084" i="1"/>
  <c r="B3084" i="1"/>
  <c r="C3084" i="1"/>
  <c r="E3084" i="1"/>
  <c r="G3084" i="1"/>
  <c r="H3084" i="1"/>
  <c r="A3085" i="1"/>
  <c r="B3085" i="1"/>
  <c r="C3085" i="1"/>
  <c r="E3085" i="1"/>
  <c r="G3085" i="1"/>
  <c r="H3085" i="1"/>
  <c r="A3086" i="1"/>
  <c r="B3086" i="1"/>
  <c r="C3086" i="1"/>
  <c r="E3086" i="1"/>
  <c r="G3086" i="1"/>
  <c r="H3086" i="1"/>
  <c r="A3087" i="1"/>
  <c r="B3087" i="1"/>
  <c r="C3087" i="1"/>
  <c r="E3087" i="1"/>
  <c r="G3087" i="1"/>
  <c r="H3087" i="1"/>
  <c r="A3088" i="1"/>
  <c r="B3088" i="1"/>
  <c r="C3088" i="1"/>
  <c r="E3088" i="1"/>
  <c r="G3088" i="1"/>
  <c r="H3088" i="1"/>
  <c r="A3089" i="1"/>
  <c r="B3089" i="1"/>
  <c r="C3089" i="1"/>
  <c r="E3089" i="1"/>
  <c r="G3089" i="1"/>
  <c r="H3089" i="1"/>
  <c r="A3090" i="1"/>
  <c r="B3090" i="1"/>
  <c r="C3090" i="1"/>
  <c r="E3090" i="1"/>
  <c r="G3090" i="1"/>
  <c r="H3090" i="1"/>
  <c r="A3091" i="1"/>
  <c r="B3091" i="1"/>
  <c r="C3091" i="1"/>
  <c r="E3091" i="1"/>
  <c r="G3091" i="1"/>
  <c r="H3091" i="1"/>
  <c r="A3092" i="1"/>
  <c r="B3092" i="1"/>
  <c r="C3092" i="1"/>
  <c r="E3092" i="1"/>
  <c r="G3092" i="1"/>
  <c r="H3092" i="1"/>
  <c r="A3093" i="1"/>
  <c r="B3093" i="1"/>
  <c r="C3093" i="1"/>
  <c r="E3093" i="1"/>
  <c r="G3093" i="1"/>
  <c r="H3093" i="1"/>
  <c r="A3094" i="1"/>
  <c r="B3094" i="1"/>
  <c r="C3094" i="1"/>
  <c r="E3094" i="1"/>
  <c r="G3094" i="1"/>
  <c r="H3094" i="1"/>
  <c r="A3095" i="1"/>
  <c r="B3095" i="1"/>
  <c r="C3095" i="1"/>
  <c r="E3095" i="1"/>
  <c r="G3095" i="1"/>
  <c r="H3095" i="1"/>
  <c r="A3096" i="1"/>
  <c r="B3096" i="1"/>
  <c r="C3096" i="1"/>
  <c r="E3096" i="1"/>
  <c r="G3096" i="1"/>
  <c r="H3096" i="1"/>
  <c r="A3097" i="1"/>
  <c r="B3097" i="1"/>
  <c r="C3097" i="1"/>
  <c r="E3097" i="1"/>
  <c r="G3097" i="1"/>
  <c r="H3097" i="1"/>
  <c r="A3098" i="1"/>
  <c r="B3098" i="1"/>
  <c r="C3098" i="1"/>
  <c r="E3098" i="1"/>
  <c r="G3098" i="1"/>
  <c r="H3098" i="1"/>
  <c r="A3099" i="1"/>
  <c r="B3099" i="1"/>
  <c r="C3099" i="1"/>
  <c r="E3099" i="1"/>
  <c r="G3099" i="1"/>
  <c r="H3099" i="1"/>
  <c r="A3100" i="1"/>
  <c r="B3100" i="1"/>
  <c r="C3100" i="1"/>
  <c r="E3100" i="1"/>
  <c r="G3100" i="1"/>
  <c r="H3100" i="1"/>
  <c r="A3101" i="1"/>
  <c r="B3101" i="1"/>
  <c r="C3101" i="1"/>
  <c r="E3101" i="1"/>
  <c r="G3101" i="1"/>
  <c r="H3101" i="1"/>
  <c r="A3102" i="1"/>
  <c r="B3102" i="1"/>
  <c r="C3102" i="1"/>
  <c r="E3102" i="1"/>
  <c r="G3102" i="1"/>
  <c r="H3102" i="1"/>
  <c r="A3103" i="1"/>
  <c r="B3103" i="1"/>
  <c r="C3103" i="1"/>
  <c r="E3103" i="1"/>
  <c r="G3103" i="1"/>
  <c r="H3103" i="1"/>
  <c r="A3104" i="1"/>
  <c r="B3104" i="1"/>
  <c r="C3104" i="1"/>
  <c r="E3104" i="1"/>
  <c r="G3104" i="1"/>
  <c r="H3104" i="1"/>
  <c r="A3105" i="1"/>
  <c r="B3105" i="1"/>
  <c r="C3105" i="1"/>
  <c r="E3105" i="1"/>
  <c r="G3105" i="1"/>
  <c r="H3105" i="1"/>
  <c r="A3106" i="1"/>
  <c r="B3106" i="1"/>
  <c r="C3106" i="1"/>
  <c r="E3106" i="1"/>
  <c r="G3106" i="1"/>
  <c r="H3106" i="1"/>
  <c r="A3107" i="1"/>
  <c r="B3107" i="1"/>
  <c r="C3107" i="1"/>
  <c r="E3107" i="1"/>
  <c r="G3107" i="1"/>
  <c r="H3107" i="1"/>
  <c r="A3108" i="1"/>
  <c r="B3108" i="1"/>
  <c r="C3108" i="1"/>
  <c r="E3108" i="1"/>
  <c r="G3108" i="1"/>
  <c r="H3108" i="1"/>
  <c r="A3109" i="1"/>
  <c r="B3109" i="1"/>
  <c r="C3109" i="1"/>
  <c r="E3109" i="1"/>
  <c r="G3109" i="1"/>
  <c r="H3109" i="1"/>
  <c r="A3110" i="1"/>
  <c r="B3110" i="1"/>
  <c r="C3110" i="1"/>
  <c r="E3110" i="1"/>
  <c r="G3110" i="1"/>
  <c r="H3110" i="1"/>
  <c r="A3111" i="1"/>
  <c r="B3111" i="1"/>
  <c r="C3111" i="1"/>
  <c r="E3111" i="1"/>
  <c r="G3111" i="1"/>
  <c r="H3111" i="1"/>
  <c r="A3112" i="1"/>
  <c r="B3112" i="1"/>
  <c r="C3112" i="1"/>
  <c r="E3112" i="1"/>
  <c r="G3112" i="1"/>
  <c r="H3112" i="1"/>
  <c r="A3113" i="1"/>
  <c r="B3113" i="1"/>
  <c r="C3113" i="1"/>
  <c r="E3113" i="1"/>
  <c r="G3113" i="1"/>
  <c r="H3113" i="1"/>
  <c r="A3114" i="1"/>
  <c r="B3114" i="1"/>
  <c r="C3114" i="1"/>
  <c r="E3114" i="1"/>
  <c r="G3114" i="1"/>
  <c r="H3114" i="1"/>
  <c r="A3115" i="1"/>
  <c r="B3115" i="1"/>
  <c r="C3115" i="1"/>
  <c r="E3115" i="1"/>
  <c r="G3115" i="1"/>
  <c r="H3115" i="1"/>
  <c r="A3116" i="1"/>
  <c r="B3116" i="1"/>
  <c r="C3116" i="1"/>
  <c r="E3116" i="1"/>
  <c r="G3116" i="1"/>
  <c r="H3116" i="1"/>
  <c r="A3117" i="1"/>
  <c r="B3117" i="1"/>
  <c r="C3117" i="1"/>
  <c r="E3117" i="1"/>
  <c r="G3117" i="1"/>
  <c r="H3117" i="1"/>
  <c r="A3118" i="1"/>
  <c r="B3118" i="1"/>
  <c r="C3118" i="1"/>
  <c r="E3118" i="1"/>
  <c r="G3118" i="1"/>
  <c r="H3118" i="1"/>
  <c r="A3119" i="1"/>
  <c r="B3119" i="1"/>
  <c r="C3119" i="1"/>
  <c r="E3119" i="1"/>
  <c r="G3119" i="1"/>
  <c r="H3119" i="1"/>
  <c r="A3120" i="1"/>
  <c r="B3120" i="1"/>
  <c r="C3120" i="1"/>
  <c r="E3120" i="1"/>
  <c r="G3120" i="1"/>
  <c r="H3120" i="1"/>
  <c r="A3121" i="1"/>
  <c r="B3121" i="1"/>
  <c r="C3121" i="1"/>
  <c r="E3121" i="1"/>
  <c r="G3121" i="1"/>
  <c r="H3121" i="1"/>
  <c r="A3122" i="1"/>
  <c r="B3122" i="1"/>
  <c r="C3122" i="1"/>
  <c r="E3122" i="1"/>
  <c r="G3122" i="1"/>
  <c r="H3122" i="1"/>
  <c r="A3123" i="1"/>
  <c r="B3123" i="1"/>
  <c r="C3123" i="1"/>
  <c r="E3123" i="1"/>
  <c r="G3123" i="1"/>
  <c r="H3123" i="1"/>
  <c r="A3124" i="1"/>
  <c r="B3124" i="1"/>
  <c r="C3124" i="1"/>
  <c r="E3124" i="1"/>
  <c r="G3124" i="1"/>
  <c r="H3124" i="1"/>
  <c r="A3125" i="1"/>
  <c r="B3125" i="1"/>
  <c r="C3125" i="1"/>
  <c r="E3125" i="1"/>
  <c r="G3125" i="1"/>
  <c r="H3125" i="1"/>
  <c r="A3126" i="1"/>
  <c r="B3126" i="1"/>
  <c r="C3126" i="1"/>
  <c r="E3126" i="1"/>
  <c r="G3126" i="1"/>
  <c r="H3126" i="1"/>
  <c r="A3127" i="1"/>
  <c r="B3127" i="1"/>
  <c r="C3127" i="1"/>
  <c r="E3127" i="1"/>
  <c r="G3127" i="1"/>
  <c r="H3127" i="1"/>
  <c r="A3128" i="1"/>
  <c r="B3128" i="1"/>
  <c r="C3128" i="1"/>
  <c r="E3128" i="1"/>
  <c r="G3128" i="1"/>
  <c r="H3128" i="1"/>
  <c r="A3129" i="1"/>
  <c r="B3129" i="1"/>
  <c r="C3129" i="1"/>
  <c r="E3129" i="1"/>
  <c r="G3129" i="1"/>
  <c r="H3129" i="1"/>
  <c r="A3130" i="1"/>
  <c r="B3130" i="1"/>
  <c r="C3130" i="1"/>
  <c r="E3130" i="1"/>
  <c r="G3130" i="1"/>
  <c r="H3130" i="1"/>
  <c r="A3131" i="1"/>
  <c r="B3131" i="1"/>
  <c r="C3131" i="1"/>
  <c r="E3131" i="1"/>
  <c r="G3131" i="1"/>
  <c r="H3131" i="1"/>
  <c r="A3132" i="1"/>
  <c r="B3132" i="1"/>
  <c r="C3132" i="1"/>
  <c r="E3132" i="1"/>
  <c r="G3132" i="1"/>
  <c r="H3132" i="1"/>
  <c r="A3133" i="1"/>
  <c r="B3133" i="1"/>
  <c r="C3133" i="1"/>
  <c r="E3133" i="1"/>
  <c r="G3133" i="1"/>
  <c r="H3133" i="1"/>
  <c r="A3134" i="1"/>
  <c r="B3134" i="1"/>
  <c r="C3134" i="1"/>
  <c r="E3134" i="1"/>
  <c r="G3134" i="1"/>
  <c r="H3134" i="1"/>
  <c r="A3135" i="1"/>
  <c r="B3135" i="1"/>
  <c r="C3135" i="1"/>
  <c r="E3135" i="1"/>
  <c r="G3135" i="1"/>
  <c r="H3135" i="1"/>
  <c r="A3136" i="1"/>
  <c r="B3136" i="1"/>
  <c r="C3136" i="1"/>
  <c r="E3136" i="1"/>
  <c r="G3136" i="1"/>
  <c r="H3136" i="1"/>
  <c r="A3137" i="1"/>
  <c r="B3137" i="1"/>
  <c r="C3137" i="1"/>
  <c r="E3137" i="1"/>
  <c r="G3137" i="1"/>
  <c r="H3137" i="1"/>
  <c r="A3138" i="1"/>
  <c r="B3138" i="1"/>
  <c r="C3138" i="1"/>
  <c r="E3138" i="1"/>
  <c r="G3138" i="1"/>
  <c r="H3138" i="1"/>
  <c r="A3139" i="1"/>
  <c r="B3139" i="1"/>
  <c r="C3139" i="1"/>
  <c r="E3139" i="1"/>
  <c r="G3139" i="1"/>
  <c r="H3139" i="1"/>
  <c r="A3140" i="1"/>
  <c r="B3140" i="1"/>
  <c r="C3140" i="1"/>
  <c r="E3140" i="1"/>
  <c r="G3140" i="1"/>
  <c r="H3140" i="1"/>
  <c r="A3141" i="1"/>
  <c r="B3141" i="1"/>
  <c r="C3141" i="1"/>
  <c r="E3141" i="1"/>
  <c r="G3141" i="1"/>
  <c r="H3141" i="1"/>
  <c r="A3142" i="1"/>
  <c r="B3142" i="1"/>
  <c r="C3142" i="1"/>
  <c r="E3142" i="1"/>
  <c r="G3142" i="1"/>
  <c r="H3142" i="1"/>
  <c r="A3143" i="1"/>
  <c r="B3143" i="1"/>
  <c r="C3143" i="1"/>
  <c r="E3143" i="1"/>
  <c r="G3143" i="1"/>
  <c r="H3143" i="1"/>
  <c r="A3144" i="1"/>
  <c r="B3144" i="1"/>
  <c r="C3144" i="1"/>
  <c r="E3144" i="1"/>
  <c r="G3144" i="1"/>
  <c r="H3144" i="1"/>
  <c r="A3145" i="1"/>
  <c r="B3145" i="1"/>
  <c r="C3145" i="1"/>
  <c r="E3145" i="1"/>
  <c r="G3145" i="1"/>
  <c r="H3145" i="1"/>
  <c r="A3146" i="1"/>
  <c r="B3146" i="1"/>
  <c r="C3146" i="1"/>
  <c r="E3146" i="1"/>
  <c r="G3146" i="1"/>
  <c r="H3146" i="1"/>
  <c r="A3147" i="1"/>
  <c r="B3147" i="1"/>
  <c r="C3147" i="1"/>
  <c r="E3147" i="1"/>
  <c r="G3147" i="1"/>
  <c r="H3147" i="1"/>
  <c r="A3148" i="1"/>
  <c r="B3148" i="1"/>
  <c r="C3148" i="1"/>
  <c r="E3148" i="1"/>
  <c r="G3148" i="1"/>
  <c r="H3148" i="1"/>
  <c r="A3149" i="1"/>
  <c r="B3149" i="1"/>
  <c r="C3149" i="1"/>
  <c r="E3149" i="1"/>
  <c r="G3149" i="1"/>
  <c r="H3149" i="1"/>
  <c r="A3150" i="1"/>
  <c r="B3150" i="1"/>
  <c r="C3150" i="1"/>
  <c r="E3150" i="1"/>
  <c r="G3150" i="1"/>
  <c r="H3150" i="1"/>
  <c r="A3151" i="1"/>
  <c r="B3151" i="1"/>
  <c r="C3151" i="1"/>
  <c r="E3151" i="1"/>
  <c r="G3151" i="1"/>
  <c r="H3151" i="1"/>
  <c r="A3152" i="1"/>
  <c r="B3152" i="1"/>
  <c r="C3152" i="1"/>
  <c r="E3152" i="1"/>
  <c r="G3152" i="1"/>
  <c r="H3152" i="1"/>
  <c r="A3153" i="1"/>
  <c r="B3153" i="1"/>
  <c r="C3153" i="1"/>
  <c r="E3153" i="1"/>
  <c r="G3153" i="1"/>
  <c r="H3153" i="1"/>
  <c r="A3154" i="1"/>
  <c r="B3154" i="1"/>
  <c r="C3154" i="1"/>
  <c r="E3154" i="1"/>
  <c r="G3154" i="1"/>
  <c r="H3154" i="1"/>
  <c r="A3155" i="1"/>
  <c r="B3155" i="1"/>
  <c r="C3155" i="1"/>
  <c r="E3155" i="1"/>
  <c r="G3155" i="1"/>
  <c r="H3155" i="1"/>
  <c r="A3156" i="1"/>
  <c r="B3156" i="1"/>
  <c r="C3156" i="1"/>
  <c r="E3156" i="1"/>
  <c r="G3156" i="1"/>
  <c r="H3156" i="1"/>
  <c r="A3157" i="1"/>
  <c r="B3157" i="1"/>
  <c r="C3157" i="1"/>
  <c r="E3157" i="1"/>
  <c r="G3157" i="1"/>
  <c r="H3157" i="1"/>
  <c r="A3158" i="1"/>
  <c r="B3158" i="1"/>
  <c r="C3158" i="1"/>
  <c r="E3158" i="1"/>
  <c r="G3158" i="1"/>
  <c r="H3158" i="1"/>
  <c r="A3159" i="1"/>
  <c r="B3159" i="1"/>
  <c r="C3159" i="1"/>
  <c r="E3159" i="1"/>
  <c r="G3159" i="1"/>
  <c r="H3159" i="1"/>
  <c r="A3160" i="1"/>
  <c r="B3160" i="1"/>
  <c r="C3160" i="1"/>
  <c r="E3160" i="1"/>
  <c r="G3160" i="1"/>
  <c r="H3160" i="1"/>
  <c r="A3161" i="1"/>
  <c r="B3161" i="1"/>
  <c r="C3161" i="1"/>
  <c r="E3161" i="1"/>
  <c r="G3161" i="1"/>
  <c r="H3161" i="1"/>
  <c r="A3162" i="1"/>
  <c r="B3162" i="1"/>
  <c r="C3162" i="1"/>
  <c r="E3162" i="1"/>
  <c r="G3162" i="1"/>
  <c r="H3162" i="1"/>
  <c r="A3163" i="1"/>
  <c r="B3163" i="1"/>
  <c r="C3163" i="1"/>
  <c r="E3163" i="1"/>
  <c r="G3163" i="1"/>
  <c r="H3163" i="1"/>
  <c r="A3164" i="1"/>
  <c r="B3164" i="1"/>
  <c r="C3164" i="1"/>
  <c r="E3164" i="1"/>
  <c r="G3164" i="1"/>
  <c r="H3164" i="1"/>
  <c r="A3165" i="1"/>
  <c r="B3165" i="1"/>
  <c r="C3165" i="1"/>
  <c r="E3165" i="1"/>
  <c r="G3165" i="1"/>
  <c r="H3165" i="1"/>
  <c r="A3166" i="1"/>
  <c r="B3166" i="1"/>
  <c r="C3166" i="1"/>
  <c r="E3166" i="1"/>
  <c r="G3166" i="1"/>
  <c r="H3166" i="1"/>
  <c r="A3167" i="1"/>
  <c r="B3167" i="1"/>
  <c r="C3167" i="1"/>
  <c r="E3167" i="1"/>
  <c r="G3167" i="1"/>
  <c r="H3167" i="1"/>
  <c r="A3168" i="1"/>
  <c r="B3168" i="1"/>
  <c r="C3168" i="1"/>
  <c r="E3168" i="1"/>
  <c r="G3168" i="1"/>
  <c r="H3168" i="1"/>
  <c r="A3169" i="1"/>
  <c r="B3169" i="1"/>
  <c r="C3169" i="1"/>
  <c r="E3169" i="1"/>
  <c r="G3169" i="1"/>
  <c r="H3169" i="1"/>
  <c r="A3170" i="1"/>
  <c r="B3170" i="1"/>
  <c r="C3170" i="1"/>
  <c r="E3170" i="1"/>
  <c r="G3170" i="1"/>
  <c r="H3170" i="1"/>
  <c r="A3171" i="1"/>
  <c r="B3171" i="1"/>
  <c r="C3171" i="1"/>
  <c r="E3171" i="1"/>
  <c r="G3171" i="1"/>
  <c r="H3171" i="1"/>
  <c r="A3172" i="1"/>
  <c r="B3172" i="1"/>
  <c r="C3172" i="1"/>
  <c r="E3172" i="1"/>
  <c r="G3172" i="1"/>
  <c r="H3172" i="1"/>
  <c r="A3173" i="1"/>
  <c r="B3173" i="1"/>
  <c r="C3173" i="1"/>
  <c r="E3173" i="1"/>
  <c r="G3173" i="1"/>
  <c r="H3173" i="1"/>
  <c r="A3174" i="1"/>
  <c r="B3174" i="1"/>
  <c r="C3174" i="1"/>
  <c r="E3174" i="1"/>
  <c r="G3174" i="1"/>
  <c r="H3174" i="1"/>
  <c r="A3175" i="1"/>
  <c r="B3175" i="1"/>
  <c r="C3175" i="1"/>
  <c r="E3175" i="1"/>
  <c r="G3175" i="1"/>
  <c r="H3175" i="1"/>
  <c r="A3176" i="1"/>
  <c r="B3176" i="1"/>
  <c r="C3176" i="1"/>
  <c r="E3176" i="1"/>
  <c r="G3176" i="1"/>
  <c r="H3176" i="1"/>
  <c r="A3177" i="1"/>
  <c r="B3177" i="1"/>
  <c r="C3177" i="1"/>
  <c r="E3177" i="1"/>
  <c r="G3177" i="1"/>
  <c r="H3177" i="1"/>
  <c r="A3178" i="1"/>
  <c r="B3178" i="1"/>
  <c r="C3178" i="1"/>
  <c r="E3178" i="1"/>
  <c r="G3178" i="1"/>
  <c r="H3178" i="1"/>
  <c r="A3179" i="1"/>
  <c r="B3179" i="1"/>
  <c r="C3179" i="1"/>
  <c r="E3179" i="1"/>
  <c r="G3179" i="1"/>
  <c r="H3179" i="1"/>
  <c r="A3180" i="1"/>
  <c r="B3180" i="1"/>
  <c r="C3180" i="1"/>
  <c r="E3180" i="1"/>
  <c r="G3180" i="1"/>
  <c r="H3180" i="1"/>
  <c r="A3181" i="1"/>
  <c r="B3181" i="1"/>
  <c r="C3181" i="1"/>
  <c r="E3181" i="1"/>
  <c r="G3181" i="1"/>
  <c r="H3181" i="1"/>
  <c r="A3182" i="1"/>
  <c r="B3182" i="1"/>
  <c r="C3182" i="1"/>
  <c r="E3182" i="1"/>
  <c r="G3182" i="1"/>
  <c r="H3182" i="1"/>
  <c r="A3183" i="1"/>
  <c r="B3183" i="1"/>
  <c r="C3183" i="1"/>
  <c r="E3183" i="1"/>
  <c r="G3183" i="1"/>
  <c r="H3183" i="1"/>
  <c r="A3184" i="1"/>
  <c r="B3184" i="1"/>
  <c r="C3184" i="1"/>
  <c r="E3184" i="1"/>
  <c r="G3184" i="1"/>
  <c r="H3184" i="1"/>
  <c r="A3185" i="1"/>
  <c r="B3185" i="1"/>
  <c r="C3185" i="1"/>
  <c r="E3185" i="1"/>
  <c r="G3185" i="1"/>
  <c r="H3185" i="1"/>
  <c r="A3186" i="1"/>
  <c r="B3186" i="1"/>
  <c r="C3186" i="1"/>
  <c r="E3186" i="1"/>
  <c r="G3186" i="1"/>
  <c r="H3186" i="1"/>
  <c r="A3187" i="1"/>
  <c r="B3187" i="1"/>
  <c r="C3187" i="1"/>
  <c r="E3187" i="1"/>
  <c r="G3187" i="1"/>
  <c r="H3187" i="1"/>
  <c r="A3188" i="1"/>
  <c r="B3188" i="1"/>
  <c r="C3188" i="1"/>
  <c r="E3188" i="1"/>
  <c r="G3188" i="1"/>
  <c r="H3188" i="1"/>
  <c r="A3189" i="1"/>
  <c r="B3189" i="1"/>
  <c r="C3189" i="1"/>
  <c r="E3189" i="1"/>
  <c r="G3189" i="1"/>
  <c r="H3189" i="1"/>
  <c r="A3190" i="1"/>
  <c r="B3190" i="1"/>
  <c r="C3190" i="1"/>
  <c r="E3190" i="1"/>
  <c r="G3190" i="1"/>
  <c r="H3190" i="1"/>
  <c r="A3191" i="1"/>
  <c r="B3191" i="1"/>
  <c r="C3191" i="1"/>
  <c r="E3191" i="1"/>
  <c r="G3191" i="1"/>
  <c r="H3191" i="1"/>
  <c r="A3192" i="1"/>
  <c r="B3192" i="1"/>
  <c r="C3192" i="1"/>
  <c r="E3192" i="1"/>
  <c r="G3192" i="1"/>
  <c r="H3192" i="1"/>
  <c r="A3193" i="1"/>
  <c r="B3193" i="1"/>
  <c r="C3193" i="1"/>
  <c r="E3193" i="1"/>
  <c r="G3193" i="1"/>
  <c r="H3193" i="1"/>
  <c r="A3194" i="1"/>
  <c r="B3194" i="1"/>
  <c r="C3194" i="1"/>
  <c r="E3194" i="1"/>
  <c r="G3194" i="1"/>
  <c r="H3194" i="1"/>
  <c r="A3195" i="1"/>
  <c r="B3195" i="1"/>
  <c r="C3195" i="1"/>
  <c r="E3195" i="1"/>
  <c r="G3195" i="1"/>
  <c r="H3195" i="1"/>
  <c r="A3196" i="1"/>
  <c r="B3196" i="1"/>
  <c r="C3196" i="1"/>
  <c r="E3196" i="1"/>
  <c r="G3196" i="1"/>
  <c r="H3196" i="1"/>
  <c r="A3197" i="1"/>
  <c r="B3197" i="1"/>
  <c r="C3197" i="1"/>
  <c r="E3197" i="1"/>
  <c r="G3197" i="1"/>
  <c r="H3197" i="1"/>
  <c r="A3198" i="1"/>
  <c r="B3198" i="1"/>
  <c r="C3198" i="1"/>
  <c r="E3198" i="1"/>
  <c r="G3198" i="1"/>
  <c r="H3198" i="1"/>
  <c r="A3199" i="1"/>
  <c r="B3199" i="1"/>
  <c r="C3199" i="1"/>
  <c r="E3199" i="1"/>
  <c r="G3199" i="1"/>
  <c r="H3199" i="1"/>
  <c r="A3200" i="1"/>
  <c r="B3200" i="1"/>
  <c r="C3200" i="1"/>
  <c r="E3200" i="1"/>
  <c r="G3200" i="1"/>
  <c r="H3200" i="1"/>
  <c r="A3201" i="1"/>
  <c r="B3201" i="1"/>
  <c r="C3201" i="1"/>
  <c r="E3201" i="1"/>
  <c r="G3201" i="1"/>
  <c r="H3201" i="1"/>
  <c r="A3202" i="1"/>
  <c r="B3202" i="1"/>
  <c r="C3202" i="1"/>
  <c r="E3202" i="1"/>
  <c r="G3202" i="1"/>
  <c r="H3202" i="1"/>
  <c r="A3203" i="1"/>
  <c r="B3203" i="1"/>
  <c r="C3203" i="1"/>
  <c r="E3203" i="1"/>
  <c r="G3203" i="1"/>
  <c r="H3203" i="1"/>
  <c r="A3204" i="1"/>
  <c r="B3204" i="1"/>
  <c r="C3204" i="1"/>
  <c r="E3204" i="1"/>
  <c r="G3204" i="1"/>
  <c r="H3204" i="1"/>
  <c r="A3205" i="1"/>
  <c r="B3205" i="1"/>
  <c r="C3205" i="1"/>
  <c r="E3205" i="1"/>
  <c r="G3205" i="1"/>
  <c r="H3205" i="1"/>
  <c r="A3206" i="1"/>
  <c r="B3206" i="1"/>
  <c r="C3206" i="1"/>
  <c r="E3206" i="1"/>
  <c r="G3206" i="1"/>
  <c r="H3206" i="1"/>
  <c r="A3207" i="1"/>
  <c r="B3207" i="1"/>
  <c r="C3207" i="1"/>
  <c r="E3207" i="1"/>
  <c r="G3207" i="1"/>
  <c r="H3207" i="1"/>
  <c r="A3208" i="1"/>
  <c r="B3208" i="1"/>
  <c r="C3208" i="1"/>
  <c r="E3208" i="1"/>
  <c r="G3208" i="1"/>
  <c r="H3208" i="1"/>
  <c r="A3209" i="1"/>
  <c r="B3209" i="1"/>
  <c r="C3209" i="1"/>
  <c r="E3209" i="1"/>
  <c r="G3209" i="1"/>
  <c r="H3209" i="1"/>
  <c r="A3210" i="1"/>
  <c r="B3210" i="1"/>
  <c r="C3210" i="1"/>
  <c r="E3210" i="1"/>
  <c r="G3210" i="1"/>
  <c r="H3210" i="1"/>
  <c r="A3211" i="1"/>
  <c r="B3211" i="1"/>
  <c r="C3211" i="1"/>
  <c r="E3211" i="1"/>
  <c r="G3211" i="1"/>
  <c r="H3211" i="1"/>
  <c r="A3212" i="1"/>
  <c r="B3212" i="1"/>
  <c r="C3212" i="1"/>
  <c r="E3212" i="1"/>
  <c r="G3212" i="1"/>
  <c r="H3212" i="1"/>
  <c r="A3213" i="1"/>
  <c r="B3213" i="1"/>
  <c r="C3213" i="1"/>
  <c r="E3213" i="1"/>
  <c r="G3213" i="1"/>
  <c r="H3213" i="1"/>
  <c r="A3214" i="1"/>
  <c r="B3214" i="1"/>
  <c r="C3214" i="1"/>
  <c r="E3214" i="1"/>
  <c r="G3214" i="1"/>
  <c r="H3214" i="1"/>
  <c r="A3215" i="1"/>
  <c r="B3215" i="1"/>
  <c r="C3215" i="1"/>
  <c r="E3215" i="1"/>
  <c r="G3215" i="1"/>
  <c r="H3215" i="1"/>
  <c r="A3216" i="1"/>
  <c r="B3216" i="1"/>
  <c r="C3216" i="1"/>
  <c r="E3216" i="1"/>
  <c r="G3216" i="1"/>
  <c r="H3216" i="1"/>
  <c r="A3217" i="1"/>
  <c r="B3217" i="1"/>
  <c r="C3217" i="1"/>
  <c r="E3217" i="1"/>
  <c r="G3217" i="1"/>
  <c r="H3217" i="1"/>
  <c r="A3218" i="1"/>
  <c r="B3218" i="1"/>
  <c r="C3218" i="1"/>
  <c r="E3218" i="1"/>
  <c r="G3218" i="1"/>
  <c r="H3218" i="1"/>
  <c r="A3219" i="1"/>
  <c r="B3219" i="1"/>
  <c r="C3219" i="1"/>
  <c r="E3219" i="1"/>
  <c r="G3219" i="1"/>
  <c r="H3219" i="1"/>
  <c r="A3220" i="1"/>
  <c r="B3220" i="1"/>
  <c r="C3220" i="1"/>
  <c r="E3220" i="1"/>
  <c r="G3220" i="1"/>
  <c r="H3220" i="1"/>
  <c r="A3221" i="1"/>
  <c r="B3221" i="1"/>
  <c r="C3221" i="1"/>
  <c r="E3221" i="1"/>
  <c r="G3221" i="1"/>
  <c r="H3221" i="1"/>
  <c r="A3222" i="1"/>
  <c r="B3222" i="1"/>
  <c r="C3222" i="1"/>
  <c r="E3222" i="1"/>
  <c r="G3222" i="1"/>
  <c r="H3222" i="1"/>
  <c r="A3223" i="1"/>
  <c r="B3223" i="1"/>
  <c r="C3223" i="1"/>
  <c r="E3223" i="1"/>
  <c r="G3223" i="1"/>
  <c r="H3223" i="1"/>
  <c r="A3224" i="1"/>
  <c r="B3224" i="1"/>
  <c r="C3224" i="1"/>
  <c r="E3224" i="1"/>
  <c r="G3224" i="1"/>
  <c r="H3224" i="1"/>
  <c r="A3225" i="1"/>
  <c r="B3225" i="1"/>
  <c r="C3225" i="1"/>
  <c r="E3225" i="1"/>
  <c r="G3225" i="1"/>
  <c r="H3225" i="1"/>
  <c r="A3226" i="1"/>
  <c r="B3226" i="1"/>
  <c r="C3226" i="1"/>
  <c r="E3226" i="1"/>
  <c r="G3226" i="1"/>
  <c r="H3226" i="1"/>
  <c r="A3227" i="1"/>
  <c r="B3227" i="1"/>
  <c r="C3227" i="1"/>
  <c r="E3227" i="1"/>
  <c r="G3227" i="1"/>
  <c r="H3227" i="1"/>
  <c r="A3228" i="1"/>
  <c r="B3228" i="1"/>
  <c r="C3228" i="1"/>
  <c r="E3228" i="1"/>
  <c r="G3228" i="1"/>
  <c r="H3228" i="1"/>
  <c r="A3229" i="1"/>
  <c r="B3229" i="1"/>
  <c r="C3229" i="1"/>
  <c r="E3229" i="1"/>
  <c r="G3229" i="1"/>
  <c r="H3229" i="1"/>
  <c r="A3230" i="1"/>
  <c r="B3230" i="1"/>
  <c r="C3230" i="1"/>
  <c r="E3230" i="1"/>
  <c r="G3230" i="1"/>
  <c r="H3230" i="1"/>
  <c r="A3231" i="1"/>
  <c r="B3231" i="1"/>
  <c r="C3231" i="1"/>
  <c r="E3231" i="1"/>
  <c r="G3231" i="1"/>
  <c r="H3231" i="1"/>
  <c r="A3232" i="1"/>
  <c r="B3232" i="1"/>
  <c r="C3232" i="1"/>
  <c r="E3232" i="1"/>
  <c r="G3232" i="1"/>
  <c r="H3232" i="1"/>
  <c r="A3233" i="1"/>
  <c r="B3233" i="1"/>
  <c r="C3233" i="1"/>
  <c r="E3233" i="1"/>
  <c r="G3233" i="1"/>
  <c r="H3233" i="1"/>
  <c r="A3234" i="1"/>
  <c r="B3234" i="1"/>
  <c r="C3234" i="1"/>
  <c r="E3234" i="1"/>
  <c r="G3234" i="1"/>
  <c r="H3234" i="1"/>
  <c r="A3235" i="1"/>
  <c r="B3235" i="1"/>
  <c r="C3235" i="1"/>
  <c r="E3235" i="1"/>
  <c r="G3235" i="1"/>
  <c r="H3235" i="1"/>
  <c r="A3236" i="1"/>
  <c r="B3236" i="1"/>
  <c r="C3236" i="1"/>
  <c r="E3236" i="1"/>
  <c r="G3236" i="1"/>
  <c r="H3236" i="1"/>
  <c r="A3237" i="1"/>
  <c r="B3237" i="1"/>
  <c r="C3237" i="1"/>
  <c r="E3237" i="1"/>
  <c r="G3237" i="1"/>
  <c r="H3237" i="1"/>
  <c r="A3238" i="1"/>
  <c r="B3238" i="1"/>
  <c r="C3238" i="1"/>
  <c r="E3238" i="1"/>
  <c r="G3238" i="1"/>
  <c r="H3238" i="1"/>
  <c r="A3239" i="1"/>
  <c r="B3239" i="1"/>
  <c r="C3239" i="1"/>
  <c r="E3239" i="1"/>
  <c r="G3239" i="1"/>
  <c r="H3239" i="1"/>
  <c r="A3240" i="1"/>
  <c r="B3240" i="1"/>
  <c r="C3240" i="1"/>
  <c r="E3240" i="1"/>
  <c r="G3240" i="1"/>
  <c r="H3240" i="1"/>
  <c r="A3241" i="1"/>
  <c r="B3241" i="1"/>
  <c r="C3241" i="1"/>
  <c r="E3241" i="1"/>
  <c r="G3241" i="1"/>
  <c r="H3241" i="1"/>
  <c r="A3242" i="1"/>
  <c r="B3242" i="1"/>
  <c r="C3242" i="1"/>
  <c r="E3242" i="1"/>
  <c r="G3242" i="1"/>
  <c r="H3242" i="1"/>
  <c r="A3243" i="1"/>
  <c r="B3243" i="1"/>
  <c r="C3243" i="1"/>
  <c r="E3243" i="1"/>
  <c r="G3243" i="1"/>
  <c r="H3243" i="1"/>
  <c r="A3244" i="1"/>
  <c r="B3244" i="1"/>
  <c r="C3244" i="1"/>
  <c r="E3244" i="1"/>
  <c r="G3244" i="1"/>
  <c r="H3244" i="1"/>
  <c r="A3245" i="1"/>
  <c r="B3245" i="1"/>
  <c r="C3245" i="1"/>
  <c r="E3245" i="1"/>
  <c r="G3245" i="1"/>
  <c r="H3245" i="1"/>
  <c r="A3246" i="1"/>
  <c r="B3246" i="1"/>
  <c r="C3246" i="1"/>
  <c r="E3246" i="1"/>
  <c r="G3246" i="1"/>
  <c r="H3246" i="1"/>
  <c r="A3247" i="1"/>
  <c r="B3247" i="1"/>
  <c r="C3247" i="1"/>
  <c r="E3247" i="1"/>
  <c r="G3247" i="1"/>
  <c r="H3247" i="1"/>
  <c r="A3248" i="1"/>
  <c r="B3248" i="1"/>
  <c r="C3248" i="1"/>
  <c r="E3248" i="1"/>
  <c r="G3248" i="1"/>
  <c r="H3248" i="1"/>
  <c r="A3249" i="1"/>
  <c r="B3249" i="1"/>
  <c r="C3249" i="1"/>
  <c r="E3249" i="1"/>
  <c r="G3249" i="1"/>
  <c r="H3249" i="1"/>
  <c r="A3250" i="1"/>
  <c r="B3250" i="1"/>
  <c r="C3250" i="1"/>
  <c r="E3250" i="1"/>
  <c r="G3250" i="1"/>
  <c r="H3250" i="1"/>
  <c r="A3251" i="1"/>
  <c r="B3251" i="1"/>
  <c r="C3251" i="1"/>
  <c r="E3251" i="1"/>
  <c r="G3251" i="1"/>
  <c r="H3251" i="1"/>
  <c r="A3252" i="1"/>
  <c r="B3252" i="1"/>
  <c r="C3252" i="1"/>
  <c r="E3252" i="1"/>
  <c r="G3252" i="1"/>
  <c r="H3252" i="1"/>
  <c r="A3253" i="1"/>
  <c r="B3253" i="1"/>
  <c r="C3253" i="1"/>
  <c r="E3253" i="1"/>
  <c r="G3253" i="1"/>
  <c r="H3253" i="1"/>
  <c r="A3254" i="1"/>
  <c r="B3254" i="1"/>
  <c r="C3254" i="1"/>
  <c r="E3254" i="1"/>
  <c r="G3254" i="1"/>
  <c r="H3254" i="1"/>
  <c r="A3255" i="1"/>
  <c r="B3255" i="1"/>
  <c r="C3255" i="1"/>
  <c r="E3255" i="1"/>
  <c r="G3255" i="1"/>
  <c r="H3255" i="1"/>
  <c r="A3256" i="1"/>
  <c r="B3256" i="1"/>
  <c r="C3256" i="1"/>
  <c r="E3256" i="1"/>
  <c r="G3256" i="1"/>
  <c r="H3256" i="1"/>
  <c r="A3257" i="1"/>
  <c r="B3257" i="1"/>
  <c r="C3257" i="1"/>
  <c r="E3257" i="1"/>
  <c r="G3257" i="1"/>
  <c r="H3257" i="1"/>
  <c r="A3258" i="1"/>
  <c r="B3258" i="1"/>
  <c r="C3258" i="1"/>
  <c r="E3258" i="1"/>
  <c r="G3258" i="1"/>
  <c r="H3258" i="1"/>
  <c r="A3259" i="1"/>
  <c r="B3259" i="1"/>
  <c r="C3259" i="1"/>
  <c r="E3259" i="1"/>
  <c r="G3259" i="1"/>
  <c r="H3259" i="1"/>
  <c r="A3260" i="1"/>
  <c r="B3260" i="1"/>
  <c r="C3260" i="1"/>
  <c r="E3260" i="1"/>
  <c r="G3260" i="1"/>
  <c r="H3260" i="1"/>
  <c r="A3261" i="1"/>
  <c r="B3261" i="1"/>
  <c r="C3261" i="1"/>
  <c r="E3261" i="1"/>
  <c r="G3261" i="1"/>
  <c r="H3261" i="1"/>
  <c r="A3262" i="1"/>
  <c r="B3262" i="1"/>
  <c r="C3262" i="1"/>
  <c r="E3262" i="1"/>
  <c r="G3262" i="1"/>
  <c r="H3262" i="1"/>
  <c r="A3263" i="1"/>
  <c r="B3263" i="1"/>
  <c r="C3263" i="1"/>
  <c r="E3263" i="1"/>
  <c r="G3263" i="1"/>
  <c r="H3263" i="1"/>
  <c r="A3264" i="1"/>
  <c r="B3264" i="1"/>
  <c r="C3264" i="1"/>
  <c r="E3264" i="1"/>
  <c r="G3264" i="1"/>
  <c r="H3264" i="1"/>
  <c r="A3265" i="1"/>
  <c r="B3265" i="1"/>
  <c r="C3265" i="1"/>
  <c r="E3265" i="1"/>
  <c r="G3265" i="1"/>
  <c r="H3265" i="1"/>
  <c r="A3266" i="1"/>
  <c r="B3266" i="1"/>
  <c r="C3266" i="1"/>
  <c r="E3266" i="1"/>
  <c r="G3266" i="1"/>
  <c r="H3266" i="1"/>
  <c r="A3267" i="1"/>
  <c r="B3267" i="1"/>
  <c r="C3267" i="1"/>
  <c r="E3267" i="1"/>
  <c r="G3267" i="1"/>
  <c r="H3267" i="1"/>
  <c r="A3268" i="1"/>
  <c r="B3268" i="1"/>
  <c r="C3268" i="1"/>
  <c r="E3268" i="1"/>
  <c r="G3268" i="1"/>
  <c r="H3268" i="1"/>
  <c r="A3269" i="1"/>
  <c r="B3269" i="1"/>
  <c r="C3269" i="1"/>
  <c r="E3269" i="1"/>
  <c r="G3269" i="1"/>
  <c r="H3269" i="1"/>
  <c r="A3270" i="1"/>
  <c r="B3270" i="1"/>
  <c r="C3270" i="1"/>
  <c r="E3270" i="1"/>
  <c r="G3270" i="1"/>
  <c r="H3270" i="1"/>
  <c r="A3271" i="1"/>
  <c r="B3271" i="1"/>
  <c r="C3271" i="1"/>
  <c r="E3271" i="1"/>
  <c r="G3271" i="1"/>
  <c r="H3271" i="1"/>
  <c r="A3272" i="1"/>
  <c r="B3272" i="1"/>
  <c r="C3272" i="1"/>
  <c r="E3272" i="1"/>
  <c r="G3272" i="1"/>
  <c r="H3272" i="1"/>
  <c r="A3273" i="1"/>
  <c r="B3273" i="1"/>
  <c r="C3273" i="1"/>
  <c r="E3273" i="1"/>
  <c r="G3273" i="1"/>
  <c r="H3273" i="1"/>
  <c r="A3274" i="1"/>
  <c r="B3274" i="1"/>
  <c r="C3274" i="1"/>
  <c r="E3274" i="1"/>
  <c r="G3274" i="1"/>
  <c r="H3274" i="1"/>
  <c r="A3275" i="1"/>
  <c r="B3275" i="1"/>
  <c r="C3275" i="1"/>
  <c r="E3275" i="1"/>
  <c r="G3275" i="1"/>
  <c r="H3275" i="1"/>
  <c r="A3276" i="1"/>
  <c r="B3276" i="1"/>
  <c r="C3276" i="1"/>
  <c r="E3276" i="1"/>
  <c r="G3276" i="1"/>
  <c r="H3276" i="1"/>
  <c r="A3277" i="1"/>
  <c r="B3277" i="1"/>
  <c r="C3277" i="1"/>
  <c r="E3277" i="1"/>
  <c r="G3277" i="1"/>
  <c r="H3277" i="1"/>
  <c r="A3278" i="1"/>
  <c r="B3278" i="1"/>
  <c r="C3278" i="1"/>
  <c r="E3278" i="1"/>
  <c r="G3278" i="1"/>
  <c r="H3278" i="1"/>
  <c r="A3279" i="1"/>
  <c r="B3279" i="1"/>
  <c r="C3279" i="1"/>
  <c r="E3279" i="1"/>
  <c r="G3279" i="1"/>
  <c r="H3279" i="1"/>
  <c r="A3280" i="1"/>
  <c r="B3280" i="1"/>
  <c r="C3280" i="1"/>
  <c r="E3280" i="1"/>
  <c r="G3280" i="1"/>
  <c r="H3280" i="1"/>
  <c r="A3281" i="1"/>
  <c r="B3281" i="1"/>
  <c r="C3281" i="1"/>
  <c r="E3281" i="1"/>
  <c r="G3281" i="1"/>
  <c r="H3281" i="1"/>
  <c r="A3282" i="1"/>
  <c r="B3282" i="1"/>
  <c r="C3282" i="1"/>
  <c r="E3282" i="1"/>
  <c r="G3282" i="1"/>
  <c r="H3282" i="1"/>
  <c r="A3283" i="1"/>
  <c r="B3283" i="1"/>
  <c r="C3283" i="1"/>
  <c r="E3283" i="1"/>
  <c r="G3283" i="1"/>
  <c r="H3283" i="1"/>
  <c r="A3284" i="1"/>
  <c r="B3284" i="1"/>
  <c r="C3284" i="1"/>
  <c r="E3284" i="1"/>
  <c r="G3284" i="1"/>
  <c r="H3284" i="1"/>
  <c r="A3285" i="1"/>
  <c r="B3285" i="1"/>
  <c r="C3285" i="1"/>
  <c r="E3285" i="1"/>
  <c r="G3285" i="1"/>
  <c r="H3285" i="1"/>
  <c r="A3286" i="1"/>
  <c r="B3286" i="1"/>
  <c r="C3286" i="1"/>
  <c r="E3286" i="1"/>
  <c r="G3286" i="1"/>
  <c r="H3286" i="1"/>
  <c r="A3287" i="1"/>
  <c r="B3287" i="1"/>
  <c r="C3287" i="1"/>
  <c r="E3287" i="1"/>
  <c r="G3287" i="1"/>
  <c r="H3287" i="1"/>
  <c r="A3288" i="1"/>
  <c r="B3288" i="1"/>
  <c r="C3288" i="1"/>
  <c r="E3288" i="1"/>
  <c r="G3288" i="1"/>
  <c r="H3288" i="1"/>
  <c r="A3289" i="1"/>
  <c r="B3289" i="1"/>
  <c r="C3289" i="1"/>
  <c r="E3289" i="1"/>
  <c r="G3289" i="1"/>
  <c r="H3289" i="1"/>
  <c r="A3290" i="1"/>
  <c r="B3290" i="1"/>
  <c r="C3290" i="1"/>
  <c r="E3290" i="1"/>
  <c r="G3290" i="1"/>
  <c r="H3290" i="1"/>
  <c r="A3291" i="1"/>
  <c r="B3291" i="1"/>
  <c r="C3291" i="1"/>
  <c r="E3291" i="1"/>
  <c r="G3291" i="1"/>
  <c r="H3291" i="1"/>
  <c r="A3292" i="1"/>
  <c r="B3292" i="1"/>
  <c r="C3292" i="1"/>
  <c r="E3292" i="1"/>
  <c r="G3292" i="1"/>
  <c r="H3292" i="1"/>
  <c r="A3293" i="1"/>
  <c r="B3293" i="1"/>
  <c r="C3293" i="1"/>
  <c r="E3293" i="1"/>
  <c r="G3293" i="1"/>
  <c r="H3293" i="1"/>
  <c r="A3294" i="1"/>
  <c r="B3294" i="1"/>
  <c r="C3294" i="1"/>
  <c r="E3294" i="1"/>
  <c r="G3294" i="1"/>
  <c r="H3294" i="1"/>
  <c r="A3295" i="1"/>
  <c r="B3295" i="1"/>
  <c r="C3295" i="1"/>
  <c r="E3295" i="1"/>
  <c r="G3295" i="1"/>
  <c r="H3295" i="1"/>
  <c r="A3296" i="1"/>
  <c r="B3296" i="1"/>
  <c r="C3296" i="1"/>
  <c r="E3296" i="1"/>
  <c r="G3296" i="1"/>
  <c r="H3296" i="1"/>
  <c r="A3297" i="1"/>
  <c r="B3297" i="1"/>
  <c r="C3297" i="1"/>
  <c r="E3297" i="1"/>
  <c r="G3297" i="1"/>
  <c r="H3297" i="1"/>
  <c r="A3298" i="1"/>
  <c r="B3298" i="1"/>
  <c r="C3298" i="1"/>
  <c r="E3298" i="1"/>
  <c r="G3298" i="1"/>
  <c r="H3298" i="1"/>
  <c r="A3299" i="1"/>
  <c r="B3299" i="1"/>
  <c r="C3299" i="1"/>
  <c r="E3299" i="1"/>
  <c r="G3299" i="1"/>
  <c r="H3299" i="1"/>
  <c r="A3300" i="1"/>
  <c r="B3300" i="1"/>
  <c r="C3300" i="1"/>
  <c r="E3300" i="1"/>
  <c r="G3300" i="1"/>
  <c r="H3300" i="1"/>
  <c r="A3301" i="1"/>
  <c r="B3301" i="1"/>
  <c r="C3301" i="1"/>
  <c r="E3301" i="1"/>
  <c r="G3301" i="1"/>
  <c r="H3301" i="1"/>
  <c r="A3302" i="1"/>
  <c r="B3302" i="1"/>
  <c r="C3302" i="1"/>
  <c r="E3302" i="1"/>
  <c r="G3302" i="1"/>
  <c r="H3302" i="1"/>
  <c r="A3303" i="1"/>
  <c r="B3303" i="1"/>
  <c r="C3303" i="1"/>
  <c r="E3303" i="1"/>
  <c r="G3303" i="1"/>
  <c r="H3303" i="1"/>
  <c r="A3304" i="1"/>
  <c r="B3304" i="1"/>
  <c r="C3304" i="1"/>
  <c r="E3304" i="1"/>
  <c r="G3304" i="1"/>
  <c r="H3304" i="1"/>
  <c r="A3305" i="1"/>
  <c r="B3305" i="1"/>
  <c r="C3305" i="1"/>
  <c r="E3305" i="1"/>
  <c r="G3305" i="1"/>
  <c r="H3305" i="1"/>
  <c r="A3306" i="1"/>
  <c r="B3306" i="1"/>
  <c r="C3306" i="1"/>
  <c r="E3306" i="1"/>
  <c r="G3306" i="1"/>
  <c r="H3306" i="1"/>
  <c r="A3307" i="1"/>
  <c r="B3307" i="1"/>
  <c r="C3307" i="1"/>
  <c r="E3307" i="1"/>
  <c r="G3307" i="1"/>
  <c r="H3307" i="1"/>
  <c r="A3308" i="1"/>
  <c r="B3308" i="1"/>
  <c r="C3308" i="1"/>
  <c r="E3308" i="1"/>
  <c r="G3308" i="1"/>
  <c r="H3308" i="1"/>
  <c r="A3309" i="1"/>
  <c r="B3309" i="1"/>
  <c r="C3309" i="1"/>
  <c r="E3309" i="1"/>
  <c r="G3309" i="1"/>
  <c r="H3309" i="1"/>
  <c r="A3310" i="1"/>
  <c r="B3310" i="1"/>
  <c r="C3310" i="1"/>
  <c r="E3310" i="1"/>
  <c r="G3310" i="1"/>
  <c r="H3310" i="1"/>
  <c r="A3311" i="1"/>
  <c r="B3311" i="1"/>
  <c r="C3311" i="1"/>
  <c r="E3311" i="1"/>
  <c r="G3311" i="1"/>
  <c r="H3311" i="1"/>
  <c r="A3312" i="1"/>
  <c r="B3312" i="1"/>
  <c r="C3312" i="1"/>
  <c r="E3312" i="1"/>
  <c r="G3312" i="1"/>
  <c r="H3312" i="1"/>
  <c r="A3313" i="1"/>
  <c r="B3313" i="1"/>
  <c r="C3313" i="1"/>
  <c r="E3313" i="1"/>
  <c r="G3313" i="1"/>
  <c r="H3313" i="1"/>
  <c r="A3314" i="1"/>
  <c r="B3314" i="1"/>
  <c r="C3314" i="1"/>
  <c r="E3314" i="1"/>
  <c r="G3314" i="1"/>
  <c r="H3314" i="1"/>
  <c r="A3315" i="1"/>
  <c r="B3315" i="1"/>
  <c r="C3315" i="1"/>
  <c r="E3315" i="1"/>
  <c r="G3315" i="1"/>
  <c r="H3315" i="1"/>
  <c r="A3316" i="1"/>
  <c r="B3316" i="1"/>
  <c r="C3316" i="1"/>
  <c r="E3316" i="1"/>
  <c r="G3316" i="1"/>
  <c r="H3316" i="1"/>
  <c r="A3317" i="1"/>
  <c r="B3317" i="1"/>
  <c r="C3317" i="1"/>
  <c r="E3317" i="1"/>
  <c r="G3317" i="1"/>
  <c r="H3317" i="1"/>
  <c r="A3318" i="1"/>
  <c r="B3318" i="1"/>
  <c r="C3318" i="1"/>
  <c r="E3318" i="1"/>
  <c r="G3318" i="1"/>
  <c r="H3318" i="1"/>
  <c r="A3319" i="1"/>
  <c r="B3319" i="1"/>
  <c r="C3319" i="1"/>
  <c r="E3319" i="1"/>
  <c r="G3319" i="1"/>
  <c r="H3319" i="1"/>
  <c r="A3320" i="1"/>
  <c r="B3320" i="1"/>
  <c r="C3320" i="1"/>
  <c r="E3320" i="1"/>
  <c r="G3320" i="1"/>
  <c r="H3320" i="1"/>
  <c r="A3321" i="1"/>
  <c r="B3321" i="1"/>
  <c r="C3321" i="1"/>
  <c r="E3321" i="1"/>
  <c r="G3321" i="1"/>
  <c r="H3321" i="1"/>
  <c r="A3322" i="1"/>
  <c r="B3322" i="1"/>
  <c r="C3322" i="1"/>
  <c r="E3322" i="1"/>
  <c r="G3322" i="1"/>
  <c r="H3322" i="1"/>
  <c r="A3323" i="1"/>
  <c r="B3323" i="1"/>
  <c r="C3323" i="1"/>
  <c r="E3323" i="1"/>
  <c r="G3323" i="1"/>
  <c r="H3323" i="1"/>
  <c r="A3324" i="1"/>
  <c r="B3324" i="1"/>
  <c r="C3324" i="1"/>
  <c r="E3324" i="1"/>
  <c r="G3324" i="1"/>
  <c r="H3324" i="1"/>
  <c r="A3325" i="1"/>
  <c r="B3325" i="1"/>
  <c r="C3325" i="1"/>
  <c r="E3325" i="1"/>
  <c r="G3325" i="1"/>
  <c r="H3325" i="1"/>
  <c r="A3326" i="1"/>
  <c r="B3326" i="1"/>
  <c r="C3326" i="1"/>
  <c r="E3326" i="1"/>
  <c r="G3326" i="1"/>
  <c r="H3326" i="1"/>
  <c r="A3327" i="1"/>
  <c r="B3327" i="1"/>
  <c r="C3327" i="1"/>
  <c r="E3327" i="1"/>
  <c r="G3327" i="1"/>
  <c r="H3327" i="1"/>
  <c r="A3328" i="1"/>
  <c r="B3328" i="1"/>
  <c r="C3328" i="1"/>
  <c r="E3328" i="1"/>
  <c r="G3328" i="1"/>
  <c r="H3328" i="1"/>
  <c r="A3329" i="1"/>
  <c r="B3329" i="1"/>
  <c r="C3329" i="1"/>
  <c r="E3329" i="1"/>
  <c r="G3329" i="1"/>
  <c r="H3329" i="1"/>
  <c r="A3330" i="1"/>
  <c r="B3330" i="1"/>
  <c r="C3330" i="1"/>
  <c r="E3330" i="1"/>
  <c r="G3330" i="1"/>
  <c r="H3330" i="1"/>
  <c r="A3331" i="1"/>
  <c r="B3331" i="1"/>
  <c r="C3331" i="1"/>
  <c r="E3331" i="1"/>
  <c r="G3331" i="1"/>
  <c r="H3331" i="1"/>
  <c r="A3332" i="1"/>
  <c r="B3332" i="1"/>
  <c r="C3332" i="1"/>
  <c r="E3332" i="1"/>
  <c r="G3332" i="1"/>
  <c r="H3332" i="1"/>
  <c r="A3333" i="1"/>
  <c r="B3333" i="1"/>
  <c r="C3333" i="1"/>
  <c r="E3333" i="1"/>
  <c r="G3333" i="1"/>
  <c r="H3333" i="1"/>
  <c r="A3334" i="1"/>
  <c r="B3334" i="1"/>
  <c r="C3334" i="1"/>
  <c r="E3334" i="1"/>
  <c r="G3334" i="1"/>
  <c r="H3334" i="1"/>
  <c r="A3335" i="1"/>
  <c r="B3335" i="1"/>
  <c r="C3335" i="1"/>
  <c r="E3335" i="1"/>
  <c r="G3335" i="1"/>
  <c r="H3335" i="1"/>
  <c r="A3336" i="1"/>
  <c r="B3336" i="1"/>
  <c r="C3336" i="1"/>
  <c r="E3336" i="1"/>
  <c r="G3336" i="1"/>
  <c r="H3336" i="1"/>
  <c r="A3337" i="1"/>
  <c r="B3337" i="1"/>
  <c r="C3337" i="1"/>
  <c r="E3337" i="1"/>
  <c r="G3337" i="1"/>
  <c r="H3337" i="1"/>
  <c r="A3338" i="1"/>
  <c r="B3338" i="1"/>
  <c r="C3338" i="1"/>
  <c r="E3338" i="1"/>
  <c r="G3338" i="1"/>
  <c r="H3338" i="1"/>
  <c r="A3339" i="1"/>
  <c r="B3339" i="1"/>
  <c r="C3339" i="1"/>
  <c r="E3339" i="1"/>
  <c r="G3339" i="1"/>
  <c r="H3339" i="1"/>
  <c r="A3340" i="1"/>
  <c r="B3340" i="1"/>
  <c r="C3340" i="1"/>
  <c r="E3340" i="1"/>
  <c r="G3340" i="1"/>
  <c r="H3340" i="1"/>
  <c r="A3341" i="1"/>
  <c r="B3341" i="1"/>
  <c r="C3341" i="1"/>
  <c r="E3341" i="1"/>
  <c r="G3341" i="1"/>
  <c r="H3341" i="1"/>
  <c r="A3342" i="1"/>
  <c r="B3342" i="1"/>
  <c r="C3342" i="1"/>
  <c r="E3342" i="1"/>
  <c r="G3342" i="1"/>
  <c r="H3342" i="1"/>
  <c r="A3343" i="1"/>
  <c r="B3343" i="1"/>
  <c r="C3343" i="1"/>
  <c r="E3343" i="1"/>
  <c r="G3343" i="1"/>
  <c r="H3343" i="1"/>
  <c r="A3344" i="1"/>
  <c r="B3344" i="1"/>
  <c r="C3344" i="1"/>
  <c r="E3344" i="1"/>
  <c r="G3344" i="1"/>
  <c r="H3344" i="1"/>
  <c r="A3345" i="1"/>
  <c r="B3345" i="1"/>
  <c r="C3345" i="1"/>
  <c r="E3345" i="1"/>
  <c r="G3345" i="1"/>
  <c r="H3345" i="1"/>
  <c r="A3346" i="1"/>
  <c r="B3346" i="1"/>
  <c r="C3346" i="1"/>
  <c r="E3346" i="1"/>
  <c r="G3346" i="1"/>
  <c r="H3346" i="1"/>
  <c r="A3347" i="1"/>
  <c r="B3347" i="1"/>
  <c r="C3347" i="1"/>
  <c r="E3347" i="1"/>
  <c r="G3347" i="1"/>
  <c r="H3347" i="1"/>
  <c r="A3348" i="1"/>
  <c r="B3348" i="1"/>
  <c r="C3348" i="1"/>
  <c r="E3348" i="1"/>
  <c r="G3348" i="1"/>
  <c r="H3348" i="1"/>
  <c r="A3349" i="1"/>
  <c r="B3349" i="1"/>
  <c r="C3349" i="1"/>
  <c r="E3349" i="1"/>
  <c r="G3349" i="1"/>
  <c r="H3349" i="1"/>
  <c r="A3350" i="1"/>
  <c r="B3350" i="1"/>
  <c r="C3350" i="1"/>
  <c r="E3350" i="1"/>
  <c r="G3350" i="1"/>
  <c r="H3350" i="1"/>
  <c r="A3351" i="1"/>
  <c r="B3351" i="1"/>
  <c r="C3351" i="1"/>
  <c r="E3351" i="1"/>
  <c r="G3351" i="1"/>
  <c r="H3351" i="1"/>
  <c r="A3352" i="1"/>
  <c r="B3352" i="1"/>
  <c r="C3352" i="1"/>
  <c r="E3352" i="1"/>
  <c r="G3352" i="1"/>
  <c r="H3352" i="1"/>
  <c r="A3353" i="1"/>
  <c r="B3353" i="1"/>
  <c r="C3353" i="1"/>
  <c r="E3353" i="1"/>
  <c r="G3353" i="1"/>
  <c r="H3353" i="1"/>
  <c r="A3354" i="1"/>
  <c r="B3354" i="1"/>
  <c r="C3354" i="1"/>
  <c r="E3354" i="1"/>
  <c r="G3354" i="1"/>
  <c r="H3354" i="1"/>
  <c r="A3355" i="1"/>
  <c r="B3355" i="1"/>
  <c r="C3355" i="1"/>
  <c r="E3355" i="1"/>
  <c r="G3355" i="1"/>
  <c r="H3355" i="1"/>
  <c r="A3356" i="1"/>
  <c r="B3356" i="1"/>
  <c r="C3356" i="1"/>
  <c r="E3356" i="1"/>
  <c r="G3356" i="1"/>
  <c r="H3356" i="1"/>
  <c r="A3357" i="1"/>
  <c r="B3357" i="1"/>
  <c r="C3357" i="1"/>
  <c r="E3357" i="1"/>
  <c r="G3357" i="1"/>
  <c r="H3357" i="1"/>
  <c r="A3358" i="1"/>
  <c r="B3358" i="1"/>
  <c r="C3358" i="1"/>
  <c r="E3358" i="1"/>
  <c r="G3358" i="1"/>
  <c r="H3358" i="1"/>
  <c r="A3359" i="1"/>
  <c r="B3359" i="1"/>
  <c r="C3359" i="1"/>
  <c r="E3359" i="1"/>
  <c r="G3359" i="1"/>
  <c r="H3359" i="1"/>
  <c r="A3360" i="1"/>
  <c r="B3360" i="1"/>
  <c r="C3360" i="1"/>
  <c r="E3360" i="1"/>
  <c r="G3360" i="1"/>
  <c r="H3360" i="1"/>
  <c r="A3361" i="1"/>
  <c r="B3361" i="1"/>
  <c r="C3361" i="1"/>
  <c r="E3361" i="1"/>
  <c r="G3361" i="1"/>
  <c r="H3361" i="1"/>
  <c r="A3362" i="1"/>
  <c r="B3362" i="1"/>
  <c r="C3362" i="1"/>
  <c r="E3362" i="1"/>
  <c r="G3362" i="1"/>
  <c r="H3362" i="1"/>
  <c r="A3363" i="1"/>
  <c r="B3363" i="1"/>
  <c r="C3363" i="1"/>
  <c r="E3363" i="1"/>
  <c r="G3363" i="1"/>
  <c r="H3363" i="1"/>
  <c r="A3364" i="1"/>
  <c r="B3364" i="1"/>
  <c r="C3364" i="1"/>
  <c r="E3364" i="1"/>
  <c r="G3364" i="1"/>
  <c r="H3364" i="1"/>
  <c r="A3365" i="1"/>
  <c r="B3365" i="1"/>
  <c r="C3365" i="1"/>
  <c r="E3365" i="1"/>
  <c r="G3365" i="1"/>
  <c r="H3365" i="1"/>
  <c r="A3366" i="1"/>
  <c r="B3366" i="1"/>
  <c r="C3366" i="1"/>
  <c r="E3366" i="1"/>
  <c r="G3366" i="1"/>
  <c r="H3366" i="1"/>
  <c r="A3367" i="1"/>
  <c r="B3367" i="1"/>
  <c r="C3367" i="1"/>
  <c r="E3367" i="1"/>
  <c r="G3367" i="1"/>
  <c r="H3367" i="1"/>
  <c r="A3368" i="1"/>
  <c r="B3368" i="1"/>
  <c r="C3368" i="1"/>
  <c r="E3368" i="1"/>
  <c r="G3368" i="1"/>
  <c r="H3368" i="1"/>
  <c r="A3369" i="1"/>
  <c r="B3369" i="1"/>
  <c r="C3369" i="1"/>
  <c r="E3369" i="1"/>
  <c r="G3369" i="1"/>
  <c r="H3369" i="1"/>
  <c r="A3370" i="1"/>
  <c r="B3370" i="1"/>
  <c r="C3370" i="1"/>
  <c r="E3370" i="1"/>
  <c r="G3370" i="1"/>
  <c r="H3370" i="1"/>
  <c r="A3371" i="1"/>
  <c r="B3371" i="1"/>
  <c r="C3371" i="1"/>
  <c r="E3371" i="1"/>
  <c r="G3371" i="1"/>
  <c r="H3371" i="1"/>
  <c r="A3372" i="1"/>
  <c r="B3372" i="1"/>
  <c r="C3372" i="1"/>
  <c r="E3372" i="1"/>
  <c r="G3372" i="1"/>
  <c r="H3372" i="1"/>
  <c r="A3373" i="1"/>
  <c r="B3373" i="1"/>
  <c r="C3373" i="1"/>
  <c r="E3373" i="1"/>
  <c r="G3373" i="1"/>
  <c r="H3373" i="1"/>
  <c r="A3374" i="1"/>
  <c r="B3374" i="1"/>
  <c r="C3374" i="1"/>
  <c r="E3374" i="1"/>
  <c r="G3374" i="1"/>
  <c r="H3374" i="1"/>
  <c r="A3375" i="1"/>
  <c r="B3375" i="1"/>
  <c r="C3375" i="1"/>
  <c r="E3375" i="1"/>
  <c r="G3375" i="1"/>
  <c r="H3375" i="1"/>
  <c r="A3376" i="1"/>
  <c r="B3376" i="1"/>
  <c r="C3376" i="1"/>
  <c r="E3376" i="1"/>
  <c r="G3376" i="1"/>
  <c r="H3376" i="1"/>
  <c r="A3377" i="1"/>
  <c r="B3377" i="1"/>
  <c r="C3377" i="1"/>
  <c r="E3377" i="1"/>
  <c r="G3377" i="1"/>
  <c r="H3377" i="1"/>
  <c r="A3378" i="1"/>
  <c r="B3378" i="1"/>
  <c r="C3378" i="1"/>
  <c r="E3378" i="1"/>
  <c r="G3378" i="1"/>
  <c r="H3378" i="1"/>
  <c r="A3379" i="1"/>
  <c r="B3379" i="1"/>
  <c r="C3379" i="1"/>
  <c r="E3379" i="1"/>
  <c r="G3379" i="1"/>
  <c r="H3379" i="1"/>
  <c r="A3380" i="1"/>
  <c r="B3380" i="1"/>
  <c r="C3380" i="1"/>
  <c r="E3380" i="1"/>
  <c r="G3380" i="1"/>
  <c r="H3380" i="1"/>
  <c r="A3381" i="1"/>
  <c r="B3381" i="1"/>
  <c r="C3381" i="1"/>
  <c r="E3381" i="1"/>
  <c r="G3381" i="1"/>
  <c r="H3381" i="1"/>
  <c r="A3382" i="1"/>
  <c r="B3382" i="1"/>
  <c r="C3382" i="1"/>
  <c r="E3382" i="1"/>
  <c r="G3382" i="1"/>
  <c r="H3382" i="1"/>
  <c r="A3383" i="1"/>
  <c r="B3383" i="1"/>
  <c r="C3383" i="1"/>
  <c r="E3383" i="1"/>
  <c r="G3383" i="1"/>
  <c r="H3383" i="1"/>
  <c r="A3384" i="1"/>
  <c r="B3384" i="1"/>
  <c r="C3384" i="1"/>
  <c r="E3384" i="1"/>
  <c r="G3384" i="1"/>
  <c r="H3384" i="1"/>
  <c r="A3385" i="1"/>
  <c r="B3385" i="1"/>
  <c r="C3385" i="1"/>
  <c r="E3385" i="1"/>
  <c r="G3385" i="1"/>
  <c r="H3385" i="1"/>
  <c r="A3386" i="1"/>
  <c r="B3386" i="1"/>
  <c r="C3386" i="1"/>
  <c r="E3386" i="1"/>
  <c r="G3386" i="1"/>
  <c r="H3386" i="1"/>
  <c r="A3387" i="1"/>
  <c r="B3387" i="1"/>
  <c r="C3387" i="1"/>
  <c r="E3387" i="1"/>
  <c r="G3387" i="1"/>
  <c r="H3387" i="1"/>
  <c r="A3388" i="1"/>
  <c r="B3388" i="1"/>
  <c r="C3388" i="1"/>
  <c r="E3388" i="1"/>
  <c r="G3388" i="1"/>
  <c r="H3388" i="1"/>
  <c r="A3389" i="1"/>
  <c r="B3389" i="1"/>
  <c r="C3389" i="1"/>
  <c r="E3389" i="1"/>
  <c r="G3389" i="1"/>
  <c r="H3389" i="1"/>
  <c r="A3390" i="1"/>
  <c r="B3390" i="1"/>
  <c r="C3390" i="1"/>
  <c r="E3390" i="1"/>
  <c r="G3390" i="1"/>
  <c r="H3390" i="1"/>
  <c r="A3391" i="1"/>
  <c r="B3391" i="1"/>
  <c r="C3391" i="1"/>
  <c r="E3391" i="1"/>
  <c r="G3391" i="1"/>
  <c r="H3391" i="1"/>
  <c r="A3392" i="1"/>
  <c r="B3392" i="1"/>
  <c r="C3392" i="1"/>
  <c r="E3392" i="1"/>
  <c r="G3392" i="1"/>
  <c r="H3392" i="1"/>
  <c r="A3393" i="1"/>
  <c r="B3393" i="1"/>
  <c r="C3393" i="1"/>
  <c r="E3393" i="1"/>
  <c r="G3393" i="1"/>
  <c r="H3393" i="1"/>
  <c r="A3394" i="1"/>
  <c r="B3394" i="1"/>
  <c r="C3394" i="1"/>
  <c r="E3394" i="1"/>
  <c r="G3394" i="1"/>
  <c r="H3394" i="1"/>
  <c r="A3395" i="1"/>
  <c r="B3395" i="1"/>
  <c r="C3395" i="1"/>
  <c r="E3395" i="1"/>
  <c r="G3395" i="1"/>
  <c r="H3395" i="1"/>
  <c r="A3396" i="1"/>
  <c r="B3396" i="1"/>
  <c r="C3396" i="1"/>
  <c r="E3396" i="1"/>
  <c r="G3396" i="1"/>
  <c r="H3396" i="1"/>
  <c r="A3397" i="1"/>
  <c r="B3397" i="1"/>
  <c r="C3397" i="1"/>
  <c r="E3397" i="1"/>
  <c r="G3397" i="1"/>
  <c r="H3397" i="1"/>
  <c r="A3398" i="1"/>
  <c r="B3398" i="1"/>
  <c r="C3398" i="1"/>
  <c r="E3398" i="1"/>
  <c r="G3398" i="1"/>
  <c r="H3398" i="1"/>
  <c r="A3399" i="1"/>
  <c r="B3399" i="1"/>
  <c r="C3399" i="1"/>
  <c r="E3399" i="1"/>
  <c r="G3399" i="1"/>
  <c r="H3399" i="1"/>
  <c r="A3400" i="1"/>
  <c r="B3400" i="1"/>
  <c r="C3400" i="1"/>
  <c r="E3400" i="1"/>
  <c r="G3400" i="1"/>
  <c r="H3400" i="1"/>
  <c r="A3401" i="1"/>
  <c r="B3401" i="1"/>
  <c r="C3401" i="1"/>
  <c r="E3401" i="1"/>
  <c r="G3401" i="1"/>
  <c r="H3401" i="1"/>
  <c r="A3402" i="1"/>
  <c r="B3402" i="1"/>
  <c r="C3402" i="1"/>
  <c r="E3402" i="1"/>
  <c r="G3402" i="1"/>
  <c r="H3402" i="1"/>
  <c r="A3403" i="1"/>
  <c r="B3403" i="1"/>
  <c r="C3403" i="1"/>
  <c r="E3403" i="1"/>
  <c r="G3403" i="1"/>
  <c r="H3403" i="1"/>
  <c r="A3404" i="1"/>
  <c r="B3404" i="1"/>
  <c r="C3404" i="1"/>
  <c r="E3404" i="1"/>
  <c r="G3404" i="1"/>
  <c r="H3404" i="1"/>
  <c r="A3405" i="1"/>
  <c r="B3405" i="1"/>
  <c r="C3405" i="1"/>
  <c r="E3405" i="1"/>
  <c r="G3405" i="1"/>
  <c r="H3405" i="1"/>
  <c r="A3406" i="1"/>
  <c r="B3406" i="1"/>
  <c r="C3406" i="1"/>
  <c r="E3406" i="1"/>
  <c r="G3406" i="1"/>
  <c r="H3406" i="1"/>
  <c r="A3407" i="1"/>
  <c r="B3407" i="1"/>
  <c r="C3407" i="1"/>
  <c r="E3407" i="1"/>
  <c r="G3407" i="1"/>
  <c r="H3407" i="1"/>
  <c r="A3408" i="1"/>
  <c r="B3408" i="1"/>
  <c r="C3408" i="1"/>
  <c r="E3408" i="1"/>
  <c r="G3408" i="1"/>
  <c r="H3408" i="1"/>
  <c r="A3409" i="1"/>
  <c r="B3409" i="1"/>
  <c r="C3409" i="1"/>
  <c r="E3409" i="1"/>
  <c r="G3409" i="1"/>
  <c r="H3409" i="1"/>
  <c r="A3410" i="1"/>
  <c r="B3410" i="1"/>
  <c r="C3410" i="1"/>
  <c r="E3410" i="1"/>
  <c r="G3410" i="1"/>
  <c r="H3410" i="1"/>
  <c r="A3411" i="1"/>
  <c r="B3411" i="1"/>
  <c r="C3411" i="1"/>
  <c r="E3411" i="1"/>
  <c r="G3411" i="1"/>
  <c r="H3411" i="1"/>
  <c r="A3412" i="1"/>
  <c r="B3412" i="1"/>
  <c r="C3412" i="1"/>
  <c r="E3412" i="1"/>
  <c r="G3412" i="1"/>
  <c r="H3412" i="1"/>
  <c r="A3413" i="1"/>
  <c r="B3413" i="1"/>
  <c r="C3413" i="1"/>
  <c r="E3413" i="1"/>
  <c r="G3413" i="1"/>
  <c r="H3413" i="1"/>
  <c r="A3414" i="1"/>
  <c r="B3414" i="1"/>
  <c r="C3414" i="1"/>
  <c r="E3414" i="1"/>
  <c r="G3414" i="1"/>
  <c r="H3414" i="1"/>
  <c r="A3415" i="1"/>
  <c r="B3415" i="1"/>
  <c r="C3415" i="1"/>
  <c r="E3415" i="1"/>
  <c r="G3415" i="1"/>
  <c r="H3415" i="1"/>
  <c r="A3416" i="1"/>
  <c r="B3416" i="1"/>
  <c r="C3416" i="1"/>
  <c r="E3416" i="1"/>
  <c r="G3416" i="1"/>
  <c r="H3416" i="1"/>
  <c r="A3417" i="1"/>
  <c r="B3417" i="1"/>
  <c r="C3417" i="1"/>
  <c r="E3417" i="1"/>
  <c r="G3417" i="1"/>
  <c r="H3417" i="1"/>
  <c r="A3418" i="1"/>
  <c r="B3418" i="1"/>
  <c r="C3418" i="1"/>
  <c r="E3418" i="1"/>
  <c r="G3418" i="1"/>
  <c r="H3418" i="1"/>
  <c r="A3419" i="1"/>
  <c r="B3419" i="1"/>
  <c r="C3419" i="1"/>
  <c r="E3419" i="1"/>
  <c r="G3419" i="1"/>
  <c r="H3419" i="1"/>
  <c r="A3420" i="1"/>
  <c r="B3420" i="1"/>
  <c r="C3420" i="1"/>
  <c r="E3420" i="1"/>
  <c r="G3420" i="1"/>
  <c r="H3420" i="1"/>
  <c r="A3421" i="1"/>
  <c r="B3421" i="1"/>
  <c r="C3421" i="1"/>
  <c r="E3421" i="1"/>
  <c r="G3421" i="1"/>
  <c r="H3421" i="1"/>
  <c r="A3422" i="1"/>
  <c r="B3422" i="1"/>
  <c r="C3422" i="1"/>
  <c r="E3422" i="1"/>
  <c r="G3422" i="1"/>
  <c r="H3422" i="1"/>
  <c r="A3423" i="1"/>
  <c r="B3423" i="1"/>
  <c r="C3423" i="1"/>
  <c r="E3423" i="1"/>
  <c r="G3423" i="1"/>
  <c r="H3423" i="1"/>
  <c r="A3424" i="1"/>
  <c r="B3424" i="1"/>
  <c r="C3424" i="1"/>
  <c r="E3424" i="1"/>
  <c r="G3424" i="1"/>
  <c r="H3424" i="1"/>
  <c r="A3425" i="1"/>
  <c r="B3425" i="1"/>
  <c r="C3425" i="1"/>
  <c r="E3425" i="1"/>
  <c r="G3425" i="1"/>
  <c r="H3425" i="1"/>
  <c r="A3426" i="1"/>
  <c r="B3426" i="1"/>
  <c r="C3426" i="1"/>
  <c r="E3426" i="1"/>
  <c r="G3426" i="1"/>
  <c r="H3426" i="1"/>
  <c r="A3427" i="1"/>
  <c r="B3427" i="1"/>
  <c r="C3427" i="1"/>
  <c r="E3427" i="1"/>
  <c r="G3427" i="1"/>
  <c r="H3427" i="1"/>
  <c r="A3428" i="1"/>
  <c r="B3428" i="1"/>
  <c r="C3428" i="1"/>
  <c r="E3428" i="1"/>
  <c r="G3428" i="1"/>
  <c r="H3428" i="1"/>
  <c r="A3429" i="1"/>
  <c r="B3429" i="1"/>
  <c r="C3429" i="1"/>
  <c r="E3429" i="1"/>
  <c r="G3429" i="1"/>
  <c r="H3429" i="1"/>
  <c r="A3430" i="1"/>
  <c r="B3430" i="1"/>
  <c r="C3430" i="1"/>
  <c r="E3430" i="1"/>
  <c r="G3430" i="1"/>
  <c r="H3430" i="1"/>
  <c r="A3431" i="1"/>
  <c r="B3431" i="1"/>
  <c r="C3431" i="1"/>
  <c r="E3431" i="1"/>
  <c r="G3431" i="1"/>
  <c r="H3431" i="1"/>
  <c r="A3432" i="1"/>
  <c r="B3432" i="1"/>
  <c r="C3432" i="1"/>
  <c r="E3432" i="1"/>
  <c r="G3432" i="1"/>
  <c r="H3432" i="1"/>
  <c r="A3433" i="1"/>
  <c r="B3433" i="1"/>
  <c r="C3433" i="1"/>
  <c r="E3433" i="1"/>
  <c r="G3433" i="1"/>
  <c r="H3433" i="1"/>
  <c r="A3434" i="1"/>
  <c r="B3434" i="1"/>
  <c r="C3434" i="1"/>
  <c r="E3434" i="1"/>
  <c r="G3434" i="1"/>
  <c r="H3434" i="1"/>
  <c r="A3435" i="1"/>
  <c r="B3435" i="1"/>
  <c r="C3435" i="1"/>
  <c r="E3435" i="1"/>
  <c r="G3435" i="1"/>
  <c r="H3435" i="1"/>
  <c r="A3436" i="1"/>
  <c r="B3436" i="1"/>
  <c r="C3436" i="1"/>
  <c r="E3436" i="1"/>
  <c r="G3436" i="1"/>
  <c r="H3436" i="1"/>
  <c r="A3437" i="1"/>
  <c r="B3437" i="1"/>
  <c r="C3437" i="1"/>
  <c r="E3437" i="1"/>
  <c r="G3437" i="1"/>
  <c r="H3437" i="1"/>
  <c r="A3438" i="1"/>
  <c r="B3438" i="1"/>
  <c r="C3438" i="1"/>
  <c r="E3438" i="1"/>
  <c r="G3438" i="1"/>
  <c r="H3438" i="1"/>
  <c r="A3439" i="1"/>
  <c r="B3439" i="1"/>
  <c r="C3439" i="1"/>
  <c r="E3439" i="1"/>
  <c r="G3439" i="1"/>
  <c r="H3439" i="1"/>
  <c r="A3440" i="1"/>
  <c r="B3440" i="1"/>
  <c r="C3440" i="1"/>
  <c r="E3440" i="1"/>
  <c r="G3440" i="1"/>
  <c r="H3440" i="1"/>
  <c r="A3441" i="1"/>
  <c r="B3441" i="1"/>
  <c r="C3441" i="1"/>
  <c r="E3441" i="1"/>
  <c r="G3441" i="1"/>
  <c r="H3441" i="1"/>
  <c r="A3442" i="1"/>
  <c r="B3442" i="1"/>
  <c r="C3442" i="1"/>
  <c r="E3442" i="1"/>
  <c r="G3442" i="1"/>
  <c r="H3442" i="1"/>
  <c r="A3443" i="1"/>
  <c r="B3443" i="1"/>
  <c r="C3443" i="1"/>
  <c r="E3443" i="1"/>
  <c r="G3443" i="1"/>
  <c r="H3443" i="1"/>
  <c r="A3444" i="1"/>
  <c r="B3444" i="1"/>
  <c r="C3444" i="1"/>
  <c r="E3444" i="1"/>
  <c r="G3444" i="1"/>
  <c r="H3444" i="1"/>
  <c r="A3445" i="1"/>
  <c r="B3445" i="1"/>
  <c r="C3445" i="1"/>
  <c r="E3445" i="1"/>
  <c r="G3445" i="1"/>
  <c r="H3445" i="1"/>
  <c r="A3446" i="1"/>
  <c r="B3446" i="1"/>
  <c r="C3446" i="1"/>
  <c r="E3446" i="1"/>
  <c r="G3446" i="1"/>
  <c r="H3446" i="1"/>
  <c r="A3447" i="1"/>
  <c r="B3447" i="1"/>
  <c r="C3447" i="1"/>
  <c r="E3447" i="1"/>
  <c r="G3447" i="1"/>
  <c r="H3447" i="1"/>
  <c r="A3448" i="1"/>
  <c r="B3448" i="1"/>
  <c r="C3448" i="1"/>
  <c r="E3448" i="1"/>
  <c r="G3448" i="1"/>
  <c r="H3448" i="1"/>
  <c r="A3449" i="1"/>
  <c r="B3449" i="1"/>
  <c r="C3449" i="1"/>
  <c r="E3449" i="1"/>
  <c r="G3449" i="1"/>
  <c r="H3449" i="1"/>
  <c r="A3450" i="1"/>
  <c r="B3450" i="1"/>
  <c r="C3450" i="1"/>
  <c r="E3450" i="1"/>
  <c r="G3450" i="1"/>
  <c r="H3450" i="1"/>
  <c r="A3451" i="1"/>
  <c r="B3451" i="1"/>
  <c r="C3451" i="1"/>
  <c r="E3451" i="1"/>
  <c r="G3451" i="1"/>
  <c r="H3451" i="1"/>
  <c r="A3452" i="1"/>
  <c r="B3452" i="1"/>
  <c r="C3452" i="1"/>
  <c r="E3452" i="1"/>
  <c r="G3452" i="1"/>
  <c r="H3452" i="1"/>
  <c r="A3453" i="1"/>
  <c r="B3453" i="1"/>
  <c r="C3453" i="1"/>
  <c r="E3453" i="1"/>
  <c r="G3453" i="1"/>
  <c r="H3453" i="1"/>
  <c r="A3454" i="1"/>
  <c r="B3454" i="1"/>
  <c r="C3454" i="1"/>
  <c r="E3454" i="1"/>
  <c r="G3454" i="1"/>
  <c r="H3454" i="1"/>
  <c r="A3455" i="1"/>
  <c r="B3455" i="1"/>
  <c r="C3455" i="1"/>
  <c r="E3455" i="1"/>
  <c r="G3455" i="1"/>
  <c r="H3455" i="1"/>
  <c r="A3456" i="1"/>
  <c r="B3456" i="1"/>
  <c r="C3456" i="1"/>
  <c r="E3456" i="1"/>
  <c r="G3456" i="1"/>
  <c r="H3456" i="1"/>
  <c r="A3457" i="1"/>
  <c r="B3457" i="1"/>
  <c r="C3457" i="1"/>
  <c r="E3457" i="1"/>
  <c r="G3457" i="1"/>
  <c r="H3457" i="1"/>
  <c r="A3458" i="1"/>
  <c r="B3458" i="1"/>
  <c r="C3458" i="1"/>
  <c r="E3458" i="1"/>
  <c r="G3458" i="1"/>
  <c r="H3458" i="1"/>
  <c r="A3459" i="1"/>
  <c r="B3459" i="1"/>
  <c r="C3459" i="1"/>
  <c r="E3459" i="1"/>
  <c r="G3459" i="1"/>
  <c r="H3459" i="1"/>
  <c r="A3460" i="1"/>
  <c r="B3460" i="1"/>
  <c r="C3460" i="1"/>
  <c r="E3460" i="1"/>
  <c r="G3460" i="1"/>
  <c r="H3460" i="1"/>
  <c r="A3461" i="1"/>
  <c r="B3461" i="1"/>
  <c r="C3461" i="1"/>
  <c r="E3461" i="1"/>
  <c r="G3461" i="1"/>
  <c r="H3461" i="1"/>
  <c r="A3462" i="1"/>
  <c r="B3462" i="1"/>
  <c r="C3462" i="1"/>
  <c r="E3462" i="1"/>
  <c r="G3462" i="1"/>
  <c r="H3462" i="1"/>
  <c r="A3463" i="1"/>
  <c r="B3463" i="1"/>
  <c r="C3463" i="1"/>
  <c r="E3463" i="1"/>
  <c r="G3463" i="1"/>
  <c r="H3463" i="1"/>
  <c r="A3464" i="1"/>
  <c r="B3464" i="1"/>
  <c r="C3464" i="1"/>
  <c r="E3464" i="1"/>
  <c r="G3464" i="1"/>
  <c r="H3464" i="1"/>
  <c r="A3465" i="1"/>
  <c r="B3465" i="1"/>
  <c r="C3465" i="1"/>
  <c r="E3465" i="1"/>
  <c r="G3465" i="1"/>
  <c r="H3465" i="1"/>
  <c r="A3466" i="1"/>
  <c r="B3466" i="1"/>
  <c r="C3466" i="1"/>
  <c r="E3466" i="1"/>
  <c r="G3466" i="1"/>
  <c r="H3466" i="1"/>
  <c r="A3467" i="1"/>
  <c r="B3467" i="1"/>
  <c r="C3467" i="1"/>
  <c r="E3467" i="1"/>
  <c r="G3467" i="1"/>
  <c r="H3467" i="1"/>
  <c r="A3468" i="1"/>
  <c r="B3468" i="1"/>
  <c r="C3468" i="1"/>
  <c r="E3468" i="1"/>
  <c r="G3468" i="1"/>
  <c r="H3468" i="1"/>
  <c r="A3469" i="1"/>
  <c r="B3469" i="1"/>
  <c r="C3469" i="1"/>
  <c r="E3469" i="1"/>
  <c r="G3469" i="1"/>
  <c r="H3469" i="1"/>
  <c r="A3470" i="1"/>
  <c r="B3470" i="1"/>
  <c r="C3470" i="1"/>
  <c r="E3470" i="1"/>
  <c r="G3470" i="1"/>
  <c r="H3470" i="1"/>
  <c r="A3471" i="1"/>
  <c r="B3471" i="1"/>
  <c r="C3471" i="1"/>
  <c r="E3471" i="1"/>
  <c r="G3471" i="1"/>
  <c r="H3471" i="1"/>
  <c r="A3472" i="1"/>
  <c r="B3472" i="1"/>
  <c r="C3472" i="1"/>
  <c r="E3472" i="1"/>
  <c r="G3472" i="1"/>
  <c r="H3472" i="1"/>
  <c r="A3473" i="1"/>
  <c r="B3473" i="1"/>
  <c r="C3473" i="1"/>
  <c r="E3473" i="1"/>
  <c r="G3473" i="1"/>
  <c r="H3473" i="1"/>
  <c r="A3474" i="1"/>
  <c r="B3474" i="1"/>
  <c r="C3474" i="1"/>
  <c r="E3474" i="1"/>
  <c r="G3474" i="1"/>
  <c r="H3474" i="1"/>
  <c r="A3475" i="1"/>
  <c r="B3475" i="1"/>
  <c r="C3475" i="1"/>
  <c r="E3475" i="1"/>
  <c r="G3475" i="1"/>
  <c r="H3475" i="1"/>
  <c r="A3476" i="1"/>
  <c r="B3476" i="1"/>
  <c r="C3476" i="1"/>
  <c r="E3476" i="1"/>
  <c r="G3476" i="1"/>
  <c r="H3476" i="1"/>
  <c r="A3477" i="1"/>
  <c r="B3477" i="1"/>
  <c r="C3477" i="1"/>
  <c r="E3477" i="1"/>
  <c r="G3477" i="1"/>
  <c r="H3477" i="1"/>
  <c r="A3478" i="1"/>
  <c r="B3478" i="1"/>
  <c r="C3478" i="1"/>
  <c r="E3478" i="1"/>
  <c r="G3478" i="1"/>
  <c r="H3478" i="1"/>
  <c r="A3479" i="1"/>
  <c r="B3479" i="1"/>
  <c r="C3479" i="1"/>
  <c r="E3479" i="1"/>
  <c r="G3479" i="1"/>
  <c r="H3479" i="1"/>
  <c r="A3480" i="1"/>
  <c r="B3480" i="1"/>
  <c r="C3480" i="1"/>
  <c r="E3480" i="1"/>
  <c r="G3480" i="1"/>
  <c r="H3480" i="1"/>
  <c r="A3481" i="1"/>
  <c r="B3481" i="1"/>
  <c r="C3481" i="1"/>
  <c r="E3481" i="1"/>
  <c r="G3481" i="1"/>
  <c r="H3481" i="1"/>
  <c r="A3482" i="1"/>
  <c r="B3482" i="1"/>
  <c r="C3482" i="1"/>
  <c r="E3482" i="1"/>
  <c r="G3482" i="1"/>
  <c r="H3482" i="1"/>
  <c r="A3483" i="1"/>
  <c r="B3483" i="1"/>
  <c r="C3483" i="1"/>
  <c r="E3483" i="1"/>
  <c r="G3483" i="1"/>
  <c r="H3483" i="1"/>
  <c r="A3484" i="1"/>
  <c r="B3484" i="1"/>
  <c r="C3484" i="1"/>
  <c r="E3484" i="1"/>
  <c r="G3484" i="1"/>
  <c r="H3484" i="1"/>
  <c r="A3485" i="1"/>
  <c r="B3485" i="1"/>
  <c r="C3485" i="1"/>
  <c r="E3485" i="1"/>
  <c r="G3485" i="1"/>
  <c r="H3485" i="1"/>
  <c r="A3486" i="1"/>
  <c r="B3486" i="1"/>
  <c r="C3486" i="1"/>
  <c r="E3486" i="1"/>
  <c r="G3486" i="1"/>
  <c r="H3486" i="1"/>
  <c r="A3487" i="1"/>
  <c r="B3487" i="1"/>
  <c r="C3487" i="1"/>
  <c r="E3487" i="1"/>
  <c r="G3487" i="1"/>
  <c r="H3487" i="1"/>
  <c r="A3488" i="1"/>
  <c r="B3488" i="1"/>
  <c r="C3488" i="1"/>
  <c r="E3488" i="1"/>
  <c r="G3488" i="1"/>
  <c r="H3488" i="1"/>
  <c r="A3489" i="1"/>
  <c r="B3489" i="1"/>
  <c r="C3489" i="1"/>
  <c r="E3489" i="1"/>
  <c r="G3489" i="1"/>
  <c r="H3489" i="1"/>
  <c r="A3490" i="1"/>
  <c r="B3490" i="1"/>
  <c r="C3490" i="1"/>
  <c r="E3490" i="1"/>
  <c r="G3490" i="1"/>
  <c r="H3490" i="1"/>
  <c r="A3491" i="1"/>
  <c r="B3491" i="1"/>
  <c r="C3491" i="1"/>
  <c r="E3491" i="1"/>
  <c r="G3491" i="1"/>
  <c r="H3491" i="1"/>
  <c r="A3492" i="1"/>
  <c r="B3492" i="1"/>
  <c r="C3492" i="1"/>
  <c r="E3492" i="1"/>
  <c r="G3492" i="1"/>
  <c r="H3492" i="1"/>
  <c r="A3493" i="1"/>
  <c r="B3493" i="1"/>
  <c r="C3493" i="1"/>
  <c r="E3493" i="1"/>
  <c r="G3493" i="1"/>
  <c r="H3493" i="1"/>
  <c r="A3494" i="1"/>
  <c r="B3494" i="1"/>
  <c r="C3494" i="1"/>
  <c r="E3494" i="1"/>
  <c r="G3494" i="1"/>
  <c r="H3494" i="1"/>
  <c r="A3495" i="1"/>
  <c r="B3495" i="1"/>
  <c r="C3495" i="1"/>
  <c r="E3495" i="1"/>
  <c r="G3495" i="1"/>
  <c r="H3495" i="1"/>
  <c r="A3496" i="1"/>
  <c r="B3496" i="1"/>
  <c r="C3496" i="1"/>
  <c r="E3496" i="1"/>
  <c r="G3496" i="1"/>
  <c r="H3496" i="1"/>
  <c r="A3497" i="1"/>
  <c r="B3497" i="1"/>
  <c r="C3497" i="1"/>
  <c r="E3497" i="1"/>
  <c r="G3497" i="1"/>
  <c r="H3497" i="1"/>
  <c r="A3498" i="1"/>
  <c r="B3498" i="1"/>
  <c r="C3498" i="1"/>
  <c r="E3498" i="1"/>
  <c r="G3498" i="1"/>
  <c r="H3498" i="1"/>
  <c r="A3499" i="1"/>
  <c r="B3499" i="1"/>
  <c r="C3499" i="1"/>
  <c r="E3499" i="1"/>
  <c r="G3499" i="1"/>
  <c r="H3499" i="1"/>
  <c r="A3500" i="1"/>
  <c r="B3500" i="1"/>
  <c r="C3500" i="1"/>
  <c r="E3500" i="1"/>
  <c r="G3500" i="1"/>
  <c r="H3500" i="1"/>
  <c r="A3501" i="1"/>
  <c r="B3501" i="1"/>
  <c r="C3501" i="1"/>
  <c r="E3501" i="1"/>
  <c r="G3501" i="1"/>
  <c r="H3501" i="1"/>
  <c r="A3502" i="1"/>
  <c r="B3502" i="1"/>
  <c r="C3502" i="1"/>
  <c r="E3502" i="1"/>
  <c r="G3502" i="1"/>
  <c r="H3502" i="1"/>
  <c r="A3503" i="1"/>
  <c r="B3503" i="1"/>
  <c r="C3503" i="1"/>
  <c r="E3503" i="1"/>
  <c r="G3503" i="1"/>
  <c r="H3503" i="1"/>
  <c r="A3504" i="1"/>
  <c r="B3504" i="1"/>
  <c r="C3504" i="1"/>
  <c r="E3504" i="1"/>
  <c r="G3504" i="1"/>
  <c r="H3504" i="1"/>
  <c r="A3505" i="1"/>
  <c r="B3505" i="1"/>
  <c r="C3505" i="1"/>
  <c r="E3505" i="1"/>
  <c r="G3505" i="1"/>
  <c r="H3505" i="1"/>
  <c r="A3506" i="1"/>
  <c r="B3506" i="1"/>
  <c r="C3506" i="1"/>
  <c r="E3506" i="1"/>
  <c r="G3506" i="1"/>
  <c r="H3506" i="1"/>
  <c r="A3507" i="1"/>
  <c r="B3507" i="1"/>
  <c r="C3507" i="1"/>
  <c r="E3507" i="1"/>
  <c r="G3507" i="1"/>
  <c r="H3507" i="1"/>
  <c r="A3508" i="1"/>
  <c r="B3508" i="1"/>
  <c r="C3508" i="1"/>
  <c r="E3508" i="1"/>
  <c r="G3508" i="1"/>
  <c r="H3508" i="1"/>
  <c r="A3509" i="1"/>
  <c r="B3509" i="1"/>
  <c r="C3509" i="1"/>
  <c r="E3509" i="1"/>
  <c r="G3509" i="1"/>
  <c r="H3509" i="1"/>
  <c r="A3510" i="1"/>
  <c r="B3510" i="1"/>
  <c r="C3510" i="1"/>
  <c r="E3510" i="1"/>
  <c r="G3510" i="1"/>
  <c r="H3510" i="1"/>
  <c r="A3511" i="1"/>
  <c r="B3511" i="1"/>
  <c r="C3511" i="1"/>
  <c r="E3511" i="1"/>
  <c r="G3511" i="1"/>
  <c r="H3511" i="1"/>
  <c r="A3512" i="1"/>
  <c r="B3512" i="1"/>
  <c r="C3512" i="1"/>
  <c r="E3512" i="1"/>
  <c r="G3512" i="1"/>
  <c r="H3512" i="1"/>
  <c r="A3513" i="1"/>
  <c r="B3513" i="1"/>
  <c r="C3513" i="1"/>
  <c r="E3513" i="1"/>
  <c r="G3513" i="1"/>
  <c r="H3513" i="1"/>
  <c r="A3514" i="1"/>
  <c r="B3514" i="1"/>
  <c r="C3514" i="1"/>
  <c r="E3514" i="1"/>
  <c r="G3514" i="1"/>
  <c r="H3514" i="1"/>
  <c r="A3515" i="1"/>
  <c r="B3515" i="1"/>
  <c r="C3515" i="1"/>
  <c r="E3515" i="1"/>
  <c r="G3515" i="1"/>
  <c r="H3515" i="1"/>
  <c r="A3516" i="1"/>
  <c r="B3516" i="1"/>
  <c r="C3516" i="1"/>
  <c r="E3516" i="1"/>
  <c r="G3516" i="1"/>
  <c r="H3516" i="1"/>
  <c r="A3517" i="1"/>
  <c r="B3517" i="1"/>
  <c r="C3517" i="1"/>
  <c r="E3517" i="1"/>
  <c r="G3517" i="1"/>
  <c r="H3517" i="1"/>
  <c r="A3518" i="1"/>
  <c r="B3518" i="1"/>
  <c r="C3518" i="1"/>
  <c r="E3518" i="1"/>
  <c r="G3518" i="1"/>
  <c r="H3518" i="1"/>
  <c r="A3519" i="1"/>
  <c r="B3519" i="1"/>
  <c r="C3519" i="1"/>
  <c r="E3519" i="1"/>
  <c r="G3519" i="1"/>
  <c r="H3519" i="1"/>
  <c r="A3520" i="1"/>
  <c r="B3520" i="1"/>
  <c r="C3520" i="1"/>
  <c r="E3520" i="1"/>
  <c r="G3520" i="1"/>
  <c r="H3520" i="1"/>
  <c r="A3521" i="1"/>
  <c r="B3521" i="1"/>
  <c r="C3521" i="1"/>
  <c r="E3521" i="1"/>
  <c r="G3521" i="1"/>
  <c r="H3521" i="1"/>
  <c r="A3522" i="1"/>
  <c r="B3522" i="1"/>
  <c r="C3522" i="1"/>
  <c r="E3522" i="1"/>
  <c r="G3522" i="1"/>
  <c r="H3522" i="1"/>
  <c r="A3523" i="1"/>
  <c r="B3523" i="1"/>
  <c r="C3523" i="1"/>
  <c r="E3523" i="1"/>
  <c r="G3523" i="1"/>
  <c r="H3523" i="1"/>
  <c r="A3524" i="1"/>
  <c r="B3524" i="1"/>
  <c r="C3524" i="1"/>
  <c r="E3524" i="1"/>
  <c r="G3524" i="1"/>
  <c r="H3524" i="1"/>
  <c r="A3525" i="1"/>
  <c r="B3525" i="1"/>
  <c r="C3525" i="1"/>
  <c r="E3525" i="1"/>
  <c r="G3525" i="1"/>
  <c r="H3525" i="1"/>
  <c r="A3526" i="1"/>
  <c r="B3526" i="1"/>
  <c r="C3526" i="1"/>
  <c r="E3526" i="1"/>
  <c r="G3526" i="1"/>
  <c r="H3526" i="1"/>
  <c r="A3527" i="1"/>
  <c r="B3527" i="1"/>
  <c r="C3527" i="1"/>
  <c r="E3527" i="1"/>
  <c r="G3527" i="1"/>
  <c r="H3527" i="1"/>
  <c r="A3528" i="1"/>
  <c r="B3528" i="1"/>
  <c r="C3528" i="1"/>
  <c r="E3528" i="1"/>
  <c r="G3528" i="1"/>
  <c r="H3528" i="1"/>
  <c r="A3529" i="1"/>
  <c r="B3529" i="1"/>
  <c r="C3529" i="1"/>
  <c r="E3529" i="1"/>
  <c r="G3529" i="1"/>
  <c r="H3529" i="1"/>
  <c r="A3530" i="1"/>
  <c r="B3530" i="1"/>
  <c r="C3530" i="1"/>
  <c r="E3530" i="1"/>
  <c r="G3530" i="1"/>
  <c r="H3530" i="1"/>
  <c r="A3531" i="1"/>
  <c r="B3531" i="1"/>
  <c r="C3531" i="1"/>
  <c r="E3531" i="1"/>
  <c r="G3531" i="1"/>
  <c r="H3531" i="1"/>
  <c r="A3532" i="1"/>
  <c r="B3532" i="1"/>
  <c r="C3532" i="1"/>
  <c r="E3532" i="1"/>
  <c r="G3532" i="1"/>
  <c r="H3532" i="1"/>
  <c r="A3533" i="1"/>
  <c r="B3533" i="1"/>
  <c r="C3533" i="1"/>
  <c r="E3533" i="1"/>
  <c r="G3533" i="1"/>
  <c r="H3533" i="1"/>
  <c r="A3534" i="1"/>
  <c r="B3534" i="1"/>
  <c r="C3534" i="1"/>
  <c r="E3534" i="1"/>
  <c r="G3534" i="1"/>
  <c r="H3534" i="1"/>
  <c r="A3535" i="1"/>
  <c r="B3535" i="1"/>
  <c r="C3535" i="1"/>
  <c r="E3535" i="1"/>
  <c r="G3535" i="1"/>
  <c r="H3535" i="1"/>
  <c r="A3536" i="1"/>
  <c r="B3536" i="1"/>
  <c r="C3536" i="1"/>
  <c r="E3536" i="1"/>
  <c r="G3536" i="1"/>
  <c r="H3536" i="1"/>
  <c r="A3537" i="1"/>
  <c r="B3537" i="1"/>
  <c r="C3537" i="1"/>
  <c r="E3537" i="1"/>
  <c r="G3537" i="1"/>
  <c r="H3537" i="1"/>
  <c r="A3538" i="1"/>
  <c r="B3538" i="1"/>
  <c r="C3538" i="1"/>
  <c r="E3538" i="1"/>
  <c r="G3538" i="1"/>
  <c r="H3538" i="1"/>
  <c r="A3539" i="1"/>
  <c r="B3539" i="1"/>
  <c r="C3539" i="1"/>
  <c r="E3539" i="1"/>
  <c r="G3539" i="1"/>
  <c r="H3539" i="1"/>
  <c r="A3540" i="1"/>
  <c r="B3540" i="1"/>
  <c r="C3540" i="1"/>
  <c r="E3540" i="1"/>
  <c r="G3540" i="1"/>
  <c r="H3540" i="1"/>
  <c r="A3541" i="1"/>
  <c r="B3541" i="1"/>
  <c r="C3541" i="1"/>
  <c r="E3541" i="1"/>
  <c r="G3541" i="1"/>
  <c r="H3541" i="1"/>
  <c r="A3542" i="1"/>
  <c r="B3542" i="1"/>
  <c r="C3542" i="1"/>
  <c r="E3542" i="1"/>
  <c r="G3542" i="1"/>
  <c r="H3542" i="1"/>
  <c r="A3543" i="1"/>
  <c r="B3543" i="1"/>
  <c r="C3543" i="1"/>
  <c r="E3543" i="1"/>
  <c r="G3543" i="1"/>
  <c r="H3543" i="1"/>
  <c r="A3544" i="1"/>
  <c r="B3544" i="1"/>
  <c r="C3544" i="1"/>
  <c r="E3544" i="1"/>
  <c r="G3544" i="1"/>
  <c r="H3544" i="1"/>
  <c r="A3545" i="1"/>
  <c r="B3545" i="1"/>
  <c r="C3545" i="1"/>
  <c r="E3545" i="1"/>
  <c r="G3545" i="1"/>
  <c r="H3545" i="1"/>
  <c r="A3546" i="1"/>
  <c r="B3546" i="1"/>
  <c r="C3546" i="1"/>
  <c r="E3546" i="1"/>
  <c r="G3546" i="1"/>
  <c r="H3546" i="1"/>
  <c r="A3547" i="1"/>
  <c r="B3547" i="1"/>
  <c r="C3547" i="1"/>
  <c r="E3547" i="1"/>
  <c r="G3547" i="1"/>
  <c r="H3547" i="1"/>
  <c r="A3548" i="1"/>
  <c r="B3548" i="1"/>
  <c r="C3548" i="1"/>
  <c r="E3548" i="1"/>
  <c r="G3548" i="1"/>
  <c r="H3548" i="1"/>
  <c r="A3549" i="1"/>
  <c r="B3549" i="1"/>
  <c r="C3549" i="1"/>
  <c r="E3549" i="1"/>
  <c r="G3549" i="1"/>
  <c r="H3549" i="1"/>
  <c r="A3550" i="1"/>
  <c r="B3550" i="1"/>
  <c r="C3550" i="1"/>
  <c r="E3550" i="1"/>
  <c r="G3550" i="1"/>
  <c r="H3550" i="1"/>
  <c r="A3551" i="1"/>
  <c r="B3551" i="1"/>
  <c r="C3551" i="1"/>
  <c r="E3551" i="1"/>
  <c r="G3551" i="1"/>
  <c r="H3551" i="1"/>
  <c r="A3552" i="1"/>
  <c r="B3552" i="1"/>
  <c r="C3552" i="1"/>
  <c r="E3552" i="1"/>
  <c r="G3552" i="1"/>
  <c r="H3552" i="1"/>
  <c r="A3553" i="1"/>
  <c r="B3553" i="1"/>
  <c r="C3553" i="1"/>
  <c r="E3553" i="1"/>
  <c r="G3553" i="1"/>
  <c r="H3553" i="1"/>
  <c r="A3554" i="1"/>
  <c r="B3554" i="1"/>
  <c r="C3554" i="1"/>
  <c r="E3554" i="1"/>
  <c r="G3554" i="1"/>
  <c r="H3554" i="1"/>
  <c r="A3555" i="1"/>
  <c r="B3555" i="1"/>
  <c r="C3555" i="1"/>
  <c r="E3555" i="1"/>
  <c r="G3555" i="1"/>
  <c r="H3555" i="1"/>
  <c r="A3556" i="1"/>
  <c r="B3556" i="1"/>
  <c r="C3556" i="1"/>
  <c r="E3556" i="1"/>
  <c r="G3556" i="1"/>
  <c r="H3556" i="1"/>
  <c r="A3557" i="1"/>
  <c r="B3557" i="1"/>
  <c r="C3557" i="1"/>
  <c r="E3557" i="1"/>
  <c r="G3557" i="1"/>
  <c r="H3557" i="1"/>
  <c r="A3558" i="1"/>
  <c r="B3558" i="1"/>
  <c r="C3558" i="1"/>
  <c r="E3558" i="1"/>
  <c r="G3558" i="1"/>
  <c r="H3558" i="1"/>
  <c r="A3559" i="1"/>
  <c r="B3559" i="1"/>
  <c r="C3559" i="1"/>
  <c r="E3559" i="1"/>
  <c r="G3559" i="1"/>
  <c r="H3559" i="1"/>
  <c r="A3560" i="1"/>
  <c r="B3560" i="1"/>
  <c r="C3560" i="1"/>
  <c r="E3560" i="1"/>
  <c r="G3560" i="1"/>
  <c r="H3560" i="1"/>
  <c r="A3561" i="1"/>
  <c r="B3561" i="1"/>
  <c r="C3561" i="1"/>
  <c r="E3561" i="1"/>
  <c r="G3561" i="1"/>
  <c r="H3561" i="1"/>
  <c r="A3562" i="1"/>
  <c r="B3562" i="1"/>
  <c r="C3562" i="1"/>
  <c r="E3562" i="1"/>
  <c r="G3562" i="1"/>
  <c r="H3562" i="1"/>
  <c r="A3563" i="1"/>
  <c r="B3563" i="1"/>
  <c r="C3563" i="1"/>
  <c r="E3563" i="1"/>
  <c r="G3563" i="1"/>
  <c r="H3563" i="1"/>
  <c r="A3564" i="1"/>
  <c r="B3564" i="1"/>
  <c r="C3564" i="1"/>
  <c r="E3564" i="1"/>
  <c r="G3564" i="1"/>
  <c r="H3564" i="1"/>
  <c r="A3565" i="1"/>
  <c r="B3565" i="1"/>
  <c r="C3565" i="1"/>
  <c r="E3565" i="1"/>
  <c r="G3565" i="1"/>
  <c r="H3565" i="1"/>
  <c r="A3566" i="1"/>
  <c r="B3566" i="1"/>
  <c r="C3566" i="1"/>
  <c r="E3566" i="1"/>
  <c r="G3566" i="1"/>
  <c r="H3566" i="1"/>
  <c r="A3567" i="1"/>
  <c r="B3567" i="1"/>
  <c r="C3567" i="1"/>
  <c r="E3567" i="1"/>
  <c r="G3567" i="1"/>
  <c r="H3567" i="1"/>
  <c r="A3568" i="1"/>
  <c r="B3568" i="1"/>
  <c r="C3568" i="1"/>
  <c r="E3568" i="1"/>
  <c r="G3568" i="1"/>
  <c r="H3568" i="1"/>
  <c r="A3569" i="1"/>
  <c r="B3569" i="1"/>
  <c r="C3569" i="1"/>
  <c r="E3569" i="1"/>
  <c r="G3569" i="1"/>
  <c r="H3569" i="1"/>
  <c r="A3570" i="1"/>
  <c r="B3570" i="1"/>
  <c r="C3570" i="1"/>
  <c r="E3570" i="1"/>
  <c r="G3570" i="1"/>
  <c r="H3570" i="1"/>
  <c r="A3571" i="1"/>
  <c r="B3571" i="1"/>
  <c r="C3571" i="1"/>
  <c r="E3571" i="1"/>
  <c r="G3571" i="1"/>
  <c r="H3571" i="1"/>
  <c r="A3572" i="1"/>
  <c r="B3572" i="1"/>
  <c r="C3572" i="1"/>
  <c r="E3572" i="1"/>
  <c r="G3572" i="1"/>
  <c r="H3572" i="1"/>
  <c r="A3573" i="1"/>
  <c r="B3573" i="1"/>
  <c r="C3573" i="1"/>
  <c r="E3573" i="1"/>
  <c r="G3573" i="1"/>
  <c r="H3573" i="1"/>
  <c r="A3574" i="1"/>
  <c r="B3574" i="1"/>
  <c r="C3574" i="1"/>
  <c r="E3574" i="1"/>
  <c r="G3574" i="1"/>
  <c r="H3574" i="1"/>
  <c r="A3575" i="1"/>
  <c r="B3575" i="1"/>
  <c r="C3575" i="1"/>
  <c r="E3575" i="1"/>
  <c r="G3575" i="1"/>
  <c r="H3575" i="1"/>
  <c r="A3576" i="1"/>
  <c r="B3576" i="1"/>
  <c r="C3576" i="1"/>
  <c r="E3576" i="1"/>
  <c r="G3576" i="1"/>
  <c r="H3576" i="1"/>
  <c r="A3577" i="1"/>
  <c r="B3577" i="1"/>
  <c r="C3577" i="1"/>
  <c r="E3577" i="1"/>
  <c r="G3577" i="1"/>
  <c r="H3577" i="1"/>
  <c r="A3578" i="1"/>
  <c r="B3578" i="1"/>
  <c r="C3578" i="1"/>
  <c r="E3578" i="1"/>
  <c r="G3578" i="1"/>
  <c r="H3578" i="1"/>
  <c r="A3579" i="1"/>
  <c r="B3579" i="1"/>
  <c r="C3579" i="1"/>
  <c r="E3579" i="1"/>
  <c r="G3579" i="1"/>
  <c r="H3579" i="1"/>
  <c r="A3580" i="1"/>
  <c r="B3580" i="1"/>
  <c r="C3580" i="1"/>
  <c r="E3580" i="1"/>
  <c r="G3580" i="1"/>
  <c r="H3580" i="1"/>
  <c r="A3581" i="1"/>
  <c r="B3581" i="1"/>
  <c r="C3581" i="1"/>
  <c r="E3581" i="1"/>
  <c r="G3581" i="1"/>
  <c r="H3581" i="1"/>
  <c r="A3582" i="1"/>
  <c r="B3582" i="1"/>
  <c r="C3582" i="1"/>
  <c r="E3582" i="1"/>
  <c r="G3582" i="1"/>
  <c r="H3582" i="1"/>
  <c r="A3583" i="1"/>
  <c r="B3583" i="1"/>
  <c r="C3583" i="1"/>
  <c r="E3583" i="1"/>
  <c r="G3583" i="1"/>
  <c r="H3583" i="1"/>
  <c r="A3584" i="1"/>
  <c r="B3584" i="1"/>
  <c r="C3584" i="1"/>
  <c r="E3584" i="1"/>
  <c r="G3584" i="1"/>
  <c r="H3584" i="1"/>
  <c r="A3585" i="1"/>
  <c r="B3585" i="1"/>
  <c r="C3585" i="1"/>
  <c r="E3585" i="1"/>
  <c r="G3585" i="1"/>
  <c r="H3585" i="1"/>
  <c r="A3586" i="1"/>
  <c r="B3586" i="1"/>
  <c r="C3586" i="1"/>
  <c r="E3586" i="1"/>
  <c r="G3586" i="1"/>
  <c r="H3586" i="1"/>
  <c r="A3587" i="1"/>
  <c r="B3587" i="1"/>
  <c r="C3587" i="1"/>
  <c r="E3587" i="1"/>
  <c r="G3587" i="1"/>
  <c r="H3587" i="1"/>
  <c r="A3588" i="1"/>
  <c r="B3588" i="1"/>
  <c r="C3588" i="1"/>
  <c r="E3588" i="1"/>
  <c r="G3588" i="1"/>
  <c r="H3588" i="1"/>
  <c r="A3589" i="1"/>
  <c r="B3589" i="1"/>
  <c r="C3589" i="1"/>
  <c r="E3589" i="1"/>
  <c r="G3589" i="1"/>
  <c r="H3589" i="1"/>
  <c r="A3590" i="1"/>
  <c r="B3590" i="1"/>
  <c r="C3590" i="1"/>
  <c r="E3590" i="1"/>
  <c r="G3590" i="1"/>
  <c r="H3590" i="1"/>
  <c r="A3591" i="1"/>
  <c r="B3591" i="1"/>
  <c r="C3591" i="1"/>
  <c r="E3591" i="1"/>
  <c r="G3591" i="1"/>
  <c r="H3591" i="1"/>
  <c r="A3592" i="1"/>
  <c r="B3592" i="1"/>
  <c r="C3592" i="1"/>
  <c r="E3592" i="1"/>
  <c r="G3592" i="1"/>
  <c r="H3592" i="1"/>
  <c r="A3593" i="1"/>
  <c r="B3593" i="1"/>
  <c r="C3593" i="1"/>
  <c r="E3593" i="1"/>
  <c r="G3593" i="1"/>
  <c r="H3593" i="1"/>
  <c r="A3594" i="1"/>
  <c r="B3594" i="1"/>
  <c r="C3594" i="1"/>
  <c r="E3594" i="1"/>
  <c r="G3594" i="1"/>
  <c r="H3594" i="1"/>
  <c r="A3595" i="1"/>
  <c r="B3595" i="1"/>
  <c r="C3595" i="1"/>
  <c r="E3595" i="1"/>
  <c r="G3595" i="1"/>
  <c r="H3595" i="1"/>
  <c r="A3596" i="1"/>
  <c r="B3596" i="1"/>
  <c r="C3596" i="1"/>
  <c r="E3596" i="1"/>
  <c r="G3596" i="1"/>
  <c r="H3596" i="1"/>
  <c r="A3597" i="1"/>
  <c r="B3597" i="1"/>
  <c r="C3597" i="1"/>
  <c r="E3597" i="1"/>
  <c r="G3597" i="1"/>
  <c r="H3597" i="1"/>
  <c r="A3598" i="1"/>
  <c r="B3598" i="1"/>
  <c r="C3598" i="1"/>
  <c r="E3598" i="1"/>
  <c r="G3598" i="1"/>
  <c r="H3598" i="1"/>
  <c r="A3599" i="1"/>
  <c r="B3599" i="1"/>
  <c r="C3599" i="1"/>
  <c r="E3599" i="1"/>
  <c r="G3599" i="1"/>
  <c r="H3599" i="1"/>
  <c r="A3600" i="1"/>
  <c r="B3600" i="1"/>
  <c r="C3600" i="1"/>
  <c r="E3600" i="1"/>
  <c r="G3600" i="1"/>
  <c r="H3600" i="1"/>
  <c r="A3601" i="1"/>
  <c r="B3601" i="1"/>
  <c r="C3601" i="1"/>
  <c r="E3601" i="1"/>
  <c r="G3601" i="1"/>
  <c r="H3601" i="1"/>
  <c r="A3602" i="1"/>
  <c r="B3602" i="1"/>
  <c r="C3602" i="1"/>
  <c r="E3602" i="1"/>
  <c r="G3602" i="1"/>
  <c r="H3602" i="1"/>
  <c r="A3603" i="1"/>
  <c r="B3603" i="1"/>
  <c r="C3603" i="1"/>
  <c r="E3603" i="1"/>
  <c r="G3603" i="1"/>
  <c r="H3603" i="1"/>
  <c r="A3604" i="1"/>
  <c r="B3604" i="1"/>
  <c r="C3604" i="1"/>
  <c r="E3604" i="1"/>
  <c r="G3604" i="1"/>
  <c r="H3604" i="1"/>
  <c r="A3605" i="1"/>
  <c r="B3605" i="1"/>
  <c r="C3605" i="1"/>
  <c r="E3605" i="1"/>
  <c r="G3605" i="1"/>
  <c r="H3605" i="1"/>
  <c r="A3606" i="1"/>
  <c r="B3606" i="1"/>
  <c r="C3606" i="1"/>
  <c r="E3606" i="1"/>
  <c r="G3606" i="1"/>
  <c r="H3606" i="1"/>
  <c r="A3607" i="1"/>
  <c r="B3607" i="1"/>
  <c r="C3607" i="1"/>
  <c r="E3607" i="1"/>
  <c r="G3607" i="1"/>
  <c r="H3607" i="1"/>
  <c r="A3608" i="1"/>
  <c r="B3608" i="1"/>
  <c r="C3608" i="1"/>
  <c r="E3608" i="1"/>
  <c r="G3608" i="1"/>
  <c r="H3608" i="1"/>
  <c r="A3609" i="1"/>
  <c r="B3609" i="1"/>
  <c r="C3609" i="1"/>
  <c r="E3609" i="1"/>
  <c r="G3609" i="1"/>
  <c r="H3609" i="1"/>
  <c r="A3610" i="1"/>
  <c r="B3610" i="1"/>
  <c r="C3610" i="1"/>
  <c r="E3610" i="1"/>
  <c r="G3610" i="1"/>
  <c r="H3610" i="1"/>
  <c r="A3611" i="1"/>
  <c r="B3611" i="1"/>
  <c r="C3611" i="1"/>
  <c r="E3611" i="1"/>
  <c r="G3611" i="1"/>
  <c r="H3611" i="1"/>
  <c r="A3612" i="1"/>
  <c r="B3612" i="1"/>
  <c r="C3612" i="1"/>
  <c r="E3612" i="1"/>
  <c r="G3612" i="1"/>
  <c r="H3612" i="1"/>
  <c r="A3613" i="1"/>
  <c r="B3613" i="1"/>
  <c r="C3613" i="1"/>
  <c r="E3613" i="1"/>
  <c r="G3613" i="1"/>
  <c r="H3613" i="1"/>
  <c r="A3614" i="1"/>
  <c r="B3614" i="1"/>
  <c r="C3614" i="1"/>
  <c r="E3614" i="1"/>
  <c r="G3614" i="1"/>
  <c r="H3614" i="1"/>
  <c r="A3615" i="1"/>
  <c r="B3615" i="1"/>
  <c r="C3615" i="1"/>
  <c r="E3615" i="1"/>
  <c r="G3615" i="1"/>
  <c r="H3615" i="1"/>
  <c r="A3616" i="1"/>
  <c r="B3616" i="1"/>
  <c r="C3616" i="1"/>
  <c r="E3616" i="1"/>
  <c r="G3616" i="1"/>
  <c r="H3616" i="1"/>
  <c r="A3617" i="1"/>
  <c r="B3617" i="1"/>
  <c r="C3617" i="1"/>
  <c r="E3617" i="1"/>
  <c r="G3617" i="1"/>
  <c r="H3617" i="1"/>
  <c r="A3618" i="1"/>
  <c r="B3618" i="1"/>
  <c r="C3618" i="1"/>
  <c r="E3618" i="1"/>
  <c r="G3618" i="1"/>
  <c r="H3618" i="1"/>
  <c r="A3619" i="1"/>
  <c r="B3619" i="1"/>
  <c r="C3619" i="1"/>
  <c r="E3619" i="1"/>
  <c r="G3619" i="1"/>
  <c r="H3619" i="1"/>
  <c r="A3620" i="1"/>
  <c r="B3620" i="1"/>
  <c r="C3620" i="1"/>
  <c r="E3620" i="1"/>
  <c r="G3620" i="1"/>
  <c r="H3620" i="1"/>
  <c r="A3621" i="1"/>
  <c r="B3621" i="1"/>
  <c r="C3621" i="1"/>
  <c r="E3621" i="1"/>
  <c r="G3621" i="1"/>
  <c r="H3621" i="1"/>
  <c r="A3622" i="1"/>
  <c r="B3622" i="1"/>
  <c r="C3622" i="1"/>
  <c r="E3622" i="1"/>
  <c r="G3622" i="1"/>
  <c r="H3622" i="1"/>
  <c r="A3623" i="1"/>
  <c r="B3623" i="1"/>
  <c r="C3623" i="1"/>
  <c r="E3623" i="1"/>
  <c r="G3623" i="1"/>
  <c r="H3623" i="1"/>
  <c r="A3624" i="1"/>
  <c r="B3624" i="1"/>
  <c r="C3624" i="1"/>
  <c r="E3624" i="1"/>
  <c r="G3624" i="1"/>
  <c r="H3624" i="1"/>
  <c r="A3625" i="1"/>
  <c r="B3625" i="1"/>
  <c r="C3625" i="1"/>
  <c r="E3625" i="1"/>
  <c r="G3625" i="1"/>
  <c r="H3625" i="1"/>
  <c r="A3626" i="1"/>
  <c r="B3626" i="1"/>
  <c r="C3626" i="1"/>
  <c r="E3626" i="1"/>
  <c r="G3626" i="1"/>
  <c r="H3626" i="1"/>
  <c r="A3627" i="1"/>
  <c r="B3627" i="1"/>
  <c r="C3627" i="1"/>
  <c r="E3627" i="1"/>
  <c r="G3627" i="1"/>
  <c r="H3627" i="1"/>
  <c r="A3628" i="1"/>
  <c r="B3628" i="1"/>
  <c r="C3628" i="1"/>
  <c r="E3628" i="1"/>
  <c r="G3628" i="1"/>
  <c r="H3628" i="1"/>
  <c r="A3629" i="1"/>
  <c r="B3629" i="1"/>
  <c r="C3629" i="1"/>
  <c r="E3629" i="1"/>
  <c r="G3629" i="1"/>
  <c r="H3629" i="1"/>
  <c r="A3630" i="1"/>
  <c r="B3630" i="1"/>
  <c r="C3630" i="1"/>
  <c r="E3630" i="1"/>
  <c r="G3630" i="1"/>
  <c r="H3630" i="1"/>
  <c r="A3631" i="1"/>
  <c r="B3631" i="1"/>
  <c r="C3631" i="1"/>
  <c r="E3631" i="1"/>
  <c r="G3631" i="1"/>
  <c r="H3631" i="1"/>
  <c r="A3632" i="1"/>
  <c r="B3632" i="1"/>
  <c r="C3632" i="1"/>
  <c r="E3632" i="1"/>
  <c r="G3632" i="1"/>
  <c r="H3632" i="1"/>
  <c r="A3633" i="1"/>
  <c r="B3633" i="1"/>
  <c r="C3633" i="1"/>
  <c r="E3633" i="1"/>
  <c r="G3633" i="1"/>
  <c r="H3633" i="1"/>
  <c r="A3634" i="1"/>
  <c r="B3634" i="1"/>
  <c r="C3634" i="1"/>
  <c r="E3634" i="1"/>
  <c r="G3634" i="1"/>
  <c r="H3634" i="1"/>
  <c r="A3635" i="1"/>
  <c r="B3635" i="1"/>
  <c r="C3635" i="1"/>
  <c r="E3635" i="1"/>
  <c r="G3635" i="1"/>
  <c r="H3635" i="1"/>
  <c r="A3636" i="1"/>
  <c r="B3636" i="1"/>
  <c r="C3636" i="1"/>
  <c r="E3636" i="1"/>
  <c r="G3636" i="1"/>
  <c r="H3636" i="1"/>
  <c r="A3637" i="1"/>
  <c r="B3637" i="1"/>
  <c r="C3637" i="1"/>
  <c r="E3637" i="1"/>
  <c r="G3637" i="1"/>
  <c r="H3637" i="1"/>
  <c r="A3638" i="1"/>
  <c r="B3638" i="1"/>
  <c r="C3638" i="1"/>
  <c r="E3638" i="1"/>
  <c r="G3638" i="1"/>
  <c r="H3638" i="1"/>
  <c r="A3639" i="1"/>
  <c r="B3639" i="1"/>
  <c r="C3639" i="1"/>
  <c r="E3639" i="1"/>
  <c r="G3639" i="1"/>
  <c r="H3639" i="1"/>
  <c r="A3640" i="1"/>
  <c r="B3640" i="1"/>
  <c r="C3640" i="1"/>
  <c r="E3640" i="1"/>
  <c r="G3640" i="1"/>
  <c r="H3640" i="1"/>
  <c r="A3641" i="1"/>
  <c r="B3641" i="1"/>
  <c r="C3641" i="1"/>
  <c r="E3641" i="1"/>
  <c r="G3641" i="1"/>
  <c r="H3641" i="1"/>
  <c r="A3642" i="1"/>
  <c r="B3642" i="1"/>
  <c r="C3642" i="1"/>
  <c r="E3642" i="1"/>
  <c r="G3642" i="1"/>
  <c r="H3642" i="1"/>
  <c r="A3643" i="1"/>
  <c r="B3643" i="1"/>
  <c r="C3643" i="1"/>
  <c r="E3643" i="1"/>
  <c r="G3643" i="1"/>
  <c r="H3643" i="1"/>
  <c r="A3644" i="1"/>
  <c r="B3644" i="1"/>
  <c r="C3644" i="1"/>
  <c r="E3644" i="1"/>
  <c r="G3644" i="1"/>
  <c r="H3644" i="1"/>
  <c r="A3645" i="1"/>
  <c r="B3645" i="1"/>
  <c r="C3645" i="1"/>
  <c r="E3645" i="1"/>
  <c r="G3645" i="1"/>
  <c r="H3645" i="1"/>
  <c r="A3646" i="1"/>
  <c r="B3646" i="1"/>
  <c r="C3646" i="1"/>
  <c r="E3646" i="1"/>
  <c r="G3646" i="1"/>
  <c r="H3646" i="1"/>
  <c r="A3647" i="1"/>
  <c r="B3647" i="1"/>
  <c r="C3647" i="1"/>
  <c r="E3647" i="1"/>
  <c r="G3647" i="1"/>
  <c r="H3647" i="1"/>
  <c r="A3648" i="1"/>
  <c r="B3648" i="1"/>
  <c r="C3648" i="1"/>
  <c r="E3648" i="1"/>
  <c r="G3648" i="1"/>
  <c r="H3648" i="1"/>
  <c r="A3649" i="1"/>
  <c r="B3649" i="1"/>
  <c r="C3649" i="1"/>
  <c r="E3649" i="1"/>
  <c r="G3649" i="1"/>
  <c r="H3649" i="1"/>
  <c r="A3650" i="1"/>
  <c r="B3650" i="1"/>
  <c r="C3650" i="1"/>
  <c r="E3650" i="1"/>
  <c r="G3650" i="1"/>
  <c r="H3650" i="1"/>
  <c r="A3651" i="1"/>
  <c r="B3651" i="1"/>
  <c r="C3651" i="1"/>
  <c r="E3651" i="1"/>
  <c r="G3651" i="1"/>
  <c r="H3651" i="1"/>
  <c r="A3652" i="1"/>
  <c r="B3652" i="1"/>
  <c r="C3652" i="1"/>
  <c r="E3652" i="1"/>
  <c r="G3652" i="1"/>
  <c r="H3652" i="1"/>
  <c r="A3653" i="1"/>
  <c r="B3653" i="1"/>
  <c r="C3653" i="1"/>
  <c r="E3653" i="1"/>
  <c r="G3653" i="1"/>
  <c r="H3653" i="1"/>
  <c r="A3654" i="1"/>
  <c r="B3654" i="1"/>
  <c r="C3654" i="1"/>
  <c r="E3654" i="1"/>
  <c r="G3654" i="1"/>
  <c r="H3654" i="1"/>
  <c r="A3655" i="1"/>
  <c r="B3655" i="1"/>
  <c r="C3655" i="1"/>
  <c r="E3655" i="1"/>
  <c r="G3655" i="1"/>
  <c r="H3655" i="1"/>
  <c r="A3656" i="1"/>
  <c r="B3656" i="1"/>
  <c r="C3656" i="1"/>
  <c r="E3656" i="1"/>
  <c r="G3656" i="1"/>
  <c r="H3656" i="1"/>
  <c r="A3657" i="1"/>
  <c r="B3657" i="1"/>
  <c r="C3657" i="1"/>
  <c r="E3657" i="1"/>
  <c r="G3657" i="1"/>
  <c r="H3657" i="1"/>
  <c r="A3658" i="1"/>
  <c r="B3658" i="1"/>
  <c r="C3658" i="1"/>
  <c r="E3658" i="1"/>
  <c r="G3658" i="1"/>
  <c r="H3658" i="1"/>
  <c r="A3659" i="1"/>
  <c r="B3659" i="1"/>
  <c r="C3659" i="1"/>
  <c r="E3659" i="1"/>
  <c r="G3659" i="1"/>
  <c r="H3659" i="1"/>
  <c r="A3660" i="1"/>
  <c r="B3660" i="1"/>
  <c r="C3660" i="1"/>
  <c r="E3660" i="1"/>
  <c r="G3660" i="1"/>
  <c r="H3660" i="1"/>
  <c r="A3661" i="1"/>
  <c r="B3661" i="1"/>
  <c r="C3661" i="1"/>
  <c r="E3661" i="1"/>
  <c r="G3661" i="1"/>
  <c r="H3661" i="1"/>
  <c r="A3662" i="1"/>
  <c r="B3662" i="1"/>
  <c r="C3662" i="1"/>
  <c r="E3662" i="1"/>
  <c r="G3662" i="1"/>
  <c r="H3662" i="1"/>
  <c r="A3663" i="1"/>
  <c r="B3663" i="1"/>
  <c r="C3663" i="1"/>
  <c r="E3663" i="1"/>
  <c r="G3663" i="1"/>
  <c r="H3663" i="1"/>
  <c r="A3664" i="1"/>
  <c r="B3664" i="1"/>
  <c r="C3664" i="1"/>
  <c r="E3664" i="1"/>
  <c r="G3664" i="1"/>
  <c r="H3664" i="1"/>
  <c r="A3665" i="1"/>
  <c r="B3665" i="1"/>
  <c r="C3665" i="1"/>
  <c r="E3665" i="1"/>
  <c r="G3665" i="1"/>
  <c r="H3665" i="1"/>
  <c r="A3666" i="1"/>
  <c r="B3666" i="1"/>
  <c r="C3666" i="1"/>
  <c r="E3666" i="1"/>
  <c r="G3666" i="1"/>
  <c r="H3666" i="1"/>
  <c r="A3667" i="1"/>
  <c r="B3667" i="1"/>
  <c r="C3667" i="1"/>
  <c r="E3667" i="1"/>
  <c r="G3667" i="1"/>
  <c r="H3667" i="1"/>
  <c r="A3668" i="1"/>
  <c r="B3668" i="1"/>
  <c r="C3668" i="1"/>
  <c r="E3668" i="1"/>
  <c r="G3668" i="1"/>
  <c r="H3668" i="1"/>
  <c r="A3669" i="1"/>
  <c r="B3669" i="1"/>
  <c r="C3669" i="1"/>
  <c r="E3669" i="1"/>
  <c r="G3669" i="1"/>
  <c r="H3669" i="1"/>
  <c r="A3670" i="1"/>
  <c r="B3670" i="1"/>
  <c r="C3670" i="1"/>
  <c r="E3670" i="1"/>
  <c r="G3670" i="1"/>
  <c r="H3670" i="1"/>
  <c r="A3671" i="1"/>
  <c r="B3671" i="1"/>
  <c r="C3671" i="1"/>
  <c r="E3671" i="1"/>
  <c r="G3671" i="1"/>
  <c r="H3671" i="1"/>
  <c r="A3672" i="1"/>
  <c r="B3672" i="1"/>
  <c r="C3672" i="1"/>
  <c r="E3672" i="1"/>
  <c r="G3672" i="1"/>
  <c r="H3672" i="1"/>
  <c r="A3673" i="1"/>
  <c r="B3673" i="1"/>
  <c r="C3673" i="1"/>
  <c r="E3673" i="1"/>
  <c r="G3673" i="1"/>
  <c r="H3673" i="1"/>
  <c r="A3674" i="1"/>
  <c r="B3674" i="1"/>
  <c r="C3674" i="1"/>
  <c r="E3674" i="1"/>
  <c r="G3674" i="1"/>
  <c r="H3674" i="1"/>
  <c r="A3675" i="1"/>
  <c r="B3675" i="1"/>
  <c r="C3675" i="1"/>
  <c r="E3675" i="1"/>
  <c r="G3675" i="1"/>
  <c r="H3675" i="1"/>
  <c r="A3676" i="1"/>
  <c r="B3676" i="1"/>
  <c r="C3676" i="1"/>
  <c r="E3676" i="1"/>
  <c r="G3676" i="1"/>
  <c r="H3676" i="1"/>
  <c r="A3677" i="1"/>
  <c r="B3677" i="1"/>
  <c r="C3677" i="1"/>
  <c r="E3677" i="1"/>
  <c r="G3677" i="1"/>
  <c r="H3677" i="1"/>
  <c r="A3678" i="1"/>
  <c r="B3678" i="1"/>
  <c r="C3678" i="1"/>
  <c r="E3678" i="1"/>
  <c r="G3678" i="1"/>
  <c r="H3678" i="1"/>
  <c r="A3679" i="1"/>
  <c r="B3679" i="1"/>
  <c r="C3679" i="1"/>
  <c r="E3679" i="1"/>
  <c r="G3679" i="1"/>
  <c r="H3679" i="1"/>
  <c r="A3680" i="1"/>
  <c r="B3680" i="1"/>
  <c r="C3680" i="1"/>
  <c r="E3680" i="1"/>
  <c r="G3680" i="1"/>
  <c r="H3680" i="1"/>
  <c r="A3681" i="1"/>
  <c r="B3681" i="1"/>
  <c r="C3681" i="1"/>
  <c r="E3681" i="1"/>
  <c r="G3681" i="1"/>
  <c r="H3681" i="1"/>
  <c r="A3682" i="1"/>
  <c r="B3682" i="1"/>
  <c r="C3682" i="1"/>
  <c r="E3682" i="1"/>
  <c r="G3682" i="1"/>
  <c r="H3682" i="1"/>
  <c r="A3683" i="1"/>
  <c r="B3683" i="1"/>
  <c r="C3683" i="1"/>
  <c r="E3683" i="1"/>
  <c r="G3683" i="1"/>
  <c r="H3683" i="1"/>
  <c r="A3684" i="1"/>
  <c r="B3684" i="1"/>
  <c r="C3684" i="1"/>
  <c r="E3684" i="1"/>
  <c r="G3684" i="1"/>
  <c r="H3684" i="1"/>
  <c r="A3685" i="1"/>
  <c r="B3685" i="1"/>
  <c r="C3685" i="1"/>
  <c r="E3685" i="1"/>
  <c r="G3685" i="1"/>
  <c r="H3685" i="1"/>
  <c r="A3686" i="1"/>
  <c r="B3686" i="1"/>
  <c r="C3686" i="1"/>
  <c r="E3686" i="1"/>
  <c r="G3686" i="1"/>
  <c r="H3686" i="1"/>
  <c r="A3687" i="1"/>
  <c r="B3687" i="1"/>
  <c r="C3687" i="1"/>
  <c r="E3687" i="1"/>
  <c r="G3687" i="1"/>
  <c r="H3687" i="1"/>
  <c r="A3688" i="1"/>
  <c r="B3688" i="1"/>
  <c r="C3688" i="1"/>
  <c r="E3688" i="1"/>
  <c r="G3688" i="1"/>
  <c r="H3688" i="1"/>
  <c r="A3689" i="1"/>
  <c r="B3689" i="1"/>
  <c r="C3689" i="1"/>
  <c r="E3689" i="1"/>
  <c r="G3689" i="1"/>
  <c r="H3689" i="1"/>
  <c r="A3690" i="1"/>
  <c r="B3690" i="1"/>
  <c r="C3690" i="1"/>
  <c r="E3690" i="1"/>
  <c r="G3690" i="1"/>
  <c r="H3690" i="1"/>
  <c r="A3691" i="1"/>
  <c r="B3691" i="1"/>
  <c r="C3691" i="1"/>
  <c r="E3691" i="1"/>
  <c r="G3691" i="1"/>
  <c r="H3691" i="1"/>
  <c r="A3692" i="1"/>
  <c r="B3692" i="1"/>
  <c r="C3692" i="1"/>
  <c r="E3692" i="1"/>
  <c r="G3692" i="1"/>
  <c r="H3692" i="1"/>
  <c r="A3693" i="1"/>
  <c r="B3693" i="1"/>
  <c r="C3693" i="1"/>
  <c r="E3693" i="1"/>
  <c r="G3693" i="1"/>
  <c r="H3693" i="1"/>
  <c r="A3694" i="1"/>
  <c r="B3694" i="1"/>
  <c r="C3694" i="1"/>
  <c r="E3694" i="1"/>
  <c r="G3694" i="1"/>
  <c r="H3694" i="1"/>
  <c r="A3695" i="1"/>
  <c r="B3695" i="1"/>
  <c r="C3695" i="1"/>
  <c r="E3695" i="1"/>
  <c r="G3695" i="1"/>
  <c r="H3695" i="1"/>
  <c r="A3696" i="1"/>
  <c r="B3696" i="1"/>
  <c r="C3696" i="1"/>
  <c r="E3696" i="1"/>
  <c r="G3696" i="1"/>
  <c r="H3696" i="1"/>
  <c r="A3697" i="1"/>
  <c r="B3697" i="1"/>
  <c r="C3697" i="1"/>
  <c r="E3697" i="1"/>
  <c r="G3697" i="1"/>
  <c r="H3697" i="1"/>
  <c r="A3698" i="1"/>
  <c r="B3698" i="1"/>
  <c r="C3698" i="1"/>
  <c r="E3698" i="1"/>
  <c r="G3698" i="1"/>
  <c r="H3698" i="1"/>
  <c r="A3699" i="1"/>
  <c r="B3699" i="1"/>
  <c r="C3699" i="1"/>
  <c r="E3699" i="1"/>
  <c r="G3699" i="1"/>
  <c r="H3699" i="1"/>
  <c r="A3700" i="1"/>
  <c r="B3700" i="1"/>
  <c r="C3700" i="1"/>
  <c r="E3700" i="1"/>
  <c r="G3700" i="1"/>
  <c r="H3700" i="1"/>
  <c r="A3701" i="1"/>
  <c r="B3701" i="1"/>
  <c r="C3701" i="1"/>
  <c r="E3701" i="1"/>
  <c r="G3701" i="1"/>
  <c r="H3701" i="1"/>
  <c r="A3702" i="1"/>
  <c r="B3702" i="1"/>
  <c r="C3702" i="1"/>
  <c r="E3702" i="1"/>
  <c r="G3702" i="1"/>
  <c r="H3702" i="1"/>
  <c r="A3703" i="1"/>
  <c r="B3703" i="1"/>
  <c r="C3703" i="1"/>
  <c r="E3703" i="1"/>
  <c r="G3703" i="1"/>
  <c r="H3703" i="1"/>
  <c r="A3704" i="1"/>
  <c r="B3704" i="1"/>
  <c r="C3704" i="1"/>
  <c r="E3704" i="1"/>
  <c r="G3704" i="1"/>
  <c r="H3704" i="1"/>
  <c r="A3705" i="1"/>
  <c r="B3705" i="1"/>
  <c r="C3705" i="1"/>
  <c r="E3705" i="1"/>
  <c r="G3705" i="1"/>
  <c r="H3705" i="1"/>
  <c r="A3706" i="1"/>
  <c r="B3706" i="1"/>
  <c r="C3706" i="1"/>
  <c r="E3706" i="1"/>
  <c r="G3706" i="1"/>
  <c r="H3706" i="1"/>
  <c r="A3707" i="1"/>
  <c r="B3707" i="1"/>
  <c r="C3707" i="1"/>
  <c r="E3707" i="1"/>
  <c r="G3707" i="1"/>
  <c r="H3707" i="1"/>
  <c r="A3708" i="1"/>
  <c r="B3708" i="1"/>
  <c r="C3708" i="1"/>
  <c r="E3708" i="1"/>
  <c r="G3708" i="1"/>
  <c r="H3708" i="1"/>
  <c r="A3709" i="1"/>
  <c r="B3709" i="1"/>
  <c r="C3709" i="1"/>
  <c r="E3709" i="1"/>
  <c r="G3709" i="1"/>
  <c r="H3709" i="1"/>
  <c r="A3710" i="1"/>
  <c r="B3710" i="1"/>
  <c r="C3710" i="1"/>
  <c r="E3710" i="1"/>
  <c r="G3710" i="1"/>
  <c r="H3710" i="1"/>
  <c r="A3711" i="1"/>
  <c r="B3711" i="1"/>
  <c r="C3711" i="1"/>
  <c r="E3711" i="1"/>
  <c r="G3711" i="1"/>
  <c r="H3711" i="1"/>
  <c r="A3712" i="1"/>
  <c r="B3712" i="1"/>
  <c r="C3712" i="1"/>
  <c r="E3712" i="1"/>
  <c r="G3712" i="1"/>
  <c r="H3712" i="1"/>
  <c r="A3713" i="1"/>
  <c r="B3713" i="1"/>
  <c r="C3713" i="1"/>
  <c r="E3713" i="1"/>
  <c r="G3713" i="1"/>
  <c r="H3713" i="1"/>
  <c r="A3714" i="1"/>
  <c r="B3714" i="1"/>
  <c r="C3714" i="1"/>
  <c r="E3714" i="1"/>
  <c r="G3714" i="1"/>
  <c r="H3714" i="1"/>
  <c r="A3715" i="1"/>
  <c r="B3715" i="1"/>
  <c r="C3715" i="1"/>
  <c r="E3715" i="1"/>
  <c r="G3715" i="1"/>
  <c r="H3715" i="1"/>
  <c r="A3716" i="1"/>
  <c r="B3716" i="1"/>
  <c r="C3716" i="1"/>
  <c r="E3716" i="1"/>
  <c r="G3716" i="1"/>
  <c r="H3716" i="1"/>
  <c r="A3717" i="1"/>
  <c r="B3717" i="1"/>
  <c r="C3717" i="1"/>
  <c r="E3717" i="1"/>
  <c r="G3717" i="1"/>
  <c r="H3717" i="1"/>
  <c r="A3718" i="1"/>
  <c r="B3718" i="1"/>
  <c r="C3718" i="1"/>
  <c r="E3718" i="1"/>
  <c r="G3718" i="1"/>
  <c r="H3718" i="1"/>
  <c r="A3719" i="1"/>
  <c r="B3719" i="1"/>
  <c r="C3719" i="1"/>
  <c r="E3719" i="1"/>
  <c r="G3719" i="1"/>
  <c r="H3719" i="1"/>
  <c r="A3720" i="1"/>
  <c r="B3720" i="1"/>
  <c r="C3720" i="1"/>
  <c r="E3720" i="1"/>
  <c r="G3720" i="1"/>
  <c r="H3720" i="1"/>
  <c r="A3721" i="1"/>
  <c r="B3721" i="1"/>
  <c r="C3721" i="1"/>
  <c r="E3721" i="1"/>
  <c r="G3721" i="1"/>
  <c r="H3721" i="1"/>
  <c r="A3722" i="1"/>
  <c r="B3722" i="1"/>
  <c r="C3722" i="1"/>
  <c r="E3722" i="1"/>
  <c r="G3722" i="1"/>
  <c r="H3722" i="1"/>
  <c r="A3723" i="1"/>
  <c r="B3723" i="1"/>
  <c r="C3723" i="1"/>
  <c r="E3723" i="1"/>
  <c r="G3723" i="1"/>
  <c r="H3723" i="1"/>
  <c r="A3724" i="1"/>
  <c r="B3724" i="1"/>
  <c r="C3724" i="1"/>
  <c r="E3724" i="1"/>
  <c r="G3724" i="1"/>
  <c r="H3724" i="1"/>
  <c r="A3725" i="1"/>
  <c r="B3725" i="1"/>
  <c r="C3725" i="1"/>
  <c r="E3725" i="1"/>
  <c r="G3725" i="1"/>
  <c r="H3725" i="1"/>
  <c r="A3726" i="1"/>
  <c r="B3726" i="1"/>
  <c r="C3726" i="1"/>
  <c r="E3726" i="1"/>
  <c r="G3726" i="1"/>
  <c r="H3726" i="1"/>
  <c r="A3727" i="1"/>
  <c r="B3727" i="1"/>
  <c r="C3727" i="1"/>
  <c r="E3727" i="1"/>
  <c r="G3727" i="1"/>
  <c r="H3727" i="1"/>
  <c r="A3728" i="1"/>
  <c r="B3728" i="1"/>
  <c r="C3728" i="1"/>
  <c r="E3728" i="1"/>
  <c r="G3728" i="1"/>
  <c r="H3728" i="1"/>
  <c r="A3729" i="1"/>
  <c r="B3729" i="1"/>
  <c r="C3729" i="1"/>
  <c r="E3729" i="1"/>
  <c r="G3729" i="1"/>
  <c r="H3729" i="1"/>
  <c r="A3730" i="1"/>
  <c r="B3730" i="1"/>
  <c r="C3730" i="1"/>
  <c r="E3730" i="1"/>
  <c r="G3730" i="1"/>
  <c r="H3730" i="1"/>
  <c r="A3731" i="1"/>
  <c r="B3731" i="1"/>
  <c r="C3731" i="1"/>
  <c r="E3731" i="1"/>
  <c r="G3731" i="1"/>
  <c r="H3731" i="1"/>
  <c r="A3732" i="1"/>
  <c r="B3732" i="1"/>
  <c r="C3732" i="1"/>
  <c r="E3732" i="1"/>
  <c r="G3732" i="1"/>
  <c r="H3732" i="1"/>
  <c r="A3733" i="1"/>
  <c r="B3733" i="1"/>
  <c r="C3733" i="1"/>
  <c r="E3733" i="1"/>
  <c r="G3733" i="1"/>
  <c r="H3733" i="1"/>
  <c r="A3734" i="1"/>
  <c r="B3734" i="1"/>
  <c r="C3734" i="1"/>
  <c r="E3734" i="1"/>
  <c r="G3734" i="1"/>
  <c r="H3734" i="1"/>
  <c r="A3735" i="1"/>
  <c r="B3735" i="1"/>
  <c r="C3735" i="1"/>
  <c r="E3735" i="1"/>
  <c r="G3735" i="1"/>
  <c r="H3735" i="1"/>
  <c r="A3736" i="1"/>
  <c r="B3736" i="1"/>
  <c r="C3736" i="1"/>
  <c r="E3736" i="1"/>
  <c r="G3736" i="1"/>
  <c r="H3736" i="1"/>
  <c r="A3737" i="1"/>
  <c r="B3737" i="1"/>
  <c r="C3737" i="1"/>
  <c r="E3737" i="1"/>
  <c r="G3737" i="1"/>
  <c r="H3737" i="1"/>
  <c r="A3738" i="1"/>
  <c r="B3738" i="1"/>
  <c r="C3738" i="1"/>
  <c r="E3738" i="1"/>
  <c r="G3738" i="1"/>
  <c r="H3738" i="1"/>
  <c r="A3739" i="1"/>
  <c r="B3739" i="1"/>
  <c r="C3739" i="1"/>
  <c r="E3739" i="1"/>
  <c r="G3739" i="1"/>
  <c r="H3739" i="1"/>
  <c r="A3740" i="1"/>
  <c r="B3740" i="1"/>
  <c r="C3740" i="1"/>
  <c r="E3740" i="1"/>
  <c r="G3740" i="1"/>
  <c r="H3740" i="1"/>
  <c r="A3741" i="1"/>
  <c r="B3741" i="1"/>
  <c r="C3741" i="1"/>
  <c r="E3741" i="1"/>
  <c r="G3741" i="1"/>
  <c r="H3741" i="1"/>
  <c r="A3742" i="1"/>
  <c r="B3742" i="1"/>
  <c r="C3742" i="1"/>
  <c r="E3742" i="1"/>
  <c r="G3742" i="1"/>
  <c r="H3742" i="1"/>
  <c r="A3743" i="1"/>
  <c r="B3743" i="1"/>
  <c r="C3743" i="1"/>
  <c r="E3743" i="1"/>
  <c r="G3743" i="1"/>
  <c r="H3743" i="1"/>
  <c r="A3744" i="1"/>
  <c r="B3744" i="1"/>
  <c r="C3744" i="1"/>
  <c r="E3744" i="1"/>
  <c r="G3744" i="1"/>
  <c r="H3744" i="1"/>
  <c r="A3745" i="1"/>
  <c r="B3745" i="1"/>
  <c r="C3745" i="1"/>
  <c r="E3745" i="1"/>
  <c r="G3745" i="1"/>
  <c r="H3745" i="1"/>
  <c r="A3746" i="1"/>
  <c r="B3746" i="1"/>
  <c r="C3746" i="1"/>
  <c r="E3746" i="1"/>
  <c r="G3746" i="1"/>
  <c r="H3746" i="1"/>
  <c r="A3747" i="1"/>
  <c r="B3747" i="1"/>
  <c r="C3747" i="1"/>
  <c r="E3747" i="1"/>
  <c r="G3747" i="1"/>
  <c r="H3747" i="1"/>
  <c r="A3748" i="1"/>
  <c r="B3748" i="1"/>
  <c r="C3748" i="1"/>
  <c r="E3748" i="1"/>
  <c r="G3748" i="1"/>
  <c r="H3748" i="1"/>
  <c r="A3749" i="1"/>
  <c r="B3749" i="1"/>
  <c r="C3749" i="1"/>
  <c r="E3749" i="1"/>
  <c r="G3749" i="1"/>
  <c r="H3749" i="1"/>
  <c r="A3750" i="1"/>
  <c r="B3750" i="1"/>
  <c r="C3750" i="1"/>
  <c r="E3750" i="1"/>
  <c r="G3750" i="1"/>
  <c r="H3750" i="1"/>
  <c r="A3751" i="1"/>
  <c r="B3751" i="1"/>
  <c r="C3751" i="1"/>
  <c r="E3751" i="1"/>
  <c r="G3751" i="1"/>
  <c r="H3751" i="1"/>
  <c r="A3752" i="1"/>
  <c r="B3752" i="1"/>
  <c r="C3752" i="1"/>
  <c r="E3752" i="1"/>
  <c r="G3752" i="1"/>
  <c r="H3752" i="1"/>
  <c r="A3753" i="1"/>
  <c r="B3753" i="1"/>
  <c r="C3753" i="1"/>
  <c r="E3753" i="1"/>
  <c r="G3753" i="1"/>
  <c r="H3753" i="1"/>
  <c r="A3754" i="1"/>
  <c r="B3754" i="1"/>
  <c r="C3754" i="1"/>
  <c r="E3754" i="1"/>
  <c r="G3754" i="1"/>
  <c r="H3754" i="1"/>
  <c r="A3755" i="1"/>
  <c r="B3755" i="1"/>
  <c r="C3755" i="1"/>
  <c r="E3755" i="1"/>
  <c r="G3755" i="1"/>
  <c r="H3755" i="1"/>
  <c r="A3756" i="1"/>
  <c r="B3756" i="1"/>
  <c r="C3756" i="1"/>
  <c r="E3756" i="1"/>
  <c r="G3756" i="1"/>
  <c r="H3756" i="1"/>
  <c r="A3757" i="1"/>
  <c r="B3757" i="1"/>
  <c r="C3757" i="1"/>
  <c r="E3757" i="1"/>
  <c r="G3757" i="1"/>
  <c r="H3757" i="1"/>
  <c r="A3758" i="1"/>
  <c r="B3758" i="1"/>
  <c r="C3758" i="1"/>
  <c r="E3758" i="1"/>
  <c r="G3758" i="1"/>
  <c r="H3758" i="1"/>
  <c r="A3759" i="1"/>
  <c r="B3759" i="1"/>
  <c r="C3759" i="1"/>
  <c r="E3759" i="1"/>
  <c r="G3759" i="1"/>
  <c r="H3759" i="1"/>
  <c r="A3760" i="1"/>
  <c r="B3760" i="1"/>
  <c r="C3760" i="1"/>
  <c r="E3760" i="1"/>
  <c r="G3760" i="1"/>
  <c r="H3760" i="1"/>
  <c r="A3761" i="1"/>
  <c r="B3761" i="1"/>
  <c r="C3761" i="1"/>
  <c r="E3761" i="1"/>
  <c r="G3761" i="1"/>
  <c r="H3761" i="1"/>
  <c r="A3762" i="1"/>
  <c r="B3762" i="1"/>
  <c r="C3762" i="1"/>
  <c r="E3762" i="1"/>
  <c r="G3762" i="1"/>
  <c r="H3762" i="1"/>
  <c r="A3763" i="1"/>
  <c r="B3763" i="1"/>
  <c r="C3763" i="1"/>
  <c r="E3763" i="1"/>
  <c r="G3763" i="1"/>
  <c r="H3763" i="1"/>
  <c r="A3764" i="1"/>
  <c r="B3764" i="1"/>
  <c r="C3764" i="1"/>
  <c r="E3764" i="1"/>
  <c r="G3764" i="1"/>
  <c r="H3764" i="1"/>
  <c r="A3765" i="1"/>
  <c r="B3765" i="1"/>
  <c r="C3765" i="1"/>
  <c r="E3765" i="1"/>
  <c r="G3765" i="1"/>
  <c r="H3765" i="1"/>
  <c r="A3766" i="1"/>
  <c r="B3766" i="1"/>
  <c r="C3766" i="1"/>
  <c r="E3766" i="1"/>
  <c r="G3766" i="1"/>
  <c r="H3766" i="1"/>
  <c r="A3767" i="1"/>
  <c r="B3767" i="1"/>
  <c r="C3767" i="1"/>
  <c r="E3767" i="1"/>
  <c r="G3767" i="1"/>
  <c r="H3767" i="1"/>
  <c r="A3768" i="1"/>
  <c r="B3768" i="1"/>
  <c r="C3768" i="1"/>
  <c r="E3768" i="1"/>
  <c r="G3768" i="1"/>
  <c r="H3768" i="1"/>
  <c r="A3769" i="1"/>
  <c r="B3769" i="1"/>
  <c r="C3769" i="1"/>
  <c r="E3769" i="1"/>
  <c r="G3769" i="1"/>
  <c r="H3769" i="1"/>
  <c r="A3770" i="1"/>
  <c r="B3770" i="1"/>
  <c r="C3770" i="1"/>
  <c r="E3770" i="1"/>
  <c r="G3770" i="1"/>
  <c r="H3770" i="1"/>
  <c r="A3771" i="1"/>
  <c r="B3771" i="1"/>
  <c r="C3771" i="1"/>
  <c r="E3771" i="1"/>
  <c r="G3771" i="1"/>
  <c r="H3771" i="1"/>
  <c r="A3772" i="1"/>
  <c r="B3772" i="1"/>
  <c r="C3772" i="1"/>
  <c r="E3772" i="1"/>
  <c r="G3772" i="1"/>
  <c r="H3772" i="1"/>
  <c r="A3773" i="1"/>
  <c r="B3773" i="1"/>
  <c r="C3773" i="1"/>
  <c r="E3773" i="1"/>
  <c r="G3773" i="1"/>
  <c r="H3773" i="1"/>
  <c r="A3774" i="1"/>
  <c r="B3774" i="1"/>
  <c r="C3774" i="1"/>
  <c r="E3774" i="1"/>
  <c r="G3774" i="1"/>
  <c r="H3774" i="1"/>
  <c r="A3775" i="1"/>
  <c r="B3775" i="1"/>
  <c r="C3775" i="1"/>
  <c r="E3775" i="1"/>
  <c r="G3775" i="1"/>
  <c r="H3775" i="1"/>
  <c r="A3776" i="1"/>
  <c r="B3776" i="1"/>
  <c r="C3776" i="1"/>
  <c r="E3776" i="1"/>
  <c r="G3776" i="1"/>
  <c r="H3776" i="1"/>
  <c r="A3777" i="1"/>
  <c r="B3777" i="1"/>
  <c r="C3777" i="1"/>
  <c r="E3777" i="1"/>
  <c r="G3777" i="1"/>
  <c r="H3777" i="1"/>
  <c r="A3778" i="1"/>
  <c r="B3778" i="1"/>
  <c r="C3778" i="1"/>
  <c r="E3778" i="1"/>
  <c r="G3778" i="1"/>
  <c r="H3778" i="1"/>
  <c r="A3779" i="1"/>
  <c r="B3779" i="1"/>
  <c r="C3779" i="1"/>
  <c r="E3779" i="1"/>
  <c r="G3779" i="1"/>
  <c r="H3779" i="1"/>
  <c r="A3780" i="1"/>
  <c r="B3780" i="1"/>
  <c r="C3780" i="1"/>
  <c r="E3780" i="1"/>
  <c r="G3780" i="1"/>
  <c r="H3780" i="1"/>
  <c r="A3781" i="1"/>
  <c r="B3781" i="1"/>
  <c r="C3781" i="1"/>
  <c r="E3781" i="1"/>
  <c r="G3781" i="1"/>
  <c r="H3781" i="1"/>
  <c r="A3782" i="1"/>
  <c r="B3782" i="1"/>
  <c r="C3782" i="1"/>
  <c r="E3782" i="1"/>
  <c r="G3782" i="1"/>
  <c r="H3782" i="1"/>
  <c r="A3783" i="1"/>
  <c r="B3783" i="1"/>
  <c r="C3783" i="1"/>
  <c r="E3783" i="1"/>
  <c r="G3783" i="1"/>
  <c r="H3783" i="1"/>
  <c r="A3784" i="1"/>
  <c r="B3784" i="1"/>
  <c r="C3784" i="1"/>
  <c r="E3784" i="1"/>
  <c r="G3784" i="1"/>
  <c r="H3784" i="1"/>
  <c r="A3785" i="1"/>
  <c r="B3785" i="1"/>
  <c r="C3785" i="1"/>
  <c r="E3785" i="1"/>
  <c r="G3785" i="1"/>
  <c r="H3785" i="1"/>
  <c r="A3786" i="1"/>
  <c r="B3786" i="1"/>
  <c r="C3786" i="1"/>
  <c r="E3786" i="1"/>
  <c r="G3786" i="1"/>
  <c r="H3786" i="1"/>
  <c r="A3787" i="1"/>
  <c r="B3787" i="1"/>
  <c r="C3787" i="1"/>
  <c r="E3787" i="1"/>
  <c r="G3787" i="1"/>
  <c r="H3787" i="1"/>
  <c r="A3788" i="1"/>
  <c r="B3788" i="1"/>
  <c r="C3788" i="1"/>
  <c r="E3788" i="1"/>
  <c r="G3788" i="1"/>
  <c r="H3788" i="1"/>
  <c r="A3789" i="1"/>
  <c r="B3789" i="1"/>
  <c r="C3789" i="1"/>
  <c r="E3789" i="1"/>
  <c r="G3789" i="1"/>
  <c r="H3789" i="1"/>
  <c r="A3790" i="1"/>
  <c r="B3790" i="1"/>
  <c r="C3790" i="1"/>
  <c r="E3790" i="1"/>
  <c r="G3790" i="1"/>
  <c r="H3790" i="1"/>
  <c r="A3791" i="1"/>
  <c r="B3791" i="1"/>
  <c r="C3791" i="1"/>
  <c r="E3791" i="1"/>
  <c r="G3791" i="1"/>
  <c r="H3791" i="1"/>
  <c r="A3792" i="1"/>
  <c r="B3792" i="1"/>
  <c r="C3792" i="1"/>
  <c r="E3792" i="1"/>
  <c r="G3792" i="1"/>
  <c r="H3792" i="1"/>
  <c r="A3793" i="1"/>
  <c r="B3793" i="1"/>
  <c r="C3793" i="1"/>
  <c r="E3793" i="1"/>
  <c r="G3793" i="1"/>
  <c r="H3793" i="1"/>
  <c r="A3794" i="1"/>
  <c r="B3794" i="1"/>
  <c r="C3794" i="1"/>
  <c r="E3794" i="1"/>
  <c r="G3794" i="1"/>
  <c r="H3794" i="1"/>
  <c r="A3795" i="1"/>
  <c r="B3795" i="1"/>
  <c r="C3795" i="1"/>
  <c r="E3795" i="1"/>
  <c r="G3795" i="1"/>
  <c r="H3795" i="1"/>
  <c r="A3796" i="1"/>
  <c r="B3796" i="1"/>
  <c r="C3796" i="1"/>
  <c r="E3796" i="1"/>
  <c r="G3796" i="1"/>
  <c r="H3796" i="1"/>
  <c r="A3797" i="1"/>
  <c r="B3797" i="1"/>
  <c r="C3797" i="1"/>
  <c r="E3797" i="1"/>
  <c r="G3797" i="1"/>
  <c r="H3797" i="1"/>
  <c r="A3798" i="1"/>
  <c r="B3798" i="1"/>
  <c r="C3798" i="1"/>
  <c r="E3798" i="1"/>
  <c r="G3798" i="1"/>
  <c r="H3798" i="1"/>
  <c r="A3799" i="1"/>
  <c r="B3799" i="1"/>
  <c r="C3799" i="1"/>
  <c r="E3799" i="1"/>
  <c r="G3799" i="1"/>
  <c r="H3799" i="1"/>
  <c r="A3800" i="1"/>
  <c r="B3800" i="1"/>
  <c r="C3800" i="1"/>
  <c r="E3800" i="1"/>
  <c r="G3800" i="1"/>
  <c r="H3800" i="1"/>
  <c r="A3801" i="1"/>
  <c r="B3801" i="1"/>
  <c r="C3801" i="1"/>
  <c r="E3801" i="1"/>
  <c r="G3801" i="1"/>
  <c r="H3801" i="1"/>
  <c r="A3802" i="1"/>
  <c r="B3802" i="1"/>
  <c r="C3802" i="1"/>
  <c r="E3802" i="1"/>
  <c r="G3802" i="1"/>
  <c r="H3802" i="1"/>
  <c r="A3803" i="1"/>
  <c r="B3803" i="1"/>
  <c r="C3803" i="1"/>
  <c r="E3803" i="1"/>
  <c r="G3803" i="1"/>
  <c r="H3803" i="1"/>
  <c r="A3804" i="1"/>
  <c r="B3804" i="1"/>
  <c r="C3804" i="1"/>
  <c r="E3804" i="1"/>
  <c r="G3804" i="1"/>
  <c r="H3804" i="1"/>
  <c r="A3805" i="1"/>
  <c r="B3805" i="1"/>
  <c r="C3805" i="1"/>
  <c r="E3805" i="1"/>
  <c r="G3805" i="1"/>
  <c r="H3805" i="1"/>
  <c r="A3806" i="1"/>
  <c r="B3806" i="1"/>
  <c r="C3806" i="1"/>
  <c r="E3806" i="1"/>
  <c r="G3806" i="1"/>
  <c r="H3806" i="1"/>
  <c r="A3807" i="1"/>
  <c r="B3807" i="1"/>
  <c r="C3807" i="1"/>
  <c r="E3807" i="1"/>
  <c r="G3807" i="1"/>
  <c r="H3807" i="1"/>
  <c r="A3808" i="1"/>
  <c r="B3808" i="1"/>
  <c r="C3808" i="1"/>
  <c r="E3808" i="1"/>
  <c r="G3808" i="1"/>
  <c r="H3808" i="1"/>
  <c r="A3809" i="1"/>
  <c r="B3809" i="1"/>
  <c r="C3809" i="1"/>
  <c r="E3809" i="1"/>
  <c r="G3809" i="1"/>
  <c r="H3809" i="1"/>
  <c r="A3810" i="1"/>
  <c r="B3810" i="1"/>
  <c r="C3810" i="1"/>
  <c r="E3810" i="1"/>
  <c r="G3810" i="1"/>
  <c r="H3810" i="1"/>
  <c r="A3811" i="1"/>
  <c r="B3811" i="1"/>
  <c r="C3811" i="1"/>
  <c r="E3811" i="1"/>
  <c r="G3811" i="1"/>
  <c r="H3811" i="1"/>
  <c r="A3812" i="1"/>
  <c r="B3812" i="1"/>
  <c r="C3812" i="1"/>
  <c r="E3812" i="1"/>
  <c r="G3812" i="1"/>
  <c r="H3812" i="1"/>
  <c r="A3813" i="1"/>
  <c r="B3813" i="1"/>
  <c r="C3813" i="1"/>
  <c r="E3813" i="1"/>
  <c r="G3813" i="1"/>
  <c r="H3813" i="1"/>
  <c r="A3814" i="1"/>
  <c r="B3814" i="1"/>
  <c r="C3814" i="1"/>
  <c r="E3814" i="1"/>
  <c r="G3814" i="1"/>
  <c r="H3814" i="1"/>
  <c r="A3815" i="1"/>
  <c r="B3815" i="1"/>
  <c r="C3815" i="1"/>
  <c r="E3815" i="1"/>
  <c r="G3815" i="1"/>
  <c r="H3815" i="1"/>
  <c r="A3816" i="1"/>
  <c r="B3816" i="1"/>
  <c r="C3816" i="1"/>
  <c r="E3816" i="1"/>
  <c r="G3816" i="1"/>
  <c r="H3816" i="1"/>
  <c r="A3817" i="1"/>
  <c r="B3817" i="1"/>
  <c r="C3817" i="1"/>
  <c r="E3817" i="1"/>
  <c r="G3817" i="1"/>
  <c r="H3817" i="1"/>
  <c r="A3818" i="1"/>
  <c r="B3818" i="1"/>
  <c r="C3818" i="1"/>
  <c r="E3818" i="1"/>
  <c r="G3818" i="1"/>
  <c r="H3818" i="1"/>
  <c r="A3819" i="1"/>
  <c r="B3819" i="1"/>
  <c r="C3819" i="1"/>
  <c r="E3819" i="1"/>
  <c r="G3819" i="1"/>
  <c r="H3819" i="1"/>
  <c r="A3820" i="1"/>
  <c r="B3820" i="1"/>
  <c r="C3820" i="1"/>
  <c r="E3820" i="1"/>
  <c r="G3820" i="1"/>
  <c r="H3820" i="1"/>
  <c r="A3821" i="1"/>
  <c r="B3821" i="1"/>
  <c r="C3821" i="1"/>
  <c r="E3821" i="1"/>
  <c r="G3821" i="1"/>
  <c r="H3821" i="1"/>
  <c r="A3822" i="1"/>
  <c r="B3822" i="1"/>
  <c r="C3822" i="1"/>
  <c r="E3822" i="1"/>
  <c r="G3822" i="1"/>
  <c r="H3822" i="1"/>
  <c r="A3823" i="1"/>
  <c r="B3823" i="1"/>
  <c r="C3823" i="1"/>
  <c r="E3823" i="1"/>
  <c r="G3823" i="1"/>
  <c r="H3823" i="1"/>
  <c r="A3824" i="1"/>
  <c r="B3824" i="1"/>
  <c r="C3824" i="1"/>
  <c r="E3824" i="1"/>
  <c r="G3824" i="1"/>
  <c r="H3824" i="1"/>
  <c r="A3825" i="1"/>
  <c r="B3825" i="1"/>
  <c r="C3825" i="1"/>
  <c r="E3825" i="1"/>
  <c r="G3825" i="1"/>
  <c r="H3825" i="1"/>
  <c r="A3826" i="1"/>
  <c r="B3826" i="1"/>
  <c r="C3826" i="1"/>
  <c r="E3826" i="1"/>
  <c r="G3826" i="1"/>
  <c r="H3826" i="1"/>
  <c r="A3827" i="1"/>
  <c r="B3827" i="1"/>
  <c r="C3827" i="1"/>
  <c r="E3827" i="1"/>
  <c r="G3827" i="1"/>
  <c r="H3827" i="1"/>
  <c r="A3828" i="1"/>
  <c r="B3828" i="1"/>
  <c r="C3828" i="1"/>
  <c r="E3828" i="1"/>
  <c r="G3828" i="1"/>
  <c r="H3828" i="1"/>
  <c r="A3829" i="1"/>
  <c r="B3829" i="1"/>
  <c r="C3829" i="1"/>
  <c r="E3829" i="1"/>
  <c r="G3829" i="1"/>
  <c r="H3829" i="1"/>
  <c r="A3830" i="1"/>
  <c r="B3830" i="1"/>
  <c r="C3830" i="1"/>
  <c r="E3830" i="1"/>
  <c r="G3830" i="1"/>
  <c r="H3830" i="1"/>
  <c r="A3831" i="1"/>
  <c r="B3831" i="1"/>
  <c r="C3831" i="1"/>
  <c r="E3831" i="1"/>
  <c r="G3831" i="1"/>
  <c r="H3831" i="1"/>
  <c r="A3832" i="1"/>
  <c r="B3832" i="1"/>
  <c r="C3832" i="1"/>
  <c r="E3832" i="1"/>
  <c r="G3832" i="1"/>
  <c r="H3832" i="1"/>
  <c r="A3833" i="1"/>
  <c r="B3833" i="1"/>
  <c r="C3833" i="1"/>
  <c r="E3833" i="1"/>
  <c r="G3833" i="1"/>
  <c r="H3833" i="1"/>
  <c r="A3834" i="1"/>
  <c r="B3834" i="1"/>
  <c r="C3834" i="1"/>
  <c r="E3834" i="1"/>
  <c r="G3834" i="1"/>
  <c r="H3834" i="1"/>
  <c r="A3835" i="1"/>
  <c r="B3835" i="1"/>
  <c r="C3835" i="1"/>
  <c r="E3835" i="1"/>
  <c r="G3835" i="1"/>
  <c r="H3835" i="1"/>
  <c r="A3836" i="1"/>
  <c r="B3836" i="1"/>
  <c r="C3836" i="1"/>
  <c r="E3836" i="1"/>
  <c r="G3836" i="1"/>
  <c r="H3836" i="1"/>
  <c r="A3837" i="1"/>
  <c r="B3837" i="1"/>
  <c r="C3837" i="1"/>
  <c r="E3837" i="1"/>
  <c r="G3837" i="1"/>
  <c r="H3837" i="1"/>
  <c r="A3838" i="1"/>
  <c r="B3838" i="1"/>
  <c r="C3838" i="1"/>
  <c r="E3838" i="1"/>
  <c r="G3838" i="1"/>
  <c r="H3838" i="1"/>
  <c r="A3839" i="1"/>
  <c r="B3839" i="1"/>
  <c r="C3839" i="1"/>
  <c r="E3839" i="1"/>
  <c r="G3839" i="1"/>
  <c r="H3839" i="1"/>
  <c r="A3840" i="1"/>
  <c r="B3840" i="1"/>
  <c r="C3840" i="1"/>
  <c r="E3840" i="1"/>
  <c r="G3840" i="1"/>
  <c r="H3840" i="1"/>
  <c r="A3841" i="1"/>
  <c r="B3841" i="1"/>
  <c r="C3841" i="1"/>
  <c r="E3841" i="1"/>
  <c r="G3841" i="1"/>
  <c r="H3841" i="1"/>
  <c r="A3842" i="1"/>
  <c r="B3842" i="1"/>
  <c r="C3842" i="1"/>
  <c r="E3842" i="1"/>
  <c r="G3842" i="1"/>
  <c r="H3842" i="1"/>
  <c r="A3843" i="1"/>
  <c r="B3843" i="1"/>
  <c r="C3843" i="1"/>
  <c r="E3843" i="1"/>
  <c r="G3843" i="1"/>
  <c r="H3843" i="1"/>
  <c r="A3844" i="1"/>
  <c r="B3844" i="1"/>
  <c r="C3844" i="1"/>
  <c r="E3844" i="1"/>
  <c r="G3844" i="1"/>
  <c r="H3844" i="1"/>
  <c r="A3845" i="1"/>
  <c r="B3845" i="1"/>
  <c r="C3845" i="1"/>
  <c r="E3845" i="1"/>
  <c r="G3845" i="1"/>
  <c r="H3845" i="1"/>
  <c r="A3846" i="1"/>
  <c r="B3846" i="1"/>
  <c r="C3846" i="1"/>
  <c r="E3846" i="1"/>
  <c r="G3846" i="1"/>
  <c r="H3846" i="1"/>
  <c r="A3847" i="1"/>
  <c r="B3847" i="1"/>
  <c r="C3847" i="1"/>
  <c r="E3847" i="1"/>
  <c r="G3847" i="1"/>
  <c r="H3847" i="1"/>
  <c r="A3848" i="1"/>
  <c r="B3848" i="1"/>
  <c r="C3848" i="1"/>
  <c r="E3848" i="1"/>
  <c r="G3848" i="1"/>
  <c r="H3848" i="1"/>
  <c r="A3849" i="1"/>
  <c r="B3849" i="1"/>
  <c r="C3849" i="1"/>
  <c r="E3849" i="1"/>
  <c r="G3849" i="1"/>
  <c r="H3849" i="1"/>
  <c r="A3850" i="1"/>
  <c r="B3850" i="1"/>
  <c r="C3850" i="1"/>
  <c r="E3850" i="1"/>
  <c r="G3850" i="1"/>
  <c r="H3850" i="1"/>
  <c r="A3851" i="1"/>
  <c r="B3851" i="1"/>
  <c r="C3851" i="1"/>
  <c r="E3851" i="1"/>
  <c r="G3851" i="1"/>
  <c r="H3851" i="1"/>
  <c r="A3852" i="1"/>
  <c r="B3852" i="1"/>
  <c r="C3852" i="1"/>
  <c r="E3852" i="1"/>
  <c r="G3852" i="1"/>
  <c r="H3852" i="1"/>
  <c r="A3853" i="1"/>
  <c r="B3853" i="1"/>
  <c r="C3853" i="1"/>
  <c r="E3853" i="1"/>
  <c r="G3853" i="1"/>
  <c r="H3853" i="1"/>
  <c r="A3854" i="1"/>
  <c r="B3854" i="1"/>
  <c r="C3854" i="1"/>
  <c r="E3854" i="1"/>
  <c r="G3854" i="1"/>
  <c r="H3854" i="1"/>
  <c r="A3855" i="1"/>
  <c r="B3855" i="1"/>
  <c r="C3855" i="1"/>
  <c r="E3855" i="1"/>
  <c r="G3855" i="1"/>
  <c r="H3855" i="1"/>
  <c r="A3856" i="1"/>
  <c r="B3856" i="1"/>
  <c r="C3856" i="1"/>
  <c r="E3856" i="1"/>
  <c r="G3856" i="1"/>
  <c r="H3856" i="1"/>
  <c r="A3857" i="1"/>
  <c r="B3857" i="1"/>
  <c r="C3857" i="1"/>
  <c r="E3857" i="1"/>
  <c r="G3857" i="1"/>
  <c r="H3857" i="1"/>
  <c r="A3858" i="1"/>
  <c r="B3858" i="1"/>
  <c r="C3858" i="1"/>
  <c r="E3858" i="1"/>
  <c r="G3858" i="1"/>
  <c r="H3858" i="1"/>
  <c r="A3859" i="1"/>
  <c r="B3859" i="1"/>
  <c r="C3859" i="1"/>
  <c r="E3859" i="1"/>
  <c r="G3859" i="1"/>
  <c r="H3859" i="1"/>
  <c r="A3860" i="1"/>
  <c r="B3860" i="1"/>
  <c r="C3860" i="1"/>
  <c r="E3860" i="1"/>
  <c r="G3860" i="1"/>
  <c r="H3860" i="1"/>
  <c r="A3861" i="1"/>
  <c r="B3861" i="1"/>
  <c r="C3861" i="1"/>
  <c r="E3861" i="1"/>
  <c r="G3861" i="1"/>
  <c r="H3861" i="1"/>
  <c r="A3862" i="1"/>
  <c r="B3862" i="1"/>
  <c r="C3862" i="1"/>
  <c r="E3862" i="1"/>
  <c r="G3862" i="1"/>
  <c r="H3862" i="1"/>
  <c r="A3863" i="1"/>
  <c r="B3863" i="1"/>
  <c r="C3863" i="1"/>
  <c r="E3863" i="1"/>
  <c r="G3863" i="1"/>
  <c r="H3863" i="1"/>
  <c r="A3864" i="1"/>
  <c r="B3864" i="1"/>
  <c r="C3864" i="1"/>
  <c r="E3864" i="1"/>
  <c r="G3864" i="1"/>
  <c r="H3864" i="1"/>
  <c r="A3865" i="1"/>
  <c r="B3865" i="1"/>
  <c r="C3865" i="1"/>
  <c r="E3865" i="1"/>
  <c r="G3865" i="1"/>
  <c r="H3865" i="1"/>
  <c r="A3866" i="1"/>
  <c r="B3866" i="1"/>
  <c r="C3866" i="1"/>
  <c r="E3866" i="1"/>
  <c r="G3866" i="1"/>
  <c r="H3866" i="1"/>
  <c r="A3867" i="1"/>
  <c r="B3867" i="1"/>
  <c r="C3867" i="1"/>
  <c r="E3867" i="1"/>
  <c r="G3867" i="1"/>
  <c r="H3867" i="1"/>
  <c r="A3868" i="1"/>
  <c r="B3868" i="1"/>
  <c r="C3868" i="1"/>
  <c r="E3868" i="1"/>
  <c r="G3868" i="1"/>
  <c r="H3868" i="1"/>
  <c r="A3869" i="1"/>
  <c r="B3869" i="1"/>
  <c r="C3869" i="1"/>
  <c r="E3869" i="1"/>
  <c r="G3869" i="1"/>
  <c r="H3869" i="1"/>
  <c r="A3870" i="1"/>
  <c r="B3870" i="1"/>
  <c r="C3870" i="1"/>
  <c r="E3870" i="1"/>
  <c r="G3870" i="1"/>
  <c r="H3870" i="1"/>
  <c r="A3871" i="1"/>
  <c r="B3871" i="1"/>
  <c r="C3871" i="1"/>
  <c r="E3871" i="1"/>
  <c r="G3871" i="1"/>
  <c r="H3871" i="1"/>
  <c r="A3872" i="1"/>
  <c r="B3872" i="1"/>
  <c r="C3872" i="1"/>
  <c r="E3872" i="1"/>
  <c r="G3872" i="1"/>
  <c r="H3872" i="1"/>
  <c r="A3873" i="1"/>
  <c r="B3873" i="1"/>
  <c r="C3873" i="1"/>
  <c r="E3873" i="1"/>
  <c r="G3873" i="1"/>
  <c r="H3873" i="1"/>
  <c r="A3874" i="1"/>
  <c r="B3874" i="1"/>
  <c r="C3874" i="1"/>
  <c r="E3874" i="1"/>
  <c r="G3874" i="1"/>
  <c r="H3874" i="1"/>
  <c r="A3875" i="1"/>
  <c r="B3875" i="1"/>
  <c r="C3875" i="1"/>
  <c r="E3875" i="1"/>
  <c r="G3875" i="1"/>
  <c r="H3875" i="1"/>
  <c r="A3876" i="1"/>
  <c r="B3876" i="1"/>
  <c r="C3876" i="1"/>
  <c r="E3876" i="1"/>
  <c r="G3876" i="1"/>
  <c r="H3876" i="1"/>
  <c r="A3877" i="1"/>
  <c r="B3877" i="1"/>
  <c r="C3877" i="1"/>
  <c r="E3877" i="1"/>
  <c r="G3877" i="1"/>
  <c r="H3877" i="1"/>
  <c r="A3878" i="1"/>
  <c r="B3878" i="1"/>
  <c r="C3878" i="1"/>
  <c r="E3878" i="1"/>
  <c r="G3878" i="1"/>
  <c r="H3878" i="1"/>
  <c r="A3879" i="1"/>
  <c r="B3879" i="1"/>
  <c r="C3879" i="1"/>
  <c r="E3879" i="1"/>
  <c r="G3879" i="1"/>
  <c r="H3879" i="1"/>
  <c r="A3880" i="1"/>
  <c r="B3880" i="1"/>
  <c r="C3880" i="1"/>
  <c r="E3880" i="1"/>
  <c r="G3880" i="1"/>
  <c r="H3880" i="1"/>
  <c r="A3881" i="1"/>
  <c r="B3881" i="1"/>
  <c r="C3881" i="1"/>
  <c r="E3881" i="1"/>
  <c r="G3881" i="1"/>
  <c r="H3881" i="1"/>
  <c r="A3882" i="1"/>
  <c r="B3882" i="1"/>
  <c r="C3882" i="1"/>
  <c r="E3882" i="1"/>
  <c r="G3882" i="1"/>
  <c r="H3882" i="1"/>
  <c r="A3883" i="1"/>
  <c r="B3883" i="1"/>
  <c r="C3883" i="1"/>
  <c r="E3883" i="1"/>
  <c r="G3883" i="1"/>
  <c r="H3883" i="1"/>
  <c r="A3884" i="1"/>
  <c r="B3884" i="1"/>
  <c r="C3884" i="1"/>
  <c r="E3884" i="1"/>
  <c r="G3884" i="1"/>
  <c r="H3884" i="1"/>
  <c r="A3885" i="1"/>
  <c r="B3885" i="1"/>
  <c r="C3885" i="1"/>
  <c r="E3885" i="1"/>
  <c r="G3885" i="1"/>
  <c r="H3885" i="1"/>
  <c r="A3886" i="1"/>
  <c r="B3886" i="1"/>
  <c r="C3886" i="1"/>
  <c r="E3886" i="1"/>
  <c r="G3886" i="1"/>
  <c r="H3886" i="1"/>
  <c r="A3887" i="1"/>
  <c r="B3887" i="1"/>
  <c r="C3887" i="1"/>
  <c r="E3887" i="1"/>
  <c r="G3887" i="1"/>
  <c r="H3887" i="1"/>
  <c r="A3888" i="1"/>
  <c r="B3888" i="1"/>
  <c r="C3888" i="1"/>
  <c r="E3888" i="1"/>
  <c r="G3888" i="1"/>
  <c r="H3888" i="1"/>
  <c r="A3889" i="1"/>
  <c r="B3889" i="1"/>
  <c r="C3889" i="1"/>
  <c r="E3889" i="1"/>
  <c r="G3889" i="1"/>
  <c r="H3889" i="1"/>
  <c r="A3890" i="1"/>
  <c r="B3890" i="1"/>
  <c r="C3890" i="1"/>
  <c r="E3890" i="1"/>
  <c r="G3890" i="1"/>
  <c r="H3890" i="1"/>
  <c r="A3891" i="1"/>
  <c r="B3891" i="1"/>
  <c r="C3891" i="1"/>
  <c r="E3891" i="1"/>
  <c r="G3891" i="1"/>
  <c r="H3891" i="1"/>
  <c r="A3892" i="1"/>
  <c r="B3892" i="1"/>
  <c r="C3892" i="1"/>
  <c r="E3892" i="1"/>
  <c r="G3892" i="1"/>
  <c r="H3892" i="1"/>
  <c r="A3893" i="1"/>
  <c r="B3893" i="1"/>
  <c r="C3893" i="1"/>
  <c r="E3893" i="1"/>
  <c r="G3893" i="1"/>
  <c r="H3893" i="1"/>
  <c r="A3894" i="1"/>
  <c r="B3894" i="1"/>
  <c r="C3894" i="1"/>
  <c r="E3894" i="1"/>
  <c r="G3894" i="1"/>
  <c r="H3894" i="1"/>
  <c r="A3895" i="1"/>
  <c r="B3895" i="1"/>
  <c r="C3895" i="1"/>
  <c r="E3895" i="1"/>
  <c r="G3895" i="1"/>
  <c r="H3895" i="1"/>
  <c r="A3896" i="1"/>
  <c r="B3896" i="1"/>
  <c r="C3896" i="1"/>
  <c r="E3896" i="1"/>
  <c r="G3896" i="1"/>
  <c r="H3896" i="1"/>
  <c r="A3897" i="1"/>
  <c r="B3897" i="1"/>
  <c r="C3897" i="1"/>
  <c r="E3897" i="1"/>
  <c r="G3897" i="1"/>
  <c r="H3897" i="1"/>
  <c r="A3898" i="1"/>
  <c r="B3898" i="1"/>
  <c r="C3898" i="1"/>
  <c r="E3898" i="1"/>
  <c r="G3898" i="1"/>
  <c r="H3898" i="1"/>
  <c r="A3899" i="1"/>
  <c r="B3899" i="1"/>
  <c r="C3899" i="1"/>
  <c r="E3899" i="1"/>
  <c r="G3899" i="1"/>
  <c r="H3899" i="1"/>
  <c r="A3900" i="1"/>
  <c r="B3900" i="1"/>
  <c r="C3900" i="1"/>
  <c r="E3900" i="1"/>
  <c r="G3900" i="1"/>
  <c r="H3900" i="1"/>
  <c r="A3901" i="1"/>
  <c r="B3901" i="1"/>
  <c r="C3901" i="1"/>
  <c r="E3901" i="1"/>
  <c r="G3901" i="1"/>
  <c r="H3901" i="1"/>
  <c r="A3902" i="1"/>
  <c r="B3902" i="1"/>
  <c r="C3902" i="1"/>
  <c r="E3902" i="1"/>
  <c r="G3902" i="1"/>
  <c r="H3902" i="1"/>
  <c r="A3903" i="1"/>
  <c r="B3903" i="1"/>
  <c r="C3903" i="1"/>
  <c r="E3903" i="1"/>
  <c r="G3903" i="1"/>
  <c r="H3903" i="1"/>
  <c r="A3904" i="1"/>
  <c r="B3904" i="1"/>
  <c r="C3904" i="1"/>
  <c r="E3904" i="1"/>
  <c r="G3904" i="1"/>
  <c r="H3904" i="1"/>
  <c r="A3905" i="1"/>
  <c r="B3905" i="1"/>
  <c r="C3905" i="1"/>
  <c r="E3905" i="1"/>
  <c r="G3905" i="1"/>
  <c r="H3905" i="1"/>
  <c r="A3906" i="1"/>
  <c r="B3906" i="1"/>
  <c r="C3906" i="1"/>
  <c r="E3906" i="1"/>
  <c r="G3906" i="1"/>
  <c r="H3906" i="1"/>
  <c r="A3907" i="1"/>
  <c r="B3907" i="1"/>
  <c r="C3907" i="1"/>
  <c r="E3907" i="1"/>
  <c r="G3907" i="1"/>
  <c r="H3907" i="1"/>
  <c r="A3908" i="1"/>
  <c r="B3908" i="1"/>
  <c r="C3908" i="1"/>
  <c r="E3908" i="1"/>
  <c r="G3908" i="1"/>
  <c r="H3908" i="1"/>
  <c r="A3909" i="1"/>
  <c r="B3909" i="1"/>
  <c r="C3909" i="1"/>
  <c r="E3909" i="1"/>
  <c r="G3909" i="1"/>
  <c r="H3909" i="1"/>
  <c r="A3910" i="1"/>
  <c r="B3910" i="1"/>
  <c r="C3910" i="1"/>
  <c r="E3910" i="1"/>
  <c r="G3910" i="1"/>
  <c r="H3910" i="1"/>
  <c r="A3911" i="1"/>
  <c r="B3911" i="1"/>
  <c r="C3911" i="1"/>
  <c r="E3911" i="1"/>
  <c r="G3911" i="1"/>
  <c r="H3911" i="1"/>
  <c r="A3912" i="1"/>
  <c r="B3912" i="1"/>
  <c r="C3912" i="1"/>
  <c r="E3912" i="1"/>
  <c r="G3912" i="1"/>
  <c r="H3912" i="1"/>
  <c r="A3913" i="1"/>
  <c r="B3913" i="1"/>
  <c r="C3913" i="1"/>
  <c r="E3913" i="1"/>
  <c r="G3913" i="1"/>
  <c r="H3913" i="1"/>
  <c r="A3914" i="1"/>
  <c r="B3914" i="1"/>
  <c r="C3914" i="1"/>
  <c r="E3914" i="1"/>
  <c r="G3914" i="1"/>
  <c r="H3914" i="1"/>
  <c r="A3915" i="1"/>
  <c r="B3915" i="1"/>
  <c r="C3915" i="1"/>
  <c r="E3915" i="1"/>
  <c r="G3915" i="1"/>
  <c r="H3915" i="1"/>
  <c r="A3916" i="1"/>
  <c r="B3916" i="1"/>
  <c r="C3916" i="1"/>
  <c r="E3916" i="1"/>
  <c r="G3916" i="1"/>
  <c r="H3916" i="1"/>
  <c r="A3917" i="1"/>
  <c r="B3917" i="1"/>
  <c r="C3917" i="1"/>
  <c r="E3917" i="1"/>
  <c r="G3917" i="1"/>
  <c r="H3917" i="1"/>
  <c r="A3918" i="1"/>
  <c r="B3918" i="1"/>
  <c r="C3918" i="1"/>
  <c r="E3918" i="1"/>
  <c r="G3918" i="1"/>
  <c r="H3918" i="1"/>
  <c r="A3919" i="1"/>
  <c r="B3919" i="1"/>
  <c r="C3919" i="1"/>
  <c r="E3919" i="1"/>
  <c r="G3919" i="1"/>
  <c r="H3919" i="1"/>
  <c r="A3920" i="1"/>
  <c r="B3920" i="1"/>
  <c r="C3920" i="1"/>
  <c r="E3920" i="1"/>
  <c r="G3920" i="1"/>
  <c r="H3920" i="1"/>
  <c r="A3921" i="1"/>
  <c r="B3921" i="1"/>
  <c r="C3921" i="1"/>
  <c r="E3921" i="1"/>
  <c r="G3921" i="1"/>
  <c r="H3921" i="1"/>
  <c r="A3922" i="1"/>
  <c r="B3922" i="1"/>
  <c r="C3922" i="1"/>
  <c r="E3922" i="1"/>
  <c r="G3922" i="1"/>
  <c r="H3922" i="1"/>
  <c r="A3923" i="1"/>
  <c r="B3923" i="1"/>
  <c r="C3923" i="1"/>
  <c r="E3923" i="1"/>
  <c r="G3923" i="1"/>
  <c r="H3923" i="1"/>
  <c r="A3924" i="1"/>
  <c r="B3924" i="1"/>
  <c r="C3924" i="1"/>
  <c r="E3924" i="1"/>
  <c r="G3924" i="1"/>
  <c r="H3924" i="1"/>
  <c r="A3925" i="1"/>
  <c r="B3925" i="1"/>
  <c r="C3925" i="1"/>
  <c r="E3925" i="1"/>
  <c r="G3925" i="1"/>
  <c r="H3925" i="1"/>
  <c r="A3926" i="1"/>
  <c r="B3926" i="1"/>
  <c r="C3926" i="1"/>
  <c r="E3926" i="1"/>
  <c r="G3926" i="1"/>
  <c r="H3926" i="1"/>
  <c r="A3927" i="1"/>
  <c r="B3927" i="1"/>
  <c r="C3927" i="1"/>
  <c r="E3927" i="1"/>
  <c r="G3927" i="1"/>
  <c r="H3927" i="1"/>
  <c r="A3928" i="1"/>
  <c r="B3928" i="1"/>
  <c r="C3928" i="1"/>
  <c r="E3928" i="1"/>
  <c r="G3928" i="1"/>
  <c r="H3928" i="1"/>
  <c r="A3929" i="1"/>
  <c r="B3929" i="1"/>
  <c r="C3929" i="1"/>
  <c r="E3929" i="1"/>
  <c r="G3929" i="1"/>
  <c r="H3929" i="1"/>
  <c r="A3930" i="1"/>
  <c r="B3930" i="1"/>
  <c r="C3930" i="1"/>
  <c r="E3930" i="1"/>
  <c r="G3930" i="1"/>
  <c r="H3930" i="1"/>
  <c r="A3931" i="1"/>
  <c r="B3931" i="1"/>
  <c r="C3931" i="1"/>
  <c r="E3931" i="1"/>
  <c r="G3931" i="1"/>
  <c r="H3931" i="1"/>
  <c r="A3932" i="1"/>
  <c r="B3932" i="1"/>
  <c r="C3932" i="1"/>
  <c r="E3932" i="1"/>
  <c r="G3932" i="1"/>
  <c r="H3932" i="1"/>
  <c r="A3933" i="1"/>
  <c r="B3933" i="1"/>
  <c r="C3933" i="1"/>
  <c r="E3933" i="1"/>
  <c r="G3933" i="1"/>
  <c r="H3933" i="1"/>
  <c r="A3934" i="1"/>
  <c r="B3934" i="1"/>
  <c r="C3934" i="1"/>
  <c r="E3934" i="1"/>
  <c r="G3934" i="1"/>
  <c r="H3934" i="1"/>
  <c r="A3935" i="1"/>
  <c r="B3935" i="1"/>
  <c r="C3935" i="1"/>
  <c r="E3935" i="1"/>
  <c r="G3935" i="1"/>
  <c r="H3935" i="1"/>
  <c r="A3936" i="1"/>
  <c r="B3936" i="1"/>
  <c r="C3936" i="1"/>
  <c r="E3936" i="1"/>
  <c r="G3936" i="1"/>
  <c r="H3936" i="1"/>
  <c r="A3937" i="1"/>
  <c r="B3937" i="1"/>
  <c r="C3937" i="1"/>
  <c r="E3937" i="1"/>
  <c r="G3937" i="1"/>
  <c r="H3937" i="1"/>
  <c r="A3938" i="1"/>
  <c r="B3938" i="1"/>
  <c r="C3938" i="1"/>
  <c r="E3938" i="1"/>
  <c r="G3938" i="1"/>
  <c r="H3938" i="1"/>
  <c r="A3939" i="1"/>
  <c r="B3939" i="1"/>
  <c r="C3939" i="1"/>
  <c r="E3939" i="1"/>
  <c r="G3939" i="1"/>
  <c r="H3939" i="1"/>
  <c r="A3940" i="1"/>
  <c r="B3940" i="1"/>
  <c r="C3940" i="1"/>
  <c r="E3940" i="1"/>
  <c r="G3940" i="1"/>
  <c r="H3940" i="1"/>
  <c r="A3941" i="1"/>
  <c r="B3941" i="1"/>
  <c r="C3941" i="1"/>
  <c r="E3941" i="1"/>
  <c r="G3941" i="1"/>
  <c r="H3941" i="1"/>
  <c r="A3942" i="1"/>
  <c r="B3942" i="1"/>
  <c r="C3942" i="1"/>
  <c r="E3942" i="1"/>
  <c r="G3942" i="1"/>
  <c r="H3942" i="1"/>
  <c r="A3943" i="1"/>
  <c r="B3943" i="1"/>
  <c r="C3943" i="1"/>
  <c r="E3943" i="1"/>
  <c r="G3943" i="1"/>
  <c r="H3943" i="1"/>
  <c r="A3944" i="1"/>
  <c r="B3944" i="1"/>
  <c r="C3944" i="1"/>
  <c r="E3944" i="1"/>
  <c r="G3944" i="1"/>
  <c r="H3944" i="1"/>
  <c r="A3945" i="1"/>
  <c r="B3945" i="1"/>
  <c r="C3945" i="1"/>
  <c r="E3945" i="1"/>
  <c r="G3945" i="1"/>
  <c r="H3945" i="1"/>
  <c r="A3946" i="1"/>
  <c r="B3946" i="1"/>
  <c r="C3946" i="1"/>
  <c r="E3946" i="1"/>
  <c r="G3946" i="1"/>
  <c r="H3946" i="1"/>
  <c r="A3947" i="1"/>
  <c r="B3947" i="1"/>
  <c r="C3947" i="1"/>
  <c r="E3947" i="1"/>
  <c r="G3947" i="1"/>
  <c r="H3947" i="1"/>
  <c r="A3948" i="1"/>
  <c r="B3948" i="1"/>
  <c r="C3948" i="1"/>
  <c r="E3948" i="1"/>
  <c r="G3948" i="1"/>
  <c r="H3948" i="1"/>
  <c r="A3949" i="1"/>
  <c r="B3949" i="1"/>
  <c r="C3949" i="1"/>
  <c r="E3949" i="1"/>
  <c r="G3949" i="1"/>
  <c r="H3949" i="1"/>
  <c r="A3950" i="1"/>
  <c r="B3950" i="1"/>
  <c r="C3950" i="1"/>
  <c r="E3950" i="1"/>
  <c r="G3950" i="1"/>
  <c r="H3950" i="1"/>
  <c r="A3951" i="1"/>
  <c r="B3951" i="1"/>
  <c r="C3951" i="1"/>
  <c r="E3951" i="1"/>
  <c r="G3951" i="1"/>
  <c r="H3951" i="1"/>
  <c r="A3952" i="1"/>
  <c r="B3952" i="1"/>
  <c r="C3952" i="1"/>
  <c r="E3952" i="1"/>
  <c r="G3952" i="1"/>
  <c r="H3952" i="1"/>
  <c r="A3953" i="1"/>
  <c r="B3953" i="1"/>
  <c r="C3953" i="1"/>
  <c r="E3953" i="1"/>
  <c r="G3953" i="1"/>
  <c r="H3953" i="1"/>
  <c r="A3954" i="1"/>
  <c r="B3954" i="1"/>
  <c r="C3954" i="1"/>
  <c r="E3954" i="1"/>
  <c r="G3954" i="1"/>
  <c r="H3954" i="1"/>
  <c r="A3955" i="1"/>
  <c r="B3955" i="1"/>
  <c r="C3955" i="1"/>
  <c r="E3955" i="1"/>
  <c r="G3955" i="1"/>
  <c r="H3955" i="1"/>
  <c r="A3956" i="1"/>
  <c r="B3956" i="1"/>
  <c r="C3956" i="1"/>
  <c r="E3956" i="1"/>
  <c r="G3956" i="1"/>
  <c r="H3956" i="1"/>
  <c r="A3957" i="1"/>
  <c r="B3957" i="1"/>
  <c r="C3957" i="1"/>
  <c r="E3957" i="1"/>
  <c r="G3957" i="1"/>
  <c r="H3957" i="1"/>
  <c r="A3958" i="1"/>
  <c r="B3958" i="1"/>
  <c r="C3958" i="1"/>
  <c r="E3958" i="1"/>
  <c r="G3958" i="1"/>
  <c r="H3958" i="1"/>
  <c r="A3959" i="1"/>
  <c r="B3959" i="1"/>
  <c r="C3959" i="1"/>
  <c r="E3959" i="1"/>
  <c r="G3959" i="1"/>
  <c r="H3959" i="1"/>
  <c r="A3960" i="1"/>
  <c r="B3960" i="1"/>
  <c r="C3960" i="1"/>
  <c r="E3960" i="1"/>
  <c r="G3960" i="1"/>
  <c r="H3960" i="1"/>
  <c r="A3961" i="1"/>
  <c r="B3961" i="1"/>
  <c r="C3961" i="1"/>
  <c r="E3961" i="1"/>
  <c r="G3961" i="1"/>
  <c r="H3961" i="1"/>
  <c r="A3962" i="1"/>
  <c r="B3962" i="1"/>
  <c r="C3962" i="1"/>
  <c r="E3962" i="1"/>
  <c r="G3962" i="1"/>
  <c r="H3962" i="1"/>
  <c r="A3963" i="1"/>
  <c r="B3963" i="1"/>
  <c r="C3963" i="1"/>
  <c r="E3963" i="1"/>
  <c r="G3963" i="1"/>
  <c r="H3963" i="1"/>
  <c r="A3964" i="1"/>
  <c r="B3964" i="1"/>
  <c r="C3964" i="1"/>
  <c r="E3964" i="1"/>
  <c r="G3964" i="1"/>
  <c r="H3964" i="1"/>
  <c r="A3965" i="1"/>
  <c r="B3965" i="1"/>
  <c r="C3965" i="1"/>
  <c r="E3965" i="1"/>
  <c r="G3965" i="1"/>
  <c r="H3965" i="1"/>
  <c r="A3966" i="1"/>
  <c r="B3966" i="1"/>
  <c r="C3966" i="1"/>
  <c r="E3966" i="1"/>
  <c r="G3966" i="1"/>
  <c r="H3966" i="1"/>
  <c r="A3967" i="1"/>
  <c r="B3967" i="1"/>
  <c r="C3967" i="1"/>
  <c r="E3967" i="1"/>
  <c r="G3967" i="1"/>
  <c r="H3967" i="1"/>
  <c r="A3968" i="1"/>
  <c r="B3968" i="1"/>
  <c r="C3968" i="1"/>
  <c r="E3968" i="1"/>
  <c r="G3968" i="1"/>
  <c r="H3968" i="1"/>
  <c r="A3969" i="1"/>
  <c r="B3969" i="1"/>
  <c r="C3969" i="1"/>
  <c r="E3969" i="1"/>
  <c r="G3969" i="1"/>
  <c r="H3969" i="1"/>
  <c r="A3970" i="1"/>
  <c r="B3970" i="1"/>
  <c r="C3970" i="1"/>
  <c r="E3970" i="1"/>
  <c r="G3970" i="1"/>
  <c r="H3970" i="1"/>
  <c r="A3971" i="1"/>
  <c r="B3971" i="1"/>
  <c r="C3971" i="1"/>
  <c r="E3971" i="1"/>
  <c r="G3971" i="1"/>
  <c r="H3971" i="1"/>
  <c r="A3972" i="1"/>
  <c r="B3972" i="1"/>
  <c r="C3972" i="1"/>
  <c r="E3972" i="1"/>
  <c r="G3972" i="1"/>
  <c r="H3972" i="1"/>
  <c r="A3973" i="1"/>
  <c r="B3973" i="1"/>
  <c r="C3973" i="1"/>
  <c r="E3973" i="1"/>
  <c r="G3973" i="1"/>
  <c r="H3973" i="1"/>
  <c r="A3974" i="1"/>
  <c r="B3974" i="1"/>
  <c r="C3974" i="1"/>
  <c r="E3974" i="1"/>
  <c r="G3974" i="1"/>
  <c r="H3974" i="1"/>
  <c r="A3975" i="1"/>
  <c r="B3975" i="1"/>
  <c r="C3975" i="1"/>
  <c r="E3975" i="1"/>
  <c r="G3975" i="1"/>
  <c r="H3975" i="1"/>
  <c r="A3976" i="1"/>
  <c r="B3976" i="1"/>
  <c r="C3976" i="1"/>
  <c r="E3976" i="1"/>
  <c r="G3976" i="1"/>
  <c r="H3976" i="1"/>
  <c r="A3977" i="1"/>
  <c r="B3977" i="1"/>
  <c r="C3977" i="1"/>
  <c r="E3977" i="1"/>
  <c r="G3977" i="1"/>
  <c r="H3977" i="1"/>
  <c r="A3978" i="1"/>
  <c r="B3978" i="1"/>
  <c r="C3978" i="1"/>
  <c r="E3978" i="1"/>
  <c r="G3978" i="1"/>
  <c r="H3978" i="1"/>
  <c r="A3979" i="1"/>
  <c r="B3979" i="1"/>
  <c r="C3979" i="1"/>
  <c r="E3979" i="1"/>
  <c r="G3979" i="1"/>
  <c r="H3979" i="1"/>
  <c r="A3980" i="1"/>
  <c r="B3980" i="1"/>
  <c r="C3980" i="1"/>
  <c r="E3980" i="1"/>
  <c r="G3980" i="1"/>
  <c r="H3980" i="1"/>
  <c r="A3981" i="1"/>
  <c r="B3981" i="1"/>
  <c r="C3981" i="1"/>
  <c r="E3981" i="1"/>
  <c r="G3981" i="1"/>
  <c r="H3981" i="1"/>
  <c r="A3982" i="1"/>
  <c r="B3982" i="1"/>
  <c r="C3982" i="1"/>
  <c r="E3982" i="1"/>
  <c r="G3982" i="1"/>
  <c r="H3982" i="1"/>
  <c r="A3983" i="1"/>
  <c r="B3983" i="1"/>
  <c r="C3983" i="1"/>
  <c r="E3983" i="1"/>
  <c r="G3983" i="1"/>
  <c r="H3983" i="1"/>
  <c r="A3984" i="1"/>
  <c r="B3984" i="1"/>
  <c r="C3984" i="1"/>
  <c r="E3984" i="1"/>
  <c r="G3984" i="1"/>
  <c r="H3984" i="1"/>
  <c r="A3985" i="1"/>
  <c r="B3985" i="1"/>
  <c r="C3985" i="1"/>
  <c r="E3985" i="1"/>
  <c r="G3985" i="1"/>
  <c r="H3985" i="1"/>
  <c r="A3986" i="1"/>
  <c r="B3986" i="1"/>
  <c r="C3986" i="1"/>
  <c r="E3986" i="1"/>
  <c r="G3986" i="1"/>
  <c r="H3986" i="1"/>
  <c r="A3987" i="1"/>
  <c r="B3987" i="1"/>
  <c r="C3987" i="1"/>
  <c r="E3987" i="1"/>
  <c r="G3987" i="1"/>
  <c r="H3987" i="1"/>
  <c r="A3988" i="1"/>
  <c r="B3988" i="1"/>
  <c r="C3988" i="1"/>
  <c r="E3988" i="1"/>
  <c r="G3988" i="1"/>
  <c r="H3988" i="1"/>
  <c r="A3989" i="1"/>
  <c r="B3989" i="1"/>
  <c r="C3989" i="1"/>
  <c r="E3989" i="1"/>
  <c r="G3989" i="1"/>
  <c r="H3989" i="1"/>
  <c r="A3990" i="1"/>
  <c r="B3990" i="1"/>
  <c r="C3990" i="1"/>
  <c r="E3990" i="1"/>
  <c r="G3990" i="1"/>
  <c r="H3990" i="1"/>
  <c r="A3991" i="1"/>
  <c r="B3991" i="1"/>
  <c r="C3991" i="1"/>
  <c r="E3991" i="1"/>
  <c r="G3991" i="1"/>
  <c r="H3991" i="1"/>
  <c r="A3992" i="1"/>
  <c r="B3992" i="1"/>
  <c r="C3992" i="1"/>
  <c r="E3992" i="1"/>
  <c r="G3992" i="1"/>
  <c r="H3992" i="1"/>
  <c r="A3993" i="1"/>
  <c r="B3993" i="1"/>
  <c r="C3993" i="1"/>
  <c r="E3993" i="1"/>
  <c r="G3993" i="1"/>
  <c r="H3993" i="1"/>
  <c r="A3994" i="1"/>
  <c r="B3994" i="1"/>
  <c r="C3994" i="1"/>
  <c r="E3994" i="1"/>
  <c r="G3994" i="1"/>
  <c r="H3994" i="1"/>
  <c r="A3995" i="1"/>
  <c r="B3995" i="1"/>
  <c r="C3995" i="1"/>
  <c r="E3995" i="1"/>
  <c r="G3995" i="1"/>
  <c r="H3995" i="1"/>
  <c r="A3996" i="1"/>
  <c r="B3996" i="1"/>
  <c r="C3996" i="1"/>
  <c r="E3996" i="1"/>
  <c r="G3996" i="1"/>
  <c r="H3996" i="1"/>
  <c r="A3997" i="1"/>
  <c r="B3997" i="1"/>
  <c r="C3997" i="1"/>
  <c r="E3997" i="1"/>
  <c r="G3997" i="1"/>
  <c r="H3997" i="1"/>
  <c r="A3998" i="1"/>
  <c r="B3998" i="1"/>
  <c r="C3998" i="1"/>
  <c r="E3998" i="1"/>
  <c r="G3998" i="1"/>
  <c r="H3998" i="1"/>
  <c r="A3999" i="1"/>
  <c r="B3999" i="1"/>
  <c r="C3999" i="1"/>
  <c r="E3999" i="1"/>
  <c r="G3999" i="1"/>
  <c r="H3999" i="1"/>
  <c r="A4000" i="1"/>
  <c r="B4000" i="1"/>
  <c r="C4000" i="1"/>
  <c r="E4000" i="1"/>
  <c r="G4000" i="1"/>
  <c r="H4000" i="1"/>
  <c r="A4001" i="1"/>
  <c r="B4001" i="1"/>
  <c r="C4001" i="1"/>
  <c r="E4001" i="1"/>
  <c r="G4001" i="1"/>
  <c r="H4001" i="1"/>
  <c r="A4002" i="1"/>
  <c r="B4002" i="1"/>
  <c r="C4002" i="1"/>
  <c r="E4002" i="1"/>
  <c r="G4002" i="1"/>
  <c r="H4002" i="1"/>
  <c r="A4003" i="1"/>
  <c r="B4003" i="1"/>
  <c r="C4003" i="1"/>
  <c r="E4003" i="1"/>
  <c r="G4003" i="1"/>
  <c r="H4003" i="1"/>
  <c r="A4004" i="1"/>
  <c r="B4004" i="1"/>
  <c r="C4004" i="1"/>
  <c r="E4004" i="1"/>
  <c r="G4004" i="1"/>
  <c r="H4004" i="1"/>
  <c r="A4005" i="1"/>
  <c r="B4005" i="1"/>
  <c r="C4005" i="1"/>
  <c r="E4005" i="1"/>
  <c r="G4005" i="1"/>
  <c r="H4005" i="1"/>
  <c r="A4006" i="1"/>
  <c r="B4006" i="1"/>
  <c r="C4006" i="1"/>
  <c r="E4006" i="1"/>
  <c r="G4006" i="1"/>
  <c r="H4006" i="1"/>
  <c r="A4007" i="1"/>
  <c r="B4007" i="1"/>
  <c r="C4007" i="1"/>
  <c r="E4007" i="1"/>
  <c r="G4007" i="1"/>
  <c r="H4007" i="1"/>
  <c r="A4008" i="1"/>
  <c r="B4008" i="1"/>
  <c r="C4008" i="1"/>
  <c r="E4008" i="1"/>
  <c r="G4008" i="1"/>
  <c r="H4008" i="1"/>
  <c r="A4009" i="1"/>
  <c r="B4009" i="1"/>
  <c r="C4009" i="1"/>
  <c r="E4009" i="1"/>
  <c r="G4009" i="1"/>
  <c r="H4009" i="1"/>
  <c r="A4010" i="1"/>
  <c r="B4010" i="1"/>
  <c r="C4010" i="1"/>
  <c r="E4010" i="1"/>
  <c r="G4010" i="1"/>
  <c r="H4010" i="1"/>
  <c r="A4011" i="1"/>
  <c r="B4011" i="1"/>
  <c r="C4011" i="1"/>
  <c r="E4011" i="1"/>
  <c r="G4011" i="1"/>
  <c r="H4011" i="1"/>
  <c r="A4012" i="1"/>
  <c r="B4012" i="1"/>
  <c r="C4012" i="1"/>
  <c r="E4012" i="1"/>
  <c r="G4012" i="1"/>
  <c r="H4012" i="1"/>
  <c r="A4013" i="1"/>
  <c r="B4013" i="1"/>
  <c r="C4013" i="1"/>
  <c r="E4013" i="1"/>
  <c r="G4013" i="1"/>
  <c r="H4013" i="1"/>
  <c r="A4014" i="1"/>
  <c r="B4014" i="1"/>
  <c r="C4014" i="1"/>
  <c r="E4014" i="1"/>
  <c r="G4014" i="1"/>
  <c r="H4014" i="1"/>
  <c r="A4015" i="1"/>
  <c r="B4015" i="1"/>
  <c r="C4015" i="1"/>
  <c r="E4015" i="1"/>
  <c r="G4015" i="1"/>
  <c r="H4015" i="1"/>
  <c r="A4016" i="1"/>
  <c r="B4016" i="1"/>
  <c r="C4016" i="1"/>
  <c r="E4016" i="1"/>
  <c r="G4016" i="1"/>
  <c r="H4016" i="1"/>
  <c r="A4017" i="1"/>
  <c r="B4017" i="1"/>
  <c r="C4017" i="1"/>
  <c r="E4017" i="1"/>
  <c r="G4017" i="1"/>
  <c r="H4017" i="1"/>
  <c r="A4018" i="1"/>
  <c r="B4018" i="1"/>
  <c r="C4018" i="1"/>
  <c r="E4018" i="1"/>
  <c r="G4018" i="1"/>
  <c r="H4018" i="1"/>
  <c r="A4019" i="1"/>
  <c r="B4019" i="1"/>
  <c r="C4019" i="1"/>
  <c r="E4019" i="1"/>
  <c r="G4019" i="1"/>
  <c r="H4019" i="1"/>
  <c r="A4020" i="1"/>
  <c r="B4020" i="1"/>
  <c r="C4020" i="1"/>
  <c r="E4020" i="1"/>
  <c r="G4020" i="1"/>
  <c r="H4020" i="1"/>
  <c r="A4021" i="1"/>
  <c r="B4021" i="1"/>
  <c r="C4021" i="1"/>
  <c r="E4021" i="1"/>
  <c r="G4021" i="1"/>
  <c r="H4021" i="1"/>
  <c r="A4022" i="1"/>
  <c r="B4022" i="1"/>
  <c r="C4022" i="1"/>
  <c r="E4022" i="1"/>
  <c r="G4022" i="1"/>
  <c r="H4022" i="1"/>
  <c r="A4023" i="1"/>
  <c r="B4023" i="1"/>
  <c r="C4023" i="1"/>
  <c r="E4023" i="1"/>
  <c r="G4023" i="1"/>
  <c r="H4023" i="1"/>
  <c r="A4024" i="1"/>
  <c r="B4024" i="1"/>
  <c r="C4024" i="1"/>
  <c r="E4024" i="1"/>
  <c r="G4024" i="1"/>
  <c r="H4024" i="1"/>
  <c r="A4025" i="1"/>
  <c r="B4025" i="1"/>
  <c r="C4025" i="1"/>
  <c r="E4025" i="1"/>
  <c r="G4025" i="1"/>
  <c r="H4025" i="1"/>
  <c r="A4026" i="1"/>
  <c r="B4026" i="1"/>
  <c r="C4026" i="1"/>
  <c r="E4026" i="1"/>
  <c r="G4026" i="1"/>
  <c r="H4026" i="1"/>
  <c r="A4027" i="1"/>
  <c r="B4027" i="1"/>
  <c r="C4027" i="1"/>
  <c r="E4027" i="1"/>
  <c r="G4027" i="1"/>
  <c r="H4027" i="1"/>
  <c r="A4028" i="1"/>
  <c r="B4028" i="1"/>
  <c r="C4028" i="1"/>
  <c r="E4028" i="1"/>
  <c r="G4028" i="1"/>
  <c r="H4028" i="1"/>
  <c r="A4029" i="1"/>
  <c r="B4029" i="1"/>
  <c r="C4029" i="1"/>
  <c r="E4029" i="1"/>
  <c r="G4029" i="1"/>
  <c r="H4029" i="1"/>
  <c r="A4030" i="1"/>
  <c r="B4030" i="1"/>
  <c r="C4030" i="1"/>
  <c r="E4030" i="1"/>
  <c r="G4030" i="1"/>
  <c r="H4030" i="1"/>
  <c r="A4031" i="1"/>
  <c r="B4031" i="1"/>
  <c r="C4031" i="1"/>
  <c r="E4031" i="1"/>
  <c r="G4031" i="1"/>
  <c r="H4031" i="1"/>
  <c r="A4032" i="1"/>
  <c r="B4032" i="1"/>
  <c r="C4032" i="1"/>
  <c r="E4032" i="1"/>
  <c r="G4032" i="1"/>
  <c r="H4032" i="1"/>
  <c r="A4033" i="1"/>
  <c r="B4033" i="1"/>
  <c r="C4033" i="1"/>
  <c r="E4033" i="1"/>
  <c r="G4033" i="1"/>
  <c r="H4033" i="1"/>
  <c r="A4034" i="1"/>
  <c r="B4034" i="1"/>
  <c r="C4034" i="1"/>
  <c r="E4034" i="1"/>
  <c r="G4034" i="1"/>
  <c r="H4034" i="1"/>
  <c r="A4035" i="1"/>
  <c r="B4035" i="1"/>
  <c r="C4035" i="1"/>
  <c r="E4035" i="1"/>
  <c r="G4035" i="1"/>
  <c r="H4035" i="1"/>
  <c r="A4036" i="1"/>
  <c r="B4036" i="1"/>
  <c r="C4036" i="1"/>
  <c r="E4036" i="1"/>
  <c r="G4036" i="1"/>
  <c r="H4036" i="1"/>
  <c r="A4037" i="1"/>
  <c r="B4037" i="1"/>
  <c r="C4037" i="1"/>
  <c r="E4037" i="1"/>
  <c r="G4037" i="1"/>
  <c r="H4037" i="1"/>
  <c r="A4038" i="1"/>
  <c r="B4038" i="1"/>
  <c r="C4038" i="1"/>
  <c r="E4038" i="1"/>
  <c r="G4038" i="1"/>
  <c r="H4038" i="1"/>
  <c r="A4039" i="1"/>
  <c r="B4039" i="1"/>
  <c r="C4039" i="1"/>
  <c r="E4039" i="1"/>
  <c r="G4039" i="1"/>
  <c r="H4039" i="1"/>
  <c r="A4040" i="1"/>
  <c r="B4040" i="1"/>
  <c r="C4040" i="1"/>
  <c r="E4040" i="1"/>
  <c r="G4040" i="1"/>
  <c r="H4040" i="1"/>
  <c r="A4041" i="1"/>
  <c r="B4041" i="1"/>
  <c r="C4041" i="1"/>
  <c r="E4041" i="1"/>
  <c r="G4041" i="1"/>
  <c r="H4041" i="1"/>
  <c r="A4042" i="1"/>
  <c r="B4042" i="1"/>
  <c r="C4042" i="1"/>
  <c r="E4042" i="1"/>
  <c r="G4042" i="1"/>
  <c r="H4042" i="1"/>
  <c r="A4043" i="1"/>
  <c r="B4043" i="1"/>
  <c r="C4043" i="1"/>
  <c r="E4043" i="1"/>
  <c r="G4043" i="1"/>
  <c r="H4043" i="1"/>
  <c r="A4044" i="1"/>
  <c r="B4044" i="1"/>
  <c r="C4044" i="1"/>
  <c r="E4044" i="1"/>
  <c r="G4044" i="1"/>
  <c r="H4044" i="1"/>
  <c r="A4045" i="1"/>
  <c r="B4045" i="1"/>
  <c r="C4045" i="1"/>
  <c r="E4045" i="1"/>
  <c r="G4045" i="1"/>
  <c r="H4045" i="1"/>
  <c r="A4046" i="1"/>
  <c r="B4046" i="1"/>
  <c r="C4046" i="1"/>
  <c r="E4046" i="1"/>
  <c r="G4046" i="1"/>
  <c r="H4046" i="1"/>
  <c r="A4047" i="1"/>
  <c r="B4047" i="1"/>
  <c r="C4047" i="1"/>
  <c r="E4047" i="1"/>
  <c r="G4047" i="1"/>
  <c r="H4047" i="1"/>
  <c r="A4048" i="1"/>
  <c r="B4048" i="1"/>
  <c r="C4048" i="1"/>
  <c r="E4048" i="1"/>
  <c r="G4048" i="1"/>
  <c r="H4048" i="1"/>
  <c r="A4049" i="1"/>
  <c r="B4049" i="1"/>
  <c r="C4049" i="1"/>
  <c r="E4049" i="1"/>
  <c r="G4049" i="1"/>
  <c r="H4049" i="1"/>
  <c r="A4050" i="1"/>
  <c r="B4050" i="1"/>
  <c r="C4050" i="1"/>
  <c r="E4050" i="1"/>
  <c r="G4050" i="1"/>
  <c r="H4050" i="1"/>
  <c r="A4051" i="1"/>
  <c r="B4051" i="1"/>
  <c r="C4051" i="1"/>
  <c r="E4051" i="1"/>
  <c r="G4051" i="1"/>
  <c r="H4051" i="1"/>
  <c r="A4052" i="1"/>
  <c r="B4052" i="1"/>
  <c r="C4052" i="1"/>
  <c r="E4052" i="1"/>
  <c r="G4052" i="1"/>
  <c r="H4052" i="1"/>
  <c r="A4053" i="1"/>
  <c r="B4053" i="1"/>
  <c r="C4053" i="1"/>
  <c r="E4053" i="1"/>
  <c r="G4053" i="1"/>
  <c r="H4053" i="1"/>
  <c r="A4054" i="1"/>
  <c r="B4054" i="1"/>
  <c r="C4054" i="1"/>
  <c r="E4054" i="1"/>
  <c r="G4054" i="1"/>
  <c r="H4054" i="1"/>
  <c r="A4055" i="1"/>
  <c r="B4055" i="1"/>
  <c r="C4055" i="1"/>
  <c r="E4055" i="1"/>
  <c r="G4055" i="1"/>
  <c r="H4055" i="1"/>
  <c r="A4056" i="1"/>
  <c r="B4056" i="1"/>
  <c r="C4056" i="1"/>
  <c r="E4056" i="1"/>
  <c r="G4056" i="1"/>
  <c r="H4056" i="1"/>
  <c r="A4057" i="1"/>
  <c r="B4057" i="1"/>
  <c r="C4057" i="1"/>
  <c r="E4057" i="1"/>
  <c r="G4057" i="1"/>
  <c r="H4057" i="1"/>
  <c r="A4058" i="1"/>
  <c r="B4058" i="1"/>
  <c r="C4058" i="1"/>
  <c r="E4058" i="1"/>
  <c r="G4058" i="1"/>
  <c r="H4058" i="1"/>
  <c r="A4059" i="1"/>
  <c r="B4059" i="1"/>
  <c r="C4059" i="1"/>
  <c r="E4059" i="1"/>
  <c r="G4059" i="1"/>
  <c r="H4059" i="1"/>
  <c r="A4060" i="1"/>
  <c r="B4060" i="1"/>
  <c r="C4060" i="1"/>
  <c r="E4060" i="1"/>
  <c r="G4060" i="1"/>
  <c r="H4060" i="1"/>
  <c r="A4061" i="1"/>
  <c r="B4061" i="1"/>
  <c r="C4061" i="1"/>
  <c r="E4061" i="1"/>
  <c r="G4061" i="1"/>
  <c r="H4061" i="1"/>
  <c r="A4062" i="1"/>
  <c r="B4062" i="1"/>
  <c r="C4062" i="1"/>
  <c r="E4062" i="1"/>
  <c r="G4062" i="1"/>
  <c r="H4062" i="1"/>
  <c r="A4063" i="1"/>
  <c r="B4063" i="1"/>
  <c r="C4063" i="1"/>
  <c r="E4063" i="1"/>
  <c r="G4063" i="1"/>
  <c r="H4063" i="1"/>
  <c r="A4064" i="1"/>
  <c r="B4064" i="1"/>
  <c r="C4064" i="1"/>
  <c r="E4064" i="1"/>
  <c r="G4064" i="1"/>
  <c r="H4064" i="1"/>
  <c r="A4065" i="1"/>
  <c r="B4065" i="1"/>
  <c r="C4065" i="1"/>
  <c r="E4065" i="1"/>
  <c r="G4065" i="1"/>
  <c r="H4065" i="1"/>
  <c r="A4066" i="1"/>
  <c r="B4066" i="1"/>
  <c r="C4066" i="1"/>
  <c r="E4066" i="1"/>
  <c r="G4066" i="1"/>
  <c r="H4066" i="1"/>
  <c r="A4067" i="1"/>
  <c r="B4067" i="1"/>
  <c r="C4067" i="1"/>
  <c r="E4067" i="1"/>
  <c r="G4067" i="1"/>
  <c r="H4067" i="1"/>
  <c r="A4068" i="1"/>
  <c r="B4068" i="1"/>
  <c r="C4068" i="1"/>
  <c r="E4068" i="1"/>
  <c r="G4068" i="1"/>
  <c r="H4068" i="1"/>
  <c r="A4069" i="1"/>
  <c r="B4069" i="1"/>
  <c r="C4069" i="1"/>
  <c r="E4069" i="1"/>
  <c r="G4069" i="1"/>
  <c r="H4069" i="1"/>
  <c r="A4070" i="1"/>
  <c r="B4070" i="1"/>
  <c r="C4070" i="1"/>
  <c r="E4070" i="1"/>
  <c r="G4070" i="1"/>
  <c r="H4070" i="1"/>
  <c r="A4071" i="1"/>
  <c r="B4071" i="1"/>
  <c r="C4071" i="1"/>
  <c r="E4071" i="1"/>
  <c r="G4071" i="1"/>
  <c r="H4071" i="1"/>
  <c r="A4072" i="1"/>
  <c r="B4072" i="1"/>
  <c r="C4072" i="1"/>
  <c r="E4072" i="1"/>
  <c r="G4072" i="1"/>
  <c r="H4072" i="1"/>
  <c r="A4073" i="1"/>
  <c r="B4073" i="1"/>
  <c r="C4073" i="1"/>
  <c r="E4073" i="1"/>
  <c r="G4073" i="1"/>
  <c r="H4073" i="1"/>
  <c r="A4074" i="1"/>
  <c r="B4074" i="1"/>
  <c r="C4074" i="1"/>
  <c r="E4074" i="1"/>
  <c r="G4074" i="1"/>
  <c r="H4074" i="1"/>
  <c r="A4075" i="1"/>
  <c r="B4075" i="1"/>
  <c r="C4075" i="1"/>
  <c r="E4075" i="1"/>
  <c r="G4075" i="1"/>
  <c r="H4075" i="1"/>
  <c r="A4076" i="1"/>
  <c r="B4076" i="1"/>
  <c r="C4076" i="1"/>
  <c r="E4076" i="1"/>
  <c r="G4076" i="1"/>
  <c r="H4076" i="1"/>
  <c r="A4077" i="1"/>
  <c r="B4077" i="1"/>
  <c r="C4077" i="1"/>
  <c r="E4077" i="1"/>
  <c r="G4077" i="1"/>
  <c r="H4077" i="1"/>
  <c r="A4078" i="1"/>
  <c r="B4078" i="1"/>
  <c r="C4078" i="1"/>
  <c r="E4078" i="1"/>
  <c r="G4078" i="1"/>
  <c r="H4078" i="1"/>
  <c r="A4079" i="1"/>
  <c r="B4079" i="1"/>
  <c r="C4079" i="1"/>
  <c r="E4079" i="1"/>
  <c r="G4079" i="1"/>
  <c r="H4079" i="1"/>
  <c r="A4080" i="1"/>
  <c r="B4080" i="1"/>
  <c r="C4080" i="1"/>
  <c r="E4080" i="1"/>
  <c r="G4080" i="1"/>
  <c r="H4080" i="1"/>
  <c r="A4081" i="1"/>
  <c r="B4081" i="1"/>
  <c r="C4081" i="1"/>
  <c r="E4081" i="1"/>
  <c r="G4081" i="1"/>
  <c r="H4081" i="1"/>
  <c r="A4082" i="1"/>
  <c r="B4082" i="1"/>
  <c r="C4082" i="1"/>
  <c r="E4082" i="1"/>
  <c r="G4082" i="1"/>
  <c r="H4082" i="1"/>
  <c r="A4083" i="1"/>
  <c r="B4083" i="1"/>
  <c r="C4083" i="1"/>
  <c r="E4083" i="1"/>
  <c r="G4083" i="1"/>
  <c r="H4083" i="1"/>
  <c r="A4084" i="1"/>
  <c r="B4084" i="1"/>
  <c r="C4084" i="1"/>
  <c r="E4084" i="1"/>
  <c r="G4084" i="1"/>
  <c r="H4084" i="1"/>
  <c r="A4085" i="1"/>
  <c r="B4085" i="1"/>
  <c r="C4085" i="1"/>
  <c r="E4085" i="1"/>
  <c r="G4085" i="1"/>
  <c r="H4085" i="1"/>
  <c r="A4086" i="1"/>
  <c r="B4086" i="1"/>
  <c r="C4086" i="1"/>
  <c r="E4086" i="1"/>
  <c r="G4086" i="1"/>
  <c r="H4086" i="1"/>
  <c r="A4087" i="1"/>
  <c r="B4087" i="1"/>
  <c r="C4087" i="1"/>
  <c r="E4087" i="1"/>
  <c r="G4087" i="1"/>
  <c r="H4087" i="1"/>
  <c r="A4088" i="1"/>
  <c r="B4088" i="1"/>
  <c r="C4088" i="1"/>
  <c r="E4088" i="1"/>
  <c r="G4088" i="1"/>
  <c r="H4088" i="1"/>
  <c r="A4089" i="1"/>
  <c r="B4089" i="1"/>
  <c r="C4089" i="1"/>
  <c r="E4089" i="1"/>
  <c r="G4089" i="1"/>
  <c r="H4089" i="1"/>
  <c r="A4090" i="1"/>
  <c r="B4090" i="1"/>
  <c r="C4090" i="1"/>
  <c r="E4090" i="1"/>
  <c r="G4090" i="1"/>
  <c r="H4090" i="1"/>
  <c r="A4091" i="1"/>
  <c r="B4091" i="1"/>
  <c r="C4091" i="1"/>
  <c r="E4091" i="1"/>
  <c r="G4091" i="1"/>
  <c r="H4091" i="1"/>
  <c r="A4092" i="1"/>
  <c r="B4092" i="1"/>
  <c r="C4092" i="1"/>
  <c r="E4092" i="1"/>
  <c r="G4092" i="1"/>
  <c r="H4092" i="1"/>
  <c r="A4093" i="1"/>
  <c r="B4093" i="1"/>
  <c r="C4093" i="1"/>
  <c r="E4093" i="1"/>
  <c r="G4093" i="1"/>
  <c r="H4093" i="1"/>
  <c r="A4094" i="1"/>
  <c r="B4094" i="1"/>
  <c r="C4094" i="1"/>
  <c r="E4094" i="1"/>
  <c r="G4094" i="1"/>
  <c r="H4094" i="1"/>
  <c r="A4095" i="1"/>
  <c r="B4095" i="1"/>
  <c r="C4095" i="1"/>
  <c r="E4095" i="1"/>
  <c r="G4095" i="1"/>
  <c r="H4095" i="1"/>
  <c r="A4096" i="1"/>
  <c r="B4096" i="1"/>
  <c r="C4096" i="1"/>
  <c r="E4096" i="1"/>
  <c r="G4096" i="1"/>
  <c r="H4096" i="1"/>
  <c r="A4097" i="1"/>
  <c r="B4097" i="1"/>
  <c r="C4097" i="1"/>
  <c r="E4097" i="1"/>
  <c r="G4097" i="1"/>
  <c r="H4097" i="1"/>
  <c r="A4098" i="1"/>
  <c r="B4098" i="1"/>
  <c r="C4098" i="1"/>
  <c r="E4098" i="1"/>
  <c r="G4098" i="1"/>
  <c r="H4098" i="1"/>
  <c r="A4099" i="1"/>
  <c r="B4099" i="1"/>
  <c r="C4099" i="1"/>
  <c r="E4099" i="1"/>
  <c r="G4099" i="1"/>
  <c r="H4099" i="1"/>
  <c r="A4100" i="1"/>
  <c r="B4100" i="1"/>
  <c r="C4100" i="1"/>
  <c r="E4100" i="1"/>
  <c r="G4100" i="1"/>
  <c r="H4100" i="1"/>
  <c r="A4101" i="1"/>
  <c r="B4101" i="1"/>
  <c r="C4101" i="1"/>
  <c r="E4101" i="1"/>
  <c r="G4101" i="1"/>
  <c r="H4101" i="1"/>
  <c r="A4102" i="1"/>
  <c r="B4102" i="1"/>
  <c r="C4102" i="1"/>
  <c r="E4102" i="1"/>
  <c r="G4102" i="1"/>
  <c r="H4102" i="1"/>
  <c r="A4103" i="1"/>
  <c r="B4103" i="1"/>
  <c r="C4103" i="1"/>
  <c r="E4103" i="1"/>
  <c r="G4103" i="1"/>
  <c r="H4103" i="1"/>
  <c r="A4104" i="1"/>
  <c r="B4104" i="1"/>
  <c r="C4104" i="1"/>
  <c r="E4104" i="1"/>
  <c r="G4104" i="1"/>
  <c r="H4104" i="1"/>
  <c r="A4105" i="1"/>
  <c r="B4105" i="1"/>
  <c r="C4105" i="1"/>
  <c r="E4105" i="1"/>
  <c r="G4105" i="1"/>
  <c r="H4105" i="1"/>
  <c r="A4106" i="1"/>
  <c r="B4106" i="1"/>
  <c r="C4106" i="1"/>
  <c r="E4106" i="1"/>
  <c r="G4106" i="1"/>
  <c r="H4106" i="1"/>
  <c r="A4107" i="1"/>
  <c r="B4107" i="1"/>
  <c r="C4107" i="1"/>
  <c r="E4107" i="1"/>
  <c r="G4107" i="1"/>
  <c r="H4107" i="1"/>
  <c r="A4108" i="1"/>
  <c r="B4108" i="1"/>
  <c r="C4108" i="1"/>
  <c r="E4108" i="1"/>
  <c r="G4108" i="1"/>
  <c r="H4108" i="1"/>
  <c r="A4109" i="1"/>
  <c r="B4109" i="1"/>
  <c r="C4109" i="1"/>
  <c r="E4109" i="1"/>
  <c r="G4109" i="1"/>
  <c r="H4109" i="1"/>
  <c r="A4110" i="1"/>
  <c r="B4110" i="1"/>
  <c r="C4110" i="1"/>
  <c r="E4110" i="1"/>
  <c r="G4110" i="1"/>
  <c r="H4110" i="1"/>
  <c r="A4111" i="1"/>
  <c r="B4111" i="1"/>
  <c r="C4111" i="1"/>
  <c r="E4111" i="1"/>
  <c r="G4111" i="1"/>
  <c r="H4111" i="1"/>
  <c r="A4112" i="1"/>
  <c r="B4112" i="1"/>
  <c r="C4112" i="1"/>
  <c r="E4112" i="1"/>
  <c r="G4112" i="1"/>
  <c r="H4112" i="1"/>
  <c r="A4113" i="1"/>
  <c r="B4113" i="1"/>
  <c r="C4113" i="1"/>
  <c r="E4113" i="1"/>
  <c r="G4113" i="1"/>
  <c r="H4113" i="1"/>
  <c r="A4114" i="1"/>
  <c r="B4114" i="1"/>
  <c r="C4114" i="1"/>
  <c r="E4114" i="1"/>
  <c r="G4114" i="1"/>
  <c r="H4114" i="1"/>
  <c r="A4115" i="1"/>
  <c r="B4115" i="1"/>
  <c r="C4115" i="1"/>
  <c r="E4115" i="1"/>
  <c r="G4115" i="1"/>
  <c r="H4115" i="1"/>
  <c r="A4116" i="1"/>
  <c r="B4116" i="1"/>
  <c r="C4116" i="1"/>
  <c r="E4116" i="1"/>
  <c r="G4116" i="1"/>
  <c r="H4116" i="1"/>
  <c r="A4117" i="1"/>
  <c r="B4117" i="1"/>
  <c r="C4117" i="1"/>
  <c r="E4117" i="1"/>
  <c r="G4117" i="1"/>
  <c r="H4117" i="1"/>
  <c r="A4118" i="1"/>
  <c r="B4118" i="1"/>
  <c r="C4118" i="1"/>
  <c r="E4118" i="1"/>
  <c r="G4118" i="1"/>
  <c r="H4118" i="1"/>
  <c r="A4119" i="1"/>
  <c r="B4119" i="1"/>
  <c r="C4119" i="1"/>
  <c r="E4119" i="1"/>
  <c r="G4119" i="1"/>
  <c r="H4119" i="1"/>
  <c r="A4120" i="1"/>
  <c r="B4120" i="1"/>
  <c r="C4120" i="1"/>
  <c r="E4120" i="1"/>
  <c r="G4120" i="1"/>
  <c r="H4120" i="1"/>
  <c r="A4121" i="1"/>
  <c r="B4121" i="1"/>
  <c r="C4121" i="1"/>
  <c r="E4121" i="1"/>
  <c r="G4121" i="1"/>
  <c r="H4121" i="1"/>
  <c r="A4122" i="1"/>
  <c r="B4122" i="1"/>
  <c r="C4122" i="1"/>
  <c r="E4122" i="1"/>
  <c r="G4122" i="1"/>
  <c r="H4122" i="1"/>
  <c r="A4123" i="1"/>
  <c r="B4123" i="1"/>
  <c r="C4123" i="1"/>
  <c r="E4123" i="1"/>
  <c r="G4123" i="1"/>
  <c r="H4123" i="1"/>
  <c r="A4124" i="1"/>
  <c r="B4124" i="1"/>
  <c r="C4124" i="1"/>
  <c r="E4124" i="1"/>
  <c r="G4124" i="1"/>
  <c r="H4124" i="1"/>
  <c r="A4125" i="1"/>
  <c r="B4125" i="1"/>
  <c r="C4125" i="1"/>
  <c r="E4125" i="1"/>
  <c r="G4125" i="1"/>
  <c r="H4125" i="1"/>
  <c r="A4126" i="1"/>
  <c r="B4126" i="1"/>
  <c r="C4126" i="1"/>
  <c r="E4126" i="1"/>
  <c r="G4126" i="1"/>
  <c r="H4126" i="1"/>
  <c r="A4127" i="1"/>
  <c r="B4127" i="1"/>
  <c r="C4127" i="1"/>
  <c r="E4127" i="1"/>
  <c r="G4127" i="1"/>
  <c r="H4127" i="1"/>
  <c r="A4128" i="1"/>
  <c r="B4128" i="1"/>
  <c r="C4128" i="1"/>
  <c r="E4128" i="1"/>
  <c r="G4128" i="1"/>
  <c r="H4128" i="1"/>
  <c r="A4129" i="1"/>
  <c r="B4129" i="1"/>
  <c r="C4129" i="1"/>
  <c r="E4129" i="1"/>
  <c r="G4129" i="1"/>
  <c r="H4129" i="1"/>
  <c r="A4130" i="1"/>
  <c r="B4130" i="1"/>
  <c r="C4130" i="1"/>
  <c r="E4130" i="1"/>
  <c r="G4130" i="1"/>
  <c r="H4130" i="1"/>
  <c r="A4131" i="1"/>
  <c r="B4131" i="1"/>
  <c r="C4131" i="1"/>
  <c r="E4131" i="1"/>
  <c r="G4131" i="1"/>
  <c r="H4131" i="1"/>
  <c r="A4132" i="1"/>
  <c r="B4132" i="1"/>
  <c r="C4132" i="1"/>
  <c r="E4132" i="1"/>
  <c r="G4132" i="1"/>
  <c r="H4132" i="1"/>
  <c r="A4133" i="1"/>
  <c r="B4133" i="1"/>
  <c r="C4133" i="1"/>
  <c r="E4133" i="1"/>
  <c r="G4133" i="1"/>
  <c r="H4133" i="1"/>
  <c r="A4134" i="1"/>
  <c r="B4134" i="1"/>
  <c r="C4134" i="1"/>
  <c r="E4134" i="1"/>
  <c r="G4134" i="1"/>
  <c r="H4134" i="1"/>
  <c r="A4135" i="1"/>
  <c r="B4135" i="1"/>
  <c r="C4135" i="1"/>
  <c r="E4135" i="1"/>
  <c r="G4135" i="1"/>
  <c r="H4135" i="1"/>
  <c r="A4136" i="1"/>
  <c r="B4136" i="1"/>
  <c r="C4136" i="1"/>
  <c r="E4136" i="1"/>
  <c r="G4136" i="1"/>
  <c r="H4136" i="1"/>
  <c r="A4137" i="1"/>
  <c r="B4137" i="1"/>
  <c r="C4137" i="1"/>
  <c r="E4137" i="1"/>
  <c r="G4137" i="1"/>
  <c r="H4137" i="1"/>
  <c r="A4138" i="1"/>
  <c r="B4138" i="1"/>
  <c r="C4138" i="1"/>
  <c r="E4138" i="1"/>
  <c r="G4138" i="1"/>
  <c r="H4138" i="1"/>
  <c r="A4139" i="1"/>
  <c r="B4139" i="1"/>
  <c r="C4139" i="1"/>
  <c r="E4139" i="1"/>
  <c r="G4139" i="1"/>
  <c r="H4139" i="1"/>
  <c r="A4140" i="1"/>
  <c r="B4140" i="1"/>
  <c r="C4140" i="1"/>
  <c r="E4140" i="1"/>
  <c r="G4140" i="1"/>
  <c r="H4140" i="1"/>
  <c r="A4141" i="1"/>
  <c r="B4141" i="1"/>
  <c r="C4141" i="1"/>
  <c r="E4141" i="1"/>
  <c r="G4141" i="1"/>
  <c r="H4141" i="1"/>
  <c r="A4142" i="1"/>
  <c r="B4142" i="1"/>
  <c r="C4142" i="1"/>
  <c r="E4142" i="1"/>
  <c r="G4142" i="1"/>
  <c r="H4142" i="1"/>
  <c r="A4143" i="1"/>
  <c r="B4143" i="1"/>
  <c r="C4143" i="1"/>
  <c r="E4143" i="1"/>
  <c r="G4143" i="1"/>
  <c r="H4143" i="1"/>
  <c r="A4144" i="1"/>
  <c r="B4144" i="1"/>
  <c r="C4144" i="1"/>
  <c r="E4144" i="1"/>
  <c r="G4144" i="1"/>
  <c r="H4144" i="1"/>
  <c r="A4145" i="1"/>
  <c r="B4145" i="1"/>
  <c r="C4145" i="1"/>
  <c r="E4145" i="1"/>
  <c r="G4145" i="1"/>
  <c r="H4145" i="1"/>
  <c r="A4146" i="1"/>
  <c r="B4146" i="1"/>
  <c r="C4146" i="1"/>
  <c r="E4146" i="1"/>
  <c r="G4146" i="1"/>
  <c r="H4146" i="1"/>
  <c r="A4147" i="1"/>
  <c r="B4147" i="1"/>
  <c r="C4147" i="1"/>
  <c r="E4147" i="1"/>
  <c r="G4147" i="1"/>
  <c r="H4147" i="1"/>
  <c r="A4148" i="1"/>
  <c r="B4148" i="1"/>
  <c r="C4148" i="1"/>
  <c r="E4148" i="1"/>
  <c r="G4148" i="1"/>
  <c r="H4148" i="1"/>
  <c r="A4149" i="1"/>
  <c r="B4149" i="1"/>
  <c r="C4149" i="1"/>
  <c r="E4149" i="1"/>
  <c r="G4149" i="1"/>
  <c r="H4149" i="1"/>
  <c r="A4150" i="1"/>
  <c r="B4150" i="1"/>
  <c r="C4150" i="1"/>
  <c r="E4150" i="1"/>
  <c r="G4150" i="1"/>
  <c r="H4150" i="1"/>
  <c r="A4151" i="1"/>
  <c r="B4151" i="1"/>
  <c r="C4151" i="1"/>
  <c r="E4151" i="1"/>
  <c r="G4151" i="1"/>
  <c r="H4151" i="1"/>
  <c r="A4152" i="1"/>
  <c r="B4152" i="1"/>
  <c r="C4152" i="1"/>
  <c r="E4152" i="1"/>
  <c r="G4152" i="1"/>
  <c r="H4152" i="1"/>
  <c r="A4153" i="1"/>
  <c r="B4153" i="1"/>
  <c r="C4153" i="1"/>
  <c r="E4153" i="1"/>
  <c r="G4153" i="1"/>
  <c r="H4153" i="1"/>
  <c r="A4154" i="1"/>
  <c r="B4154" i="1"/>
  <c r="C4154" i="1"/>
  <c r="E4154" i="1"/>
  <c r="G4154" i="1"/>
  <c r="H4154" i="1"/>
  <c r="A4155" i="1"/>
  <c r="B4155" i="1"/>
  <c r="C4155" i="1"/>
  <c r="E4155" i="1"/>
  <c r="G4155" i="1"/>
  <c r="H4155" i="1"/>
  <c r="A4156" i="1"/>
  <c r="B4156" i="1"/>
  <c r="C4156" i="1"/>
  <c r="E4156" i="1"/>
  <c r="G4156" i="1"/>
  <c r="H4156" i="1"/>
  <c r="A4157" i="1"/>
  <c r="B4157" i="1"/>
  <c r="C4157" i="1"/>
  <c r="E4157" i="1"/>
  <c r="G4157" i="1"/>
  <c r="H4157" i="1"/>
  <c r="A4158" i="1"/>
  <c r="B4158" i="1"/>
  <c r="C4158" i="1"/>
  <c r="E4158" i="1"/>
  <c r="G4158" i="1"/>
  <c r="H4158" i="1"/>
  <c r="A4159" i="1"/>
  <c r="B4159" i="1"/>
  <c r="C4159" i="1"/>
  <c r="E4159" i="1"/>
  <c r="G4159" i="1"/>
  <c r="H4159" i="1"/>
  <c r="A4160" i="1"/>
  <c r="B4160" i="1"/>
  <c r="C4160" i="1"/>
  <c r="E4160" i="1"/>
  <c r="G4160" i="1"/>
  <c r="H4160" i="1"/>
  <c r="A4161" i="1"/>
  <c r="B4161" i="1"/>
  <c r="C4161" i="1"/>
  <c r="E4161" i="1"/>
  <c r="G4161" i="1"/>
  <c r="H4161" i="1"/>
  <c r="A4162" i="1"/>
  <c r="B4162" i="1"/>
  <c r="C4162" i="1"/>
  <c r="E4162" i="1"/>
  <c r="G4162" i="1"/>
  <c r="H4162" i="1"/>
  <c r="A4163" i="1"/>
  <c r="B4163" i="1"/>
  <c r="C4163" i="1"/>
  <c r="E4163" i="1"/>
  <c r="G4163" i="1"/>
  <c r="H4163" i="1"/>
  <c r="A4164" i="1"/>
  <c r="B4164" i="1"/>
  <c r="C4164" i="1"/>
  <c r="E4164" i="1"/>
  <c r="G4164" i="1"/>
  <c r="H4164" i="1"/>
  <c r="A4165" i="1"/>
  <c r="B4165" i="1"/>
  <c r="C4165" i="1"/>
  <c r="E4165" i="1"/>
  <c r="G4165" i="1"/>
  <c r="H4165" i="1"/>
  <c r="A4166" i="1"/>
  <c r="B4166" i="1"/>
  <c r="C4166" i="1"/>
  <c r="E4166" i="1"/>
  <c r="G4166" i="1"/>
  <c r="H4166" i="1"/>
  <c r="A4167" i="1"/>
  <c r="B4167" i="1"/>
  <c r="C4167" i="1"/>
  <c r="E4167" i="1"/>
  <c r="G4167" i="1"/>
  <c r="H4167" i="1"/>
  <c r="A4168" i="1"/>
  <c r="B4168" i="1"/>
  <c r="C4168" i="1"/>
  <c r="E4168" i="1"/>
  <c r="G4168" i="1"/>
  <c r="H4168" i="1"/>
  <c r="A4169" i="1"/>
  <c r="B4169" i="1"/>
  <c r="C4169" i="1"/>
  <c r="E4169" i="1"/>
  <c r="G4169" i="1"/>
  <c r="H4169" i="1"/>
  <c r="A4170" i="1"/>
  <c r="B4170" i="1"/>
  <c r="C4170" i="1"/>
  <c r="E4170" i="1"/>
  <c r="G4170" i="1"/>
  <c r="H4170" i="1"/>
  <c r="A4171" i="1"/>
  <c r="B4171" i="1"/>
  <c r="C4171" i="1"/>
  <c r="E4171" i="1"/>
  <c r="G4171" i="1"/>
  <c r="H4171" i="1"/>
  <c r="A4172" i="1"/>
  <c r="B4172" i="1"/>
  <c r="C4172" i="1"/>
  <c r="E4172" i="1"/>
  <c r="G4172" i="1"/>
  <c r="H4172" i="1"/>
  <c r="A4173" i="1"/>
  <c r="B4173" i="1"/>
  <c r="C4173" i="1"/>
  <c r="E4173" i="1"/>
  <c r="G4173" i="1"/>
  <c r="H4173" i="1"/>
  <c r="A4174" i="1"/>
  <c r="B4174" i="1"/>
  <c r="C4174" i="1"/>
  <c r="E4174" i="1"/>
  <c r="G4174" i="1"/>
  <c r="H4174" i="1"/>
  <c r="A4175" i="1"/>
  <c r="B4175" i="1"/>
  <c r="C4175" i="1"/>
  <c r="E4175" i="1"/>
  <c r="G4175" i="1"/>
  <c r="H4175" i="1"/>
  <c r="A4176" i="1"/>
  <c r="B4176" i="1"/>
  <c r="C4176" i="1"/>
  <c r="E4176" i="1"/>
  <c r="G4176" i="1"/>
  <c r="H4176" i="1"/>
  <c r="A4177" i="1"/>
  <c r="B4177" i="1"/>
  <c r="C4177" i="1"/>
  <c r="E4177" i="1"/>
  <c r="G4177" i="1"/>
  <c r="H4177" i="1"/>
  <c r="A4178" i="1"/>
  <c r="B4178" i="1"/>
  <c r="C4178" i="1"/>
  <c r="E4178" i="1"/>
  <c r="G4178" i="1"/>
  <c r="H4178" i="1"/>
  <c r="A4179" i="1"/>
  <c r="B4179" i="1"/>
  <c r="C4179" i="1"/>
  <c r="E4179" i="1"/>
  <c r="G4179" i="1"/>
  <c r="H4179" i="1"/>
  <c r="A4180" i="1"/>
  <c r="B4180" i="1"/>
  <c r="C4180" i="1"/>
  <c r="E4180" i="1"/>
  <c r="G4180" i="1"/>
  <c r="H4180" i="1"/>
  <c r="A4181" i="1"/>
  <c r="B4181" i="1"/>
  <c r="C4181" i="1"/>
  <c r="E4181" i="1"/>
  <c r="G4181" i="1"/>
  <c r="H4181" i="1"/>
  <c r="A4182" i="1"/>
  <c r="B4182" i="1"/>
  <c r="C4182" i="1"/>
  <c r="E4182" i="1"/>
  <c r="G4182" i="1"/>
  <c r="H4182" i="1"/>
  <c r="A4183" i="1"/>
  <c r="B4183" i="1"/>
  <c r="C4183" i="1"/>
  <c r="E4183" i="1"/>
  <c r="G4183" i="1"/>
  <c r="H4183" i="1"/>
  <c r="A4184" i="1"/>
  <c r="B4184" i="1"/>
  <c r="C4184" i="1"/>
  <c r="E4184" i="1"/>
  <c r="G4184" i="1"/>
  <c r="H4184" i="1"/>
  <c r="A4185" i="1"/>
  <c r="B4185" i="1"/>
  <c r="C4185" i="1"/>
  <c r="E4185" i="1"/>
  <c r="G4185" i="1"/>
  <c r="H4185" i="1"/>
  <c r="A4186" i="1"/>
  <c r="B4186" i="1"/>
  <c r="C4186" i="1"/>
  <c r="E4186" i="1"/>
  <c r="G4186" i="1"/>
  <c r="H4186" i="1"/>
  <c r="A4187" i="1"/>
  <c r="B4187" i="1"/>
  <c r="C4187" i="1"/>
  <c r="E4187" i="1"/>
  <c r="G4187" i="1"/>
  <c r="H4187" i="1"/>
  <c r="A4188" i="1"/>
  <c r="B4188" i="1"/>
  <c r="C4188" i="1"/>
  <c r="E4188" i="1"/>
  <c r="G4188" i="1"/>
  <c r="H4188" i="1"/>
  <c r="A4189" i="1"/>
  <c r="B4189" i="1"/>
  <c r="C4189" i="1"/>
  <c r="E4189" i="1"/>
  <c r="G4189" i="1"/>
  <c r="H4189" i="1"/>
  <c r="A4190" i="1"/>
  <c r="B4190" i="1"/>
  <c r="C4190" i="1"/>
  <c r="E4190" i="1"/>
  <c r="G4190" i="1"/>
  <c r="H4190" i="1"/>
  <c r="A4191" i="1"/>
  <c r="B4191" i="1"/>
  <c r="C4191" i="1"/>
  <c r="E4191" i="1"/>
  <c r="G4191" i="1"/>
  <c r="H4191" i="1"/>
  <c r="A4192" i="1"/>
  <c r="B4192" i="1"/>
  <c r="C4192" i="1"/>
  <c r="E4192" i="1"/>
  <c r="G4192" i="1"/>
  <c r="H4192" i="1"/>
  <c r="A4193" i="1"/>
  <c r="B4193" i="1"/>
  <c r="C4193" i="1"/>
  <c r="E4193" i="1"/>
  <c r="G4193" i="1"/>
  <c r="H4193" i="1"/>
  <c r="A4194" i="1"/>
  <c r="B4194" i="1"/>
  <c r="C4194" i="1"/>
  <c r="E4194" i="1"/>
  <c r="G4194" i="1"/>
  <c r="H4194" i="1"/>
  <c r="A4195" i="1"/>
  <c r="B4195" i="1"/>
  <c r="C4195" i="1"/>
  <c r="E4195" i="1"/>
  <c r="G4195" i="1"/>
  <c r="H4195" i="1"/>
  <c r="A4196" i="1"/>
  <c r="B4196" i="1"/>
  <c r="C4196" i="1"/>
  <c r="E4196" i="1"/>
  <c r="G4196" i="1"/>
  <c r="H4196" i="1"/>
  <c r="A4197" i="1"/>
  <c r="B4197" i="1"/>
  <c r="C4197" i="1"/>
  <c r="E4197" i="1"/>
  <c r="G4197" i="1"/>
  <c r="H4197" i="1"/>
  <c r="A4198" i="1"/>
  <c r="B4198" i="1"/>
  <c r="C4198" i="1"/>
  <c r="E4198" i="1"/>
  <c r="G4198" i="1"/>
  <c r="H4198" i="1"/>
  <c r="A4199" i="1"/>
  <c r="B4199" i="1"/>
  <c r="C4199" i="1"/>
  <c r="E4199" i="1"/>
  <c r="G4199" i="1"/>
  <c r="H4199" i="1"/>
  <c r="A4200" i="1"/>
  <c r="B4200" i="1"/>
  <c r="C4200" i="1"/>
  <c r="E4200" i="1"/>
  <c r="G4200" i="1"/>
  <c r="H4200" i="1"/>
  <c r="A4201" i="1"/>
  <c r="B4201" i="1"/>
  <c r="C4201" i="1"/>
  <c r="E4201" i="1"/>
  <c r="G4201" i="1"/>
  <c r="H4201" i="1"/>
  <c r="A4202" i="1"/>
  <c r="B4202" i="1"/>
  <c r="C4202" i="1"/>
  <c r="E4202" i="1"/>
  <c r="G4202" i="1"/>
  <c r="H4202" i="1"/>
  <c r="A4203" i="1"/>
  <c r="B4203" i="1"/>
  <c r="C4203" i="1"/>
  <c r="E4203" i="1"/>
  <c r="G4203" i="1"/>
  <c r="H4203" i="1"/>
  <c r="A4204" i="1"/>
  <c r="B4204" i="1"/>
  <c r="C4204" i="1"/>
  <c r="E4204" i="1"/>
  <c r="G4204" i="1"/>
  <c r="H4204" i="1"/>
  <c r="A4205" i="1"/>
  <c r="B4205" i="1"/>
  <c r="C4205" i="1"/>
  <c r="E4205" i="1"/>
  <c r="G4205" i="1"/>
  <c r="H4205" i="1"/>
  <c r="A4206" i="1"/>
  <c r="B4206" i="1"/>
  <c r="C4206" i="1"/>
  <c r="E4206" i="1"/>
  <c r="G4206" i="1"/>
  <c r="H4206" i="1"/>
  <c r="A4207" i="1"/>
  <c r="B4207" i="1"/>
  <c r="C4207" i="1"/>
  <c r="E4207" i="1"/>
  <c r="G4207" i="1"/>
  <c r="H4207" i="1"/>
  <c r="A4208" i="1"/>
  <c r="B4208" i="1"/>
  <c r="C4208" i="1"/>
  <c r="E4208" i="1"/>
  <c r="G4208" i="1"/>
  <c r="H4208" i="1"/>
  <c r="A4209" i="1"/>
  <c r="B4209" i="1"/>
  <c r="C4209" i="1"/>
  <c r="E4209" i="1"/>
  <c r="G4209" i="1"/>
  <c r="H4209" i="1"/>
  <c r="A4210" i="1"/>
  <c r="B4210" i="1"/>
  <c r="C4210" i="1"/>
  <c r="E4210" i="1"/>
  <c r="G4210" i="1"/>
  <c r="H4210" i="1"/>
  <c r="A4211" i="1"/>
  <c r="B4211" i="1"/>
  <c r="C4211" i="1"/>
  <c r="E4211" i="1"/>
  <c r="G4211" i="1"/>
  <c r="H4211" i="1"/>
  <c r="A4212" i="1"/>
  <c r="B4212" i="1"/>
  <c r="C4212" i="1"/>
  <c r="E4212" i="1"/>
  <c r="G4212" i="1"/>
  <c r="H4212" i="1"/>
  <c r="A4213" i="1"/>
  <c r="B4213" i="1"/>
  <c r="C4213" i="1"/>
  <c r="E4213" i="1"/>
  <c r="G4213" i="1"/>
  <c r="H4213" i="1"/>
  <c r="A4214" i="1"/>
  <c r="B4214" i="1"/>
  <c r="C4214" i="1"/>
  <c r="E4214" i="1"/>
  <c r="G4214" i="1"/>
  <c r="H4214" i="1"/>
  <c r="A4215" i="1"/>
  <c r="B4215" i="1"/>
  <c r="C4215" i="1"/>
  <c r="E4215" i="1"/>
  <c r="G4215" i="1"/>
  <c r="H4215" i="1"/>
  <c r="A4216" i="1"/>
  <c r="B4216" i="1"/>
  <c r="C4216" i="1"/>
  <c r="E4216" i="1"/>
  <c r="G4216" i="1"/>
  <c r="H4216" i="1"/>
  <c r="A4217" i="1"/>
  <c r="B4217" i="1"/>
  <c r="C4217" i="1"/>
  <c r="E4217" i="1"/>
  <c r="G4217" i="1"/>
  <c r="H4217" i="1"/>
  <c r="A4218" i="1"/>
  <c r="B4218" i="1"/>
  <c r="C4218" i="1"/>
  <c r="E4218" i="1"/>
  <c r="G4218" i="1"/>
  <c r="H4218" i="1"/>
  <c r="A4219" i="1"/>
  <c r="B4219" i="1"/>
  <c r="C4219" i="1"/>
  <c r="E4219" i="1"/>
  <c r="G4219" i="1"/>
  <c r="H4219" i="1"/>
  <c r="A4220" i="1"/>
  <c r="B4220" i="1"/>
  <c r="C4220" i="1"/>
  <c r="E4220" i="1"/>
  <c r="G4220" i="1"/>
  <c r="H4220" i="1"/>
  <c r="A4221" i="1"/>
  <c r="B4221" i="1"/>
  <c r="C4221" i="1"/>
  <c r="E4221" i="1"/>
  <c r="G4221" i="1"/>
  <c r="H4221" i="1"/>
  <c r="A4222" i="1"/>
  <c r="B4222" i="1"/>
  <c r="C4222" i="1"/>
  <c r="E4222" i="1"/>
  <c r="G4222" i="1"/>
  <c r="H4222" i="1"/>
  <c r="A4223" i="1"/>
  <c r="B4223" i="1"/>
  <c r="C4223" i="1"/>
  <c r="E4223" i="1"/>
  <c r="G4223" i="1"/>
  <c r="H4223" i="1"/>
  <c r="A4224" i="1"/>
  <c r="B4224" i="1"/>
  <c r="C4224" i="1"/>
  <c r="E4224" i="1"/>
  <c r="G4224" i="1"/>
  <c r="H4224" i="1"/>
  <c r="A4225" i="1"/>
  <c r="B4225" i="1"/>
  <c r="C4225" i="1"/>
  <c r="E4225" i="1"/>
  <c r="G4225" i="1"/>
  <c r="H4225" i="1"/>
  <c r="A4226" i="1"/>
  <c r="B4226" i="1"/>
  <c r="C4226" i="1"/>
  <c r="E4226" i="1"/>
  <c r="G4226" i="1"/>
  <c r="H4226" i="1"/>
  <c r="A4227" i="1"/>
  <c r="B4227" i="1"/>
  <c r="C4227" i="1"/>
  <c r="E4227" i="1"/>
  <c r="G4227" i="1"/>
  <c r="H4227" i="1"/>
  <c r="A4228" i="1"/>
  <c r="B4228" i="1"/>
  <c r="C4228" i="1"/>
  <c r="E4228" i="1"/>
  <c r="G4228" i="1"/>
  <c r="H4228" i="1"/>
  <c r="A4229" i="1"/>
  <c r="B4229" i="1"/>
  <c r="C4229" i="1"/>
  <c r="E4229" i="1"/>
  <c r="G4229" i="1"/>
  <c r="H4229" i="1"/>
  <c r="A4230" i="1"/>
  <c r="B4230" i="1"/>
  <c r="C4230" i="1"/>
  <c r="E4230" i="1"/>
  <c r="G4230" i="1"/>
  <c r="H4230" i="1"/>
  <c r="A4231" i="1"/>
  <c r="B4231" i="1"/>
  <c r="C4231" i="1"/>
  <c r="E4231" i="1"/>
  <c r="G4231" i="1"/>
  <c r="H4231" i="1"/>
  <c r="A4232" i="1"/>
  <c r="B4232" i="1"/>
  <c r="C4232" i="1"/>
  <c r="E4232" i="1"/>
  <c r="G4232" i="1"/>
  <c r="H4232" i="1"/>
  <c r="A4233" i="1"/>
  <c r="B4233" i="1"/>
  <c r="C4233" i="1"/>
  <c r="E4233" i="1"/>
  <c r="G4233" i="1"/>
  <c r="H4233" i="1"/>
  <c r="A4234" i="1"/>
  <c r="B4234" i="1"/>
  <c r="C4234" i="1"/>
  <c r="E4234" i="1"/>
  <c r="G4234" i="1"/>
  <c r="H4234" i="1"/>
  <c r="A4235" i="1"/>
  <c r="B4235" i="1"/>
  <c r="C4235" i="1"/>
  <c r="E4235" i="1"/>
  <c r="G4235" i="1"/>
  <c r="H4235" i="1"/>
  <c r="A4236" i="1"/>
  <c r="B4236" i="1"/>
  <c r="C4236" i="1"/>
  <c r="E4236" i="1"/>
  <c r="G4236" i="1"/>
  <c r="H4236" i="1"/>
  <c r="A4237" i="1"/>
  <c r="B4237" i="1"/>
  <c r="C4237" i="1"/>
  <c r="E4237" i="1"/>
  <c r="G4237" i="1"/>
  <c r="H4237" i="1"/>
  <c r="A4238" i="1"/>
  <c r="B4238" i="1"/>
  <c r="C4238" i="1"/>
  <c r="E4238" i="1"/>
  <c r="G4238" i="1"/>
  <c r="H4238" i="1"/>
  <c r="A4239" i="1"/>
  <c r="B4239" i="1"/>
  <c r="C4239" i="1"/>
  <c r="E4239" i="1"/>
  <c r="G4239" i="1"/>
  <c r="H4239" i="1"/>
  <c r="A4240" i="1"/>
  <c r="B4240" i="1"/>
  <c r="C4240" i="1"/>
  <c r="E4240" i="1"/>
  <c r="G4240" i="1"/>
  <c r="H4240" i="1"/>
  <c r="A4241" i="1"/>
  <c r="B4241" i="1"/>
  <c r="C4241" i="1"/>
  <c r="E4241" i="1"/>
  <c r="G4241" i="1"/>
  <c r="H4241" i="1"/>
  <c r="A4242" i="1"/>
  <c r="B4242" i="1"/>
  <c r="C4242" i="1"/>
  <c r="E4242" i="1"/>
  <c r="G4242" i="1"/>
  <c r="H4242" i="1"/>
  <c r="A4243" i="1"/>
  <c r="B4243" i="1"/>
  <c r="C4243" i="1"/>
  <c r="E4243" i="1"/>
  <c r="G4243" i="1"/>
  <c r="H4243" i="1"/>
  <c r="A4244" i="1"/>
  <c r="B4244" i="1"/>
  <c r="C4244" i="1"/>
  <c r="E4244" i="1"/>
  <c r="G4244" i="1"/>
  <c r="H4244" i="1"/>
  <c r="A4245" i="1"/>
  <c r="B4245" i="1"/>
  <c r="C4245" i="1"/>
  <c r="E4245" i="1"/>
  <c r="G4245" i="1"/>
  <c r="H4245" i="1"/>
  <c r="A4246" i="1"/>
  <c r="B4246" i="1"/>
  <c r="C4246" i="1"/>
  <c r="E4246" i="1"/>
  <c r="G4246" i="1"/>
  <c r="H4246" i="1"/>
  <c r="A4247" i="1"/>
  <c r="B4247" i="1"/>
  <c r="C4247" i="1"/>
  <c r="E4247" i="1"/>
  <c r="G4247" i="1"/>
  <c r="H4247" i="1"/>
  <c r="A4248" i="1"/>
  <c r="B4248" i="1"/>
  <c r="C4248" i="1"/>
  <c r="E4248" i="1"/>
  <c r="G4248" i="1"/>
  <c r="H4248" i="1"/>
  <c r="A4249" i="1"/>
  <c r="B4249" i="1"/>
  <c r="C4249" i="1"/>
  <c r="E4249" i="1"/>
  <c r="G4249" i="1"/>
  <c r="H4249" i="1"/>
  <c r="A4250" i="1"/>
  <c r="B4250" i="1"/>
  <c r="C4250" i="1"/>
  <c r="E4250" i="1"/>
  <c r="G4250" i="1"/>
  <c r="H4250" i="1"/>
  <c r="A4251" i="1"/>
  <c r="B4251" i="1"/>
  <c r="C4251" i="1"/>
  <c r="E4251" i="1"/>
  <c r="G4251" i="1"/>
  <c r="H4251" i="1"/>
  <c r="A4252" i="1"/>
  <c r="B4252" i="1"/>
  <c r="C4252" i="1"/>
  <c r="E4252" i="1"/>
  <c r="G4252" i="1"/>
  <c r="H4252" i="1"/>
  <c r="A4253" i="1"/>
  <c r="B4253" i="1"/>
  <c r="C4253" i="1"/>
  <c r="E4253" i="1"/>
  <c r="G4253" i="1"/>
  <c r="H4253" i="1"/>
  <c r="A4254" i="1"/>
  <c r="B4254" i="1"/>
  <c r="C4254" i="1"/>
  <c r="E4254" i="1"/>
  <c r="G4254" i="1"/>
  <c r="H4254" i="1"/>
  <c r="A4255" i="1"/>
  <c r="B4255" i="1"/>
  <c r="C4255" i="1"/>
  <c r="E4255" i="1"/>
  <c r="G4255" i="1"/>
  <c r="H4255" i="1"/>
  <c r="A4256" i="1"/>
  <c r="B4256" i="1"/>
  <c r="C4256" i="1"/>
  <c r="E4256" i="1"/>
  <c r="G4256" i="1"/>
  <c r="H4256" i="1"/>
  <c r="A4257" i="1"/>
  <c r="B4257" i="1"/>
  <c r="C4257" i="1"/>
  <c r="E4257" i="1"/>
  <c r="G4257" i="1"/>
  <c r="H4257" i="1"/>
  <c r="A4258" i="1"/>
  <c r="B4258" i="1"/>
  <c r="C4258" i="1"/>
  <c r="E4258" i="1"/>
  <c r="G4258" i="1"/>
  <c r="H4258" i="1"/>
  <c r="A4259" i="1"/>
  <c r="B4259" i="1"/>
  <c r="C4259" i="1"/>
  <c r="E4259" i="1"/>
  <c r="G4259" i="1"/>
  <c r="H4259" i="1"/>
  <c r="A4260" i="1"/>
  <c r="B4260" i="1"/>
  <c r="C4260" i="1"/>
  <c r="E4260" i="1"/>
  <c r="G4260" i="1"/>
  <c r="H4260" i="1"/>
  <c r="A4261" i="1"/>
  <c r="B4261" i="1"/>
  <c r="C4261" i="1"/>
  <c r="E4261" i="1"/>
  <c r="G4261" i="1"/>
  <c r="H4261" i="1"/>
  <c r="A4262" i="1"/>
  <c r="B4262" i="1"/>
  <c r="C4262" i="1"/>
  <c r="E4262" i="1"/>
  <c r="G4262" i="1"/>
  <c r="H4262" i="1"/>
  <c r="A4263" i="1"/>
  <c r="B4263" i="1"/>
  <c r="C4263" i="1"/>
  <c r="E4263" i="1"/>
  <c r="G4263" i="1"/>
  <c r="H4263" i="1"/>
  <c r="A4264" i="1"/>
  <c r="B4264" i="1"/>
  <c r="C4264" i="1"/>
  <c r="E4264" i="1"/>
  <c r="G4264" i="1"/>
  <c r="H4264" i="1"/>
  <c r="A4265" i="1"/>
  <c r="B4265" i="1"/>
  <c r="C4265" i="1"/>
  <c r="E4265" i="1"/>
  <c r="G4265" i="1"/>
  <c r="H4265" i="1"/>
  <c r="A4266" i="1"/>
  <c r="B4266" i="1"/>
  <c r="C4266" i="1"/>
  <c r="E4266" i="1"/>
  <c r="G4266" i="1"/>
  <c r="H4266" i="1"/>
  <c r="A4267" i="1"/>
  <c r="B4267" i="1"/>
  <c r="C4267" i="1"/>
  <c r="E4267" i="1"/>
  <c r="G4267" i="1"/>
  <c r="H4267" i="1"/>
  <c r="A4268" i="1"/>
  <c r="B4268" i="1"/>
  <c r="C4268" i="1"/>
  <c r="E4268" i="1"/>
  <c r="G4268" i="1"/>
  <c r="H4268" i="1"/>
  <c r="A4269" i="1"/>
  <c r="B4269" i="1"/>
  <c r="C4269" i="1"/>
  <c r="E4269" i="1"/>
  <c r="G4269" i="1"/>
  <c r="H4269" i="1"/>
  <c r="A4270" i="1"/>
  <c r="B4270" i="1"/>
  <c r="C4270" i="1"/>
  <c r="E4270" i="1"/>
  <c r="G4270" i="1"/>
  <c r="H4270" i="1"/>
  <c r="A4271" i="1"/>
  <c r="B4271" i="1"/>
  <c r="C4271" i="1"/>
  <c r="E4271" i="1"/>
  <c r="G4271" i="1"/>
  <c r="H4271" i="1"/>
  <c r="A4272" i="1"/>
  <c r="B4272" i="1"/>
  <c r="C4272" i="1"/>
  <c r="E4272" i="1"/>
  <c r="G4272" i="1"/>
  <c r="H4272" i="1"/>
  <c r="A4273" i="1"/>
  <c r="B4273" i="1"/>
  <c r="C4273" i="1"/>
  <c r="E4273" i="1"/>
  <c r="G4273" i="1"/>
  <c r="H4273" i="1"/>
  <c r="A4274" i="1"/>
  <c r="B4274" i="1"/>
  <c r="C4274" i="1"/>
  <c r="E4274" i="1"/>
  <c r="G4274" i="1"/>
  <c r="H4274" i="1"/>
  <c r="A4275" i="1"/>
  <c r="B4275" i="1"/>
  <c r="C4275" i="1"/>
  <c r="E4275" i="1"/>
  <c r="G4275" i="1"/>
  <c r="H4275" i="1"/>
  <c r="A4276" i="1"/>
  <c r="B4276" i="1"/>
  <c r="C4276" i="1"/>
  <c r="E4276" i="1"/>
  <c r="G4276" i="1"/>
  <c r="H4276" i="1"/>
  <c r="A4277" i="1"/>
  <c r="B4277" i="1"/>
  <c r="C4277" i="1"/>
  <c r="E4277" i="1"/>
  <c r="G4277" i="1"/>
  <c r="H4277" i="1"/>
  <c r="A4278" i="1"/>
  <c r="B4278" i="1"/>
  <c r="C4278" i="1"/>
  <c r="E4278" i="1"/>
  <c r="G4278" i="1"/>
  <c r="H4278" i="1"/>
  <c r="A4279" i="1"/>
  <c r="B4279" i="1"/>
  <c r="C4279" i="1"/>
  <c r="E4279" i="1"/>
  <c r="G4279" i="1"/>
  <c r="H4279" i="1"/>
  <c r="A4280" i="1"/>
  <c r="B4280" i="1"/>
  <c r="C4280" i="1"/>
  <c r="E4280" i="1"/>
  <c r="G4280" i="1"/>
  <c r="H4280" i="1"/>
  <c r="A4281" i="1"/>
  <c r="B4281" i="1"/>
  <c r="C4281" i="1"/>
  <c r="E4281" i="1"/>
  <c r="G4281" i="1"/>
  <c r="H4281" i="1"/>
  <c r="A4282" i="1"/>
  <c r="B4282" i="1"/>
  <c r="C4282" i="1"/>
  <c r="E4282" i="1"/>
  <c r="G4282" i="1"/>
  <c r="H4282" i="1"/>
  <c r="A4283" i="1"/>
  <c r="B4283" i="1"/>
  <c r="C4283" i="1"/>
  <c r="E4283" i="1"/>
  <c r="G4283" i="1"/>
  <c r="H4283" i="1"/>
  <c r="A4284" i="1"/>
  <c r="B4284" i="1"/>
  <c r="C4284" i="1"/>
  <c r="E4284" i="1"/>
  <c r="G4284" i="1"/>
  <c r="H4284" i="1"/>
  <c r="A4285" i="1"/>
  <c r="B4285" i="1"/>
  <c r="C4285" i="1"/>
  <c r="E4285" i="1"/>
  <c r="G4285" i="1"/>
  <c r="H4285" i="1"/>
  <c r="A4286" i="1"/>
  <c r="B4286" i="1"/>
  <c r="C4286" i="1"/>
  <c r="E4286" i="1"/>
  <c r="G4286" i="1"/>
  <c r="H4286" i="1"/>
  <c r="A4287" i="1"/>
  <c r="B4287" i="1"/>
  <c r="C4287" i="1"/>
  <c r="E4287" i="1"/>
  <c r="G4287" i="1"/>
  <c r="H4287" i="1"/>
  <c r="A4288" i="1"/>
  <c r="B4288" i="1"/>
  <c r="C4288" i="1"/>
  <c r="E4288" i="1"/>
  <c r="G4288" i="1"/>
  <c r="H4288" i="1"/>
  <c r="A4289" i="1"/>
  <c r="B4289" i="1"/>
  <c r="C4289" i="1"/>
  <c r="E4289" i="1"/>
  <c r="G4289" i="1"/>
  <c r="H4289" i="1"/>
  <c r="A4290" i="1"/>
  <c r="B4290" i="1"/>
  <c r="C4290" i="1"/>
  <c r="E4290" i="1"/>
  <c r="G4290" i="1"/>
  <c r="H4290" i="1"/>
  <c r="A4291" i="1"/>
  <c r="B4291" i="1"/>
  <c r="C4291" i="1"/>
  <c r="E4291" i="1"/>
  <c r="G4291" i="1"/>
  <c r="H4291" i="1"/>
  <c r="A4292" i="1"/>
  <c r="B4292" i="1"/>
  <c r="C4292" i="1"/>
  <c r="E4292" i="1"/>
  <c r="G4292" i="1"/>
  <c r="H4292" i="1"/>
  <c r="A4293" i="1"/>
  <c r="B4293" i="1"/>
  <c r="C4293" i="1"/>
  <c r="E4293" i="1"/>
  <c r="G4293" i="1"/>
  <c r="H4293" i="1"/>
  <c r="A4294" i="1"/>
  <c r="B4294" i="1"/>
  <c r="C4294" i="1"/>
  <c r="E4294" i="1"/>
  <c r="G4294" i="1"/>
  <c r="H4294" i="1"/>
  <c r="A4295" i="1"/>
  <c r="B4295" i="1"/>
  <c r="C4295" i="1"/>
  <c r="E4295" i="1"/>
  <c r="G4295" i="1"/>
  <c r="H4295" i="1"/>
  <c r="A4296" i="1"/>
  <c r="B4296" i="1"/>
  <c r="C4296" i="1"/>
  <c r="E4296" i="1"/>
  <c r="G4296" i="1"/>
  <c r="H4296" i="1"/>
  <c r="A4297" i="1"/>
  <c r="B4297" i="1"/>
  <c r="C4297" i="1"/>
  <c r="E4297" i="1"/>
  <c r="G4297" i="1"/>
  <c r="H4297" i="1"/>
  <c r="A4298" i="1"/>
  <c r="B4298" i="1"/>
  <c r="C4298" i="1"/>
  <c r="E4298" i="1"/>
  <c r="G4298" i="1"/>
  <c r="H4298" i="1"/>
  <c r="A4299" i="1"/>
  <c r="B4299" i="1"/>
  <c r="C4299" i="1"/>
  <c r="E4299" i="1"/>
  <c r="G4299" i="1"/>
  <c r="H4299" i="1"/>
  <c r="A4300" i="1"/>
  <c r="B4300" i="1"/>
  <c r="C4300" i="1"/>
  <c r="E4300" i="1"/>
  <c r="G4300" i="1"/>
  <c r="H4300" i="1"/>
  <c r="A4301" i="1"/>
  <c r="B4301" i="1"/>
  <c r="C4301" i="1"/>
  <c r="E4301" i="1"/>
  <c r="G4301" i="1"/>
  <c r="H4301" i="1"/>
  <c r="A4302" i="1"/>
  <c r="B4302" i="1"/>
  <c r="C4302" i="1"/>
  <c r="E4302" i="1"/>
  <c r="G4302" i="1"/>
  <c r="H4302" i="1"/>
  <c r="A4303" i="1"/>
  <c r="B4303" i="1"/>
  <c r="C4303" i="1"/>
  <c r="E4303" i="1"/>
  <c r="G4303" i="1"/>
  <c r="H4303" i="1"/>
  <c r="A4304" i="1"/>
  <c r="B4304" i="1"/>
  <c r="C4304" i="1"/>
  <c r="E4304" i="1"/>
  <c r="G4304" i="1"/>
  <c r="H4304" i="1"/>
  <c r="A4305" i="1"/>
  <c r="B4305" i="1"/>
  <c r="C4305" i="1"/>
  <c r="E4305" i="1"/>
  <c r="G4305" i="1"/>
  <c r="H4305" i="1"/>
  <c r="A4306" i="1"/>
  <c r="B4306" i="1"/>
  <c r="C4306" i="1"/>
  <c r="E4306" i="1"/>
  <c r="G4306" i="1"/>
  <c r="H4306" i="1"/>
  <c r="A4307" i="1"/>
  <c r="B4307" i="1"/>
  <c r="C4307" i="1"/>
  <c r="E4307" i="1"/>
  <c r="G4307" i="1"/>
  <c r="H4307" i="1"/>
  <c r="A4308" i="1"/>
  <c r="B4308" i="1"/>
  <c r="C4308" i="1"/>
  <c r="E4308" i="1"/>
  <c r="G4308" i="1"/>
  <c r="H4308" i="1"/>
  <c r="A4309" i="1"/>
  <c r="B4309" i="1"/>
  <c r="C4309" i="1"/>
  <c r="E4309" i="1"/>
  <c r="G4309" i="1"/>
  <c r="H4309" i="1"/>
  <c r="A4310" i="1"/>
  <c r="B4310" i="1"/>
  <c r="C4310" i="1"/>
  <c r="E4310" i="1"/>
  <c r="G4310" i="1"/>
  <c r="H4310" i="1"/>
  <c r="A4311" i="1"/>
  <c r="B4311" i="1"/>
  <c r="C4311" i="1"/>
  <c r="E4311" i="1"/>
  <c r="G4311" i="1"/>
  <c r="H4311" i="1"/>
  <c r="A4312" i="1"/>
  <c r="B4312" i="1"/>
  <c r="C4312" i="1"/>
  <c r="E4312" i="1"/>
  <c r="G4312" i="1"/>
  <c r="H4312" i="1"/>
  <c r="A4313" i="1"/>
  <c r="B4313" i="1"/>
  <c r="C4313" i="1"/>
  <c r="E4313" i="1"/>
  <c r="G4313" i="1"/>
  <c r="H4313" i="1"/>
  <c r="A4314" i="1"/>
  <c r="B4314" i="1"/>
  <c r="C4314" i="1"/>
  <c r="E4314" i="1"/>
  <c r="G4314" i="1"/>
  <c r="H4314" i="1"/>
  <c r="A4315" i="1"/>
  <c r="B4315" i="1"/>
  <c r="C4315" i="1"/>
  <c r="E4315" i="1"/>
  <c r="G4315" i="1"/>
  <c r="H4315" i="1"/>
  <c r="A4316" i="1"/>
  <c r="B4316" i="1"/>
  <c r="C4316" i="1"/>
  <c r="E4316" i="1"/>
  <c r="G4316" i="1"/>
  <c r="H4316" i="1"/>
  <c r="A4317" i="1"/>
  <c r="B4317" i="1"/>
  <c r="C4317" i="1"/>
  <c r="E4317" i="1"/>
  <c r="G4317" i="1"/>
  <c r="H4317" i="1"/>
  <c r="A4318" i="1"/>
  <c r="B4318" i="1"/>
  <c r="C4318" i="1"/>
  <c r="E4318" i="1"/>
  <c r="G4318" i="1"/>
  <c r="H4318" i="1"/>
  <c r="A4319" i="1"/>
  <c r="B4319" i="1"/>
  <c r="C4319" i="1"/>
  <c r="E4319" i="1"/>
  <c r="G4319" i="1"/>
  <c r="H4319" i="1"/>
  <c r="A4320" i="1"/>
  <c r="B4320" i="1"/>
  <c r="C4320" i="1"/>
  <c r="E4320" i="1"/>
  <c r="G4320" i="1"/>
  <c r="H4320" i="1"/>
  <c r="A4321" i="1"/>
  <c r="B4321" i="1"/>
  <c r="C4321" i="1"/>
  <c r="E4321" i="1"/>
  <c r="G4321" i="1"/>
  <c r="H4321" i="1"/>
  <c r="A4322" i="1"/>
  <c r="B4322" i="1"/>
  <c r="C4322" i="1"/>
  <c r="E4322" i="1"/>
  <c r="G4322" i="1"/>
  <c r="H4322" i="1"/>
  <c r="A4323" i="1"/>
  <c r="B4323" i="1"/>
  <c r="C4323" i="1"/>
  <c r="E4323" i="1"/>
  <c r="G4323" i="1"/>
  <c r="H4323" i="1"/>
  <c r="A4324" i="1"/>
  <c r="B4324" i="1"/>
  <c r="C4324" i="1"/>
  <c r="E4324" i="1"/>
  <c r="G4324" i="1"/>
  <c r="H4324" i="1"/>
  <c r="A4325" i="1"/>
  <c r="B4325" i="1"/>
  <c r="C4325" i="1"/>
  <c r="E4325" i="1"/>
  <c r="G4325" i="1"/>
  <c r="H4325" i="1"/>
  <c r="A4326" i="1"/>
  <c r="B4326" i="1"/>
  <c r="C4326" i="1"/>
  <c r="E4326" i="1"/>
  <c r="G4326" i="1"/>
  <c r="H4326" i="1"/>
  <c r="A4327" i="1"/>
  <c r="B4327" i="1"/>
  <c r="C4327" i="1"/>
  <c r="E4327" i="1"/>
  <c r="G4327" i="1"/>
  <c r="H4327" i="1"/>
  <c r="A4328" i="1"/>
  <c r="B4328" i="1"/>
  <c r="C4328" i="1"/>
  <c r="E4328" i="1"/>
  <c r="G4328" i="1"/>
  <c r="H4328" i="1"/>
  <c r="A4329" i="1"/>
  <c r="B4329" i="1"/>
  <c r="C4329" i="1"/>
  <c r="E4329" i="1"/>
  <c r="G4329" i="1"/>
  <c r="H4329" i="1"/>
  <c r="A4330" i="1"/>
  <c r="B4330" i="1"/>
  <c r="C4330" i="1"/>
  <c r="E4330" i="1"/>
  <c r="G4330" i="1"/>
  <c r="H4330" i="1"/>
  <c r="A4331" i="1"/>
  <c r="B4331" i="1"/>
  <c r="C4331" i="1"/>
  <c r="E4331" i="1"/>
  <c r="G4331" i="1"/>
  <c r="H4331" i="1"/>
  <c r="A4332" i="1"/>
  <c r="B4332" i="1"/>
  <c r="C4332" i="1"/>
  <c r="E4332" i="1"/>
  <c r="G4332" i="1"/>
  <c r="H4332" i="1"/>
  <c r="A4333" i="1"/>
  <c r="B4333" i="1"/>
  <c r="C4333" i="1"/>
  <c r="E4333" i="1"/>
  <c r="G4333" i="1"/>
  <c r="H4333" i="1"/>
  <c r="A4334" i="1"/>
  <c r="B4334" i="1"/>
  <c r="C4334" i="1"/>
  <c r="E4334" i="1"/>
  <c r="G4334" i="1"/>
  <c r="H4334" i="1"/>
  <c r="A4335" i="1"/>
  <c r="B4335" i="1"/>
  <c r="C4335" i="1"/>
  <c r="E4335" i="1"/>
  <c r="G4335" i="1"/>
  <c r="H4335" i="1"/>
  <c r="A4336" i="1"/>
  <c r="B4336" i="1"/>
  <c r="C4336" i="1"/>
  <c r="E4336" i="1"/>
  <c r="G4336" i="1"/>
  <c r="H4336" i="1"/>
  <c r="A4337" i="1"/>
  <c r="B4337" i="1"/>
  <c r="C4337" i="1"/>
  <c r="E4337" i="1"/>
  <c r="G4337" i="1"/>
  <c r="H4337" i="1"/>
  <c r="A4338" i="1"/>
  <c r="B4338" i="1"/>
  <c r="C4338" i="1"/>
  <c r="E4338" i="1"/>
  <c r="G4338" i="1"/>
  <c r="H4338" i="1"/>
  <c r="A4339" i="1"/>
  <c r="B4339" i="1"/>
  <c r="C4339" i="1"/>
  <c r="E4339" i="1"/>
  <c r="G4339" i="1"/>
  <c r="H4339" i="1"/>
  <c r="A4340" i="1"/>
  <c r="B4340" i="1"/>
  <c r="C4340" i="1"/>
  <c r="E4340" i="1"/>
  <c r="G4340" i="1"/>
  <c r="H4340" i="1"/>
  <c r="A4341" i="1"/>
  <c r="B4341" i="1"/>
  <c r="C4341" i="1"/>
  <c r="E4341" i="1"/>
  <c r="G4341" i="1"/>
  <c r="H4341" i="1"/>
  <c r="A4342" i="1"/>
  <c r="B4342" i="1"/>
  <c r="C4342" i="1"/>
  <c r="E4342" i="1"/>
  <c r="G4342" i="1"/>
  <c r="H4342" i="1"/>
  <c r="A4343" i="1"/>
  <c r="B4343" i="1"/>
  <c r="C4343" i="1"/>
  <c r="E4343" i="1"/>
  <c r="G4343" i="1"/>
  <c r="H4343" i="1"/>
  <c r="A4344" i="1"/>
  <c r="B4344" i="1"/>
  <c r="C4344" i="1"/>
  <c r="E4344" i="1"/>
  <c r="G4344" i="1"/>
  <c r="H4344" i="1"/>
  <c r="A4345" i="1"/>
  <c r="B4345" i="1"/>
  <c r="C4345" i="1"/>
  <c r="E4345" i="1"/>
  <c r="G4345" i="1"/>
  <c r="H4345" i="1"/>
  <c r="A4346" i="1"/>
  <c r="B4346" i="1"/>
  <c r="C4346" i="1"/>
  <c r="E4346" i="1"/>
  <c r="G4346" i="1"/>
  <c r="H4346" i="1"/>
  <c r="A4347" i="1"/>
  <c r="B4347" i="1"/>
  <c r="C4347" i="1"/>
  <c r="E4347" i="1"/>
  <c r="G4347" i="1"/>
  <c r="H4347" i="1"/>
  <c r="A4348" i="1"/>
  <c r="B4348" i="1"/>
  <c r="C4348" i="1"/>
  <c r="E4348" i="1"/>
  <c r="G4348" i="1"/>
  <c r="H4348" i="1"/>
  <c r="A4349" i="1"/>
  <c r="B4349" i="1"/>
  <c r="C4349" i="1"/>
  <c r="E4349" i="1"/>
  <c r="G4349" i="1"/>
  <c r="H4349" i="1"/>
  <c r="A4350" i="1"/>
  <c r="B4350" i="1"/>
  <c r="C4350" i="1"/>
  <c r="E4350" i="1"/>
  <c r="G4350" i="1"/>
  <c r="H4350" i="1"/>
  <c r="A4351" i="1"/>
  <c r="B4351" i="1"/>
  <c r="C4351" i="1"/>
  <c r="E4351" i="1"/>
  <c r="G4351" i="1"/>
  <c r="H4351" i="1"/>
  <c r="A4352" i="1"/>
  <c r="B4352" i="1"/>
  <c r="C4352" i="1"/>
  <c r="E4352" i="1"/>
  <c r="G4352" i="1"/>
  <c r="H4352" i="1"/>
  <c r="A4353" i="1"/>
  <c r="B4353" i="1"/>
  <c r="C4353" i="1"/>
  <c r="E4353" i="1"/>
  <c r="G4353" i="1"/>
  <c r="H4353" i="1"/>
  <c r="A4354" i="1"/>
  <c r="B4354" i="1"/>
  <c r="C4354" i="1"/>
  <c r="E4354" i="1"/>
  <c r="G4354" i="1"/>
  <c r="H4354" i="1"/>
  <c r="A4355" i="1"/>
  <c r="B4355" i="1"/>
  <c r="C4355" i="1"/>
  <c r="E4355" i="1"/>
  <c r="G4355" i="1"/>
  <c r="H4355" i="1"/>
  <c r="A4356" i="1"/>
  <c r="B4356" i="1"/>
  <c r="C4356" i="1"/>
  <c r="E4356" i="1"/>
  <c r="G4356" i="1"/>
  <c r="H4356" i="1"/>
  <c r="A4357" i="1"/>
  <c r="B4357" i="1"/>
  <c r="C4357" i="1"/>
  <c r="E4357" i="1"/>
  <c r="G4357" i="1"/>
  <c r="H4357" i="1"/>
  <c r="A4358" i="1"/>
  <c r="B4358" i="1"/>
  <c r="C4358" i="1"/>
  <c r="E4358" i="1"/>
  <c r="G4358" i="1"/>
  <c r="H4358" i="1"/>
  <c r="A4359" i="1"/>
  <c r="B4359" i="1"/>
  <c r="C4359" i="1"/>
  <c r="E4359" i="1"/>
  <c r="G4359" i="1"/>
  <c r="H4359" i="1"/>
  <c r="A4360" i="1"/>
  <c r="B4360" i="1"/>
  <c r="C4360" i="1"/>
  <c r="E4360" i="1"/>
  <c r="G4360" i="1"/>
  <c r="H4360" i="1"/>
  <c r="A4361" i="1"/>
  <c r="B4361" i="1"/>
  <c r="C4361" i="1"/>
  <c r="E4361" i="1"/>
  <c r="G4361" i="1"/>
  <c r="H4361" i="1"/>
  <c r="A4362" i="1"/>
  <c r="B4362" i="1"/>
  <c r="C4362" i="1"/>
  <c r="E4362" i="1"/>
  <c r="G4362" i="1"/>
  <c r="H4362" i="1"/>
  <c r="A4363" i="1"/>
  <c r="B4363" i="1"/>
  <c r="C4363" i="1"/>
  <c r="E4363" i="1"/>
  <c r="G4363" i="1"/>
  <c r="H4363" i="1"/>
  <c r="A4364" i="1"/>
  <c r="B4364" i="1"/>
  <c r="C4364" i="1"/>
  <c r="E4364" i="1"/>
  <c r="G4364" i="1"/>
  <c r="H4364" i="1"/>
  <c r="A4365" i="1"/>
  <c r="B4365" i="1"/>
  <c r="C4365" i="1"/>
  <c r="E4365" i="1"/>
  <c r="G4365" i="1"/>
  <c r="H4365" i="1"/>
  <c r="A4366" i="1"/>
  <c r="B4366" i="1"/>
  <c r="C4366" i="1"/>
  <c r="E4366" i="1"/>
  <c r="G4366" i="1"/>
  <c r="H4366" i="1"/>
  <c r="A4367" i="1"/>
  <c r="B4367" i="1"/>
  <c r="C4367" i="1"/>
  <c r="E4367" i="1"/>
  <c r="G4367" i="1"/>
  <c r="H4367" i="1"/>
  <c r="A4368" i="1"/>
  <c r="B4368" i="1"/>
  <c r="C4368" i="1"/>
  <c r="E4368" i="1"/>
  <c r="G4368" i="1"/>
  <c r="H4368" i="1"/>
  <c r="A4369" i="1"/>
  <c r="B4369" i="1"/>
  <c r="C4369" i="1"/>
  <c r="E4369" i="1"/>
  <c r="G4369" i="1"/>
  <c r="H4369" i="1"/>
  <c r="A4370" i="1"/>
  <c r="B4370" i="1"/>
  <c r="C4370" i="1"/>
  <c r="E4370" i="1"/>
  <c r="G4370" i="1"/>
  <c r="H4370" i="1"/>
  <c r="A4371" i="1"/>
  <c r="B4371" i="1"/>
  <c r="C4371" i="1"/>
  <c r="E4371" i="1"/>
  <c r="G4371" i="1"/>
  <c r="H4371" i="1"/>
  <c r="A4372" i="1"/>
  <c r="B4372" i="1"/>
  <c r="C4372" i="1"/>
  <c r="E4372" i="1"/>
  <c r="G4372" i="1"/>
  <c r="H4372" i="1"/>
  <c r="A4373" i="1"/>
  <c r="B4373" i="1"/>
  <c r="C4373" i="1"/>
  <c r="E4373" i="1"/>
  <c r="G4373" i="1"/>
  <c r="H4373" i="1"/>
  <c r="A4374" i="1"/>
  <c r="B4374" i="1"/>
  <c r="C4374" i="1"/>
  <c r="E4374" i="1"/>
  <c r="G4374" i="1"/>
  <c r="H4374" i="1"/>
  <c r="A4375" i="1"/>
  <c r="B4375" i="1"/>
  <c r="C4375" i="1"/>
  <c r="E4375" i="1"/>
  <c r="G4375" i="1"/>
  <c r="H4375" i="1"/>
  <c r="A4376" i="1"/>
  <c r="B4376" i="1"/>
  <c r="C4376" i="1"/>
  <c r="E4376" i="1"/>
  <c r="G4376" i="1"/>
  <c r="H4376" i="1"/>
  <c r="A4377" i="1"/>
  <c r="B4377" i="1"/>
  <c r="C4377" i="1"/>
  <c r="E4377" i="1"/>
  <c r="G4377" i="1"/>
  <c r="H4377" i="1"/>
  <c r="A4378" i="1"/>
  <c r="B4378" i="1"/>
  <c r="C4378" i="1"/>
  <c r="E4378" i="1"/>
  <c r="G4378" i="1"/>
  <c r="H4378" i="1"/>
  <c r="A4379" i="1"/>
  <c r="B4379" i="1"/>
  <c r="C4379" i="1"/>
  <c r="E4379" i="1"/>
  <c r="G4379" i="1"/>
  <c r="H4379" i="1"/>
  <c r="A4380" i="1"/>
  <c r="B4380" i="1"/>
  <c r="C4380" i="1"/>
  <c r="E4380" i="1"/>
  <c r="G4380" i="1"/>
  <c r="H4380" i="1"/>
  <c r="A4381" i="1"/>
  <c r="B4381" i="1"/>
  <c r="C4381" i="1"/>
  <c r="E4381" i="1"/>
  <c r="G4381" i="1"/>
  <c r="H4381" i="1"/>
  <c r="A4382" i="1"/>
  <c r="B4382" i="1"/>
  <c r="C4382" i="1"/>
  <c r="E4382" i="1"/>
  <c r="G4382" i="1"/>
  <c r="H4382" i="1"/>
  <c r="A4383" i="1"/>
  <c r="B4383" i="1"/>
  <c r="C4383" i="1"/>
  <c r="E4383" i="1"/>
  <c r="G4383" i="1"/>
  <c r="H4383" i="1"/>
  <c r="A4384" i="1"/>
  <c r="B4384" i="1"/>
  <c r="C4384" i="1"/>
  <c r="E4384" i="1"/>
  <c r="G4384" i="1"/>
  <c r="H4384" i="1"/>
  <c r="A4385" i="1"/>
  <c r="B4385" i="1"/>
  <c r="C4385" i="1"/>
  <c r="E4385" i="1"/>
  <c r="G4385" i="1"/>
  <c r="H4385" i="1"/>
  <c r="A4386" i="1"/>
  <c r="B4386" i="1"/>
  <c r="C4386" i="1"/>
  <c r="E4386" i="1"/>
  <c r="G4386" i="1"/>
  <c r="H4386" i="1"/>
  <c r="A4387" i="1"/>
  <c r="B4387" i="1"/>
  <c r="C4387" i="1"/>
  <c r="E4387" i="1"/>
  <c r="G4387" i="1"/>
  <c r="H4387" i="1"/>
  <c r="A4388" i="1"/>
  <c r="B4388" i="1"/>
  <c r="C4388" i="1"/>
  <c r="E4388" i="1"/>
  <c r="G4388" i="1"/>
  <c r="H4388" i="1"/>
  <c r="A4389" i="1"/>
  <c r="B4389" i="1"/>
  <c r="C4389" i="1"/>
  <c r="E4389" i="1"/>
  <c r="G4389" i="1"/>
  <c r="H4389" i="1"/>
  <c r="A4390" i="1"/>
  <c r="B4390" i="1"/>
  <c r="C4390" i="1"/>
  <c r="E4390" i="1"/>
  <c r="G4390" i="1"/>
  <c r="H4390" i="1"/>
  <c r="A4391" i="1"/>
  <c r="B4391" i="1"/>
  <c r="C4391" i="1"/>
  <c r="E4391" i="1"/>
  <c r="G4391" i="1"/>
  <c r="H4391" i="1"/>
  <c r="A4392" i="1"/>
  <c r="B4392" i="1"/>
  <c r="C4392" i="1"/>
  <c r="E4392" i="1"/>
  <c r="G4392" i="1"/>
  <c r="H4392" i="1"/>
  <c r="A4393" i="1"/>
  <c r="B4393" i="1"/>
  <c r="C4393" i="1"/>
  <c r="E4393" i="1"/>
  <c r="G4393" i="1"/>
  <c r="H4393" i="1"/>
  <c r="A4394" i="1"/>
  <c r="B4394" i="1"/>
  <c r="C4394" i="1"/>
  <c r="E4394" i="1"/>
  <c r="G4394" i="1"/>
  <c r="H4394" i="1"/>
  <c r="A4395" i="1"/>
  <c r="B4395" i="1"/>
  <c r="C4395" i="1"/>
  <c r="E4395" i="1"/>
  <c r="G4395" i="1"/>
  <c r="H4395" i="1"/>
  <c r="A4396" i="1"/>
  <c r="B4396" i="1"/>
  <c r="C4396" i="1"/>
  <c r="E4396" i="1"/>
  <c r="G4396" i="1"/>
  <c r="H4396" i="1"/>
  <c r="A4397" i="1"/>
  <c r="B4397" i="1"/>
  <c r="C4397" i="1"/>
  <c r="E4397" i="1"/>
  <c r="G4397" i="1"/>
  <c r="H4397" i="1"/>
  <c r="A4398" i="1"/>
  <c r="B4398" i="1"/>
  <c r="C4398" i="1"/>
  <c r="E4398" i="1"/>
  <c r="G4398" i="1"/>
  <c r="H4398" i="1"/>
  <c r="A4399" i="1"/>
  <c r="B4399" i="1"/>
  <c r="C4399" i="1"/>
  <c r="E4399" i="1"/>
  <c r="G4399" i="1"/>
  <c r="H4399" i="1"/>
  <c r="A4400" i="1"/>
  <c r="B4400" i="1"/>
  <c r="C4400" i="1"/>
  <c r="E4400" i="1"/>
  <c r="G4400" i="1"/>
  <c r="H4400" i="1"/>
  <c r="A4401" i="1"/>
  <c r="B4401" i="1"/>
  <c r="C4401" i="1"/>
  <c r="E4401" i="1"/>
  <c r="G4401" i="1"/>
  <c r="H4401" i="1"/>
  <c r="A4402" i="1"/>
  <c r="B4402" i="1"/>
  <c r="C4402" i="1"/>
  <c r="E4402" i="1"/>
  <c r="G4402" i="1"/>
  <c r="H4402" i="1"/>
  <c r="A4403" i="1"/>
  <c r="B4403" i="1"/>
  <c r="C4403" i="1"/>
  <c r="E4403" i="1"/>
  <c r="G4403" i="1"/>
  <c r="H4403" i="1"/>
  <c r="A4404" i="1"/>
  <c r="B4404" i="1"/>
  <c r="C4404" i="1"/>
  <c r="E4404" i="1"/>
  <c r="G4404" i="1"/>
  <c r="H4404" i="1"/>
  <c r="A4405" i="1"/>
  <c r="B4405" i="1"/>
  <c r="C4405" i="1"/>
  <c r="E4405" i="1"/>
  <c r="G4405" i="1"/>
  <c r="H4405" i="1"/>
  <c r="A4406" i="1"/>
  <c r="B4406" i="1"/>
  <c r="C4406" i="1"/>
  <c r="E4406" i="1"/>
  <c r="G4406" i="1"/>
  <c r="H4406" i="1"/>
  <c r="A4407" i="1"/>
  <c r="B4407" i="1"/>
  <c r="C4407" i="1"/>
  <c r="E4407" i="1"/>
  <c r="G4407" i="1"/>
  <c r="H4407" i="1"/>
  <c r="A4408" i="1"/>
  <c r="B4408" i="1"/>
  <c r="C4408" i="1"/>
  <c r="E4408" i="1"/>
  <c r="G4408" i="1"/>
  <c r="H4408" i="1"/>
  <c r="A4409" i="1"/>
  <c r="B4409" i="1"/>
  <c r="C4409" i="1"/>
  <c r="E4409" i="1"/>
  <c r="G4409" i="1"/>
  <c r="H4409" i="1"/>
  <c r="A4410" i="1"/>
  <c r="B4410" i="1"/>
  <c r="C4410" i="1"/>
  <c r="E4410" i="1"/>
  <c r="G4410" i="1"/>
  <c r="H4410" i="1"/>
  <c r="A4411" i="1"/>
  <c r="B4411" i="1"/>
  <c r="C4411" i="1"/>
  <c r="E4411" i="1"/>
  <c r="G4411" i="1"/>
  <c r="H4411" i="1"/>
  <c r="A4412" i="1"/>
  <c r="B4412" i="1"/>
  <c r="C4412" i="1"/>
  <c r="E4412" i="1"/>
  <c r="G4412" i="1"/>
  <c r="H4412" i="1"/>
  <c r="A4413" i="1"/>
  <c r="B4413" i="1"/>
  <c r="C4413" i="1"/>
  <c r="E4413" i="1"/>
  <c r="G4413" i="1"/>
  <c r="H4413" i="1"/>
  <c r="A4414" i="1"/>
  <c r="B4414" i="1"/>
  <c r="C4414" i="1"/>
  <c r="E4414" i="1"/>
  <c r="G4414" i="1"/>
  <c r="H4414" i="1"/>
  <c r="A4415" i="1"/>
  <c r="B4415" i="1"/>
  <c r="C4415" i="1"/>
  <c r="E4415" i="1"/>
  <c r="G4415" i="1"/>
  <c r="H4415" i="1"/>
  <c r="A4416" i="1"/>
  <c r="B4416" i="1"/>
  <c r="C4416" i="1"/>
  <c r="E4416" i="1"/>
  <c r="G4416" i="1"/>
  <c r="H4416" i="1"/>
  <c r="A4417" i="1"/>
  <c r="B4417" i="1"/>
  <c r="C4417" i="1"/>
  <c r="E4417" i="1"/>
  <c r="G4417" i="1"/>
  <c r="H4417" i="1"/>
  <c r="A4418" i="1"/>
  <c r="B4418" i="1"/>
  <c r="C4418" i="1"/>
  <c r="E4418" i="1"/>
  <c r="G4418" i="1"/>
  <c r="H4418" i="1"/>
  <c r="A4419" i="1"/>
  <c r="B4419" i="1"/>
  <c r="C4419" i="1"/>
  <c r="E4419" i="1"/>
  <c r="G4419" i="1"/>
  <c r="H4419" i="1"/>
  <c r="A4420" i="1"/>
  <c r="B4420" i="1"/>
  <c r="C4420" i="1"/>
  <c r="E4420" i="1"/>
  <c r="G4420" i="1"/>
  <c r="H4420" i="1"/>
  <c r="A4421" i="1"/>
  <c r="B4421" i="1"/>
  <c r="C4421" i="1"/>
  <c r="E4421" i="1"/>
  <c r="G4421" i="1"/>
  <c r="H4421" i="1"/>
  <c r="A4422" i="1"/>
  <c r="B4422" i="1"/>
  <c r="C4422" i="1"/>
  <c r="E4422" i="1"/>
  <c r="G4422" i="1"/>
  <c r="H4422" i="1"/>
  <c r="A4423" i="1"/>
  <c r="B4423" i="1"/>
  <c r="C4423" i="1"/>
  <c r="E4423" i="1"/>
  <c r="G4423" i="1"/>
  <c r="H4423" i="1"/>
  <c r="A4424" i="1"/>
  <c r="B4424" i="1"/>
  <c r="C4424" i="1"/>
  <c r="E4424" i="1"/>
  <c r="G4424" i="1"/>
  <c r="H4424" i="1"/>
  <c r="A4425" i="1"/>
  <c r="B4425" i="1"/>
  <c r="C4425" i="1"/>
  <c r="E4425" i="1"/>
  <c r="G4425" i="1"/>
  <c r="H4425" i="1"/>
  <c r="A4426" i="1"/>
  <c r="B4426" i="1"/>
  <c r="C4426" i="1"/>
  <c r="E4426" i="1"/>
  <c r="G4426" i="1"/>
  <c r="H4426" i="1"/>
  <c r="A4427" i="1"/>
  <c r="B4427" i="1"/>
  <c r="C4427" i="1"/>
  <c r="E4427" i="1"/>
  <c r="G4427" i="1"/>
  <c r="H4427" i="1"/>
  <c r="A4428" i="1"/>
  <c r="B4428" i="1"/>
  <c r="C4428" i="1"/>
  <c r="E4428" i="1"/>
  <c r="G4428" i="1"/>
  <c r="H4428" i="1"/>
  <c r="A4429" i="1"/>
  <c r="B4429" i="1"/>
  <c r="C4429" i="1"/>
  <c r="E4429" i="1"/>
  <c r="G4429" i="1"/>
  <c r="H4429" i="1"/>
  <c r="A4430" i="1"/>
  <c r="B4430" i="1"/>
  <c r="C4430" i="1"/>
  <c r="E4430" i="1"/>
  <c r="G4430" i="1"/>
  <c r="H4430" i="1"/>
  <c r="A4431" i="1"/>
  <c r="B4431" i="1"/>
  <c r="C4431" i="1"/>
  <c r="E4431" i="1"/>
  <c r="G4431" i="1"/>
  <c r="H4431" i="1"/>
  <c r="A4432" i="1"/>
  <c r="B4432" i="1"/>
  <c r="C4432" i="1"/>
  <c r="E4432" i="1"/>
  <c r="G4432" i="1"/>
  <c r="H4432" i="1"/>
  <c r="A4433" i="1"/>
  <c r="B4433" i="1"/>
  <c r="C4433" i="1"/>
  <c r="E4433" i="1"/>
  <c r="G4433" i="1"/>
  <c r="H4433" i="1"/>
  <c r="A4434" i="1"/>
  <c r="B4434" i="1"/>
  <c r="C4434" i="1"/>
  <c r="E4434" i="1"/>
  <c r="G4434" i="1"/>
  <c r="H4434" i="1"/>
  <c r="A4435" i="1"/>
  <c r="B4435" i="1"/>
  <c r="C4435" i="1"/>
  <c r="E4435" i="1"/>
  <c r="G4435" i="1"/>
  <c r="H4435" i="1"/>
  <c r="A4436" i="1"/>
  <c r="B4436" i="1"/>
  <c r="C4436" i="1"/>
  <c r="E4436" i="1"/>
  <c r="G4436" i="1"/>
  <c r="H4436" i="1"/>
  <c r="A4437" i="1"/>
  <c r="B4437" i="1"/>
  <c r="C4437" i="1"/>
  <c r="E4437" i="1"/>
  <c r="G4437" i="1"/>
  <c r="H4437" i="1"/>
  <c r="A4438" i="1"/>
  <c r="B4438" i="1"/>
  <c r="C4438" i="1"/>
  <c r="E4438" i="1"/>
  <c r="G4438" i="1"/>
  <c r="H4438" i="1"/>
  <c r="A4439" i="1"/>
  <c r="B4439" i="1"/>
  <c r="C4439" i="1"/>
  <c r="E4439" i="1"/>
  <c r="G4439" i="1"/>
  <c r="H4439" i="1"/>
  <c r="A4440" i="1"/>
  <c r="B4440" i="1"/>
  <c r="C4440" i="1"/>
  <c r="E4440" i="1"/>
  <c r="G4440" i="1"/>
  <c r="H4440" i="1"/>
  <c r="A4441" i="1"/>
  <c r="B4441" i="1"/>
  <c r="C4441" i="1"/>
  <c r="E4441" i="1"/>
  <c r="G4441" i="1"/>
  <c r="H4441" i="1"/>
  <c r="A4442" i="1"/>
  <c r="B4442" i="1"/>
  <c r="C4442" i="1"/>
  <c r="E4442" i="1"/>
  <c r="G4442" i="1"/>
  <c r="H4442" i="1"/>
  <c r="A4443" i="1"/>
  <c r="B4443" i="1"/>
  <c r="C4443" i="1"/>
  <c r="E4443" i="1"/>
  <c r="G4443" i="1"/>
  <c r="H4443" i="1"/>
  <c r="A4444" i="1"/>
  <c r="B4444" i="1"/>
  <c r="C4444" i="1"/>
  <c r="E4444" i="1"/>
  <c r="G4444" i="1"/>
  <c r="H4444" i="1"/>
  <c r="A4445" i="1"/>
  <c r="B4445" i="1"/>
  <c r="C4445" i="1"/>
  <c r="E4445" i="1"/>
  <c r="G4445" i="1"/>
  <c r="H4445" i="1"/>
  <c r="A4446" i="1"/>
  <c r="B4446" i="1"/>
  <c r="C4446" i="1"/>
  <c r="E4446" i="1"/>
  <c r="G4446" i="1"/>
  <c r="H4446" i="1"/>
  <c r="A4447" i="1"/>
  <c r="B4447" i="1"/>
  <c r="C4447" i="1"/>
  <c r="E4447" i="1"/>
  <c r="G4447" i="1"/>
  <c r="H4447" i="1"/>
  <c r="A4448" i="1"/>
  <c r="B4448" i="1"/>
  <c r="C4448" i="1"/>
  <c r="E4448" i="1"/>
  <c r="G4448" i="1"/>
  <c r="H4448" i="1"/>
  <c r="A4449" i="1"/>
  <c r="B4449" i="1"/>
  <c r="C4449" i="1"/>
  <c r="E4449" i="1"/>
  <c r="G4449" i="1"/>
  <c r="H4449" i="1"/>
  <c r="A4450" i="1"/>
  <c r="B4450" i="1"/>
  <c r="C4450" i="1"/>
  <c r="E4450" i="1"/>
  <c r="G4450" i="1"/>
  <c r="H4450" i="1"/>
  <c r="A4451" i="1"/>
  <c r="B4451" i="1"/>
  <c r="C4451" i="1"/>
  <c r="E4451" i="1"/>
  <c r="G4451" i="1"/>
  <c r="H4451" i="1"/>
  <c r="A4452" i="1"/>
  <c r="B4452" i="1"/>
  <c r="C4452" i="1"/>
  <c r="E4452" i="1"/>
  <c r="G4452" i="1"/>
  <c r="H4452" i="1"/>
  <c r="A4453" i="1"/>
  <c r="B4453" i="1"/>
  <c r="C4453" i="1"/>
  <c r="E4453" i="1"/>
  <c r="G4453" i="1"/>
  <c r="H4453" i="1"/>
  <c r="A4454" i="1"/>
  <c r="B4454" i="1"/>
  <c r="C4454" i="1"/>
  <c r="E4454" i="1"/>
  <c r="G4454" i="1"/>
  <c r="H4454" i="1"/>
  <c r="A4455" i="1"/>
  <c r="B4455" i="1"/>
  <c r="C4455" i="1"/>
  <c r="E4455" i="1"/>
  <c r="G4455" i="1"/>
  <c r="H4455" i="1"/>
  <c r="A4456" i="1"/>
  <c r="B4456" i="1"/>
  <c r="C4456" i="1"/>
  <c r="E4456" i="1"/>
  <c r="G4456" i="1"/>
  <c r="H4456" i="1"/>
  <c r="A4457" i="1"/>
  <c r="B4457" i="1"/>
  <c r="C4457" i="1"/>
  <c r="E4457" i="1"/>
  <c r="G4457" i="1"/>
  <c r="H4457" i="1"/>
  <c r="A4458" i="1"/>
  <c r="B4458" i="1"/>
  <c r="C4458" i="1"/>
  <c r="E4458" i="1"/>
  <c r="G4458" i="1"/>
  <c r="H4458" i="1"/>
  <c r="A4459" i="1"/>
  <c r="B4459" i="1"/>
  <c r="C4459" i="1"/>
  <c r="E4459" i="1"/>
  <c r="G4459" i="1"/>
  <c r="H4459" i="1"/>
  <c r="A4460" i="1"/>
  <c r="B4460" i="1"/>
  <c r="C4460" i="1"/>
  <c r="E4460" i="1"/>
  <c r="G4460" i="1"/>
  <c r="H4460" i="1"/>
  <c r="A4461" i="1"/>
  <c r="B4461" i="1"/>
  <c r="C4461" i="1"/>
  <c r="E4461" i="1"/>
  <c r="G4461" i="1"/>
  <c r="H4461" i="1"/>
  <c r="A4462" i="1"/>
  <c r="B4462" i="1"/>
  <c r="C4462" i="1"/>
  <c r="E4462" i="1"/>
  <c r="G4462" i="1"/>
  <c r="H4462" i="1"/>
  <c r="A4463" i="1"/>
  <c r="B4463" i="1"/>
  <c r="C4463" i="1"/>
  <c r="E4463" i="1"/>
  <c r="G4463" i="1"/>
  <c r="H4463" i="1"/>
  <c r="A4464" i="1"/>
  <c r="B4464" i="1"/>
  <c r="C4464" i="1"/>
  <c r="E4464" i="1"/>
  <c r="G4464" i="1"/>
  <c r="H4464" i="1"/>
  <c r="A4465" i="1"/>
  <c r="B4465" i="1"/>
  <c r="C4465" i="1"/>
  <c r="E4465" i="1"/>
  <c r="G4465" i="1"/>
  <c r="H4465" i="1"/>
  <c r="A4466" i="1"/>
  <c r="B4466" i="1"/>
  <c r="C4466" i="1"/>
  <c r="E4466" i="1"/>
  <c r="G4466" i="1"/>
  <c r="H4466" i="1"/>
  <c r="A4467" i="1"/>
  <c r="B4467" i="1"/>
  <c r="C4467" i="1"/>
  <c r="E4467" i="1"/>
  <c r="G4467" i="1"/>
  <c r="H4467" i="1"/>
  <c r="A4468" i="1"/>
  <c r="B4468" i="1"/>
  <c r="C4468" i="1"/>
  <c r="E4468" i="1"/>
  <c r="G4468" i="1"/>
  <c r="H4468" i="1"/>
  <c r="A4469" i="1"/>
  <c r="B4469" i="1"/>
  <c r="C4469" i="1"/>
  <c r="E4469" i="1"/>
  <c r="G4469" i="1"/>
  <c r="H4469" i="1"/>
  <c r="A4470" i="1"/>
  <c r="B4470" i="1"/>
  <c r="C4470" i="1"/>
  <c r="E4470" i="1"/>
  <c r="G4470" i="1"/>
  <c r="H4470" i="1"/>
  <c r="A4471" i="1"/>
  <c r="B4471" i="1"/>
  <c r="C4471" i="1"/>
  <c r="E4471" i="1"/>
  <c r="G4471" i="1"/>
  <c r="H4471" i="1"/>
  <c r="A4472" i="1"/>
  <c r="B4472" i="1"/>
  <c r="C4472" i="1"/>
  <c r="E4472" i="1"/>
  <c r="G4472" i="1"/>
  <c r="H4472" i="1"/>
  <c r="A4473" i="1"/>
  <c r="B4473" i="1"/>
  <c r="C4473" i="1"/>
  <c r="E4473" i="1"/>
  <c r="G4473" i="1"/>
  <c r="H4473" i="1"/>
  <c r="A4474" i="1"/>
  <c r="B4474" i="1"/>
  <c r="C4474" i="1"/>
  <c r="E4474" i="1"/>
  <c r="G4474" i="1"/>
  <c r="H4474" i="1"/>
  <c r="A4475" i="1"/>
  <c r="B4475" i="1"/>
  <c r="C4475" i="1"/>
  <c r="E4475" i="1"/>
  <c r="G4475" i="1"/>
  <c r="H4475" i="1"/>
  <c r="A4476" i="1"/>
  <c r="B4476" i="1"/>
  <c r="C4476" i="1"/>
  <c r="E4476" i="1"/>
  <c r="G4476" i="1"/>
  <c r="H4476" i="1"/>
  <c r="A4477" i="1"/>
  <c r="B4477" i="1"/>
  <c r="C4477" i="1"/>
  <c r="E4477" i="1"/>
  <c r="G4477" i="1"/>
  <c r="H4477" i="1"/>
  <c r="A4478" i="1"/>
  <c r="B4478" i="1"/>
  <c r="C4478" i="1"/>
  <c r="E4478" i="1"/>
  <c r="G4478" i="1"/>
  <c r="H4478" i="1"/>
  <c r="A4479" i="1"/>
  <c r="B4479" i="1"/>
  <c r="C4479" i="1"/>
  <c r="E4479" i="1"/>
  <c r="G4479" i="1"/>
  <c r="H4479" i="1"/>
  <c r="A4480" i="1"/>
  <c r="B4480" i="1"/>
  <c r="C4480" i="1"/>
  <c r="E4480" i="1"/>
  <c r="G4480" i="1"/>
  <c r="H4480" i="1"/>
  <c r="A4481" i="1"/>
  <c r="B4481" i="1"/>
  <c r="C4481" i="1"/>
  <c r="E4481" i="1"/>
  <c r="G4481" i="1"/>
  <c r="H4481" i="1"/>
  <c r="A4482" i="1"/>
  <c r="B4482" i="1"/>
  <c r="C4482" i="1"/>
  <c r="E4482" i="1"/>
  <c r="G4482" i="1"/>
  <c r="H4482" i="1"/>
  <c r="A4483" i="1"/>
  <c r="B4483" i="1"/>
  <c r="C4483" i="1"/>
  <c r="E4483" i="1"/>
  <c r="G4483" i="1"/>
  <c r="H4483" i="1"/>
  <c r="A4484" i="1"/>
  <c r="B4484" i="1"/>
  <c r="C4484" i="1"/>
  <c r="E4484" i="1"/>
  <c r="G4484" i="1"/>
  <c r="H4484" i="1"/>
  <c r="A4485" i="1"/>
  <c r="B4485" i="1"/>
  <c r="C4485" i="1"/>
  <c r="E4485" i="1"/>
  <c r="G4485" i="1"/>
  <c r="H4485" i="1"/>
  <c r="A4486" i="1"/>
  <c r="B4486" i="1"/>
  <c r="C4486" i="1"/>
  <c r="E4486" i="1"/>
  <c r="G4486" i="1"/>
  <c r="H4486" i="1"/>
  <c r="A4487" i="1"/>
  <c r="B4487" i="1"/>
  <c r="C4487" i="1"/>
  <c r="E4487" i="1"/>
  <c r="G4487" i="1"/>
  <c r="H4487" i="1"/>
  <c r="A4488" i="1"/>
  <c r="B4488" i="1"/>
  <c r="C4488" i="1"/>
  <c r="E4488" i="1"/>
  <c r="G4488" i="1"/>
  <c r="H4488" i="1"/>
  <c r="A4489" i="1"/>
  <c r="B4489" i="1"/>
  <c r="C4489" i="1"/>
  <c r="E4489" i="1"/>
  <c r="G4489" i="1"/>
  <c r="H4489" i="1"/>
  <c r="A4490" i="1"/>
  <c r="B4490" i="1"/>
  <c r="C4490" i="1"/>
  <c r="E4490" i="1"/>
  <c r="G4490" i="1"/>
  <c r="H4490" i="1"/>
  <c r="A4491" i="1"/>
  <c r="B4491" i="1"/>
  <c r="C4491" i="1"/>
  <c r="E4491" i="1"/>
  <c r="G4491" i="1"/>
  <c r="H4491" i="1"/>
  <c r="A4492" i="1"/>
  <c r="B4492" i="1"/>
  <c r="C4492" i="1"/>
  <c r="E4492" i="1"/>
  <c r="G4492" i="1"/>
  <c r="H4492" i="1"/>
  <c r="A4493" i="1"/>
  <c r="B4493" i="1"/>
  <c r="C4493" i="1"/>
  <c r="E4493" i="1"/>
  <c r="G4493" i="1"/>
  <c r="H4493" i="1"/>
  <c r="A4494" i="1"/>
  <c r="B4494" i="1"/>
  <c r="C4494" i="1"/>
  <c r="E4494" i="1"/>
  <c r="G4494" i="1"/>
  <c r="H4494" i="1"/>
  <c r="A4495" i="1"/>
  <c r="B4495" i="1"/>
  <c r="C4495" i="1"/>
  <c r="E4495" i="1"/>
  <c r="G4495" i="1"/>
  <c r="H4495" i="1"/>
  <c r="A4496" i="1"/>
  <c r="B4496" i="1"/>
  <c r="C4496" i="1"/>
  <c r="E4496" i="1"/>
  <c r="G4496" i="1"/>
  <c r="H4496" i="1"/>
  <c r="A4497" i="1"/>
  <c r="B4497" i="1"/>
  <c r="C4497" i="1"/>
  <c r="E4497" i="1"/>
  <c r="G4497" i="1"/>
  <c r="H4497" i="1"/>
  <c r="A4498" i="1"/>
  <c r="B4498" i="1"/>
  <c r="C4498" i="1"/>
  <c r="E4498" i="1"/>
  <c r="G4498" i="1"/>
  <c r="H4498" i="1"/>
  <c r="A4499" i="1"/>
  <c r="B4499" i="1"/>
  <c r="C4499" i="1"/>
  <c r="E4499" i="1"/>
  <c r="G4499" i="1"/>
  <c r="H4499" i="1"/>
  <c r="A4500" i="1"/>
  <c r="B4500" i="1"/>
  <c r="C4500" i="1"/>
  <c r="E4500" i="1"/>
  <c r="G4500" i="1"/>
  <c r="H4500" i="1"/>
  <c r="A4501" i="1"/>
  <c r="B4501" i="1"/>
  <c r="C4501" i="1"/>
  <c r="E4501" i="1"/>
  <c r="G4501" i="1"/>
  <c r="H4501" i="1"/>
  <c r="A4502" i="1"/>
  <c r="B4502" i="1"/>
  <c r="C4502" i="1"/>
  <c r="E4502" i="1"/>
  <c r="G4502" i="1"/>
  <c r="H4502" i="1"/>
  <c r="A4503" i="1"/>
  <c r="B4503" i="1"/>
  <c r="C4503" i="1"/>
  <c r="E4503" i="1"/>
  <c r="G4503" i="1"/>
  <c r="H4503" i="1"/>
  <c r="A4504" i="1"/>
  <c r="B4504" i="1"/>
  <c r="C4504" i="1"/>
  <c r="E4504" i="1"/>
  <c r="G4504" i="1"/>
  <c r="H4504" i="1"/>
  <c r="A4505" i="1"/>
  <c r="B4505" i="1"/>
  <c r="C4505" i="1"/>
  <c r="E4505" i="1"/>
  <c r="G4505" i="1"/>
  <c r="H4505" i="1"/>
  <c r="A4506" i="1"/>
  <c r="B4506" i="1"/>
  <c r="C4506" i="1"/>
  <c r="E4506" i="1"/>
  <c r="G4506" i="1"/>
  <c r="H4506" i="1"/>
  <c r="A4507" i="1"/>
  <c r="B4507" i="1"/>
  <c r="C4507" i="1"/>
  <c r="E4507" i="1"/>
  <c r="G4507" i="1"/>
  <c r="H4507" i="1"/>
  <c r="A4508" i="1"/>
  <c r="B4508" i="1"/>
  <c r="C4508" i="1"/>
  <c r="E4508" i="1"/>
  <c r="G4508" i="1"/>
  <c r="H4508" i="1"/>
  <c r="A4509" i="1"/>
  <c r="B4509" i="1"/>
  <c r="C4509" i="1"/>
  <c r="E4509" i="1"/>
  <c r="G4509" i="1"/>
  <c r="H4509" i="1"/>
  <c r="A4510" i="1"/>
  <c r="B4510" i="1"/>
  <c r="C4510" i="1"/>
  <c r="E4510" i="1"/>
  <c r="G4510" i="1"/>
  <c r="H4510" i="1"/>
  <c r="A4511" i="1"/>
  <c r="B4511" i="1"/>
  <c r="C4511" i="1"/>
  <c r="E4511" i="1"/>
  <c r="G4511" i="1"/>
  <c r="H4511" i="1"/>
  <c r="A4512" i="1"/>
  <c r="B4512" i="1"/>
  <c r="C4512" i="1"/>
  <c r="E4512" i="1"/>
  <c r="G4512" i="1"/>
  <c r="H4512" i="1"/>
  <c r="A4513" i="1"/>
  <c r="B4513" i="1"/>
  <c r="C4513" i="1"/>
  <c r="E4513" i="1"/>
  <c r="G4513" i="1"/>
  <c r="H4513" i="1"/>
  <c r="A4514" i="1"/>
  <c r="B4514" i="1"/>
  <c r="C4514" i="1"/>
  <c r="E4514" i="1"/>
  <c r="G4514" i="1"/>
  <c r="H4514" i="1"/>
  <c r="A4515" i="1"/>
  <c r="B4515" i="1"/>
  <c r="C4515" i="1"/>
  <c r="E4515" i="1"/>
  <c r="G4515" i="1"/>
  <c r="H4515" i="1"/>
  <c r="A4516" i="1"/>
  <c r="B4516" i="1"/>
  <c r="C4516" i="1"/>
  <c r="E4516" i="1"/>
  <c r="G4516" i="1"/>
  <c r="H4516" i="1"/>
  <c r="A4517" i="1"/>
  <c r="B4517" i="1"/>
  <c r="C4517" i="1"/>
  <c r="E4517" i="1"/>
  <c r="G4517" i="1"/>
  <c r="H4517" i="1"/>
  <c r="A4518" i="1"/>
  <c r="B4518" i="1"/>
  <c r="C4518" i="1"/>
  <c r="E4518" i="1"/>
  <c r="G4518" i="1"/>
  <c r="H4518" i="1"/>
  <c r="A4519" i="1"/>
  <c r="B4519" i="1"/>
  <c r="C4519" i="1"/>
  <c r="E4519" i="1"/>
  <c r="G4519" i="1"/>
  <c r="H4519" i="1"/>
  <c r="A4520" i="1"/>
  <c r="B4520" i="1"/>
  <c r="C4520" i="1"/>
  <c r="E4520" i="1"/>
  <c r="G4520" i="1"/>
  <c r="H4520" i="1"/>
  <c r="A4521" i="1"/>
  <c r="B4521" i="1"/>
  <c r="C4521" i="1"/>
  <c r="E4521" i="1"/>
  <c r="G4521" i="1"/>
  <c r="H4521" i="1"/>
  <c r="A4522" i="1"/>
  <c r="B4522" i="1"/>
  <c r="C4522" i="1"/>
  <c r="E4522" i="1"/>
  <c r="G4522" i="1"/>
  <c r="H4522" i="1"/>
  <c r="A4523" i="1"/>
  <c r="B4523" i="1"/>
  <c r="C4523" i="1"/>
  <c r="E4523" i="1"/>
  <c r="G4523" i="1"/>
  <c r="H4523" i="1"/>
  <c r="A4524" i="1"/>
  <c r="B4524" i="1"/>
  <c r="C4524" i="1"/>
  <c r="E4524" i="1"/>
  <c r="G4524" i="1"/>
  <c r="H4524" i="1"/>
  <c r="A4525" i="1"/>
  <c r="B4525" i="1"/>
  <c r="C4525" i="1"/>
  <c r="E4525" i="1"/>
  <c r="G4525" i="1"/>
  <c r="H4525" i="1"/>
  <c r="A4526" i="1"/>
  <c r="B4526" i="1"/>
  <c r="C4526" i="1"/>
  <c r="E4526" i="1"/>
  <c r="G4526" i="1"/>
  <c r="H4526" i="1"/>
  <c r="A4527" i="1"/>
  <c r="B4527" i="1"/>
  <c r="C4527" i="1"/>
  <c r="E4527" i="1"/>
  <c r="G4527" i="1"/>
  <c r="H4527" i="1"/>
  <c r="A4528" i="1"/>
  <c r="B4528" i="1"/>
  <c r="C4528" i="1"/>
  <c r="E4528" i="1"/>
  <c r="G4528" i="1"/>
  <c r="H4528" i="1"/>
  <c r="A4529" i="1"/>
  <c r="B4529" i="1"/>
  <c r="C4529" i="1"/>
  <c r="E4529" i="1"/>
  <c r="G4529" i="1"/>
  <c r="H4529" i="1"/>
  <c r="A4530" i="1"/>
  <c r="B4530" i="1"/>
  <c r="C4530" i="1"/>
  <c r="E4530" i="1"/>
  <c r="G4530" i="1"/>
  <c r="H4530" i="1"/>
  <c r="A4531" i="1"/>
  <c r="B4531" i="1"/>
  <c r="C4531" i="1"/>
  <c r="E4531" i="1"/>
  <c r="G4531" i="1"/>
  <c r="H4531" i="1"/>
  <c r="A4532" i="1"/>
  <c r="B4532" i="1"/>
  <c r="C4532" i="1"/>
  <c r="E4532" i="1"/>
  <c r="G4532" i="1"/>
  <c r="H4532" i="1"/>
  <c r="A4533" i="1"/>
  <c r="B4533" i="1"/>
  <c r="C4533" i="1"/>
  <c r="E4533" i="1"/>
  <c r="G4533" i="1"/>
  <c r="H4533" i="1"/>
  <c r="A4534" i="1"/>
  <c r="B4534" i="1"/>
  <c r="C4534" i="1"/>
  <c r="E4534" i="1"/>
  <c r="G4534" i="1"/>
  <c r="H4534" i="1"/>
  <c r="A4535" i="1"/>
  <c r="B4535" i="1"/>
  <c r="C4535" i="1"/>
  <c r="E4535" i="1"/>
  <c r="G4535" i="1"/>
  <c r="H4535" i="1"/>
  <c r="A4536" i="1"/>
  <c r="B4536" i="1"/>
  <c r="C4536" i="1"/>
  <c r="E4536" i="1"/>
  <c r="G4536" i="1"/>
  <c r="H4536" i="1"/>
  <c r="A4537" i="1"/>
  <c r="B4537" i="1"/>
  <c r="C4537" i="1"/>
  <c r="E4537" i="1"/>
  <c r="G4537" i="1"/>
  <c r="H4537" i="1"/>
  <c r="A4538" i="1"/>
  <c r="B4538" i="1"/>
  <c r="C4538" i="1"/>
  <c r="E4538" i="1"/>
  <c r="G4538" i="1"/>
  <c r="H4538" i="1"/>
  <c r="A4539" i="1"/>
  <c r="B4539" i="1"/>
  <c r="C4539" i="1"/>
  <c r="E4539" i="1"/>
  <c r="G4539" i="1"/>
  <c r="H4539" i="1"/>
  <c r="A4540" i="1"/>
  <c r="B4540" i="1"/>
  <c r="C4540" i="1"/>
  <c r="E4540" i="1"/>
  <c r="G4540" i="1"/>
  <c r="H4540" i="1"/>
  <c r="A4541" i="1"/>
  <c r="B4541" i="1"/>
  <c r="C4541" i="1"/>
  <c r="E4541" i="1"/>
  <c r="G4541" i="1"/>
  <c r="H4541" i="1"/>
  <c r="A4542" i="1"/>
  <c r="B4542" i="1"/>
  <c r="C4542" i="1"/>
  <c r="E4542" i="1"/>
  <c r="G4542" i="1"/>
  <c r="H4542" i="1"/>
  <c r="A4543" i="1"/>
  <c r="B4543" i="1"/>
  <c r="C4543" i="1"/>
  <c r="E4543" i="1"/>
  <c r="G4543" i="1"/>
  <c r="H4543" i="1"/>
  <c r="A4544" i="1"/>
  <c r="B4544" i="1"/>
  <c r="C4544" i="1"/>
  <c r="E4544" i="1"/>
  <c r="G4544" i="1"/>
  <c r="H4544" i="1"/>
  <c r="A4545" i="1"/>
  <c r="B4545" i="1"/>
  <c r="C4545" i="1"/>
  <c r="E4545" i="1"/>
  <c r="G4545" i="1"/>
  <c r="H4545" i="1"/>
  <c r="A4546" i="1"/>
  <c r="B4546" i="1"/>
  <c r="C4546" i="1"/>
  <c r="E4546" i="1"/>
  <c r="G4546" i="1"/>
  <c r="H4546" i="1"/>
  <c r="A4547" i="1"/>
  <c r="B4547" i="1"/>
  <c r="C4547" i="1"/>
  <c r="E4547" i="1"/>
  <c r="G4547" i="1"/>
  <c r="H4547" i="1"/>
  <c r="A4548" i="1"/>
  <c r="B4548" i="1"/>
  <c r="C4548" i="1"/>
  <c r="E4548" i="1"/>
  <c r="G4548" i="1"/>
  <c r="H4548" i="1"/>
  <c r="A4549" i="1"/>
  <c r="B4549" i="1"/>
  <c r="C4549" i="1"/>
  <c r="E4549" i="1"/>
  <c r="G4549" i="1"/>
  <c r="H4549" i="1"/>
  <c r="A4550" i="1"/>
  <c r="B4550" i="1"/>
  <c r="C4550" i="1"/>
  <c r="E4550" i="1"/>
  <c r="G4550" i="1"/>
  <c r="H4550" i="1"/>
  <c r="A4551" i="1"/>
  <c r="B4551" i="1"/>
  <c r="C4551" i="1"/>
  <c r="E4551" i="1"/>
  <c r="G4551" i="1"/>
  <c r="H4551" i="1"/>
  <c r="A4552" i="1"/>
  <c r="B4552" i="1"/>
  <c r="C4552" i="1"/>
  <c r="E4552" i="1"/>
  <c r="G4552" i="1"/>
  <c r="H4552" i="1"/>
  <c r="A4553" i="1"/>
  <c r="B4553" i="1"/>
  <c r="C4553" i="1"/>
  <c r="E4553" i="1"/>
  <c r="G4553" i="1"/>
  <c r="H4553" i="1"/>
  <c r="A4554" i="1"/>
  <c r="B4554" i="1"/>
  <c r="C4554" i="1"/>
  <c r="E4554" i="1"/>
  <c r="G4554" i="1"/>
  <c r="H4554" i="1"/>
  <c r="A4555" i="1"/>
  <c r="B4555" i="1"/>
  <c r="C4555" i="1"/>
  <c r="E4555" i="1"/>
  <c r="G4555" i="1"/>
  <c r="H4555" i="1"/>
  <c r="A4556" i="1"/>
  <c r="B4556" i="1"/>
  <c r="C4556" i="1"/>
  <c r="E4556" i="1"/>
  <c r="G4556" i="1"/>
  <c r="H4556" i="1"/>
  <c r="A4557" i="1"/>
  <c r="B4557" i="1"/>
  <c r="C4557" i="1"/>
  <c r="E4557" i="1"/>
  <c r="G4557" i="1"/>
  <c r="H4557" i="1"/>
  <c r="A4558" i="1"/>
  <c r="B4558" i="1"/>
  <c r="C4558" i="1"/>
  <c r="E4558" i="1"/>
  <c r="G4558" i="1"/>
  <c r="H4558" i="1"/>
  <c r="A4559" i="1"/>
  <c r="B4559" i="1"/>
  <c r="C4559" i="1"/>
  <c r="E4559" i="1"/>
  <c r="G4559" i="1"/>
  <c r="H4559" i="1"/>
  <c r="A4560" i="1"/>
  <c r="B4560" i="1"/>
  <c r="C4560" i="1"/>
  <c r="E4560" i="1"/>
  <c r="G4560" i="1"/>
  <c r="H4560" i="1"/>
  <c r="A4561" i="1"/>
  <c r="B4561" i="1"/>
  <c r="C4561" i="1"/>
  <c r="E4561" i="1"/>
  <c r="G4561" i="1"/>
  <c r="H4561" i="1"/>
  <c r="A4562" i="1"/>
  <c r="B4562" i="1"/>
  <c r="C4562" i="1"/>
  <c r="E4562" i="1"/>
  <c r="G4562" i="1"/>
  <c r="H4562" i="1"/>
  <c r="A4563" i="1"/>
  <c r="B4563" i="1"/>
  <c r="C4563" i="1"/>
  <c r="E4563" i="1"/>
  <c r="G4563" i="1"/>
  <c r="H4563" i="1"/>
  <c r="A4564" i="1"/>
  <c r="B4564" i="1"/>
  <c r="C4564" i="1"/>
  <c r="E4564" i="1"/>
  <c r="G4564" i="1"/>
  <c r="H4564" i="1"/>
  <c r="A4565" i="1"/>
  <c r="B4565" i="1"/>
  <c r="C4565" i="1"/>
  <c r="E4565" i="1"/>
  <c r="G4565" i="1"/>
  <c r="H4565" i="1"/>
  <c r="A4566" i="1"/>
  <c r="B4566" i="1"/>
  <c r="C4566" i="1"/>
  <c r="E4566" i="1"/>
  <c r="G4566" i="1"/>
  <c r="H4566" i="1"/>
  <c r="A4567" i="1"/>
  <c r="B4567" i="1"/>
  <c r="C4567" i="1"/>
  <c r="E4567" i="1"/>
  <c r="G4567" i="1"/>
  <c r="H4567" i="1"/>
  <c r="A4568" i="1"/>
  <c r="B4568" i="1"/>
  <c r="C4568" i="1"/>
  <c r="E4568" i="1"/>
  <c r="G4568" i="1"/>
  <c r="H4568" i="1"/>
  <c r="A4569" i="1"/>
  <c r="B4569" i="1"/>
  <c r="C4569" i="1"/>
  <c r="E4569" i="1"/>
  <c r="G4569" i="1"/>
  <c r="H4569" i="1"/>
  <c r="A4570" i="1"/>
  <c r="B4570" i="1"/>
  <c r="C4570" i="1"/>
  <c r="E4570" i="1"/>
  <c r="G4570" i="1"/>
  <c r="H4570" i="1"/>
  <c r="A4571" i="1"/>
  <c r="B4571" i="1"/>
  <c r="C4571" i="1"/>
  <c r="E4571" i="1"/>
  <c r="G4571" i="1"/>
  <c r="H4571" i="1"/>
  <c r="A4572" i="1"/>
  <c r="B4572" i="1"/>
  <c r="C4572" i="1"/>
  <c r="E4572" i="1"/>
  <c r="G4572" i="1"/>
  <c r="H4572" i="1"/>
  <c r="A4573" i="1"/>
  <c r="B4573" i="1"/>
  <c r="C4573" i="1"/>
  <c r="E4573" i="1"/>
  <c r="G4573" i="1"/>
  <c r="H4573" i="1"/>
  <c r="A4574" i="1"/>
  <c r="B4574" i="1"/>
  <c r="C4574" i="1"/>
  <c r="E4574" i="1"/>
  <c r="G4574" i="1"/>
  <c r="H4574" i="1"/>
  <c r="A4575" i="1"/>
  <c r="B4575" i="1"/>
  <c r="C4575" i="1"/>
  <c r="E4575" i="1"/>
  <c r="G4575" i="1"/>
  <c r="H4575" i="1"/>
  <c r="A4576" i="1"/>
  <c r="B4576" i="1"/>
  <c r="C4576" i="1"/>
  <c r="E4576" i="1"/>
  <c r="G4576" i="1"/>
  <c r="H4576" i="1"/>
  <c r="A4577" i="1"/>
  <c r="B4577" i="1"/>
  <c r="C4577" i="1"/>
  <c r="E4577" i="1"/>
  <c r="G4577" i="1"/>
  <c r="H4577" i="1"/>
  <c r="A4578" i="1"/>
  <c r="B4578" i="1"/>
  <c r="C4578" i="1"/>
  <c r="E4578" i="1"/>
  <c r="G4578" i="1"/>
  <c r="H4578" i="1"/>
  <c r="A4579" i="1"/>
  <c r="B4579" i="1"/>
  <c r="C4579" i="1"/>
  <c r="E4579" i="1"/>
  <c r="G4579" i="1"/>
  <c r="H4579" i="1"/>
  <c r="A4580" i="1"/>
  <c r="B4580" i="1"/>
  <c r="C4580" i="1"/>
  <c r="E4580" i="1"/>
  <c r="G4580" i="1"/>
  <c r="H4580" i="1"/>
  <c r="A4581" i="1"/>
  <c r="B4581" i="1"/>
  <c r="C4581" i="1"/>
  <c r="E4581" i="1"/>
  <c r="G4581" i="1"/>
  <c r="H4581" i="1"/>
  <c r="A4582" i="1"/>
  <c r="B4582" i="1"/>
  <c r="C4582" i="1"/>
  <c r="E4582" i="1"/>
  <c r="G4582" i="1"/>
  <c r="H4582" i="1"/>
  <c r="A4583" i="1"/>
  <c r="B4583" i="1"/>
  <c r="C4583" i="1"/>
  <c r="E4583" i="1"/>
  <c r="G4583" i="1"/>
  <c r="H4583" i="1"/>
  <c r="A4584" i="1"/>
  <c r="B4584" i="1"/>
  <c r="C4584" i="1"/>
  <c r="E4584" i="1"/>
  <c r="G4584" i="1"/>
  <c r="H4584" i="1"/>
  <c r="A4585" i="1"/>
  <c r="B4585" i="1"/>
  <c r="C4585" i="1"/>
  <c r="E4585" i="1"/>
  <c r="G4585" i="1"/>
  <c r="H4585" i="1"/>
  <c r="A4586" i="1"/>
  <c r="B4586" i="1"/>
  <c r="C4586" i="1"/>
  <c r="E4586" i="1"/>
  <c r="G4586" i="1"/>
  <c r="H4586" i="1"/>
  <c r="A4587" i="1"/>
  <c r="B4587" i="1"/>
  <c r="C4587" i="1"/>
  <c r="E4587" i="1"/>
  <c r="G4587" i="1"/>
  <c r="H4587" i="1"/>
  <c r="A4588" i="1"/>
  <c r="B4588" i="1"/>
  <c r="C4588" i="1"/>
  <c r="E4588" i="1"/>
  <c r="G4588" i="1"/>
  <c r="H4588" i="1"/>
  <c r="A4589" i="1"/>
  <c r="B4589" i="1"/>
  <c r="C4589" i="1"/>
  <c r="E4589" i="1"/>
  <c r="G4589" i="1"/>
  <c r="H4589" i="1"/>
  <c r="A4590" i="1"/>
  <c r="B4590" i="1"/>
  <c r="C4590" i="1"/>
  <c r="E4590" i="1"/>
  <c r="G4590" i="1"/>
  <c r="H4590" i="1"/>
  <c r="A4591" i="1"/>
  <c r="B4591" i="1"/>
  <c r="C4591" i="1"/>
  <c r="E4591" i="1"/>
  <c r="G4591" i="1"/>
  <c r="H4591" i="1"/>
  <c r="A4592" i="1"/>
  <c r="B4592" i="1"/>
  <c r="C4592" i="1"/>
  <c r="E4592" i="1"/>
  <c r="G4592" i="1"/>
  <c r="H4592" i="1"/>
  <c r="A4593" i="1"/>
  <c r="B4593" i="1"/>
  <c r="C4593" i="1"/>
  <c r="E4593" i="1"/>
  <c r="G4593" i="1"/>
  <c r="H4593" i="1"/>
  <c r="A4594" i="1"/>
  <c r="B4594" i="1"/>
  <c r="C4594" i="1"/>
  <c r="E4594" i="1"/>
  <c r="G4594" i="1"/>
  <c r="H4594" i="1"/>
  <c r="A4595" i="1"/>
  <c r="B4595" i="1"/>
  <c r="C4595" i="1"/>
  <c r="E4595" i="1"/>
  <c r="G4595" i="1"/>
  <c r="H4595" i="1"/>
  <c r="A4596" i="1"/>
  <c r="B4596" i="1"/>
  <c r="C4596" i="1"/>
  <c r="E4596" i="1"/>
  <c r="G4596" i="1"/>
  <c r="H4596" i="1"/>
  <c r="A4597" i="1"/>
  <c r="B4597" i="1"/>
  <c r="C4597" i="1"/>
  <c r="E4597" i="1"/>
  <c r="G4597" i="1"/>
  <c r="H4597" i="1"/>
  <c r="A4598" i="1"/>
  <c r="B4598" i="1"/>
  <c r="C4598" i="1"/>
  <c r="E4598" i="1"/>
  <c r="G4598" i="1"/>
  <c r="H4598" i="1"/>
  <c r="A4599" i="1"/>
  <c r="B4599" i="1"/>
  <c r="C4599" i="1"/>
  <c r="E4599" i="1"/>
  <c r="G4599" i="1"/>
  <c r="H4599" i="1"/>
  <c r="A4600" i="1"/>
  <c r="B4600" i="1"/>
  <c r="C4600" i="1"/>
  <c r="E4600" i="1"/>
  <c r="G4600" i="1"/>
  <c r="H4600" i="1"/>
  <c r="A4601" i="1"/>
  <c r="B4601" i="1"/>
  <c r="C4601" i="1"/>
  <c r="E4601" i="1"/>
  <c r="G4601" i="1"/>
  <c r="H4601" i="1"/>
  <c r="A4602" i="1"/>
  <c r="B4602" i="1"/>
  <c r="C4602" i="1"/>
  <c r="E4602" i="1"/>
  <c r="G4602" i="1"/>
  <c r="H4602" i="1"/>
  <c r="A4603" i="1"/>
  <c r="B4603" i="1"/>
  <c r="C4603" i="1"/>
  <c r="E4603" i="1"/>
  <c r="G4603" i="1"/>
  <c r="H4603" i="1"/>
  <c r="A4604" i="1"/>
  <c r="B4604" i="1"/>
  <c r="C4604" i="1"/>
  <c r="E4604" i="1"/>
  <c r="G4604" i="1"/>
  <c r="H4604" i="1"/>
  <c r="A4605" i="1"/>
  <c r="B4605" i="1"/>
  <c r="C4605" i="1"/>
  <c r="E4605" i="1"/>
  <c r="G4605" i="1"/>
  <c r="H4605" i="1"/>
  <c r="A4606" i="1"/>
  <c r="B4606" i="1"/>
  <c r="C4606" i="1"/>
  <c r="E4606" i="1"/>
  <c r="G4606" i="1"/>
  <c r="H4606" i="1"/>
  <c r="A4607" i="1"/>
  <c r="B4607" i="1"/>
  <c r="C4607" i="1"/>
  <c r="E4607" i="1"/>
  <c r="G4607" i="1"/>
  <c r="H4607" i="1"/>
  <c r="A4608" i="1"/>
  <c r="B4608" i="1"/>
  <c r="C4608" i="1"/>
  <c r="E4608" i="1"/>
  <c r="G4608" i="1"/>
  <c r="H4608" i="1"/>
  <c r="A4609" i="1"/>
  <c r="B4609" i="1"/>
  <c r="C4609" i="1"/>
  <c r="E4609" i="1"/>
  <c r="G4609" i="1"/>
  <c r="H4609" i="1"/>
  <c r="A4610" i="1"/>
  <c r="B4610" i="1"/>
  <c r="C4610" i="1"/>
  <c r="E4610" i="1"/>
  <c r="G4610" i="1"/>
  <c r="H4610" i="1"/>
  <c r="A4611" i="1"/>
  <c r="B4611" i="1"/>
  <c r="C4611" i="1"/>
  <c r="E4611" i="1"/>
  <c r="G4611" i="1"/>
  <c r="H4611" i="1"/>
  <c r="A4612" i="1"/>
  <c r="B4612" i="1"/>
  <c r="C4612" i="1"/>
  <c r="E4612" i="1"/>
  <c r="G4612" i="1"/>
  <c r="H4612" i="1"/>
  <c r="A4613" i="1"/>
  <c r="B4613" i="1"/>
  <c r="C4613" i="1"/>
  <c r="E4613" i="1"/>
  <c r="G4613" i="1"/>
  <c r="H4613" i="1"/>
  <c r="A4614" i="1"/>
  <c r="B4614" i="1"/>
  <c r="C4614" i="1"/>
  <c r="E4614" i="1"/>
  <c r="G4614" i="1"/>
  <c r="H4614" i="1"/>
  <c r="A4615" i="1"/>
  <c r="B4615" i="1"/>
  <c r="C4615" i="1"/>
  <c r="E4615" i="1"/>
  <c r="G4615" i="1"/>
  <c r="H4615" i="1"/>
  <c r="A4616" i="1"/>
  <c r="B4616" i="1"/>
  <c r="C4616" i="1"/>
  <c r="E4616" i="1"/>
  <c r="G4616" i="1"/>
  <c r="H4616" i="1"/>
  <c r="A4617" i="1"/>
  <c r="B4617" i="1"/>
  <c r="C4617" i="1"/>
  <c r="E4617" i="1"/>
  <c r="G4617" i="1"/>
  <c r="H4617" i="1"/>
  <c r="A4618" i="1"/>
  <c r="B4618" i="1"/>
  <c r="C4618" i="1"/>
  <c r="E4618" i="1"/>
  <c r="G4618" i="1"/>
  <c r="H4618" i="1"/>
  <c r="A4619" i="1"/>
  <c r="B4619" i="1"/>
  <c r="C4619" i="1"/>
  <c r="E4619" i="1"/>
  <c r="G4619" i="1"/>
  <c r="H4619" i="1"/>
  <c r="A4620" i="1"/>
  <c r="B4620" i="1"/>
  <c r="C4620" i="1"/>
  <c r="E4620" i="1"/>
  <c r="G4620" i="1"/>
  <c r="H4620" i="1"/>
  <c r="A4621" i="1"/>
  <c r="B4621" i="1"/>
  <c r="C4621" i="1"/>
  <c r="E4621" i="1"/>
  <c r="G4621" i="1"/>
  <c r="H4621" i="1"/>
  <c r="A4622" i="1"/>
  <c r="B4622" i="1"/>
  <c r="C4622" i="1"/>
  <c r="E4622" i="1"/>
  <c r="G4622" i="1"/>
  <c r="H4622" i="1"/>
  <c r="A4623" i="1"/>
  <c r="B4623" i="1"/>
  <c r="C4623" i="1"/>
  <c r="E4623" i="1"/>
  <c r="G4623" i="1"/>
  <c r="H4623" i="1"/>
  <c r="A4624" i="1"/>
  <c r="B4624" i="1"/>
  <c r="C4624" i="1"/>
  <c r="E4624" i="1"/>
  <c r="G4624" i="1"/>
  <c r="H4624" i="1"/>
  <c r="A4625" i="1"/>
  <c r="B4625" i="1"/>
  <c r="C4625" i="1"/>
  <c r="E4625" i="1"/>
  <c r="G4625" i="1"/>
  <c r="H4625" i="1"/>
  <c r="A4626" i="1"/>
  <c r="B4626" i="1"/>
  <c r="C4626" i="1"/>
  <c r="E4626" i="1"/>
  <c r="G4626" i="1"/>
  <c r="H4626" i="1"/>
  <c r="A4627" i="1"/>
  <c r="B4627" i="1"/>
  <c r="C4627" i="1"/>
  <c r="E4627" i="1"/>
  <c r="G4627" i="1"/>
  <c r="H4627" i="1"/>
  <c r="A4628" i="1"/>
  <c r="B4628" i="1"/>
  <c r="C4628" i="1"/>
  <c r="E4628" i="1"/>
  <c r="G4628" i="1"/>
  <c r="H4628" i="1"/>
  <c r="A4629" i="1"/>
  <c r="B4629" i="1"/>
  <c r="C4629" i="1"/>
  <c r="E4629" i="1"/>
  <c r="G4629" i="1"/>
  <c r="H4629" i="1"/>
  <c r="A4630" i="1"/>
  <c r="B4630" i="1"/>
  <c r="C4630" i="1"/>
  <c r="E4630" i="1"/>
  <c r="G4630" i="1"/>
  <c r="H4630" i="1"/>
  <c r="A4631" i="1"/>
  <c r="B4631" i="1"/>
  <c r="C4631" i="1"/>
  <c r="E4631" i="1"/>
  <c r="G4631" i="1"/>
  <c r="H4631" i="1"/>
  <c r="A4632" i="1"/>
  <c r="B4632" i="1"/>
  <c r="C4632" i="1"/>
  <c r="E4632" i="1"/>
  <c r="G4632" i="1"/>
  <c r="H4632" i="1"/>
  <c r="A4633" i="1"/>
  <c r="B4633" i="1"/>
  <c r="C4633" i="1"/>
  <c r="E4633" i="1"/>
  <c r="G4633" i="1"/>
  <c r="H4633" i="1"/>
  <c r="A4634" i="1"/>
  <c r="B4634" i="1"/>
  <c r="C4634" i="1"/>
  <c r="E4634" i="1"/>
  <c r="G4634" i="1"/>
  <c r="H4634" i="1"/>
  <c r="A4635" i="1"/>
  <c r="B4635" i="1"/>
  <c r="C4635" i="1"/>
  <c r="E4635" i="1"/>
  <c r="G4635" i="1"/>
  <c r="H4635" i="1"/>
  <c r="A4636" i="1"/>
  <c r="B4636" i="1"/>
  <c r="C4636" i="1"/>
  <c r="E4636" i="1"/>
  <c r="G4636" i="1"/>
  <c r="H4636" i="1"/>
  <c r="A4637" i="1"/>
  <c r="B4637" i="1"/>
  <c r="C4637" i="1"/>
  <c r="E4637" i="1"/>
  <c r="G4637" i="1"/>
  <c r="H4637" i="1"/>
  <c r="A4638" i="1"/>
  <c r="B4638" i="1"/>
  <c r="C4638" i="1"/>
  <c r="E4638" i="1"/>
  <c r="G4638" i="1"/>
  <c r="H4638" i="1"/>
  <c r="A4639" i="1"/>
  <c r="B4639" i="1"/>
  <c r="C4639" i="1"/>
  <c r="E4639" i="1"/>
  <c r="G4639" i="1"/>
  <c r="H4639" i="1"/>
  <c r="A4640" i="1"/>
  <c r="B4640" i="1"/>
  <c r="C4640" i="1"/>
  <c r="E4640" i="1"/>
  <c r="G4640" i="1"/>
  <c r="H4640" i="1"/>
  <c r="A4641" i="1"/>
  <c r="B4641" i="1"/>
  <c r="C4641" i="1"/>
  <c r="E4641" i="1"/>
  <c r="G4641" i="1"/>
  <c r="H4641" i="1"/>
  <c r="A4642" i="1"/>
  <c r="B4642" i="1"/>
  <c r="C4642" i="1"/>
  <c r="E4642" i="1"/>
  <c r="G4642" i="1"/>
  <c r="H4642" i="1"/>
  <c r="A4643" i="1"/>
  <c r="B4643" i="1"/>
  <c r="C4643" i="1"/>
  <c r="E4643" i="1"/>
  <c r="G4643" i="1"/>
  <c r="H4643" i="1"/>
  <c r="A4644" i="1"/>
  <c r="B4644" i="1"/>
  <c r="C4644" i="1"/>
  <c r="E4644" i="1"/>
  <c r="G4644" i="1"/>
  <c r="H4644" i="1"/>
  <c r="A4645" i="1"/>
  <c r="B4645" i="1"/>
  <c r="C4645" i="1"/>
  <c r="E4645" i="1"/>
  <c r="G4645" i="1"/>
  <c r="H4645" i="1"/>
  <c r="A4646" i="1"/>
  <c r="B4646" i="1"/>
  <c r="C4646" i="1"/>
  <c r="E4646" i="1"/>
  <c r="G4646" i="1"/>
  <c r="H4646" i="1"/>
  <c r="A4647" i="1"/>
  <c r="B4647" i="1"/>
  <c r="C4647" i="1"/>
  <c r="E4647" i="1"/>
  <c r="G4647" i="1"/>
  <c r="H4647" i="1"/>
  <c r="A4648" i="1"/>
  <c r="B4648" i="1"/>
  <c r="C4648" i="1"/>
  <c r="E4648" i="1"/>
  <c r="G4648" i="1"/>
  <c r="H4648" i="1"/>
  <c r="A4649" i="1"/>
  <c r="B4649" i="1"/>
  <c r="C4649" i="1"/>
  <c r="E4649" i="1"/>
  <c r="G4649" i="1"/>
  <c r="H4649" i="1"/>
  <c r="A4650" i="1"/>
  <c r="B4650" i="1"/>
  <c r="C4650" i="1"/>
  <c r="E4650" i="1"/>
  <c r="G4650" i="1"/>
  <c r="H4650" i="1"/>
  <c r="A4651" i="1"/>
  <c r="B4651" i="1"/>
  <c r="C4651" i="1"/>
  <c r="E4651" i="1"/>
  <c r="G4651" i="1"/>
  <c r="H4651" i="1"/>
  <c r="A4652" i="1"/>
  <c r="B4652" i="1"/>
  <c r="C4652" i="1"/>
  <c r="E4652" i="1"/>
  <c r="G4652" i="1"/>
  <c r="H4652" i="1"/>
  <c r="A4653" i="1"/>
  <c r="B4653" i="1"/>
  <c r="C4653" i="1"/>
  <c r="E4653" i="1"/>
  <c r="G4653" i="1"/>
  <c r="H4653" i="1"/>
  <c r="A4654" i="1"/>
  <c r="B4654" i="1"/>
  <c r="C4654" i="1"/>
  <c r="E4654" i="1"/>
  <c r="G4654" i="1"/>
  <c r="H4654" i="1"/>
  <c r="A4655" i="1"/>
  <c r="B4655" i="1"/>
  <c r="C4655" i="1"/>
  <c r="E4655" i="1"/>
  <c r="G4655" i="1"/>
  <c r="H4655" i="1"/>
  <c r="A4656" i="1"/>
  <c r="B4656" i="1"/>
  <c r="C4656" i="1"/>
  <c r="E4656" i="1"/>
  <c r="G4656" i="1"/>
  <c r="H4656" i="1"/>
  <c r="A4657" i="1"/>
  <c r="B4657" i="1"/>
  <c r="C4657" i="1"/>
  <c r="E4657" i="1"/>
  <c r="G4657" i="1"/>
  <c r="H4657" i="1"/>
  <c r="A4658" i="1"/>
  <c r="B4658" i="1"/>
  <c r="C4658" i="1"/>
  <c r="E4658" i="1"/>
  <c r="G4658" i="1"/>
  <c r="H4658" i="1"/>
  <c r="A4659" i="1"/>
  <c r="B4659" i="1"/>
  <c r="C4659" i="1"/>
  <c r="E4659" i="1"/>
  <c r="G4659" i="1"/>
  <c r="H4659" i="1"/>
  <c r="A4660" i="1"/>
  <c r="B4660" i="1"/>
  <c r="C4660" i="1"/>
  <c r="E4660" i="1"/>
  <c r="G4660" i="1"/>
  <c r="H4660" i="1"/>
  <c r="A4661" i="1"/>
  <c r="B4661" i="1"/>
  <c r="C4661" i="1"/>
  <c r="E4661" i="1"/>
  <c r="G4661" i="1"/>
  <c r="H4661" i="1"/>
  <c r="A4662" i="1"/>
  <c r="B4662" i="1"/>
  <c r="C4662" i="1"/>
  <c r="E4662" i="1"/>
  <c r="G4662" i="1"/>
  <c r="H4662" i="1"/>
  <c r="A4663" i="1"/>
  <c r="B4663" i="1"/>
  <c r="C4663" i="1"/>
  <c r="E4663" i="1"/>
  <c r="G4663" i="1"/>
  <c r="H4663" i="1"/>
  <c r="A4664" i="1"/>
  <c r="B4664" i="1"/>
  <c r="C4664" i="1"/>
  <c r="E4664" i="1"/>
  <c r="G4664" i="1"/>
  <c r="H4664" i="1"/>
  <c r="A4665" i="1"/>
  <c r="B4665" i="1"/>
  <c r="C4665" i="1"/>
  <c r="E4665" i="1"/>
  <c r="G4665" i="1"/>
  <c r="H4665" i="1"/>
  <c r="A4666" i="1"/>
  <c r="B4666" i="1"/>
  <c r="C4666" i="1"/>
  <c r="E4666" i="1"/>
  <c r="G4666" i="1"/>
  <c r="H4666" i="1"/>
  <c r="A4667" i="1"/>
  <c r="B4667" i="1"/>
  <c r="C4667" i="1"/>
  <c r="E4667" i="1"/>
  <c r="G4667" i="1"/>
  <c r="H4667" i="1"/>
  <c r="A4668" i="1"/>
  <c r="B4668" i="1"/>
  <c r="C4668" i="1"/>
  <c r="E4668" i="1"/>
  <c r="G4668" i="1"/>
  <c r="H4668" i="1"/>
  <c r="A4669" i="1"/>
  <c r="B4669" i="1"/>
  <c r="C4669" i="1"/>
  <c r="E4669" i="1"/>
  <c r="G4669" i="1"/>
  <c r="H4669" i="1"/>
  <c r="A4670" i="1"/>
  <c r="B4670" i="1"/>
  <c r="C4670" i="1"/>
  <c r="E4670" i="1"/>
  <c r="G4670" i="1"/>
  <c r="H4670" i="1"/>
  <c r="A4671" i="1"/>
  <c r="B4671" i="1"/>
  <c r="C4671" i="1"/>
  <c r="E4671" i="1"/>
  <c r="G4671" i="1"/>
  <c r="H4671" i="1"/>
  <c r="A4672" i="1"/>
  <c r="B4672" i="1"/>
  <c r="C4672" i="1"/>
  <c r="E4672" i="1"/>
  <c r="G4672" i="1"/>
  <c r="H4672" i="1"/>
  <c r="A4673" i="1"/>
  <c r="B4673" i="1"/>
  <c r="C4673" i="1"/>
  <c r="E4673" i="1"/>
  <c r="G4673" i="1"/>
  <c r="H4673" i="1"/>
  <c r="A4674" i="1"/>
  <c r="B4674" i="1"/>
  <c r="C4674" i="1"/>
  <c r="E4674" i="1"/>
  <c r="G4674" i="1"/>
  <c r="H4674" i="1"/>
  <c r="A4675" i="1"/>
  <c r="B4675" i="1"/>
  <c r="C4675" i="1"/>
  <c r="E4675" i="1"/>
  <c r="G4675" i="1"/>
  <c r="H4675" i="1"/>
  <c r="A4676" i="1"/>
  <c r="B4676" i="1"/>
  <c r="C4676" i="1"/>
  <c r="E4676" i="1"/>
  <c r="G4676" i="1"/>
  <c r="H4676" i="1"/>
  <c r="A4677" i="1"/>
  <c r="B4677" i="1"/>
  <c r="C4677" i="1"/>
  <c r="E4677" i="1"/>
  <c r="G4677" i="1"/>
  <c r="H4677" i="1"/>
  <c r="A4678" i="1"/>
  <c r="B4678" i="1"/>
  <c r="C4678" i="1"/>
  <c r="E4678" i="1"/>
  <c r="G4678" i="1"/>
  <c r="H4678" i="1"/>
  <c r="A4679" i="1"/>
  <c r="B4679" i="1"/>
  <c r="C4679" i="1"/>
  <c r="E4679" i="1"/>
  <c r="G4679" i="1"/>
  <c r="H4679" i="1"/>
  <c r="A4680" i="1"/>
  <c r="B4680" i="1"/>
  <c r="C4680" i="1"/>
  <c r="E4680" i="1"/>
  <c r="G4680" i="1"/>
  <c r="H4680" i="1"/>
  <c r="A4681" i="1"/>
  <c r="B4681" i="1"/>
  <c r="C4681" i="1"/>
  <c r="E4681" i="1"/>
  <c r="G4681" i="1"/>
  <c r="H4681" i="1"/>
  <c r="A4682" i="1"/>
  <c r="B4682" i="1"/>
  <c r="C4682" i="1"/>
  <c r="E4682" i="1"/>
  <c r="G4682" i="1"/>
  <c r="H4682" i="1"/>
  <c r="A4683" i="1"/>
  <c r="B4683" i="1"/>
  <c r="C4683" i="1"/>
  <c r="E4683" i="1"/>
  <c r="G4683" i="1"/>
  <c r="H4683" i="1"/>
  <c r="A4684" i="1"/>
  <c r="B4684" i="1"/>
  <c r="C4684" i="1"/>
  <c r="E4684" i="1"/>
  <c r="G4684" i="1"/>
  <c r="H4684" i="1"/>
  <c r="A4685" i="1"/>
  <c r="B4685" i="1"/>
  <c r="C4685" i="1"/>
  <c r="E4685" i="1"/>
  <c r="G4685" i="1"/>
  <c r="H4685" i="1"/>
  <c r="A4686" i="1"/>
  <c r="B4686" i="1"/>
  <c r="C4686" i="1"/>
  <c r="E4686" i="1"/>
  <c r="G4686" i="1"/>
  <c r="H4686" i="1"/>
  <c r="A4687" i="1"/>
  <c r="B4687" i="1"/>
  <c r="C4687" i="1"/>
  <c r="E4687" i="1"/>
  <c r="G4687" i="1"/>
  <c r="H4687" i="1"/>
  <c r="A4688" i="1"/>
  <c r="B4688" i="1"/>
  <c r="C4688" i="1"/>
  <c r="E4688" i="1"/>
  <c r="G4688" i="1"/>
  <c r="H4688" i="1"/>
  <c r="A4689" i="1"/>
  <c r="B4689" i="1"/>
  <c r="C4689" i="1"/>
  <c r="E4689" i="1"/>
  <c r="G4689" i="1"/>
  <c r="H4689" i="1"/>
  <c r="A4690" i="1"/>
  <c r="B4690" i="1"/>
  <c r="C4690" i="1"/>
  <c r="E4690" i="1"/>
  <c r="G4690" i="1"/>
  <c r="H4690" i="1"/>
  <c r="A4691" i="1"/>
  <c r="B4691" i="1"/>
  <c r="C4691" i="1"/>
  <c r="E4691" i="1"/>
  <c r="G4691" i="1"/>
  <c r="H4691" i="1"/>
  <c r="A4692" i="1"/>
  <c r="B4692" i="1"/>
  <c r="C4692" i="1"/>
  <c r="E4692" i="1"/>
  <c r="G4692" i="1"/>
  <c r="H4692" i="1"/>
  <c r="A4693" i="1"/>
  <c r="B4693" i="1"/>
  <c r="C4693" i="1"/>
  <c r="E4693" i="1"/>
  <c r="G4693" i="1"/>
  <c r="H4693" i="1"/>
  <c r="A4694" i="1"/>
  <c r="B4694" i="1"/>
  <c r="C4694" i="1"/>
  <c r="E4694" i="1"/>
  <c r="G4694" i="1"/>
  <c r="H4694" i="1"/>
  <c r="A4695" i="1"/>
  <c r="B4695" i="1"/>
  <c r="C4695" i="1"/>
  <c r="E4695" i="1"/>
  <c r="G4695" i="1"/>
  <c r="H4695" i="1"/>
  <c r="A4696" i="1"/>
  <c r="B4696" i="1"/>
  <c r="C4696" i="1"/>
  <c r="E4696" i="1"/>
  <c r="G4696" i="1"/>
  <c r="H4696" i="1"/>
  <c r="A4697" i="1"/>
  <c r="B4697" i="1"/>
  <c r="C4697" i="1"/>
  <c r="E4697" i="1"/>
  <c r="G4697" i="1"/>
  <c r="H4697" i="1"/>
  <c r="A4698" i="1"/>
  <c r="B4698" i="1"/>
  <c r="C4698" i="1"/>
  <c r="E4698" i="1"/>
  <c r="G4698" i="1"/>
  <c r="H4698" i="1"/>
  <c r="A4699" i="1"/>
  <c r="B4699" i="1"/>
  <c r="C4699" i="1"/>
  <c r="E4699" i="1"/>
  <c r="G4699" i="1"/>
  <c r="H4699" i="1"/>
  <c r="A4700" i="1"/>
  <c r="B4700" i="1"/>
  <c r="C4700" i="1"/>
  <c r="E4700" i="1"/>
  <c r="G4700" i="1"/>
  <c r="H4700" i="1"/>
  <c r="A4701" i="1"/>
  <c r="B4701" i="1"/>
  <c r="C4701" i="1"/>
  <c r="E4701" i="1"/>
  <c r="G4701" i="1"/>
  <c r="H4701" i="1"/>
  <c r="A4702" i="1"/>
  <c r="B4702" i="1"/>
  <c r="C4702" i="1"/>
  <c r="E4702" i="1"/>
  <c r="G4702" i="1"/>
  <c r="H4702" i="1"/>
  <c r="A4703" i="1"/>
  <c r="B4703" i="1"/>
  <c r="C4703" i="1"/>
  <c r="E4703" i="1"/>
  <c r="G4703" i="1"/>
  <c r="H4703" i="1"/>
  <c r="A4704" i="1"/>
  <c r="B4704" i="1"/>
  <c r="C4704" i="1"/>
  <c r="E4704" i="1"/>
  <c r="G4704" i="1"/>
  <c r="H4704" i="1"/>
  <c r="A4705" i="1"/>
  <c r="B4705" i="1"/>
  <c r="C4705" i="1"/>
  <c r="E4705" i="1"/>
  <c r="G4705" i="1"/>
  <c r="H4705" i="1"/>
  <c r="A4706" i="1"/>
  <c r="B4706" i="1"/>
  <c r="C4706" i="1"/>
  <c r="E4706" i="1"/>
  <c r="G4706" i="1"/>
  <c r="H4706" i="1"/>
  <c r="A4707" i="1"/>
  <c r="B4707" i="1"/>
  <c r="C4707" i="1"/>
  <c r="E4707" i="1"/>
  <c r="G4707" i="1"/>
  <c r="H4707" i="1"/>
  <c r="A4708" i="1"/>
  <c r="B4708" i="1"/>
  <c r="C4708" i="1"/>
  <c r="E4708" i="1"/>
  <c r="G4708" i="1"/>
  <c r="H4708" i="1"/>
  <c r="A4709" i="1"/>
  <c r="B4709" i="1"/>
  <c r="C4709" i="1"/>
  <c r="E4709" i="1"/>
  <c r="G4709" i="1"/>
  <c r="H4709" i="1"/>
  <c r="A4710" i="1"/>
  <c r="B4710" i="1"/>
  <c r="C4710" i="1"/>
  <c r="E4710" i="1"/>
  <c r="G4710" i="1"/>
  <c r="H4710" i="1"/>
  <c r="A4711" i="1"/>
  <c r="B4711" i="1"/>
  <c r="C4711" i="1"/>
  <c r="E4711" i="1"/>
  <c r="G4711" i="1"/>
  <c r="H4711" i="1"/>
  <c r="A4712" i="1"/>
  <c r="B4712" i="1"/>
  <c r="C4712" i="1"/>
  <c r="E4712" i="1"/>
  <c r="G4712" i="1"/>
  <c r="H4712" i="1"/>
  <c r="A4713" i="1"/>
  <c r="B4713" i="1"/>
  <c r="C4713" i="1"/>
  <c r="E4713" i="1"/>
  <c r="G4713" i="1"/>
  <c r="H4713" i="1"/>
  <c r="A4714" i="1"/>
  <c r="B4714" i="1"/>
  <c r="C4714" i="1"/>
  <c r="E4714" i="1"/>
  <c r="G4714" i="1"/>
  <c r="H4714" i="1"/>
  <c r="A4715" i="1"/>
  <c r="B4715" i="1"/>
  <c r="C4715" i="1"/>
  <c r="E4715" i="1"/>
  <c r="G4715" i="1"/>
  <c r="H4715" i="1"/>
  <c r="A4716" i="1"/>
  <c r="B4716" i="1"/>
  <c r="C4716" i="1"/>
  <c r="E4716" i="1"/>
  <c r="G4716" i="1"/>
  <c r="H4716" i="1"/>
  <c r="A4717" i="1"/>
  <c r="B4717" i="1"/>
  <c r="C4717" i="1"/>
  <c r="E4717" i="1"/>
  <c r="G4717" i="1"/>
  <c r="H4717" i="1"/>
  <c r="A4718" i="1"/>
  <c r="B4718" i="1"/>
  <c r="C4718" i="1"/>
  <c r="E4718" i="1"/>
  <c r="G4718" i="1"/>
  <c r="H4718" i="1"/>
  <c r="A4719" i="1"/>
  <c r="B4719" i="1"/>
  <c r="C4719" i="1"/>
  <c r="E4719" i="1"/>
  <c r="G4719" i="1"/>
  <c r="H4719" i="1"/>
  <c r="A4720" i="1"/>
  <c r="B4720" i="1"/>
  <c r="C4720" i="1"/>
  <c r="E4720" i="1"/>
  <c r="G4720" i="1"/>
  <c r="H4720" i="1"/>
  <c r="A4721" i="1"/>
  <c r="B4721" i="1"/>
  <c r="C4721" i="1"/>
  <c r="E4721" i="1"/>
  <c r="G4721" i="1"/>
  <c r="H4721" i="1"/>
  <c r="A4722" i="1"/>
  <c r="B4722" i="1"/>
  <c r="C4722" i="1"/>
  <c r="E4722" i="1"/>
  <c r="G4722" i="1"/>
  <c r="H4722" i="1"/>
  <c r="A4723" i="1"/>
  <c r="B4723" i="1"/>
  <c r="C4723" i="1"/>
  <c r="E4723" i="1"/>
  <c r="G4723" i="1"/>
  <c r="H4723" i="1"/>
  <c r="A4724" i="1"/>
  <c r="B4724" i="1"/>
  <c r="C4724" i="1"/>
  <c r="E4724" i="1"/>
  <c r="G4724" i="1"/>
  <c r="H4724" i="1"/>
  <c r="A4725" i="1"/>
  <c r="B4725" i="1"/>
  <c r="C4725" i="1"/>
  <c r="E4725" i="1"/>
  <c r="G4725" i="1"/>
  <c r="H4725" i="1"/>
  <c r="A4726" i="1"/>
  <c r="B4726" i="1"/>
  <c r="C4726" i="1"/>
  <c r="E4726" i="1"/>
  <c r="G4726" i="1"/>
  <c r="H4726" i="1"/>
  <c r="A4727" i="1"/>
  <c r="B4727" i="1"/>
  <c r="C4727" i="1"/>
  <c r="E4727" i="1"/>
  <c r="G4727" i="1"/>
  <c r="H4727" i="1"/>
  <c r="A4728" i="1"/>
  <c r="B4728" i="1"/>
  <c r="C4728" i="1"/>
  <c r="E4728" i="1"/>
  <c r="G4728" i="1"/>
  <c r="H4728" i="1"/>
  <c r="A4729" i="1"/>
  <c r="B4729" i="1"/>
  <c r="C4729" i="1"/>
  <c r="E4729" i="1"/>
  <c r="G4729" i="1"/>
  <c r="H4729" i="1"/>
  <c r="A4730" i="1"/>
  <c r="B4730" i="1"/>
  <c r="C4730" i="1"/>
  <c r="E4730" i="1"/>
  <c r="G4730" i="1"/>
  <c r="H4730" i="1"/>
  <c r="A4731" i="1"/>
  <c r="B4731" i="1"/>
  <c r="C4731" i="1"/>
  <c r="E4731" i="1"/>
  <c r="G4731" i="1"/>
  <c r="H4731" i="1"/>
  <c r="A4732" i="1"/>
  <c r="B4732" i="1"/>
  <c r="C4732" i="1"/>
  <c r="E4732" i="1"/>
  <c r="G4732" i="1"/>
  <c r="H4732" i="1"/>
  <c r="A4733" i="1"/>
  <c r="B4733" i="1"/>
  <c r="C4733" i="1"/>
  <c r="E4733" i="1"/>
  <c r="G4733" i="1"/>
  <c r="H4733" i="1"/>
  <c r="A4734" i="1"/>
  <c r="B4734" i="1"/>
  <c r="C4734" i="1"/>
  <c r="E4734" i="1"/>
  <c r="G4734" i="1"/>
  <c r="H4734" i="1"/>
  <c r="A4735" i="1"/>
  <c r="B4735" i="1"/>
  <c r="C4735" i="1"/>
  <c r="E4735" i="1"/>
  <c r="G4735" i="1"/>
  <c r="H4735" i="1"/>
  <c r="A4736" i="1"/>
  <c r="B4736" i="1"/>
  <c r="C4736" i="1"/>
  <c r="E4736" i="1"/>
  <c r="G4736" i="1"/>
  <c r="H4736" i="1"/>
  <c r="A4737" i="1"/>
  <c r="B4737" i="1"/>
  <c r="C4737" i="1"/>
  <c r="E4737" i="1"/>
  <c r="G4737" i="1"/>
  <c r="H4737" i="1"/>
  <c r="A4738" i="1"/>
  <c r="B4738" i="1"/>
  <c r="C4738" i="1"/>
  <c r="E4738" i="1"/>
  <c r="G4738" i="1"/>
  <c r="H4738" i="1"/>
  <c r="A4739" i="1"/>
  <c r="B4739" i="1"/>
  <c r="C4739" i="1"/>
  <c r="E4739" i="1"/>
  <c r="G4739" i="1"/>
  <c r="H4739" i="1"/>
  <c r="A4740" i="1"/>
  <c r="B4740" i="1"/>
  <c r="C4740" i="1"/>
  <c r="E4740" i="1"/>
  <c r="G4740" i="1"/>
  <c r="H4740" i="1"/>
  <c r="A4741" i="1"/>
  <c r="B4741" i="1"/>
  <c r="C4741" i="1"/>
  <c r="E4741" i="1"/>
  <c r="G4741" i="1"/>
  <c r="H4741" i="1"/>
  <c r="A4742" i="1"/>
  <c r="B4742" i="1"/>
  <c r="C4742" i="1"/>
  <c r="E4742" i="1"/>
  <c r="G4742" i="1"/>
  <c r="H4742" i="1"/>
  <c r="A4743" i="1"/>
  <c r="B4743" i="1"/>
  <c r="C4743" i="1"/>
  <c r="E4743" i="1"/>
  <c r="G4743" i="1"/>
  <c r="H4743" i="1"/>
  <c r="A4744" i="1"/>
  <c r="B4744" i="1"/>
  <c r="C4744" i="1"/>
  <c r="E4744" i="1"/>
  <c r="G4744" i="1"/>
  <c r="H4744" i="1"/>
  <c r="A4745" i="1"/>
  <c r="B4745" i="1"/>
  <c r="C4745" i="1"/>
  <c r="E4745" i="1"/>
  <c r="G4745" i="1"/>
  <c r="H4745" i="1"/>
  <c r="A4746" i="1"/>
  <c r="B4746" i="1"/>
  <c r="C4746" i="1"/>
  <c r="E4746" i="1"/>
  <c r="G4746" i="1"/>
  <c r="H4746" i="1"/>
  <c r="A4747" i="1"/>
  <c r="B4747" i="1"/>
  <c r="C4747" i="1"/>
  <c r="E4747" i="1"/>
  <c r="G4747" i="1"/>
  <c r="H4747" i="1"/>
  <c r="A4748" i="1"/>
  <c r="B4748" i="1"/>
  <c r="C4748" i="1"/>
  <c r="E4748" i="1"/>
  <c r="G4748" i="1"/>
  <c r="H4748" i="1"/>
  <c r="A4749" i="1"/>
  <c r="B4749" i="1"/>
  <c r="C4749" i="1"/>
  <c r="E4749" i="1"/>
  <c r="G4749" i="1"/>
  <c r="H4749" i="1"/>
  <c r="A4750" i="1"/>
  <c r="B4750" i="1"/>
  <c r="C4750" i="1"/>
  <c r="E4750" i="1"/>
  <c r="G4750" i="1"/>
  <c r="H4750" i="1"/>
  <c r="A4751" i="1"/>
  <c r="B4751" i="1"/>
  <c r="C4751" i="1"/>
  <c r="E4751" i="1"/>
  <c r="G4751" i="1"/>
  <c r="H4751" i="1"/>
  <c r="A4752" i="1"/>
  <c r="B4752" i="1"/>
  <c r="C4752" i="1"/>
  <c r="E4752" i="1"/>
  <c r="G4752" i="1"/>
  <c r="H4752" i="1"/>
  <c r="A4753" i="1"/>
  <c r="B4753" i="1"/>
  <c r="C4753" i="1"/>
  <c r="E4753" i="1"/>
  <c r="G4753" i="1"/>
  <c r="H4753" i="1"/>
  <c r="A4754" i="1"/>
  <c r="B4754" i="1"/>
  <c r="C4754" i="1"/>
  <c r="E4754" i="1"/>
  <c r="G4754" i="1"/>
  <c r="H4754" i="1"/>
  <c r="A4755" i="1"/>
  <c r="B4755" i="1"/>
  <c r="C4755" i="1"/>
  <c r="E4755" i="1"/>
  <c r="G4755" i="1"/>
  <c r="H4755" i="1"/>
  <c r="A4756" i="1"/>
  <c r="B4756" i="1"/>
  <c r="C4756" i="1"/>
  <c r="E4756" i="1"/>
  <c r="G4756" i="1"/>
  <c r="H4756" i="1"/>
  <c r="A4757" i="1"/>
  <c r="B4757" i="1"/>
  <c r="C4757" i="1"/>
  <c r="E4757" i="1"/>
  <c r="G4757" i="1"/>
  <c r="H4757" i="1"/>
  <c r="A4758" i="1"/>
  <c r="B4758" i="1"/>
  <c r="C4758" i="1"/>
  <c r="E4758" i="1"/>
  <c r="G4758" i="1"/>
  <c r="H4758" i="1"/>
  <c r="A4759" i="1"/>
  <c r="B4759" i="1"/>
  <c r="C4759" i="1"/>
  <c r="E4759" i="1"/>
  <c r="G4759" i="1"/>
  <c r="H4759" i="1"/>
  <c r="A4760" i="1"/>
  <c r="B4760" i="1"/>
  <c r="C4760" i="1"/>
  <c r="E4760" i="1"/>
  <c r="G4760" i="1"/>
  <c r="H4760" i="1"/>
  <c r="A4761" i="1"/>
  <c r="B4761" i="1"/>
  <c r="C4761" i="1"/>
  <c r="E4761" i="1"/>
  <c r="G4761" i="1"/>
  <c r="H4761" i="1"/>
  <c r="A4762" i="1"/>
  <c r="B4762" i="1"/>
  <c r="C4762" i="1"/>
  <c r="E4762" i="1"/>
  <c r="G4762" i="1"/>
  <c r="H4762" i="1"/>
  <c r="A4763" i="1"/>
  <c r="B4763" i="1"/>
  <c r="C4763" i="1"/>
  <c r="E4763" i="1"/>
  <c r="G4763" i="1"/>
  <c r="H4763" i="1"/>
  <c r="A4764" i="1"/>
  <c r="B4764" i="1"/>
  <c r="C4764" i="1"/>
  <c r="E4764" i="1"/>
  <c r="G4764" i="1"/>
  <c r="H4764" i="1"/>
  <c r="A4765" i="1"/>
  <c r="B4765" i="1"/>
  <c r="C4765" i="1"/>
  <c r="E4765" i="1"/>
  <c r="G4765" i="1"/>
  <c r="H4765" i="1"/>
  <c r="A4766" i="1"/>
  <c r="B4766" i="1"/>
  <c r="C4766" i="1"/>
  <c r="E4766" i="1"/>
  <c r="G4766" i="1"/>
  <c r="H4766" i="1"/>
  <c r="A4767" i="1"/>
  <c r="B4767" i="1"/>
  <c r="C4767" i="1"/>
  <c r="E4767" i="1"/>
  <c r="G4767" i="1"/>
  <c r="H4767" i="1"/>
  <c r="A4768" i="1"/>
  <c r="B4768" i="1"/>
  <c r="C4768" i="1"/>
  <c r="E4768" i="1"/>
  <c r="G4768" i="1"/>
  <c r="H4768" i="1"/>
  <c r="A4769" i="1"/>
  <c r="B4769" i="1"/>
  <c r="C4769" i="1"/>
  <c r="E4769" i="1"/>
  <c r="G4769" i="1"/>
  <c r="H4769" i="1"/>
  <c r="A4770" i="1"/>
  <c r="B4770" i="1"/>
  <c r="C4770" i="1"/>
  <c r="E4770" i="1"/>
  <c r="G4770" i="1"/>
  <c r="H4770" i="1"/>
  <c r="A4771" i="1"/>
  <c r="B4771" i="1"/>
  <c r="C4771" i="1"/>
  <c r="E4771" i="1"/>
  <c r="G4771" i="1"/>
  <c r="H4771" i="1"/>
  <c r="A4772" i="1"/>
  <c r="B4772" i="1"/>
  <c r="C4772" i="1"/>
  <c r="E4772" i="1"/>
  <c r="G4772" i="1"/>
  <c r="H4772" i="1"/>
  <c r="A4773" i="1"/>
  <c r="B4773" i="1"/>
  <c r="C4773" i="1"/>
  <c r="E4773" i="1"/>
  <c r="G4773" i="1"/>
  <c r="H4773" i="1"/>
  <c r="A4774" i="1"/>
  <c r="B4774" i="1"/>
  <c r="C4774" i="1"/>
  <c r="E4774" i="1"/>
  <c r="G4774" i="1"/>
  <c r="H4774" i="1"/>
  <c r="A4775" i="1"/>
  <c r="B4775" i="1"/>
  <c r="C4775" i="1"/>
  <c r="E4775" i="1"/>
  <c r="G4775" i="1"/>
  <c r="H4775" i="1"/>
  <c r="A4776" i="1"/>
  <c r="B4776" i="1"/>
  <c r="C4776" i="1"/>
  <c r="E4776" i="1"/>
  <c r="G4776" i="1"/>
  <c r="H4776" i="1"/>
  <c r="A4777" i="1"/>
  <c r="B4777" i="1"/>
  <c r="C4777" i="1"/>
  <c r="E4777" i="1"/>
  <c r="G4777" i="1"/>
  <c r="H4777" i="1"/>
  <c r="A4778" i="1"/>
  <c r="B4778" i="1"/>
  <c r="C4778" i="1"/>
  <c r="E4778" i="1"/>
  <c r="G4778" i="1"/>
  <c r="H4778" i="1"/>
  <c r="A4779" i="1"/>
  <c r="B4779" i="1"/>
  <c r="C4779" i="1"/>
  <c r="E4779" i="1"/>
  <c r="G4779" i="1"/>
  <c r="H4779" i="1"/>
  <c r="A4780" i="1"/>
  <c r="B4780" i="1"/>
  <c r="C4780" i="1"/>
  <c r="E4780" i="1"/>
  <c r="G4780" i="1"/>
  <c r="H4780" i="1"/>
  <c r="A4781" i="1"/>
  <c r="B4781" i="1"/>
  <c r="C4781" i="1"/>
  <c r="E4781" i="1"/>
  <c r="G4781" i="1"/>
  <c r="H4781" i="1"/>
  <c r="A4782" i="1"/>
  <c r="B4782" i="1"/>
  <c r="C4782" i="1"/>
  <c r="E4782" i="1"/>
  <c r="G4782" i="1"/>
  <c r="H4782" i="1"/>
  <c r="A4783" i="1"/>
  <c r="B4783" i="1"/>
  <c r="C4783" i="1"/>
  <c r="E4783" i="1"/>
  <c r="G4783" i="1"/>
  <c r="H4783" i="1"/>
  <c r="A4784" i="1"/>
  <c r="B4784" i="1"/>
  <c r="C4784" i="1"/>
  <c r="E4784" i="1"/>
  <c r="G4784" i="1"/>
  <c r="H4784" i="1"/>
  <c r="A4785" i="1"/>
  <c r="B4785" i="1"/>
  <c r="C4785" i="1"/>
  <c r="E4785" i="1"/>
  <c r="G4785" i="1"/>
  <c r="H4785" i="1"/>
  <c r="A4786" i="1"/>
  <c r="B4786" i="1"/>
  <c r="C4786" i="1"/>
  <c r="E4786" i="1"/>
  <c r="G4786" i="1"/>
  <c r="H4786" i="1"/>
  <c r="A4787" i="1"/>
  <c r="B4787" i="1"/>
  <c r="C4787" i="1"/>
  <c r="E4787" i="1"/>
  <c r="G4787" i="1"/>
  <c r="H4787" i="1"/>
  <c r="A4788" i="1"/>
  <c r="B4788" i="1"/>
  <c r="C4788" i="1"/>
  <c r="E4788" i="1"/>
  <c r="G4788" i="1"/>
  <c r="H4788" i="1"/>
  <c r="A4789" i="1"/>
  <c r="B4789" i="1"/>
  <c r="C4789" i="1"/>
  <c r="E4789" i="1"/>
  <c r="G4789" i="1"/>
  <c r="H4789" i="1"/>
  <c r="A4790" i="1"/>
  <c r="B4790" i="1"/>
  <c r="C4790" i="1"/>
  <c r="E4790" i="1"/>
  <c r="G4790" i="1"/>
  <c r="H4790" i="1"/>
  <c r="A4791" i="1"/>
  <c r="B4791" i="1"/>
  <c r="C4791" i="1"/>
  <c r="E4791" i="1"/>
  <c r="G4791" i="1"/>
  <c r="H4791" i="1"/>
  <c r="A4792" i="1"/>
  <c r="B4792" i="1"/>
  <c r="C4792" i="1"/>
  <c r="E4792" i="1"/>
  <c r="G4792" i="1"/>
  <c r="H4792" i="1"/>
  <c r="A4793" i="1"/>
  <c r="B4793" i="1"/>
  <c r="C4793" i="1"/>
  <c r="E4793" i="1"/>
  <c r="G4793" i="1"/>
  <c r="H4793" i="1"/>
  <c r="A4794" i="1"/>
  <c r="B4794" i="1"/>
  <c r="C4794" i="1"/>
  <c r="E4794" i="1"/>
  <c r="G4794" i="1"/>
  <c r="H4794" i="1"/>
  <c r="A4795" i="1"/>
  <c r="B4795" i="1"/>
  <c r="C4795" i="1"/>
  <c r="E4795" i="1"/>
  <c r="G4795" i="1"/>
  <c r="H4795" i="1"/>
  <c r="A4796" i="1"/>
  <c r="B4796" i="1"/>
  <c r="C4796" i="1"/>
  <c r="E4796" i="1"/>
  <c r="G4796" i="1"/>
  <c r="H4796" i="1"/>
  <c r="A4797" i="1"/>
  <c r="B4797" i="1"/>
  <c r="C4797" i="1"/>
  <c r="E4797" i="1"/>
  <c r="G4797" i="1"/>
  <c r="H4797" i="1"/>
  <c r="A4798" i="1"/>
  <c r="B4798" i="1"/>
  <c r="C4798" i="1"/>
  <c r="E4798" i="1"/>
  <c r="G4798" i="1"/>
  <c r="H4798" i="1"/>
  <c r="A4799" i="1"/>
  <c r="B4799" i="1"/>
  <c r="C4799" i="1"/>
  <c r="E4799" i="1"/>
  <c r="G4799" i="1"/>
  <c r="H4799" i="1"/>
  <c r="A4800" i="1"/>
  <c r="B4800" i="1"/>
  <c r="C4800" i="1"/>
  <c r="E4800" i="1"/>
  <c r="G4800" i="1"/>
  <c r="H4800" i="1"/>
  <c r="A4801" i="1"/>
  <c r="B4801" i="1"/>
  <c r="C4801" i="1"/>
  <c r="E4801" i="1"/>
  <c r="G4801" i="1"/>
  <c r="H4801" i="1"/>
  <c r="A4802" i="1"/>
  <c r="B4802" i="1"/>
  <c r="C4802" i="1"/>
  <c r="E4802" i="1"/>
  <c r="G4802" i="1"/>
  <c r="H4802" i="1"/>
  <c r="A4803" i="1"/>
  <c r="B4803" i="1"/>
  <c r="C4803" i="1"/>
  <c r="E4803" i="1"/>
  <c r="G4803" i="1"/>
  <c r="H4803" i="1"/>
  <c r="A4804" i="1"/>
  <c r="B4804" i="1"/>
  <c r="C4804" i="1"/>
  <c r="E4804" i="1"/>
  <c r="G4804" i="1"/>
  <c r="H4804" i="1"/>
  <c r="A4805" i="1"/>
  <c r="B4805" i="1"/>
  <c r="C4805" i="1"/>
  <c r="E4805" i="1"/>
  <c r="G4805" i="1"/>
  <c r="H4805" i="1"/>
  <c r="A4806" i="1"/>
  <c r="B4806" i="1"/>
  <c r="C4806" i="1"/>
  <c r="E4806" i="1"/>
  <c r="G4806" i="1"/>
  <c r="H4806" i="1"/>
  <c r="A4807" i="1"/>
  <c r="B4807" i="1"/>
  <c r="C4807" i="1"/>
  <c r="E4807" i="1"/>
  <c r="G4807" i="1"/>
  <c r="H4807" i="1"/>
  <c r="A4808" i="1"/>
  <c r="B4808" i="1"/>
  <c r="C4808" i="1"/>
  <c r="E4808" i="1"/>
  <c r="G4808" i="1"/>
  <c r="H4808" i="1"/>
  <c r="A4809" i="1"/>
  <c r="B4809" i="1"/>
  <c r="C4809" i="1"/>
  <c r="E4809" i="1"/>
  <c r="G4809" i="1"/>
  <c r="H4809" i="1"/>
  <c r="A4810" i="1"/>
  <c r="B4810" i="1"/>
  <c r="C4810" i="1"/>
  <c r="E4810" i="1"/>
  <c r="G4810" i="1"/>
  <c r="H4810" i="1"/>
  <c r="A4811" i="1"/>
  <c r="B4811" i="1"/>
  <c r="C4811" i="1"/>
  <c r="E4811" i="1"/>
  <c r="G4811" i="1"/>
  <c r="H4811" i="1"/>
  <c r="A4812" i="1"/>
  <c r="B4812" i="1"/>
  <c r="C4812" i="1"/>
  <c r="E4812" i="1"/>
  <c r="G4812" i="1"/>
  <c r="H4812" i="1"/>
  <c r="A4813" i="1"/>
  <c r="B4813" i="1"/>
  <c r="C4813" i="1"/>
  <c r="E4813" i="1"/>
  <c r="G4813" i="1"/>
  <c r="H4813" i="1"/>
  <c r="A4814" i="1"/>
  <c r="B4814" i="1"/>
  <c r="C4814" i="1"/>
  <c r="E4814" i="1"/>
  <c r="G4814" i="1"/>
  <c r="H4814" i="1"/>
  <c r="A4815" i="1"/>
  <c r="B4815" i="1"/>
  <c r="C4815" i="1"/>
  <c r="E4815" i="1"/>
  <c r="G4815" i="1"/>
  <c r="H4815" i="1"/>
  <c r="A4816" i="1"/>
  <c r="B4816" i="1"/>
  <c r="C4816" i="1"/>
  <c r="E4816" i="1"/>
  <c r="G4816" i="1"/>
  <c r="H4816" i="1"/>
  <c r="A4817" i="1"/>
  <c r="B4817" i="1"/>
  <c r="C4817" i="1"/>
  <c r="E4817" i="1"/>
  <c r="G4817" i="1"/>
  <c r="H4817" i="1"/>
  <c r="A4818" i="1"/>
  <c r="B4818" i="1"/>
  <c r="C4818" i="1"/>
  <c r="E4818" i="1"/>
  <c r="G4818" i="1"/>
  <c r="H4818" i="1"/>
  <c r="A4819" i="1"/>
  <c r="B4819" i="1"/>
  <c r="C4819" i="1"/>
  <c r="E4819" i="1"/>
  <c r="G4819" i="1"/>
  <c r="H4819" i="1"/>
  <c r="A4820" i="1"/>
  <c r="B4820" i="1"/>
  <c r="C4820" i="1"/>
  <c r="E4820" i="1"/>
  <c r="G4820" i="1"/>
  <c r="H4820" i="1"/>
  <c r="A4821" i="1"/>
  <c r="B4821" i="1"/>
  <c r="C4821" i="1"/>
  <c r="E4821" i="1"/>
  <c r="G4821" i="1"/>
  <c r="H4821" i="1"/>
  <c r="A4822" i="1"/>
  <c r="B4822" i="1"/>
  <c r="C4822" i="1"/>
  <c r="E4822" i="1"/>
  <c r="G4822" i="1"/>
  <c r="H4822" i="1"/>
  <c r="A4823" i="1"/>
  <c r="B4823" i="1"/>
  <c r="C4823" i="1"/>
  <c r="E4823" i="1"/>
  <c r="G4823" i="1"/>
  <c r="H4823" i="1"/>
  <c r="A4824" i="1"/>
  <c r="B4824" i="1"/>
  <c r="C4824" i="1"/>
  <c r="E4824" i="1"/>
  <c r="G4824" i="1"/>
  <c r="H4824" i="1"/>
  <c r="A4825" i="1"/>
  <c r="B4825" i="1"/>
  <c r="C4825" i="1"/>
  <c r="E4825" i="1"/>
  <c r="G4825" i="1"/>
  <c r="H4825" i="1"/>
  <c r="A4826" i="1"/>
  <c r="B4826" i="1"/>
  <c r="C4826" i="1"/>
  <c r="E4826" i="1"/>
  <c r="G4826" i="1"/>
  <c r="H4826" i="1"/>
  <c r="A4827" i="1"/>
  <c r="B4827" i="1"/>
  <c r="C4827" i="1"/>
  <c r="E4827" i="1"/>
  <c r="G4827" i="1"/>
  <c r="H4827" i="1"/>
  <c r="A4828" i="1"/>
  <c r="B4828" i="1"/>
  <c r="C4828" i="1"/>
  <c r="E4828" i="1"/>
  <c r="G4828" i="1"/>
  <c r="H4828" i="1"/>
  <c r="A4829" i="1"/>
  <c r="B4829" i="1"/>
  <c r="C4829" i="1"/>
  <c r="E4829" i="1"/>
  <c r="G4829" i="1"/>
  <c r="H4829" i="1"/>
  <c r="A4830" i="1"/>
  <c r="B4830" i="1"/>
  <c r="C4830" i="1"/>
  <c r="E4830" i="1"/>
  <c r="G4830" i="1"/>
  <c r="H4830" i="1"/>
  <c r="A4831" i="1"/>
  <c r="B4831" i="1"/>
  <c r="C4831" i="1"/>
  <c r="E4831" i="1"/>
  <c r="G4831" i="1"/>
  <c r="H4831" i="1"/>
  <c r="A4832" i="1"/>
  <c r="B4832" i="1"/>
  <c r="C4832" i="1"/>
  <c r="E4832" i="1"/>
  <c r="G4832" i="1"/>
  <c r="H4832" i="1"/>
  <c r="A4833" i="1"/>
  <c r="B4833" i="1"/>
  <c r="C4833" i="1"/>
  <c r="E4833" i="1"/>
  <c r="G4833" i="1"/>
  <c r="H4833" i="1"/>
  <c r="A4834" i="1"/>
  <c r="B4834" i="1"/>
  <c r="C4834" i="1"/>
  <c r="E4834" i="1"/>
  <c r="G4834" i="1"/>
  <c r="H4834" i="1"/>
  <c r="A4835" i="1"/>
  <c r="B4835" i="1"/>
  <c r="C4835" i="1"/>
  <c r="E4835" i="1"/>
  <c r="G4835" i="1"/>
  <c r="H4835" i="1"/>
  <c r="A4836" i="1"/>
  <c r="B4836" i="1"/>
  <c r="C4836" i="1"/>
  <c r="E4836" i="1"/>
  <c r="G4836" i="1"/>
  <c r="H4836" i="1"/>
  <c r="A4837" i="1"/>
  <c r="B4837" i="1"/>
  <c r="C4837" i="1"/>
  <c r="E4837" i="1"/>
  <c r="G4837" i="1"/>
  <c r="H4837" i="1"/>
  <c r="A4838" i="1"/>
  <c r="B4838" i="1"/>
  <c r="C4838" i="1"/>
  <c r="E4838" i="1"/>
  <c r="G4838" i="1"/>
  <c r="H4838" i="1"/>
  <c r="A4839" i="1"/>
  <c r="B4839" i="1"/>
  <c r="C4839" i="1"/>
  <c r="E4839" i="1"/>
  <c r="G4839" i="1"/>
  <c r="H4839" i="1"/>
  <c r="A4840" i="1"/>
  <c r="B4840" i="1"/>
  <c r="C4840" i="1"/>
  <c r="E4840" i="1"/>
  <c r="G4840" i="1"/>
  <c r="H4840" i="1"/>
  <c r="A4841" i="1"/>
  <c r="B4841" i="1"/>
  <c r="C4841" i="1"/>
  <c r="E4841" i="1"/>
  <c r="G4841" i="1"/>
  <c r="H4841" i="1"/>
  <c r="A4842" i="1"/>
  <c r="B4842" i="1"/>
  <c r="C4842" i="1"/>
  <c r="E4842" i="1"/>
  <c r="G4842" i="1"/>
  <c r="H4842" i="1"/>
  <c r="A4843" i="1"/>
  <c r="B4843" i="1"/>
  <c r="C4843" i="1"/>
  <c r="E4843" i="1"/>
  <c r="G4843" i="1"/>
  <c r="H4843" i="1"/>
  <c r="A4844" i="1"/>
  <c r="B4844" i="1"/>
  <c r="C4844" i="1"/>
  <c r="E4844" i="1"/>
  <c r="G4844" i="1"/>
  <c r="H4844" i="1"/>
  <c r="A4845" i="1"/>
  <c r="B4845" i="1"/>
  <c r="C4845" i="1"/>
  <c r="E4845" i="1"/>
  <c r="G4845" i="1"/>
  <c r="H4845" i="1"/>
  <c r="A4846" i="1"/>
  <c r="B4846" i="1"/>
  <c r="C4846" i="1"/>
  <c r="E4846" i="1"/>
  <c r="G4846" i="1"/>
  <c r="H4846" i="1"/>
  <c r="A4847" i="1"/>
  <c r="B4847" i="1"/>
  <c r="C4847" i="1"/>
  <c r="E4847" i="1"/>
  <c r="G4847" i="1"/>
  <c r="H4847" i="1"/>
  <c r="A4848" i="1"/>
  <c r="B4848" i="1"/>
  <c r="C4848" i="1"/>
  <c r="E4848" i="1"/>
  <c r="G4848" i="1"/>
  <c r="H4848" i="1"/>
  <c r="A4849" i="1"/>
  <c r="B4849" i="1"/>
  <c r="C4849" i="1"/>
  <c r="E4849" i="1"/>
  <c r="G4849" i="1"/>
  <c r="H4849" i="1"/>
  <c r="A4850" i="1"/>
  <c r="B4850" i="1"/>
  <c r="C4850" i="1"/>
  <c r="E4850" i="1"/>
  <c r="G4850" i="1"/>
  <c r="H4850" i="1"/>
  <c r="A4851" i="1"/>
  <c r="B4851" i="1"/>
  <c r="C4851" i="1"/>
  <c r="E4851" i="1"/>
  <c r="G4851" i="1"/>
  <c r="H4851" i="1"/>
  <c r="A4852" i="1"/>
  <c r="B4852" i="1"/>
  <c r="C4852" i="1"/>
  <c r="E4852" i="1"/>
  <c r="G4852" i="1"/>
  <c r="H4852" i="1"/>
  <c r="A4853" i="1"/>
  <c r="B4853" i="1"/>
  <c r="C4853" i="1"/>
  <c r="E4853" i="1"/>
  <c r="G4853" i="1"/>
  <c r="H4853" i="1"/>
  <c r="A4854" i="1"/>
  <c r="B4854" i="1"/>
  <c r="C4854" i="1"/>
  <c r="E4854" i="1"/>
  <c r="G4854" i="1"/>
  <c r="H4854" i="1"/>
  <c r="A4855" i="1"/>
  <c r="B4855" i="1"/>
  <c r="C4855" i="1"/>
  <c r="E4855" i="1"/>
  <c r="G4855" i="1"/>
  <c r="H4855" i="1"/>
  <c r="A4856" i="1"/>
  <c r="B4856" i="1"/>
  <c r="C4856" i="1"/>
  <c r="E4856" i="1"/>
  <c r="G4856" i="1"/>
  <c r="H4856" i="1"/>
  <c r="A4857" i="1"/>
  <c r="B4857" i="1"/>
  <c r="C4857" i="1"/>
  <c r="E4857" i="1"/>
  <c r="G4857" i="1"/>
  <c r="H4857" i="1"/>
  <c r="A4858" i="1"/>
  <c r="B4858" i="1"/>
  <c r="C4858" i="1"/>
  <c r="E4858" i="1"/>
  <c r="G4858" i="1"/>
  <c r="H4858" i="1"/>
  <c r="A4859" i="1"/>
  <c r="B4859" i="1"/>
  <c r="C4859" i="1"/>
  <c r="E4859" i="1"/>
  <c r="G4859" i="1"/>
  <c r="H4859" i="1"/>
  <c r="A4860" i="1"/>
  <c r="B4860" i="1"/>
  <c r="C4860" i="1"/>
  <c r="E4860" i="1"/>
  <c r="G4860" i="1"/>
  <c r="H4860" i="1"/>
  <c r="A4861" i="1"/>
  <c r="B4861" i="1"/>
  <c r="C4861" i="1"/>
  <c r="E4861" i="1"/>
  <c r="G4861" i="1"/>
  <c r="H4861" i="1"/>
  <c r="A4862" i="1"/>
  <c r="B4862" i="1"/>
  <c r="C4862" i="1"/>
  <c r="E4862" i="1"/>
  <c r="G4862" i="1"/>
  <c r="H4862" i="1"/>
  <c r="A4863" i="1"/>
  <c r="B4863" i="1"/>
  <c r="C4863" i="1"/>
  <c r="E4863" i="1"/>
  <c r="G4863" i="1"/>
  <c r="H4863" i="1"/>
  <c r="A4864" i="1"/>
  <c r="B4864" i="1"/>
  <c r="C4864" i="1"/>
  <c r="E4864" i="1"/>
  <c r="G4864" i="1"/>
  <c r="H4864" i="1"/>
  <c r="A4865" i="1"/>
  <c r="B4865" i="1"/>
  <c r="C4865" i="1"/>
  <c r="E4865" i="1"/>
  <c r="G4865" i="1"/>
  <c r="H4865" i="1"/>
  <c r="A4866" i="1"/>
  <c r="B4866" i="1"/>
  <c r="C4866" i="1"/>
  <c r="E4866" i="1"/>
  <c r="G4866" i="1"/>
  <c r="H4866" i="1"/>
  <c r="A4867" i="1"/>
  <c r="B4867" i="1"/>
  <c r="C4867" i="1"/>
  <c r="E4867" i="1"/>
  <c r="G4867" i="1"/>
  <c r="H4867" i="1"/>
  <c r="A4868" i="1"/>
  <c r="B4868" i="1"/>
  <c r="C4868" i="1"/>
  <c r="E4868" i="1"/>
  <c r="G4868" i="1"/>
  <c r="H4868" i="1"/>
  <c r="A4869" i="1"/>
  <c r="B4869" i="1"/>
  <c r="C4869" i="1"/>
  <c r="E4869" i="1"/>
  <c r="G4869" i="1"/>
  <c r="H4869" i="1"/>
  <c r="A4870" i="1"/>
  <c r="B4870" i="1"/>
  <c r="C4870" i="1"/>
  <c r="E4870" i="1"/>
  <c r="G4870" i="1"/>
  <c r="H4870" i="1"/>
  <c r="A4871" i="1"/>
  <c r="B4871" i="1"/>
  <c r="C4871" i="1"/>
  <c r="E4871" i="1"/>
  <c r="G4871" i="1"/>
  <c r="H4871" i="1"/>
  <c r="A4872" i="1"/>
  <c r="B4872" i="1"/>
  <c r="C4872" i="1"/>
  <c r="E4872" i="1"/>
  <c r="G4872" i="1"/>
  <c r="H4872" i="1"/>
  <c r="A4873" i="1"/>
  <c r="B4873" i="1"/>
  <c r="C4873" i="1"/>
  <c r="E4873" i="1"/>
  <c r="G4873" i="1"/>
  <c r="H4873" i="1"/>
  <c r="A4874" i="1"/>
  <c r="B4874" i="1"/>
  <c r="C4874" i="1"/>
  <c r="E4874" i="1"/>
  <c r="G4874" i="1"/>
  <c r="H4874" i="1"/>
  <c r="A4875" i="1"/>
  <c r="B4875" i="1"/>
  <c r="C4875" i="1"/>
  <c r="E4875" i="1"/>
  <c r="G4875" i="1"/>
  <c r="H4875" i="1"/>
  <c r="A4876" i="1"/>
  <c r="B4876" i="1"/>
  <c r="C4876" i="1"/>
  <c r="E4876" i="1"/>
  <c r="G4876" i="1"/>
  <c r="H4876" i="1"/>
  <c r="A4877" i="1"/>
  <c r="B4877" i="1"/>
  <c r="C4877" i="1"/>
  <c r="E4877" i="1"/>
  <c r="G4877" i="1"/>
  <c r="H4877" i="1"/>
  <c r="A4878" i="1"/>
  <c r="B4878" i="1"/>
  <c r="C4878" i="1"/>
  <c r="E4878" i="1"/>
  <c r="G4878" i="1"/>
  <c r="H4878" i="1"/>
  <c r="A4879" i="1"/>
  <c r="B4879" i="1"/>
  <c r="C4879" i="1"/>
  <c r="E4879" i="1"/>
  <c r="G4879" i="1"/>
  <c r="H4879" i="1"/>
  <c r="A4880" i="1"/>
  <c r="B4880" i="1"/>
  <c r="C4880" i="1"/>
  <c r="E4880" i="1"/>
  <c r="G4880" i="1"/>
  <c r="H4880" i="1"/>
  <c r="A4881" i="1"/>
  <c r="B4881" i="1"/>
  <c r="C4881" i="1"/>
  <c r="E4881" i="1"/>
  <c r="G4881" i="1"/>
  <c r="H4881" i="1"/>
  <c r="A4882" i="1"/>
  <c r="B4882" i="1"/>
  <c r="C4882" i="1"/>
  <c r="E4882" i="1"/>
  <c r="G4882" i="1"/>
  <c r="H4882" i="1"/>
  <c r="A4883" i="1"/>
  <c r="B4883" i="1"/>
  <c r="C4883" i="1"/>
  <c r="E4883" i="1"/>
  <c r="G4883" i="1"/>
  <c r="H4883" i="1"/>
  <c r="A4884" i="1"/>
  <c r="B4884" i="1"/>
  <c r="C4884" i="1"/>
  <c r="E4884" i="1"/>
  <c r="G4884" i="1"/>
  <c r="H4884" i="1"/>
  <c r="A4885" i="1"/>
  <c r="B4885" i="1"/>
  <c r="C4885" i="1"/>
  <c r="E4885" i="1"/>
  <c r="G4885" i="1"/>
  <c r="H4885" i="1"/>
  <c r="A4886" i="1"/>
  <c r="B4886" i="1"/>
  <c r="C4886" i="1"/>
  <c r="E4886" i="1"/>
  <c r="G4886" i="1"/>
  <c r="H4886" i="1"/>
  <c r="A4887" i="1"/>
  <c r="B4887" i="1"/>
  <c r="C4887" i="1"/>
  <c r="E4887" i="1"/>
  <c r="G4887" i="1"/>
  <c r="H4887" i="1"/>
  <c r="A4888" i="1"/>
  <c r="B4888" i="1"/>
  <c r="C4888" i="1"/>
  <c r="E4888" i="1"/>
  <c r="G4888" i="1"/>
  <c r="H4888" i="1"/>
  <c r="A4889" i="1"/>
  <c r="B4889" i="1"/>
  <c r="C4889" i="1"/>
  <c r="E4889" i="1"/>
  <c r="G4889" i="1"/>
  <c r="H4889" i="1"/>
  <c r="A4890" i="1"/>
  <c r="B4890" i="1"/>
  <c r="C4890" i="1"/>
  <c r="E4890" i="1"/>
  <c r="G4890" i="1"/>
  <c r="H4890" i="1"/>
  <c r="A4891" i="1"/>
  <c r="B4891" i="1"/>
  <c r="C4891" i="1"/>
  <c r="E4891" i="1"/>
  <c r="G4891" i="1"/>
  <c r="H4891" i="1"/>
  <c r="A4892" i="1"/>
  <c r="B4892" i="1"/>
  <c r="C4892" i="1"/>
  <c r="E4892" i="1"/>
  <c r="G4892" i="1"/>
  <c r="H4892" i="1"/>
  <c r="A4893" i="1"/>
  <c r="B4893" i="1"/>
  <c r="C4893" i="1"/>
  <c r="E4893" i="1"/>
  <c r="G4893" i="1"/>
  <c r="H4893" i="1"/>
  <c r="A4894" i="1"/>
  <c r="B4894" i="1"/>
  <c r="C4894" i="1"/>
  <c r="E4894" i="1"/>
  <c r="G4894" i="1"/>
  <c r="H4894" i="1"/>
  <c r="A4895" i="1"/>
  <c r="B4895" i="1"/>
  <c r="C4895" i="1"/>
  <c r="E4895" i="1"/>
  <c r="G4895" i="1"/>
  <c r="H4895" i="1"/>
  <c r="A4896" i="1"/>
  <c r="B4896" i="1"/>
  <c r="C4896" i="1"/>
  <c r="E4896" i="1"/>
  <c r="G4896" i="1"/>
  <c r="H4896" i="1"/>
  <c r="A4897" i="1"/>
  <c r="B4897" i="1"/>
  <c r="C4897" i="1"/>
  <c r="E4897" i="1"/>
  <c r="G4897" i="1"/>
  <c r="H4897" i="1"/>
  <c r="A4898" i="1"/>
  <c r="B4898" i="1"/>
  <c r="C4898" i="1"/>
  <c r="E4898" i="1"/>
  <c r="G4898" i="1"/>
  <c r="H4898" i="1"/>
  <c r="A4899" i="1"/>
  <c r="B4899" i="1"/>
  <c r="C4899" i="1"/>
  <c r="E4899" i="1"/>
  <c r="G4899" i="1"/>
  <c r="H4899" i="1"/>
  <c r="A4900" i="1"/>
  <c r="B4900" i="1"/>
  <c r="C4900" i="1"/>
  <c r="E4900" i="1"/>
  <c r="G4900" i="1"/>
  <c r="H4900" i="1"/>
  <c r="A4901" i="1"/>
  <c r="B4901" i="1"/>
  <c r="C4901" i="1"/>
  <c r="E4901" i="1"/>
  <c r="G4901" i="1"/>
  <c r="H4901" i="1"/>
  <c r="A4902" i="1"/>
  <c r="B4902" i="1"/>
  <c r="C4902" i="1"/>
  <c r="E4902" i="1"/>
  <c r="G4902" i="1"/>
  <c r="H4902" i="1"/>
  <c r="A4903" i="1"/>
  <c r="B4903" i="1"/>
  <c r="C4903" i="1"/>
  <c r="E4903" i="1"/>
  <c r="G4903" i="1"/>
  <c r="H4903" i="1"/>
  <c r="A4904" i="1"/>
  <c r="B4904" i="1"/>
  <c r="C4904" i="1"/>
  <c r="E4904" i="1"/>
  <c r="G4904" i="1"/>
  <c r="H4904" i="1"/>
  <c r="A4905" i="1"/>
  <c r="B4905" i="1"/>
  <c r="C4905" i="1"/>
  <c r="E4905" i="1"/>
  <c r="G4905" i="1"/>
  <c r="H4905" i="1"/>
  <c r="A4906" i="1"/>
  <c r="B4906" i="1"/>
  <c r="C4906" i="1"/>
  <c r="E4906" i="1"/>
  <c r="G4906" i="1"/>
  <c r="H4906" i="1"/>
  <c r="A4907" i="1"/>
  <c r="B4907" i="1"/>
  <c r="C4907" i="1"/>
  <c r="E4907" i="1"/>
  <c r="G4907" i="1"/>
  <c r="H4907" i="1"/>
  <c r="A4908" i="1"/>
  <c r="B4908" i="1"/>
  <c r="C4908" i="1"/>
  <c r="E4908" i="1"/>
  <c r="G4908" i="1"/>
  <c r="H4908" i="1"/>
  <c r="A4909" i="1"/>
  <c r="B4909" i="1"/>
  <c r="C4909" i="1"/>
  <c r="E4909" i="1"/>
  <c r="G4909" i="1"/>
  <c r="H4909" i="1"/>
  <c r="A4910" i="1"/>
  <c r="B4910" i="1"/>
  <c r="C4910" i="1"/>
  <c r="E4910" i="1"/>
  <c r="G4910" i="1"/>
  <c r="H4910" i="1"/>
  <c r="A4911" i="1"/>
  <c r="B4911" i="1"/>
  <c r="C4911" i="1"/>
  <c r="E4911" i="1"/>
  <c r="G4911" i="1"/>
  <c r="H4911" i="1"/>
  <c r="A4912" i="1"/>
  <c r="B4912" i="1"/>
  <c r="C4912" i="1"/>
  <c r="E4912" i="1"/>
  <c r="G4912" i="1"/>
  <c r="H4912" i="1"/>
  <c r="A4913" i="1"/>
  <c r="B4913" i="1"/>
  <c r="C4913" i="1"/>
  <c r="E4913" i="1"/>
  <c r="G4913" i="1"/>
  <c r="H4913" i="1"/>
  <c r="A4914" i="1"/>
  <c r="B4914" i="1"/>
  <c r="C4914" i="1"/>
  <c r="E4914" i="1"/>
  <c r="G4914" i="1"/>
  <c r="H4914" i="1"/>
  <c r="A4915" i="1"/>
  <c r="B4915" i="1"/>
  <c r="C4915" i="1"/>
  <c r="E4915" i="1"/>
  <c r="G4915" i="1"/>
  <c r="H4915" i="1"/>
  <c r="A4916" i="1"/>
  <c r="B4916" i="1"/>
  <c r="C4916" i="1"/>
  <c r="E4916" i="1"/>
  <c r="G4916" i="1"/>
  <c r="H4916" i="1"/>
  <c r="A4917" i="1"/>
  <c r="B4917" i="1"/>
  <c r="C4917" i="1"/>
  <c r="E4917" i="1"/>
  <c r="G4917" i="1"/>
  <c r="H4917" i="1"/>
  <c r="A4918" i="1"/>
  <c r="B4918" i="1"/>
  <c r="C4918" i="1"/>
  <c r="E4918" i="1"/>
  <c r="G4918" i="1"/>
  <c r="H4918" i="1"/>
  <c r="A4919" i="1"/>
  <c r="B4919" i="1"/>
  <c r="C4919" i="1"/>
  <c r="E4919" i="1"/>
  <c r="G4919" i="1"/>
  <c r="H4919" i="1"/>
  <c r="A4920" i="1"/>
  <c r="B4920" i="1"/>
  <c r="C4920" i="1"/>
  <c r="E4920" i="1"/>
  <c r="G4920" i="1"/>
  <c r="H4920" i="1"/>
  <c r="A4921" i="1"/>
  <c r="B4921" i="1"/>
  <c r="C4921" i="1"/>
  <c r="E4921" i="1"/>
  <c r="G4921" i="1"/>
  <c r="H4921" i="1"/>
  <c r="A4922" i="1"/>
  <c r="B4922" i="1"/>
  <c r="C4922" i="1"/>
  <c r="E4922" i="1"/>
  <c r="G4922" i="1"/>
  <c r="H4922" i="1"/>
  <c r="A4923" i="1"/>
  <c r="B4923" i="1"/>
  <c r="C4923" i="1"/>
  <c r="E4923" i="1"/>
  <c r="G4923" i="1"/>
  <c r="H4923" i="1"/>
  <c r="A4924" i="1"/>
  <c r="B4924" i="1"/>
  <c r="C4924" i="1"/>
  <c r="E4924" i="1"/>
  <c r="G4924" i="1"/>
  <c r="H4924" i="1"/>
  <c r="A4925" i="1"/>
  <c r="B4925" i="1"/>
  <c r="C4925" i="1"/>
  <c r="E4925" i="1"/>
  <c r="G4925" i="1"/>
  <c r="H4925" i="1"/>
  <c r="A4926" i="1"/>
  <c r="B4926" i="1"/>
  <c r="C4926" i="1"/>
  <c r="E4926" i="1"/>
  <c r="G4926" i="1"/>
  <c r="H4926" i="1"/>
  <c r="A4927" i="1"/>
  <c r="B4927" i="1"/>
  <c r="C4927" i="1"/>
  <c r="E4927" i="1"/>
  <c r="G4927" i="1"/>
  <c r="H4927" i="1"/>
  <c r="A4928" i="1"/>
  <c r="B4928" i="1"/>
  <c r="C4928" i="1"/>
  <c r="E4928" i="1"/>
  <c r="G4928" i="1"/>
  <c r="H4928" i="1"/>
  <c r="A4929" i="1"/>
  <c r="B4929" i="1"/>
  <c r="C4929" i="1"/>
  <c r="E4929" i="1"/>
  <c r="G4929" i="1"/>
  <c r="H4929" i="1"/>
  <c r="A4930" i="1"/>
  <c r="B4930" i="1"/>
  <c r="C4930" i="1"/>
  <c r="E4930" i="1"/>
  <c r="G4930" i="1"/>
  <c r="H4930" i="1"/>
  <c r="A4931" i="1"/>
  <c r="B4931" i="1"/>
  <c r="C4931" i="1"/>
  <c r="E4931" i="1"/>
  <c r="G4931" i="1"/>
  <c r="H4931" i="1"/>
  <c r="A4932" i="1"/>
  <c r="B4932" i="1"/>
  <c r="C4932" i="1"/>
  <c r="E4932" i="1"/>
  <c r="G4932" i="1"/>
  <c r="H4932" i="1"/>
  <c r="A4933" i="1"/>
  <c r="B4933" i="1"/>
  <c r="C4933" i="1"/>
  <c r="E4933" i="1"/>
  <c r="G4933" i="1"/>
  <c r="H4933" i="1"/>
  <c r="A4934" i="1"/>
  <c r="B4934" i="1"/>
  <c r="C4934" i="1"/>
  <c r="E4934" i="1"/>
  <c r="G4934" i="1"/>
  <c r="H4934" i="1"/>
  <c r="A4935" i="1"/>
  <c r="B4935" i="1"/>
  <c r="C4935" i="1"/>
  <c r="E4935" i="1"/>
  <c r="G4935" i="1"/>
  <c r="H4935" i="1"/>
  <c r="A4936" i="1"/>
  <c r="B4936" i="1"/>
  <c r="C4936" i="1"/>
  <c r="E4936" i="1"/>
  <c r="G4936" i="1"/>
  <c r="H4936" i="1"/>
  <c r="A4937" i="1"/>
  <c r="B4937" i="1"/>
  <c r="C4937" i="1"/>
  <c r="E4937" i="1"/>
  <c r="G4937" i="1"/>
  <c r="H4937" i="1"/>
  <c r="A4938" i="1"/>
  <c r="B4938" i="1"/>
  <c r="C4938" i="1"/>
  <c r="E4938" i="1"/>
  <c r="G4938" i="1"/>
  <c r="H4938" i="1"/>
  <c r="A4939" i="1"/>
  <c r="B4939" i="1"/>
  <c r="C4939" i="1"/>
  <c r="E4939" i="1"/>
  <c r="G4939" i="1"/>
  <c r="H4939" i="1"/>
  <c r="A4940" i="1"/>
  <c r="B4940" i="1"/>
  <c r="C4940" i="1"/>
  <c r="E4940" i="1"/>
  <c r="G4940" i="1"/>
  <c r="H4940" i="1"/>
  <c r="A4941" i="1"/>
  <c r="B4941" i="1"/>
  <c r="C4941" i="1"/>
  <c r="E4941" i="1"/>
  <c r="G4941" i="1"/>
  <c r="H4941" i="1"/>
  <c r="A4942" i="1"/>
  <c r="B4942" i="1"/>
  <c r="C4942" i="1"/>
  <c r="E4942" i="1"/>
  <c r="G4942" i="1"/>
  <c r="H4942" i="1"/>
  <c r="A4943" i="1"/>
  <c r="B4943" i="1"/>
  <c r="C4943" i="1"/>
  <c r="E4943" i="1"/>
  <c r="G4943" i="1"/>
  <c r="H4943" i="1"/>
  <c r="A4944" i="1"/>
  <c r="B4944" i="1"/>
  <c r="C4944" i="1"/>
  <c r="E4944" i="1"/>
  <c r="G4944" i="1"/>
  <c r="H4944" i="1"/>
  <c r="A4945" i="1"/>
  <c r="B4945" i="1"/>
  <c r="C4945" i="1"/>
  <c r="E4945" i="1"/>
  <c r="G4945" i="1"/>
  <c r="H4945" i="1"/>
  <c r="A4946" i="1"/>
  <c r="B4946" i="1"/>
  <c r="C4946" i="1"/>
  <c r="E4946" i="1"/>
  <c r="G4946" i="1"/>
  <c r="H4946" i="1"/>
  <c r="A4947" i="1"/>
  <c r="B4947" i="1"/>
  <c r="C4947" i="1"/>
  <c r="E4947" i="1"/>
  <c r="G4947" i="1"/>
  <c r="H4947" i="1"/>
  <c r="A4948" i="1"/>
  <c r="B4948" i="1"/>
  <c r="C4948" i="1"/>
  <c r="E4948" i="1"/>
  <c r="G4948" i="1"/>
  <c r="H4948" i="1"/>
  <c r="A4949" i="1"/>
  <c r="B4949" i="1"/>
  <c r="C4949" i="1"/>
  <c r="E4949" i="1"/>
  <c r="G4949" i="1"/>
  <c r="H4949" i="1"/>
  <c r="A4950" i="1"/>
  <c r="B4950" i="1"/>
  <c r="C4950" i="1"/>
  <c r="E4950" i="1"/>
  <c r="G4950" i="1"/>
  <c r="H4950" i="1"/>
  <c r="A4951" i="1"/>
  <c r="B4951" i="1"/>
  <c r="C4951" i="1"/>
  <c r="E4951" i="1"/>
  <c r="G4951" i="1"/>
  <c r="H4951" i="1"/>
  <c r="A4952" i="1"/>
  <c r="B4952" i="1"/>
  <c r="C4952" i="1"/>
  <c r="E4952" i="1"/>
  <c r="G4952" i="1"/>
  <c r="H4952" i="1"/>
  <c r="A4953" i="1"/>
  <c r="B4953" i="1"/>
  <c r="C4953" i="1"/>
  <c r="E4953" i="1"/>
  <c r="G4953" i="1"/>
  <c r="H4953" i="1"/>
  <c r="A4954" i="1"/>
  <c r="B4954" i="1"/>
  <c r="C4954" i="1"/>
  <c r="E4954" i="1"/>
  <c r="G4954" i="1"/>
  <c r="H4954" i="1"/>
  <c r="A4955" i="1"/>
  <c r="B4955" i="1"/>
  <c r="C4955" i="1"/>
  <c r="E4955" i="1"/>
  <c r="G4955" i="1"/>
  <c r="H4955" i="1"/>
  <c r="A4956" i="1"/>
  <c r="B4956" i="1"/>
  <c r="C4956" i="1"/>
  <c r="E4956" i="1"/>
  <c r="G4956" i="1"/>
  <c r="H4956" i="1"/>
  <c r="A4957" i="1"/>
  <c r="B4957" i="1"/>
  <c r="C4957" i="1"/>
  <c r="E4957" i="1"/>
  <c r="G4957" i="1"/>
  <c r="H4957" i="1"/>
  <c r="A4958" i="1"/>
  <c r="B4958" i="1"/>
  <c r="C4958" i="1"/>
  <c r="E4958" i="1"/>
  <c r="G4958" i="1"/>
  <c r="H4958" i="1"/>
  <c r="A4959" i="1"/>
  <c r="B4959" i="1"/>
  <c r="C4959" i="1"/>
  <c r="E4959" i="1"/>
  <c r="G4959" i="1"/>
  <c r="H4959" i="1"/>
  <c r="A4960" i="1"/>
  <c r="B4960" i="1"/>
  <c r="C4960" i="1"/>
  <c r="E4960" i="1"/>
  <c r="G4960" i="1"/>
  <c r="H4960" i="1"/>
  <c r="A4961" i="1"/>
  <c r="B4961" i="1"/>
  <c r="C4961" i="1"/>
  <c r="E4961" i="1"/>
  <c r="G4961" i="1"/>
  <c r="H4961" i="1"/>
  <c r="A4962" i="1"/>
  <c r="B4962" i="1"/>
  <c r="C4962" i="1"/>
  <c r="E4962" i="1"/>
  <c r="G4962" i="1"/>
  <c r="H4962" i="1"/>
  <c r="A4963" i="1"/>
  <c r="B4963" i="1"/>
  <c r="C4963" i="1"/>
  <c r="E4963" i="1"/>
  <c r="G4963" i="1"/>
  <c r="H4963" i="1"/>
  <c r="A4964" i="1"/>
  <c r="B4964" i="1"/>
  <c r="C4964" i="1"/>
  <c r="E4964" i="1"/>
  <c r="G4964" i="1"/>
  <c r="H4964" i="1"/>
  <c r="A4965" i="1"/>
  <c r="B4965" i="1"/>
  <c r="C4965" i="1"/>
  <c r="E4965" i="1"/>
  <c r="G4965" i="1"/>
  <c r="H4965" i="1"/>
  <c r="A4966" i="1"/>
  <c r="B4966" i="1"/>
  <c r="C4966" i="1"/>
  <c r="E4966" i="1"/>
  <c r="G4966" i="1"/>
  <c r="H4966" i="1"/>
  <c r="A4967" i="1"/>
  <c r="B4967" i="1"/>
  <c r="C4967" i="1"/>
  <c r="E4967" i="1"/>
  <c r="G4967" i="1"/>
  <c r="H4967" i="1"/>
  <c r="A4968" i="1"/>
  <c r="B4968" i="1"/>
  <c r="C4968" i="1"/>
  <c r="E4968" i="1"/>
  <c r="G4968" i="1"/>
  <c r="H4968" i="1"/>
  <c r="A4969" i="1"/>
  <c r="B4969" i="1"/>
  <c r="C4969" i="1"/>
  <c r="E4969" i="1"/>
  <c r="G4969" i="1"/>
  <c r="H4969" i="1"/>
  <c r="A4970" i="1"/>
  <c r="B4970" i="1"/>
  <c r="C4970" i="1"/>
  <c r="E4970" i="1"/>
  <c r="G4970" i="1"/>
  <c r="H4970" i="1"/>
  <c r="A4971" i="1"/>
  <c r="B4971" i="1"/>
  <c r="C4971" i="1"/>
  <c r="E4971" i="1"/>
  <c r="G4971" i="1"/>
  <c r="H4971" i="1"/>
  <c r="A4972" i="1"/>
  <c r="B4972" i="1"/>
  <c r="C4972" i="1"/>
  <c r="E4972" i="1"/>
  <c r="G4972" i="1"/>
  <c r="H4972" i="1"/>
  <c r="A4973" i="1"/>
  <c r="B4973" i="1"/>
  <c r="C4973" i="1"/>
  <c r="E4973" i="1"/>
  <c r="G4973" i="1"/>
  <c r="H4973" i="1"/>
  <c r="A4974" i="1"/>
  <c r="B4974" i="1"/>
  <c r="C4974" i="1"/>
  <c r="E4974" i="1"/>
  <c r="G4974" i="1"/>
  <c r="H4974" i="1"/>
  <c r="A4975" i="1"/>
  <c r="B4975" i="1"/>
  <c r="C4975" i="1"/>
  <c r="E4975" i="1"/>
  <c r="G4975" i="1"/>
  <c r="H4975" i="1"/>
  <c r="A4976" i="1"/>
  <c r="B4976" i="1"/>
  <c r="C4976" i="1"/>
  <c r="E4976" i="1"/>
  <c r="G4976" i="1"/>
  <c r="H4976" i="1"/>
  <c r="A4977" i="1"/>
  <c r="B4977" i="1"/>
  <c r="C4977" i="1"/>
  <c r="E4977" i="1"/>
  <c r="G4977" i="1"/>
  <c r="H4977" i="1"/>
  <c r="A4978" i="1"/>
  <c r="B4978" i="1"/>
  <c r="C4978" i="1"/>
  <c r="E4978" i="1"/>
  <c r="G4978" i="1"/>
  <c r="H4978" i="1"/>
  <c r="A4979" i="1"/>
  <c r="B4979" i="1"/>
  <c r="C4979" i="1"/>
  <c r="E4979" i="1"/>
  <c r="G4979" i="1"/>
  <c r="H4979" i="1"/>
  <c r="A4980" i="1"/>
  <c r="B4980" i="1"/>
  <c r="C4980" i="1"/>
  <c r="E4980" i="1"/>
  <c r="G4980" i="1"/>
  <c r="H4980" i="1"/>
  <c r="A4981" i="1"/>
  <c r="B4981" i="1"/>
  <c r="C4981" i="1"/>
  <c r="E4981" i="1"/>
  <c r="G4981" i="1"/>
  <c r="H4981" i="1"/>
  <c r="A4982" i="1"/>
  <c r="B4982" i="1"/>
  <c r="C4982" i="1"/>
  <c r="E4982" i="1"/>
  <c r="G4982" i="1"/>
  <c r="H4982" i="1"/>
  <c r="A4983" i="1"/>
  <c r="B4983" i="1"/>
  <c r="C4983" i="1"/>
  <c r="E4983" i="1"/>
  <c r="G4983" i="1"/>
  <c r="H4983" i="1"/>
  <c r="A4984" i="1"/>
  <c r="B4984" i="1"/>
  <c r="C4984" i="1"/>
  <c r="E4984" i="1"/>
  <c r="G4984" i="1"/>
  <c r="H4984" i="1"/>
  <c r="A4985" i="1"/>
  <c r="B4985" i="1"/>
  <c r="C4985" i="1"/>
  <c r="E4985" i="1"/>
  <c r="G4985" i="1"/>
  <c r="H4985" i="1"/>
  <c r="A4986" i="1"/>
  <c r="B4986" i="1"/>
  <c r="C4986" i="1"/>
  <c r="E4986" i="1"/>
  <c r="G4986" i="1"/>
  <c r="H4986" i="1"/>
  <c r="A4987" i="1"/>
  <c r="B4987" i="1"/>
  <c r="C4987" i="1"/>
  <c r="E4987" i="1"/>
  <c r="G4987" i="1"/>
  <c r="H4987" i="1"/>
  <c r="A4988" i="1"/>
  <c r="B4988" i="1"/>
  <c r="C4988" i="1"/>
  <c r="E4988" i="1"/>
  <c r="G4988" i="1"/>
  <c r="H4988" i="1"/>
  <c r="A4989" i="1"/>
  <c r="B4989" i="1"/>
  <c r="C4989" i="1"/>
  <c r="E4989" i="1"/>
  <c r="G4989" i="1"/>
  <c r="H4989" i="1"/>
  <c r="A4990" i="1"/>
  <c r="B4990" i="1"/>
  <c r="C4990" i="1"/>
  <c r="E4990" i="1"/>
  <c r="G4990" i="1"/>
  <c r="H4990" i="1"/>
  <c r="A4991" i="1"/>
  <c r="B4991" i="1"/>
  <c r="C4991" i="1"/>
  <c r="E4991" i="1"/>
  <c r="G4991" i="1"/>
  <c r="H4991" i="1"/>
  <c r="A4992" i="1"/>
  <c r="B4992" i="1"/>
  <c r="C4992" i="1"/>
  <c r="E4992" i="1"/>
  <c r="G4992" i="1"/>
  <c r="H4992" i="1"/>
  <c r="A4993" i="1"/>
  <c r="B4993" i="1"/>
  <c r="C4993" i="1"/>
  <c r="E4993" i="1"/>
  <c r="G4993" i="1"/>
  <c r="H4993" i="1"/>
  <c r="A4994" i="1"/>
  <c r="B4994" i="1"/>
  <c r="C4994" i="1"/>
  <c r="E4994" i="1"/>
  <c r="G4994" i="1"/>
  <c r="H4994" i="1"/>
  <c r="A4995" i="1"/>
  <c r="B4995" i="1"/>
  <c r="C4995" i="1"/>
  <c r="E4995" i="1"/>
  <c r="G4995" i="1"/>
  <c r="H4995" i="1"/>
  <c r="A4996" i="1"/>
  <c r="B4996" i="1"/>
  <c r="C4996" i="1"/>
  <c r="E4996" i="1"/>
  <c r="G4996" i="1"/>
  <c r="H4996" i="1"/>
  <c r="A4997" i="1"/>
  <c r="B4997" i="1"/>
  <c r="C4997" i="1"/>
  <c r="E4997" i="1"/>
  <c r="G4997" i="1"/>
  <c r="H4997" i="1"/>
  <c r="A4998" i="1"/>
  <c r="B4998" i="1"/>
  <c r="C4998" i="1"/>
  <c r="E4998" i="1"/>
  <c r="G4998" i="1"/>
  <c r="H4998" i="1"/>
  <c r="A4999" i="1"/>
  <c r="B4999" i="1"/>
  <c r="C4999" i="1"/>
  <c r="E4999" i="1"/>
  <c r="G4999" i="1"/>
  <c r="H4999" i="1"/>
  <c r="A5000" i="1"/>
  <c r="B5000" i="1"/>
  <c r="C5000" i="1"/>
  <c r="E5000" i="1"/>
  <c r="G5000" i="1"/>
  <c r="H5000" i="1"/>
  <c r="A5001" i="1"/>
  <c r="B5001" i="1"/>
  <c r="C5001" i="1"/>
  <c r="E5001" i="1"/>
  <c r="G5001" i="1"/>
  <c r="H5001" i="1"/>
  <c r="A5002" i="1"/>
  <c r="B5002" i="1"/>
  <c r="C5002" i="1"/>
  <c r="E5002" i="1"/>
  <c r="G5002" i="1"/>
  <c r="H5002" i="1"/>
  <c r="A5003" i="1"/>
  <c r="B5003" i="1"/>
  <c r="C5003" i="1"/>
  <c r="E5003" i="1"/>
  <c r="G5003" i="1"/>
  <c r="H5003" i="1"/>
  <c r="A5004" i="1"/>
  <c r="B5004" i="1"/>
  <c r="C5004" i="1"/>
  <c r="E5004" i="1"/>
  <c r="G5004" i="1"/>
  <c r="H5004" i="1"/>
  <c r="A5005" i="1"/>
  <c r="B5005" i="1"/>
  <c r="C5005" i="1"/>
  <c r="E5005" i="1"/>
  <c r="G5005" i="1"/>
  <c r="H5005" i="1"/>
  <c r="A5006" i="1"/>
  <c r="B5006" i="1"/>
  <c r="C5006" i="1"/>
  <c r="E5006" i="1"/>
  <c r="G5006" i="1"/>
  <c r="H5006" i="1"/>
  <c r="A5007" i="1"/>
  <c r="B5007" i="1"/>
  <c r="C5007" i="1"/>
  <c r="E5007" i="1"/>
  <c r="G5007" i="1"/>
  <c r="H5007" i="1"/>
  <c r="A5008" i="1"/>
  <c r="B5008" i="1"/>
  <c r="C5008" i="1"/>
  <c r="E5008" i="1"/>
  <c r="G5008" i="1"/>
  <c r="H5008" i="1"/>
  <c r="A5009" i="1"/>
  <c r="B5009" i="1"/>
  <c r="C5009" i="1"/>
  <c r="E5009" i="1"/>
  <c r="G5009" i="1"/>
  <c r="H5009" i="1"/>
  <c r="A5010" i="1"/>
  <c r="B5010" i="1"/>
  <c r="C5010" i="1"/>
  <c r="E5010" i="1"/>
  <c r="G5010" i="1"/>
  <c r="H5010" i="1"/>
  <c r="A5011" i="1"/>
  <c r="B5011" i="1"/>
  <c r="C5011" i="1"/>
  <c r="E5011" i="1"/>
  <c r="G5011" i="1"/>
  <c r="H5011" i="1"/>
  <c r="A5012" i="1"/>
  <c r="B5012" i="1"/>
  <c r="C5012" i="1"/>
  <c r="E5012" i="1"/>
  <c r="G5012" i="1"/>
  <c r="H5012" i="1"/>
  <c r="A5013" i="1"/>
  <c r="B5013" i="1"/>
  <c r="C5013" i="1"/>
  <c r="E5013" i="1"/>
  <c r="G5013" i="1"/>
  <c r="H5013" i="1"/>
  <c r="A5014" i="1"/>
  <c r="B5014" i="1"/>
  <c r="C5014" i="1"/>
  <c r="E5014" i="1"/>
  <c r="G5014" i="1"/>
  <c r="H5014" i="1"/>
  <c r="A5015" i="1"/>
  <c r="B5015" i="1"/>
  <c r="C5015" i="1"/>
  <c r="E5015" i="1"/>
  <c r="G5015" i="1"/>
  <c r="H5015" i="1"/>
  <c r="A5016" i="1"/>
  <c r="B5016" i="1"/>
  <c r="C5016" i="1"/>
  <c r="E5016" i="1"/>
  <c r="G5016" i="1"/>
  <c r="H5016" i="1"/>
  <c r="A5017" i="1"/>
  <c r="B5017" i="1"/>
  <c r="C5017" i="1"/>
  <c r="E5017" i="1"/>
  <c r="G5017" i="1"/>
  <c r="H5017" i="1"/>
  <c r="A5018" i="1"/>
  <c r="B5018" i="1"/>
  <c r="C5018" i="1"/>
  <c r="E5018" i="1"/>
  <c r="G5018" i="1"/>
  <c r="H5018" i="1"/>
  <c r="A5019" i="1"/>
  <c r="B5019" i="1"/>
  <c r="C5019" i="1"/>
  <c r="E5019" i="1"/>
  <c r="G5019" i="1"/>
  <c r="H5019" i="1"/>
  <c r="A5020" i="1"/>
  <c r="B5020" i="1"/>
  <c r="C5020" i="1"/>
  <c r="E5020" i="1"/>
  <c r="G5020" i="1"/>
  <c r="H5020" i="1"/>
  <c r="A5021" i="1"/>
  <c r="B5021" i="1"/>
  <c r="C5021" i="1"/>
  <c r="E5021" i="1"/>
  <c r="G5021" i="1"/>
  <c r="H5021" i="1"/>
  <c r="A5022" i="1"/>
  <c r="B5022" i="1"/>
  <c r="C5022" i="1"/>
  <c r="E5022" i="1"/>
  <c r="G5022" i="1"/>
  <c r="H5022" i="1"/>
  <c r="A5023" i="1"/>
  <c r="B5023" i="1"/>
  <c r="C5023" i="1"/>
  <c r="E5023" i="1"/>
  <c r="G5023" i="1"/>
  <c r="H5023" i="1"/>
  <c r="A5024" i="1"/>
  <c r="B5024" i="1"/>
  <c r="C5024" i="1"/>
  <c r="E5024" i="1"/>
  <c r="G5024" i="1"/>
  <c r="H5024" i="1"/>
  <c r="A5025" i="1"/>
  <c r="B5025" i="1"/>
  <c r="C5025" i="1"/>
  <c r="E5025" i="1"/>
  <c r="G5025" i="1"/>
  <c r="H5025" i="1"/>
  <c r="A5026" i="1"/>
  <c r="B5026" i="1"/>
  <c r="C5026" i="1"/>
  <c r="E5026" i="1"/>
  <c r="G5026" i="1"/>
  <c r="H5026" i="1"/>
  <c r="A5027" i="1"/>
  <c r="B5027" i="1"/>
  <c r="C5027" i="1"/>
  <c r="E5027" i="1"/>
  <c r="G5027" i="1"/>
  <c r="H5027" i="1"/>
  <c r="A5028" i="1"/>
  <c r="B5028" i="1"/>
  <c r="C5028" i="1"/>
  <c r="E5028" i="1"/>
  <c r="G5028" i="1"/>
  <c r="H5028" i="1"/>
  <c r="A5029" i="1"/>
  <c r="B5029" i="1"/>
  <c r="C5029" i="1"/>
  <c r="E5029" i="1"/>
  <c r="G5029" i="1"/>
  <c r="H5029" i="1"/>
  <c r="A5030" i="1"/>
  <c r="B5030" i="1"/>
  <c r="C5030" i="1"/>
  <c r="E5030" i="1"/>
  <c r="G5030" i="1"/>
  <c r="H5030" i="1"/>
  <c r="A5031" i="1"/>
  <c r="B5031" i="1"/>
  <c r="C5031" i="1"/>
  <c r="E5031" i="1"/>
  <c r="G5031" i="1"/>
  <c r="H5031" i="1"/>
  <c r="A5032" i="1"/>
  <c r="B5032" i="1"/>
  <c r="C5032" i="1"/>
  <c r="E5032" i="1"/>
  <c r="G5032" i="1"/>
  <c r="H5032" i="1"/>
  <c r="A5033" i="1"/>
  <c r="B5033" i="1"/>
  <c r="C5033" i="1"/>
  <c r="E5033" i="1"/>
  <c r="G5033" i="1"/>
  <c r="H5033" i="1"/>
  <c r="A5034" i="1"/>
  <c r="B5034" i="1"/>
  <c r="C5034" i="1"/>
  <c r="E5034" i="1"/>
  <c r="G5034" i="1"/>
  <c r="H5034" i="1"/>
  <c r="A5035" i="1"/>
  <c r="B5035" i="1"/>
  <c r="C5035" i="1"/>
  <c r="E5035" i="1"/>
  <c r="G5035" i="1"/>
  <c r="H5035" i="1"/>
  <c r="A5036" i="1"/>
  <c r="B5036" i="1"/>
  <c r="C5036" i="1"/>
  <c r="E5036" i="1"/>
  <c r="G5036" i="1"/>
  <c r="H5036" i="1"/>
  <c r="A5037" i="1"/>
  <c r="B5037" i="1"/>
  <c r="C5037" i="1"/>
  <c r="E5037" i="1"/>
  <c r="G5037" i="1"/>
  <c r="H5037" i="1"/>
  <c r="A5038" i="1"/>
  <c r="B5038" i="1"/>
  <c r="C5038" i="1"/>
  <c r="E5038" i="1"/>
  <c r="G5038" i="1"/>
  <c r="H5038" i="1"/>
  <c r="A5039" i="1"/>
  <c r="B5039" i="1"/>
  <c r="C5039" i="1"/>
  <c r="E5039" i="1"/>
  <c r="G5039" i="1"/>
  <c r="H5039" i="1"/>
  <c r="A5040" i="1"/>
  <c r="B5040" i="1"/>
  <c r="C5040" i="1"/>
  <c r="E5040" i="1"/>
  <c r="G5040" i="1"/>
  <c r="H5040" i="1"/>
  <c r="A5041" i="1"/>
  <c r="B5041" i="1"/>
  <c r="C5041" i="1"/>
  <c r="E5041" i="1"/>
  <c r="G5041" i="1"/>
  <c r="H5041" i="1"/>
  <c r="A5042" i="1"/>
  <c r="B5042" i="1"/>
  <c r="C5042" i="1"/>
  <c r="E5042" i="1"/>
  <c r="G5042" i="1"/>
  <c r="H5042" i="1"/>
  <c r="A5043" i="1"/>
  <c r="B5043" i="1"/>
  <c r="C5043" i="1"/>
  <c r="E5043" i="1"/>
  <c r="G5043" i="1"/>
  <c r="H5043" i="1"/>
  <c r="A5044" i="1"/>
  <c r="B5044" i="1"/>
  <c r="C5044" i="1"/>
  <c r="E5044" i="1"/>
  <c r="G5044" i="1"/>
  <c r="H5044" i="1"/>
  <c r="A5045" i="1"/>
  <c r="B5045" i="1"/>
  <c r="C5045" i="1"/>
  <c r="E5045" i="1"/>
  <c r="G5045" i="1"/>
  <c r="H5045" i="1"/>
  <c r="A5046" i="1"/>
  <c r="B5046" i="1"/>
  <c r="C5046" i="1"/>
  <c r="E5046" i="1"/>
  <c r="G5046" i="1"/>
  <c r="H5046" i="1"/>
  <c r="A5047" i="1"/>
  <c r="B5047" i="1"/>
  <c r="C5047" i="1"/>
  <c r="E5047" i="1"/>
  <c r="G5047" i="1"/>
  <c r="H5047" i="1"/>
  <c r="A5048" i="1"/>
  <c r="B5048" i="1"/>
  <c r="C5048" i="1"/>
  <c r="E5048" i="1"/>
  <c r="G5048" i="1"/>
  <c r="H5048" i="1"/>
  <c r="A5049" i="1"/>
  <c r="B5049" i="1"/>
  <c r="C5049" i="1"/>
  <c r="E5049" i="1"/>
  <c r="G5049" i="1"/>
  <c r="H5049" i="1"/>
  <c r="A5050" i="1"/>
  <c r="B5050" i="1"/>
  <c r="C5050" i="1"/>
  <c r="E5050" i="1"/>
  <c r="G5050" i="1"/>
  <c r="H5050" i="1"/>
  <c r="A5051" i="1"/>
  <c r="B5051" i="1"/>
  <c r="C5051" i="1"/>
  <c r="E5051" i="1"/>
  <c r="G5051" i="1"/>
  <c r="H5051" i="1"/>
  <c r="A5052" i="1"/>
  <c r="B5052" i="1"/>
  <c r="C5052" i="1"/>
  <c r="E5052" i="1"/>
  <c r="G5052" i="1"/>
  <c r="H5052" i="1"/>
  <c r="A5053" i="1"/>
  <c r="B5053" i="1"/>
  <c r="C5053" i="1"/>
  <c r="E5053" i="1"/>
  <c r="G5053" i="1"/>
  <c r="H5053" i="1"/>
  <c r="A5054" i="1"/>
  <c r="B5054" i="1"/>
  <c r="C5054" i="1"/>
  <c r="E5054" i="1"/>
  <c r="G5054" i="1"/>
  <c r="H5054" i="1"/>
  <c r="A5055" i="1"/>
  <c r="B5055" i="1"/>
  <c r="C5055" i="1"/>
  <c r="E5055" i="1"/>
  <c r="G5055" i="1"/>
  <c r="H5055" i="1"/>
  <c r="A5056" i="1"/>
  <c r="B5056" i="1"/>
  <c r="C5056" i="1"/>
  <c r="E5056" i="1"/>
  <c r="G5056" i="1"/>
  <c r="H5056" i="1"/>
  <c r="A5057" i="1"/>
  <c r="B5057" i="1"/>
  <c r="C5057" i="1"/>
  <c r="E5057" i="1"/>
  <c r="G5057" i="1"/>
  <c r="H5057" i="1"/>
  <c r="A5058" i="1"/>
  <c r="B5058" i="1"/>
  <c r="C5058" i="1"/>
  <c r="E5058" i="1"/>
  <c r="G5058" i="1"/>
  <c r="H5058" i="1"/>
  <c r="A5059" i="1"/>
  <c r="B5059" i="1"/>
  <c r="C5059" i="1"/>
  <c r="E5059" i="1"/>
  <c r="G5059" i="1"/>
  <c r="H5059" i="1"/>
  <c r="A5060" i="1"/>
  <c r="B5060" i="1"/>
  <c r="C5060" i="1"/>
  <c r="E5060" i="1"/>
  <c r="G5060" i="1"/>
  <c r="H5060" i="1"/>
  <c r="A5061" i="1"/>
  <c r="B5061" i="1"/>
  <c r="C5061" i="1"/>
  <c r="E5061" i="1"/>
  <c r="G5061" i="1"/>
  <c r="H5061" i="1"/>
  <c r="A5062" i="1"/>
  <c r="B5062" i="1"/>
  <c r="C5062" i="1"/>
  <c r="E5062" i="1"/>
  <c r="G5062" i="1"/>
  <c r="H5062" i="1"/>
  <c r="A5063" i="1"/>
  <c r="B5063" i="1"/>
  <c r="C5063" i="1"/>
  <c r="E5063" i="1"/>
  <c r="G5063" i="1"/>
  <c r="H5063" i="1"/>
  <c r="A5064" i="1"/>
  <c r="B5064" i="1"/>
  <c r="C5064" i="1"/>
  <c r="E5064" i="1"/>
  <c r="G5064" i="1"/>
  <c r="H5064" i="1"/>
  <c r="A5065" i="1"/>
  <c r="B5065" i="1"/>
  <c r="C5065" i="1"/>
  <c r="E5065" i="1"/>
  <c r="G5065" i="1"/>
  <c r="H5065" i="1"/>
  <c r="A5066" i="1"/>
  <c r="B5066" i="1"/>
  <c r="C5066" i="1"/>
  <c r="E5066" i="1"/>
  <c r="G5066" i="1"/>
  <c r="H5066" i="1"/>
  <c r="A5067" i="1"/>
  <c r="B5067" i="1"/>
  <c r="C5067" i="1"/>
  <c r="E5067" i="1"/>
  <c r="G5067" i="1"/>
  <c r="H5067" i="1"/>
  <c r="A5068" i="1"/>
  <c r="B5068" i="1"/>
  <c r="C5068" i="1"/>
  <c r="E5068" i="1"/>
  <c r="G5068" i="1"/>
  <c r="H5068" i="1"/>
  <c r="A5069" i="1"/>
  <c r="B5069" i="1"/>
  <c r="C5069" i="1"/>
  <c r="E5069" i="1"/>
  <c r="G5069" i="1"/>
  <c r="H5069" i="1"/>
  <c r="A5070" i="1"/>
  <c r="B5070" i="1"/>
  <c r="C5070" i="1"/>
  <c r="E5070" i="1"/>
  <c r="G5070" i="1"/>
  <c r="H5070" i="1"/>
  <c r="A5071" i="1"/>
  <c r="B5071" i="1"/>
  <c r="C5071" i="1"/>
  <c r="E5071" i="1"/>
  <c r="G5071" i="1"/>
  <c r="H5071" i="1"/>
  <c r="A5072" i="1"/>
  <c r="B5072" i="1"/>
  <c r="C5072" i="1"/>
  <c r="E5072" i="1"/>
  <c r="G5072" i="1"/>
  <c r="H5072" i="1"/>
  <c r="A5073" i="1"/>
  <c r="B5073" i="1"/>
  <c r="C5073" i="1"/>
  <c r="E5073" i="1"/>
  <c r="G5073" i="1"/>
  <c r="H5073" i="1"/>
  <c r="A5074" i="1"/>
  <c r="B5074" i="1"/>
  <c r="C5074" i="1"/>
  <c r="E5074" i="1"/>
  <c r="G5074" i="1"/>
  <c r="H5074" i="1"/>
  <c r="A5075" i="1"/>
  <c r="B5075" i="1"/>
  <c r="C5075" i="1"/>
  <c r="E5075" i="1"/>
  <c r="G5075" i="1"/>
  <c r="H5075" i="1"/>
  <c r="A5076" i="1"/>
  <c r="B5076" i="1"/>
  <c r="C5076" i="1"/>
  <c r="E5076" i="1"/>
  <c r="G5076" i="1"/>
  <c r="H5076" i="1"/>
  <c r="A5077" i="1"/>
  <c r="B5077" i="1"/>
  <c r="C5077" i="1"/>
  <c r="E5077" i="1"/>
  <c r="G5077" i="1"/>
  <c r="H5077" i="1"/>
  <c r="A5078" i="1"/>
  <c r="B5078" i="1"/>
  <c r="C5078" i="1"/>
  <c r="E5078" i="1"/>
  <c r="G5078" i="1"/>
  <c r="H5078" i="1"/>
  <c r="A5079" i="1"/>
  <c r="B5079" i="1"/>
  <c r="C5079" i="1"/>
  <c r="E5079" i="1"/>
  <c r="G5079" i="1"/>
  <c r="H5079" i="1"/>
  <c r="A5080" i="1"/>
  <c r="B5080" i="1"/>
  <c r="C5080" i="1"/>
  <c r="E5080" i="1"/>
  <c r="G5080" i="1"/>
  <c r="H5080" i="1"/>
  <c r="A5081" i="1"/>
  <c r="B5081" i="1"/>
  <c r="C5081" i="1"/>
  <c r="E5081" i="1"/>
  <c r="G5081" i="1"/>
  <c r="H5081" i="1"/>
  <c r="A5082" i="1"/>
  <c r="B5082" i="1"/>
  <c r="C5082" i="1"/>
  <c r="E5082" i="1"/>
  <c r="G5082" i="1"/>
  <c r="H5082" i="1"/>
  <c r="A5083" i="1"/>
  <c r="B5083" i="1"/>
  <c r="C5083" i="1"/>
  <c r="E5083" i="1"/>
  <c r="G5083" i="1"/>
  <c r="H5083" i="1"/>
  <c r="A5084" i="1"/>
  <c r="B5084" i="1"/>
  <c r="C5084" i="1"/>
  <c r="E5084" i="1"/>
  <c r="G5084" i="1"/>
  <c r="H5084" i="1"/>
  <c r="A5085" i="1"/>
  <c r="B5085" i="1"/>
  <c r="C5085" i="1"/>
  <c r="E5085" i="1"/>
  <c r="G5085" i="1"/>
  <c r="H5085" i="1"/>
  <c r="A5086" i="1"/>
  <c r="B5086" i="1"/>
  <c r="C5086" i="1"/>
  <c r="E5086" i="1"/>
  <c r="G5086" i="1"/>
  <c r="H5086" i="1"/>
  <c r="A5087" i="1"/>
  <c r="B5087" i="1"/>
  <c r="C5087" i="1"/>
  <c r="E5087" i="1"/>
  <c r="G5087" i="1"/>
  <c r="H5087" i="1"/>
  <c r="A5088" i="1"/>
  <c r="B5088" i="1"/>
  <c r="C5088" i="1"/>
  <c r="E5088" i="1"/>
  <c r="G5088" i="1"/>
  <c r="H5088" i="1"/>
  <c r="A5089" i="1"/>
  <c r="B5089" i="1"/>
  <c r="C5089" i="1"/>
  <c r="E5089" i="1"/>
  <c r="G5089" i="1"/>
  <c r="H5089" i="1"/>
  <c r="A5090" i="1"/>
  <c r="B5090" i="1"/>
  <c r="C5090" i="1"/>
  <c r="E5090" i="1"/>
  <c r="G5090" i="1"/>
  <c r="H5090" i="1"/>
  <c r="A5091" i="1"/>
  <c r="B5091" i="1"/>
  <c r="C5091" i="1"/>
  <c r="E5091" i="1"/>
  <c r="G5091" i="1"/>
  <c r="H5091" i="1"/>
  <c r="A5092" i="1"/>
  <c r="B5092" i="1"/>
  <c r="C5092" i="1"/>
  <c r="E5092" i="1"/>
  <c r="G5092" i="1"/>
  <c r="H5092" i="1"/>
  <c r="A5093" i="1"/>
  <c r="B5093" i="1"/>
  <c r="C5093" i="1"/>
  <c r="E5093" i="1"/>
  <c r="G5093" i="1"/>
  <c r="H5093" i="1"/>
  <c r="A5094" i="1"/>
  <c r="B5094" i="1"/>
  <c r="C5094" i="1"/>
  <c r="E5094" i="1"/>
  <c r="G5094" i="1"/>
  <c r="H5094" i="1"/>
  <c r="A5095" i="1"/>
  <c r="B5095" i="1"/>
  <c r="C5095" i="1"/>
  <c r="E5095" i="1"/>
  <c r="G5095" i="1"/>
  <c r="H5095" i="1"/>
  <c r="A5096" i="1"/>
  <c r="B5096" i="1"/>
  <c r="C5096" i="1"/>
  <c r="E5096" i="1"/>
  <c r="G5096" i="1"/>
  <c r="H5096" i="1"/>
  <c r="A5097" i="1"/>
  <c r="B5097" i="1"/>
  <c r="C5097" i="1"/>
  <c r="E5097" i="1"/>
  <c r="G5097" i="1"/>
  <c r="H5097" i="1"/>
  <c r="A5098" i="1"/>
  <c r="B5098" i="1"/>
  <c r="C5098" i="1"/>
  <c r="E5098" i="1"/>
  <c r="G5098" i="1"/>
  <c r="H5098" i="1"/>
  <c r="A5099" i="1"/>
  <c r="B5099" i="1"/>
  <c r="C5099" i="1"/>
  <c r="E5099" i="1"/>
  <c r="G5099" i="1"/>
  <c r="H5099" i="1"/>
  <c r="A5100" i="1"/>
  <c r="B5100" i="1"/>
  <c r="C5100" i="1"/>
  <c r="E5100" i="1"/>
  <c r="G5100" i="1"/>
  <c r="H5100" i="1"/>
  <c r="A5101" i="1"/>
  <c r="B5101" i="1"/>
  <c r="C5101" i="1"/>
  <c r="E5101" i="1"/>
  <c r="G5101" i="1"/>
  <c r="H5101" i="1"/>
  <c r="A5102" i="1"/>
  <c r="B5102" i="1"/>
  <c r="C5102" i="1"/>
  <c r="E5102" i="1"/>
  <c r="G5102" i="1"/>
  <c r="H5102" i="1"/>
  <c r="A5103" i="1"/>
  <c r="B5103" i="1"/>
  <c r="C5103" i="1"/>
  <c r="E5103" i="1"/>
  <c r="G5103" i="1"/>
  <c r="H5103" i="1"/>
  <c r="A5104" i="1"/>
  <c r="B5104" i="1"/>
  <c r="C5104" i="1"/>
  <c r="E5104" i="1"/>
  <c r="G5104" i="1"/>
  <c r="H5104" i="1"/>
  <c r="A5105" i="1"/>
  <c r="B5105" i="1"/>
  <c r="C5105" i="1"/>
  <c r="E5105" i="1"/>
  <c r="G5105" i="1"/>
  <c r="H5105" i="1"/>
  <c r="A5106" i="1"/>
  <c r="B5106" i="1"/>
  <c r="C5106" i="1"/>
  <c r="E5106" i="1"/>
  <c r="G5106" i="1"/>
  <c r="H5106" i="1"/>
  <c r="A5107" i="1"/>
  <c r="B5107" i="1"/>
  <c r="C5107" i="1"/>
  <c r="E5107" i="1"/>
  <c r="G5107" i="1"/>
  <c r="H5107" i="1"/>
  <c r="A5108" i="1"/>
  <c r="B5108" i="1"/>
  <c r="C5108" i="1"/>
  <c r="E5108" i="1"/>
  <c r="G5108" i="1"/>
  <c r="H5108" i="1"/>
  <c r="A5109" i="1"/>
  <c r="B5109" i="1"/>
  <c r="C5109" i="1"/>
  <c r="E5109" i="1"/>
  <c r="G5109" i="1"/>
  <c r="H5109" i="1"/>
  <c r="A5110" i="1"/>
  <c r="B5110" i="1"/>
  <c r="C5110" i="1"/>
  <c r="E5110" i="1"/>
  <c r="G5110" i="1"/>
  <c r="H5110" i="1"/>
  <c r="A5111" i="1"/>
  <c r="B5111" i="1"/>
  <c r="C5111" i="1"/>
  <c r="E5111" i="1"/>
  <c r="G5111" i="1"/>
  <c r="H5111" i="1"/>
  <c r="A5112" i="1"/>
  <c r="B5112" i="1"/>
  <c r="C5112" i="1"/>
  <c r="E5112" i="1"/>
  <c r="G5112" i="1"/>
  <c r="H5112" i="1"/>
  <c r="A5113" i="1"/>
  <c r="B5113" i="1"/>
  <c r="C5113" i="1"/>
  <c r="E5113" i="1"/>
  <c r="G5113" i="1"/>
  <c r="H5113" i="1"/>
  <c r="A5114" i="1"/>
  <c r="B5114" i="1"/>
  <c r="C5114" i="1"/>
  <c r="E5114" i="1"/>
  <c r="G5114" i="1"/>
  <c r="H5114" i="1"/>
  <c r="A5115" i="1"/>
  <c r="B5115" i="1"/>
  <c r="C5115" i="1"/>
  <c r="E5115" i="1"/>
  <c r="G5115" i="1"/>
  <c r="H5115" i="1"/>
  <c r="A5116" i="1"/>
  <c r="B5116" i="1"/>
  <c r="C5116" i="1"/>
  <c r="E5116" i="1"/>
  <c r="G5116" i="1"/>
  <c r="H5116" i="1"/>
  <c r="A5117" i="1"/>
  <c r="B5117" i="1"/>
  <c r="C5117" i="1"/>
  <c r="E5117" i="1"/>
  <c r="G5117" i="1"/>
  <c r="H5117" i="1"/>
  <c r="A5118" i="1"/>
  <c r="B5118" i="1"/>
  <c r="C5118" i="1"/>
  <c r="E5118" i="1"/>
  <c r="G5118" i="1"/>
  <c r="H5118" i="1"/>
  <c r="A5119" i="1"/>
  <c r="B5119" i="1"/>
  <c r="C5119" i="1"/>
  <c r="E5119" i="1"/>
  <c r="G5119" i="1"/>
  <c r="H5119" i="1"/>
  <c r="A5120" i="1"/>
  <c r="B5120" i="1"/>
  <c r="C5120" i="1"/>
  <c r="E5120" i="1"/>
  <c r="G5120" i="1"/>
  <c r="H5120" i="1"/>
  <c r="A5121" i="1"/>
  <c r="B5121" i="1"/>
  <c r="C5121" i="1"/>
  <c r="E5121" i="1"/>
  <c r="G5121" i="1"/>
  <c r="H5121" i="1"/>
  <c r="A5122" i="1"/>
  <c r="B5122" i="1"/>
  <c r="C5122" i="1"/>
  <c r="E5122" i="1"/>
  <c r="G5122" i="1"/>
  <c r="H5122" i="1"/>
  <c r="A5123" i="1"/>
  <c r="B5123" i="1"/>
  <c r="C5123" i="1"/>
  <c r="E5123" i="1"/>
  <c r="G5123" i="1"/>
  <c r="H5123" i="1"/>
  <c r="A5124" i="1"/>
  <c r="B5124" i="1"/>
  <c r="C5124" i="1"/>
  <c r="E5124" i="1"/>
  <c r="G5124" i="1"/>
  <c r="H5124" i="1"/>
  <c r="A5125" i="1"/>
  <c r="B5125" i="1"/>
  <c r="C5125" i="1"/>
  <c r="E5125" i="1"/>
  <c r="G5125" i="1"/>
  <c r="H5125" i="1"/>
  <c r="A5126" i="1"/>
  <c r="B5126" i="1"/>
  <c r="C5126" i="1"/>
  <c r="E5126" i="1"/>
  <c r="G5126" i="1"/>
  <c r="H5126" i="1"/>
  <c r="A5127" i="1"/>
  <c r="B5127" i="1"/>
  <c r="C5127" i="1"/>
  <c r="E5127" i="1"/>
  <c r="G5127" i="1"/>
  <c r="H5127" i="1"/>
  <c r="A5128" i="1"/>
  <c r="B5128" i="1"/>
  <c r="C5128" i="1"/>
  <c r="E5128" i="1"/>
  <c r="G5128" i="1"/>
  <c r="H5128" i="1"/>
  <c r="A5129" i="1"/>
  <c r="B5129" i="1"/>
  <c r="C5129" i="1"/>
  <c r="E5129" i="1"/>
  <c r="G5129" i="1"/>
  <c r="H5129" i="1"/>
  <c r="A5130" i="1"/>
  <c r="B5130" i="1"/>
  <c r="C5130" i="1"/>
  <c r="E5130" i="1"/>
  <c r="G5130" i="1"/>
  <c r="H5130" i="1"/>
  <c r="A5131" i="1"/>
  <c r="B5131" i="1"/>
  <c r="C5131" i="1"/>
  <c r="E5131" i="1"/>
  <c r="G5131" i="1"/>
  <c r="H5131" i="1"/>
  <c r="A5132" i="1"/>
  <c r="B5132" i="1"/>
  <c r="C5132" i="1"/>
  <c r="E5132" i="1"/>
  <c r="G5132" i="1"/>
  <c r="H5132" i="1"/>
  <c r="A5133" i="1"/>
  <c r="B5133" i="1"/>
  <c r="C5133" i="1"/>
  <c r="E5133" i="1"/>
  <c r="G5133" i="1"/>
  <c r="H5133" i="1"/>
  <c r="A5134" i="1"/>
  <c r="B5134" i="1"/>
  <c r="C5134" i="1"/>
  <c r="E5134" i="1"/>
  <c r="G5134" i="1"/>
  <c r="H5134" i="1"/>
  <c r="A5135" i="1"/>
  <c r="B5135" i="1"/>
  <c r="C5135" i="1"/>
  <c r="E5135" i="1"/>
  <c r="G5135" i="1"/>
  <c r="H5135" i="1"/>
  <c r="A5136" i="1"/>
  <c r="B5136" i="1"/>
  <c r="C5136" i="1"/>
  <c r="E5136" i="1"/>
  <c r="G5136" i="1"/>
  <c r="H5136" i="1"/>
  <c r="A5137" i="1"/>
  <c r="B5137" i="1"/>
  <c r="C5137" i="1"/>
  <c r="E5137" i="1"/>
  <c r="G5137" i="1"/>
  <c r="H5137" i="1"/>
  <c r="A5138" i="1"/>
  <c r="B5138" i="1"/>
  <c r="C5138" i="1"/>
  <c r="E5138" i="1"/>
  <c r="G5138" i="1"/>
  <c r="H5138" i="1"/>
  <c r="A5139" i="1"/>
  <c r="B5139" i="1"/>
  <c r="C5139" i="1"/>
  <c r="E5139" i="1"/>
  <c r="G5139" i="1"/>
  <c r="H5139" i="1"/>
  <c r="A5140" i="1"/>
  <c r="B5140" i="1"/>
  <c r="C5140" i="1"/>
  <c r="E5140" i="1"/>
  <c r="G5140" i="1"/>
  <c r="H5140" i="1"/>
  <c r="A5141" i="1"/>
  <c r="B5141" i="1"/>
  <c r="C5141" i="1"/>
  <c r="E5141" i="1"/>
  <c r="G5141" i="1"/>
  <c r="H5141" i="1"/>
  <c r="A5142" i="1"/>
  <c r="B5142" i="1"/>
  <c r="C5142" i="1"/>
  <c r="E5142" i="1"/>
  <c r="G5142" i="1"/>
  <c r="H5142" i="1"/>
  <c r="A5143" i="1"/>
  <c r="B5143" i="1"/>
  <c r="C5143" i="1"/>
  <c r="E5143" i="1"/>
  <c r="G5143" i="1"/>
  <c r="H5143" i="1"/>
  <c r="A5144" i="1"/>
  <c r="B5144" i="1"/>
  <c r="C5144" i="1"/>
  <c r="E5144" i="1"/>
  <c r="G5144" i="1"/>
  <c r="H5144" i="1"/>
  <c r="A5145" i="1"/>
  <c r="B5145" i="1"/>
  <c r="C5145" i="1"/>
  <c r="E5145" i="1"/>
  <c r="G5145" i="1"/>
  <c r="H5145" i="1"/>
  <c r="A5146" i="1"/>
  <c r="B5146" i="1"/>
  <c r="C5146" i="1"/>
  <c r="E5146" i="1"/>
  <c r="G5146" i="1"/>
  <c r="H5146" i="1"/>
  <c r="A5147" i="1"/>
  <c r="B5147" i="1"/>
  <c r="C5147" i="1"/>
  <c r="E5147" i="1"/>
  <c r="G5147" i="1"/>
  <c r="H5147" i="1"/>
  <c r="A5148" i="1"/>
  <c r="B5148" i="1"/>
  <c r="C5148" i="1"/>
  <c r="E5148" i="1"/>
  <c r="G5148" i="1"/>
  <c r="H5148" i="1"/>
  <c r="A5149" i="1"/>
  <c r="B5149" i="1"/>
  <c r="C5149" i="1"/>
  <c r="E5149" i="1"/>
  <c r="G5149" i="1"/>
  <c r="H5149" i="1"/>
  <c r="A5150" i="1"/>
  <c r="B5150" i="1"/>
  <c r="C5150" i="1"/>
  <c r="E5150" i="1"/>
  <c r="G5150" i="1"/>
  <c r="H5150" i="1"/>
  <c r="A5151" i="1"/>
  <c r="B5151" i="1"/>
  <c r="C5151" i="1"/>
  <c r="E5151" i="1"/>
  <c r="G5151" i="1"/>
  <c r="H5151" i="1"/>
  <c r="A5152" i="1"/>
  <c r="B5152" i="1"/>
  <c r="C5152" i="1"/>
  <c r="E5152" i="1"/>
  <c r="G5152" i="1"/>
  <c r="H5152" i="1"/>
  <c r="A5153" i="1"/>
  <c r="B5153" i="1"/>
  <c r="C5153" i="1"/>
  <c r="E5153" i="1"/>
  <c r="G5153" i="1"/>
  <c r="H5153" i="1"/>
  <c r="A5154" i="1"/>
  <c r="B5154" i="1"/>
  <c r="C5154" i="1"/>
  <c r="E5154" i="1"/>
  <c r="G5154" i="1"/>
  <c r="H5154" i="1"/>
  <c r="A5155" i="1"/>
  <c r="B5155" i="1"/>
  <c r="C5155" i="1"/>
  <c r="E5155" i="1"/>
  <c r="G5155" i="1"/>
  <c r="H5155" i="1"/>
  <c r="A5156" i="1"/>
  <c r="B5156" i="1"/>
  <c r="C5156" i="1"/>
  <c r="E5156" i="1"/>
  <c r="G5156" i="1"/>
  <c r="H5156" i="1"/>
  <c r="A5157" i="1"/>
  <c r="B5157" i="1"/>
  <c r="C5157" i="1"/>
  <c r="E5157" i="1"/>
  <c r="G5157" i="1"/>
  <c r="H5157" i="1"/>
  <c r="A5158" i="1"/>
  <c r="B5158" i="1"/>
  <c r="C5158" i="1"/>
  <c r="E5158" i="1"/>
  <c r="G5158" i="1"/>
  <c r="H5158" i="1"/>
  <c r="A5159" i="1"/>
  <c r="B5159" i="1"/>
  <c r="C5159" i="1"/>
  <c r="E5159" i="1"/>
  <c r="G5159" i="1"/>
  <c r="H5159" i="1"/>
  <c r="A5160" i="1"/>
  <c r="B5160" i="1"/>
  <c r="C5160" i="1"/>
  <c r="E5160" i="1"/>
  <c r="G5160" i="1"/>
  <c r="H5160" i="1"/>
  <c r="A5161" i="1"/>
  <c r="B5161" i="1"/>
  <c r="C5161" i="1"/>
  <c r="E5161" i="1"/>
  <c r="G5161" i="1"/>
  <c r="H5161" i="1"/>
  <c r="A5162" i="1"/>
  <c r="B5162" i="1"/>
  <c r="C5162" i="1"/>
  <c r="E5162" i="1"/>
  <c r="G5162" i="1"/>
  <c r="H5162" i="1"/>
  <c r="A5163" i="1"/>
  <c r="B5163" i="1"/>
  <c r="C5163" i="1"/>
  <c r="E5163" i="1"/>
  <c r="G5163" i="1"/>
  <c r="H5163" i="1"/>
  <c r="A5164" i="1"/>
  <c r="B5164" i="1"/>
  <c r="C5164" i="1"/>
  <c r="E5164" i="1"/>
  <c r="G5164" i="1"/>
  <c r="H5164" i="1"/>
  <c r="A5165" i="1"/>
  <c r="B5165" i="1"/>
  <c r="C5165" i="1"/>
  <c r="E5165" i="1"/>
  <c r="G5165" i="1"/>
  <c r="H5165" i="1"/>
  <c r="A5166" i="1"/>
  <c r="B5166" i="1"/>
  <c r="C5166" i="1"/>
  <c r="E5166" i="1"/>
  <c r="G5166" i="1"/>
  <c r="H5166" i="1"/>
  <c r="A5167" i="1"/>
  <c r="B5167" i="1"/>
  <c r="C5167" i="1"/>
  <c r="E5167" i="1"/>
  <c r="G5167" i="1"/>
  <c r="H5167" i="1"/>
  <c r="A5168" i="1"/>
  <c r="B5168" i="1"/>
  <c r="C5168" i="1"/>
  <c r="E5168" i="1"/>
  <c r="G5168" i="1"/>
  <c r="H5168" i="1"/>
  <c r="A5169" i="1"/>
  <c r="B5169" i="1"/>
  <c r="C5169" i="1"/>
  <c r="E5169" i="1"/>
  <c r="G5169" i="1"/>
  <c r="H5169" i="1"/>
  <c r="A5170" i="1"/>
  <c r="B5170" i="1"/>
  <c r="C5170" i="1"/>
  <c r="E5170" i="1"/>
  <c r="G5170" i="1"/>
  <c r="H5170" i="1"/>
  <c r="A5171" i="1"/>
  <c r="B5171" i="1"/>
  <c r="C5171" i="1"/>
  <c r="E5171" i="1"/>
  <c r="G5171" i="1"/>
  <c r="H5171" i="1"/>
  <c r="A5172" i="1"/>
  <c r="B5172" i="1"/>
  <c r="C5172" i="1"/>
  <c r="E5172" i="1"/>
  <c r="G5172" i="1"/>
  <c r="H5172" i="1"/>
  <c r="A5173" i="1"/>
  <c r="B5173" i="1"/>
  <c r="C5173" i="1"/>
  <c r="E5173" i="1"/>
  <c r="G5173" i="1"/>
  <c r="H5173" i="1"/>
  <c r="A5174" i="1"/>
  <c r="B5174" i="1"/>
  <c r="C5174" i="1"/>
  <c r="E5174" i="1"/>
  <c r="G5174" i="1"/>
  <c r="H5174" i="1"/>
  <c r="A5175" i="1"/>
  <c r="B5175" i="1"/>
  <c r="C5175" i="1"/>
  <c r="E5175" i="1"/>
  <c r="G5175" i="1"/>
  <c r="H5175" i="1"/>
  <c r="A5176" i="1"/>
  <c r="B5176" i="1"/>
  <c r="C5176" i="1"/>
  <c r="E5176" i="1"/>
  <c r="G5176" i="1"/>
  <c r="H5176" i="1"/>
  <c r="A5177" i="1"/>
  <c r="B5177" i="1"/>
  <c r="C5177" i="1"/>
  <c r="E5177" i="1"/>
  <c r="G5177" i="1"/>
  <c r="H5177" i="1"/>
  <c r="A5178" i="1"/>
  <c r="B5178" i="1"/>
  <c r="C5178" i="1"/>
  <c r="E5178" i="1"/>
  <c r="G5178" i="1"/>
  <c r="H5178" i="1"/>
  <c r="A5179" i="1"/>
  <c r="B5179" i="1"/>
  <c r="C5179" i="1"/>
  <c r="E5179" i="1"/>
  <c r="G5179" i="1"/>
  <c r="H5179" i="1"/>
  <c r="A5180" i="1"/>
  <c r="B5180" i="1"/>
  <c r="C5180" i="1"/>
  <c r="E5180" i="1"/>
  <c r="G5180" i="1"/>
  <c r="H5180" i="1"/>
  <c r="A5181" i="1"/>
  <c r="B5181" i="1"/>
  <c r="C5181" i="1"/>
  <c r="E5181" i="1"/>
  <c r="G5181" i="1"/>
  <c r="H5181" i="1"/>
  <c r="A5182" i="1"/>
  <c r="B5182" i="1"/>
  <c r="C5182" i="1"/>
  <c r="E5182" i="1"/>
  <c r="G5182" i="1"/>
  <c r="H5182" i="1"/>
  <c r="A5183" i="1"/>
  <c r="B5183" i="1"/>
  <c r="C5183" i="1"/>
  <c r="E5183" i="1"/>
  <c r="G5183" i="1"/>
  <c r="H5183" i="1"/>
  <c r="A5184" i="1"/>
  <c r="B5184" i="1"/>
  <c r="C5184" i="1"/>
  <c r="E5184" i="1"/>
  <c r="G5184" i="1"/>
  <c r="H5184" i="1"/>
  <c r="A5185" i="1"/>
  <c r="B5185" i="1"/>
  <c r="C5185" i="1"/>
  <c r="E5185" i="1"/>
  <c r="G5185" i="1"/>
  <c r="H5185" i="1"/>
  <c r="A5186" i="1"/>
  <c r="B5186" i="1"/>
  <c r="C5186" i="1"/>
  <c r="E5186" i="1"/>
  <c r="G5186" i="1"/>
  <c r="H5186" i="1"/>
  <c r="A5187" i="1"/>
  <c r="B5187" i="1"/>
  <c r="C5187" i="1"/>
  <c r="E5187" i="1"/>
  <c r="G5187" i="1"/>
  <c r="H5187" i="1"/>
  <c r="A5188" i="1"/>
  <c r="B5188" i="1"/>
  <c r="C5188" i="1"/>
  <c r="E5188" i="1"/>
  <c r="G5188" i="1"/>
  <c r="H5188" i="1"/>
  <c r="A5189" i="1"/>
  <c r="B5189" i="1"/>
  <c r="C5189" i="1"/>
  <c r="E5189" i="1"/>
  <c r="G5189" i="1"/>
  <c r="H5189" i="1"/>
  <c r="A5190" i="1"/>
  <c r="B5190" i="1"/>
  <c r="C5190" i="1"/>
  <c r="E5190" i="1"/>
  <c r="G5190" i="1"/>
  <c r="H5190" i="1"/>
  <c r="A5191" i="1"/>
  <c r="B5191" i="1"/>
  <c r="C5191" i="1"/>
  <c r="E5191" i="1"/>
  <c r="G5191" i="1"/>
  <c r="H5191" i="1"/>
  <c r="A5192" i="1"/>
  <c r="B5192" i="1"/>
  <c r="C5192" i="1"/>
  <c r="E5192" i="1"/>
  <c r="G5192" i="1"/>
  <c r="H5192" i="1"/>
  <c r="A5193" i="1"/>
  <c r="B5193" i="1"/>
  <c r="C5193" i="1"/>
  <c r="E5193" i="1"/>
  <c r="G5193" i="1"/>
  <c r="H5193" i="1"/>
  <c r="A5194" i="1"/>
  <c r="B5194" i="1"/>
  <c r="C5194" i="1"/>
  <c r="E5194" i="1"/>
  <c r="G5194" i="1"/>
  <c r="H5194" i="1"/>
  <c r="A5195" i="1"/>
  <c r="B5195" i="1"/>
  <c r="C5195" i="1"/>
  <c r="E5195" i="1"/>
  <c r="G5195" i="1"/>
  <c r="H5195" i="1"/>
  <c r="A5196" i="1"/>
  <c r="B5196" i="1"/>
  <c r="C5196" i="1"/>
  <c r="E5196" i="1"/>
  <c r="G5196" i="1"/>
  <c r="H5196" i="1"/>
  <c r="A5197" i="1"/>
  <c r="B5197" i="1"/>
  <c r="C5197" i="1"/>
  <c r="E5197" i="1"/>
  <c r="G5197" i="1"/>
  <c r="H5197" i="1"/>
  <c r="A5198" i="1"/>
  <c r="B5198" i="1"/>
  <c r="C5198" i="1"/>
  <c r="E5198" i="1"/>
  <c r="G5198" i="1"/>
  <c r="H5198" i="1"/>
  <c r="A5199" i="1"/>
  <c r="B5199" i="1"/>
  <c r="C5199" i="1"/>
  <c r="E5199" i="1"/>
  <c r="G5199" i="1"/>
  <c r="H5199" i="1"/>
  <c r="A5200" i="1"/>
  <c r="B5200" i="1"/>
  <c r="C5200" i="1"/>
  <c r="E5200" i="1"/>
  <c r="G5200" i="1"/>
  <c r="H5200" i="1"/>
  <c r="A5201" i="1"/>
  <c r="B5201" i="1"/>
  <c r="C5201" i="1"/>
  <c r="E5201" i="1"/>
  <c r="G5201" i="1"/>
  <c r="H5201" i="1"/>
  <c r="A5202" i="1"/>
  <c r="B5202" i="1"/>
  <c r="C5202" i="1"/>
  <c r="E5202" i="1"/>
  <c r="G5202" i="1"/>
  <c r="H5202" i="1"/>
  <c r="A5203" i="1"/>
  <c r="B5203" i="1"/>
  <c r="C5203" i="1"/>
  <c r="E5203" i="1"/>
  <c r="G5203" i="1"/>
  <c r="H5203" i="1"/>
  <c r="A5204" i="1"/>
  <c r="B5204" i="1"/>
  <c r="C5204" i="1"/>
  <c r="E5204" i="1"/>
  <c r="G5204" i="1"/>
  <c r="H5204" i="1"/>
  <c r="A5205" i="1"/>
  <c r="B5205" i="1"/>
  <c r="C5205" i="1"/>
  <c r="E5205" i="1"/>
  <c r="G5205" i="1"/>
  <c r="H5205" i="1"/>
  <c r="A5206" i="1"/>
  <c r="B5206" i="1"/>
  <c r="C5206" i="1"/>
  <c r="E5206" i="1"/>
  <c r="G5206" i="1"/>
  <c r="H5206" i="1"/>
  <c r="A5207" i="1"/>
  <c r="B5207" i="1"/>
  <c r="C5207" i="1"/>
  <c r="E5207" i="1"/>
  <c r="G5207" i="1"/>
  <c r="H5207" i="1"/>
  <c r="A5208" i="1"/>
  <c r="B5208" i="1"/>
  <c r="C5208" i="1"/>
  <c r="E5208" i="1"/>
  <c r="G5208" i="1"/>
  <c r="H5208" i="1"/>
  <c r="A5209" i="1"/>
  <c r="B5209" i="1"/>
  <c r="C5209" i="1"/>
  <c r="E5209" i="1"/>
  <c r="G5209" i="1"/>
  <c r="H5209" i="1"/>
  <c r="A5210" i="1"/>
  <c r="B5210" i="1"/>
  <c r="C5210" i="1"/>
  <c r="E5210" i="1"/>
  <c r="G5210" i="1"/>
  <c r="H5210" i="1"/>
  <c r="A5211" i="1"/>
  <c r="B5211" i="1"/>
  <c r="C5211" i="1"/>
  <c r="E5211" i="1"/>
  <c r="G5211" i="1"/>
  <c r="H5211" i="1"/>
  <c r="A5212" i="1"/>
  <c r="B5212" i="1"/>
  <c r="C5212" i="1"/>
  <c r="E5212" i="1"/>
  <c r="G5212" i="1"/>
  <c r="H5212" i="1"/>
  <c r="A5213" i="1"/>
  <c r="B5213" i="1"/>
  <c r="C5213" i="1"/>
  <c r="E5213" i="1"/>
  <c r="G5213" i="1"/>
  <c r="H5213" i="1"/>
  <c r="A5214" i="1"/>
  <c r="B5214" i="1"/>
  <c r="C5214" i="1"/>
  <c r="E5214" i="1"/>
  <c r="G5214" i="1"/>
  <c r="H5214" i="1"/>
  <c r="A5215" i="1"/>
  <c r="B5215" i="1"/>
  <c r="C5215" i="1"/>
  <c r="E5215" i="1"/>
  <c r="G5215" i="1"/>
  <c r="H5215" i="1"/>
  <c r="A5216" i="1"/>
  <c r="B5216" i="1"/>
  <c r="C5216" i="1"/>
  <c r="E5216" i="1"/>
  <c r="G5216" i="1"/>
  <c r="H5216" i="1"/>
  <c r="A5217" i="1"/>
  <c r="B5217" i="1"/>
  <c r="C5217" i="1"/>
  <c r="E5217" i="1"/>
  <c r="G5217" i="1"/>
  <c r="H5217" i="1"/>
  <c r="A5218" i="1"/>
  <c r="B5218" i="1"/>
  <c r="C5218" i="1"/>
  <c r="E5218" i="1"/>
  <c r="G5218" i="1"/>
  <c r="H5218" i="1"/>
  <c r="A5219" i="1"/>
  <c r="B5219" i="1"/>
  <c r="C5219" i="1"/>
  <c r="E5219" i="1"/>
  <c r="G5219" i="1"/>
  <c r="H5219" i="1"/>
  <c r="A5220" i="1"/>
  <c r="B5220" i="1"/>
  <c r="C5220" i="1"/>
  <c r="E5220" i="1"/>
  <c r="G5220" i="1"/>
  <c r="H5220" i="1"/>
  <c r="A5221" i="1"/>
  <c r="B5221" i="1"/>
  <c r="C5221" i="1"/>
  <c r="E5221" i="1"/>
  <c r="G5221" i="1"/>
  <c r="H5221" i="1"/>
  <c r="A5222" i="1"/>
  <c r="B5222" i="1"/>
  <c r="C5222" i="1"/>
  <c r="E5222" i="1"/>
  <c r="G5222" i="1"/>
  <c r="H5222" i="1"/>
  <c r="A5223" i="1"/>
  <c r="B5223" i="1"/>
  <c r="C5223" i="1"/>
  <c r="E5223" i="1"/>
  <c r="G5223" i="1"/>
  <c r="H5223" i="1"/>
  <c r="A5224" i="1"/>
  <c r="B5224" i="1"/>
  <c r="C5224" i="1"/>
  <c r="E5224" i="1"/>
  <c r="G5224" i="1"/>
  <c r="H5224" i="1"/>
  <c r="A5225" i="1"/>
  <c r="B5225" i="1"/>
  <c r="C5225" i="1"/>
  <c r="E5225" i="1"/>
  <c r="G5225" i="1"/>
  <c r="H5225" i="1"/>
  <c r="A5226" i="1"/>
  <c r="B5226" i="1"/>
  <c r="C5226" i="1"/>
  <c r="E5226" i="1"/>
  <c r="G5226" i="1"/>
  <c r="H5226" i="1"/>
  <c r="A5227" i="1"/>
  <c r="B5227" i="1"/>
  <c r="C5227" i="1"/>
  <c r="E5227" i="1"/>
  <c r="G5227" i="1"/>
  <c r="H5227" i="1"/>
  <c r="A5228" i="1"/>
  <c r="B5228" i="1"/>
  <c r="C5228" i="1"/>
  <c r="E5228" i="1"/>
  <c r="G5228" i="1"/>
  <c r="H5228" i="1"/>
  <c r="A5229" i="1"/>
  <c r="B5229" i="1"/>
  <c r="C5229" i="1"/>
  <c r="E5229" i="1"/>
  <c r="G5229" i="1"/>
  <c r="H5229" i="1"/>
  <c r="A5230" i="1"/>
  <c r="B5230" i="1"/>
  <c r="C5230" i="1"/>
  <c r="E5230" i="1"/>
  <c r="G5230" i="1"/>
  <c r="H5230" i="1"/>
  <c r="A5231" i="1"/>
  <c r="B5231" i="1"/>
  <c r="C5231" i="1"/>
  <c r="E5231" i="1"/>
  <c r="G5231" i="1"/>
  <c r="H5231" i="1"/>
  <c r="A5232" i="1"/>
  <c r="B5232" i="1"/>
  <c r="C5232" i="1"/>
  <c r="E5232" i="1"/>
  <c r="G5232" i="1"/>
  <c r="H5232" i="1"/>
  <c r="A5233" i="1"/>
  <c r="B5233" i="1"/>
  <c r="C5233" i="1"/>
  <c r="E5233" i="1"/>
  <c r="G5233" i="1"/>
  <c r="H5233" i="1"/>
  <c r="A5234" i="1"/>
  <c r="B5234" i="1"/>
  <c r="C5234" i="1"/>
  <c r="E5234" i="1"/>
  <c r="G5234" i="1"/>
  <c r="H5234" i="1"/>
  <c r="A5235" i="1"/>
  <c r="B5235" i="1"/>
  <c r="C5235" i="1"/>
  <c r="E5235" i="1"/>
  <c r="G5235" i="1"/>
  <c r="H5235" i="1"/>
  <c r="A5236" i="1"/>
  <c r="B5236" i="1"/>
  <c r="C5236" i="1"/>
  <c r="E5236" i="1"/>
  <c r="G5236" i="1"/>
  <c r="H5236" i="1"/>
  <c r="A5237" i="1"/>
  <c r="B5237" i="1"/>
  <c r="C5237" i="1"/>
  <c r="E5237" i="1"/>
  <c r="G5237" i="1"/>
  <c r="H5237" i="1"/>
  <c r="A5238" i="1"/>
  <c r="B5238" i="1"/>
  <c r="C5238" i="1"/>
  <c r="E5238" i="1"/>
  <c r="G5238" i="1"/>
  <c r="H5238" i="1"/>
  <c r="A5239" i="1"/>
  <c r="B5239" i="1"/>
  <c r="C5239" i="1"/>
  <c r="E5239" i="1"/>
  <c r="G5239" i="1"/>
  <c r="H5239" i="1"/>
  <c r="A5240" i="1"/>
  <c r="B5240" i="1"/>
  <c r="C5240" i="1"/>
  <c r="E5240" i="1"/>
  <c r="G5240" i="1"/>
  <c r="H5240" i="1"/>
  <c r="A5241" i="1"/>
  <c r="B5241" i="1"/>
  <c r="C5241" i="1"/>
  <c r="E5241" i="1"/>
  <c r="G5241" i="1"/>
  <c r="H5241" i="1"/>
  <c r="A5242" i="1"/>
  <c r="B5242" i="1"/>
  <c r="C5242" i="1"/>
  <c r="E5242" i="1"/>
  <c r="G5242" i="1"/>
  <c r="H5242" i="1"/>
  <c r="A5243" i="1"/>
  <c r="B5243" i="1"/>
  <c r="C5243" i="1"/>
  <c r="E5243" i="1"/>
  <c r="G5243" i="1"/>
  <c r="H5243" i="1"/>
  <c r="A5244" i="1"/>
  <c r="B5244" i="1"/>
  <c r="C5244" i="1"/>
  <c r="E5244" i="1"/>
  <c r="G5244" i="1"/>
  <c r="H5244" i="1"/>
  <c r="A5245" i="1"/>
  <c r="B5245" i="1"/>
  <c r="C5245" i="1"/>
  <c r="E5245" i="1"/>
  <c r="G5245" i="1"/>
  <c r="H5245" i="1"/>
  <c r="A5246" i="1"/>
  <c r="B5246" i="1"/>
  <c r="C5246" i="1"/>
  <c r="E5246" i="1"/>
  <c r="G5246" i="1"/>
  <c r="H5246" i="1"/>
  <c r="A5247" i="1"/>
  <c r="B5247" i="1"/>
  <c r="C5247" i="1"/>
  <c r="E5247" i="1"/>
  <c r="G5247" i="1"/>
  <c r="H5247" i="1"/>
  <c r="A5248" i="1"/>
  <c r="B5248" i="1"/>
  <c r="C5248" i="1"/>
  <c r="E5248" i="1"/>
  <c r="G5248" i="1"/>
  <c r="H5248" i="1"/>
  <c r="A5249" i="1"/>
  <c r="B5249" i="1"/>
  <c r="C5249" i="1"/>
  <c r="E5249" i="1"/>
  <c r="G5249" i="1"/>
  <c r="H5249" i="1"/>
  <c r="A5250" i="1"/>
  <c r="B5250" i="1"/>
  <c r="C5250" i="1"/>
  <c r="E5250" i="1"/>
  <c r="G5250" i="1"/>
  <c r="H5250" i="1"/>
  <c r="A5251" i="1"/>
  <c r="B5251" i="1"/>
  <c r="C5251" i="1"/>
  <c r="E5251" i="1"/>
  <c r="G5251" i="1"/>
  <c r="H5251" i="1"/>
  <c r="A5252" i="1"/>
  <c r="B5252" i="1"/>
  <c r="C5252" i="1"/>
  <c r="E5252" i="1"/>
  <c r="G5252" i="1"/>
  <c r="H5252" i="1"/>
  <c r="A5253" i="1"/>
  <c r="B5253" i="1"/>
  <c r="C5253" i="1"/>
  <c r="E5253" i="1"/>
  <c r="G5253" i="1"/>
  <c r="H5253" i="1"/>
  <c r="A5254" i="1"/>
  <c r="B5254" i="1"/>
  <c r="C5254" i="1"/>
  <c r="E5254" i="1"/>
  <c r="G5254" i="1"/>
  <c r="H5254" i="1"/>
  <c r="A5255" i="1"/>
  <c r="B5255" i="1"/>
  <c r="C5255" i="1"/>
  <c r="E5255" i="1"/>
  <c r="G5255" i="1"/>
  <c r="H5255" i="1"/>
  <c r="A5256" i="1"/>
  <c r="B5256" i="1"/>
  <c r="C5256" i="1"/>
  <c r="E5256" i="1"/>
  <c r="G5256" i="1"/>
  <c r="H5256" i="1"/>
  <c r="A5257" i="1"/>
  <c r="B5257" i="1"/>
  <c r="C5257" i="1"/>
  <c r="E5257" i="1"/>
  <c r="G5257" i="1"/>
  <c r="H5257" i="1"/>
  <c r="A5258" i="1"/>
  <c r="B5258" i="1"/>
  <c r="C5258" i="1"/>
  <c r="E5258" i="1"/>
  <c r="G5258" i="1"/>
  <c r="H5258" i="1"/>
  <c r="A5259" i="1"/>
  <c r="B5259" i="1"/>
  <c r="C5259" i="1"/>
  <c r="E5259" i="1"/>
  <c r="G5259" i="1"/>
  <c r="H5259" i="1"/>
  <c r="A5260" i="1"/>
  <c r="B5260" i="1"/>
  <c r="C5260" i="1"/>
  <c r="E5260" i="1"/>
  <c r="G5260" i="1"/>
  <c r="H5260" i="1"/>
  <c r="A5261" i="1"/>
  <c r="B5261" i="1"/>
  <c r="C5261" i="1"/>
  <c r="E5261" i="1"/>
  <c r="G5261" i="1"/>
  <c r="H5261" i="1"/>
  <c r="A5262" i="1"/>
  <c r="B5262" i="1"/>
  <c r="C5262" i="1"/>
  <c r="E5262" i="1"/>
  <c r="G5262" i="1"/>
  <c r="H5262" i="1"/>
  <c r="A5263" i="1"/>
  <c r="B5263" i="1"/>
  <c r="C5263" i="1"/>
  <c r="E5263" i="1"/>
  <c r="G5263" i="1"/>
  <c r="H5263" i="1"/>
  <c r="A5264" i="1"/>
  <c r="B5264" i="1"/>
  <c r="C5264" i="1"/>
  <c r="E5264" i="1"/>
  <c r="G5264" i="1"/>
  <c r="H5264" i="1"/>
  <c r="A5265" i="1"/>
  <c r="B5265" i="1"/>
  <c r="C5265" i="1"/>
  <c r="E5265" i="1"/>
  <c r="G5265" i="1"/>
  <c r="H5265" i="1"/>
  <c r="A5266" i="1"/>
  <c r="B5266" i="1"/>
  <c r="C5266" i="1"/>
  <c r="E5266" i="1"/>
  <c r="G5266" i="1"/>
  <c r="H5266" i="1"/>
  <c r="A5267" i="1"/>
  <c r="B5267" i="1"/>
  <c r="C5267" i="1"/>
  <c r="E5267" i="1"/>
  <c r="G5267" i="1"/>
  <c r="H5267" i="1"/>
  <c r="A5268" i="1"/>
  <c r="B5268" i="1"/>
  <c r="C5268" i="1"/>
  <c r="E5268" i="1"/>
  <c r="G5268" i="1"/>
  <c r="H5268" i="1"/>
  <c r="A5269" i="1"/>
  <c r="B5269" i="1"/>
  <c r="C5269" i="1"/>
  <c r="E5269" i="1"/>
  <c r="G5269" i="1"/>
  <c r="H5269" i="1"/>
  <c r="A5270" i="1"/>
  <c r="B5270" i="1"/>
  <c r="C5270" i="1"/>
  <c r="E5270" i="1"/>
  <c r="G5270" i="1"/>
  <c r="H5270" i="1"/>
  <c r="A5271" i="1"/>
  <c r="B5271" i="1"/>
  <c r="C5271" i="1"/>
  <c r="E5271" i="1"/>
  <c r="G5271" i="1"/>
  <c r="H5271" i="1"/>
  <c r="A5272" i="1"/>
  <c r="B5272" i="1"/>
  <c r="C5272" i="1"/>
  <c r="E5272" i="1"/>
  <c r="G5272" i="1"/>
  <c r="H5272" i="1"/>
  <c r="A5273" i="1"/>
  <c r="B5273" i="1"/>
  <c r="C5273" i="1"/>
  <c r="E5273" i="1"/>
  <c r="G5273" i="1"/>
  <c r="H5273" i="1"/>
  <c r="A5274" i="1"/>
  <c r="B5274" i="1"/>
  <c r="C5274" i="1"/>
  <c r="E5274" i="1"/>
  <c r="G5274" i="1"/>
  <c r="H5274" i="1"/>
  <c r="A5275" i="1"/>
  <c r="B5275" i="1"/>
  <c r="C5275" i="1"/>
  <c r="E5275" i="1"/>
  <c r="G5275" i="1"/>
  <c r="H5275" i="1"/>
  <c r="A5276" i="1"/>
  <c r="B5276" i="1"/>
  <c r="C5276" i="1"/>
  <c r="E5276" i="1"/>
  <c r="G5276" i="1"/>
  <c r="H5276" i="1"/>
  <c r="A5277" i="1"/>
  <c r="B5277" i="1"/>
  <c r="C5277" i="1"/>
  <c r="E5277" i="1"/>
  <c r="G5277" i="1"/>
  <c r="H5277" i="1"/>
  <c r="A5278" i="1"/>
  <c r="B5278" i="1"/>
  <c r="C5278" i="1"/>
  <c r="E5278" i="1"/>
  <c r="G5278" i="1"/>
  <c r="H5278" i="1"/>
  <c r="A5279" i="1"/>
  <c r="B5279" i="1"/>
  <c r="C5279" i="1"/>
  <c r="E5279" i="1"/>
  <c r="G5279" i="1"/>
  <c r="H5279" i="1"/>
  <c r="A5280" i="1"/>
  <c r="B5280" i="1"/>
  <c r="C5280" i="1"/>
  <c r="E5280" i="1"/>
  <c r="G5280" i="1"/>
  <c r="H5280" i="1"/>
  <c r="A5281" i="1"/>
  <c r="B5281" i="1"/>
  <c r="C5281" i="1"/>
  <c r="E5281" i="1"/>
  <c r="G5281" i="1"/>
  <c r="H5281" i="1"/>
  <c r="A5282" i="1"/>
  <c r="B5282" i="1"/>
  <c r="C5282" i="1"/>
  <c r="E5282" i="1"/>
  <c r="G5282" i="1"/>
  <c r="H5282" i="1"/>
  <c r="A5283" i="1"/>
  <c r="B5283" i="1"/>
  <c r="C5283" i="1"/>
  <c r="E5283" i="1"/>
  <c r="G5283" i="1"/>
  <c r="H5283" i="1"/>
  <c r="A5284" i="1"/>
  <c r="B5284" i="1"/>
  <c r="C5284" i="1"/>
  <c r="E5284" i="1"/>
  <c r="G5284" i="1"/>
  <c r="H5284" i="1"/>
  <c r="A5285" i="1"/>
  <c r="B5285" i="1"/>
  <c r="C5285" i="1"/>
  <c r="E5285" i="1"/>
  <c r="G5285" i="1"/>
  <c r="H5285" i="1"/>
  <c r="A5286" i="1"/>
  <c r="B5286" i="1"/>
  <c r="C5286" i="1"/>
  <c r="E5286" i="1"/>
  <c r="G5286" i="1"/>
  <c r="H5286" i="1"/>
  <c r="A5287" i="1"/>
  <c r="B5287" i="1"/>
  <c r="C5287" i="1"/>
  <c r="E5287" i="1"/>
  <c r="G5287" i="1"/>
  <c r="H5287" i="1"/>
  <c r="A5288" i="1"/>
  <c r="B5288" i="1"/>
  <c r="C5288" i="1"/>
  <c r="E5288" i="1"/>
  <c r="G5288" i="1"/>
  <c r="H5288" i="1"/>
  <c r="A5289" i="1"/>
  <c r="B5289" i="1"/>
  <c r="C5289" i="1"/>
  <c r="E5289" i="1"/>
  <c r="G5289" i="1"/>
  <c r="H5289" i="1"/>
  <c r="A5290" i="1"/>
  <c r="B5290" i="1"/>
  <c r="C5290" i="1"/>
  <c r="E5290" i="1"/>
  <c r="G5290" i="1"/>
  <c r="H5290" i="1"/>
  <c r="A5291" i="1"/>
  <c r="B5291" i="1"/>
  <c r="C5291" i="1"/>
  <c r="E5291" i="1"/>
  <c r="G5291" i="1"/>
  <c r="H5291" i="1"/>
  <c r="A5292" i="1"/>
  <c r="B5292" i="1"/>
  <c r="C5292" i="1"/>
  <c r="E5292" i="1"/>
  <c r="G5292" i="1"/>
  <c r="H5292" i="1"/>
  <c r="A5293" i="1"/>
  <c r="B5293" i="1"/>
  <c r="C5293" i="1"/>
  <c r="E5293" i="1"/>
  <c r="G5293" i="1"/>
  <c r="H5293" i="1"/>
  <c r="A5294" i="1"/>
  <c r="B5294" i="1"/>
  <c r="C5294" i="1"/>
  <c r="E5294" i="1"/>
  <c r="G5294" i="1"/>
  <c r="H5294" i="1"/>
  <c r="A5295" i="1"/>
  <c r="B5295" i="1"/>
  <c r="C5295" i="1"/>
  <c r="E5295" i="1"/>
  <c r="G5295" i="1"/>
  <c r="H5295" i="1"/>
  <c r="A5296" i="1"/>
  <c r="B5296" i="1"/>
  <c r="C5296" i="1"/>
  <c r="E5296" i="1"/>
  <c r="G5296" i="1"/>
  <c r="H5296" i="1"/>
  <c r="A5297" i="1"/>
  <c r="B5297" i="1"/>
  <c r="C5297" i="1"/>
  <c r="E5297" i="1"/>
  <c r="G5297" i="1"/>
  <c r="H5297" i="1"/>
  <c r="A5298" i="1"/>
  <c r="B5298" i="1"/>
  <c r="C5298" i="1"/>
  <c r="E5298" i="1"/>
  <c r="G5298" i="1"/>
  <c r="H5298" i="1"/>
  <c r="A5299" i="1"/>
  <c r="B5299" i="1"/>
  <c r="C5299" i="1"/>
  <c r="E5299" i="1"/>
  <c r="G5299" i="1"/>
  <c r="H5299" i="1"/>
  <c r="A5300" i="1"/>
  <c r="B5300" i="1"/>
  <c r="C5300" i="1"/>
  <c r="E5300" i="1"/>
  <c r="G5300" i="1"/>
  <c r="H5300" i="1"/>
  <c r="A5301" i="1"/>
  <c r="B5301" i="1"/>
  <c r="C5301" i="1"/>
  <c r="E5301" i="1"/>
  <c r="G5301" i="1"/>
  <c r="H5301" i="1"/>
  <c r="A5302" i="1"/>
  <c r="B5302" i="1"/>
  <c r="C5302" i="1"/>
  <c r="E5302" i="1"/>
  <c r="G5302" i="1"/>
  <c r="H5302" i="1"/>
  <c r="A5303" i="1"/>
  <c r="B5303" i="1"/>
  <c r="C5303" i="1"/>
  <c r="E5303" i="1"/>
  <c r="G5303" i="1"/>
  <c r="H5303" i="1"/>
  <c r="A5304" i="1"/>
  <c r="B5304" i="1"/>
  <c r="C5304" i="1"/>
  <c r="E5304" i="1"/>
  <c r="G5304" i="1"/>
  <c r="H5304" i="1"/>
  <c r="A5305" i="1"/>
  <c r="B5305" i="1"/>
  <c r="C5305" i="1"/>
  <c r="E5305" i="1"/>
  <c r="G5305" i="1"/>
  <c r="H5305" i="1"/>
  <c r="A5306" i="1"/>
  <c r="B5306" i="1"/>
  <c r="C5306" i="1"/>
  <c r="E5306" i="1"/>
  <c r="G5306" i="1"/>
  <c r="H5306" i="1"/>
  <c r="A5307" i="1"/>
  <c r="B5307" i="1"/>
  <c r="C5307" i="1"/>
  <c r="E5307" i="1"/>
  <c r="G5307" i="1"/>
  <c r="H5307" i="1"/>
  <c r="A5308" i="1"/>
  <c r="B5308" i="1"/>
  <c r="C5308" i="1"/>
  <c r="E5308" i="1"/>
  <c r="G5308" i="1"/>
  <c r="H5308" i="1"/>
  <c r="A5309" i="1"/>
  <c r="B5309" i="1"/>
  <c r="C5309" i="1"/>
  <c r="E5309" i="1"/>
  <c r="G5309" i="1"/>
  <c r="H5309" i="1"/>
  <c r="A5310" i="1"/>
  <c r="B5310" i="1"/>
  <c r="C5310" i="1"/>
  <c r="E5310" i="1"/>
  <c r="G5310" i="1"/>
  <c r="H5310" i="1"/>
  <c r="A5311" i="1"/>
  <c r="B5311" i="1"/>
  <c r="C5311" i="1"/>
  <c r="E5311" i="1"/>
  <c r="G5311" i="1"/>
  <c r="H5311" i="1"/>
  <c r="A5312" i="1"/>
  <c r="B5312" i="1"/>
  <c r="C5312" i="1"/>
  <c r="E5312" i="1"/>
  <c r="G5312" i="1"/>
  <c r="H5312" i="1"/>
  <c r="A5313" i="1"/>
  <c r="B5313" i="1"/>
  <c r="C5313" i="1"/>
  <c r="E5313" i="1"/>
  <c r="G5313" i="1"/>
  <c r="H5313" i="1"/>
  <c r="A5314" i="1"/>
  <c r="B5314" i="1"/>
  <c r="C5314" i="1"/>
  <c r="E5314" i="1"/>
  <c r="G5314" i="1"/>
  <c r="H5314" i="1"/>
  <c r="A5315" i="1"/>
  <c r="B5315" i="1"/>
  <c r="C5315" i="1"/>
  <c r="E5315" i="1"/>
  <c r="G5315" i="1"/>
  <c r="H5315" i="1"/>
  <c r="A5316" i="1"/>
  <c r="B5316" i="1"/>
  <c r="C5316" i="1"/>
  <c r="E5316" i="1"/>
  <c r="G5316" i="1"/>
  <c r="H5316" i="1"/>
  <c r="A5317" i="1"/>
  <c r="B5317" i="1"/>
  <c r="C5317" i="1"/>
  <c r="E5317" i="1"/>
  <c r="G5317" i="1"/>
  <c r="H5317" i="1"/>
  <c r="A5318" i="1"/>
  <c r="B5318" i="1"/>
  <c r="C5318" i="1"/>
  <c r="E5318" i="1"/>
  <c r="G5318" i="1"/>
  <c r="H5318" i="1"/>
  <c r="A5319" i="1"/>
  <c r="B5319" i="1"/>
  <c r="C5319" i="1"/>
  <c r="E5319" i="1"/>
  <c r="G5319" i="1"/>
  <c r="H5319" i="1"/>
  <c r="A5320" i="1"/>
  <c r="B5320" i="1"/>
  <c r="C5320" i="1"/>
  <c r="E5320" i="1"/>
  <c r="G5320" i="1"/>
  <c r="H5320" i="1"/>
  <c r="A5321" i="1"/>
  <c r="B5321" i="1"/>
  <c r="C5321" i="1"/>
  <c r="E5321" i="1"/>
  <c r="G5321" i="1"/>
  <c r="H5321" i="1"/>
  <c r="A5322" i="1"/>
  <c r="B5322" i="1"/>
  <c r="C5322" i="1"/>
  <c r="E5322" i="1"/>
  <c r="G5322" i="1"/>
  <c r="H5322" i="1"/>
  <c r="A5323" i="1"/>
  <c r="B5323" i="1"/>
  <c r="C5323" i="1"/>
  <c r="E5323" i="1"/>
  <c r="G5323" i="1"/>
  <c r="H5323" i="1"/>
  <c r="A5324" i="1"/>
  <c r="B5324" i="1"/>
  <c r="C5324" i="1"/>
  <c r="E5324" i="1"/>
  <c r="G5324" i="1"/>
  <c r="H5324" i="1"/>
  <c r="A5325" i="1"/>
  <c r="B5325" i="1"/>
  <c r="C5325" i="1"/>
  <c r="E5325" i="1"/>
  <c r="G5325" i="1"/>
  <c r="H5325" i="1"/>
  <c r="A5326" i="1"/>
  <c r="B5326" i="1"/>
  <c r="C5326" i="1"/>
  <c r="E5326" i="1"/>
  <c r="G5326" i="1"/>
  <c r="H5326" i="1"/>
  <c r="A5327" i="1"/>
  <c r="B5327" i="1"/>
  <c r="C5327" i="1"/>
  <c r="E5327" i="1"/>
  <c r="G5327" i="1"/>
  <c r="H5327" i="1"/>
  <c r="A5328" i="1"/>
  <c r="B5328" i="1"/>
  <c r="C5328" i="1"/>
  <c r="E5328" i="1"/>
  <c r="G5328" i="1"/>
  <c r="H5328" i="1"/>
  <c r="A5329" i="1"/>
  <c r="B5329" i="1"/>
  <c r="C5329" i="1"/>
  <c r="E5329" i="1"/>
  <c r="G5329" i="1"/>
  <c r="H5329" i="1"/>
  <c r="A5330" i="1"/>
  <c r="B5330" i="1"/>
  <c r="C5330" i="1"/>
  <c r="E5330" i="1"/>
  <c r="G5330" i="1"/>
  <c r="H5330" i="1"/>
  <c r="A5331" i="1"/>
  <c r="B5331" i="1"/>
  <c r="C5331" i="1"/>
  <c r="E5331" i="1"/>
  <c r="G5331" i="1"/>
  <c r="H5331" i="1"/>
  <c r="A5332" i="1"/>
  <c r="B5332" i="1"/>
  <c r="C5332" i="1"/>
  <c r="E5332" i="1"/>
  <c r="G5332" i="1"/>
  <c r="H5332" i="1"/>
  <c r="A5333" i="1"/>
  <c r="B5333" i="1"/>
  <c r="C5333" i="1"/>
  <c r="E5333" i="1"/>
  <c r="G5333" i="1"/>
  <c r="H5333" i="1"/>
  <c r="A5334" i="1"/>
  <c r="B5334" i="1"/>
  <c r="C5334" i="1"/>
  <c r="E5334" i="1"/>
  <c r="G5334" i="1"/>
  <c r="H5334" i="1"/>
  <c r="A5335" i="1"/>
  <c r="B5335" i="1"/>
  <c r="C5335" i="1"/>
  <c r="E5335" i="1"/>
  <c r="G5335" i="1"/>
  <c r="H5335" i="1"/>
  <c r="A5336" i="1"/>
  <c r="B5336" i="1"/>
  <c r="C5336" i="1"/>
  <c r="E5336" i="1"/>
  <c r="G5336" i="1"/>
  <c r="H5336" i="1"/>
  <c r="A5337" i="1"/>
  <c r="B5337" i="1"/>
  <c r="C5337" i="1"/>
  <c r="E5337" i="1"/>
  <c r="G5337" i="1"/>
  <c r="H5337" i="1"/>
  <c r="A5338" i="1"/>
  <c r="B5338" i="1"/>
  <c r="C5338" i="1"/>
  <c r="E5338" i="1"/>
  <c r="G5338" i="1"/>
  <c r="H5338" i="1"/>
  <c r="A5339" i="1"/>
  <c r="B5339" i="1"/>
  <c r="C5339" i="1"/>
  <c r="E5339" i="1"/>
  <c r="G5339" i="1"/>
  <c r="H5339" i="1"/>
  <c r="A5340" i="1"/>
  <c r="B5340" i="1"/>
  <c r="C5340" i="1"/>
  <c r="E5340" i="1"/>
  <c r="G5340" i="1"/>
  <c r="H5340" i="1"/>
  <c r="A5341" i="1"/>
  <c r="B5341" i="1"/>
  <c r="C5341" i="1"/>
  <c r="E5341" i="1"/>
  <c r="G5341" i="1"/>
  <c r="H5341" i="1"/>
  <c r="A5342" i="1"/>
  <c r="B5342" i="1"/>
  <c r="C5342" i="1"/>
  <c r="E5342" i="1"/>
  <c r="G5342" i="1"/>
  <c r="H5342" i="1"/>
  <c r="A5343" i="1"/>
  <c r="B5343" i="1"/>
  <c r="C5343" i="1"/>
  <c r="E5343" i="1"/>
  <c r="G5343" i="1"/>
  <c r="H5343" i="1"/>
  <c r="A5344" i="1"/>
  <c r="B5344" i="1"/>
  <c r="C5344" i="1"/>
  <c r="E5344" i="1"/>
  <c r="G5344" i="1"/>
  <c r="H5344" i="1"/>
  <c r="A5345" i="1"/>
  <c r="B5345" i="1"/>
  <c r="C5345" i="1"/>
  <c r="E5345" i="1"/>
  <c r="G5345" i="1"/>
  <c r="H5345" i="1"/>
  <c r="A5346" i="1"/>
  <c r="B5346" i="1"/>
  <c r="C5346" i="1"/>
  <c r="E5346" i="1"/>
  <c r="G5346" i="1"/>
  <c r="H5346" i="1"/>
  <c r="A5347" i="1"/>
  <c r="B5347" i="1"/>
  <c r="C5347" i="1"/>
  <c r="E5347" i="1"/>
  <c r="G5347" i="1"/>
  <c r="H5347" i="1"/>
  <c r="A5348" i="1"/>
  <c r="B5348" i="1"/>
  <c r="C5348" i="1"/>
  <c r="E5348" i="1"/>
  <c r="G5348" i="1"/>
  <c r="H5348" i="1"/>
  <c r="A5349" i="1"/>
  <c r="B5349" i="1"/>
  <c r="C5349" i="1"/>
  <c r="E5349" i="1"/>
  <c r="G5349" i="1"/>
  <c r="H5349" i="1"/>
  <c r="A5350" i="1"/>
  <c r="B5350" i="1"/>
  <c r="C5350" i="1"/>
  <c r="E5350" i="1"/>
  <c r="G5350" i="1"/>
  <c r="H5350" i="1"/>
  <c r="A5351" i="1"/>
  <c r="B5351" i="1"/>
  <c r="C5351" i="1"/>
  <c r="E5351" i="1"/>
  <c r="G5351" i="1"/>
  <c r="H5351" i="1"/>
  <c r="A5352" i="1"/>
  <c r="B5352" i="1"/>
  <c r="C5352" i="1"/>
  <c r="E5352" i="1"/>
  <c r="G5352" i="1"/>
  <c r="H5352" i="1"/>
  <c r="A5353" i="1"/>
  <c r="B5353" i="1"/>
  <c r="C5353" i="1"/>
  <c r="E5353" i="1"/>
  <c r="G5353" i="1"/>
  <c r="H5353" i="1"/>
  <c r="A5354" i="1"/>
  <c r="B5354" i="1"/>
  <c r="C5354" i="1"/>
  <c r="E5354" i="1"/>
  <c r="G5354" i="1"/>
  <c r="H5354" i="1"/>
  <c r="A5355" i="1"/>
  <c r="B5355" i="1"/>
  <c r="C5355" i="1"/>
  <c r="E5355" i="1"/>
  <c r="G5355" i="1"/>
  <c r="H5355" i="1"/>
  <c r="A5356" i="1"/>
  <c r="B5356" i="1"/>
  <c r="C5356" i="1"/>
  <c r="E5356" i="1"/>
  <c r="G5356" i="1"/>
  <c r="H5356" i="1"/>
  <c r="A5357" i="1"/>
  <c r="B5357" i="1"/>
  <c r="C5357" i="1"/>
  <c r="E5357" i="1"/>
  <c r="G5357" i="1"/>
  <c r="H5357" i="1"/>
  <c r="A5358" i="1"/>
  <c r="B5358" i="1"/>
  <c r="C5358" i="1"/>
  <c r="E5358" i="1"/>
  <c r="G5358" i="1"/>
  <c r="H5358" i="1"/>
  <c r="A5359" i="1"/>
  <c r="B5359" i="1"/>
  <c r="C5359" i="1"/>
  <c r="E5359" i="1"/>
  <c r="G5359" i="1"/>
  <c r="H5359" i="1"/>
  <c r="A5360" i="1"/>
  <c r="B5360" i="1"/>
  <c r="C5360" i="1"/>
  <c r="E5360" i="1"/>
  <c r="G5360" i="1"/>
  <c r="H5360" i="1"/>
  <c r="A5361" i="1"/>
  <c r="B5361" i="1"/>
  <c r="C5361" i="1"/>
  <c r="E5361" i="1"/>
  <c r="G5361" i="1"/>
  <c r="H5361" i="1"/>
  <c r="A5362" i="1"/>
  <c r="B5362" i="1"/>
  <c r="C5362" i="1"/>
  <c r="E5362" i="1"/>
  <c r="G5362" i="1"/>
  <c r="H5362" i="1"/>
  <c r="A5363" i="1"/>
  <c r="B5363" i="1"/>
  <c r="C5363" i="1"/>
  <c r="E5363" i="1"/>
  <c r="G5363" i="1"/>
  <c r="H5363" i="1"/>
  <c r="A5364" i="1"/>
  <c r="B5364" i="1"/>
  <c r="C5364" i="1"/>
  <c r="E5364" i="1"/>
  <c r="G5364" i="1"/>
  <c r="H5364" i="1"/>
  <c r="A5365" i="1"/>
  <c r="B5365" i="1"/>
  <c r="C5365" i="1"/>
  <c r="E5365" i="1"/>
  <c r="G5365" i="1"/>
  <c r="H5365" i="1"/>
  <c r="A5366" i="1"/>
  <c r="B5366" i="1"/>
  <c r="C5366" i="1"/>
  <c r="E5366" i="1"/>
  <c r="G5366" i="1"/>
  <c r="H5366" i="1"/>
  <c r="A5367" i="1"/>
  <c r="B5367" i="1"/>
  <c r="C5367" i="1"/>
  <c r="E5367" i="1"/>
  <c r="G5367" i="1"/>
  <c r="H5367" i="1"/>
  <c r="A5368" i="1"/>
  <c r="B5368" i="1"/>
  <c r="C5368" i="1"/>
  <c r="E5368" i="1"/>
  <c r="G5368" i="1"/>
  <c r="H5368" i="1"/>
  <c r="A5369" i="1"/>
  <c r="B5369" i="1"/>
  <c r="C5369" i="1"/>
  <c r="E5369" i="1"/>
  <c r="G5369" i="1"/>
  <c r="H5369" i="1"/>
  <c r="A5370" i="1"/>
  <c r="B5370" i="1"/>
  <c r="C5370" i="1"/>
  <c r="E5370" i="1"/>
  <c r="G5370" i="1"/>
  <c r="H5370" i="1"/>
  <c r="A5371" i="1"/>
  <c r="B5371" i="1"/>
  <c r="C5371" i="1"/>
  <c r="E5371" i="1"/>
  <c r="G5371" i="1"/>
  <c r="H5371" i="1"/>
  <c r="A5372" i="1"/>
  <c r="B5372" i="1"/>
  <c r="C5372" i="1"/>
  <c r="E5372" i="1"/>
  <c r="G5372" i="1"/>
  <c r="H5372" i="1"/>
  <c r="A5373" i="1"/>
  <c r="B5373" i="1"/>
  <c r="C5373" i="1"/>
  <c r="E5373" i="1"/>
  <c r="G5373" i="1"/>
  <c r="H5373" i="1"/>
  <c r="A5374" i="1"/>
  <c r="B5374" i="1"/>
  <c r="C5374" i="1"/>
  <c r="E5374" i="1"/>
  <c r="G5374" i="1"/>
  <c r="H5374" i="1"/>
  <c r="A5375" i="1"/>
  <c r="B5375" i="1"/>
  <c r="C5375" i="1"/>
  <c r="E5375" i="1"/>
  <c r="G5375" i="1"/>
  <c r="H5375" i="1"/>
  <c r="A5376" i="1"/>
  <c r="B5376" i="1"/>
  <c r="C5376" i="1"/>
  <c r="E5376" i="1"/>
  <c r="G5376" i="1"/>
  <c r="H5376" i="1"/>
  <c r="A5377" i="1"/>
  <c r="B5377" i="1"/>
  <c r="C5377" i="1"/>
  <c r="E5377" i="1"/>
  <c r="G5377" i="1"/>
  <c r="H5377" i="1"/>
  <c r="A5378" i="1"/>
  <c r="B5378" i="1"/>
  <c r="C5378" i="1"/>
  <c r="E5378" i="1"/>
  <c r="G5378" i="1"/>
  <c r="H5378" i="1"/>
  <c r="A5379" i="1"/>
  <c r="B5379" i="1"/>
  <c r="C5379" i="1"/>
  <c r="E5379" i="1"/>
  <c r="G5379" i="1"/>
  <c r="H5379" i="1"/>
  <c r="A5380" i="1"/>
  <c r="B5380" i="1"/>
  <c r="C5380" i="1"/>
  <c r="E5380" i="1"/>
  <c r="G5380" i="1"/>
  <c r="H5380" i="1"/>
  <c r="A5381" i="1"/>
  <c r="B5381" i="1"/>
  <c r="C5381" i="1"/>
  <c r="E5381" i="1"/>
  <c r="G5381" i="1"/>
  <c r="H5381" i="1"/>
  <c r="A5382" i="1"/>
  <c r="B5382" i="1"/>
  <c r="C5382" i="1"/>
  <c r="E5382" i="1"/>
  <c r="G5382" i="1"/>
  <c r="H5382" i="1"/>
  <c r="A5383" i="1"/>
  <c r="B5383" i="1"/>
  <c r="C5383" i="1"/>
  <c r="E5383" i="1"/>
  <c r="G5383" i="1"/>
  <c r="H5383" i="1"/>
  <c r="A5384" i="1"/>
  <c r="B5384" i="1"/>
  <c r="C5384" i="1"/>
  <c r="E5384" i="1"/>
  <c r="G5384" i="1"/>
  <c r="H5384" i="1"/>
  <c r="A5385" i="1"/>
  <c r="B5385" i="1"/>
  <c r="C5385" i="1"/>
  <c r="E5385" i="1"/>
  <c r="G5385" i="1"/>
  <c r="H5385" i="1"/>
  <c r="A5386" i="1"/>
  <c r="B5386" i="1"/>
  <c r="C5386" i="1"/>
  <c r="E5386" i="1"/>
  <c r="G5386" i="1"/>
  <c r="H5386" i="1"/>
  <c r="A5387" i="1"/>
  <c r="B5387" i="1"/>
  <c r="C5387" i="1"/>
  <c r="E5387" i="1"/>
  <c r="G5387" i="1"/>
  <c r="H5387" i="1"/>
  <c r="A5388" i="1"/>
  <c r="B5388" i="1"/>
  <c r="C5388" i="1"/>
  <c r="E5388" i="1"/>
  <c r="G5388" i="1"/>
  <c r="H5388" i="1"/>
  <c r="A5389" i="1"/>
  <c r="B5389" i="1"/>
  <c r="C5389" i="1"/>
  <c r="E5389" i="1"/>
  <c r="G5389" i="1"/>
  <c r="H5389" i="1"/>
  <c r="A5390" i="1"/>
  <c r="B5390" i="1"/>
  <c r="C5390" i="1"/>
  <c r="E5390" i="1"/>
  <c r="G5390" i="1"/>
  <c r="H5390" i="1"/>
  <c r="A5391" i="1"/>
  <c r="B5391" i="1"/>
  <c r="C5391" i="1"/>
  <c r="E5391" i="1"/>
  <c r="G5391" i="1"/>
  <c r="H5391" i="1"/>
  <c r="A5392" i="1"/>
  <c r="B5392" i="1"/>
  <c r="C5392" i="1"/>
  <c r="E5392" i="1"/>
  <c r="G5392" i="1"/>
  <c r="H5392" i="1"/>
  <c r="A5393" i="1"/>
  <c r="B5393" i="1"/>
  <c r="C5393" i="1"/>
  <c r="E5393" i="1"/>
  <c r="G5393" i="1"/>
  <c r="H5393" i="1"/>
  <c r="A5394" i="1"/>
  <c r="B5394" i="1"/>
  <c r="C5394" i="1"/>
  <c r="E5394" i="1"/>
  <c r="G5394" i="1"/>
  <c r="H5394" i="1"/>
  <c r="A5395" i="1"/>
  <c r="B5395" i="1"/>
  <c r="C5395" i="1"/>
  <c r="E5395" i="1"/>
  <c r="G5395" i="1"/>
  <c r="H5395" i="1"/>
  <c r="A5396" i="1"/>
  <c r="B5396" i="1"/>
  <c r="C5396" i="1"/>
  <c r="E5396" i="1"/>
  <c r="G5396" i="1"/>
  <c r="H5396" i="1"/>
  <c r="A5397" i="1"/>
  <c r="B5397" i="1"/>
  <c r="C5397" i="1"/>
  <c r="E5397" i="1"/>
  <c r="G5397" i="1"/>
  <c r="H5397" i="1"/>
  <c r="A5398" i="1"/>
  <c r="B5398" i="1"/>
  <c r="C5398" i="1"/>
  <c r="E5398" i="1"/>
  <c r="G5398" i="1"/>
  <c r="H5398" i="1"/>
  <c r="A5399" i="1"/>
  <c r="B5399" i="1"/>
  <c r="C5399" i="1"/>
  <c r="E5399" i="1"/>
  <c r="G5399" i="1"/>
  <c r="H5399" i="1"/>
  <c r="A5400" i="1"/>
  <c r="B5400" i="1"/>
  <c r="C5400" i="1"/>
  <c r="E5400" i="1"/>
  <c r="G5400" i="1"/>
  <c r="H5400" i="1"/>
  <c r="A5401" i="1"/>
  <c r="B5401" i="1"/>
  <c r="C5401" i="1"/>
  <c r="E5401" i="1"/>
  <c r="G5401" i="1"/>
  <c r="H5401" i="1"/>
  <c r="A5402" i="1"/>
  <c r="B5402" i="1"/>
  <c r="C5402" i="1"/>
  <c r="E5402" i="1"/>
  <c r="G5402" i="1"/>
  <c r="H5402" i="1"/>
  <c r="A5403" i="1"/>
  <c r="B5403" i="1"/>
  <c r="C5403" i="1"/>
  <c r="E5403" i="1"/>
  <c r="G5403" i="1"/>
  <c r="H5403" i="1"/>
  <c r="A5404" i="1"/>
  <c r="B5404" i="1"/>
  <c r="C5404" i="1"/>
  <c r="E5404" i="1"/>
  <c r="G5404" i="1"/>
  <c r="H5404" i="1"/>
  <c r="A5405" i="1"/>
  <c r="B5405" i="1"/>
  <c r="C5405" i="1"/>
  <c r="E5405" i="1"/>
  <c r="G5405" i="1"/>
  <c r="H5405" i="1"/>
  <c r="A5406" i="1"/>
  <c r="B5406" i="1"/>
  <c r="C5406" i="1"/>
  <c r="E5406" i="1"/>
  <c r="G5406" i="1"/>
  <c r="H5406" i="1"/>
  <c r="A5407" i="1"/>
  <c r="B5407" i="1"/>
  <c r="C5407" i="1"/>
  <c r="E5407" i="1"/>
  <c r="G5407" i="1"/>
  <c r="H5407" i="1"/>
  <c r="A5408" i="1"/>
  <c r="B5408" i="1"/>
  <c r="C5408" i="1"/>
  <c r="E5408" i="1"/>
  <c r="G5408" i="1"/>
  <c r="H5408" i="1"/>
  <c r="A5409" i="1"/>
  <c r="B5409" i="1"/>
  <c r="C5409" i="1"/>
  <c r="E5409" i="1"/>
  <c r="G5409" i="1"/>
  <c r="H5409" i="1"/>
  <c r="A5410" i="1"/>
  <c r="B5410" i="1"/>
  <c r="C5410" i="1"/>
  <c r="E5410" i="1"/>
  <c r="G5410" i="1"/>
  <c r="H5410" i="1"/>
  <c r="A5411" i="1"/>
  <c r="B5411" i="1"/>
  <c r="C5411" i="1"/>
  <c r="E5411" i="1"/>
  <c r="G5411" i="1"/>
  <c r="H5411" i="1"/>
  <c r="A5412" i="1"/>
  <c r="B5412" i="1"/>
  <c r="C5412" i="1"/>
  <c r="E5412" i="1"/>
  <c r="G5412" i="1"/>
  <c r="H5412" i="1"/>
  <c r="A5413" i="1"/>
  <c r="B5413" i="1"/>
  <c r="C5413" i="1"/>
  <c r="E5413" i="1"/>
  <c r="G5413" i="1"/>
  <c r="H5413" i="1"/>
  <c r="A5414" i="1"/>
  <c r="B5414" i="1"/>
  <c r="C5414" i="1"/>
  <c r="E5414" i="1"/>
  <c r="G5414" i="1"/>
  <c r="H5414" i="1"/>
  <c r="A5415" i="1"/>
  <c r="B5415" i="1"/>
  <c r="C5415" i="1"/>
  <c r="E5415" i="1"/>
  <c r="G5415" i="1"/>
  <c r="H5415" i="1"/>
  <c r="A5416" i="1"/>
  <c r="B5416" i="1"/>
  <c r="C5416" i="1"/>
  <c r="E5416" i="1"/>
  <c r="G5416" i="1"/>
  <c r="H5416" i="1"/>
  <c r="A5417" i="1"/>
  <c r="B5417" i="1"/>
  <c r="C5417" i="1"/>
  <c r="E5417" i="1"/>
  <c r="G5417" i="1"/>
  <c r="H5417" i="1"/>
  <c r="A5418" i="1"/>
  <c r="B5418" i="1"/>
  <c r="C5418" i="1"/>
  <c r="E5418" i="1"/>
  <c r="G5418" i="1"/>
  <c r="H5418" i="1"/>
  <c r="A5419" i="1"/>
  <c r="B5419" i="1"/>
  <c r="C5419" i="1"/>
  <c r="E5419" i="1"/>
  <c r="G5419" i="1"/>
  <c r="H5419" i="1"/>
  <c r="A5420" i="1"/>
  <c r="B5420" i="1"/>
  <c r="C5420" i="1"/>
  <c r="E5420" i="1"/>
  <c r="G5420" i="1"/>
  <c r="H5420" i="1"/>
  <c r="A5421" i="1"/>
  <c r="B5421" i="1"/>
  <c r="C5421" i="1"/>
  <c r="E5421" i="1"/>
  <c r="G5421" i="1"/>
  <c r="H5421" i="1"/>
  <c r="A5422" i="1"/>
  <c r="B5422" i="1"/>
  <c r="C5422" i="1"/>
  <c r="E5422" i="1"/>
  <c r="G5422" i="1"/>
  <c r="H5422" i="1"/>
  <c r="A5423" i="1"/>
  <c r="B5423" i="1"/>
  <c r="C5423" i="1"/>
  <c r="E5423" i="1"/>
  <c r="G5423" i="1"/>
  <c r="H5423" i="1"/>
  <c r="A5424" i="1"/>
  <c r="B5424" i="1"/>
  <c r="C5424" i="1"/>
  <c r="E5424" i="1"/>
  <c r="G5424" i="1"/>
  <c r="H5424" i="1"/>
  <c r="A5425" i="1"/>
  <c r="B5425" i="1"/>
  <c r="C5425" i="1"/>
  <c r="E5425" i="1"/>
  <c r="G5425" i="1"/>
  <c r="H5425" i="1"/>
  <c r="A5426" i="1"/>
  <c r="B5426" i="1"/>
  <c r="C5426" i="1"/>
  <c r="E5426" i="1"/>
  <c r="G5426" i="1"/>
  <c r="H5426" i="1"/>
  <c r="A5427" i="1"/>
  <c r="B5427" i="1"/>
  <c r="C5427" i="1"/>
  <c r="E5427" i="1"/>
  <c r="G5427" i="1"/>
  <c r="H5427" i="1"/>
  <c r="A5428" i="1"/>
  <c r="B5428" i="1"/>
  <c r="C5428" i="1"/>
  <c r="E5428" i="1"/>
  <c r="G5428" i="1"/>
  <c r="H5428" i="1"/>
  <c r="A5429" i="1"/>
  <c r="B5429" i="1"/>
  <c r="C5429" i="1"/>
  <c r="E5429" i="1"/>
  <c r="G5429" i="1"/>
  <c r="H5429" i="1"/>
  <c r="A5430" i="1"/>
  <c r="B5430" i="1"/>
  <c r="C5430" i="1"/>
  <c r="E5430" i="1"/>
  <c r="G5430" i="1"/>
  <c r="H5430" i="1"/>
  <c r="A5431" i="1"/>
  <c r="B5431" i="1"/>
  <c r="C5431" i="1"/>
  <c r="E5431" i="1"/>
  <c r="G5431" i="1"/>
  <c r="H5431" i="1"/>
  <c r="A5432" i="1"/>
  <c r="B5432" i="1"/>
  <c r="C5432" i="1"/>
  <c r="E5432" i="1"/>
  <c r="G5432" i="1"/>
  <c r="H5432" i="1"/>
  <c r="A5433" i="1"/>
  <c r="B5433" i="1"/>
  <c r="C5433" i="1"/>
  <c r="E5433" i="1"/>
  <c r="G5433" i="1"/>
  <c r="H5433" i="1"/>
  <c r="A5434" i="1"/>
  <c r="B5434" i="1"/>
  <c r="C5434" i="1"/>
  <c r="E5434" i="1"/>
  <c r="G5434" i="1"/>
  <c r="H5434" i="1"/>
  <c r="A5435" i="1"/>
  <c r="B5435" i="1"/>
  <c r="C5435" i="1"/>
  <c r="E5435" i="1"/>
  <c r="G5435" i="1"/>
  <c r="H5435" i="1"/>
  <c r="A5436" i="1"/>
  <c r="B5436" i="1"/>
  <c r="C5436" i="1"/>
  <c r="E5436" i="1"/>
  <c r="G5436" i="1"/>
  <c r="H5436" i="1"/>
  <c r="A5437" i="1"/>
  <c r="B5437" i="1"/>
  <c r="C5437" i="1"/>
  <c r="E5437" i="1"/>
  <c r="G5437" i="1"/>
  <c r="H5437" i="1"/>
  <c r="A5438" i="1"/>
  <c r="B5438" i="1"/>
  <c r="C5438" i="1"/>
  <c r="E5438" i="1"/>
  <c r="G5438" i="1"/>
  <c r="H5438" i="1"/>
  <c r="A5439" i="1"/>
  <c r="B5439" i="1"/>
  <c r="C5439" i="1"/>
  <c r="E5439" i="1"/>
  <c r="G5439" i="1"/>
  <c r="H5439" i="1"/>
  <c r="A5440" i="1"/>
  <c r="B5440" i="1"/>
  <c r="C5440" i="1"/>
  <c r="E5440" i="1"/>
  <c r="G5440" i="1"/>
  <c r="H5440" i="1"/>
  <c r="A5441" i="1"/>
  <c r="B5441" i="1"/>
  <c r="C5441" i="1"/>
  <c r="E5441" i="1"/>
  <c r="G5441" i="1"/>
  <c r="H5441" i="1"/>
  <c r="A5442" i="1"/>
  <c r="B5442" i="1"/>
  <c r="C5442" i="1"/>
  <c r="E5442" i="1"/>
  <c r="G5442" i="1"/>
  <c r="H5442" i="1"/>
  <c r="A5443" i="1"/>
  <c r="B5443" i="1"/>
  <c r="C5443" i="1"/>
  <c r="E5443" i="1"/>
  <c r="G5443" i="1"/>
  <c r="H5443" i="1"/>
  <c r="A5444" i="1"/>
  <c r="B5444" i="1"/>
  <c r="C5444" i="1"/>
  <c r="E5444" i="1"/>
  <c r="G5444" i="1"/>
  <c r="H5444" i="1"/>
  <c r="A5445" i="1"/>
  <c r="B5445" i="1"/>
  <c r="C5445" i="1"/>
  <c r="E5445" i="1"/>
  <c r="G5445" i="1"/>
  <c r="H5445" i="1"/>
  <c r="A5446" i="1"/>
  <c r="B5446" i="1"/>
  <c r="C5446" i="1"/>
  <c r="E5446" i="1"/>
  <c r="G5446" i="1"/>
  <c r="H5446" i="1"/>
  <c r="A5447" i="1"/>
  <c r="B5447" i="1"/>
  <c r="C5447" i="1"/>
  <c r="E5447" i="1"/>
  <c r="G5447" i="1"/>
  <c r="H5447" i="1"/>
  <c r="A5448" i="1"/>
  <c r="B5448" i="1"/>
  <c r="C5448" i="1"/>
  <c r="E5448" i="1"/>
  <c r="G5448" i="1"/>
  <c r="H5448" i="1"/>
  <c r="A5449" i="1"/>
  <c r="B5449" i="1"/>
  <c r="C5449" i="1"/>
  <c r="E5449" i="1"/>
  <c r="G5449" i="1"/>
  <c r="H5449" i="1"/>
  <c r="A5450" i="1"/>
  <c r="B5450" i="1"/>
  <c r="C5450" i="1"/>
  <c r="E5450" i="1"/>
  <c r="G5450" i="1"/>
  <c r="H5450" i="1"/>
  <c r="A5451" i="1"/>
  <c r="B5451" i="1"/>
  <c r="C5451" i="1"/>
  <c r="E5451" i="1"/>
  <c r="G5451" i="1"/>
  <c r="H5451" i="1"/>
  <c r="A5452" i="1"/>
  <c r="B5452" i="1"/>
  <c r="C5452" i="1"/>
  <c r="E5452" i="1"/>
  <c r="G5452" i="1"/>
  <c r="H5452" i="1"/>
  <c r="A5453" i="1"/>
  <c r="B5453" i="1"/>
  <c r="C5453" i="1"/>
  <c r="E5453" i="1"/>
  <c r="G5453" i="1"/>
  <c r="H5453" i="1"/>
  <c r="A5454" i="1"/>
  <c r="B5454" i="1"/>
  <c r="C5454" i="1"/>
  <c r="E5454" i="1"/>
  <c r="G5454" i="1"/>
  <c r="H5454" i="1"/>
  <c r="A5455" i="1"/>
  <c r="B5455" i="1"/>
  <c r="C5455" i="1"/>
  <c r="E5455" i="1"/>
  <c r="G5455" i="1"/>
  <c r="H5455" i="1"/>
  <c r="A5456" i="1"/>
  <c r="B5456" i="1"/>
  <c r="C5456" i="1"/>
  <c r="E5456" i="1"/>
  <c r="G5456" i="1"/>
  <c r="H5456" i="1"/>
  <c r="A5457" i="1"/>
  <c r="B5457" i="1"/>
  <c r="C5457" i="1"/>
  <c r="E5457" i="1"/>
  <c r="G5457" i="1"/>
  <c r="H5457" i="1"/>
  <c r="A5458" i="1"/>
  <c r="B5458" i="1"/>
  <c r="C5458" i="1"/>
  <c r="E5458" i="1"/>
  <c r="G5458" i="1"/>
  <c r="H5458" i="1"/>
  <c r="A5459" i="1"/>
  <c r="B5459" i="1"/>
  <c r="C5459" i="1"/>
  <c r="E5459" i="1"/>
  <c r="G5459" i="1"/>
  <c r="H5459" i="1"/>
  <c r="A5460" i="1"/>
  <c r="B5460" i="1"/>
  <c r="C5460" i="1"/>
  <c r="E5460" i="1"/>
  <c r="G5460" i="1"/>
  <c r="H5460" i="1"/>
  <c r="A5461" i="1"/>
  <c r="B5461" i="1"/>
  <c r="C5461" i="1"/>
  <c r="E5461" i="1"/>
  <c r="G5461" i="1"/>
  <c r="H5461" i="1"/>
  <c r="A5462" i="1"/>
  <c r="B5462" i="1"/>
  <c r="C5462" i="1"/>
  <c r="E5462" i="1"/>
  <c r="G5462" i="1"/>
  <c r="H5462" i="1"/>
  <c r="A5463" i="1"/>
  <c r="B5463" i="1"/>
  <c r="C5463" i="1"/>
  <c r="E5463" i="1"/>
  <c r="G5463" i="1"/>
  <c r="H5463" i="1"/>
  <c r="A5464" i="1"/>
  <c r="B5464" i="1"/>
  <c r="C5464" i="1"/>
  <c r="E5464" i="1"/>
  <c r="G5464" i="1"/>
  <c r="H5464" i="1"/>
  <c r="A5465" i="1"/>
  <c r="B5465" i="1"/>
  <c r="C5465" i="1"/>
  <c r="E5465" i="1"/>
  <c r="G5465" i="1"/>
  <c r="H5465" i="1"/>
  <c r="A5466" i="1"/>
  <c r="B5466" i="1"/>
  <c r="C5466" i="1"/>
  <c r="E5466" i="1"/>
  <c r="G5466" i="1"/>
  <c r="H5466" i="1"/>
  <c r="A5467" i="1"/>
  <c r="B5467" i="1"/>
  <c r="C5467" i="1"/>
  <c r="E5467" i="1"/>
  <c r="G5467" i="1"/>
  <c r="H5467" i="1"/>
  <c r="A5468" i="1"/>
  <c r="B5468" i="1"/>
  <c r="C5468" i="1"/>
  <c r="E5468" i="1"/>
  <c r="G5468" i="1"/>
  <c r="H5468" i="1"/>
  <c r="A5469" i="1"/>
  <c r="B5469" i="1"/>
  <c r="C5469" i="1"/>
  <c r="E5469" i="1"/>
  <c r="G5469" i="1"/>
  <c r="H5469" i="1"/>
  <c r="A5470" i="1"/>
  <c r="B5470" i="1"/>
  <c r="C5470" i="1"/>
  <c r="E5470" i="1"/>
  <c r="G5470" i="1"/>
  <c r="H5470" i="1"/>
  <c r="A5471" i="1"/>
  <c r="B5471" i="1"/>
  <c r="C5471" i="1"/>
  <c r="E5471" i="1"/>
  <c r="G5471" i="1"/>
  <c r="H5471" i="1"/>
  <c r="A5472" i="1"/>
  <c r="B5472" i="1"/>
  <c r="C5472" i="1"/>
  <c r="E5472" i="1"/>
  <c r="G5472" i="1"/>
  <c r="H5472" i="1"/>
  <c r="A5473" i="1"/>
  <c r="B5473" i="1"/>
  <c r="C5473" i="1"/>
  <c r="E5473" i="1"/>
  <c r="G5473" i="1"/>
  <c r="H5473" i="1"/>
  <c r="A5474" i="1"/>
  <c r="B5474" i="1"/>
  <c r="C5474" i="1"/>
  <c r="E5474" i="1"/>
  <c r="G5474" i="1"/>
  <c r="H5474" i="1"/>
  <c r="A5475" i="1"/>
  <c r="B5475" i="1"/>
  <c r="C5475" i="1"/>
  <c r="E5475" i="1"/>
  <c r="G5475" i="1"/>
  <c r="H5475" i="1"/>
  <c r="A5476" i="1"/>
  <c r="B5476" i="1"/>
  <c r="C5476" i="1"/>
  <c r="E5476" i="1"/>
  <c r="G5476" i="1"/>
  <c r="H5476" i="1"/>
  <c r="A5477" i="1"/>
  <c r="B5477" i="1"/>
  <c r="C5477" i="1"/>
  <c r="E5477" i="1"/>
  <c r="G5477" i="1"/>
  <c r="H5477" i="1"/>
  <c r="A5478" i="1"/>
  <c r="B5478" i="1"/>
  <c r="C5478" i="1"/>
  <c r="E5478" i="1"/>
  <c r="G5478" i="1"/>
  <c r="H5478" i="1"/>
  <c r="A5479" i="1"/>
  <c r="B5479" i="1"/>
  <c r="C5479" i="1"/>
  <c r="E5479" i="1"/>
  <c r="G5479" i="1"/>
  <c r="H5479" i="1"/>
  <c r="A5480" i="1"/>
  <c r="B5480" i="1"/>
  <c r="C5480" i="1"/>
  <c r="E5480" i="1"/>
  <c r="G5480" i="1"/>
  <c r="H5480" i="1"/>
  <c r="A5481" i="1"/>
  <c r="B5481" i="1"/>
  <c r="C5481" i="1"/>
  <c r="E5481" i="1"/>
  <c r="G5481" i="1"/>
  <c r="H5481" i="1"/>
  <c r="A5482" i="1"/>
  <c r="B5482" i="1"/>
  <c r="C5482" i="1"/>
  <c r="E5482" i="1"/>
  <c r="G5482" i="1"/>
  <c r="H5482" i="1"/>
  <c r="A5483" i="1"/>
  <c r="B5483" i="1"/>
  <c r="C5483" i="1"/>
  <c r="E5483" i="1"/>
  <c r="G5483" i="1"/>
  <c r="H5483" i="1"/>
  <c r="A5484" i="1"/>
  <c r="B5484" i="1"/>
  <c r="C5484" i="1"/>
  <c r="E5484" i="1"/>
  <c r="G5484" i="1"/>
  <c r="H5484" i="1"/>
  <c r="A5485" i="1"/>
  <c r="B5485" i="1"/>
  <c r="C5485" i="1"/>
  <c r="E5485" i="1"/>
  <c r="G5485" i="1"/>
  <c r="H5485" i="1"/>
  <c r="A5486" i="1"/>
  <c r="B5486" i="1"/>
  <c r="C5486" i="1"/>
  <c r="E5486" i="1"/>
  <c r="G5486" i="1"/>
  <c r="H5486" i="1"/>
  <c r="A5487" i="1"/>
  <c r="B5487" i="1"/>
  <c r="C5487" i="1"/>
  <c r="E5487" i="1"/>
  <c r="G5487" i="1"/>
  <c r="H5487" i="1"/>
  <c r="A5488" i="1"/>
  <c r="B5488" i="1"/>
  <c r="C5488" i="1"/>
  <c r="E5488" i="1"/>
  <c r="G5488" i="1"/>
  <c r="H5488" i="1"/>
  <c r="A5489" i="1"/>
  <c r="B5489" i="1"/>
  <c r="C5489" i="1"/>
  <c r="E5489" i="1"/>
  <c r="G5489" i="1"/>
  <c r="H5489" i="1"/>
  <c r="A5490" i="1"/>
  <c r="B5490" i="1"/>
  <c r="C5490" i="1"/>
  <c r="E5490" i="1"/>
  <c r="G5490" i="1"/>
  <c r="H5490" i="1"/>
  <c r="A5491" i="1"/>
  <c r="B5491" i="1"/>
  <c r="C5491" i="1"/>
  <c r="E5491" i="1"/>
  <c r="G5491" i="1"/>
  <c r="H5491" i="1"/>
  <c r="A5492" i="1"/>
  <c r="B5492" i="1"/>
  <c r="C5492" i="1"/>
  <c r="E5492" i="1"/>
  <c r="G5492" i="1"/>
  <c r="H5492" i="1"/>
  <c r="A5493" i="1"/>
  <c r="B5493" i="1"/>
  <c r="C5493" i="1"/>
  <c r="E5493" i="1"/>
  <c r="G5493" i="1"/>
  <c r="H5493" i="1"/>
  <c r="A5494" i="1"/>
  <c r="B5494" i="1"/>
  <c r="C5494" i="1"/>
  <c r="E5494" i="1"/>
  <c r="G5494" i="1"/>
  <c r="H5494" i="1"/>
  <c r="A5495" i="1"/>
  <c r="B5495" i="1"/>
  <c r="C5495" i="1"/>
  <c r="E5495" i="1"/>
  <c r="G5495" i="1"/>
  <c r="H5495" i="1"/>
  <c r="A5496" i="1"/>
  <c r="B5496" i="1"/>
  <c r="C5496" i="1"/>
  <c r="E5496" i="1"/>
  <c r="G5496" i="1"/>
  <c r="H5496" i="1"/>
  <c r="A5497" i="1"/>
  <c r="B5497" i="1"/>
  <c r="C5497" i="1"/>
  <c r="E5497" i="1"/>
  <c r="G5497" i="1"/>
  <c r="H5497" i="1"/>
  <c r="A5498" i="1"/>
  <c r="B5498" i="1"/>
  <c r="C5498" i="1"/>
  <c r="E5498" i="1"/>
  <c r="G5498" i="1"/>
  <c r="H5498" i="1"/>
  <c r="A5499" i="1"/>
  <c r="B5499" i="1"/>
  <c r="C5499" i="1"/>
  <c r="E5499" i="1"/>
  <c r="G5499" i="1"/>
  <c r="H5499" i="1"/>
  <c r="A5500" i="1"/>
  <c r="B5500" i="1"/>
  <c r="C5500" i="1"/>
  <c r="E5500" i="1"/>
  <c r="G5500" i="1"/>
  <c r="H5500" i="1"/>
  <c r="A5501" i="1"/>
  <c r="B5501" i="1"/>
  <c r="C5501" i="1"/>
  <c r="E5501" i="1"/>
  <c r="G5501" i="1"/>
  <c r="H5501" i="1"/>
  <c r="A5502" i="1"/>
  <c r="B5502" i="1"/>
  <c r="C5502" i="1"/>
  <c r="E5502" i="1"/>
  <c r="G5502" i="1"/>
  <c r="H5502" i="1"/>
  <c r="A5503" i="1"/>
  <c r="B5503" i="1"/>
  <c r="C5503" i="1"/>
  <c r="E5503" i="1"/>
  <c r="G5503" i="1"/>
  <c r="H5503" i="1"/>
  <c r="A5504" i="1"/>
  <c r="B5504" i="1"/>
  <c r="C5504" i="1"/>
  <c r="E5504" i="1"/>
  <c r="G5504" i="1"/>
  <c r="H5504" i="1"/>
  <c r="A5505" i="1"/>
  <c r="B5505" i="1"/>
  <c r="C5505" i="1"/>
  <c r="E5505" i="1"/>
  <c r="G5505" i="1"/>
  <c r="H5505" i="1"/>
  <c r="A5506" i="1"/>
  <c r="B5506" i="1"/>
  <c r="C5506" i="1"/>
  <c r="E5506" i="1"/>
  <c r="G5506" i="1"/>
  <c r="H5506" i="1"/>
  <c r="A5507" i="1"/>
  <c r="B5507" i="1"/>
  <c r="C5507" i="1"/>
  <c r="E5507" i="1"/>
  <c r="G5507" i="1"/>
  <c r="H5507" i="1"/>
  <c r="A5508" i="1"/>
  <c r="B5508" i="1"/>
  <c r="C5508" i="1"/>
  <c r="E5508" i="1"/>
  <c r="G5508" i="1"/>
  <c r="H5508" i="1"/>
  <c r="A5509" i="1"/>
  <c r="B5509" i="1"/>
  <c r="C5509" i="1"/>
  <c r="E5509" i="1"/>
  <c r="G5509" i="1"/>
  <c r="H5509" i="1"/>
  <c r="A5510" i="1"/>
  <c r="B5510" i="1"/>
  <c r="C5510" i="1"/>
  <c r="E5510" i="1"/>
  <c r="G5510" i="1"/>
  <c r="H5510" i="1"/>
  <c r="A5511" i="1"/>
  <c r="B5511" i="1"/>
  <c r="C5511" i="1"/>
  <c r="E5511" i="1"/>
  <c r="G5511" i="1"/>
  <c r="H5511" i="1"/>
  <c r="A5512" i="1"/>
  <c r="B5512" i="1"/>
  <c r="C5512" i="1"/>
  <c r="E5512" i="1"/>
  <c r="G5512" i="1"/>
  <c r="H5512" i="1"/>
  <c r="A5513" i="1"/>
  <c r="B5513" i="1"/>
  <c r="C5513" i="1"/>
  <c r="E5513" i="1"/>
  <c r="G5513" i="1"/>
  <c r="H5513" i="1"/>
  <c r="A5514" i="1"/>
  <c r="B5514" i="1"/>
  <c r="C5514" i="1"/>
  <c r="E5514" i="1"/>
  <c r="G5514" i="1"/>
  <c r="H5514" i="1"/>
  <c r="A5515" i="1"/>
  <c r="B5515" i="1"/>
  <c r="C5515" i="1"/>
  <c r="E5515" i="1"/>
  <c r="G5515" i="1"/>
  <c r="H5515" i="1"/>
  <c r="A5516" i="1"/>
  <c r="B5516" i="1"/>
  <c r="C5516" i="1"/>
  <c r="E5516" i="1"/>
  <c r="G5516" i="1"/>
  <c r="H5516" i="1"/>
  <c r="A5517" i="1"/>
  <c r="B5517" i="1"/>
  <c r="C5517" i="1"/>
  <c r="E5517" i="1"/>
  <c r="G5517" i="1"/>
  <c r="H5517" i="1"/>
  <c r="A5518" i="1"/>
  <c r="B5518" i="1"/>
  <c r="C5518" i="1"/>
  <c r="E5518" i="1"/>
  <c r="G5518" i="1"/>
  <c r="H5518" i="1"/>
  <c r="A5519" i="1"/>
  <c r="B5519" i="1"/>
  <c r="C5519" i="1"/>
  <c r="E5519" i="1"/>
  <c r="G5519" i="1"/>
  <c r="H5519" i="1"/>
  <c r="A5520" i="1"/>
  <c r="B5520" i="1"/>
  <c r="C5520" i="1"/>
  <c r="E5520" i="1"/>
  <c r="G5520" i="1"/>
  <c r="H5520" i="1"/>
  <c r="A5521" i="1"/>
  <c r="B5521" i="1"/>
  <c r="C5521" i="1"/>
  <c r="E5521" i="1"/>
  <c r="G5521" i="1"/>
  <c r="H5521" i="1"/>
  <c r="A5522" i="1"/>
  <c r="B5522" i="1"/>
  <c r="C5522" i="1"/>
  <c r="E5522" i="1"/>
  <c r="G5522" i="1"/>
  <c r="H5522" i="1"/>
  <c r="A5523" i="1"/>
  <c r="B5523" i="1"/>
  <c r="C5523" i="1"/>
  <c r="E5523" i="1"/>
  <c r="G5523" i="1"/>
  <c r="H5523" i="1"/>
  <c r="A5524" i="1"/>
  <c r="B5524" i="1"/>
  <c r="C5524" i="1"/>
  <c r="E5524" i="1"/>
  <c r="G5524" i="1"/>
  <c r="H5524" i="1"/>
  <c r="A5525" i="1"/>
  <c r="B5525" i="1"/>
  <c r="C5525" i="1"/>
  <c r="E5525" i="1"/>
  <c r="G5525" i="1"/>
  <c r="H5525" i="1"/>
  <c r="A5526" i="1"/>
  <c r="B5526" i="1"/>
  <c r="C5526" i="1"/>
  <c r="E5526" i="1"/>
  <c r="G5526" i="1"/>
  <c r="H5526" i="1"/>
  <c r="A5527" i="1"/>
  <c r="B5527" i="1"/>
  <c r="C5527" i="1"/>
  <c r="E5527" i="1"/>
  <c r="G5527" i="1"/>
  <c r="H5527" i="1"/>
  <c r="A5528" i="1"/>
  <c r="B5528" i="1"/>
  <c r="C5528" i="1"/>
  <c r="E5528" i="1"/>
  <c r="G5528" i="1"/>
  <c r="H5528" i="1"/>
  <c r="A5529" i="1"/>
  <c r="B5529" i="1"/>
  <c r="C5529" i="1"/>
  <c r="E5529" i="1"/>
  <c r="G5529" i="1"/>
  <c r="H5529" i="1"/>
  <c r="A5530" i="1"/>
  <c r="B5530" i="1"/>
  <c r="C5530" i="1"/>
  <c r="E5530" i="1"/>
  <c r="G5530" i="1"/>
  <c r="H5530" i="1"/>
  <c r="A5531" i="1"/>
  <c r="B5531" i="1"/>
  <c r="C5531" i="1"/>
  <c r="E5531" i="1"/>
  <c r="G5531" i="1"/>
  <c r="H5531" i="1"/>
  <c r="A5532" i="1"/>
  <c r="B5532" i="1"/>
  <c r="C5532" i="1"/>
  <c r="E5532" i="1"/>
  <c r="G5532" i="1"/>
  <c r="H5532" i="1"/>
  <c r="A5533" i="1"/>
  <c r="B5533" i="1"/>
  <c r="C5533" i="1"/>
  <c r="E5533" i="1"/>
  <c r="G5533" i="1"/>
  <c r="H5533" i="1"/>
  <c r="A5534" i="1"/>
  <c r="B5534" i="1"/>
  <c r="C5534" i="1"/>
  <c r="E5534" i="1"/>
  <c r="G5534" i="1"/>
  <c r="H5534" i="1"/>
  <c r="A5535" i="1"/>
  <c r="B5535" i="1"/>
  <c r="C5535" i="1"/>
  <c r="E5535" i="1"/>
  <c r="G5535" i="1"/>
  <c r="H5535" i="1"/>
  <c r="A5536" i="1"/>
  <c r="B5536" i="1"/>
  <c r="C5536" i="1"/>
  <c r="E5536" i="1"/>
  <c r="G5536" i="1"/>
  <c r="H5536" i="1"/>
  <c r="A5537" i="1"/>
  <c r="B5537" i="1"/>
  <c r="C5537" i="1"/>
  <c r="E5537" i="1"/>
  <c r="G5537" i="1"/>
  <c r="H5537" i="1"/>
  <c r="A5538" i="1"/>
  <c r="B5538" i="1"/>
  <c r="C5538" i="1"/>
  <c r="E5538" i="1"/>
  <c r="G5538" i="1"/>
  <c r="H5538" i="1"/>
  <c r="A5539" i="1"/>
  <c r="B5539" i="1"/>
  <c r="C5539" i="1"/>
  <c r="E5539" i="1"/>
  <c r="G5539" i="1"/>
  <c r="H5539" i="1"/>
  <c r="A5540" i="1"/>
  <c r="B5540" i="1"/>
  <c r="C5540" i="1"/>
  <c r="E5540" i="1"/>
  <c r="G5540" i="1"/>
  <c r="H5540" i="1"/>
  <c r="A5541" i="1"/>
  <c r="B5541" i="1"/>
  <c r="C5541" i="1"/>
  <c r="E5541" i="1"/>
  <c r="G5541" i="1"/>
  <c r="H5541" i="1"/>
  <c r="A5542" i="1"/>
  <c r="B5542" i="1"/>
  <c r="C5542" i="1"/>
  <c r="E5542" i="1"/>
  <c r="G5542" i="1"/>
  <c r="H5542" i="1"/>
  <c r="A5543" i="1"/>
  <c r="B5543" i="1"/>
  <c r="C5543" i="1"/>
  <c r="E5543" i="1"/>
  <c r="G5543" i="1"/>
  <c r="H5543" i="1"/>
  <c r="A5544" i="1"/>
  <c r="B5544" i="1"/>
  <c r="C5544" i="1"/>
  <c r="E5544" i="1"/>
  <c r="G5544" i="1"/>
  <c r="H5544" i="1"/>
  <c r="A5545" i="1"/>
  <c r="B5545" i="1"/>
  <c r="C5545" i="1"/>
  <c r="E5545" i="1"/>
  <c r="G5545" i="1"/>
  <c r="H5545" i="1"/>
  <c r="A5546" i="1"/>
  <c r="B5546" i="1"/>
  <c r="C5546" i="1"/>
  <c r="E5546" i="1"/>
  <c r="G5546" i="1"/>
  <c r="H5546" i="1"/>
  <c r="A5547" i="1"/>
  <c r="B5547" i="1"/>
  <c r="C5547" i="1"/>
  <c r="E5547" i="1"/>
  <c r="G5547" i="1"/>
  <c r="H5547" i="1"/>
  <c r="A5548" i="1"/>
  <c r="B5548" i="1"/>
  <c r="C5548" i="1"/>
  <c r="E5548" i="1"/>
  <c r="G5548" i="1"/>
  <c r="H5548" i="1"/>
  <c r="A5549" i="1"/>
  <c r="B5549" i="1"/>
  <c r="C5549" i="1"/>
  <c r="E5549" i="1"/>
  <c r="G5549" i="1"/>
  <c r="H5549" i="1"/>
  <c r="A5550" i="1"/>
  <c r="B5550" i="1"/>
  <c r="C5550" i="1"/>
  <c r="E5550" i="1"/>
  <c r="G5550" i="1"/>
  <c r="H5550" i="1"/>
  <c r="A5551" i="1"/>
  <c r="B5551" i="1"/>
  <c r="C5551" i="1"/>
  <c r="E5551" i="1"/>
  <c r="G5551" i="1"/>
  <c r="H5551" i="1"/>
  <c r="A5552" i="1"/>
  <c r="B5552" i="1"/>
  <c r="C5552" i="1"/>
  <c r="E5552" i="1"/>
  <c r="G5552" i="1"/>
  <c r="H5552" i="1"/>
  <c r="A5553" i="1"/>
  <c r="B5553" i="1"/>
  <c r="C5553" i="1"/>
  <c r="E5553" i="1"/>
  <c r="G5553" i="1"/>
  <c r="H5553" i="1"/>
  <c r="A5554" i="1"/>
  <c r="B5554" i="1"/>
  <c r="C5554" i="1"/>
  <c r="E5554" i="1"/>
  <c r="G5554" i="1"/>
  <c r="H5554" i="1"/>
  <c r="A5555" i="1"/>
  <c r="B5555" i="1"/>
  <c r="C5555" i="1"/>
  <c r="E5555" i="1"/>
  <c r="G5555" i="1"/>
  <c r="H5555" i="1"/>
  <c r="A5556" i="1"/>
  <c r="B5556" i="1"/>
  <c r="C5556" i="1"/>
  <c r="E5556" i="1"/>
  <c r="G5556" i="1"/>
  <c r="H5556" i="1"/>
  <c r="A5557" i="1"/>
  <c r="B5557" i="1"/>
  <c r="C5557" i="1"/>
  <c r="E5557" i="1"/>
  <c r="G5557" i="1"/>
  <c r="H5557" i="1"/>
  <c r="A5558" i="1"/>
  <c r="B5558" i="1"/>
  <c r="C5558" i="1"/>
  <c r="E5558" i="1"/>
  <c r="G5558" i="1"/>
  <c r="H5558" i="1"/>
  <c r="A5559" i="1"/>
  <c r="B5559" i="1"/>
  <c r="C5559" i="1"/>
  <c r="E5559" i="1"/>
  <c r="G5559" i="1"/>
  <c r="H5559" i="1"/>
  <c r="A5560" i="1"/>
  <c r="B5560" i="1"/>
  <c r="C5560" i="1"/>
  <c r="E5560" i="1"/>
  <c r="G5560" i="1"/>
  <c r="H5560" i="1"/>
  <c r="A5561" i="1"/>
  <c r="B5561" i="1"/>
  <c r="C5561" i="1"/>
  <c r="E5561" i="1"/>
  <c r="G5561" i="1"/>
  <c r="H5561" i="1"/>
  <c r="A5562" i="1"/>
  <c r="B5562" i="1"/>
  <c r="C5562" i="1"/>
  <c r="E5562" i="1"/>
  <c r="G5562" i="1"/>
  <c r="H5562" i="1"/>
  <c r="A5563" i="1"/>
  <c r="B5563" i="1"/>
  <c r="C5563" i="1"/>
  <c r="E5563" i="1"/>
  <c r="G5563" i="1"/>
  <c r="H5563" i="1"/>
  <c r="A5564" i="1"/>
  <c r="B5564" i="1"/>
  <c r="C5564" i="1"/>
  <c r="E5564" i="1"/>
  <c r="G5564" i="1"/>
  <c r="H5564" i="1"/>
  <c r="A5565" i="1"/>
  <c r="B5565" i="1"/>
  <c r="C5565" i="1"/>
  <c r="E5565" i="1"/>
  <c r="G5565" i="1"/>
  <c r="H5565" i="1"/>
  <c r="A5566" i="1"/>
  <c r="B5566" i="1"/>
  <c r="C5566" i="1"/>
  <c r="E5566" i="1"/>
  <c r="G5566" i="1"/>
  <c r="H5566" i="1"/>
  <c r="A5567" i="1"/>
  <c r="B5567" i="1"/>
  <c r="C5567" i="1"/>
  <c r="E5567" i="1"/>
  <c r="G5567" i="1"/>
  <c r="H5567" i="1"/>
  <c r="A5568" i="1"/>
  <c r="B5568" i="1"/>
  <c r="C5568" i="1"/>
  <c r="E5568" i="1"/>
  <c r="G5568" i="1"/>
  <c r="H5568" i="1"/>
  <c r="A5569" i="1"/>
  <c r="B5569" i="1"/>
  <c r="C5569" i="1"/>
  <c r="E5569" i="1"/>
  <c r="G5569" i="1"/>
  <c r="H5569" i="1"/>
  <c r="A5570" i="1"/>
  <c r="B5570" i="1"/>
  <c r="C5570" i="1"/>
  <c r="E5570" i="1"/>
  <c r="G5570" i="1"/>
  <c r="H5570" i="1"/>
  <c r="A5571" i="1"/>
  <c r="B5571" i="1"/>
  <c r="C5571" i="1"/>
  <c r="E5571" i="1"/>
  <c r="G5571" i="1"/>
  <c r="H5571" i="1"/>
  <c r="A5572" i="1"/>
  <c r="B5572" i="1"/>
  <c r="C5572" i="1"/>
  <c r="E5572" i="1"/>
  <c r="G5572" i="1"/>
  <c r="H5572" i="1"/>
  <c r="A5573" i="1"/>
  <c r="B5573" i="1"/>
  <c r="C5573" i="1"/>
  <c r="E5573" i="1"/>
  <c r="G5573" i="1"/>
  <c r="H5573" i="1"/>
  <c r="A5574" i="1"/>
  <c r="B5574" i="1"/>
  <c r="C5574" i="1"/>
  <c r="E5574" i="1"/>
  <c r="G5574" i="1"/>
  <c r="H5574" i="1"/>
  <c r="A5575" i="1"/>
  <c r="B5575" i="1"/>
  <c r="C5575" i="1"/>
  <c r="E5575" i="1"/>
  <c r="G5575" i="1"/>
  <c r="H5575" i="1"/>
  <c r="A5576" i="1"/>
  <c r="B5576" i="1"/>
  <c r="C5576" i="1"/>
  <c r="E5576" i="1"/>
  <c r="G5576" i="1"/>
  <c r="H5576" i="1"/>
  <c r="A5577" i="1"/>
  <c r="B5577" i="1"/>
  <c r="C5577" i="1"/>
  <c r="E5577" i="1"/>
  <c r="G5577" i="1"/>
  <c r="H5577" i="1"/>
  <c r="A5578" i="1"/>
  <c r="B5578" i="1"/>
  <c r="C5578" i="1"/>
  <c r="E5578" i="1"/>
  <c r="G5578" i="1"/>
  <c r="H5578" i="1"/>
  <c r="A5579" i="1"/>
  <c r="B5579" i="1"/>
  <c r="C5579" i="1"/>
  <c r="E5579" i="1"/>
  <c r="G5579" i="1"/>
  <c r="H5579" i="1"/>
  <c r="A5580" i="1"/>
  <c r="B5580" i="1"/>
  <c r="C5580" i="1"/>
  <c r="E5580" i="1"/>
  <c r="G5580" i="1"/>
  <c r="H5580" i="1"/>
  <c r="A5581" i="1"/>
  <c r="B5581" i="1"/>
  <c r="C5581" i="1"/>
  <c r="E5581" i="1"/>
  <c r="G5581" i="1"/>
  <c r="H5581" i="1"/>
  <c r="A5582" i="1"/>
  <c r="B5582" i="1"/>
  <c r="C5582" i="1"/>
  <c r="E5582" i="1"/>
  <c r="G5582" i="1"/>
  <c r="H5582" i="1"/>
  <c r="A5583" i="1"/>
  <c r="B5583" i="1"/>
  <c r="C5583" i="1"/>
  <c r="E5583" i="1"/>
  <c r="G5583" i="1"/>
  <c r="H5583" i="1"/>
  <c r="A5584" i="1"/>
  <c r="B5584" i="1"/>
  <c r="C5584" i="1"/>
  <c r="E5584" i="1"/>
  <c r="G5584" i="1"/>
  <c r="H5584" i="1"/>
  <c r="A5585" i="1"/>
  <c r="B5585" i="1"/>
  <c r="C5585" i="1"/>
  <c r="E5585" i="1"/>
  <c r="G5585" i="1"/>
  <c r="H5585" i="1"/>
  <c r="A5586" i="1"/>
  <c r="B5586" i="1"/>
  <c r="C5586" i="1"/>
  <c r="E5586" i="1"/>
  <c r="G5586" i="1"/>
  <c r="H5586" i="1"/>
  <c r="A5587" i="1"/>
  <c r="B5587" i="1"/>
  <c r="C5587" i="1"/>
  <c r="E5587" i="1"/>
  <c r="G5587" i="1"/>
  <c r="H5587" i="1"/>
  <c r="A5588" i="1"/>
  <c r="B5588" i="1"/>
  <c r="C5588" i="1"/>
  <c r="E5588" i="1"/>
  <c r="G5588" i="1"/>
  <c r="H5588" i="1"/>
  <c r="A5589" i="1"/>
  <c r="B5589" i="1"/>
  <c r="C5589" i="1"/>
  <c r="E5589" i="1"/>
  <c r="G5589" i="1"/>
  <c r="H5589" i="1"/>
  <c r="A5590" i="1"/>
  <c r="B5590" i="1"/>
  <c r="C5590" i="1"/>
  <c r="E5590" i="1"/>
  <c r="G5590" i="1"/>
  <c r="H5590" i="1"/>
  <c r="A5591" i="1"/>
  <c r="B5591" i="1"/>
  <c r="C5591" i="1"/>
  <c r="E5591" i="1"/>
  <c r="G5591" i="1"/>
  <c r="H5591" i="1"/>
  <c r="A5592" i="1"/>
  <c r="B5592" i="1"/>
  <c r="C5592" i="1"/>
  <c r="E5592" i="1"/>
  <c r="G5592" i="1"/>
  <c r="H5592" i="1"/>
  <c r="A5593" i="1"/>
  <c r="B5593" i="1"/>
  <c r="C5593" i="1"/>
  <c r="E5593" i="1"/>
  <c r="G5593" i="1"/>
  <c r="H5593" i="1"/>
  <c r="A5594" i="1"/>
  <c r="B5594" i="1"/>
  <c r="C5594" i="1"/>
  <c r="E5594" i="1"/>
  <c r="G5594" i="1"/>
  <c r="H5594" i="1"/>
  <c r="A5595" i="1"/>
  <c r="B5595" i="1"/>
  <c r="C5595" i="1"/>
  <c r="E5595" i="1"/>
  <c r="G5595" i="1"/>
  <c r="H5595" i="1"/>
  <c r="A5596" i="1"/>
  <c r="B5596" i="1"/>
  <c r="C5596" i="1"/>
  <c r="E5596" i="1"/>
  <c r="G5596" i="1"/>
  <c r="H5596" i="1"/>
  <c r="A5597" i="1"/>
  <c r="B5597" i="1"/>
  <c r="C5597" i="1"/>
  <c r="E5597" i="1"/>
  <c r="G5597" i="1"/>
  <c r="H5597" i="1"/>
  <c r="A5598" i="1"/>
  <c r="B5598" i="1"/>
  <c r="C5598" i="1"/>
  <c r="E5598" i="1"/>
  <c r="G5598" i="1"/>
  <c r="H5598" i="1"/>
  <c r="A5599" i="1"/>
  <c r="B5599" i="1"/>
  <c r="C5599" i="1"/>
  <c r="E5599" i="1"/>
  <c r="G5599" i="1"/>
  <c r="H5599" i="1"/>
  <c r="A5600" i="1"/>
  <c r="B5600" i="1"/>
  <c r="C5600" i="1"/>
  <c r="E5600" i="1"/>
  <c r="G5600" i="1"/>
  <c r="H5600" i="1"/>
  <c r="A5601" i="1"/>
  <c r="B5601" i="1"/>
  <c r="C5601" i="1"/>
  <c r="E5601" i="1"/>
  <c r="G5601" i="1"/>
  <c r="H5601" i="1"/>
  <c r="A5602" i="1"/>
  <c r="B5602" i="1"/>
  <c r="C5602" i="1"/>
  <c r="E5602" i="1"/>
  <c r="G5602" i="1"/>
  <c r="H5602" i="1"/>
  <c r="A5603" i="1"/>
  <c r="B5603" i="1"/>
  <c r="C5603" i="1"/>
  <c r="E5603" i="1"/>
  <c r="G5603" i="1"/>
  <c r="H5603" i="1"/>
  <c r="A5604" i="1"/>
  <c r="B5604" i="1"/>
  <c r="C5604" i="1"/>
  <c r="E5604" i="1"/>
  <c r="G5604" i="1"/>
  <c r="H5604" i="1"/>
  <c r="A5605" i="1"/>
  <c r="B5605" i="1"/>
  <c r="C5605" i="1"/>
  <c r="E5605" i="1"/>
  <c r="G5605" i="1"/>
  <c r="H5605" i="1"/>
  <c r="A5606" i="1"/>
  <c r="B5606" i="1"/>
  <c r="C5606" i="1"/>
  <c r="E5606" i="1"/>
  <c r="G5606" i="1"/>
  <c r="H5606" i="1"/>
  <c r="A5607" i="1"/>
  <c r="B5607" i="1"/>
  <c r="C5607" i="1"/>
  <c r="E5607" i="1"/>
  <c r="G5607" i="1"/>
  <c r="H5607" i="1"/>
  <c r="A5608" i="1"/>
  <c r="B5608" i="1"/>
  <c r="C5608" i="1"/>
  <c r="E5608" i="1"/>
  <c r="G5608" i="1"/>
  <c r="H5608" i="1"/>
  <c r="A5609" i="1"/>
  <c r="B5609" i="1"/>
  <c r="C5609" i="1"/>
  <c r="E5609" i="1"/>
  <c r="G5609" i="1"/>
  <c r="H5609" i="1"/>
  <c r="A5610" i="1"/>
  <c r="B5610" i="1"/>
  <c r="C5610" i="1"/>
  <c r="E5610" i="1"/>
  <c r="G5610" i="1"/>
  <c r="H5610" i="1"/>
  <c r="A5611" i="1"/>
  <c r="B5611" i="1"/>
  <c r="C5611" i="1"/>
  <c r="E5611" i="1"/>
  <c r="G5611" i="1"/>
  <c r="H5611" i="1"/>
  <c r="A5612" i="1"/>
  <c r="B5612" i="1"/>
  <c r="C5612" i="1"/>
  <c r="E5612" i="1"/>
  <c r="G5612" i="1"/>
  <c r="H5612" i="1"/>
  <c r="A5613" i="1"/>
  <c r="B5613" i="1"/>
  <c r="C5613" i="1"/>
  <c r="E5613" i="1"/>
  <c r="G5613" i="1"/>
  <c r="H5613" i="1"/>
  <c r="A5614" i="1"/>
  <c r="B5614" i="1"/>
  <c r="C5614" i="1"/>
  <c r="E5614" i="1"/>
  <c r="G5614" i="1"/>
  <c r="H5614" i="1"/>
  <c r="A5615" i="1"/>
  <c r="B5615" i="1"/>
  <c r="C5615" i="1"/>
  <c r="E5615" i="1"/>
  <c r="G5615" i="1"/>
  <c r="H5615" i="1"/>
  <c r="A5616" i="1"/>
  <c r="B5616" i="1"/>
  <c r="C5616" i="1"/>
  <c r="E5616" i="1"/>
  <c r="G5616" i="1"/>
  <c r="H5616" i="1"/>
  <c r="A5617" i="1"/>
  <c r="B5617" i="1"/>
  <c r="C5617" i="1"/>
  <c r="E5617" i="1"/>
  <c r="G5617" i="1"/>
  <c r="H5617" i="1"/>
  <c r="A5618" i="1"/>
  <c r="B5618" i="1"/>
  <c r="C5618" i="1"/>
  <c r="E5618" i="1"/>
  <c r="G5618" i="1"/>
  <c r="H5618" i="1"/>
  <c r="A5619" i="1"/>
  <c r="B5619" i="1"/>
  <c r="C5619" i="1"/>
  <c r="E5619" i="1"/>
  <c r="G5619" i="1"/>
  <c r="H5619" i="1"/>
  <c r="A5620" i="1"/>
  <c r="B5620" i="1"/>
  <c r="C5620" i="1"/>
  <c r="E5620" i="1"/>
  <c r="G5620" i="1"/>
  <c r="H5620" i="1"/>
  <c r="A5621" i="1"/>
  <c r="B5621" i="1"/>
  <c r="C5621" i="1"/>
  <c r="E5621" i="1"/>
  <c r="G5621" i="1"/>
  <c r="H5621" i="1"/>
  <c r="A5622" i="1"/>
  <c r="B5622" i="1"/>
  <c r="C5622" i="1"/>
  <c r="E5622" i="1"/>
  <c r="G5622" i="1"/>
  <c r="H5622" i="1"/>
  <c r="A5623" i="1"/>
  <c r="B5623" i="1"/>
  <c r="C5623" i="1"/>
  <c r="E5623" i="1"/>
  <c r="G5623" i="1"/>
  <c r="H5623" i="1"/>
  <c r="A5624" i="1"/>
  <c r="B5624" i="1"/>
  <c r="C5624" i="1"/>
  <c r="E5624" i="1"/>
  <c r="G5624" i="1"/>
  <c r="H5624" i="1"/>
  <c r="A5625" i="1"/>
  <c r="B5625" i="1"/>
  <c r="C5625" i="1"/>
  <c r="E5625" i="1"/>
  <c r="G5625" i="1"/>
  <c r="H5625" i="1"/>
  <c r="A5626" i="1"/>
  <c r="B5626" i="1"/>
  <c r="C5626" i="1"/>
  <c r="E5626" i="1"/>
  <c r="G5626" i="1"/>
  <c r="H5626" i="1"/>
  <c r="A5627" i="1"/>
  <c r="B5627" i="1"/>
  <c r="C5627" i="1"/>
  <c r="E5627" i="1"/>
  <c r="G5627" i="1"/>
  <c r="H5627" i="1"/>
  <c r="A5628" i="1"/>
  <c r="B5628" i="1"/>
  <c r="C5628" i="1"/>
  <c r="E5628" i="1"/>
  <c r="G5628" i="1"/>
  <c r="H5628" i="1"/>
  <c r="A5629" i="1"/>
  <c r="B5629" i="1"/>
  <c r="C5629" i="1"/>
  <c r="E5629" i="1"/>
  <c r="G5629" i="1"/>
  <c r="H5629" i="1"/>
  <c r="A5630" i="1"/>
  <c r="B5630" i="1"/>
  <c r="C5630" i="1"/>
  <c r="E5630" i="1"/>
  <c r="G5630" i="1"/>
  <c r="H5630" i="1"/>
  <c r="A5631" i="1"/>
  <c r="B5631" i="1"/>
  <c r="C5631" i="1"/>
  <c r="E5631" i="1"/>
  <c r="G5631" i="1"/>
  <c r="H5631" i="1"/>
  <c r="A5632" i="1"/>
  <c r="B5632" i="1"/>
  <c r="C5632" i="1"/>
  <c r="E5632" i="1"/>
  <c r="G5632" i="1"/>
  <c r="H5632" i="1"/>
  <c r="A5633" i="1"/>
  <c r="B5633" i="1"/>
  <c r="C5633" i="1"/>
  <c r="E5633" i="1"/>
  <c r="G5633" i="1"/>
  <c r="H5633" i="1"/>
  <c r="A5634" i="1"/>
  <c r="B5634" i="1"/>
  <c r="C5634" i="1"/>
  <c r="E5634" i="1"/>
  <c r="G5634" i="1"/>
  <c r="H5634" i="1"/>
  <c r="A5635" i="1"/>
  <c r="B5635" i="1"/>
  <c r="C5635" i="1"/>
  <c r="E5635" i="1"/>
  <c r="G5635" i="1"/>
  <c r="H5635" i="1"/>
  <c r="A5636" i="1"/>
  <c r="B5636" i="1"/>
  <c r="C5636" i="1"/>
  <c r="E5636" i="1"/>
  <c r="G5636" i="1"/>
  <c r="H5636" i="1"/>
  <c r="A5637" i="1"/>
  <c r="B5637" i="1"/>
  <c r="C5637" i="1"/>
  <c r="E5637" i="1"/>
  <c r="G5637" i="1"/>
  <c r="H5637" i="1"/>
  <c r="A5638" i="1"/>
  <c r="B5638" i="1"/>
  <c r="C5638" i="1"/>
  <c r="E5638" i="1"/>
  <c r="G5638" i="1"/>
  <c r="H5638" i="1"/>
  <c r="A5639" i="1"/>
  <c r="B5639" i="1"/>
  <c r="C5639" i="1"/>
  <c r="E5639" i="1"/>
  <c r="G5639" i="1"/>
  <c r="H5639" i="1"/>
  <c r="A5640" i="1"/>
  <c r="B5640" i="1"/>
  <c r="C5640" i="1"/>
  <c r="E5640" i="1"/>
  <c r="G5640" i="1"/>
  <c r="H5640" i="1"/>
  <c r="A5641" i="1"/>
  <c r="B5641" i="1"/>
  <c r="C5641" i="1"/>
  <c r="E5641" i="1"/>
  <c r="G5641" i="1"/>
  <c r="H5641" i="1"/>
  <c r="A5642" i="1"/>
  <c r="B5642" i="1"/>
  <c r="C5642" i="1"/>
  <c r="E5642" i="1"/>
  <c r="G5642" i="1"/>
  <c r="H5642" i="1"/>
  <c r="A5643" i="1"/>
  <c r="B5643" i="1"/>
  <c r="C5643" i="1"/>
  <c r="E5643" i="1"/>
  <c r="G5643" i="1"/>
  <c r="H5643" i="1"/>
  <c r="A5644" i="1"/>
  <c r="B5644" i="1"/>
  <c r="C5644" i="1"/>
  <c r="E5644" i="1"/>
  <c r="G5644" i="1"/>
  <c r="H5644" i="1"/>
  <c r="A5645" i="1"/>
  <c r="B5645" i="1"/>
  <c r="C5645" i="1"/>
  <c r="E5645" i="1"/>
  <c r="G5645" i="1"/>
  <c r="H5645" i="1"/>
  <c r="A5646" i="1"/>
  <c r="B5646" i="1"/>
  <c r="C5646" i="1"/>
  <c r="E5646" i="1"/>
  <c r="G5646" i="1"/>
  <c r="H5646" i="1"/>
  <c r="A5647" i="1"/>
  <c r="B5647" i="1"/>
  <c r="C5647" i="1"/>
  <c r="E5647" i="1"/>
  <c r="G5647" i="1"/>
  <c r="H5647" i="1"/>
  <c r="A5648" i="1"/>
  <c r="B5648" i="1"/>
  <c r="C5648" i="1"/>
  <c r="E5648" i="1"/>
  <c r="G5648" i="1"/>
  <c r="H5648" i="1"/>
  <c r="A5649" i="1"/>
  <c r="B5649" i="1"/>
  <c r="C5649" i="1"/>
  <c r="E5649" i="1"/>
  <c r="G5649" i="1"/>
  <c r="H5649" i="1"/>
  <c r="A5650" i="1"/>
  <c r="B5650" i="1"/>
  <c r="C5650" i="1"/>
  <c r="E5650" i="1"/>
  <c r="G5650" i="1"/>
  <c r="H5650" i="1"/>
  <c r="A5651" i="1"/>
  <c r="B5651" i="1"/>
  <c r="C5651" i="1"/>
  <c r="E5651" i="1"/>
  <c r="G5651" i="1"/>
  <c r="H5651" i="1"/>
  <c r="A5652" i="1"/>
  <c r="B5652" i="1"/>
  <c r="C5652" i="1"/>
  <c r="E5652" i="1"/>
  <c r="G5652" i="1"/>
  <c r="H5652" i="1"/>
  <c r="A5653" i="1"/>
  <c r="B5653" i="1"/>
  <c r="C5653" i="1"/>
  <c r="E5653" i="1"/>
  <c r="G5653" i="1"/>
  <c r="H5653" i="1"/>
  <c r="A5654" i="1"/>
  <c r="B5654" i="1"/>
  <c r="C5654" i="1"/>
  <c r="E5654" i="1"/>
  <c r="G5654" i="1"/>
  <c r="H5654" i="1"/>
  <c r="A5655" i="1"/>
  <c r="B5655" i="1"/>
  <c r="C5655" i="1"/>
  <c r="E5655" i="1"/>
  <c r="G5655" i="1"/>
  <c r="H5655" i="1"/>
  <c r="A5656" i="1"/>
  <c r="B5656" i="1"/>
  <c r="C5656" i="1"/>
  <c r="E5656" i="1"/>
  <c r="G5656" i="1"/>
  <c r="H5656" i="1"/>
  <c r="A5657" i="1"/>
  <c r="B5657" i="1"/>
  <c r="C5657" i="1"/>
  <c r="E5657" i="1"/>
  <c r="G5657" i="1"/>
  <c r="H5657" i="1"/>
  <c r="A5658" i="1"/>
  <c r="B5658" i="1"/>
  <c r="C5658" i="1"/>
  <c r="E5658" i="1"/>
  <c r="G5658" i="1"/>
  <c r="H5658" i="1"/>
  <c r="A5659" i="1"/>
  <c r="B5659" i="1"/>
  <c r="C5659" i="1"/>
  <c r="E5659" i="1"/>
  <c r="G5659" i="1"/>
  <c r="H5659" i="1"/>
  <c r="A5660" i="1"/>
  <c r="B5660" i="1"/>
  <c r="C5660" i="1"/>
  <c r="E5660" i="1"/>
  <c r="G5660" i="1"/>
  <c r="H5660" i="1"/>
  <c r="A5661" i="1"/>
  <c r="B5661" i="1"/>
  <c r="C5661" i="1"/>
  <c r="E5661" i="1"/>
  <c r="G5661" i="1"/>
  <c r="H5661" i="1"/>
  <c r="A5662" i="1"/>
  <c r="B5662" i="1"/>
  <c r="C5662" i="1"/>
  <c r="E5662" i="1"/>
  <c r="G5662" i="1"/>
  <c r="H5662" i="1"/>
  <c r="A5663" i="1"/>
  <c r="B5663" i="1"/>
  <c r="C5663" i="1"/>
  <c r="E5663" i="1"/>
  <c r="G5663" i="1"/>
  <c r="H5663" i="1"/>
  <c r="A5664" i="1"/>
  <c r="B5664" i="1"/>
  <c r="C5664" i="1"/>
  <c r="E5664" i="1"/>
  <c r="G5664" i="1"/>
  <c r="H5664" i="1"/>
  <c r="A5665" i="1"/>
  <c r="B5665" i="1"/>
  <c r="C5665" i="1"/>
  <c r="E5665" i="1"/>
  <c r="G5665" i="1"/>
  <c r="H5665" i="1"/>
  <c r="A5666" i="1"/>
  <c r="B5666" i="1"/>
  <c r="C5666" i="1"/>
  <c r="E5666" i="1"/>
  <c r="G5666" i="1"/>
  <c r="H5666" i="1"/>
  <c r="A5667" i="1"/>
  <c r="B5667" i="1"/>
  <c r="C5667" i="1"/>
  <c r="E5667" i="1"/>
  <c r="G5667" i="1"/>
  <c r="H5667" i="1"/>
  <c r="A5668" i="1"/>
  <c r="B5668" i="1"/>
  <c r="C5668" i="1"/>
  <c r="E5668" i="1"/>
  <c r="G5668" i="1"/>
  <c r="H5668" i="1"/>
  <c r="A5669" i="1"/>
  <c r="B5669" i="1"/>
  <c r="C5669" i="1"/>
  <c r="E5669" i="1"/>
  <c r="G5669" i="1"/>
  <c r="H5669" i="1"/>
  <c r="A5670" i="1"/>
  <c r="B5670" i="1"/>
  <c r="C5670" i="1"/>
  <c r="E5670" i="1"/>
  <c r="G5670" i="1"/>
  <c r="H5670" i="1"/>
  <c r="A5671" i="1"/>
  <c r="B5671" i="1"/>
  <c r="C5671" i="1"/>
  <c r="E5671" i="1"/>
  <c r="G5671" i="1"/>
  <c r="H5671" i="1"/>
  <c r="A5672" i="1"/>
  <c r="B5672" i="1"/>
  <c r="C5672" i="1"/>
  <c r="E5672" i="1"/>
  <c r="G5672" i="1"/>
  <c r="H5672" i="1"/>
  <c r="A5673" i="1"/>
  <c r="B5673" i="1"/>
  <c r="C5673" i="1"/>
  <c r="E5673" i="1"/>
  <c r="G5673" i="1"/>
  <c r="H5673" i="1"/>
  <c r="A5674" i="1"/>
  <c r="B5674" i="1"/>
  <c r="C5674" i="1"/>
  <c r="E5674" i="1"/>
  <c r="G5674" i="1"/>
  <c r="H5674" i="1"/>
  <c r="A5675" i="1"/>
  <c r="B5675" i="1"/>
  <c r="C5675" i="1"/>
  <c r="E5675" i="1"/>
  <c r="G5675" i="1"/>
  <c r="H5675" i="1"/>
  <c r="A5676" i="1"/>
  <c r="B5676" i="1"/>
  <c r="C5676" i="1"/>
  <c r="E5676" i="1"/>
  <c r="G5676" i="1"/>
  <c r="H5676" i="1"/>
  <c r="A5677" i="1"/>
  <c r="B5677" i="1"/>
  <c r="C5677" i="1"/>
  <c r="E5677" i="1"/>
  <c r="G5677" i="1"/>
  <c r="H5677" i="1"/>
  <c r="A5678" i="1"/>
  <c r="B5678" i="1"/>
  <c r="C5678" i="1"/>
  <c r="E5678" i="1"/>
  <c r="G5678" i="1"/>
  <c r="H5678" i="1"/>
  <c r="A5679" i="1"/>
  <c r="B5679" i="1"/>
  <c r="C5679" i="1"/>
  <c r="E5679" i="1"/>
  <c r="G5679" i="1"/>
  <c r="H5679" i="1"/>
  <c r="A5680" i="1"/>
  <c r="B5680" i="1"/>
  <c r="C5680" i="1"/>
  <c r="E5680" i="1"/>
  <c r="G5680" i="1"/>
  <c r="H5680" i="1"/>
  <c r="A5681" i="1"/>
  <c r="B5681" i="1"/>
  <c r="C5681" i="1"/>
  <c r="E5681" i="1"/>
  <c r="G5681" i="1"/>
  <c r="H5681" i="1"/>
  <c r="A5682" i="1"/>
  <c r="B5682" i="1"/>
  <c r="C5682" i="1"/>
  <c r="E5682" i="1"/>
  <c r="G5682" i="1"/>
  <c r="H5682" i="1"/>
  <c r="A5683" i="1"/>
  <c r="B5683" i="1"/>
  <c r="C5683" i="1"/>
  <c r="E5683" i="1"/>
  <c r="G5683" i="1"/>
  <c r="H5683" i="1"/>
  <c r="A5684" i="1"/>
  <c r="B5684" i="1"/>
  <c r="C5684" i="1"/>
  <c r="E5684" i="1"/>
  <c r="G5684" i="1"/>
  <c r="H5684" i="1"/>
  <c r="A5685" i="1"/>
  <c r="B5685" i="1"/>
  <c r="C5685" i="1"/>
  <c r="E5685" i="1"/>
  <c r="G5685" i="1"/>
  <c r="H5685" i="1"/>
  <c r="A5686" i="1"/>
  <c r="B5686" i="1"/>
  <c r="C5686" i="1"/>
  <c r="E5686" i="1"/>
  <c r="G5686" i="1"/>
  <c r="H5686" i="1"/>
  <c r="A5687" i="1"/>
  <c r="B5687" i="1"/>
  <c r="C5687" i="1"/>
  <c r="E5687" i="1"/>
  <c r="G5687" i="1"/>
  <c r="H5687" i="1"/>
  <c r="A5688" i="1"/>
  <c r="B5688" i="1"/>
  <c r="C5688" i="1"/>
  <c r="E5688" i="1"/>
  <c r="G5688" i="1"/>
  <c r="H5688" i="1"/>
  <c r="A5689" i="1"/>
  <c r="B5689" i="1"/>
  <c r="C5689" i="1"/>
  <c r="E5689" i="1"/>
  <c r="G5689" i="1"/>
  <c r="H5689" i="1"/>
  <c r="A5690" i="1"/>
  <c r="B5690" i="1"/>
  <c r="C5690" i="1"/>
  <c r="E5690" i="1"/>
  <c r="G5690" i="1"/>
  <c r="H5690" i="1"/>
  <c r="A5691" i="1"/>
  <c r="B5691" i="1"/>
  <c r="C5691" i="1"/>
  <c r="E5691" i="1"/>
  <c r="G5691" i="1"/>
  <c r="H5691" i="1"/>
  <c r="A5692" i="1"/>
  <c r="B5692" i="1"/>
  <c r="C5692" i="1"/>
  <c r="E5692" i="1"/>
  <c r="G5692" i="1"/>
  <c r="H5692" i="1"/>
  <c r="A5693" i="1"/>
  <c r="B5693" i="1"/>
  <c r="C5693" i="1"/>
  <c r="E5693" i="1"/>
  <c r="G5693" i="1"/>
  <c r="H5693" i="1"/>
  <c r="A5694" i="1"/>
  <c r="B5694" i="1"/>
  <c r="C5694" i="1"/>
  <c r="E5694" i="1"/>
  <c r="G5694" i="1"/>
  <c r="H5694" i="1"/>
  <c r="A5695" i="1"/>
  <c r="B5695" i="1"/>
  <c r="C5695" i="1"/>
  <c r="E5695" i="1"/>
  <c r="G5695" i="1"/>
  <c r="H5695" i="1"/>
  <c r="A5696" i="1"/>
  <c r="B5696" i="1"/>
  <c r="C5696" i="1"/>
  <c r="E5696" i="1"/>
  <c r="G5696" i="1"/>
  <c r="H5696" i="1"/>
  <c r="A5697" i="1"/>
  <c r="B5697" i="1"/>
  <c r="C5697" i="1"/>
  <c r="E5697" i="1"/>
  <c r="G5697" i="1"/>
  <c r="H5697" i="1"/>
  <c r="A5698" i="1"/>
  <c r="B5698" i="1"/>
  <c r="C5698" i="1"/>
  <c r="E5698" i="1"/>
  <c r="G5698" i="1"/>
  <c r="H5698" i="1"/>
  <c r="A5699" i="1"/>
  <c r="B5699" i="1"/>
  <c r="C5699" i="1"/>
  <c r="E5699" i="1"/>
  <c r="G5699" i="1"/>
  <c r="H5699" i="1"/>
  <c r="A5700" i="1"/>
  <c r="B5700" i="1"/>
  <c r="C5700" i="1"/>
  <c r="E5700" i="1"/>
  <c r="G5700" i="1"/>
  <c r="H5700" i="1"/>
  <c r="A5701" i="1"/>
  <c r="B5701" i="1"/>
  <c r="C5701" i="1"/>
  <c r="E5701" i="1"/>
  <c r="G5701" i="1"/>
  <c r="H5701" i="1"/>
  <c r="A5702" i="1"/>
  <c r="B5702" i="1"/>
  <c r="C5702" i="1"/>
  <c r="E5702" i="1"/>
  <c r="G5702" i="1"/>
  <c r="H5702" i="1"/>
  <c r="A5703" i="1"/>
  <c r="B5703" i="1"/>
  <c r="C5703" i="1"/>
  <c r="E5703" i="1"/>
  <c r="G5703" i="1"/>
  <c r="H5703" i="1"/>
  <c r="A5704" i="1"/>
  <c r="B5704" i="1"/>
  <c r="C5704" i="1"/>
  <c r="E5704" i="1"/>
  <c r="G5704" i="1"/>
  <c r="H5704" i="1"/>
  <c r="A5705" i="1"/>
  <c r="B5705" i="1"/>
  <c r="C5705" i="1"/>
  <c r="E5705" i="1"/>
  <c r="G5705" i="1"/>
  <c r="H5705" i="1"/>
  <c r="A5706" i="1"/>
  <c r="B5706" i="1"/>
  <c r="C5706" i="1"/>
  <c r="E5706" i="1"/>
  <c r="G5706" i="1"/>
  <c r="H5706" i="1"/>
  <c r="A5707" i="1"/>
  <c r="B5707" i="1"/>
  <c r="C5707" i="1"/>
  <c r="E5707" i="1"/>
  <c r="G5707" i="1"/>
  <c r="H5707" i="1"/>
  <c r="A5708" i="1"/>
  <c r="B5708" i="1"/>
  <c r="C5708" i="1"/>
  <c r="E5708" i="1"/>
  <c r="G5708" i="1"/>
  <c r="H5708" i="1"/>
  <c r="A5709" i="1"/>
  <c r="B5709" i="1"/>
  <c r="C5709" i="1"/>
  <c r="E5709" i="1"/>
  <c r="G5709" i="1"/>
  <c r="H5709" i="1"/>
  <c r="A5710" i="1"/>
  <c r="B5710" i="1"/>
  <c r="C5710" i="1"/>
  <c r="E5710" i="1"/>
  <c r="G5710" i="1"/>
  <c r="H5710" i="1"/>
  <c r="A5711" i="1"/>
  <c r="B5711" i="1"/>
  <c r="C5711" i="1"/>
  <c r="E5711" i="1"/>
  <c r="G5711" i="1"/>
  <c r="H5711" i="1"/>
  <c r="A5712" i="1"/>
  <c r="B5712" i="1"/>
  <c r="C5712" i="1"/>
  <c r="E5712" i="1"/>
  <c r="G5712" i="1"/>
  <c r="H5712" i="1"/>
  <c r="A5713" i="1"/>
  <c r="B5713" i="1"/>
  <c r="C5713" i="1"/>
  <c r="E5713" i="1"/>
  <c r="G5713" i="1"/>
  <c r="H5713" i="1"/>
  <c r="A5714" i="1"/>
  <c r="B5714" i="1"/>
  <c r="C5714" i="1"/>
  <c r="E5714" i="1"/>
  <c r="G5714" i="1"/>
  <c r="H5714" i="1"/>
  <c r="A5715" i="1"/>
  <c r="B5715" i="1"/>
  <c r="C5715" i="1"/>
  <c r="E5715" i="1"/>
  <c r="G5715" i="1"/>
  <c r="H5715" i="1"/>
  <c r="A5716" i="1"/>
  <c r="B5716" i="1"/>
  <c r="C5716" i="1"/>
  <c r="E5716" i="1"/>
  <c r="G5716" i="1"/>
  <c r="H5716" i="1"/>
  <c r="A5717" i="1"/>
  <c r="B5717" i="1"/>
  <c r="C5717" i="1"/>
  <c r="E5717" i="1"/>
  <c r="G5717" i="1"/>
  <c r="H5717" i="1"/>
  <c r="A5718" i="1"/>
  <c r="B5718" i="1"/>
  <c r="C5718" i="1"/>
  <c r="E5718" i="1"/>
  <c r="G5718" i="1"/>
  <c r="H5718" i="1"/>
  <c r="A5719" i="1"/>
  <c r="B5719" i="1"/>
  <c r="C5719" i="1"/>
  <c r="E5719" i="1"/>
  <c r="G5719" i="1"/>
  <c r="H5719" i="1"/>
  <c r="A5720" i="1"/>
  <c r="B5720" i="1"/>
  <c r="C5720" i="1"/>
  <c r="E5720" i="1"/>
  <c r="G5720" i="1"/>
  <c r="H5720" i="1"/>
  <c r="A5721" i="1"/>
  <c r="B5721" i="1"/>
  <c r="C5721" i="1"/>
  <c r="E5721" i="1"/>
  <c r="G5721" i="1"/>
  <c r="H5721" i="1"/>
  <c r="A5722" i="1"/>
  <c r="B5722" i="1"/>
  <c r="C5722" i="1"/>
  <c r="E5722" i="1"/>
  <c r="G5722" i="1"/>
  <c r="H5722" i="1"/>
  <c r="A5723" i="1"/>
  <c r="B5723" i="1"/>
  <c r="C5723" i="1"/>
  <c r="E5723" i="1"/>
  <c r="G5723" i="1"/>
  <c r="H5723" i="1"/>
  <c r="A5724" i="1"/>
  <c r="B5724" i="1"/>
  <c r="C5724" i="1"/>
  <c r="E5724" i="1"/>
  <c r="G5724" i="1"/>
  <c r="H5724" i="1"/>
  <c r="A5725" i="1"/>
  <c r="B5725" i="1"/>
  <c r="C5725" i="1"/>
  <c r="E5725" i="1"/>
  <c r="G5725" i="1"/>
  <c r="H5725" i="1"/>
  <c r="A5726" i="1"/>
  <c r="B5726" i="1"/>
  <c r="C5726" i="1"/>
  <c r="E5726" i="1"/>
  <c r="G5726" i="1"/>
  <c r="H5726" i="1"/>
  <c r="A5727" i="1"/>
  <c r="B5727" i="1"/>
  <c r="C5727" i="1"/>
  <c r="E5727" i="1"/>
  <c r="G5727" i="1"/>
  <c r="H5727" i="1"/>
  <c r="A5728" i="1"/>
  <c r="B5728" i="1"/>
  <c r="C5728" i="1"/>
  <c r="E5728" i="1"/>
  <c r="G5728" i="1"/>
  <c r="H5728" i="1"/>
  <c r="A5729" i="1"/>
  <c r="B5729" i="1"/>
  <c r="C5729" i="1"/>
  <c r="E5729" i="1"/>
  <c r="G5729" i="1"/>
  <c r="H5729" i="1"/>
  <c r="A5730" i="1"/>
  <c r="B5730" i="1"/>
  <c r="C5730" i="1"/>
  <c r="E5730" i="1"/>
  <c r="G5730" i="1"/>
  <c r="H5730" i="1"/>
  <c r="A5731" i="1"/>
  <c r="B5731" i="1"/>
  <c r="C5731" i="1"/>
  <c r="E5731" i="1"/>
  <c r="G5731" i="1"/>
  <c r="H5731" i="1"/>
  <c r="A5732" i="1"/>
  <c r="B5732" i="1"/>
  <c r="C5732" i="1"/>
  <c r="E5732" i="1"/>
  <c r="G5732" i="1"/>
  <c r="H5732" i="1"/>
  <c r="A5733" i="1"/>
  <c r="B5733" i="1"/>
  <c r="C5733" i="1"/>
  <c r="E5733" i="1"/>
  <c r="G5733" i="1"/>
  <c r="H5733" i="1"/>
  <c r="A5734" i="1"/>
  <c r="B5734" i="1"/>
  <c r="C5734" i="1"/>
  <c r="E5734" i="1"/>
  <c r="G5734" i="1"/>
  <c r="H5734" i="1"/>
  <c r="A5735" i="1"/>
  <c r="B5735" i="1"/>
  <c r="C5735" i="1"/>
  <c r="E5735" i="1"/>
  <c r="G5735" i="1"/>
  <c r="H5735" i="1"/>
  <c r="A5736" i="1"/>
  <c r="B5736" i="1"/>
  <c r="C5736" i="1"/>
  <c r="E5736" i="1"/>
  <c r="G5736" i="1"/>
  <c r="H5736" i="1"/>
  <c r="A5737" i="1"/>
  <c r="B5737" i="1"/>
  <c r="C5737" i="1"/>
  <c r="E5737" i="1"/>
  <c r="G5737" i="1"/>
  <c r="H5737" i="1"/>
  <c r="A5738" i="1"/>
  <c r="B5738" i="1"/>
  <c r="C5738" i="1"/>
  <c r="E5738" i="1"/>
  <c r="G5738" i="1"/>
  <c r="H5738" i="1"/>
  <c r="A5739" i="1"/>
  <c r="B5739" i="1"/>
  <c r="C5739" i="1"/>
  <c r="E5739" i="1"/>
  <c r="G5739" i="1"/>
  <c r="H5739" i="1"/>
  <c r="A5740" i="1"/>
  <c r="B5740" i="1"/>
  <c r="C5740" i="1"/>
  <c r="E5740" i="1"/>
  <c r="G5740" i="1"/>
  <c r="H5740" i="1"/>
  <c r="A5741" i="1"/>
  <c r="B5741" i="1"/>
  <c r="C5741" i="1"/>
  <c r="E5741" i="1"/>
  <c r="G5741" i="1"/>
  <c r="H5741" i="1"/>
  <c r="A5742" i="1"/>
  <c r="B5742" i="1"/>
  <c r="C5742" i="1"/>
  <c r="E5742" i="1"/>
  <c r="G5742" i="1"/>
  <c r="H5742" i="1"/>
  <c r="A5743" i="1"/>
  <c r="B5743" i="1"/>
  <c r="C5743" i="1"/>
  <c r="E5743" i="1"/>
  <c r="G5743" i="1"/>
  <c r="H5743" i="1"/>
  <c r="A5744" i="1"/>
  <c r="B5744" i="1"/>
  <c r="C5744" i="1"/>
  <c r="E5744" i="1"/>
  <c r="G5744" i="1"/>
  <c r="H5744" i="1"/>
  <c r="A5745" i="1"/>
  <c r="B5745" i="1"/>
  <c r="C5745" i="1"/>
  <c r="E5745" i="1"/>
  <c r="G5745" i="1"/>
  <c r="H5745" i="1"/>
  <c r="A5746" i="1"/>
  <c r="B5746" i="1"/>
  <c r="C5746" i="1"/>
  <c r="E5746" i="1"/>
  <c r="G5746" i="1"/>
  <c r="H5746" i="1"/>
  <c r="A5747" i="1"/>
  <c r="B5747" i="1"/>
  <c r="C5747" i="1"/>
  <c r="E5747" i="1"/>
  <c r="G5747" i="1"/>
  <c r="H5747" i="1"/>
  <c r="A5748" i="1"/>
  <c r="B5748" i="1"/>
  <c r="C5748" i="1"/>
  <c r="E5748" i="1"/>
  <c r="G5748" i="1"/>
  <c r="H5748" i="1"/>
  <c r="A5749" i="1"/>
  <c r="B5749" i="1"/>
  <c r="C5749" i="1"/>
  <c r="E5749" i="1"/>
  <c r="G5749" i="1"/>
  <c r="H5749" i="1"/>
  <c r="A5750" i="1"/>
  <c r="B5750" i="1"/>
  <c r="C5750" i="1"/>
  <c r="E5750" i="1"/>
  <c r="G5750" i="1"/>
  <c r="H5750" i="1"/>
  <c r="A5751" i="1"/>
  <c r="B5751" i="1"/>
  <c r="C5751" i="1"/>
  <c r="E5751" i="1"/>
  <c r="G5751" i="1"/>
  <c r="H5751" i="1"/>
  <c r="A5752" i="1"/>
  <c r="B5752" i="1"/>
  <c r="C5752" i="1"/>
  <c r="E5752" i="1"/>
  <c r="G5752" i="1"/>
  <c r="H5752" i="1"/>
  <c r="A5753" i="1"/>
  <c r="B5753" i="1"/>
  <c r="C5753" i="1"/>
  <c r="E5753" i="1"/>
  <c r="G5753" i="1"/>
  <c r="H5753" i="1"/>
  <c r="A5754" i="1"/>
  <c r="B5754" i="1"/>
  <c r="C5754" i="1"/>
  <c r="E5754" i="1"/>
  <c r="G5754" i="1"/>
  <c r="H5754" i="1"/>
  <c r="A5755" i="1"/>
  <c r="B5755" i="1"/>
  <c r="C5755" i="1"/>
  <c r="E5755" i="1"/>
  <c r="G5755" i="1"/>
  <c r="H5755" i="1"/>
  <c r="A5756" i="1"/>
  <c r="B5756" i="1"/>
  <c r="C5756" i="1"/>
  <c r="E5756" i="1"/>
  <c r="G5756" i="1"/>
  <c r="H5756" i="1"/>
  <c r="A5757" i="1"/>
  <c r="B5757" i="1"/>
  <c r="C5757" i="1"/>
  <c r="E5757" i="1"/>
  <c r="G5757" i="1"/>
  <c r="H5757" i="1"/>
  <c r="A5758" i="1"/>
  <c r="B5758" i="1"/>
  <c r="C5758" i="1"/>
  <c r="E5758" i="1"/>
  <c r="G5758" i="1"/>
  <c r="H5758" i="1"/>
  <c r="A5759" i="1"/>
  <c r="B5759" i="1"/>
  <c r="C5759" i="1"/>
  <c r="E5759" i="1"/>
  <c r="G5759" i="1"/>
  <c r="H5759" i="1"/>
  <c r="A5760" i="1"/>
  <c r="B5760" i="1"/>
  <c r="C5760" i="1"/>
  <c r="E5760" i="1"/>
  <c r="G5760" i="1"/>
  <c r="H5760" i="1"/>
  <c r="A5761" i="1"/>
  <c r="B5761" i="1"/>
  <c r="C5761" i="1"/>
  <c r="E5761" i="1"/>
  <c r="G5761" i="1"/>
  <c r="H5761" i="1"/>
  <c r="A5762" i="1"/>
  <c r="B5762" i="1"/>
  <c r="C5762" i="1"/>
  <c r="E5762" i="1"/>
  <c r="G5762" i="1"/>
  <c r="H5762" i="1"/>
  <c r="A5763" i="1"/>
  <c r="B5763" i="1"/>
  <c r="C5763" i="1"/>
  <c r="E5763" i="1"/>
  <c r="G5763" i="1"/>
  <c r="H5763" i="1"/>
  <c r="A5764" i="1"/>
  <c r="B5764" i="1"/>
  <c r="C5764" i="1"/>
  <c r="E5764" i="1"/>
  <c r="G5764" i="1"/>
  <c r="H5764" i="1"/>
  <c r="A5765" i="1"/>
  <c r="B5765" i="1"/>
  <c r="C5765" i="1"/>
  <c r="E5765" i="1"/>
  <c r="G5765" i="1"/>
  <c r="H5765" i="1"/>
  <c r="A5766" i="1"/>
  <c r="B5766" i="1"/>
  <c r="C5766" i="1"/>
  <c r="E5766" i="1"/>
  <c r="G5766" i="1"/>
  <c r="H5766" i="1"/>
  <c r="A5767" i="1"/>
  <c r="B5767" i="1"/>
  <c r="C5767" i="1"/>
  <c r="E5767" i="1"/>
  <c r="G5767" i="1"/>
  <c r="H5767" i="1"/>
  <c r="A5768" i="1"/>
  <c r="B5768" i="1"/>
  <c r="C5768" i="1"/>
  <c r="E5768" i="1"/>
  <c r="G5768" i="1"/>
  <c r="H5768" i="1"/>
  <c r="A5769" i="1"/>
  <c r="B5769" i="1"/>
  <c r="C5769" i="1"/>
  <c r="E5769" i="1"/>
  <c r="G5769" i="1"/>
  <c r="H5769" i="1"/>
  <c r="A5770" i="1"/>
  <c r="B5770" i="1"/>
  <c r="C5770" i="1"/>
  <c r="E5770" i="1"/>
  <c r="G5770" i="1"/>
  <c r="H5770" i="1"/>
  <c r="A5771" i="1"/>
  <c r="B5771" i="1"/>
  <c r="C5771" i="1"/>
  <c r="E5771" i="1"/>
  <c r="G5771" i="1"/>
  <c r="H5771" i="1"/>
  <c r="A5772" i="1"/>
  <c r="B5772" i="1"/>
  <c r="C5772" i="1"/>
  <c r="E5772" i="1"/>
  <c r="G5772" i="1"/>
  <c r="H5772" i="1"/>
  <c r="A5773" i="1"/>
  <c r="B5773" i="1"/>
  <c r="C5773" i="1"/>
  <c r="E5773" i="1"/>
  <c r="G5773" i="1"/>
  <c r="H5773" i="1"/>
  <c r="A5774" i="1"/>
  <c r="B5774" i="1"/>
  <c r="C5774" i="1"/>
  <c r="E5774" i="1"/>
  <c r="G5774" i="1"/>
  <c r="H5774" i="1"/>
</calcChain>
</file>

<file path=xl/sharedStrings.xml><?xml version="1.0" encoding="utf-8"?>
<sst xmlns="http://schemas.openxmlformats.org/spreadsheetml/2006/main" count="46770" uniqueCount="5884">
  <si>
    <t>TIPO DE ELECCION</t>
  </si>
  <si>
    <t>DIPUTACIONES LOCALES (INCLUYE RESULTADOS DE MAYORÍA RELATIVA Y REPRESENTACION PROPORCIONAL).</t>
  </si>
  <si>
    <t>FECHA Y HORA DEL CORTE DE INFORMACION</t>
  </si>
  <si>
    <t>07/06/2021 19:52 (UTC -5)</t>
  </si>
  <si>
    <t>ACTAS_ESPERADAS</t>
  </si>
  <si>
    <t>ACTAS_REGISTRADAS</t>
  </si>
  <si>
    <t>ACTAS_FUERA_CATALOGO</t>
  </si>
  <si>
    <t>ACTAS_CAPTURADAS</t>
  </si>
  <si>
    <t>PORCENTAJE_ACTAS_CAPTURADAS</t>
  </si>
  <si>
    <t>ACTAS_CONTABILIZADAS</t>
  </si>
  <si>
    <t>PORCENTAJE_ACTAS_CONTABILIZADAS</t>
  </si>
  <si>
    <t>PORCENTAJE_ACTAS_INCONSISTENCIAS</t>
  </si>
  <si>
    <t>ACTAS_NO_CONTABILIZADAS</t>
  </si>
  <si>
    <t>LISTA_NOMINAL_ACTAS_CONTABILIZADAS</t>
  </si>
  <si>
    <t>TOTAL_VOTOS_C_CS</t>
  </si>
  <si>
    <t>TOTAL_VOTOS_S_CS</t>
  </si>
  <si>
    <t>PORCENTAJE_PARTICIPACION_CIUDADANA</t>
  </si>
  <si>
    <t>CLAVE_CASILLA</t>
  </si>
  <si>
    <t>CLAVE_ACTA</t>
  </si>
  <si>
    <t>ID_ESTADO</t>
  </si>
  <si>
    <t>ESTADO</t>
  </si>
  <si>
    <t>ID_DISTRITO_LOCAL</t>
  </si>
  <si>
    <t>DISTRITO_LOCAL</t>
  </si>
  <si>
    <t>SECCION</t>
  </si>
  <si>
    <t>ID_CASILLA</t>
  </si>
  <si>
    <t>TIPO_CASILLA</t>
  </si>
  <si>
    <t>EXT_CONTIGUA</t>
  </si>
  <si>
    <t>UBICACION_CASILLA</t>
  </si>
  <si>
    <t>TIPO_ACTA</t>
  </si>
  <si>
    <t>TOTAL_BOLETAS_SOBRANTES</t>
  </si>
  <si>
    <t>TOTAL_PERSONAS_VOTARON</t>
  </si>
  <si>
    <t>TOTAL_REP_PARTIDO_CI_VOTARON</t>
  </si>
  <si>
    <t>TOTAL_VOTOS_SACADOS</t>
  </si>
  <si>
    <t>PAN</t>
  </si>
  <si>
    <t>PRI</t>
  </si>
  <si>
    <t>PRD</t>
  </si>
  <si>
    <t>PVEM</t>
  </si>
  <si>
    <t>PT</t>
  </si>
  <si>
    <t>MC</t>
  </si>
  <si>
    <t>PUP</t>
  </si>
  <si>
    <t>MORENA</t>
  </si>
  <si>
    <t>NAO</t>
  </si>
  <si>
    <t>PES</t>
  </si>
  <si>
    <t>RSP</t>
  </si>
  <si>
    <t>FXM</t>
  </si>
  <si>
    <t>CI1</t>
  </si>
  <si>
    <t>CO_PAN_PRI_PRD</t>
  </si>
  <si>
    <t>CO_PAN_PRI</t>
  </si>
  <si>
    <t>CO_PAN_PRD</t>
  </si>
  <si>
    <t>CO_PRI_PRD</t>
  </si>
  <si>
    <t>CC_PVEM_PT</t>
  </si>
  <si>
    <t>NO_REGISTRADOS</t>
  </si>
  <si>
    <t>NULOS</t>
  </si>
  <si>
    <t>TOTAL_VOTOS_ASENTADO</t>
  </si>
  <si>
    <t>TOTAL_VOTOS_CALCULADO</t>
  </si>
  <si>
    <t>LISTA_NOMINAL</t>
  </si>
  <si>
    <t>REPRESENTANTES_PP_CI</t>
  </si>
  <si>
    <t>OBSERVACIONES</t>
  </si>
  <si>
    <t>CONTABILIZADA</t>
  </si>
  <si>
    <t>MECANISMOS_TRASLADO</t>
  </si>
  <si>
    <t>SHA</t>
  </si>
  <si>
    <t>FECHA_HORA_ACOPIO</t>
  </si>
  <si>
    <t>FECHA_HORA_CAPTURA</t>
  </si>
  <si>
    <t>FECHA_HORA_VERIFICACION</t>
  </si>
  <si>
    <t>ORIGEN</t>
  </si>
  <si>
    <t>DIGITALIZACION</t>
  </si>
  <si>
    <t>TIPO_DOCUMENTO</t>
  </si>
  <si>
    <t>OAXACA</t>
  </si>
  <si>
    <t>ACATLAN DE PEREZ FIGUEROA</t>
  </si>
  <si>
    <t>B</t>
  </si>
  <si>
    <t>4f8d34548a0c1c68a4a73731cb14b5023ec1c9263e7a9af3063176a4de31aa94</t>
  </si>
  <si>
    <t>CATD</t>
  </si>
  <si>
    <t>ESCANER</t>
  </si>
  <si>
    <t>ACTA PREP</t>
  </si>
  <si>
    <t>7a6e5de301a24cc8b70cf0d97b17ced4d533eb605a9b6b70fb297b4ee41afe62</t>
  </si>
  <si>
    <t>C</t>
  </si>
  <si>
    <t>dd1d0317e788b0a7266a43828e39b6700b32daa83976764aaad0a2ed1f513eb9</t>
  </si>
  <si>
    <t>sin dato</t>
  </si>
  <si>
    <t>ALGUN CAMPO ILEGIBLE O SIN DATO</t>
  </si>
  <si>
    <t>9064f11aefbe5c408c4764c308ade6458e92c7de4486b55c79b5c3353940c40f</t>
  </si>
  <si>
    <t>Sin dato</t>
  </si>
  <si>
    <t>c9dde8f2a54f662041da77ee8ef52ee7669680dbac34a7e95d7afea4fb89e741</t>
  </si>
  <si>
    <t>a23425c6544f9c1433ed7ff1e1bc7173e12c6c52c46cdb6c77116de2b19ae34c</t>
  </si>
  <si>
    <t>2357811848e9fd79c822a7c3dca08e071bd2d8cd5ababde8404a4f2ce4db587c</t>
  </si>
  <si>
    <t>d43a1d3e9bcf21c56769a2f095bf9075f05a8e3937610fdef2a3e0c7ed45a0ee</t>
  </si>
  <si>
    <t>S</t>
  </si>
  <si>
    <t>2EMR</t>
  </si>
  <si>
    <t>ed70558b78c1c75fa21b7bb0f336b5e35998f8719748fca546a3bdace0775fc3</t>
  </si>
  <si>
    <t>4177da4abfe8b8a32a207bc0c9c05dbde54b9867b1f42c59f2e6e010456c4169</t>
  </si>
  <si>
    <t>af4275551aef240c4a314c878643bd7b6515e86bc8740e385efb8bb78429f4b8</t>
  </si>
  <si>
    <t>b21fea277b597683995546039ef5f0c6f4a345e38838690d403feb74db1c8f2c</t>
  </si>
  <si>
    <t>876e9c83b2c13ca84d5c0f0f51cd6aec17477fba010a0167a5fe76222bbeabb6</t>
  </si>
  <si>
    <t>54f7a898a75c87082663560f2989f84bb44d7ba796d1b9595aac09675f794951</t>
  </si>
  <si>
    <t>b96813e3c631ac6b043f785367b14633cfbd663083a5c21e16364f0200c928ed</t>
  </si>
  <si>
    <t>3cda3d9c44fcb147adc3f317ae7115a173efd3986db67f8d156dcaab3b9588b6</t>
  </si>
  <si>
    <t>ab619cdcb85484e50872f258b0e8f7a2e28c5edf365e6d6fb565b34d47caac0a</t>
  </si>
  <si>
    <t>0a361434c995d8944a0740c8f03768a6e779e49cc2a53f8fc1f8c79dd52f31d3</t>
  </si>
  <si>
    <t>b896d8b4e0d1ea54f705369bb75b73d359edb9c82ae27bf1eab402bf57126d0c</t>
  </si>
  <si>
    <t>f9862de80b3f14f2478e52aca0e6e04dd1d4a3ae99078c21583623e70053d759</t>
  </si>
  <si>
    <t>ilegible</t>
  </si>
  <si>
    <t>b41a3d8721eab0a262cc88205630153d9b81aa6b55528b2a20f40f30637021fc</t>
  </si>
  <si>
    <t>2970ff4bfd4f1439a2c43f28518cf5df0296de3beeb778e02000be0ea3cfb48d</t>
  </si>
  <si>
    <t>08d555049f742fce7a41130484f3fbf733ea8be599b8a3cba9c0605b6fe09569</t>
  </si>
  <si>
    <t>2214c84009faa055bd556193b334117c8830b50f40a69bf03082ffcc045ac716</t>
  </si>
  <si>
    <t>f779aa3ec441599460b9bd90e7e0c2e3414d38d016735616d9d4a3b27abb6ac5</t>
  </si>
  <si>
    <t>e2cf919b27f3e6bd691a1c0037681a86395f0195ab68c4ac42dbe2dbb1df9303</t>
  </si>
  <si>
    <t>a25804778ef0a6cc0369906fcc7f7a5a24359a46f88b78f31c9b02043577b500</t>
  </si>
  <si>
    <t>e03f678727a882f7dd2b6d96dc425afb7567ab84305047a7ab573462d208cc73</t>
  </si>
  <si>
    <t>dd90a3538564b25beafb9fb7556e6f1f094fbf41eae4edb209ca6f41e7460906</t>
  </si>
  <si>
    <t>E</t>
  </si>
  <si>
    <t>49273383da41fe1812a1c37146240c64567f47852d6b279fea40d1664a70f9c6</t>
  </si>
  <si>
    <t>f085775060d671e791e1bc18c2677212c58bb6b1e94cbda54ea16cc1559a0adf</t>
  </si>
  <si>
    <t>3087b7d086aa9d01168880dd99aa8bfc5d448d41320702cec155ca4c311b873a</t>
  </si>
  <si>
    <t>cdb7ad172e1adfb7bafab184ac2b94a5e38a13a37cedcb12dfcc8da0e9ecf8ac</t>
  </si>
  <si>
    <t>ba37e386e363c506e6ebaa6ea8d7fb32244c52cf396e58a0df9fd7a99eada5ea</t>
  </si>
  <si>
    <t>c4f381ba8ec91350663519b52c861a19d7a228ee3b7e3c175627791c6e15b4c4</t>
  </si>
  <si>
    <t>14318d45ee4e3a551300a9a9ff299644d09cdd2d43061d9c0ba8c4907463b945</t>
  </si>
  <si>
    <t>7886fe31caf40a655a3d082b678a9a73dc537731744c478872953c6d3e512b92</t>
  </si>
  <si>
    <t>a444813074eb73b94135d6a1979566e25251bc08e1668fbe7841b0b7d8220fde</t>
  </si>
  <si>
    <t>c37ee0af38739e61925ee87aa20fa64f421493d5a92f378f9679cbe265b7aac2</t>
  </si>
  <si>
    <t>23d4cc3bf9a03f6a69e776f836188e81c477b928a4a01e4d60457fc22bc97ab2</t>
  </si>
  <si>
    <t>bac244c4566c56476bee4354cc33a3aff2cc93e9b03ceea2d82135370c76a170</t>
  </si>
  <si>
    <t>effecb1e8f367155be87a36688622a11d2b51ddbbc72de1fc469764443f24562</t>
  </si>
  <si>
    <t>23122036e629ac75bba2f851442a582f7173a93a34c8407517f2022d3fdb390f</t>
  </si>
  <si>
    <t>4717e5020b838c70c442ffa8b331a86ab407fa644b9ca063d7d82512e442217d</t>
  </si>
  <si>
    <t>e9068e75da9a5e434227c51a10c24d69d5c425ac5678397ff0d50e9373f3a6be</t>
  </si>
  <si>
    <t>45c66eefab278c387224b18dde27344f96d449d78b83eb03d9e9af5556b17c75</t>
  </si>
  <si>
    <t>9215b2d79ddc9e3548b30741b9c0405447b09892a3af6d0c889a2511908e2d4f</t>
  </si>
  <si>
    <t>4b0ee09cd6f75fd42580e5f590839541b6904da4512fd18ec9b2e507db49c0b2</t>
  </si>
  <si>
    <t>4d3dfa7dc5900c80bc8e613da9db7cd72bfb1a0274aa36032b0a162393ebf3fe</t>
  </si>
  <si>
    <t>1c26aee8d74c51e7e1c2757ba161817f464625f93776c3210de9ec8315ea8303</t>
  </si>
  <si>
    <t>53d9118099895653ac7e3baebaab152f505e24a08ec51574cd1d8d3ba750ebe9</t>
  </si>
  <si>
    <t>a4f9b74099a638b1f536b7225724b2f7f1cab4736d159b66158a82fa82b0bbbe</t>
  </si>
  <si>
    <t>2ff543e324707035c68bb197b91291e4d4435231999dd378888554871ce63e8e</t>
  </si>
  <si>
    <t>e57b8fc45f7fcdb73d68bb7e3477f16135edefd0aeeb2857338f8cb7a22699a9</t>
  </si>
  <si>
    <t>3bed4d2042c33cba7f6258146863af68baab185aa0b2f1d87cd9c5efad857740</t>
  </si>
  <si>
    <t>1d8f15ab18c7527ab83a769560921b00b7bdea53d5555be93cf851229127d319</t>
  </si>
  <si>
    <t>da76a446f085a7f0622aaabe2a837e99330c8df4d36b7d291b9943393bb572ee</t>
  </si>
  <si>
    <t>4701525c8bd5a9202fa2e92590381045cf930a183dd2fd08e515f373abea95ff</t>
  </si>
  <si>
    <t>209f5648e9d7e91d3ad5a064a96e77f6e4a709122da312b4208e98d489715fbd</t>
  </si>
  <si>
    <t>6b1eb82860cd2d0119f408925d9a6817a0595db16fb918ba7e37c755a1123c8b</t>
  </si>
  <si>
    <t>a835c48bb0019a79e6b7f1a5f172e2c5cb02b18240597c56f575362fd60a2a29</t>
  </si>
  <si>
    <t>d231a6829725462a574892063e09016bd4b66ea54ff5bce8d6041a7ea39f7067</t>
  </si>
  <si>
    <t>SIN ACTA POR PAQUETE ENTREGADO SIN SOBRE</t>
  </si>
  <si>
    <t>0466f1b256ddf170d232ac057c50fb06a369bb81b4810d8acffa412d5d74356c</t>
  </si>
  <si>
    <t>9f831887ae5a75b744f6d2529d17cb5db583c2129e170aef489f98f7fadecb6c</t>
  </si>
  <si>
    <t>c857e3e52427467d260d4cde0a27b1fbfb2d44832721d7eaa081e51ca1e3b39c</t>
  </si>
  <si>
    <t>ee55b4fdf8169075b5f1b7b0781d19c332101cf7397f7863ce1cf0fab244b629</t>
  </si>
  <si>
    <t>5dc9b5088754b335b2e16297daba124d524c29835108a3c4ecfe9fb33299f4a5</t>
  </si>
  <si>
    <t>1c3f28db30fab08140621ad604d1f87229716b577847dd5d53b3c7c5e753010d</t>
  </si>
  <si>
    <t>9cbc7a9600112b7969f843d0aab21202a0600aaaacc2828c71eac645e7651114</t>
  </si>
  <si>
    <t>361da996289231b02c582932a2ec16e99f20a38bb672876b048025f8a04f52af</t>
  </si>
  <si>
    <t>c51a1900c3c35af8bc4634f8cc3cc323bcd46ddbe397d23639c39e844e850711</t>
  </si>
  <si>
    <t>235c2fef7eef8a233fb39b2711ff0b3c4524be8f82647bf8c65cdcfc090dd2f8</t>
  </si>
  <si>
    <t>7c0be99f40c026e3e1a97bd9cb079cd5d1d2350f88eeb9f5935e7ed9cdc82d87</t>
  </si>
  <si>
    <t>23eafd7514ac24ed478522fcca27a0b39abe53a40cd65ed602a077d31efc4173</t>
  </si>
  <si>
    <t>2dbca9877f27eefc4e10e1cc199adec4cfa305a3af9d62eaddbc48ae86c89b12</t>
  </si>
  <si>
    <t>2cbac72920544c1ba0851f1400b3c8dc1a0b668bfaab9e75b78a5b89ccc28835</t>
  </si>
  <si>
    <t>87f3be37827a37d0bbbeb79f91412daa29356cdcea8a09218876899afc3569af</t>
  </si>
  <si>
    <t>452472ff34d5744768cdcfb680c92de1f2cf1cc695cb367589247e2ba883dede</t>
  </si>
  <si>
    <t>3467ed7092d38a57c8df3ad6540086c5f5a2474bdd25f0f892749203daab7b94</t>
  </si>
  <si>
    <t>99ffdc1526e27eff3b34040379974657d56bf4e644e410be8538e5bcc95f43a5</t>
  </si>
  <si>
    <t>99de346a8037a9b7802ef985ab56c5a5533b431f7f1aec57cbddb63a315ec31e</t>
  </si>
  <si>
    <t>b7f12d458ff9b44e9087e1996e7bde3b570b11b7023010b2a1e71ea34efe27f5</t>
  </si>
  <si>
    <t>307ea014f9e269d5491707fcc5e58e960d664ffb6752097e48c07b7de64f5f0d</t>
  </si>
  <si>
    <t>8f37bea7c4b0bc3bb03f49144f7d84ecead70bf4129791b20dd332d07575dd17</t>
  </si>
  <si>
    <t>1b175d256ab2953b6adde0eaf4cfb9b2d065e6cdba98bf8e87498cc500f79c06</t>
  </si>
  <si>
    <t>dd2f65a3bfccd80049539f7157c03e590975dd63c7e6b5a72c7ed666ee4775d9</t>
  </si>
  <si>
    <t>5552c7375c0fd404d3697774214b84fe2b7aa19aed2bdd3fb415230f66673f88</t>
  </si>
  <si>
    <t>7393eb7656ed2118ed7120de88f0931189a9619b612d0fe9143126f57014cc18</t>
  </si>
  <si>
    <t>46661206b43d0ff7058b8da95a1b0f6652975d74feccfe303c28064c1dcafb9c</t>
  </si>
  <si>
    <t>cbead0af3a584abb70d00930729e9f91bad9500e27c4f261de8b629e466b7c1d</t>
  </si>
  <si>
    <t>8f41eb070a5496d125c664740f2a2d7c593434f16f46f5e1f2e85aae450f403e</t>
  </si>
  <si>
    <t>402289e5e215dcdd47f116cc787c17e85ff20b6f51b0490e009d70bf1e72d005</t>
  </si>
  <si>
    <t>2d47d3557cb13bbf2b654f1958a11b043cd3ab4604b30ca0a12d792bce84f0ec</t>
  </si>
  <si>
    <t>c4f14649c58b20aeb61767f57cbf76975b21bdfd0d81515ebffa3d95b3ad73bf</t>
  </si>
  <si>
    <t>d7b09f4e136fdaa002cde7dbc01b12438d04b1bd7a75117abd872424f386d9a4</t>
  </si>
  <si>
    <t>1c21018a76924767aebe04e23dbe1c7a4483ade16541ccc17288e1a30ca0434c</t>
  </si>
  <si>
    <t>a620765870788aecec8139bcb632a34cccd1bc96b971e3a3507410eff650fffb</t>
  </si>
  <si>
    <t>e09f3c991c9bdb1023c1dd5beb9608ce301826676d808706891e8a94080f9afc</t>
  </si>
  <si>
    <t>b144ca05e56b8b8acd42a746e1cf7bbd95f3be54e75c34afc35ea1a23e1fed37</t>
  </si>
  <si>
    <t>2d63c58d8e2859f72053e398e1467fd2332767bc86e687b02e64bf43a1f15eb0</t>
  </si>
  <si>
    <t>1c8aff4cde34a7c453b009034dac7e2130d629f6a3b7c5a3b0c7ae764808222a</t>
  </si>
  <si>
    <t>46853d12b0c8d15a70423c391790134c4f633ffb002028476760fec03cc73f10</t>
  </si>
  <si>
    <t>62b2ea47f98932649a30491d4dcbd27243376426a48b89993bc188da788198a7</t>
  </si>
  <si>
    <t>1ec191682cd31091a8dd0b4ec31a51d9d1677e4ac5d79e394ea7caed5d2cd4aa</t>
  </si>
  <si>
    <t>7ffa832c5211765ca09502f15e67075cabcc790d4fa7f24bd057cdc928c30e5a</t>
  </si>
  <si>
    <t>35c7b7f57d201e2330f336f1d9220d9c782d61d35e2b61e432daa3643eaf931a</t>
  </si>
  <si>
    <t>08c6c7c40affe39a83d7539308cc3c12c556b9a6a71084421562e8ac7c606a43</t>
  </si>
  <si>
    <t>c6db4b41dcf15904e43c166bcddbecf8f95b30e15c85134dd6cf3426386ff6ad</t>
  </si>
  <si>
    <t>0eeda81735de11ed6e23ac8e45edbd2b1f750db0ada826085f7fe362042a27e5</t>
  </si>
  <si>
    <t>bc296955a4a6c3513cf3ea616a753022dae8f8e842c8e9cf1b451124d1c9c5ac</t>
  </si>
  <si>
    <t>e74d192ad8c8792bfeb26a65ffcbce6ba816ef89fccfbaa4c02e00accbaa58b2</t>
  </si>
  <si>
    <t>ff84dda2b2192feace73bf1e448516d93eab059f32593a08bc8599aa0fb12a0a</t>
  </si>
  <si>
    <t>171f857d7fb1b8bb602ea8fb9bb483e14d9c46473043ec44324bcbff74e5da74</t>
  </si>
  <si>
    <t>8ac010e312d46a57298496f854faa099ab1727cf527fd774c29fbf48507c519f</t>
  </si>
  <si>
    <t>076f9704fe0705a224ee6487ca9ed7a637778dc4b0882a85a33cd3e600f4c5c0</t>
  </si>
  <si>
    <t>3dccd88ec74342940847dc776ec2d33bbc647c45ad3ab7f005b40861c7e59582</t>
  </si>
  <si>
    <t>6e5703965bfa0aec3cf31be92760ed8e7ddd23da3f153693a2628a1267593082</t>
  </si>
  <si>
    <t>86145aeab357dea59441e41c7eb3e8ae19644ef4063911aeaee9140697cf5bea</t>
  </si>
  <si>
    <t>580d0454b7aadb1de84fb326a198a83ca80984cb96170371b0300ef765a3bded</t>
  </si>
  <si>
    <t>ac189166da1a79295454118a2c0e4b9e98deb8d72e2b3ea297ed244dbb199613</t>
  </si>
  <si>
    <t>87b171751aea2964686500242e39c0516a2f89eb656fbda4f3ce02a09b2f77a8</t>
  </si>
  <si>
    <t>a5e5b69bd803fe63dd2f3d88eb0c0ae29608081b5213003403b2e654e4bed1fe</t>
  </si>
  <si>
    <t>caf2eff5184a5b03053a68d64de5d7c38a11942ecd98403eceea33621c2e89bc</t>
  </si>
  <si>
    <t>3a9cc4285d516ab219de628b5455856349382d9090fd82c56db2a95eadbbf7fd</t>
  </si>
  <si>
    <t>c6121ca1ff87a7d95373e52914f9b4e766173b2ce86a20c5b5a0e24fbe79a538</t>
  </si>
  <si>
    <t>78c1420b2d8a662f9b629450d784d0d1b722f015fc8d861127a81bcbcb96a524</t>
  </si>
  <si>
    <t>f67b06a8a6337f7cefd4287b3498aee84891655f0e40ec6d0f9b56cf57ab5ef0</t>
  </si>
  <si>
    <t>07ba6b9b9d5fe33ec407150f56b373beb8d2c051820e527d8e8158710aa16cd9</t>
  </si>
  <si>
    <t>872ef069ee0d6a71b64783d5d09627c97b193d67f119f303354f08d1618addf8</t>
  </si>
  <si>
    <t>782e1f9ec219180d26abfd790f2705ba6219e5702e126495c6104c9c291c01cd</t>
  </si>
  <si>
    <t>6c43e44dd01d7d55ac0dbdf716825bbcad2cfba075d664907f77da21b1e99230</t>
  </si>
  <si>
    <t>a39f2dabd87ae1b7d8ad9a312e1e5adcdf8908168cfa79a032b6a5eb17ab189b</t>
  </si>
  <si>
    <t>c18ff5e3c9dfb506f2f57307cebf4c96ecf64f239e4d402296d2ac692f756510</t>
  </si>
  <si>
    <t>3dd76c91a7aaa307a89b11edaaf4fa07cca077ae37a655f2034cda9183105255</t>
  </si>
  <si>
    <t>8b0be478bab033d9fb5bd580122193e9bf2ed36a9facff8b8b881b589df6544b</t>
  </si>
  <si>
    <t>40519925a492b22d9289ed00209072a48c9f36ba7138f870497389cdb3e64550</t>
  </si>
  <si>
    <t>c9c8088948ae2d5d0085fbad6eef81e6cc4840b2efaf3c0bbf9744c1b7ff58c0</t>
  </si>
  <si>
    <t>15f7b6c42629e796f4fa1ade6f74acb60fdcb6657f79265e81789573e9cc59dc</t>
  </si>
  <si>
    <t>736935e9e5d70b228765b2b9b04d554014db832af7cc43a45e8e25eeed91dd74</t>
  </si>
  <si>
    <t>342ca577cb21d097b25e80935ccc732765790b41c882c058efe54a9b2ad82ec8</t>
  </si>
  <si>
    <t>3212a5a4a604f4e0ee52b7717799c09ae70412c12103a5e66bb25cfe875b8872</t>
  </si>
  <si>
    <t>e5a328309783e037c715ba687af5e536ad449c17adc41297ec20b626adb2547c</t>
  </si>
  <si>
    <t>78f65f4b27244dc58165f19395676e6e215f27acd2ea3b5dd5950fec71350e64</t>
  </si>
  <si>
    <t>4fbb90978bcf2ec77d9c77ddccfb93dcbe0eebca0c9906bc9c5b3c0afa46ecd7</t>
  </si>
  <si>
    <t>f62fdb54eb14936d809bbac811225243b643ebe8364ff8bbb29bd06289fef321</t>
  </si>
  <si>
    <t>4320d2f791ec320050ddede6cd8da0c92624dee6b3c6c7bd482e40890c0e68b0</t>
  </si>
  <si>
    <t>13c005e67e481050789fd16c54e4256137568ae90e0b57abd8a7ed2b3333a0e3</t>
  </si>
  <si>
    <t>e5c0aaa16f66dd62b272bf71669dce0556b8aa564218f20bc7efea3d881fa5d0</t>
  </si>
  <si>
    <t>04618cb4fb7abeec1ae88976adc53661360397e65525d2f31ec224239161e2c5</t>
  </si>
  <si>
    <t>bf3407e568fe1116b831b21c2f13e5c190ddbaed1a34166bf43d6e380f65098f</t>
  </si>
  <si>
    <t>60ba2b825f95fca1d6eacc4f91bffba0f5a9bd647b74df2f0a0b9dd0e7d57df7</t>
  </si>
  <si>
    <t>56a2125611c41dc9d776d09657e52cda436ec5576991aebb6497d9830dda460f</t>
  </si>
  <si>
    <t>eee7906a9ecead21dd5d0af80a95b91fa39a3e0b1531daaf0b8b132d539c126b</t>
  </si>
  <si>
    <t>1e373f62c6a7c40bb0b915aad26bb6075ba6be8e0d8a701fe6a684124a95e839</t>
  </si>
  <si>
    <t>4baa7c2ddeccd213affabf8afea3c245be9d2933a4f22b255b3024d8bb5daabf</t>
  </si>
  <si>
    <t>bf362d2f30a91de11f9e1f6379a1e8b00f2786274eea29dc3faa0d17d2184105</t>
  </si>
  <si>
    <t>6c310c78dca9e044c8ae25bb4111c089ff9e324578f00b3e353fe7873ad2a51d</t>
  </si>
  <si>
    <t>6b5371cf3d926ebb14ec18a3b4626e4a28351f5a7c8d2048633ae1334d6edb00</t>
  </si>
  <si>
    <t>7eeea32545f9741349c74cd16221f4fd3b59b364041fb573e96979e34456ace3</t>
  </si>
  <si>
    <t>91b40dfb5e425829499ef037281f06e066e6bfdf61af09432decf2629b8f36c6</t>
  </si>
  <si>
    <t>91069e84d7beb5439352214c43bf875abc06bff7c5abe82a5d4cc85cfdb5612a</t>
  </si>
  <si>
    <t>830301d73ac3b82096803b74a77cc3999e5cb140d4ea02483cf7cea7f76e1332</t>
  </si>
  <si>
    <t>0362eeb9d2cc0792c4ab489a4cb96cd10abc8058cbf52958a7f3c3f3ea5ddb52</t>
  </si>
  <si>
    <t>EXCEDE LISTA NOMINAL</t>
  </si>
  <si>
    <t>1f6c249e30c74ba75ac90277e0116fa372549f908bee5d2697c0ab8dca908bac</t>
  </si>
  <si>
    <t>20a9629a093a984ab6b213e1bcc3c14e9f055efda069d4fe0f2e19a1ae45e660</t>
  </si>
  <si>
    <t>1fc80d5a95321208ee4dd4a2418fb12444bb636fc6f19b5055b58ee4f1d0a1cc</t>
  </si>
  <si>
    <t>10f86a5f834aacf622156f3991543fba0aad728afd411a75e89ffe748949ebe4</t>
  </si>
  <si>
    <t>1b48a93c7cbc8331c86a8484047efc777e6986b27c945c1caaeb729823e958c5</t>
  </si>
  <si>
    <t>526b1431b1208c388ae8afa4bbc2a128f97c88b4264c045b565ff42e474956d0</t>
  </si>
  <si>
    <t>406f01ed6c00f89710c66408372b47ecbcbd71309adf8668c7d496dff2434497</t>
  </si>
  <si>
    <t>9bafc7cc6a419fd39adba82a9493e4a8154c91da475fa056e7b3702ffe93e752</t>
  </si>
  <si>
    <t>13fbd89ed978e28ea74ebb0603356990666833245997c60a37fa4599c984f99a</t>
  </si>
  <si>
    <t>61975840950f9e85fb8a514b18802544543bd6795b50baefcc98aef49d2d3bf3</t>
  </si>
  <si>
    <t>047dcba4273b6fb7410c7dee2031d1ca91ade757a4612c85d7a248d6619bd898</t>
  </si>
  <si>
    <t>b6a107be959c3a0aadea35bef1e3a4bec66c1d73168396f1a1ee07106fdf17e2</t>
  </si>
  <si>
    <t>79363011c6e41ce305c15956b229ffe90a783467fdd4c3772160e6bdf2c0615d</t>
  </si>
  <si>
    <t>596a3736e26718424020d0d094ff6f0f95c687e1d979ea16cd161f9f292c6396</t>
  </si>
  <si>
    <t>817a74c0e1532cf1e89603417c99d9cc1ef6eabe6cca42c7a9b06b31e6e898a2</t>
  </si>
  <si>
    <t>ef234c60f3bf042007f984f3789fbb27c6edfb118c5460c434ca6e76a31fdefd</t>
  </si>
  <si>
    <t>68034618fd1ef5a5d67466c8583ce44222bb4e413029d6c2aa91d518a2226b5c</t>
  </si>
  <si>
    <t>a1f7134281bb1c75f7aef684750560855858a13ea77e9050c6275a504234ed7d</t>
  </si>
  <si>
    <t>89a50e45d6adec3850f64e5d5e7bb3e882fee590da3f1a5033fa154dcc9ee901</t>
  </si>
  <si>
    <t>493c3e444508cc1ace4aa5b7bf6abb6da4633fc47f10042c6c73ab8769c2b536</t>
  </si>
  <si>
    <t>190e25b5e7fb0cf31e0e6803a59aacf2ea565eae0c53c013ca78b608cd9132e2</t>
  </si>
  <si>
    <t>094f1c59f3bd676b618e33005c92ab1758cfeb4450edb1e14276cb1b86d80b3d</t>
  </si>
  <si>
    <t>bd5ba76ff09798d6a6540a683e542fd16c6f7ef1b9928fca31b1f24f85d342f7</t>
  </si>
  <si>
    <t>CASILLA</t>
  </si>
  <si>
    <t>MOVIL</t>
  </si>
  <si>
    <t>3c85befad98d853752657c0dd45b4bcd0aac4b974d4ab24a4459c4861dea396d</t>
  </si>
  <si>
    <t>18a510b99c854c7202dd60b53f02d8f29b2f8ddb19ceff7917a9d5b8dac0dfc8</t>
  </si>
  <si>
    <t>707733fd428bb9a7fff30c82f2b7555ff32455b28fe3534d83a820b151fc5ca4</t>
  </si>
  <si>
    <t>fb42b9fe8140fb2283b5c5bd33153005929474fe450bc58caa2222173431ad72</t>
  </si>
  <si>
    <t>e88ce904acf988ed015db7c78e668f30a90f49e34796b9bf7852d91a07e8bbf0</t>
  </si>
  <si>
    <t>da5c61c307e80ca7f1a6d50af5dd5499c6759059418046ffc0c6e2e6af246c2c</t>
  </si>
  <si>
    <t>29e94fbd5d6afcdd42d5f0017fbd1b87ea3967c8bf0e01e6565bca41623d4f3e</t>
  </si>
  <si>
    <t>f9b734413ba9a2f9b864e5b782cf89f697b6f22c83e0c7520841879fafacc1d1</t>
  </si>
  <si>
    <t>903ce133a3ac79f11a38b59b6d90f6aa94c1018be76f39f69a064d151491e3b7</t>
  </si>
  <si>
    <t>6f8aa2df97414e210abb8bf3ac5ad4be2ab09ba42b6d8974e7e1a4e654cdd601</t>
  </si>
  <si>
    <t>fdc1f37a432a800bf4329be397c2a3e29f5c74b194e1d120edb6d192172b9bfa</t>
  </si>
  <si>
    <t>f142243113bbb1dac919f8e4f463e96540669b55c64c32a0fe5daa7be291aefa</t>
  </si>
  <si>
    <t>198a6c9a08eb782b4944004a788850b193730ac7ec8307c007b362aa140efc78</t>
  </si>
  <si>
    <t>c241d2fc326442ef901a9b8514ce343344b1a58135afc4c99400dc953ee1056c</t>
  </si>
  <si>
    <t>1453977373e4fb40aeefd46a188d50ecf55858564ebc5ca2d1f6c2f86774b206</t>
  </si>
  <si>
    <t>5eb263471132e4e9a595c361b8e60fede7b3917627c2e14ac5e5c20a58b0f02d</t>
  </si>
  <si>
    <t>3b160d2643b79157f35ab5b58ec5047e6c1985e88e702e8e729dd76dea1a131e</t>
  </si>
  <si>
    <t>e677932ba8b306267dd75dd09312ff433ed1eaeb49717ad5f69bb36a2b724503</t>
  </si>
  <si>
    <t>d9cf6f04fb1a8be7832d8992df5f669ef2346d936d083ed85f376429a595b94c</t>
  </si>
  <si>
    <t>01cbd7106016933b558f86b4970e7d9a01d9ddac184eab65645200758e323c07</t>
  </si>
  <si>
    <t>180c8db29c4e3cb06699776ac225f739d8f75288caa6c669621e97b27a2cb982</t>
  </si>
  <si>
    <t>5210233490fb54e837d027692d16cbb04931fb003e1da11b348b328cb34424c4</t>
  </si>
  <si>
    <t>d7c249bdc95b40fceba1eddd92590b4ca57be8fbb6f5c5bfb8616abd4d773b54</t>
  </si>
  <si>
    <t>59e4826786daa06687e556a7f11b10ef8087b329fbdf1ecde09619338e03eaf0</t>
  </si>
  <si>
    <t>09c010fe29ca048205fe549598f124cba8af4b26dc9a2f7d414d01ff9f74a158</t>
  </si>
  <si>
    <t>1c08e07875fa112c4aa3848cf0cc313af8de71580d9611be98a8c6e97bf8d2e5</t>
  </si>
  <si>
    <t>9e8fb9f2cd1d996a0825024e53e56d8a11cca3c4bb6aa34657c5ba75c04e3da1</t>
  </si>
  <si>
    <t>b405513384935051018a52e8c022f639346162334ab941dd8ab9f78d4e86b00f</t>
  </si>
  <si>
    <t>5dc6bda8f4e564676342c0e68d33b7eefc4389634517ea25ba38ce56e193bbc0</t>
  </si>
  <si>
    <t>93c738c3f43c83242bc4cf7ee5150291227ae7acd5e38ecf89db3797e9584e4c</t>
  </si>
  <si>
    <t>25ca2930ffabd97a30222d78f1bed6ec90800c43d8e9aa88f80c58db61660339</t>
  </si>
  <si>
    <t>49f0ab6d90233f2a1f14be5803fa92f2644ced5b84331e8032ade046e9524c5d</t>
  </si>
  <si>
    <t>5e11234213b8435698536e8989994c621727d83e418897d8dada4d66bfd34a4c</t>
  </si>
  <si>
    <t>3c1a18fb1a2669fe249d8b7f31909b5057321344abc50062fe64c4cef73a98e6</t>
  </si>
  <si>
    <t>d35a00b5be44786a52cdef503a284e7729602fe96f4a0eaf4104c4985bdd6a82</t>
  </si>
  <si>
    <t>eed6f772b6add29f4dcd12399f7b28a9d34beef2ceb8867baac5718c05e82b82</t>
  </si>
  <si>
    <t>09bd74315d4eca43ca64049d36fb54432ffee47b0c328f0bf134f1dd59603b76</t>
  </si>
  <si>
    <t>cefdbdc3d84360a6a5243b644256fb4543810843de37bd21ba115b5adc3ac574</t>
  </si>
  <si>
    <t>a2fc4ab021b65375b6d2728b78d00ef8767086d784da3b9a5e98eac5c2133aef</t>
  </si>
  <si>
    <t>12c53ac5ebddadd543d271afca592da0494bccd469d148944a5c38a6d9a43b16</t>
  </si>
  <si>
    <t>SAN JUAN BAUTISTA TUXTEPEC</t>
  </si>
  <si>
    <t>571f39988cb241714c970045274e3950320c8e1ebf62719f762430fcfd122943</t>
  </si>
  <si>
    <t>3db2297b8c331fb92bcc62e136d10d9ec91e942fc86de7156e63d3924c7b3632</t>
  </si>
  <si>
    <t>6298b307dfe39041e84ec34195eb5e721da61aa9548e4a88a0948683b6a04eac</t>
  </si>
  <si>
    <t>05f9adcb21f5dcbee949b6b08c3bb0ed6562ca8bfb69cc1fb4a2493e36df26cb</t>
  </si>
  <si>
    <t>84bffb4a06d07ab8ca260d5c637e1f6f45807051d160983bb04ce80565beb642</t>
  </si>
  <si>
    <t>e2bab2aeca90e2fcaaa7a9c20d86edaf271c076eb6b645578ec97fb33478a50d</t>
  </si>
  <si>
    <t>30d06f4952dc40014425466e6d80ff5eb16b4c36c8d413844311de2c8595801c</t>
  </si>
  <si>
    <t>36e74742653dea2dcbfe2c25ba231206c6cc33628fe53f3fa82777e2f90e533d</t>
  </si>
  <si>
    <t>047af5b8da1824e919323fea00d21f496a1a75c478f30c7ffd7e8916da9afef4</t>
  </si>
  <si>
    <t>75e86815e097a3f5a222b09f43791abe7644717860f7ab2f9d708f5355548a8d</t>
  </si>
  <si>
    <t>2a4b5204e3a381b5f0fb976e086e68b84c5187211683834f7c3f188d8f82207f</t>
  </si>
  <si>
    <t>edd059fec5ddc80340831cdb8312e52a676fd03cd0063e32f0bf2ce3cea5ca18</t>
  </si>
  <si>
    <t>c8b656cdc26ed57526ad0b441f571673ac536473559bd7fcf2d8d751d606d32e</t>
  </si>
  <si>
    <t>e82480df618d91f92d5ac8e96c031d8056ec2e9b500b5a02ff2c7adacbcbe5b1</t>
  </si>
  <si>
    <t>cecd45010d05a63979e526b6b9ebaf126c1612211436aba7b05a7bb52ec4195a</t>
  </si>
  <si>
    <t>67549c9d6694089b4f4752d93ca94401f170df54684ccbb12a5ffb8ac6762a22</t>
  </si>
  <si>
    <t>72fc87a298e439d2566a4964ccfce66d3c23c389eca078848e5aa865b3838d14</t>
  </si>
  <si>
    <t>9e1301eb65833849382181e80b9920fb34811d0507f3789fcd7557cc3c8616e3</t>
  </si>
  <si>
    <t>16b2a8b388e8d1ed024a6ba67e23ca70c956093dd7adb96a59513f6dfdaac42b</t>
  </si>
  <si>
    <t>f17fd4d51c3eb19c5f2a9471c1e1b16d9fc4f30b58a11b4307bd719560ea4029</t>
  </si>
  <si>
    <t>9f99a2fc36679e15b65279029d3bfabf51bb0f802057b1817d8071abfde3d8da</t>
  </si>
  <si>
    <t>227d38ef5aa351eae7237ef258c1266d81aaace75599f5ff4e020dd57ba63363</t>
  </si>
  <si>
    <t>4b292641d7553b32ff2739d553f5ae55e4145427135cd8fba1bf1cdcdb725007</t>
  </si>
  <si>
    <t>5926be9b12d5d784d6f733956161c6598d74d7b89add82abfb0efdab1218d923</t>
  </si>
  <si>
    <t>069c299ff8a3f2e72e8273bf14efe30f6bca46fe14876e7eabd0d3b0044892e6</t>
  </si>
  <si>
    <t>bca150d3fa274fe487a7422692bbdd34473b5ce93eb099c6da0ea859f3ef776f</t>
  </si>
  <si>
    <t>332ee380a225f18ac65dda3af7c28d8a4a88042e7579bdd079e09d1800dcc334</t>
  </si>
  <si>
    <t>a37f6c2499f46d9c79dae0bd597ec10805035257e0e61c7210ee9b35a8ec9187</t>
  </si>
  <si>
    <t>ad3616813cd3fb57d7c55190d0a16288d58a49794330e0928000f303c7894212</t>
  </si>
  <si>
    <t>80f1c207b5187abe50eb405602b614e2c1f27e7c48a69828ba91e238c05d9409</t>
  </si>
  <si>
    <t>009cd0400627325d1df97adb8ff36063e99b02059af6b325d8b622a5b8164f62</t>
  </si>
  <si>
    <t>4da818fa26b09ec49b9e9eb89ce56a91da484c82b084f73fed9ed82cb7d896c2</t>
  </si>
  <si>
    <t>a53eeb90cac33f57d7ee32ca36092ed6d87c715d7453d532568f5f88fca27373</t>
  </si>
  <si>
    <t>e33f0b5ab2ca52b67efa810a574ac72714a32766adafe1f758664d6c7d7865fa</t>
  </si>
  <si>
    <t>0bef751b2d84016e6ec28ee098aeaa254d8b0320696c23c6d69c68633fafb31c</t>
  </si>
  <si>
    <t>CC</t>
  </si>
  <si>
    <t>ef875d7c33857fb016412347579add9e76c4132e397484426027a14191422d33</t>
  </si>
  <si>
    <t>dc9bf71fccb97fe56838046b852904396c1951f52c60ddf28f29b67858ce73f0</t>
  </si>
  <si>
    <t>88125ec564e590b8a9d1558849f04663d6ca83562f8eb3d40a7a7b05cb86fa3c</t>
  </si>
  <si>
    <t>0a0f505973d963b6d53059292ab7d4de40a0ef2e6d13a027b2d8d1b304d5f945</t>
  </si>
  <si>
    <t>SIN ACTA POR PAQUETE NO ENTREGADO</t>
  </si>
  <si>
    <t>c08a52eb10a3790bdd63d8b1fad48d5b91a41aa90b0b31edd7d5a1a0cc127176</t>
  </si>
  <si>
    <t>ac337e0c10bc4fd4da5fd5c847edb70826d8df6282f8f4cedcb957a194a22d6d</t>
  </si>
  <si>
    <t>2d60f6f48c7f0da024005ea4fa6f6e422d3c5ba1c7994933342afda353091895</t>
  </si>
  <si>
    <t>a7a531a6a5bc4c502d1bb2f40be0b591ad57e74641e5631053a5c113e302194d</t>
  </si>
  <si>
    <t>2ea302821b9a0942286f5879a643c22cab3571428716767084653b92c56be819</t>
  </si>
  <si>
    <t>5d9ff73f24bb0f3fe7fad12e72b62de9e03820dd5e83564c58f226a7f595adc8</t>
  </si>
  <si>
    <t>48be0321892aecbc946a50e9a6c3d59291f9c159528dcf94551283d283188193</t>
  </si>
  <si>
    <t>b509f6517a029867e6b597db81b9ab8794b76c3195776660a237912d5a62e2e3</t>
  </si>
  <si>
    <t>792585a068e65d53b0cc4c2c1f7b0a8b194240d40d20d9558aa8717f7599af38</t>
  </si>
  <si>
    <t>49a0089fcc1fd859d68c4b9c9b9617d78bff63a0bcfae8e97ea89f096899cfbe</t>
  </si>
  <si>
    <t>53feec61511f53df32669b0ac6d67b56381d32e803b384e3189d0176962b416e</t>
  </si>
  <si>
    <t>043c361474c369f4290b34f4d21e03692f6cbc05c4405642f3837750085d0777</t>
  </si>
  <si>
    <t>f6e66f6433bc762fdb9f94a2b2aa3e2c1cbf5c1bfb7373530b1726aa08712706</t>
  </si>
  <si>
    <t>aef9f1d2082f3a3f4af11a203ca7de3c74a87d3e27b71c3c7a4af03fa2faf3d3</t>
  </si>
  <si>
    <t>d3ae87eb528f3ead17b9e81ea85c5704968c414b4313eebfcbca11976571c252</t>
  </si>
  <si>
    <t>6467fdb6e3f94d73ea5d07e05c63c74c98b692b1dd750b9ec23d9c9292914bae</t>
  </si>
  <si>
    <t>bd5fdcfebcc83f9a72b50c8a16ae9b6c527deb57dade65c6a9e543ed5f45f16d</t>
  </si>
  <si>
    <t>70c86358d220899453bca6a72f41285ad3969a5328325c302318e273f6169506</t>
  </si>
  <si>
    <t>5a13b42490ebfed8288ec483afc1ad71c28410a6c02473aecb7bb08603faa3d0</t>
  </si>
  <si>
    <t>6580bc966500ee89ce9b59345d7d92398b15be77c06010055dbe4bccfd88f05b</t>
  </si>
  <si>
    <t>23520f854bf3284864648ca8b9977d4b88accac44416199dca9f001ab953145e</t>
  </si>
  <si>
    <t>75395d37d815b79ec663d26f803969573556f44987c9d6c5755b1a783e703e76</t>
  </si>
  <si>
    <t>33b0bd5680e116c211d779d54f6d555a0a19c479d35ac9ac05860f7930d34426</t>
  </si>
  <si>
    <t>13ff63e41164afb239b1a0064d42fbd836b3801d5003987a047b6efc001d79ba</t>
  </si>
  <si>
    <t>d7b59cff5df248b9f7ab1ad9d3620837894fb5cb4c51218ef879c8814a6d0254</t>
  </si>
  <si>
    <t>9264b5e13eeb84882cc9469876d3f53e446d8339ce4559509d4a1adb41b2c44d</t>
  </si>
  <si>
    <t>21b0b6dccaaa2cde85cde0bff874800831a2befdbf6eb6c55c372460b9c56ac9</t>
  </si>
  <si>
    <t>eb5e8b1a6aa7021c87135093888ae9b8e8dbbee39c6ea6cfc1697d6532a64d25</t>
  </si>
  <si>
    <t>50a8f300964d037a70049940eb4738fe7fd78b7498eb8b28182f206c4e547900</t>
  </si>
  <si>
    <t>fb0264bdfe46f1ff55431e1aec5a1fc8d43075c97556e502c08745c64706c651</t>
  </si>
  <si>
    <t>4f7fa67b4e29adb90f32a34dcb41ece71c695cd326731f91c87e6eea082e7281</t>
  </si>
  <si>
    <t>f24a313481c7becd150d1378a65cccdb3e210f3d671d6a0aadd11cf340caa262</t>
  </si>
  <si>
    <t>5511242321bc0bb653d11bf45da08fdd4700dd7334bf2a9016ddd81513a4e22d</t>
  </si>
  <si>
    <t>746b2eb4e66a7f7bfc1afd510e80daa63077499c435b10f8a7d40a4e6e1af10b</t>
  </si>
  <si>
    <t>5928abbcc3da06e802b44facee373f3804affe298cbe502c94faa47ee0414024</t>
  </si>
  <si>
    <t>6ea0bfb9670ca015fdd62b4f4388b3305758a4d4a2129d6af1a36348367f2275</t>
  </si>
  <si>
    <t>d66a4b54768645799e71eaf2492d1a95b7a092d773be5ed24309ee9a155a77c7</t>
  </si>
  <si>
    <t>501be39f84571aa01a3988dfcaaaebdd7b2760a36bea619b9b823279967f2f6f</t>
  </si>
  <si>
    <t>f33df17683b31cbdcdfcf60b28380f3e76e11adee61fca8b4316d8dd13962ecd</t>
  </si>
  <si>
    <t>TODOS ILEGIBLES O SIN DATO</t>
  </si>
  <si>
    <t>a7e14c3389b6f9f5f3cd86ba910d4be5cb3c19f182983dbc82d18dd1698103f6</t>
  </si>
  <si>
    <t>ad8299fae0a0a703acade07c410bab4617676b84f6a92511a87a057eff0a973c</t>
  </si>
  <si>
    <t>b4e52cbea8f87b7e318bd888c6d45f12771ece82a07170c51f4931d920506ba7</t>
  </si>
  <si>
    <t>c0cff2990ca67c13d51faeb9fe3b6209da53003c310b904653cffeb01c8e2846</t>
  </si>
  <si>
    <t>30443deb3ce890ff0027fc73bc2ae8248f8faa8bda68ca29ea3467df9375f6c5</t>
  </si>
  <si>
    <t>a644f2a10b09a445323cdcd638a390c2873d847cdbdee9b6c89d3098c514171b</t>
  </si>
  <si>
    <t>697764db5a1cb3ad7dbc156049238e2b3e38242abd5805fd253ddd3954642fd1</t>
  </si>
  <si>
    <t>9738ce336626ea7dfe22cd071ee0cab5e8fcdd8a1da2d5e0a1b7b754515f6f18</t>
  </si>
  <si>
    <t>02f5bd82f8b720deaefa878dcb5aa49afe5ef424c8c90df817dffc6820879638</t>
  </si>
  <si>
    <t>e18a625edd0ff11f09526a3644426531648d63d5bc7713edaef19f4d560d77fa</t>
  </si>
  <si>
    <t>fbaab60395af6a36f51e76fb05507c31a962c28895074f63fad7306a69513592</t>
  </si>
  <si>
    <t>95755a5f2705adfc76a97a6dd1ec0f565be8d6abb5ba668584ba84872407d649</t>
  </si>
  <si>
    <t>a2fc390ded32146c402380284938ad57d61a2a008fd4eea8437faf04b5f151c5</t>
  </si>
  <si>
    <t>4478aee28e8a82339e31563482667560fbc0991434f0686140cc5e57efc00d30</t>
  </si>
  <si>
    <t>932d73331effc70f4c572e51f2acad7fef6f530a05bc5624bf3b4d8fe9781801</t>
  </si>
  <si>
    <t>db47c06d8e294a85be38d4dc831230eda609ca83b03708fe1ad35a9d11ea72a4</t>
  </si>
  <si>
    <t>3b2f2ed07c1b951e0bc896408f7ecc9ef34b664e7052e06f3643ccc602c3c200</t>
  </si>
  <si>
    <t>52b8249b5227957f64abc28a00a1d4d70ce2e7abd286e3c329627582f467eef0</t>
  </si>
  <si>
    <t>5d6fe8d73d39a7b2a5c60203bf81e72d55db5e08c941159479eb1c1c75578cbc</t>
  </si>
  <si>
    <t>c5bb102621199d1ae11a284683cbdf6965600c463bb7fd09585813017ccd75d8</t>
  </si>
  <si>
    <t>79a038060d138226163345c71183244e66af5d48265ca3330bfdd786faa894b6</t>
  </si>
  <si>
    <t>bf95826da433fc59518c95d06a79da39eeddfb2ce3f64a8ce9b8ef231dc1a822</t>
  </si>
  <si>
    <t>f14b4bd25af5ace1393b6a8df2c71df302793ef244a2c9eab3e3f6dcc3b4e4ee</t>
  </si>
  <si>
    <t>c0babb0161b9318da50a56ad55e8ce7baf346ace8017a1bf8c1bc17e90a8883f</t>
  </si>
  <si>
    <t>d1160f75bb031d88b409972ea91d5ada593c52f950720f8cda95a3a5ed1ea1b9</t>
  </si>
  <si>
    <t>7e77a17f8f808cbc1bf1772eb1487d229b26896a325938183c0a19b5e7bee4b1</t>
  </si>
  <si>
    <t>77da5b015679f89c9a72e75c3dad32359dcb18d59d99584364cc895415ad543d</t>
  </si>
  <si>
    <t>087e536e843b1173b42d238ce629444cd866cdf363866caa0bc3cbf6e6217af7</t>
  </si>
  <si>
    <t>6210a5519a2fde977c27b8dedaf1b06fcf14059f55ef94c5985328add4fc4e06</t>
  </si>
  <si>
    <t>bb4735d82a9d5b89a04b2b9510ca6681d3df56cff65f3cb121aeaec0ec5e2e87</t>
  </si>
  <si>
    <t>b78801b359f97bab1cde256bcbd0e600940ea403da0f882a2a8e6ebe6c0c8a0c</t>
  </si>
  <si>
    <t>a5525ef9de754cef69edd93bdab89977cf6843e31ccda5253964c0084bdf3441</t>
  </si>
  <si>
    <t>10260fb27dd351756f870d83416ebf9041f5c99851867a4e6776f5a01bf4f8c5</t>
  </si>
  <si>
    <t>b328c249ee936729443472bf4955977b3e997fde4f9bcf5bf8866c8803c31f2b</t>
  </si>
  <si>
    <t>5282c54040f25f2ceb7225cf9beace0390903e3f47fa811df3da8bd17fc54629</t>
  </si>
  <si>
    <t>2ff3f425652e95f4d039344e7a38886ff70882ce5be37da12f0470fbd8ffa8cd</t>
  </si>
  <si>
    <t>b64678d062d393f6c89a7a59eaf59a2aa99f08295d395109e44efd1c754b76de</t>
  </si>
  <si>
    <t>a855ab1eabe097746a223d33fe293fa005842702235393bd30b1e1e2241d34ad</t>
  </si>
  <si>
    <t>bb4e0e1d15d60440def02cd8fbb090f4a05932f0b65dcbbb1b46b5bd35897e70</t>
  </si>
  <si>
    <t>6b23c50effd312958e0012e1145f6c065dcfe234d77c53c3ce26682d20bd685f</t>
  </si>
  <si>
    <t>db891cd73f2b200e44b7970d3dc1ff03d65eee7475347557f5297b4f92b020e8</t>
  </si>
  <si>
    <t>ea5d36c1b2b83d2b1859b5b434279b0540c1f43c2aa03fd912e90329f638076c</t>
  </si>
  <si>
    <t>c94008101a3d48a6c13a30054069c16334db3b1a4bad65ce60800ed6832b8c7c</t>
  </si>
  <si>
    <t>80f3b5b180e35d5697740f151bafe9792b063cefdae630b6de47b29464b415aa</t>
  </si>
  <si>
    <t>847d44a17e934becdee3e238f07212142a79fa0dd5a9b357ef2fcb396888bdf2</t>
  </si>
  <si>
    <t>39e0dfda5cea68c030ad7119e5b7cea34182018a4b3c5afb268816a2598c5f23</t>
  </si>
  <si>
    <t>7ab060acda590ef523211249c194d735a72a120f0ef686cd98fa07c87ebc89cb</t>
  </si>
  <si>
    <t>64b38dd101ea453ee2987efb5c682ea932f650a731d3f538544bc4e591c38b0f</t>
  </si>
  <si>
    <t>521d54f64256a56272d72ec1076abdd5b72e0fc1591c84ebe30aaead2af6dbeb</t>
  </si>
  <si>
    <t>f9ec6ea35ea8485726c58ed893bf0131378e5dcedcefd227eb07b57a9bfcf243</t>
  </si>
  <si>
    <t>87022f56f4c94df23a722454ace836788a0b15b53615d57a94344b5bfd413f5e</t>
  </si>
  <si>
    <t>9d481a941617cddce5848fd4499a914fd639cd1dd41e715c19e3164d8745771c</t>
  </si>
  <si>
    <t>5873d784fb7f44e9a60cc8d10b9616a04ee9eea1579c31fc4e10804c835774ed</t>
  </si>
  <si>
    <t>0b8c3cdbf5eb18c2ea801194aa4556c833bfc19fe0142fb90bbe1bc69e8608cc</t>
  </si>
  <si>
    <t>eba52438a974fae3f1b1a6171e3a83d063067340ba2b05d4875267aafa917621</t>
  </si>
  <si>
    <t>e1e787e5cd30fea123867c079f76ccb1bf686b996ec98e56050243293ef3dbe7</t>
  </si>
  <si>
    <t>1c769ddd4111dd56d5e6bffea80d6909fe640839a5e9969994cefdef4b2a95cf</t>
  </si>
  <si>
    <t>e8a9d3c52049ee4cf27cd8f9e9fa6d50fd19a2e37e037b35780cc3ad3b962155</t>
  </si>
  <si>
    <t>bf9795c04a5c1371a12add62f071b4db20da7e53095dbe4cd1f0a58e8005f547</t>
  </si>
  <si>
    <t>5c56b2e0a4ccfdc3c201029f623745afe74d1b9cbbbf6431938a741aba9095a6</t>
  </si>
  <si>
    <t>955d3bb6fb2126438ad6e99d0469187e9cd584a81103cd615d1bc2586cd19172</t>
  </si>
  <si>
    <t>4ef8533b7ff167a8f182accfc00004b52fd2fb3c08fc391dfa55e7b8b8a6a0ab</t>
  </si>
  <si>
    <t>7a35d4412647a5e3233211241e7387a6dff20da98dcf3e5bd1b55c39cd914796</t>
  </si>
  <si>
    <t>623bd12aec8ed59c13e0de0fe20b137a3f3fb66b7abda6b8a53ebe8807d73542</t>
  </si>
  <si>
    <t>4de9dae6bbd2530f4307495590185e31d8de6d6d9c07aee6df9aa62faad43d09</t>
  </si>
  <si>
    <t>e98f82993bea87ea3adc2499fa7cfafe3b8e66974b6b20304d3a0d0065b15d40</t>
  </si>
  <si>
    <t>ffafcfcaf3e4871f6c8260cd9600d36575975772746623b83772d8435a96634f</t>
  </si>
  <si>
    <t>d7e7954605c2bdda856ea192faa70bbdb55f732f0fd03b56428c5e579443703c</t>
  </si>
  <si>
    <t>a2bf290a2f0d46adf367bac59e081d70834bbefbdc5b8bf879df02df850df80f</t>
  </si>
  <si>
    <t>d30e0999c685597e0bf21125852996c9a4af01d758a0a8b892b1ae783d35ce3c</t>
  </si>
  <si>
    <t>67a56a263a9b42ec56719530e3594faa0c147fdfea247b098e2d64a9f1c42e30</t>
  </si>
  <si>
    <t>14050034410d43c3a0155e936fc078b6d0449c7631043250757e4865835e3676</t>
  </si>
  <si>
    <t>0fe8d02b0e5353f289e54e6a40c8f68309f22f3c36cba41147a5a75858996df0</t>
  </si>
  <si>
    <t>896459d3e680060e7628d4f96024e438672775801daa16c1f6ac5af364274082</t>
  </si>
  <si>
    <t>296f930180bac95bbf5cc8093cd419d82d962b613b746680e023bbe119b548f8</t>
  </si>
  <si>
    <t>10a9003abb298a2a43bfc0718cccd492c09966380fd237a190d7b985932be1de</t>
  </si>
  <si>
    <t>cf652189144e09f1e9d39a365b28b50df8fa6d413da70bc2ff7ef8f590a21e24</t>
  </si>
  <si>
    <t>492fa5734395a668814bbf015e92d360f2278d90b368a289ca343e1e2ab6ef09</t>
  </si>
  <si>
    <t>9ba26a2afc49afadaaa37d4e7bf6894dbe6240059658c22ea867ea23acc2121a</t>
  </si>
  <si>
    <t>1b2ca34c350a7a5225fa93891a92b98b51e2ca3de80a0b3e75b906c1b986fba8</t>
  </si>
  <si>
    <t>42b6298075d3adfd24cebb2879ff347881fd03c29782501ad2955bbc43387086</t>
  </si>
  <si>
    <t>c62d16680e83ef031a23a4ba0d5eb87c5c602c09c576e9e3fe8da4ecbef53021</t>
  </si>
  <si>
    <t>47e305b77c6f9d6269ccb334a8a2ff437cb261e51291fdfd09e42f83e8e44633</t>
  </si>
  <si>
    <t>13e9f3159199ee752bd2bb7abcadb87fc7cf575c38d110fa4ddd5def0279a20e</t>
  </si>
  <si>
    <t>02e41bf51256faf3e7d9e38dbb5f3d1ce1a95762b6c9036ce35c13bb0ea4f596</t>
  </si>
  <si>
    <t>1efdb1e51670b0f60d7654318db5294a4d6ca7f79d34de6d9f0e8ceca2dc172a</t>
  </si>
  <si>
    <t>71d96388876ff68c6e753a24dab0695ab0d62034b48d45bb587c75ece1c60fd1</t>
  </si>
  <si>
    <t>abcf3ae701b5512633397300ecce512a18e2535f2de222e8471a14e57802518f</t>
  </si>
  <si>
    <t>b32e828d98945219ac0804067db2b3c50dfbebbeecb472ee747062140ecd4510</t>
  </si>
  <si>
    <t>0b2860fa219abe76b12333655e686c0aa144a720b5c10a58d74f7708d9adabaf</t>
  </si>
  <si>
    <t>9815296763688a5b5a3bab4b00c987ee9e899e319e8377fec5b87bec2c2816cb</t>
  </si>
  <si>
    <t>c003b4a9cf85599f2039382766c2a580c87743eea616ff533a65081343c91244</t>
  </si>
  <si>
    <t>e33510d55ab70f5d0bd6780d61c8c3499182664b9b228fc401ac050204e8d686</t>
  </si>
  <si>
    <t>cf66d73060186097c072e083b7fed391003021dcf27fb2e0d51696fffce5daf5</t>
  </si>
  <si>
    <t>3b9482140be0c826305d5a158533cca38d9502de6044153f34e53d5e2d3fb920</t>
  </si>
  <si>
    <t>3261790062cdefb3e97ff0dfc278b6706ccd6058ee75dec0e05523ea09df1766</t>
  </si>
  <si>
    <t>f121ae55912017f5839ebe33aa6b27e1d801a7680b52e0b4c3df52c582e0eb50</t>
  </si>
  <si>
    <t>52dacfd2c94c6ff7092624125414d0908959b1006242aebef214557fdd034455</t>
  </si>
  <si>
    <t>5b763b190a64d24aa6219559ec5d3b2bc6149dcec64245172f8271e00316ea98</t>
  </si>
  <si>
    <t>823b115d75d8457612ad5aa950276ade485ca6c18574134dde4a10ce75d9bbe6</t>
  </si>
  <si>
    <t>70b3e03507ee7ec3ccc8f75edb4a384f5d898a7674b80c25e5dd542a84013be6</t>
  </si>
  <si>
    <t>ca12506cbd1a953f918c192e254e5e69066de17a7d0b5b77410666bd84eb9819</t>
  </si>
  <si>
    <t>1a4dd015b6be987b6a0b279d1abeb67d8aec1d28479eb5503f56c1b33f393a8d</t>
  </si>
  <si>
    <t>99cff4eec323f214b222e85521f9c4c07d5d6824ddfca73ec10bcadb12d7ba3f</t>
  </si>
  <si>
    <t>5fc1bbf4d2756ecd11a686d9a1c952a25959677fdd612748bb6b8ed474b52ae0</t>
  </si>
  <si>
    <t>bbf201315ccddc2543da039e7926d81c5354794db3261d4293141c2bc57d6ecc</t>
  </si>
  <si>
    <t>0b81f045ca7d657f6e1359bd4af41e1f80a6d61d8fe30434c1a581a912c07561</t>
  </si>
  <si>
    <t>87616b72afcb42a5893b2ea61e60fad4ee566812307bd5d1a23cf1b05cf9eabb</t>
  </si>
  <si>
    <t>2312e6e8026940249201b8a72aef6fac0d23a64c16bfe47ace182d08c6b24b6b</t>
  </si>
  <si>
    <t>eb2556f956959835143a77e0068798015c3eb5318e7aa7b1000a8ec0817a80c5</t>
  </si>
  <si>
    <t>3243ce69068f87acb1d0e36a514bf692d8e8b66b6805e67c784811fb3d30ddce</t>
  </si>
  <si>
    <t>f220e11cb4b83cb89800dd363277b9e38347a3c5355a3f20fbb6e261e7abfe4e</t>
  </si>
  <si>
    <t>65bed6819856ac633f3e88976cc977a1dca728f7c731a0515a82fc02ceb25e18</t>
  </si>
  <si>
    <t>0dec2b9eb4c01752d1efe266ba4dc850f95800bc182317bb30f2674c3b8fc6cf</t>
  </si>
  <si>
    <t>bed65f1f248de09118996cc49a51b88e61b0b93b7c3e28a3afe747f3560d3a62</t>
  </si>
  <si>
    <t>85a666e1c42e7af3eb93a18c82e8134cb74a5ffe6d9e557da03041a126363e9d</t>
  </si>
  <si>
    <t>ef07f7df40636f593b0fa9b3cea46aea35481aac65b359008ec4bafb9c1085cb</t>
  </si>
  <si>
    <t>57c814dba8ab2a536451749412da977b1fa81d4d886b9444a71a3c30f7e21fc4</t>
  </si>
  <si>
    <t>LOMA BONITA</t>
  </si>
  <si>
    <t>5e105b818d505b0ba3dc8bffbd695688a388efd61350faf291f12474ae77ffd4</t>
  </si>
  <si>
    <t>476f11e34f109e713257af30892ae50aac946f45d54eff0e01ed0e4390a4e145</t>
  </si>
  <si>
    <t>f2124af5fcfe18b8f8c4bf7d30bdde91740bb29cc033225d8f0f798cfa3a386a</t>
  </si>
  <si>
    <t>3ba076b008fe4c45d864c3f0688071a2a2c06860603bfbc99cce022ff063ced7</t>
  </si>
  <si>
    <t>51413c76ba3f23896f42805d5ffabe155bc904050e78ce3b17e018da3056dd03</t>
  </si>
  <si>
    <t>42898d17ece2c97e6b656206609ee430ebbe5c5907b5f32a6c0e2c5b910ec02b</t>
  </si>
  <si>
    <t>f88d20abcf9d9a522ad0aa9d92afe01dcd1cbf286a945de0e82a460952aa2153</t>
  </si>
  <si>
    <t>aadb71c15d536339aa6677310bb2299f833b582e46061186605d6620dd64fd56</t>
  </si>
  <si>
    <t>95f1fba7111b3075187dba49fdb33fb216b5efc90b02ed2f4e66121881157601</t>
  </si>
  <si>
    <t>5e3567d81fc744a11c5e7c6b856c2811190968760f04ce4ceddbf65d2fd50f9f</t>
  </si>
  <si>
    <t>186bec6748fd84f87137b290425bb6efdcae12b14ab9192e2682f869b2bf39ed</t>
  </si>
  <si>
    <t>89fb75379e7fa51e899b1c11ce651e3b211977806439261b9d39a0e1c0a8c190</t>
  </si>
  <si>
    <t>add69050b54a1bf3b3610c5b3c405b990cf2c8dd9aa462e8c343b2cbdb8c274f</t>
  </si>
  <si>
    <t>c302da07da15e4b9e70a0f95349db6a024e0f7cd3a68e4810919920652a4fddb</t>
  </si>
  <si>
    <t>8f897aefac46684bea1620ddf6a0130615463fcbbdcdc6d5050dcafd9b0b51f0</t>
  </si>
  <si>
    <t>161b094e228e65e0fdee07c8f741b193482a3d0f334110f108a9c70266941a6a</t>
  </si>
  <si>
    <t>dceecfcb47d44b4ee90763ecf70e336c783fb2f82ea444eb66c28e9f926a6396</t>
  </si>
  <si>
    <t>c0a53018eccf63875f48cf8df0215cb5a72ae6766f8fe0a9181df4a8c4b28b1d</t>
  </si>
  <si>
    <t>be3f3db43ad3145b23626eb09ff9bb4d344d060a880e8b9da5bafeed7b568e22</t>
  </si>
  <si>
    <t>fd1e65d07a14fd47ee891478c12fecdb946acde3571f766504c96713b46254e2</t>
  </si>
  <si>
    <t>7fc6d675ed97247ea0fc845619a8a96b0db99df3ae490b15287e9b5ca83d5c19</t>
  </si>
  <si>
    <t>11cf973db8a1b29f0352a100db213a3b3cf8dcb277b85f315af4a602326c3c49</t>
  </si>
  <si>
    <t>744f40f45f9adf8cafd7672c06a1da09de72db5c262d79e1f7c697722758bb7a</t>
  </si>
  <si>
    <t>d6f10a48a180a502570b64e98157cdb02a09b470c88c4010fd5503957a1155f5</t>
  </si>
  <si>
    <t>0185f2c829bd3476d3a96ed617d146fa00e557469618dc6961dfd86aea28e1c2</t>
  </si>
  <si>
    <t>edd6ff58292d54fa58ae26099c9b4082b5d6366fdc4ea0351443bf2f6d9c888d</t>
  </si>
  <si>
    <t>08fad248501ee692f5ad55487620152489a60895273298c5ad5ff7438d51b80a</t>
  </si>
  <si>
    <t>554031323a159d6a3b01006faa01cfc179d3310ff10d5ba11f296189a63efb7a</t>
  </si>
  <si>
    <t>e77e6ea2771085f8e23a5c5da68716b127f39cc71f7cfbc5ad65f8eea445004f</t>
  </si>
  <si>
    <t>9de4693824773fb6a3d955dafb291c26e9342aee9d170fe8858883e29e79e02d</t>
  </si>
  <si>
    <t>be8bbd5ad9af13f115f8bcc411d79d9dd3244feea5480eac25ff18e6757c505c</t>
  </si>
  <si>
    <t>d0778105641a2ffacc2e3471291b6c0e9858c72618a7515eb0e1ef10f43384d2</t>
  </si>
  <si>
    <t>0ae387a2938b92bc8d5c3b197397eba8084754861cd846001e29d902cf1c32f8</t>
  </si>
  <si>
    <t>6ad97d7db2fb19bc35cea555c392f9563eaee513a4c416ce677c30b01bb11aea</t>
  </si>
  <si>
    <t>d785bd837aa83c5cd7565f79d4ace6b5f4f0d3245c0c2ce4b60644971806965d</t>
  </si>
  <si>
    <t>e4c16d26a9e6a1fb1c084e36aa92c8dc44f814e3b928b478cc506c1512a8f04b</t>
  </si>
  <si>
    <t>0797ccc7d99c6f6191a7784715cc7530a31b7d87796d1d41245b067aa1aae2c1</t>
  </si>
  <si>
    <t>626fdc03208828e9fa3d7dce88c4bed45f69a7e4ef913a31fed1ff13a5d11a99</t>
  </si>
  <si>
    <t>d7674f556657f2a4bb0eae4e8b7537efb7346d3d5d007f32f3eb3aa2efefee53</t>
  </si>
  <si>
    <t>e08b1386ec4e66b4e412fa3ddfc0a74779e71434b4dae0a7b460d82a66a06d1a</t>
  </si>
  <si>
    <t>46c4b848d03333aa92641beadf174a28f2c89d706b7c32ac27a8a56100315dc7</t>
  </si>
  <si>
    <t>e9162f2dea7de95e804a68e70aeab5d5e657ec3cf301c607b6b73cf0394e5e89</t>
  </si>
  <si>
    <t>5f39a7f0aa9a52b32e87f2b332509e8081bb92b0195f084530c95b6cda882d8d</t>
  </si>
  <si>
    <t>59a98cd283b7956085516fbafe9eaf193b727191776808d1ccd2e9a9d364d92e</t>
  </si>
  <si>
    <t>db884ffda1b464d677c424fb647b758cb23ad247b6b59475a003abe8ae8be922</t>
  </si>
  <si>
    <t>431d905f518c0538c85adc1c68e7fc7bbdd7ea6de2feafba0bb0be956df609ac</t>
  </si>
  <si>
    <t>ba5c3e6635877a2d3e4bfed6851a07575923889b0ee28b5a130d719b8c4caa7d</t>
  </si>
  <si>
    <t>9f16ff9099c6e7d79ff85fd2b22c3c613bb7937bd0e490f522940200ebe41053</t>
  </si>
  <si>
    <t>0fae784a46e9276f3994034aae450164e3531afa9d6f479b4dde87543a312133</t>
  </si>
  <si>
    <t>799c411b79dc5bd3851e699d8be8079317dc1852d561736e40ef21f8d495b91b</t>
  </si>
  <si>
    <t>84b31f76e89dc0abf6c1676aa3c24067d78cc5ddb2c0e930c8cc7da5c68c8751</t>
  </si>
  <si>
    <t>29ab311daae569fde2cdc5909129ad2acb17e143d6ba0f940a84cb27133edeb8</t>
  </si>
  <si>
    <t>4602a963f0ad9d2c12358edd2541c8d15a2b650548320112d9a0f8bd9b2793f5</t>
  </si>
  <si>
    <t>c843a3d391b311991831e786a87317ba361b56a531a2a92ea7820852a398c902</t>
  </si>
  <si>
    <t>a77007438c63c8d41595b9b3f1216ac9526116131201a5c16bf293e0b1c46e6b</t>
  </si>
  <si>
    <t>7fbf31582983f6e1b4557744cd4cb196333fe2a4d5981f4d5dcabbfdb96e68c7</t>
  </si>
  <si>
    <t>bc7ebefe41792ca04e5dadc19915e22f5b54f6a3b67666881e41a0e5865a0edf</t>
  </si>
  <si>
    <t>fda0f4a1f1022bc20e7fc3314e3b7ae7370801eb264a771c596d84ad00d949d0</t>
  </si>
  <si>
    <t>991342926ddd13402b017688eba3a5ad8d5e44452c0534439f2c780414768cb2</t>
  </si>
  <si>
    <t>a063d504f4a5f5c57700a47b80f6d8890d51909a9a3ad8b67d12a422cd06d7a0</t>
  </si>
  <si>
    <t>7edbe8557a8ee97f2a5aa402945cb878211eb9b2a3ea99ebd4499146f804e51e</t>
  </si>
  <si>
    <t>ac8801b05c417325d98e3721eff17e61fb0f94bfdbb757931bf8c899e3072712</t>
  </si>
  <si>
    <t>52f407c7add02674869bd92b420fb0e287cd37a05a52dbc488342b9aaf01c9ee</t>
  </si>
  <si>
    <t>e13a29e33f8ea79b197cb2981c836509e513ae42ea9574912793507bd2841af1</t>
  </si>
  <si>
    <t>2732a101e30c1b8967b41bad84f1dee4046aa5cc394d7b02ac04daf337260223</t>
  </si>
  <si>
    <t>089b685335545bd4961f047b88bb00f566cd0b0d14ebafe72e40a2b7a88639f4</t>
  </si>
  <si>
    <t>579eb2bfbf67801c311c7f1a8ac5c243fdc0fdda5930f5d4360b523820f09c4d</t>
  </si>
  <si>
    <t>817c891f8e6c35cab7e7f533c56327639f4d0abe05f78b8a6ba1e9c100700acc</t>
  </si>
  <si>
    <t>81f559a93bb7a45f1fd00a68d5b13b6db0674890550cc1ea4bf7ee8ab5efb039</t>
  </si>
  <si>
    <t>0bf95ec7cb1fc44796cb8f47f5d1c977faf8b353d6ff1fe47f6b300d1270c315</t>
  </si>
  <si>
    <t>f6ecd3dda83482eb81966b3721e043522bb4d2106cb2a202f9a40bfa8567b23a</t>
  </si>
  <si>
    <t>7ded3af477c118bd40ae091321d3fe6d73f14f1c0fb674a7cbcbeccfef75dedc</t>
  </si>
  <si>
    <t>bd38ad6884fdde472e269e827c4cc57d6d1ef98332547bfaa5ee824e6db938da</t>
  </si>
  <si>
    <t>5cb0315a34878ac241da0128f6f28de1299a7cbb3fcf40bf05c446441eef2553</t>
  </si>
  <si>
    <t>b7996b48bc8670539050ad44af223809259e6daedcde9a2c86f892e118a02333</t>
  </si>
  <si>
    <t>ea154ec2740b588c626b4f6a2e5d1c533ee3e1d2112d857a1db17060afc76fdc</t>
  </si>
  <si>
    <t>135e710fde8bce62b60b0eff98966d28cc04e03dc4ad642f9af6643faa0c9fbe</t>
  </si>
  <si>
    <t>f2041c3b1a38e69d48d5b1b159777b59640f17798bacb0788b723d0e280a0347</t>
  </si>
  <si>
    <t>41bf84d5fdecc59719416b2bb2c5841329ca0cf9c1833227af73866a9180bb76</t>
  </si>
  <si>
    <t>31f1b8201773be54525b1768ad0fd5f9933d95935a16b647b29caa58e0c70f0a</t>
  </si>
  <si>
    <t>286e889c7ac97d8d9ca8d3f12ac8b508068a8c6b39bd39a42d1c610a1ae8d606</t>
  </si>
  <si>
    <t>27bc7b8db19967c0f3cf5b2b6d0695869e1e8916edf8baf32f466cc9e1aabec5</t>
  </si>
  <si>
    <t>d30c828abd5d04c6c46aeca912fb5baf0974346a061dac67957cb39ee256ae05</t>
  </si>
  <si>
    <t>593d21068f38b7b4fb671f803b5a2aafa33817e57521d7eb5e36afacc16bf4e8</t>
  </si>
  <si>
    <t>5cee0b4f8aaf46828721722ed9f15ed98a38b509771621a31906fb48a3007621</t>
  </si>
  <si>
    <t>50050dd4eddd7dd691c45f95ba61ecc9959d9639c43ac70731a963f6b9799612</t>
  </si>
  <si>
    <t>fa86b3bf0e78ac4302f5ff502562e70d10f3329f21af07688408cb36e8b2a1a5</t>
  </si>
  <si>
    <t>4241982ae1fe95d672e849441985564a6270a3af91990bd7cbae83efe54f2dc1</t>
  </si>
  <si>
    <t>9670533e3d55b1fe393026bfaf9aefcb2460c5f75351ed5f521ea6cee66683b9</t>
  </si>
  <si>
    <t>442cf82ad30f4a4592ca1666e8569951f1b866d140559b97993a0ac8d1523b38</t>
  </si>
  <si>
    <t>9f7a298ef42c596b2779b4fad03aaffef5f5a1e7e6d6f821d8171bdf21051533</t>
  </si>
  <si>
    <t>c4dab7c1872188d3ad455893a6872104a8e2d09f93770eeb83b9805fa44dab3f</t>
  </si>
  <si>
    <t>a89522fee3fb517a44f40d769bbe557f3da482dcea83e57bf918f524398e0973</t>
  </si>
  <si>
    <t>02066a421fdc5a572097703fda3b4ac4ba84e7352fc4af1a128d76622295e550</t>
  </si>
  <si>
    <t>adb894bee4397fbe2e74d0ed127adb127e99a72a5242bf6954b3057a4352602c</t>
  </si>
  <si>
    <t>42835ddfe661454b413aa3968abba38df7ba9dce452431345204cdac4f115006</t>
  </si>
  <si>
    <t>4e440e38c9b3afad7e5fd27816f9f6cf016bc0b81a1cf9fb5105f823697d484a</t>
  </si>
  <si>
    <t>c7b15c26a31886e41c27b75da41d6956c37fb209149a6bd65e6a98869c591a7c</t>
  </si>
  <si>
    <t>c0fb9b2809fe550fd14803fae6396e2b0b91f9bd21a83788a7a4a0b1e921fe19</t>
  </si>
  <si>
    <t>dc767a945a13ba437c4507aafceddadc5883571215644474da28134bdf145d43</t>
  </si>
  <si>
    <t>f4643a1df07e0eb9d2286e8da8ab8faa79e907bb36aea0f84ba147e71eda0f02</t>
  </si>
  <si>
    <t>03a7b8f1a0e19676d5a4137d1f88c6d434cfec23a917a0ef2c3b70baaac00c28</t>
  </si>
  <si>
    <t>45cf88c3caf41b5afb9d2a9e8b69bda51c6e4df490e4262a2fbdbf277c520adb</t>
  </si>
  <si>
    <t>6422f98f445ac9dfb79210dea33a215b3a06c50a78e6c5aa49c79cc220762942</t>
  </si>
  <si>
    <t>a5a41b53792c5a607c4fd3c054366be355ef9787f475b0a83d7897a44913efc5</t>
  </si>
  <si>
    <t>c5aac4d47c58b07f038fad5d5df55664bbccc42a9f24319d0175e1d3aa5be315</t>
  </si>
  <si>
    <t>18530585c2ae83975728bdf20e9e041f8a88622939af3c3ba0ab525e0bb729b8</t>
  </si>
  <si>
    <t>4ef15c98c0b67d9b64c8c8ca913ddd104518017d3ca1d56c9500eeb7f94313ac</t>
  </si>
  <si>
    <t>ad3f4ca48a8a58c20a42c6455d54d99b256c9429cd9852c93fb78bcddfced15a</t>
  </si>
  <si>
    <t>2bdbb9f57a66c3d87665e2165be5636d76372aded592a264c041175b0e7238c9</t>
  </si>
  <si>
    <t>584ad605cca9f07abf54c59915c1f39867aa04407275cd376aa69679606bba05</t>
  </si>
  <si>
    <t>9a925a265411e08e4baa8c59558af7cf286d79d8300d6937e556782dc8f30495</t>
  </si>
  <si>
    <t>a2343610bfb4484a5056c3ca5f4ab336836eaf58b544e4d8c8b0e3a995ab95b7</t>
  </si>
  <si>
    <t>a5656a188cfbd0668b367dc0600b1300fc7dc94df4750d9a2954428d49eeba24</t>
  </si>
  <si>
    <t>e99edae9aa7b720c3166e7fbe44e8098ab622447ff5e826bbbc37a3de9217184</t>
  </si>
  <si>
    <t>196d8c01ee9ade6078d17447f404828133e24a02c8ae303e9215c99a0f367127</t>
  </si>
  <si>
    <t>51e12626075a7c63b08825327fa549058ac2c6d29c7094f992eb9f11b797c9e0</t>
  </si>
  <si>
    <t>1b6d925fb9888d5c7eae5ebe7290a071f86ce5031845925a6765d0be5712464d</t>
  </si>
  <si>
    <t>37781ffc31c5c79eeda2163c8fcd748889f30f394cf5a4d350865620ef57e41e</t>
  </si>
  <si>
    <t>c8ac267987608214d93e1c3ab65db700d8f2739f7bf813dfa841aa1c0283e741</t>
  </si>
  <si>
    <t>d3e57e5137777403f5174942fffb956f2c656a691a8eef39f0b7ff49100f1a93</t>
  </si>
  <si>
    <t>5a31cc402b89d276dedb8895629606c265206197994e3eda25123b1a93cef983</t>
  </si>
  <si>
    <t>2abe2fe6bc7ab3c729ab6692257075dead657d499d1faf935545e8172bf7e480</t>
  </si>
  <si>
    <t>07805047ec1f4308b43566de2d7521ea786623ce8747e5c660829750b5d9ec6f</t>
  </si>
  <si>
    <t>177f873f80e08e16fbd61e36ef9f9a68e1da76dae70bd17840db17fe6de63af5</t>
  </si>
  <si>
    <t>4ee9990db78c3ba0a3921610570147c248f7b4362691034b5664f451a1e1ed83</t>
  </si>
  <si>
    <t>f726daef2bfa96a356774e4d49ada52b577d321ee844490e18d2d1b48fa555d7</t>
  </si>
  <si>
    <t>6121e25e45493be3f82b402e7aff4a801a23cc712b33ddb8f0b004c7be953127</t>
  </si>
  <si>
    <t>c0024304ffa65615d4bd5c0248127071cd80ddcdad2e91150501a71b4d2f5b2d</t>
  </si>
  <si>
    <t>b2fc72c53cdff9521a8eb15a6489c4468ca34baaab9eac09b2af0399fba4a04c</t>
  </si>
  <si>
    <t>824e8970293ccdf451f8911a2f8c7915cdbe9997de61cdfd8d436296d635700b</t>
  </si>
  <si>
    <t>6cac7a9bbe6015d5b9022aa7b68c6481719dc60e851ff5c5146332fbb5006f55</t>
  </si>
  <si>
    <t>5ba94216c1470a1dbc41d8aa1a490005b4c3fde6dcb2e9c05599cb0c08c49f0f</t>
  </si>
  <si>
    <t>033c08d149310828a6ebb3b8d30d664ae2581ffec1eb51f72ae223683fa9adb6</t>
  </si>
  <si>
    <t>832acf8f5673fd582cf5e2daa9f1a608c5ba7d6f8f7434fb71a60e98ebcbf514</t>
  </si>
  <si>
    <t>595d4d432914473db06e82827e1852622d7db783893458c9995ed29d7c0f0a47</t>
  </si>
  <si>
    <t>82f1db17ab61fd99fec489d5acfc8cf3b9ddb4e56356b1eec7d5e129d98babba</t>
  </si>
  <si>
    <t>ddeb5f6a1b7619c3de7de16e4edfaff7b39557b75ba280a784c0d0192a1d93c6</t>
  </si>
  <si>
    <t>5a683ec641e6f01d2c97cee4192515b5de8bc19bb3d693de60f8515a524f09d2</t>
  </si>
  <si>
    <t>a8540a2b3684fef4791c45dbc7ddfbaaa707b804d51e42a2e482a61850d1801b</t>
  </si>
  <si>
    <t>310f447470c6f9f6e346e6a86bc90dcb9a3023de28abb50cfc1c7aa61078c3e0</t>
  </si>
  <si>
    <t>fdedd64a6c1a3bd27f5149c86c961f893c117242f4416ba193c5b803d58d4431</t>
  </si>
  <si>
    <t>f03b21f305a005da56b7124ea476e5991b4d21fed4a4907057afdbc50ba1da31</t>
  </si>
  <si>
    <t>9f5244cc34e8c405dcdd197ecbb2c0b80a7c27098bc5f39cc599723b3ea63dbb</t>
  </si>
  <si>
    <t>a167547b97fd064f4b4a15491a940b205bf9a760b42cf2323dbbc4cc06889f98</t>
  </si>
  <si>
    <t>788767a649e860778a7a1ce94a1a30edd47f557573dc0744bcd6422b4ab95e98</t>
  </si>
  <si>
    <t>8dfb1b92dc3b221b192731f0496cb75c1a38aa9e10838454bd37fcb771f8e0c0</t>
  </si>
  <si>
    <t>8d5f705619573ca23070491d2bdb83faae5a321223507efe5e2eb51d0f93a653</t>
  </si>
  <si>
    <t>e477b1b7cff31667fedafa4d439a1799a330722d37c6031564377d237125a5bd</t>
  </si>
  <si>
    <t>314e95efd5311a9fdccb9864c053b83f49899a2e2cb238f31d9409dfe1e1b0d3</t>
  </si>
  <si>
    <t>80492fae1fd4340a36279e810779a1f61aae3e2e52389250f38c0e698e3c39cc</t>
  </si>
  <si>
    <t>a28130f6e61b86c6abaae54f799ae0a3870d0932802378e92ebea88151f266fa</t>
  </si>
  <si>
    <t>eb4a4cfbd1545dc02e30b0ef9fb95d305521a7408d36a20a9671dece520d0482</t>
  </si>
  <si>
    <t>28409dc2ad63aa8d5ca2dd1136288e02cf12c5083d25b339d90d9a09dc1388e5</t>
  </si>
  <si>
    <t>7671b13fd46ef7879cc1499ef855d720c10b3eca358f3f59e48676a1d4785d88</t>
  </si>
  <si>
    <t>6f70a6af0395e5e31013d1a6dc4195ff4a1dd3ed990a0f7a4c96454f944bd0a8</t>
  </si>
  <si>
    <t>ddf59d754b32a9042efcf48a4d8c38357d90f11f74ff62dc7756b1f3a9af003a</t>
  </si>
  <si>
    <t>35864653100928d6883f9a5e0f39fa6039cd76357e08680073cbac1025476101</t>
  </si>
  <si>
    <t>b3ac2a0015cd59a623e340d5ed2f955f3a369e647f51a7e08df4d7535f47395c</t>
  </si>
  <si>
    <t>b9bb81b10be77e93a30b8e343e9b6677a2bd152be294998213d3392fb2f12ffa</t>
  </si>
  <si>
    <t>4d47789bdd8e69cdf91665f6b08bbd7628f138118891a65e4f05c04813276329</t>
  </si>
  <si>
    <t>96b5fef5060ccf3f88ebcebe69c21a87881a31146bffd30eace4f8f2eafb07bd</t>
  </si>
  <si>
    <t>ccc085f8db396ca4704fd0a78168b823b91fd252d648580d724e99c81c8345af</t>
  </si>
  <si>
    <t>b4ea2e5522363cacad45097e065e0fd33e4acd46593c8044a93b192833f08f4b</t>
  </si>
  <si>
    <t>89dee56a462edef090d73f3b20c355d73f84766160f58e14683c5fdb27bdc3e8</t>
  </si>
  <si>
    <t>035e5190e16c9cf45d77a98197fd1d4037eeea2f3a66d42161275367b6090fa6</t>
  </si>
  <si>
    <t>90d361986fe6fae37f10efe20993713c352fef730e3fde4d6ac74839f293ea0f</t>
  </si>
  <si>
    <t>7303bc7b9c1b085e1282fb83946e40ddc341c13b7075f9ac7ff29a7fa77e19d6</t>
  </si>
  <si>
    <t>44b58d817145f7d410974d974f826438691e02be55270889a70d5affb4c4354e</t>
  </si>
  <si>
    <t>e9cf3fd4558f2a53f81b0b15ebdf2009bad02f209902692c1b2035de4fe57cef</t>
  </si>
  <si>
    <t>8e3df35173da966738cc12499bd07c3831e2eb7f75759d58401ddd7adda86ff4</t>
  </si>
  <si>
    <t>a080b7cf0beace43d25d4abaa6ed1c375e1068ad7f6cb1ac04c53f3551108487</t>
  </si>
  <si>
    <t>9edad587312848483c366b4ac6f7f15a543a346615e9c5e3b01da4414ac54671</t>
  </si>
  <si>
    <t>a5721cac3371d0bd24712bb1af2c9b0131e99d6d68243660e1493f22c2ff6d78</t>
  </si>
  <si>
    <t>fe56d1eb57be50f1103aafeb8dc11a316c00f8a4e1f885d2729ef56969f409e2</t>
  </si>
  <si>
    <t>8e0f1fc15204b6a3b2b40be8d1e33c0721570c905e9716a899d364ff65be04f5</t>
  </si>
  <si>
    <t>9911b44629e907aad394c426cae9afbaa75a7af25fa7782e6c3595fa2bafc1e3</t>
  </si>
  <si>
    <t>baef3ae10b65d9773ea76f416066361d847abe0d861a253386763e0bd06bf6b2</t>
  </si>
  <si>
    <t>b751f5c201daace2d0bbd21d2ecbb08b89c7de89d1962a88d1f819331b19e620</t>
  </si>
  <si>
    <t>b00b3e5e04ae48b91b3667262d26e7020926ce0d0f8f2f1ad3de60d511fce338</t>
  </si>
  <si>
    <t>9bbdeafc6c0adc1c4446327ddc6acd1aa497afa1f3c6460cbbb5c22933fbff93</t>
  </si>
  <si>
    <t>f1fa24a845758e1dd4d313220bcbf1937abd906238a505f6013233152b59cda8</t>
  </si>
  <si>
    <t>30dc2ca61b2988259d4a0c02bd7d1c5dab2b722137878c8a40989447a6d50752</t>
  </si>
  <si>
    <t>42b2ce0e2e1fdbda449d20181d7e279607dd2f25698fbb2631494788fc8a6991</t>
  </si>
  <si>
    <t>aed9dd9a61987610c6e9c26d953c7de2e9b91de05018cf35e82e9a710b4a40c8</t>
  </si>
  <si>
    <t>a498426ff3edebe8b14c56c964239bf02a413089b13dd62e411209c7697bc82b</t>
  </si>
  <si>
    <t>cd8a1e3550c172cf0fcf9accbc95c33d80427e3783568e24329fbfbca44eb4db</t>
  </si>
  <si>
    <t>71d8080f2dcc2038bae0dcef934529d4956dfefc3ab0247e84b2fc885f938a89</t>
  </si>
  <si>
    <t>f2d2582952e57d9468672d089ae16551a264c719d852084b553347c792fd26bb</t>
  </si>
  <si>
    <t>8fa30d602a7c5fa3e3acf7abb72fdc0b25a52fa19f7ff9e064dcb61ecf106ea8</t>
  </si>
  <si>
    <t>b545f80bec4c560eabc9572e9b8839d4342baa3a531d869c8e6e6d25b837e0f2</t>
  </si>
  <si>
    <t>3023f01de1ff0ac15318c570a3a424bb9dbfdc672d899ffb04dd4ef8d69eedb7</t>
  </si>
  <si>
    <t>bac86fa04a86f9a55605f172fc54dcfa3f263c0cf5c970e536970684fa8c350a</t>
  </si>
  <si>
    <t>1a772ab72de04d4d5dc9261f43b7501fd5b35fc0b8f7bdd4095654a642492c72</t>
  </si>
  <si>
    <t>6071995874bc2261e081b98bf929b32827840e440a1ae08baf64d6b685aaf188</t>
  </si>
  <si>
    <t>8a0c4e7831728fcf53e442d51260029843ca68eaddfe9b32d703bedf9dec2e0f</t>
  </si>
  <si>
    <t>3606f68b01d93f274c6cae07347f4d49c0f9e7d133b696e83afc3cc8b148eee5</t>
  </si>
  <si>
    <t>b6eff7dace64e9e0bfa342bc49fbc5a5bda3311881ab693c408bf7815e95459e</t>
  </si>
  <si>
    <t>16c25b3822490e836fd5452ed37fd322c95915263322f77ba6c79e633f1c840d</t>
  </si>
  <si>
    <t>e4cc3586c805d52b5ff8ecb8ff43bc0ef855af7994388f9bc3760c1fad9d150f</t>
  </si>
  <si>
    <t>e971cb51c97dbeff3021c5db514e6f87ee1b774b7f1000db2a4228b4448b6a1d</t>
  </si>
  <si>
    <t>dc880479b3310ae7ab2bf7a750e924c3ca7608b34a3270df56efaec36bb6d803</t>
  </si>
  <si>
    <t>03b7fe3bf15de0c32d52aa65b74d91d2c0f385c877d2e04edbce0b3c34587050</t>
  </si>
  <si>
    <t>8fb5d759995e2fc47188440e86b7fff1b171f426b402946b34cc1a2b6637aa8e</t>
  </si>
  <si>
    <t>3e6b0e52bdee6ef775e0def095c430ed77928712472d35592806c50f541bd4b1</t>
  </si>
  <si>
    <t>7e839ade8a41d914b7b76185cfb683dc55c14b820f48f787234468c9af9c2a57</t>
  </si>
  <si>
    <t>19447f01903a72a83a870425fec4ba3bab1092fa6c673816e2e7cb2d721b4ced</t>
  </si>
  <si>
    <t>e5e230ac1918ed31c2330a70c691a4b006875a189a1e7bc98151108f3522e066</t>
  </si>
  <si>
    <t>cdc63cb493f05b45c671b09cd3953a794758f25ffd625a7da7aa2f40ce127f5c</t>
  </si>
  <si>
    <t>bcaf656914aafb331e67aef22296ac4dc3b9fe900f009e760b75705cdd4b3655</t>
  </si>
  <si>
    <t>f4e862a60d323eff5c3626517a2d4e04c48cfcaf72036c97379af45ffe15937d</t>
  </si>
  <si>
    <t>7154ea54b6d201a2a4e1198fb2b958b9933487131eb49d004bbccb208bc83502</t>
  </si>
  <si>
    <t>a2abf5983d9d83e672e771fb75c9107e498d2d52c369cb256123c6e0d405312d</t>
  </si>
  <si>
    <t>TEOTITLAN DE FLORES MAGON</t>
  </si>
  <si>
    <t>67a6e855228fa9b1ecbf2c9b4079bce87f412ff5ee73ba91ba7413704bc76ab4</t>
  </si>
  <si>
    <t>78e1fc5744e0cce22136e77565bae9cd929396b70e66975210248897531c91bd</t>
  </si>
  <si>
    <t>d5556c3992c12a1424af66f37ed0cff54950bebedff2b3abbd53ee2f56b09b18</t>
  </si>
  <si>
    <t>7c573d710d8752412387c5229ab7f975d3133dcc6d84e336d84054af2e53341a</t>
  </si>
  <si>
    <t>22950d14ecaf79d4f08cb803b506d9dbb54ad37cbf22f52af77adfb86f393870</t>
  </si>
  <si>
    <t>7556874e588e8cf50db125b973da954d1c092c0b83ad476448a3c32a7e559ca0</t>
  </si>
  <si>
    <t>711de7762162e3fb7d1f27873512d2f4e1c572e712aa09bd0879c985f4f9102a</t>
  </si>
  <si>
    <t>4e16e300c36f74e592a8d7bce29a02f611e908ba84bf91b0d5e2810aa851430a</t>
  </si>
  <si>
    <t>be3bb465c06a75173b2c3d665c3ca1eb8e257284280cefc3ce141a079ad396c3</t>
  </si>
  <si>
    <t>0b3a9844efc88546cf481ce0b7aad45ced1963c92e6518f41c1afbd67deae72e</t>
  </si>
  <si>
    <t>b982725c83332c4f6a224cf0980c71da54bec946ca9c5e3857660f378581e63f</t>
  </si>
  <si>
    <t>0f27e2f637142e49abfad205ec6b3d4788dec87512c97056249f537686a38723</t>
  </si>
  <si>
    <t>8e0fd7bba9d1e5ad247d350455a966ad7ba7becc9be8c2f52c5c724e96182117</t>
  </si>
  <si>
    <t>3ba3c3947ced982e0198cccdca8471d72c5875f0b9d22daa3d4d47315e6a52ec</t>
  </si>
  <si>
    <t>ade673f168a80f7d231058790705796ae3f9bfe6ef408d2081236ebe7a1dfb21</t>
  </si>
  <si>
    <t>89b0ceadf11f539f7d957074649bcff91d9beadd83efec79de7b518ffcc883fc</t>
  </si>
  <si>
    <t>19718410ed5108df534ddc6c8f14d2a61e8eaeae2df3ce3a6c827e060580366a</t>
  </si>
  <si>
    <t>56aa880d757bba9cb96a7daf9d2944f81a9d70c6a220d86686483cfd4a6083ba</t>
  </si>
  <si>
    <t>2529ce1fe12b39425b5f47b8b820af79d7f0adda208e5bd625453409f54e7227</t>
  </si>
  <si>
    <t>d0a3d5a9ce4ec5edcf0057bd3182fff64e1ac04bd53261e41c7372174f9f9532</t>
  </si>
  <si>
    <t>6d4cd9c69108a4a7fe65271d4e53257af7a439c1cd9273e17799d8f7a887b9d9</t>
  </si>
  <si>
    <t>97344402bba5b79b947961f475b8d1b1fc0ac3fe74a2e82be3e9530c5e7d3424</t>
  </si>
  <si>
    <t>b4f311a8bfc30f20b70e93d543eb639daf7971e196c0c1b127464d3fe076da92</t>
  </si>
  <si>
    <t>581833d162c932851caa2b1300a09af6ec0c7a140f46316fb3b4663445f8466a</t>
  </si>
  <si>
    <t>f43b846960d6a4a3dc676454fbffc53cec02d8ba646ad6289799dd9d428a5612</t>
  </si>
  <si>
    <t>a7f6cdf82108f8623ac1b07b8dfa5245c9a2e8ff7dc9794315d476aca58887d4</t>
  </si>
  <si>
    <t>0b79d6b6b343bcdfd80fa902ab3061c893916cc50e37ff06fb28675c2e146e78</t>
  </si>
  <si>
    <t>db93080b7f6ea9ec1ab4724c1b710d042e15e8e8adf5e6e3aa03bdf586ad4990</t>
  </si>
  <si>
    <t>0617f5fd506e25e8a606056524627c31f56fb8b8b1f7799b0e8f01d4b1eea5e0</t>
  </si>
  <si>
    <t>e14b19888d77c26ff2e5ab1d34677bb11297bfb0adc49daf44b2b5c140131bee</t>
  </si>
  <si>
    <t>04dc715e371ba77772c3d38388921e66b4bbfaca496191a2d48945d333cba2f1</t>
  </si>
  <si>
    <t>51914430461b125b71a95e0c41e24c9164c949abe33f08f4322dd8c5bba7e78c</t>
  </si>
  <si>
    <t>c36cd3a44a4c4cf8dce65a7ef4f290a0c5afa5192bd6333deb46ec465c24e969</t>
  </si>
  <si>
    <t>d503ef251df9360d6ed5a9d1e2cf8b84d4a6c80ccae1755cdad7171d16d3b7a4</t>
  </si>
  <si>
    <t>60e32e3b286cffe7338b1cc91380c3c62e7495e2d78c7878f2f0e3ac1c07e6c1</t>
  </si>
  <si>
    <t>1d9f1bd011a5471649c7f7e5c2fdfcfaa317384a432e7fef49bf985073b619e5</t>
  </si>
  <si>
    <t>9949d1b459ea7ae262234457b1e6c3afdda27bab896ef929b8b7d06ea7e2e9da</t>
  </si>
  <si>
    <t>0b2ff705ba024033380e32bd552b59822365e20996f7c822a9f6d72abe9c7831</t>
  </si>
  <si>
    <t>9f166b729ef9b3d14e7f9bdb04f59a7910882d5a55b9b0534ca8dcefbf218f80</t>
  </si>
  <si>
    <t>f0365509e26c2d4eb1ff483d6b3f17de881e020a2416fa86d925dff63b142b0f</t>
  </si>
  <si>
    <t>d72b90e66fce1bc0846f232db8c154af94f5a59a37e10ada21cae2422e7c0800</t>
  </si>
  <si>
    <t>05995fbaf0db032df9699d2baf6dadecad02db13ad4debca6c5856f93c23857a</t>
  </si>
  <si>
    <t>af86cae433284b760ef4091cf155cfe530ba4b505941e81677e5baf1c8026780</t>
  </si>
  <si>
    <t>333064e10ba2a0f9fafbf8358d1214e745c04e5b5dbc1f19870820c8ad0f5575</t>
  </si>
  <si>
    <t>88e1b994fb3630e166c33d1d4379b8f7c8574cfbc804713b1ff958fa5074f2b0</t>
  </si>
  <si>
    <t>b3624c7ec28def31554764c06cff9a0f01157524f40ac3346106fef60d0c1151</t>
  </si>
  <si>
    <t>9900da4faf168ca80619571a57e9408672ed473311d64660b78a05b4e0ae2f62</t>
  </si>
  <si>
    <t>0b52a0b3f0ceaab8cbdef4d74abefff39357943eabfb2cb1d6ea704251dd773e</t>
  </si>
  <si>
    <t>a08831be125552d221618b2ea77ed585dd1b0f356cb71515bb301f80908b6a29</t>
  </si>
  <si>
    <t>5ffa6285b6b4d95e4f3f0a9daaee5d9d7cc6984f704c71813e476758e89a0de8</t>
  </si>
  <si>
    <t>2c8df4b7ed1f21f2443447413306b1ae0b450ebf16d55039caf4333f9686bbe3</t>
  </si>
  <si>
    <t>c42a93769822ac416b9d702347f70b177fbb15625eaee69d0c7c9d277e740cdc</t>
  </si>
  <si>
    <t>049c13e6ffe7a91993b63c3adcab553b250bd41d35ff74f1b3584ac2ee99ba22</t>
  </si>
  <si>
    <t>4319f9cbe4cf815a2ef5297282d522eddead319aea800d0933a21479b174b48c</t>
  </si>
  <si>
    <t>61b8e770d25b7dcf8bbc966cf737d6360979cb4a19be1c5b2769d4caf97c883c</t>
  </si>
  <si>
    <t>c57757ae1e8f29f7a82a90ca55fe2842a85c976da428d247c1c9fe815b1858bd</t>
  </si>
  <si>
    <t>b6c79a058dbe51c97ebdd7e95cb55f3ae334d8bb4c23801fbcb80774454ec760</t>
  </si>
  <si>
    <t>d6ec82c0a671cc65953d47b6ff257f64885daa07fc3fd8eeed50145f2d6a7887</t>
  </si>
  <si>
    <t>afecc722fad1dde40d2c6c058d6f76d327a2279d00a144e1e83d14eb60d53b8b</t>
  </si>
  <si>
    <t>e083acc0140e2796d3aaed544d28607de60e6f4c173cfbd023a8f49a79373783</t>
  </si>
  <si>
    <t>b64dbb698acb6aef170143d88d4c37bc2273cf04507eb75c3940148ce3749e2a</t>
  </si>
  <si>
    <t>4a544529f35d217509666c1b00eb5581ae32f303a57627ebb5de87b5d331361a</t>
  </si>
  <si>
    <t>9362321665605569655f60035c55d1f0341446ada07b6a74285895b3bac69177</t>
  </si>
  <si>
    <t>a0260c8da9676da5fef96d815061dd2d6eb6a0a542c32b0119fa685004744a5a</t>
  </si>
  <si>
    <t>f8e8c5ae1575719a8b221f2b8f4edc8081e662a2269b124e2176d6977de5b80c</t>
  </si>
  <si>
    <t>66e1635e88b9ab486fab37f64aba03b6eb1ea1b8291a3201710c153082170962</t>
  </si>
  <si>
    <t>7696609166eead94666e4b02c0d3407e2ad0d9295abd4511255c9666d430b1f8</t>
  </si>
  <si>
    <t>5fa2b80e3e59ffb597567ffe111cea9326b421d79f112ddae43180fbbc17e84c</t>
  </si>
  <si>
    <t>0434ada3582aeb8afcf229241d1706d786dc789c430b4cf1387c0b04225f269f</t>
  </si>
  <si>
    <t>13d0deef98b0a138f517f472d16041cbf90239b5713fe2297ef80ee78056fa9f</t>
  </si>
  <si>
    <t>07cb025c30e1ff342c4451e8ff1fcafc5dcb3d5bd888db228ed4a51ee36a3b17</t>
  </si>
  <si>
    <t>3dfdd36ce94598f7e83554d2c3b01e7402e473575ea83147c7b5d101b23a0a7f</t>
  </si>
  <si>
    <t>52ad71f448a9ca98e86dadcfbfedf91d9f9a89421799dafe6f2ce55f1b005296</t>
  </si>
  <si>
    <t>7e766f9d981c22f3155a039246441380ac4762832f0b05d2f070810ae2602345</t>
  </si>
  <si>
    <t>d631d5ecaeb81b274f87ca4f58dfd6438c87e199c64c74762a18a9ff555b3696</t>
  </si>
  <si>
    <t>328515b7297a332d62e3df1d5b364a0f24069b571b7a5fdc7588a72d8a25f4a5</t>
  </si>
  <si>
    <t>aeb5131f5071e755cb889a78ffc462be9fd1bfb5fb7eb2e7674f77aae44e2945</t>
  </si>
  <si>
    <t>c5be147c048f4d9080218f1c32ad0db7a3906edee3f3dc310d87bb674568e396</t>
  </si>
  <si>
    <t>89d8c3cfc9d81f85020acf9968706cfb15d9022a525494b4deb52762ee905356</t>
  </si>
  <si>
    <t>fbcf8c846dd6a3e3a0a7f5b39229b319b434862074de9373737d6382bf7ec628</t>
  </si>
  <si>
    <t>072ac88f851caf17c3ba20502fd8f2995a8ac01a3de60db527424132f7a9d4ea</t>
  </si>
  <si>
    <t>78de2946856c6767715df40b7dc864438b9d4bd036a9d9f5f77086c337e39a18</t>
  </si>
  <si>
    <t>4f759c81b28ac0adb092b83fdf4050158edc0c2dd48a2ea7960fb4af188da5a5</t>
  </si>
  <si>
    <t>52d723b87707b2f936c777eced1b5714bf07040be61fa40be93ddc108544b16c</t>
  </si>
  <si>
    <t>d74d9677d4e85533dedb893ddc59bfe41bd51065ad49b1d3803358c08cf06bad</t>
  </si>
  <si>
    <t>1fce0b60f6f786c989fe81ce74acdec56531f5a1e350c0afff5732060dd65280</t>
  </si>
  <si>
    <t>d88efba661b3c5ac7a8532a757c642ef2c37e452b5cc4ba63c24e884fbc30488</t>
  </si>
  <si>
    <t>5d9004121e0562141d90c0d1b48a0f1b4ef6c42d8eb18614f5402e9d25878c38</t>
  </si>
  <si>
    <t>e5bde54423df496a03d479c0bf6e43339789eb019bd3570bd75f234c8b682e3e</t>
  </si>
  <si>
    <t>f5f6962be229ee54ffa2ecf2478f2db7e458ac1c13d8180ae8f9ef009b2b8c93</t>
  </si>
  <si>
    <t>e1df09b08b81f316de683c250bbad7dbefb15c07e488d2e374fcc4670d8925c0</t>
  </si>
  <si>
    <t>2bdd659e278eb4bf6f6da5646fb2a72950b89da9592b031d4069aef39b3e8f92</t>
  </si>
  <si>
    <t>a1877d92f1c79c668f7036b3cc28054bcf20bad01ab94c0aa6184d93d1613c1e</t>
  </si>
  <si>
    <t>9f463a7452ba7f8a1e9d10dfe157e365b6415f372151868f225e107abcbcd754</t>
  </si>
  <si>
    <t>06eca30df3887656e1c955c338ce8460827009c9f5088d9f17436ed16068992b</t>
  </si>
  <si>
    <t>88688065db3c4481b755c61d84222a30c449468d0dc38368546c780fcda4ced2</t>
  </si>
  <si>
    <t>69364f1e5b7b9e541312ceef0c7c585fcf4c380c8131277bdf307a4079063373</t>
  </si>
  <si>
    <t>423eb1392406c7e9de55eb656b8a9cb39e9c3f4a65366e33dcac383d65ecee7a</t>
  </si>
  <si>
    <t>ced64efc1e459e59112e135f9d8d06034b12adda9c40f2f91bcedf265becf5b9</t>
  </si>
  <si>
    <t>3109001ef00b43f72e547a8ceb559d84ab3f8352407d5c31c47f9360bc1d240a</t>
  </si>
  <si>
    <t>a112ccd961e858209e258dbceffe8b71887ce04d07febd27b88cb599a182fcff</t>
  </si>
  <si>
    <t>a05517fd10dbddb5e1e5761f1c0b918c6a69a5dd1c37ff7775f906c20d58edee</t>
  </si>
  <si>
    <t>97a4765e9a4d2e4846d9878d33479a757f2f9acf2531e4eae8692c545908e28e</t>
  </si>
  <si>
    <t>4d116503cf4b69f76418e01593c70f067fa33795985243fcb6a6a921534a77ef</t>
  </si>
  <si>
    <t>c09bbcab6e1c49f14bf55f36340d2c8d54063174a5e7eef839f812ba3ec259e7</t>
  </si>
  <si>
    <t>37128445d0c1379ee3f453af5687a963a7d37bc41c34d65f60e206eff0725713</t>
  </si>
  <si>
    <t>b8f3e5a0e0f3f2fe22e7291bc77ee136709b7f6ee5f75f0cb3ddf0c63e46f042</t>
  </si>
  <si>
    <t>8ef4e86ba5fb81a3d8bcf3d21b7471fb71e6f8fa660b290fbe5b3ee1ae5331f1</t>
  </si>
  <si>
    <t>b8c10acb0148fa33f7e6451b4fb398286b0f93a07d4dbdad64b2f2dab60aef2b</t>
  </si>
  <si>
    <t>b92403a16be035da98e776419f45ef244467a09e65edfe633535b3f680f377fc</t>
  </si>
  <si>
    <t>fa2b391251e7e8e5e5dfa9f9fe3f33ad0c3e6456f4ca6f7cbaa53346fa4f35f7</t>
  </si>
  <si>
    <t>774ceadf68625834911b09189e72708d397f0fd4498acedcf82c918624e1ecde</t>
  </si>
  <si>
    <t>31d903b6abd8c3ba1f7b01f45c38c59ab910220f528ddb63739f784c3a3ff656</t>
  </si>
  <si>
    <t>17fd95da2ef1171c5c5d8f2ba69be3d1012eb6dd3b7a67d137e173c95aaff675</t>
  </si>
  <si>
    <t>7e08f15f8819a20e75c232fe563f7962f61e69d8246134c0e1eefea8c4736544</t>
  </si>
  <si>
    <t>c6bcd7fb163b552f71f1f03cc523f99d13f2232d8c489ca381ffd6b4ad40079d</t>
  </si>
  <si>
    <t>4059642d6345e9c664e0af4dd4ba21e937bef6193d695dc4e9c7a00a50a20685</t>
  </si>
  <si>
    <t>1d7a77bf2d7ac359013f7b431bde940d09456c280a200acb32fd8f69677dc40e</t>
  </si>
  <si>
    <t>c7077f130123609e48b40c7c809135f60d266e23a5bf63a23bb1d106fc730f26</t>
  </si>
  <si>
    <t>4a6f7cb2e57add3f274670767d6d6ae43055ce68a4d695b383c0fcccefc70be6</t>
  </si>
  <si>
    <t>4cfe61fa64d29c439635818cc0a981d29570302e7224cdf18f4ba8c63818c450</t>
  </si>
  <si>
    <t>4844bfc750b3c99ad0d4b7349eb9288e82e1d2427f95e0f1b3f1f9be9f47538c</t>
  </si>
  <si>
    <t>40838ae589a2fecc2f5e770141de2c8a785e6569e42125cf09780f7b4ce670cf</t>
  </si>
  <si>
    <t>12e5696aa2cfbd4d83304539fcc8a98fb3173302a9c004643ecf3fcdb89a259b</t>
  </si>
  <si>
    <t>a07886e0cbfa870650b806321fe11b3815d12f069fc8e97bccb58a08358a8e91</t>
  </si>
  <si>
    <t>0964057ba07a8c098eb50542551c7dbf874583470ae96a9f87366d9ff0bcd0f2</t>
  </si>
  <si>
    <t>abb010bb95f22d952f66a2761365ae544fb4faac4fc83b6c25013c384409840b</t>
  </si>
  <si>
    <t>55aa8828bbc90b843484b8f9231240e8f1c8730a9efeddebddf46c2710fb8edf</t>
  </si>
  <si>
    <t>b50a33c5bbea9597754bc4db42cb9ef15c3ced6837d9340daf0149e347ecd270</t>
  </si>
  <si>
    <t>979fa8a481e3305110cc96d129eb1ab5bffd80348c323290e76c6ed7c3359a70</t>
  </si>
  <si>
    <t>dc9ca3b5850a0c35ee154e9eb4ec77e4c3a21879feecfa6c0f5e517e9de792df</t>
  </si>
  <si>
    <t>f69d6ee83d4502c64ea4be3b8ca69fdc4e74dfde040c6d565dc5045e00b228d8</t>
  </si>
  <si>
    <t>ab5c50160768d6ac5dc750c1542ed9ab94e23bd114e77e801fb9bf07fbaebb5b</t>
  </si>
  <si>
    <t>b339a392d36d5ca4c15ea213aa3dcbfdd7c8488b2e8914e312e92fd33c59c46c</t>
  </si>
  <si>
    <t>26bf54337f019e9bd9c6980f77f7cc51ceb9eed6d45698600e2a5e691c7ac725</t>
  </si>
  <si>
    <t>78aab60dde1a10db5aa8cd53d68092bea203401bf12f8a893a5fcfd19eeb92ac</t>
  </si>
  <si>
    <t>61f88e3f57a4aea9a927e805e608384c81fc9eb6cfdb964807d721d277ec47fa</t>
  </si>
  <si>
    <t>8aeb707f071fb143b09ff6380426c1dc4d9dcdcc82228eb51becc1b391f254da</t>
  </si>
  <si>
    <t>fa759e1e48fab2ce409b71866c6b297910d1e80fa23734722d512b2eb5ff7e10</t>
  </si>
  <si>
    <t>a587f19226a70a434d6f26854313ea9baa46e978a7a6717c541c7377660dd82d</t>
  </si>
  <si>
    <t>0b2300e7cb6339324ce1458632a10a62b4e3896bdba02e948d1d4e7a3069a592</t>
  </si>
  <si>
    <t>f5a9d1d87859ae12d0863d707ee36ad6f5eb76afb15bea7a3b4013840e278af2</t>
  </si>
  <si>
    <t>cd89e8c6cf0d3ddf5e8d90422f2d9d5bd37d64500e2bdf24cddac51a34f4645f</t>
  </si>
  <si>
    <t>347903f0279a5739bedc3dd80d7dbb85d708b183fe8406b78a7bf0c833b07a65</t>
  </si>
  <si>
    <t>acbd1c216eb7e0882d048a6065d20efd1c267eae607d33ba208d8baa3cf3a7f4</t>
  </si>
  <si>
    <t>67e86ad7dc986002a87edbaa4be84ad758da6c88406037fc2c5c2d5ef1a50154</t>
  </si>
  <si>
    <t>d2f976735b09857c4fde438473eed5df6c5fee66c633770cabbd9ab853541879</t>
  </si>
  <si>
    <t>de4894888eeb8f621ef0a229771f6df81587943f163dacdc2421d91ccc13742e</t>
  </si>
  <si>
    <t>9af68718895a0144ea0e054746b6e83b99b765cacc776425aabdf650c8c32516</t>
  </si>
  <si>
    <t>cfeb1c3abb303db681486f105dc80842354f91f042d0ebe7dcaa200c7fd2958c</t>
  </si>
  <si>
    <t>9771b3dda352ddd86a3c42742f2a99a75985f4855666582118498173d7c67f4f</t>
  </si>
  <si>
    <t>d5cdd4d072d391c4ba06d8b7ab3fcbd32324fc563a596a90ae74a09e1c654479</t>
  </si>
  <si>
    <t>5776f50a6446726ee2ffeb56f7968a03b4b53422bbf4cf501da7d5044afaffd5</t>
  </si>
  <si>
    <t>33b8aa6391fc1976bd3c6926df3b94816fb0fe223299c450c22d748aa661c259</t>
  </si>
  <si>
    <t>ae08a5a7f0b2de06a83319624a2797a582143ff8daeafc66220d2a1f55b3286c</t>
  </si>
  <si>
    <t>c23d322f5a5c0ee8ec47222ee41a10ff2a1d151c9aef4acf7e6c3b90361406dd</t>
  </si>
  <si>
    <t>e5f6933539a37c87e40720da49226765d640d72a38ecea7b7e361e03b1a6a224</t>
  </si>
  <si>
    <t>7b60e511315f13bddd30e7f0e1c51db20bde3fd0b24ccbe5301bb19f8a3c5950</t>
  </si>
  <si>
    <t>e0ad0d3d3215fff7e0d8a5985446e780d64371bad58beaa4af74da643fd10400</t>
  </si>
  <si>
    <t>37ba027e0bc91135341996434afe4fba5742c0825346acb45c192bfb0f897718</t>
  </si>
  <si>
    <t>79569257f9a6349876adc3cb7d56e5c39c5a8708e52391fff4efbe14591a5519</t>
  </si>
  <si>
    <t>f8b84600809099232beffe36f88bfbd1ddf78676828b8619b026b7dc1c32d8ce</t>
  </si>
  <si>
    <t>a797f7e7f9eab8b1dcf07408d86e8a71b19bf2f490894a769ae4dc0bc974c789</t>
  </si>
  <si>
    <t>85dee4b232bde9b1a13643538ec22a56a2101968b2370797a6ee5ca7cde66449</t>
  </si>
  <si>
    <t>703967e57a179c7a432c686259c8dea2aa29061e629d04e58ff452a0e5a38e49</t>
  </si>
  <si>
    <t>ad073bc58d6ba665c2e1a94e42e2616e586876ea8114723e9a140b96d9ac3ea6</t>
  </si>
  <si>
    <t>fd5b22accb217345fdff9c00c0ed06b0bf53c887ce8124632259e1890fb12960</t>
  </si>
  <si>
    <t>ec4e2ab03e6e5b821f051bfbb201024236263920ce13b09ae231d9c0673ff70a</t>
  </si>
  <si>
    <t>a2d85d806d9c8a2caa536bc8ccaf789fc50c4e2e946396d8f8de90abe2e50df6</t>
  </si>
  <si>
    <t>9cb33322eacc254f3f0587ebd02324ce0e92be88a6661b8aa52968c040a0630c</t>
  </si>
  <si>
    <t>1d9eb59e0dea9d856a0cbafd4ae459ea9e9494528b6b7b02a9e1977dd3b9e5e4</t>
  </si>
  <si>
    <t>e48cb3af418c28579640f53273da00bfaa7c484dc33bee2713e2909cb97acaed</t>
  </si>
  <si>
    <t>715028930b3cd3bfe67e9b004a2c30eb96a3c0b22d21eb22c64a7620364fc536</t>
  </si>
  <si>
    <t>66b6203c1e58b143c1e348d56734f86864afd6a162c6ba6d8dc2f4aafc628c0c</t>
  </si>
  <si>
    <t>63c53bc474e9007992516484079e4a6d21614bc8d7c28374163272d7b6dbfe43</t>
  </si>
  <si>
    <t>9fde090b0736629b98fd309683a959568cb9a2e93684abd34a87b9ff0d5a6d10</t>
  </si>
  <si>
    <t>d675c4625b8b42cc58b223fa020bd4151240bda51a641b3f15d72e2a3b2fbf34</t>
  </si>
  <si>
    <t>63a2df28dee18617ed2d99a668178ac8748c4ebfcd4ca23b7c62728da43447b1</t>
  </si>
  <si>
    <t>bbe411a510a981236493b9d6575aefded7f0dceea9d870dcfd2abd0bdbcd44d7</t>
  </si>
  <si>
    <t>df2797d9760dbc8056033c89a1cac8d246178d4dfe1048d6f12162a5dd9546f2</t>
  </si>
  <si>
    <t>97c2fc181540b4edf563e63378fbc5d2cf22f830bb6c08036be082c7e543d69d</t>
  </si>
  <si>
    <t>90fc143d455dcf6f61cf569d40ffcbec9f32b52c4b17601713758141dda80c49</t>
  </si>
  <si>
    <t>febdadf9f3df5ff02e053579f46f72ad2ca00a8e478cacbf5e838a43cf3b84ab</t>
  </si>
  <si>
    <t>68a8815ac4f41af22c511015191566d6a2fa83188ee153d954138023d154aeb7</t>
  </si>
  <si>
    <t>aaf9b87f3036ad82fc24fdb3652961c0c0b8f10fadcffa46bb1ca74de13d836a</t>
  </si>
  <si>
    <t>77c96f0147e60b347b26557903c70d71f98c2d48816e356fb5806140e2e3fce4</t>
  </si>
  <si>
    <t>394bdabb4b41e0acd6c6e149400b71b6010d71b6b4a2ed03e4a7e10ab3849793</t>
  </si>
  <si>
    <t>7e62726c4231259adf01b7e09ac07a846f6c3e4869b3a218364b14ba52831997</t>
  </si>
  <si>
    <t>3da2a389cf96f7e0c6b7807d89b15cae57a3dded8f42f20a3eb408bd69157b5c</t>
  </si>
  <si>
    <t>926aa92cb223193af0f9705118e786c54eb0a815a094fb1cb8d6d4fbe39c74c3</t>
  </si>
  <si>
    <t>b3c818ab7b5b0fe999da1bf93ae3ef003bc509e43cbfc856f8b58b511e094989</t>
  </si>
  <si>
    <t>5b905599fff1625727bfc02a15fbed4a86a95f979b089f2f13271d0c138a6dae</t>
  </si>
  <si>
    <t>01d21e57641815b4d01c178c9076826c43961f0c2c7a3abcd41a467c3dd6a3fa</t>
  </si>
  <si>
    <t>7c39404644d65b4438815a3d7432cd884b800b5004fbecab412f1ba51995f000</t>
  </si>
  <si>
    <t>1ba0b4d750de7e98745b573723ca594c92795dbdaab7f537a92961a40f6b9a66</t>
  </si>
  <si>
    <t>81dc4cd3ac67bce91aaed8f53348162fc1ea5853d6975214a2268a5c25190c32</t>
  </si>
  <si>
    <t>4cf83323cd387da003fc6c43819d566ef50653284956be62f3cbea338bf4f7c8</t>
  </si>
  <si>
    <t>ad71b0aa758be09caaf3f1a3e7c4187885b2fd3d662088a4fa3342b22cef4140</t>
  </si>
  <si>
    <t>6f97469ef78f43dfbe8b670b8d3cac5281321becc6361af51c048c2217df48eb</t>
  </si>
  <si>
    <t>374ce859414fe92aab078bc50ba417e33cbdaa8c5b21846599f74c8fcf963972</t>
  </si>
  <si>
    <t>9950bc755bedce3b4ea1ad61d7d8e3800d45302bc4b75f3c7158b3ee8d13ebb2</t>
  </si>
  <si>
    <t>793a93356734cddadaf85765bf5905d36f95d71f081899613f8b353f43305c9e</t>
  </si>
  <si>
    <t>cc4688ddcf7a5ce272e67bd4d8366efa2645600f086b9b5c828c1beb5bc3430e</t>
  </si>
  <si>
    <t>da5da5b3f9eb5af9fbacc1aee378fc76a3ebfcb3a9f5df156a7d35b5c46e067f</t>
  </si>
  <si>
    <t>318228fcd0dc866222f3fab066c97faa456b5f46285e56e7d64377dc86d549b9</t>
  </si>
  <si>
    <t>2d1fff41e62966750a2c6b5915ed3adc84c20cfe2d5d0f63347765a905bba3bc</t>
  </si>
  <si>
    <t>1267edd5a8c648a37734152459f3edc5cf02e7d497e397186b300e3b3bb5d64b</t>
  </si>
  <si>
    <t>30b9a15649bae98d546c5a3c9c11f8fb93a8d8506d11336ca8d62770f80f1167</t>
  </si>
  <si>
    <t>a540619f8915feb00eeaa381fff0ba15323cfee5846c9a5b08d302a95eaaeaeb</t>
  </si>
  <si>
    <t>4151832d04e66e09a3c5d356075c36db396f8af4336e3beee97b0ade92416fed</t>
  </si>
  <si>
    <t>2e0c89ec7ed72a67d14b258de9bbbd03965be44c0e622bf24a18fbd305d3a2f2</t>
  </si>
  <si>
    <t>4489a372cacd5b7533705dc14285e761ee5f244322a0c670528cc87ca89d42a7</t>
  </si>
  <si>
    <t>3b48403cd7dbfa07cb21b11ad25130a6718e4631ebf55a12a33634a66a6d44e8</t>
  </si>
  <si>
    <t>c1dea7ea940a8cd577a422b0a17d37b740193ea37cdf424d3ea21ea0f13b7bfe</t>
  </si>
  <si>
    <t>3fb4cbb0605e57e4e6718d1468fa53850386a27d11d3c6f6f5c9a241eeffb26a</t>
  </si>
  <si>
    <t>f6e002c244050b6763bdf3a6151cd69d5baf85f86427f59fa32ddaba061387a3</t>
  </si>
  <si>
    <t>4b5ad6ecab29aa7dd3b6b1f7c89a1ef96517bd2b830d90a95ad22ffa575002be</t>
  </si>
  <si>
    <t>3968965dc1c21b706053b919fe825cf7a9bc6e92b41424fdcb8ecb27d1d1bc84</t>
  </si>
  <si>
    <t>d29615eeae3a1e937a42e75832b2312eb6fd997ac238f03478de73515a0b4172</t>
  </si>
  <si>
    <t>15281ee520700f8fa27d90f28be5920b348dbe86ca7fdf7985c5307cf3edfcca</t>
  </si>
  <si>
    <t>41113ba7eb9560be1457b8da824ccff0d4a3c509372bf9bbcd85cd3ba91d4ebd</t>
  </si>
  <si>
    <t>8cd0133137f85d9ec2a36842559d5ee155b89d4f525ec362d9e4772ed707b3f0</t>
  </si>
  <si>
    <t>bad5c3b28d7ded6338f1a7adbabe114141df2b161f3766c476c8f5cbc00d8f47</t>
  </si>
  <si>
    <t>c06d924fda956bcf2ed84f85cbd98ffbc96f912767524fd6bb9da23e3f01ac16</t>
  </si>
  <si>
    <t>966d26f6932c1fb7319e19a62b32441b570358fe875a5c96a864eab86ce69474</t>
  </si>
  <si>
    <t>e5fd20b45ffb5db3c9216e79d64b4d8131d2965cabd1e25c6eb92f45f18c5bad</t>
  </si>
  <si>
    <t>dcb2a4a8aeb7e701c1d2cddabbc51886c96ea46a8f169b5ac1f0dce951789fbd</t>
  </si>
  <si>
    <t>cd112cea68cbf9216cc255463cb157254a1b9ed69e2aa85b679091e35bf410d3</t>
  </si>
  <si>
    <t>04682d05c7b2e7970eeada288a1f0f16cbe3e2aedd4006a6c6cd10e3f4d0a177</t>
  </si>
  <si>
    <t>e29d120687403eed0d2308993313f7dc1cf669fbb0f6f49c5f3221e8418a2b60</t>
  </si>
  <si>
    <t>b2cb5772e11d8599475afd52d4c25465752d166c73e822af165981814a53ec75</t>
  </si>
  <si>
    <t>a020e24c784ba01380e25502fb73bdf6ce354d55101fbf905038225a13383a48</t>
  </si>
  <si>
    <t>87ab577683b297f9e0b4df18d372feb883bebd1a2abbb907a4a2a60a8bbc89bd</t>
  </si>
  <si>
    <t>e4cb049e2c552270944490c64e3db068a3301b315705fccf37aa9845cdad69db</t>
  </si>
  <si>
    <t>aaa504d1b576384957197174e61af010e2c380ff569e8ee76aa94de17e9c2d93</t>
  </si>
  <si>
    <t>b2270f9aa771d53cd5f6ef65f7d628c5ed851e025914ddb2f694449a74a3f0c5</t>
  </si>
  <si>
    <t>ASUNCION NOCHIXTLAN</t>
  </si>
  <si>
    <t>19f88c73622cd800501df823a640c62c1f33a45bb9c0913feeece058e1310c31</t>
  </si>
  <si>
    <t>9e64c48b4aa3bb5c698287bb6d5f3b0c0e1230c25790bd55cec13db887e20517</t>
  </si>
  <si>
    <t>6716451635355c77511fb3c28a6568b28328a5ea64a3089f6735c0a9032b975a</t>
  </si>
  <si>
    <t>ab6cdc4d8328fcbfe913fcf172cce69df3150997b24d3eeeed99afd7e298f6d1</t>
  </si>
  <si>
    <t>c26ef65e39bbf1abe65b38c4c67c3fd71f6dea40c4ed7a6a982f8a56f6ce5930</t>
  </si>
  <si>
    <t>a9570a9f24a46c6947861973867450259309649f2d5764847738a76d7e506439</t>
  </si>
  <si>
    <t>82a84267be5885672928b17e39a9151bcba336a2a896ee8a4ac2996e6e73cac5</t>
  </si>
  <si>
    <t>2bf44ac107dbae63751806b46c6eaf4876b420b18dd136543944936fe3154c90</t>
  </si>
  <si>
    <t>4f83ce26ceb852d649261e99c86f09c6fd7310ae9be6c44bd2e1ddb7d9f87611</t>
  </si>
  <si>
    <t>6e365af1af0f0ba440a96488f7ee4ec6359341ad9e05f081701643f7aa91c83a</t>
  </si>
  <si>
    <t>00d197b37e5cabe6ffb24ba4c320979da963ec0fc13453fdd5d43970934a9567</t>
  </si>
  <si>
    <t>4cda12f6ca8000e97ec6e866fa204a069987cdb137daaeef6b48307ad35a3c61</t>
  </si>
  <si>
    <t>4a6809690391386698a2cf5f5f6cff81ba7766b2abcf06b58cccacdd65070d75</t>
  </si>
  <si>
    <t>eec3936398d6affd00da1b58f15a5b4fc35a7ff227f0202795dabc829c354b28</t>
  </si>
  <si>
    <t>d94ef2d8097f4ce2b9a94d49542f54bb2a576cfd5dd79410dac2a2786c0d8214</t>
  </si>
  <si>
    <t>02382b84bafab3e099394d7c165a8640220a58860def632d70387f308a66c335</t>
  </si>
  <si>
    <t>8e20b5bcc6f4bba3225a1b00deffb4f35925ed937bc63c20c9edaaa2db91476d</t>
  </si>
  <si>
    <t>f35badc985c8ef4edfdcc73bce9de88cc2b34956cfe344c2e407f592da799d92</t>
  </si>
  <si>
    <t>a8275fed7f8283e97a7ea29c968fabc9afed662a684a927469208039cdd461d0</t>
  </si>
  <si>
    <t>0aa700ab0dd8f604df3a1cab3d1dcf27bd15bf7b993a9830cf7b21597ff60c78</t>
  </si>
  <si>
    <t>0ff077a45c43c2cffdcd10342b437eb11f298c1b8c95dda45edb522c03761c27</t>
  </si>
  <si>
    <t>8b60cb713e0e649988d25055edb75fa37e6bfa8908a0c0ccfd19cd893b498929</t>
  </si>
  <si>
    <t>bf818d25ee78f0a94ff15df7066fdc10986a99936428748e4859b3446e458c1e</t>
  </si>
  <si>
    <t>2d452f69c38b6b08a0190d38019938381c1ac8fa50cfee947d342bc241c4055d</t>
  </si>
  <si>
    <t>99dd6866f2d42666a9e47a73cf0e93faedfe2b85b1a5895590d7e38d00946cdf</t>
  </si>
  <si>
    <t>63840fe5ec4017d768b45ba6deeb010b37077fa7dd418f3921e9a37cd784284a</t>
  </si>
  <si>
    <t>0776c670dfe0816eda64fd6e6011004ca0cb9b8434c7bb166f6e96ccc6e2a815</t>
  </si>
  <si>
    <t>76e5fb487611bf19dd4c4ddbe0801ff3a046619013296f6ebd845e679ad6522a</t>
  </si>
  <si>
    <t>46ee1ed5faa90bfc6e4568bb9189ccfb5a641fad4a15f3e574096de690e1b310</t>
  </si>
  <si>
    <t>3d6cd2661be733b334f0d6376fb75844888b2fe456e05ab8847af6e74d29a287</t>
  </si>
  <si>
    <t>5796b264a209cda1ec2df68432ea9439ba589d9a7bcf7198b058dacedeb0a309</t>
  </si>
  <si>
    <t>765e315cfed3e15e84db37b0e9e05c7677d8fed9416e93245eba226d2b00ca12</t>
  </si>
  <si>
    <t>f60d5c1e1681339e6917930e8fb54224f6920a38614cb20de151f5cd598b128b</t>
  </si>
  <si>
    <t>baa01627e84e2a0c9f357cc3be41ee75a639c2febd0a180741d39a9c2b57908e</t>
  </si>
  <si>
    <t>ad6b181fc8ea701110e83a6ab38bed2cb8ef417bf0de223413079a1af3661cf5</t>
  </si>
  <si>
    <t>2b5c8e515c41d7e1b2203ce249c54dbb2d518417e5e5cb8d4968ee87ba076e08</t>
  </si>
  <si>
    <t>bc780458a0b421af117a9bb001194488ccc49d66f12759f9d4b92a5f032f434f</t>
  </si>
  <si>
    <t>2a9da42a90c421cda206844507ac8b2705264c7be103c01492cc21ce335b336b</t>
  </si>
  <si>
    <t>ec2932ee4c243ddd212f0513e7f44a8f93cc582e55bd1fee037b2af5bfdac0a4</t>
  </si>
  <si>
    <t>5770f12f14742e336c28fc6e364cb48898d01304fd644423c4d5b6a95114745f</t>
  </si>
  <si>
    <t>85c79da7f6f5e0d2b209b26d4309d823c90370546f3e404e0f8e02f2f6f9cccf</t>
  </si>
  <si>
    <t>33a656c89277159c2c96859552e8aeb5d9feb912e8be16111c1fd01ac45102ef</t>
  </si>
  <si>
    <t>ad8889e7358d6114c51ab105bbe39e46b5e481e1198bdb2fce0932e341061439</t>
  </si>
  <si>
    <t>08388a2e033d321ee29b58fa7a6707811804cf4822e4ec2b480148e1f269b6d8</t>
  </si>
  <si>
    <t>5ca0d2ea899334059b6bc065fd187bfcf564cf15c5edbd07184affaf9cd4da95</t>
  </si>
  <si>
    <t>e96dd42722d6722c4ae79e45b43431a26b10630353d11eb3e974f76807f80bc5</t>
  </si>
  <si>
    <t>c7f1cb933201fe01319efc52f5696af6c332c9bec2ed496cfc1d3e4afe71eba0</t>
  </si>
  <si>
    <t>231cd8ff4625172eceb6434c32236114548f3d84e9ebcbac62f817b24121023d</t>
  </si>
  <si>
    <t>bc471c7175a47535f19b179e667e621e0b8403b6fb1119c882fce2fdc24f2519</t>
  </si>
  <si>
    <t>a986bebca7c4015c717add896075a75c2fda1b9f2cc45bf2b87adb37fd9817be</t>
  </si>
  <si>
    <t>4da60e248871633ad2d10eb0b103c621266dd667572fc46cb4af5076cfcbf0c3</t>
  </si>
  <si>
    <t>949bce765fa87671b43bc65852e55685fe47d07a509665ab7840272cacc477a8</t>
  </si>
  <si>
    <t>0fa202e0eab280549f81fe2bacb55308e802119a6a89e35faecd366007ba43b3</t>
  </si>
  <si>
    <t>9b69e445161a82965b112a07da94822553d8c28a3ae06171fc98e57b1f39de54</t>
  </si>
  <si>
    <t>4da1602f2e1ab3150fa3338e9199cc9550f8306883ca99d1694829a28b05e3cc</t>
  </si>
  <si>
    <t>968a4212c825a0994c3316628424c4ac5995118dafe531890dc91ccfcddae00b</t>
  </si>
  <si>
    <t>ef8c462586df2deaac1727151e3c7d60ba5af6de70998e55682ca9ce72bade4d</t>
  </si>
  <si>
    <t>e6df754c82a540a13a2139cf74f3576b3260d4ead868018c74c7a67aa933f997</t>
  </si>
  <si>
    <t>1a3b102d7356bcbde429a5820600679aa91fa65f6ba7bc529ead4006b0ec3706</t>
  </si>
  <si>
    <t>e2e56d851fb70256c5f780aa514311e4950d0708f35feb2c36120c0683bc9fd8</t>
  </si>
  <si>
    <t>aa203d7b23e03e577d4fb157f3b8bcabf19350789d7fc21fb3d3b627bb2ea407</t>
  </si>
  <si>
    <t>310c6e185ce89476ed22d29d5c0ab8371e638b66050105798407242b2d3d776b</t>
  </si>
  <si>
    <t>3b22096825d08c16af98f8b5e3900b0f7c071943733fba627f35abad1f8f68c0</t>
  </si>
  <si>
    <t>484118b9928a5fe5d83ecc288e7c86ae9d43360bc5cdaef2905627f1257f3ba1</t>
  </si>
  <si>
    <t>cf56e7bf660c0d0fa48c8224152cdf0abbe4dc8419d59e915f08182bcf848910</t>
  </si>
  <si>
    <t>9b7949fb16c1c6fba2789f78e00479220572f2d93cf5e1a1de4d444a2eee2b88</t>
  </si>
  <si>
    <t>7f55b5d08ef0678769ca3d7b4e5bc3819c27f258bddcb500213f5145d5581ca7</t>
  </si>
  <si>
    <t>4565a4d376173914ca26dfd8796676cb0d98e394ff254be69bee33b5281ee999</t>
  </si>
  <si>
    <t>6b0fb94df58968b6524fe9194ec91169919c95e7fcf52bb868db2fdf55732305</t>
  </si>
  <si>
    <t>fb722e55b2d0cb5b0f98e7076696f8bc1f4e3cb5f3c6349de97f137b118bf573</t>
  </si>
  <si>
    <t>87c49b4a0273f1d855a51498118ac1e18db656c1f790b651e1c618c18531b441</t>
  </si>
  <si>
    <t>49aa8140fa6fc4f96ba93692346adc24411390cd8db3efea1a69c27407c0d054</t>
  </si>
  <si>
    <t>4724a500abdf660c54f127382cf3f077e0715f1be34d014f57f23a25b0a266c0</t>
  </si>
  <si>
    <t>bc08e328ff4ede64a7f8a4e75278de38be586e45b4caf6624ca6425f2f7b5b68</t>
  </si>
  <si>
    <t>1dbb339de325d967ab83822da9da04968ef10f6baf866d51a265d740ecd41c8f</t>
  </si>
  <si>
    <t>b0dc09a300ce540df7e5549b2f1e77885597a45f2d35d1b6e20e2c42ef3fe896</t>
  </si>
  <si>
    <t>53a64abf26be5e98835cebc3474bb0ceed270e8cfcaab81da7eabaabbfcbacb0</t>
  </si>
  <si>
    <t>f9e70bf862eab5165dc806847f5d9420bed4d90bc1acdbfb794a26816ad16fdd</t>
  </si>
  <si>
    <t>be330009f76bd79f64eaa1e9963ad6882d8117ebaa0e37e16496cae63b8d9cb4</t>
  </si>
  <si>
    <t>bea5211816311737035491998a5fd1e141df258ea8ef3e9b33daf6739b7d762b</t>
  </si>
  <si>
    <t>40d75f364f59f0677506ab66e44bc3dc73ced433e41486bb3c5bdcebf0e92e72</t>
  </si>
  <si>
    <t>3d26258666ea3fea04c2049e0e3affec01ff0ff0f51a4392ab0a249334f9bd85</t>
  </si>
  <si>
    <t>cd26bf88e6b7b782a94f2382b958a5f1e40921862d2c227f95bec6298b673f87</t>
  </si>
  <si>
    <t>9d014f6b7e564adf148a0219b5a959fea4796e74191696fee7614882c4a9227a</t>
  </si>
  <si>
    <t>95044917cac7378a13147e296ae997f8ab47deae101e6fb6d46e84058fbb42d4</t>
  </si>
  <si>
    <t>2929847a8c0be8ece6b44bbee92b7aa3c9f18dd440804c5f9161d900081b3c55</t>
  </si>
  <si>
    <t>0d47cc94f73f3c8c20ccd4422a4f11a7eac5d5f2e2d5e6c7452d6c36e4be3d0d</t>
  </si>
  <si>
    <t>2d3590180a6761fbc6b7e52c5952ac62b274b31b24aa55715a10466fffa882c5</t>
  </si>
  <si>
    <t>fd4c6ebdfbf3519f707005595bf77ffa76c1ba8134136c17e9f7f1235ddf0d4e</t>
  </si>
  <si>
    <t>0521822ff13d1281cf2e256880736dce40dd42fec2c451c1a1bfd16c05a091a2</t>
  </si>
  <si>
    <t>9a4df4615f1b513a02935de14bdaa5fa4d2d97b7a3ae3f64e142b8c1b067e9e4</t>
  </si>
  <si>
    <t>72d9ad7db4c81ad29d0e90c1fb79a3d3c4432018bcf726c1cc2a08d4aee6b4a4</t>
  </si>
  <si>
    <t>6dbfb6eb7ea5eed68df87f19b95fc9b572a4fde8d43d0e3caf7f3832dc2d6566</t>
  </si>
  <si>
    <t>14832634ceeca42e9a44e19285b474839fe606a890c8622ae8677f71ef3e8676</t>
  </si>
  <si>
    <t>674987b95fa9fd2597238f99ca619f2566a3f718112de45aa44e6eb0bb0c2db4</t>
  </si>
  <si>
    <t>8af2182a98515e345c4cb55fe07dc8e1ae86fbb3cf11adcc18aac7b95734ced0</t>
  </si>
  <si>
    <t>6166b9877e3b492b91b32eee47683c3faa6fdef9a9080a5f516562ab429c4b6e</t>
  </si>
  <si>
    <t>086aa642bb3b91d6ea2281375ada169525c175853a6a3312c971b26c78315814</t>
  </si>
  <si>
    <t>d539d762e826f7676f986a349a5dacfb60fcd69c5d15c5407109b43fcfdd54cd</t>
  </si>
  <si>
    <t>a31e1b1c3dc162d02eeee15f977ed4679b403be4f491db954e63a638911b64f1</t>
  </si>
  <si>
    <t>00473611a514b6a89d80f45835115beb083e42893372c0fbaec1b79eb1154500</t>
  </si>
  <si>
    <t>de81372b19998b045f72c48b0c17c3fa37071ef69ceaabe25a76aa462ffcaecf</t>
  </si>
  <si>
    <t>79182c412453fcee229d4668e5fe8bbe5d94f6b7f39bf6eb4eeef9be6fc174f2</t>
  </si>
  <si>
    <t>b1dc271b7569127b9ab76b8b34fdcc5241b34d1290510d809346ba4b43aab30e</t>
  </si>
  <si>
    <t>8b0713e52867ca61bed5fac0a6be089c431af334402a8835bfdc9cf8586f668b</t>
  </si>
  <si>
    <t>9b219635dfbe2ca6b5b5d2cccd5695963c0547b082fad3515d166406b3160619</t>
  </si>
  <si>
    <t>98e0ea6de865ad81499ede7e929d8794f7c9d68c0a11b9ae0106675ece749068</t>
  </si>
  <si>
    <t>21143395f2ec39f47b6bdc72da84daafe023206425a134345b9bf28207abea30</t>
  </si>
  <si>
    <t>4f5aa0b438dd271b313723644ea3a2735c057e3390a39412fb9261cc6aef86ba</t>
  </si>
  <si>
    <t>bd2bdc7a3b5c67100297d775404ac4b8689617e6fa700803e836ad51647f8341</t>
  </si>
  <si>
    <t>6a5ec642b2352f916c809259f059aa13a78b63c7ebe77ccceb0d98d6acb0b096</t>
  </si>
  <si>
    <t>44c37a6faa1088279d7ceacc88d64875fd6265ae1fc991814a73edec9c32aea2</t>
  </si>
  <si>
    <t>f31f6a803ff5ac3d685045247ef4a7add3c47a972d447dda3589e06ab50321e5</t>
  </si>
  <si>
    <t>3d8917863f4fef8538d98d67758ab3f729e13066c9b9c696befb57a6c33ae468</t>
  </si>
  <si>
    <t>24845f6360442f47f1a750b9daeeaa871eab355820a924fe593d829c4302fe6f</t>
  </si>
  <si>
    <t>b1c5cbd05a784495cabdf9dabe25ae02a100ac30f9eb591d757e2ec7af28e947</t>
  </si>
  <si>
    <t>71c078d52394a7da03903c266726a2508d3495b49b386331ce84cf3d0a7bfd2d</t>
  </si>
  <si>
    <t>4c227f8b2682e005843bcf2106ba680fd4bee6e02e00258467dbd60e7257fda8</t>
  </si>
  <si>
    <t>751485775603d5cb2a3be0f0775b0968b4a3996617514d5366bb7f889d9d9e3d</t>
  </si>
  <si>
    <t>27eca3f0d5200e4e7732e3138115c8c4870296bdb43b4ad5d876c78a4cfcadf4</t>
  </si>
  <si>
    <t>5765ac5a48514e2cfe8cf29a5808d0cfc5c4b27d5aedb6103e92ee8e3f383ddf</t>
  </si>
  <si>
    <t>86ff3e81161f8ac2826a9aaafffdf40973f9f89a0636fe91fbde2e8fc7be3eae</t>
  </si>
  <si>
    <t>ad28989fda5ddddf58dba91717b988a1325a4d2b6a588926b0116cc7bdd01cc7</t>
  </si>
  <si>
    <t>897c15b7d9ce7722167e19173da009e724787a2b7542ab50bd7b82ccf6021042</t>
  </si>
  <si>
    <t>11d9a42454c9ab033454ce2d7b3a4ee33df23ec030d58490014742cc31f0f83f</t>
  </si>
  <si>
    <t>914da8e6c856c41547409a35d5c885a820b24d102cfc75f5d4acd7f11c41c834</t>
  </si>
  <si>
    <t>af18b7068278e423fc6ac4462f2eae9277821420dfba06012444c5544960594c</t>
  </si>
  <si>
    <t>4653da0faa158359fc3aa6cfeb7633b43fb1edf047c4d800301f5c653e83b97b</t>
  </si>
  <si>
    <t>51e68aadd849ea9ba654a495c3109f85c1d5b2205c143efcbe829123d4742f0a</t>
  </si>
  <si>
    <t>e25666cfe96dacb3ab914e265d49f7ebfad52f830a3d93710c62af1b97dbd716</t>
  </si>
  <si>
    <t>1b3402ae2b97feb96ffbbc00995e4908881e6110df7ca7b204e8d64da8775ca9</t>
  </si>
  <si>
    <t>1e78b4652ed9686178a2371a1cce662ca422dbffd7ac203525ebd43a84df6a19</t>
  </si>
  <si>
    <t>60676d287915fbd107bb5182d82be21e6f632840734c42c1a8d3e1eb92486f57</t>
  </si>
  <si>
    <t>0cfdfc6f3f9423bf1770635ef0be6f1574d59e3ce41cfd38ecb5f67f30abbfbb</t>
  </si>
  <si>
    <t>5db323b08b0737cd5ee6c827bef56a3f8eaefb5f93ec1877ed0fea65bc4747f7</t>
  </si>
  <si>
    <t>5ae0398bc14fbfd222c965a32c7223bfce447c18c1e5465c8ef775ec14136436</t>
  </si>
  <si>
    <t>13a80070e34558039dac60ca0bbdf4e9fabb83ead7c27fa1c484fefa1a4ddf7c</t>
  </si>
  <si>
    <t>a892921219c3ed398036d82491ecf8391ef40c65b1ae7f2a8721f87731dc164f</t>
  </si>
  <si>
    <t>e05204916954b801110df1a77085f860c0f07ca40744cd5b6577ba49f3ea60f6</t>
  </si>
  <si>
    <t>0aec55f3761728dca4d59cfe9d1086f899e00a22fbe0abd50a2fce99abf65aab</t>
  </si>
  <si>
    <t>c13924c28defa01122c6cf9a143d09b9afb7eb6f786f5dc3a1b6654bfc4927a4</t>
  </si>
  <si>
    <t>abcdbfecfee3f856cb8a1e8a24244440c09d232a6872ae018581823a767ce857</t>
  </si>
  <si>
    <t>90c1c2b7826bb54525d6ce348998e98e8af970235ea5d9362a90009fa814fd8a</t>
  </si>
  <si>
    <t>2b196270a28e81c2cfe6cbc1819d7a45468ef1f66cab944d0d20e824b1f59903</t>
  </si>
  <si>
    <t>8d3f80e30614b95104f8124bb1b330f262cda220c0c2c60127919a4b4439b92f</t>
  </si>
  <si>
    <t>6bf99a8d3c5238095c51a62a2b976b397b4a1cbdf6f40a9eb1fb1d011b56448b</t>
  </si>
  <si>
    <t>50fae9dc56e93c20b71a16dc148707a2c32b572c821d336941fe13491e0ae4e9</t>
  </si>
  <si>
    <t>618a0f1e78198a69d8ffcdbeded957ab9fda641e761175a233b1931c0c79bff5</t>
  </si>
  <si>
    <t>af6c5b93082d0c431a69269db3f43fdaff49647226550b765461e54f1b0c4d49</t>
  </si>
  <si>
    <t>a72ffad59a39df0c60501e989da3735c62ead61f6d15c273d28daf9d942b5f4f</t>
  </si>
  <si>
    <t>7d57701a2b2b3a88ab9158cc014523327941dfb25f1477a1388b30fd61d38fa6</t>
  </si>
  <si>
    <t>be849891b9ba5e2e315dc1d93a169763c01a42dbe6024a2852ee655dd8c48b93</t>
  </si>
  <si>
    <t>6670e13118782c063b66885cd9d407567c7fb229eea777d8907db3ba9971807d</t>
  </si>
  <si>
    <t>f1674f7a5730eaf8952af0252c6aafe61e0c3e4766950dd911e454c0509286cd</t>
  </si>
  <si>
    <t>6909f9e31c8cb32fa44a0eaf92ec1f91a4f97db8d055b5639f8c00f890240dc4</t>
  </si>
  <si>
    <t>a415baf91cb8991c5c0999f8b10db054d9d2c924f8c60ce1978ffc6077da0d8d</t>
  </si>
  <si>
    <t>c25796309da2562266bfdbae924bd66559d550d5fe641f7093653e3a616d39c8</t>
  </si>
  <si>
    <t>be7738c72c436cfba0ae17d0ec60c096065ab4aeebf788d6040b66ad8ed50d16</t>
  </si>
  <si>
    <t>6e3c7a096b596484349a5a77cab4a0f094edce49ce28045f523cb90b841045a2</t>
  </si>
  <si>
    <t>25431e0c60c916d1fac5fa6deebfab00f416ec77059d25210c71b945be80fc07</t>
  </si>
  <si>
    <t>5f2ba15d93358cef675395806ca88c69dd32b6569545ac5468dfa049342d8db4</t>
  </si>
  <si>
    <t>42da419861ad5d6317cfd5fa691f1f824902f64891251de775406d00a9cc7b94</t>
  </si>
  <si>
    <t>5f5a176258c1094899de5b5b6de0ed7ca1664719d1dcae1722f4344ce9b48d6f</t>
  </si>
  <si>
    <t>fda5a57a98296c05b653ee2812351ca0e99aef9e5d576b85e7f7a0c5c1c25639</t>
  </si>
  <si>
    <t>23451fbab7e8b83a30683e255cc97b5c65c6fd1cac6988b6a48a033930abd095</t>
  </si>
  <si>
    <t>ec8f6351490bf8915fb28fb09dff7297d2cdbef137feda3d23a53d506119d65d</t>
  </si>
  <si>
    <t>689acfd8da833eb9ff1de8a7af040f85b15850726517161063b757ada5427be5</t>
  </si>
  <si>
    <t>e2e0cd1a4ae61b910066d815ecf7ae0fbfc7d6d7296360c772ba6ccbbd1950d5</t>
  </si>
  <si>
    <t>7905f53d7d067473ba567f35542326bc52bb3d6ed2dd2db543093c54dfaa29ab</t>
  </si>
  <si>
    <t>3c1826dcba5756280c46f3ac8c8e83e0a69edb586742e0e4e4dfa2cd1a282fb3</t>
  </si>
  <si>
    <t>5f68c7a18676eb965c21466f2605c83d5e8b2b012666ed46b3e3aed197b23538</t>
  </si>
  <si>
    <t>73c6c201decef297f52b672ec9d7af18b4bdfd2b0243092faa329cec3fe14229</t>
  </si>
  <si>
    <t>1802ed634ae986335e3f0f13e6f39b3dc46d1e72f316ccbd92c4d784449d4a65</t>
  </si>
  <si>
    <t>2a47a5b6e1e1a6a405860fb623f2b058432508807e4b2fc0b7e87b58545df05f</t>
  </si>
  <si>
    <t>f4201bdb4874df1203fa61e9074815fecf9948b24986abbf5db2bd3b6f6abf3f</t>
  </si>
  <si>
    <t>2da14397db3c270e337fd145e6b630540d77e6ed1c48e754ce92d24878e7904a</t>
  </si>
  <si>
    <t>fb13f8f86ba8c7612652aed2f58df3a7dae87801026c6fc3eacc985293b9b01e</t>
  </si>
  <si>
    <t>50c74d552223881fbc6d7e1c86beeaf57f5dacd9aa925102fc2e976d3a5db02b</t>
  </si>
  <si>
    <t>7b012d2578d1b0dde73e1794ad55a1ac15455621fd4192d92ca6d9cbdf5abaec</t>
  </si>
  <si>
    <t>6a2dea0937d373956a11c7ab7707f4e91d90f28ea77b576804c60989a474bca9</t>
  </si>
  <si>
    <t>8ef4fb4135c53670c7cbf5b51b99aa006d7022fd1ef6b1c47a78bbd6d6b35daa</t>
  </si>
  <si>
    <t>b5a5e284bd9f84f94a20dcdfc05512559a401210234bc2a0ae1a00228567fb44</t>
  </si>
  <si>
    <t>555df250d349730daf30e6a10ed4bf827b24f0a3a858f428ce1cace6e6be67da</t>
  </si>
  <si>
    <t>403431d1617c0e8b649ed2eb59cd1f3df92a00c3c6a54b8dbf5bc2b1d78277a0</t>
  </si>
  <si>
    <t>0f57b36f73d64932211ec55ae862863371202c1d803ffdc135257d28cc220c1f</t>
  </si>
  <si>
    <t>3db65ae5a4a6ec329c5d91ecedfe0d814d94929e7282b57907d9a9fb2f4bee72</t>
  </si>
  <si>
    <t>469f066b599076d9a022630f8473e82ab6358820fa3f3c8465fc31d708df798c</t>
  </si>
  <si>
    <t>7df72c8b5aeee10d8c7f198073706253ff76f73c1feae82195f5da118d83a41a</t>
  </si>
  <si>
    <t>1a51dbf90dc60d5234883cf8d13419995180d508ea217fc4fdee450be8a4815c</t>
  </si>
  <si>
    <t>37400d26297d91cc566c70c6f027ff79df1f76385389c6632e5c4350ae05b892</t>
  </si>
  <si>
    <t>5d4815a7db84a78b33ae25ed655120a2441c15eb18ed375eebee4935f6308c42</t>
  </si>
  <si>
    <t>d84f5d48d5432378469e3b5381c218973261683c182eb8bc6990732674ac452d</t>
  </si>
  <si>
    <t>RPP</t>
  </si>
  <si>
    <t>ab594c933c527dd97db9befcce78ef9c432e778c3f8850d669a0d21fa069a51f</t>
  </si>
  <si>
    <t>c8c2346f4af463691b57ce140403abd534191c9cc1a569deeb205d0c274c0942</t>
  </si>
  <si>
    <t>486563afb6ed44c61f8a8a0018032c00dc7e4807749d7568f163d117c7eee7d6</t>
  </si>
  <si>
    <t>adef069d1bac87019764af5ca2a1def4af3259cb05ce25d1d32d53470caf41bb</t>
  </si>
  <si>
    <t>1cf25c60459134a56c8d72c6a4ca94364e9918b955ecb07f2d9a1f8187eb8996</t>
  </si>
  <si>
    <t>641dc8de626ba89f5608dd70b74b13964fdd73c65fd69c53975d04b9a56179d3</t>
  </si>
  <si>
    <t>2949559e8c223b8749331bcfa5cda64d5b62751661f3b7fb9b3fc9b330e0df87</t>
  </si>
  <si>
    <t>c136da12e0c028186ddfd07112c64573f32d33321bb33f31149c7838eec17d39</t>
  </si>
  <si>
    <t>631b7500628791b4da3d76d0776873e280feebd941abccb3a19de2e6e84dc0a0</t>
  </si>
  <si>
    <t>b108bc675fde31b04223526367eb44469aaadda0ff4be132f0c2ad3e7d4726d6</t>
  </si>
  <si>
    <t>b12b9eaf46b714afdc27802eadbb4527db7c38fd45314b5c784c11ba6c3fc4aa</t>
  </si>
  <si>
    <t>e10addf846570292c9b36552fbce603364cf9d769f5043d91063907f9119939b</t>
  </si>
  <si>
    <t>a2eb9a6cba0750f91927ccd8e0c073bd12983d1da2d5216bc1afc4e0b4b649ac</t>
  </si>
  <si>
    <t>64bef98652b1c846566b386e1c272ed5232e75a1f7d8afef26aa2305ad154616</t>
  </si>
  <si>
    <t>c18d7007330375fa76bf49c0a3e5e9e03635a2b65b99d1e1a1f6315103ef348d</t>
  </si>
  <si>
    <t>d2ad57d0192b713d31357dffa8f3e8fc1a136aa9a1bf094ae135c63ccda2d71d</t>
  </si>
  <si>
    <t>643df9a6acffbac959ccfbbf7175f74d15c663cca9df9c8dcca0528ae798c643</t>
  </si>
  <si>
    <t>1befc6ee827145e8f8657565c9073bddbb7373c7f218111557ff89da1ff9f640</t>
  </si>
  <si>
    <t>188ef900dbbe8987a26bf31e6ab35cca7807fad8bc93c4314eed9990fa6d240e</t>
  </si>
  <si>
    <t>c27cdceda32cb14179883f9250f029b91c5c2ce750d4cbd26cbfe1c1e0936472</t>
  </si>
  <si>
    <t>92e228a91380120f0cbce2fa5cde0347e406ff91df4b5afd0b0fdebd1f12e1a9</t>
  </si>
  <si>
    <t>d4d991d00570ce8ccc09dd1d2e0eb7ae6a60d182971957cf4069000d6a983284</t>
  </si>
  <si>
    <t>ea3ce64586b59dbe8b8ede91021521739f679eb6fc1ce0c91fa95e9a140b1ef7</t>
  </si>
  <si>
    <t>93836393993b7721f602701223d0b076b715519ed43662d05d900ecbdb3b5445</t>
  </si>
  <si>
    <t>5f8964faf3f33f6fed9563b21b4b668ac1b810542ed970a751189efd5e6ebe59</t>
  </si>
  <si>
    <t>3c5c81c1c16f3d50f117ad449beac000492970c87a37ee3e7f22e5507101c2bc</t>
  </si>
  <si>
    <t>460cd105bc2442aec81f10f0e508d4f932332bf57133635ff5d1a16fc2951ee8</t>
  </si>
  <si>
    <t>21e459fe8de116e184e04c9b361ff24fb7e1b065e7d29661698a7f0e308c119f</t>
  </si>
  <si>
    <t>98aa600ed8ffe3f89567375bffe139c456b32337e8ca6d3d5aaec2937c287bde</t>
  </si>
  <si>
    <t>10c38481b1d5f9b8137fcc193a3834209506fdfadebe29e775c0c6e28ea19c1c</t>
  </si>
  <si>
    <t>90ea24d59e41c2b7658cd190cd01a63e53d201dc3b72dd9ef13bee8d3434b4d8</t>
  </si>
  <si>
    <t>252f36dd68a57b94be1db267dd330e01f6635f44e3bae5011624af349f7c18bb</t>
  </si>
  <si>
    <t>76250832d6812c1bcb21eb6ca4ba0598d1c276f6e6a8d98f9fcbcdbb990354a9</t>
  </si>
  <si>
    <t>4cdad246772819a886309d5832adddd78ce80744bb58ee8355ecc81a320f5dd1</t>
  </si>
  <si>
    <t>b12fbc3b0d2510791ac23947e836aacf8e7af47fd10ab4f85d3eea5b8e23e8bd</t>
  </si>
  <si>
    <t>02aad7380d4b629566a1d461cf99c7f4558b6b39c0ef2ef2ba4c7110e241e4ca</t>
  </si>
  <si>
    <t>8055ab1028428c2c699f13618a6e9794ce0e4890b270db518dfbfde9ac4a303a</t>
  </si>
  <si>
    <t>d6f69829adfcdfc41eef189984c165d3ed4686c883444ec3d19aa343ee7b11cd</t>
  </si>
  <si>
    <t>407ac743af7706873f484f28ac5cb2d7f142860ba98c7d1231b65b21e46e0399</t>
  </si>
  <si>
    <t>66f2ab028a2cd6315973033acc58900b1c45b6debdd93b99c1c2159e675dde53</t>
  </si>
  <si>
    <t>195f90d07cc8bcee871dd76248db33ca554b22b5665437dfd41969553acc7f97</t>
  </si>
  <si>
    <t>c3e792ba693bb29cd55c9db408277ef0e9dfe227675a776e40bf385a649ef176</t>
  </si>
  <si>
    <t>b4f09ba33151d7b4e16a3cdc26770a3fc8a77e0537343d5ee109e01916867248</t>
  </si>
  <si>
    <t>2902bde5aa8cf621494c94732437f3838f06876f0619b96687c44f737a255cad</t>
  </si>
  <si>
    <t>e7d2d9aaa38dfa05137af21942ebd9c9b68f5b22f73a8e67c65dbb1b1020b35b</t>
  </si>
  <si>
    <t>2a9259de6007f751773cb5b5524321384d8846822bd46f127b733663ad9baf77</t>
  </si>
  <si>
    <t>6c8268b0945c51d35e65a683a02e8ade3caad33f43c8219ec50c1b6cd12394c3</t>
  </si>
  <si>
    <t>3346135cf0666f29e0762d8e3b7df77d7d934f2886b7432e3eb14e4f1eccff5b</t>
  </si>
  <si>
    <t>3e7b104c2470a9abde3e17ed14c47643ac96dd8d7c083787c418b2be640dfab2</t>
  </si>
  <si>
    <t>0b9ab9e67cb23d6f89c985f68c6a5b6919bdfc36d26747a76b85bf667bc1475e</t>
  </si>
  <si>
    <t>cd070214a58d1350df104c840fc68b11f0be8068e4ecc54f29d133a9c5b4961d</t>
  </si>
  <si>
    <t>75fcad78aee5584b008ffeae255b495b4838d6854ff6e8da87e90b438970f998</t>
  </si>
  <si>
    <t>43f46ed938009f276e9f09a6ab8480cc3193d090cbb882d03e667769c405b839</t>
  </si>
  <si>
    <t>a3be1633e803b5bca8461d9774524932e3829374449fc7786b68899de9e961c5</t>
  </si>
  <si>
    <t>8777fdd1f65505b0460b9a1348cdaf4c2d0a9788f1dd3dde3d78a0fc2683e481</t>
  </si>
  <si>
    <t>f806fb6fc01627cf1ed15835e195bee87ec47aa69d899ccc8be1fbbe3473bb06</t>
  </si>
  <si>
    <t>8b568ed668ae838ccbbdd1bac8c3c504348db7e31224f7c26701ec16cfdab9d7</t>
  </si>
  <si>
    <t>9a3836b0f34045c4f99b435bbb14e53e4e6f189b1fd7ee28e109ce077a8bee29</t>
  </si>
  <si>
    <t>194f99f8376eaf01c0e20b3e445a6f37228fc17e69e6344d97ba568a2d7e13cc</t>
  </si>
  <si>
    <t>1f77fca96e86b36b32e0b44e1c74b416bacad2d678f5d061a0586c56080d6a58</t>
  </si>
  <si>
    <t>e747b21f9d186b33e1267a20f72398f8f65ee4b2d4173e3e4ed477416651f882</t>
  </si>
  <si>
    <t>4f6e2998a7a54b237d3d9ab8f7f5d67db76ce489e3927eb9d029783a360b1cda</t>
  </si>
  <si>
    <t>ef7aeb37493997788f5f8f6de820c3a430420eb97da0053de99a6b65ec59f6ba</t>
  </si>
  <si>
    <t>4e69f5aafeb078604345514a910eb1e99ab600a76e42848d5c62a45a03212943</t>
  </si>
  <si>
    <t>b862ce0b526889a027cdc5fafc014d8dab0ef39e21d7fa7e22d5f13f1d30b333</t>
  </si>
  <si>
    <t>ce400b7e40b31768a7a4243f978f497271d5187aa91b15dcf20c61cfa06bc4be</t>
  </si>
  <si>
    <t>503a76c5548072b226de3d62403079b0ff4a04e0fb8223b6728207730f945643</t>
  </si>
  <si>
    <t>739c7d24700f2b0052cef2fee9a7ef2f0edba4eb2480ecb41b5b3e8da8537039</t>
  </si>
  <si>
    <t>2d0cda4d1a23b24e87c3e1b11d570c9c18a717930f604a7cbe599a4bf8c0f5ba</t>
  </si>
  <si>
    <t>8832492fc9a438715c59264364c250b7361a26a5ea8e0617c90c629992caa314</t>
  </si>
  <si>
    <t>9aafd591eae930ace76344c752d4d0d86cceb951bc6243cbda14ec2436971a44</t>
  </si>
  <si>
    <t>b886e845414a482d4e06e47f02f8d99c10491a2ae9faffe577ee1a35cb07d0a0</t>
  </si>
  <si>
    <t>e9503df61735e178cddf2f4346399271c65a4789305e1d3e9ac382c9d1659f9d</t>
  </si>
  <si>
    <t>da4e38b53140e8528656d9d299ec0f16630341cbe5f3ffa752280432189a3843</t>
  </si>
  <si>
    <t>9415613831a76f81ccb17bd3262db356f83b922cb5de9ee073703d0f0d4a3963</t>
  </si>
  <si>
    <t>83773dc4fbefaecc516bc5ea475a1e93e9ab9734c5f0519691292cdc783fa533</t>
  </si>
  <si>
    <t>c513ffa2603fb9cca6651d3e65f218443571c71183b95f3fe4180a2575f60c9c</t>
  </si>
  <si>
    <t>71314d9ff123b7cfb93b98aef0e79683263e1b47b5c0af6fddcd170bfcc1ed3d</t>
  </si>
  <si>
    <t>4e49c3413e2548634e2e8933830bfdb3472a800e1309dae7b0d804dc0da2efc2</t>
  </si>
  <si>
    <t>a4764fe3ea384b5c5660d635b93455c5c1153248ffe313800a261ca945fb32ff</t>
  </si>
  <si>
    <t>f29f388591f5434accbe95f1e72c1c3b41d84ec4ba8556780081e9b5347a826f</t>
  </si>
  <si>
    <t>17df2696da74862c53adc8510a0bd01ec9e87a05cdf10b2c9cfa23a49b5b670f</t>
  </si>
  <si>
    <t>08439686ce9f81d48719bd46e5dbb1e4ffcf2f0a1705550290bab2926e6cce0d</t>
  </si>
  <si>
    <t>e04986d152609b5753e35235fbbceac332ec18e72e634ee252734eeb4f3cef14</t>
  </si>
  <si>
    <t>ae36d72d1b693257a6f922276ff509c53fddec1f21820a5e0493c3a533c38a41</t>
  </si>
  <si>
    <t>cd2cc7bf595fbb06e618383c055c26ccf168265222be9f6bc790996c6dcd4a05</t>
  </si>
  <si>
    <t>9c6ce064c656f55aa8c4f41b448588319782fadee6671a9d5063bb0af1fd9d59</t>
  </si>
  <si>
    <t>9fddb7fba4d04d1d6290c9aa285e868f94735667fc1e4358c9c81f0a68e205bf</t>
  </si>
  <si>
    <t>ace2a0add1880fb05ce5910c2a249f1e7700edd53ddd31f002013e18bb777d5d</t>
  </si>
  <si>
    <t>c4c55e7c27b19376747496a648b1e7d45b5bce74c347112f98c6ac23f4ffbce3</t>
  </si>
  <si>
    <t>c573e155e36ca7b544f526db084a953fae2026296d29a026951ef0d74961dc8b</t>
  </si>
  <si>
    <t>d6f11b5a683521d18fee3c79016e0e9b0eb2863c5f229d8661659230a29ac310</t>
  </si>
  <si>
    <t>0830a2b7ff0ff48f245d302652faa4fbeaf508e7ef9a5e3ecbcc1d126ba905f9</t>
  </si>
  <si>
    <t>8af77b87f0d23c738d2ad3d208bf4e4eac6b66c1dfbaeb0858aea985f69519fd</t>
  </si>
  <si>
    <t>ed85f02cfdb01e4a98cce6e7b336831ca98b03099fe13691f9b34710dd528f30</t>
  </si>
  <si>
    <t>8deff6928e82a84745ebfb3f812de1801c86d526da5f73ab4b50212d6017d3ce</t>
  </si>
  <si>
    <t>2a7eefb2e7ec00d13be73b5700a6e42da471e2036bacbf0747a441ae0b0c6539</t>
  </si>
  <si>
    <t>0a2067a7e9508140b28355b676e167ce2f2aa4cc05c267be66046a6009f4a8d1</t>
  </si>
  <si>
    <t>HEROICA CIUDAD DE HUAJUAPAN DE LEON</t>
  </si>
  <si>
    <t>3e6e1d0a770cea649e761e35eb9263c4a07786ab81bb834c1862234d88bf8c89</t>
  </si>
  <si>
    <t>b5347ed4204b8510986c4d0b05a3aa405333c257e3f5604fc1673ccc0931e3ab</t>
  </si>
  <si>
    <t>73b7c5a00b3de3288bf65c0c6bb7d3c81a05a277f4aeb52a46c47adbd3b45021</t>
  </si>
  <si>
    <t>7f21edd94e72e37f6b8e4f7555073ea2db74071406bf902dde78500168244d14</t>
  </si>
  <si>
    <t>d52a1dfcdf4014c1e68f39b92b093d23443be7996770824baa555f7c2f47a91c</t>
  </si>
  <si>
    <t>d9d89a21b51b92fce2abd62454bc0a58fa0520f9c110a4df2a45cc24c2dd227d</t>
  </si>
  <si>
    <t>af2cec766a4f9903b4e98b502e11546aab7ebcff18788a958ae5354e57e0ab28</t>
  </si>
  <si>
    <t>f414bf10e508564997db375800c745c0950271dab482176794d6888663e545ac</t>
  </si>
  <si>
    <t>53f66f8d21fa25b629513faf5c4a880a3d470173d47e4e7fa3253c105911540a</t>
  </si>
  <si>
    <t>c3f62b7e92a84dcc97bfe9b9524426825cabad6b1df72eb0733885cba74e9d0d</t>
  </si>
  <si>
    <t>57e19560c1840c3245f86dc911e3a5cea71fcae3460c51061b10885fcae484f5</t>
  </si>
  <si>
    <t>e6c7b0215396645bf64922e409d57777b071c088c63844c4a21ce1ae13c2269a</t>
  </si>
  <si>
    <t>6d561e7f372829bc1d221891884c1fb4b3a9bd154152ce5c002bc25089e4affb</t>
  </si>
  <si>
    <t>3c07a17ce9f4d8bf6021dab4d68734ff63eba4a17f99dd4f83da3c5fd5676890</t>
  </si>
  <si>
    <t>8378f0da60234f11c3506ae0848c66d64e7e33f2fc9788c82ce6f761761beef8</t>
  </si>
  <si>
    <t>cd357a2b71c41fb1401bbd5aa658db159a319fc73ea42d8fff66932d2338ee17</t>
  </si>
  <si>
    <t>e7f5abd48ccf3702ede9a4971c5f6a026563888d18c35742b813bf98344aa692</t>
  </si>
  <si>
    <t>f5c54d989fc8b8a7e442688b92d2979e1cbaf202c2cf0c4dda7615ad61ac7b77</t>
  </si>
  <si>
    <t>48c1554d418485f77a5498ee8a003a2869fa2469cc867076432b2cf36daae84d</t>
  </si>
  <si>
    <t>662e97e9d4930c043f2c9b08a0360980593b07a7c5f90edda09feebd6fce9ea7</t>
  </si>
  <si>
    <t>9f4ef626d10f0a2bb8e42e6bfa95e3e1a640e59e25c9698d30870ea58116d41d</t>
  </si>
  <si>
    <t>85b8fea28474cfe9c7bb6b688042ce4277fef09d6a81164760c4a0fa53c8e366</t>
  </si>
  <si>
    <t>8e405b3f663ffae69664532f5642c6db46be59324868c00f5d9347662fa1f1e9</t>
  </si>
  <si>
    <t>c00e64291a2b2fc8cde6f3218f4760a6e8af2291f7c3235d57162215d02c6b57</t>
  </si>
  <si>
    <t>c039bd1beb2351a5171b22cc219b6a621fcaedab0ff96fbced8e1e63fc6bf1f5</t>
  </si>
  <si>
    <t>7277049f4ae8a07c9f84ae99af78f1a9ea919cbb3d48f8dc856d5bc3b0f2f29d</t>
  </si>
  <si>
    <t>03f69bdae90038857720b4b0cfd00a1c042d48fbcab80b9cad9650000a57de6a</t>
  </si>
  <si>
    <t>38226e2c7866a08e76b5003ccaef98e9ed5b693c8fd497fa8c26c2872f2476fc</t>
  </si>
  <si>
    <t>1c9791a193e797ed74ef617975a6f6a91f9d05a36551a74dcd8a195bd674c329</t>
  </si>
  <si>
    <t>78e6c1f5858d66945546b1eed50bf461df778846703a4cd448b9c85c60ee842d</t>
  </si>
  <si>
    <t>0ba508128d8f8f968fdc92b7f701e4c3dbe0122dc7782ddc1cebfa9353b33629</t>
  </si>
  <si>
    <t>dc4f1ca8bee54200b4c65931cc85ae1b087262f6f8b318bcd83b50547b77d08a</t>
  </si>
  <si>
    <t>868ca5cb05d0fc1df136719f77c69c4d84cb31ecb8170e23bbaf1deb2655f1b2</t>
  </si>
  <si>
    <t>c917bd121d5c48bc4df1307a79ab0e3fb72c41ff17f6661fe3fd42437f6e9a0c</t>
  </si>
  <si>
    <t>4da7cad2f68b35a690392bd693735aa73d49bef221a1c03a54b6e15e1c6e82a0</t>
  </si>
  <si>
    <t>183d9ea5d53786c099815804bd865f07a379abb10a9e348b9e5315f01f61772f</t>
  </si>
  <si>
    <t>ffb23d38f6b7f4983e19a421addfce894472da32bb2b68818becd71819e644eb</t>
  </si>
  <si>
    <t>761165c55ba864af409e934e5bfda55360657b22159d34e1c896a4957b0dc016</t>
  </si>
  <si>
    <t>31f688387b3919617523b2af4bac59ca1c8f2369c223e783ab30d2e8ccb5af5c</t>
  </si>
  <si>
    <t>8ae775fc5b568d9056032addc8cb2e7850f847b595efd90abd1b83cc9bc68c3e</t>
  </si>
  <si>
    <t>8f59cc4a092a344484b9276f94bccad8a9b26f2902d3fd1ec51a81e38207eca6</t>
  </si>
  <si>
    <t>b89290c7be3d1155ebd2f019fdfcb276c7965948fbb9dd7d9258b6ed15e0da56</t>
  </si>
  <si>
    <t>5e562fcf9bd94acd258f6746be075312a3ad3d8f93a3cbfb18fe52b002918cab</t>
  </si>
  <si>
    <t>e8f0fe7c579dd5cf6e2e95d0ba3f95f5a871773e31aae41340d95b750d0d7a93</t>
  </si>
  <si>
    <t>6bb53e92f90ec1a65bc0707e9692eee0b1938140e2c879ed602ef56e5374a986</t>
  </si>
  <si>
    <t>c2246eb88f6b0bc8e50a82b7f266330ec7d55ae34467ac7e34f7510f03022d97</t>
  </si>
  <si>
    <t>3542430804862b1764004f909859857638f1a5f2fc55a914b3706b92f9324c52</t>
  </si>
  <si>
    <t>273e23a53866f9c9fe4b7849cf21ca1ad1ef4f3b523fd1416390d5e08b320729</t>
  </si>
  <si>
    <t>6c41ad14b0eb38c121d7114dd970fcd329981e665a2de02bac403a8667f9b66c</t>
  </si>
  <si>
    <t>b9722adb894e4af308f1f703ad2d75fcf60b8a180c8b49dd32fa7bf9b463e16b</t>
  </si>
  <si>
    <t>32e2cd8307f238e46fae70f463f32ea3e732ede5307658b26c5bc3d87478af21</t>
  </si>
  <si>
    <t>3ec11db80595cab253c131b304968d527d0aa6e0e9651f6eafd7ca6a7e6070a7</t>
  </si>
  <si>
    <t>03aff2ed6c3dc90fc35129160ffb469a575a2d9d5cbc850daf400ab685baf617</t>
  </si>
  <si>
    <t>9b662a3a1a2ea9f7cdf36aa65bfe6aafff1ae44136152f27b0a0433f0d80de24</t>
  </si>
  <si>
    <t>46924b3818012cf6831ad1e0f2d8b1cfb023292f6d62e5cbd2d99573245a2530</t>
  </si>
  <si>
    <t>236a343d6585433f9290cf27e23ce2c1b4344e49bcc9af6d22d86dc251581ec4</t>
  </si>
  <si>
    <t>2ca93e86b5bee2934047b03e2e6caf9ab186ea5770b2cbc18ef2f3c0e59fc0b8</t>
  </si>
  <si>
    <t>137abe420156270b8348d649c2a1928e18bdbc8f45497fc132e530e49b2bc54e</t>
  </si>
  <si>
    <t>240ca54530ac8339fc70548325510d6af2e5dfc3b45cdce5fbd2f7871537bd24</t>
  </si>
  <si>
    <t>99b0e4e29f89944f7560dd05c5c34777c949881d1558f159ea493a6dd8e7d790</t>
  </si>
  <si>
    <t>d90ebfeb8184e2aec82917e8cc4b3aba8f362bbfe654b14bb1151add68d86d8d</t>
  </si>
  <si>
    <t>dfb4963ab0f0cc0f73fbbcd92897d3ad6d2fffc8beb98ed391697f50ed977c03</t>
  </si>
  <si>
    <t>552677e146b1d1c67f525e809a1b87b6fb67c28ba0f5f9fa9f81fc55ff4b6af4</t>
  </si>
  <si>
    <t>304145ef09931aa24f26b01b11ee2577ce335f15397dc3fa496d4c9febbe6106</t>
  </si>
  <si>
    <t>8c7d6e17a8862f0344bae1f1d9199838c4faac3ff657ba21294e8729663aa9c8</t>
  </si>
  <si>
    <t>1bcf497c71de015aad792659a2ef48a28518f41f348e83dd07ec0af07f24dc59</t>
  </si>
  <si>
    <t>59649422c1b68502c76611b6d07515c5108daa6446a4f320fb88ff4617a5d58e</t>
  </si>
  <si>
    <t>ecaf1399859fab001bc242384a2351240bd0b81c8294391d9089663d75a17df1</t>
  </si>
  <si>
    <t>260fc0b948b2021bedf0edf2a46f0b6933e9e5605675e84d4417d325bbb47644</t>
  </si>
  <si>
    <t>7355d975d1be4688a7de360a4347fd28c5af6da78a56e17fc114070e67fac5e3</t>
  </si>
  <si>
    <t>51f75e0c584c7d6e23a9a58e9e3e34ec58147c40314fd11e654da02907fc7684</t>
  </si>
  <si>
    <t>9f9271b67678c5ee4c3506b4e3767158693886654938e80c06b5f195525cf720</t>
  </si>
  <si>
    <t>2b15759201a2257940db3063f604d0cbad1cd9b7529b0889d22e421f3abb44a5</t>
  </si>
  <si>
    <t>f70625b6718f7c50a1bd962249dbbeead9698274a95f61b9a4d9c27a3ad018f7</t>
  </si>
  <si>
    <t>890853f502fb00930f7081af5181c83336ab7751553a8a5397083372af2691fc</t>
  </si>
  <si>
    <t>c7fccbaab4d5776b421645d81b00e442a5852c036e39089be64e30e4442dd6c8</t>
  </si>
  <si>
    <t>f55601a27276197c1536cb12ce3bdf7b19da1e12591ae9bebd997ff5dbf28fcc</t>
  </si>
  <si>
    <t>34cd839db85adf723210753056254e9a4acc03eccdf83318a06341bf40efbfe5</t>
  </si>
  <si>
    <t>f0f33c66a5c184e6cf74a01ad40597216dcf642c61f595ecc556d4e991425870</t>
  </si>
  <si>
    <t>26ab54a46366f03c886994daaa67f9c71698438350f35fee1836de69e1cdc190</t>
  </si>
  <si>
    <t>7fe18ccda4175b8049d55492793b4eea00a898be1d8bfe3781fbb83bad80dc84</t>
  </si>
  <si>
    <t>0a36bc4ea8f0aca0b46278f9307f07f7c12ab072ecae02abf183d190eb422418</t>
  </si>
  <si>
    <t>35bec32dff12c6e97277285d94aef432da1afc37164b956074aa8b17c54bc801</t>
  </si>
  <si>
    <t>15076de3be48214499118dfef766b63e9b22aba8fcf1ae18d2c3b469c7ec349c</t>
  </si>
  <si>
    <t>f0898c32fb223b04d8e8ffdb7c647d13394f691e481d2a24570bf66afc6ba4ce</t>
  </si>
  <si>
    <t>ebc517bf5a8c7ecd1972e022cf4744f395fdad7ecd405d2dddcff356fdc339c2</t>
  </si>
  <si>
    <t>e14748c68c4afb14457b5b6504e4b1971215b4007754a64b9ede797aa366949a</t>
  </si>
  <si>
    <t>63d0e6eaba5845d8370e5443378089a5f9b4e49cac110098cb2e02d343b8ae2d</t>
  </si>
  <si>
    <t>525d1eb6756d32fc41469e12d22e602cfe1167c9f711cb1ed6be1bf95b224fc3</t>
  </si>
  <si>
    <t>74c1ac766d43b045191d45217daae1e570da43cb39d76659d5f62560696dc89e</t>
  </si>
  <si>
    <t>2a68b2e1382030ecfd73ad54fb0e57ef043e8cef2ebe3b541094f5fe00b7c023</t>
  </si>
  <si>
    <t>25b243f530f8f7227822bbb37fbaf2cd938fd82dbfb9a5dbec944d770b82fae7</t>
  </si>
  <si>
    <t>f94dc5120f9750eabcb68dad645d7aab03d9d27e00d7e6727e5a46797e4552c4</t>
  </si>
  <si>
    <t>b1a7063c5e1e58b7ed9755a93cad815de6f5f0584fbeb6683f6a782a1abd62c6</t>
  </si>
  <si>
    <t>27bf95f8905adf9922ee9903638a365a36ae193fb879ddba03462948fa7ac3f2</t>
  </si>
  <si>
    <t>8e29f66333964af73be73f88b69fe8f0b7fa05e0c3f5cf594165b49110aecc3a</t>
  </si>
  <si>
    <t>a7b8147cbe46a4ede0d9838e641b9e92b3a1d1ee6db33064dfba75b13e3e7775</t>
  </si>
  <si>
    <t>7035058033ea9ea72eeb4e62ccf908af721eee9ffe845deef8071090557e68c8</t>
  </si>
  <si>
    <t>113958a7cfea886f9ea9ad7fb3566feab3f9f8279c3911f3682c8c02cb37fdcd</t>
  </si>
  <si>
    <t>9c718c7368d80bea6e88c526e9256918d693707c4c6015ba5296223add32250d</t>
  </si>
  <si>
    <t>9e34a6042777b9029b1c3b4a608fa23799aa7655c152e11aca503979471d7ef7</t>
  </si>
  <si>
    <t>eec42320ecb33e4e1439d7f604250fbd39d3b2af6186e75e891eeac3fb2fe406</t>
  </si>
  <si>
    <t>06ae99e397668d19855b8f60bd48395022034e41fe26874bff28893928f1efde</t>
  </si>
  <si>
    <t>06079bcafb587b462a0e8fd8c8aea05811bc99c3513b081d17e10969c877de89</t>
  </si>
  <si>
    <t>a1f4ae5d89b17519fa22159e89bc31e5e1b91ecd91187133d52848bb2b6cf2fd</t>
  </si>
  <si>
    <t>3a952b9147950a249f5f317f79b3e885790ac310e8b983ce9d2a0bc2a239ed91</t>
  </si>
  <si>
    <t>64fdb2d30444e45871360372f3528e0579d97131495d62b3b009e4f4bffeceeb</t>
  </si>
  <si>
    <t>8391dfaf7d1b6e15d7be2792caba3ae2914cc10a96f5da039e4d45834b53c6a7</t>
  </si>
  <si>
    <t>0663e58596446ffaa63230d2a1e9dca8bc6a72f3b7d8c49003d639821e448bdb</t>
  </si>
  <si>
    <t>f05f894d6fa2ca3aa6ced49e0088a401f50fd8c36dac4376b6eb78ab83ff9ede</t>
  </si>
  <si>
    <t>adcd14f0f9852d26bdcf17ed0dfbf8fd1851a2f88c2c8bde42a4d4eab8192f21</t>
  </si>
  <si>
    <t>25b57990b039e21cdfc67e9e91802e29340fce47f165bdb08601839100e851fd</t>
  </si>
  <si>
    <t>ae319716bafca6519a9de88188175697b44d33cdee992cebaeb8dc77ff70e6aa</t>
  </si>
  <si>
    <t>931cd244695dfbe1726c5ea77b957150188edf2b13ef52e737178142460d1811</t>
  </si>
  <si>
    <t>42ec7ba72b92ef63a722f5204c329338afe2ae993f64966e2576a55e592d6fa9</t>
  </si>
  <si>
    <t>a69c4c5938822aeaa5c5f7570ef8c53d6cde5f7f5f45a09231f5264018e2c6fd</t>
  </si>
  <si>
    <t>0276bc3c6adc208a05a8e254a435306c13e06cfebfad9acb9c77f828da1a9f07</t>
  </si>
  <si>
    <t>42ba43e12090e5f441327230b4ec7cbad206e2897ca8d0e1c37629ffdad04b04</t>
  </si>
  <si>
    <t>53c3e826993a8b87a6ac34787b96f587b07b23eff9c25ba3055f025dc24ec395</t>
  </si>
  <si>
    <t>986212c32a4fc430c51feb3769bac62db1dfe86f4d375ac33b0f26efc8b34482</t>
  </si>
  <si>
    <t>8dc12ed7475e87c510636d04cd7d846e02d7ed98d2c520a746ad68315e718242</t>
  </si>
  <si>
    <t>56f5a238f7187dfe9ad0dbbb53f3534188bbae29a7382624215a9597bcb372f9</t>
  </si>
  <si>
    <t>4e930e184cfc1c2a6139cd9bfe31b8e215ea975672e834ae328e03a9178dcabd</t>
  </si>
  <si>
    <t>2b111bf2d2237450911fd95406597f05964954003a84ce36039fcd6d32ab5f74</t>
  </si>
  <si>
    <t>61d73d25a1f3bd33c6bc2c9d40a4fb418ce0515164037f982b974df6c589ef9f</t>
  </si>
  <si>
    <t>1356422c874bd19a0d8af4fdffffca7495efb89056714f2053652e992a33a5ef</t>
  </si>
  <si>
    <t>b2ee8f7b49a7429462fe1d0f1f5591a511625c4b265673d2aed0e3bf0d9f5e1e</t>
  </si>
  <si>
    <t>b9ce0dd861111a31c3f8ea68e7fb385ec8a692905e3d7e85d8a9cf3871539bd3</t>
  </si>
  <si>
    <t>e3c0bd1999990c060341923d9a95e6cded25f2fae8f7ac7087ed73189652caf4</t>
  </si>
  <si>
    <t>3af2abfea64fa602ab4863d267da68247341e53cf52f97210b8d02894ec68e6e</t>
  </si>
  <si>
    <t>edd69ad7fbdcdc8c36f042bea8889969306d0087d5faddb7538fd073f0f520ca</t>
  </si>
  <si>
    <t>41f0d84e2409a353bccf3d01fe89d1ed94560dd1a33a4490a438b79c88df132e</t>
  </si>
  <si>
    <t>549bd6900309e007be320b3185a6c7df316ad05bfd4cddbc10c51824603bf7fe</t>
  </si>
  <si>
    <t>89650edf047cb2b7137a213fac886376a7757cacdcfaf863c62bde9994ac0682</t>
  </si>
  <si>
    <t>f5bc43de0572e454fdbbd45236bf0257cb406a34b66c847bf79909da694b6a1d</t>
  </si>
  <si>
    <t>34df23960fd86cbe1584618ebf0ec309be70dc0b416100d9c6b5c94b9f7467cd</t>
  </si>
  <si>
    <t>362596ac2de9480feca8df42801638c1f65632588ca7a713456e4d4c7d1dbd1c</t>
  </si>
  <si>
    <t>649e2392fcd09bed1ff158d2ff43ef8c7fc59bf92d72d17d57d470c15cf911e0</t>
  </si>
  <si>
    <t>79a4e4b710b37b5baa28c872aebb3e4176f5f4b1d400e271feecc30fc55aa75e</t>
  </si>
  <si>
    <t>aa37a64d847c32cbeb19897de579174f2af9d6ff97f728b0449bbec48b5eb577</t>
  </si>
  <si>
    <t>b554bf6586b266d9e85634742d88a15714700bc914ca60f9d0b2613d557c9b17</t>
  </si>
  <si>
    <t>98ff05f824d0e8944ebe0e448f0696f297263dcdba324cbe16c27b1deb75ab9a</t>
  </si>
  <si>
    <t>7c5df9894f21f8c1733a4709ccf34021c5fdd6722fc05e8ea572bd70c1c5be80</t>
  </si>
  <si>
    <t>6e62d22f10a66ee038bed4501a049020493b2c0628cd89431ee236a1477fc5b5</t>
  </si>
  <si>
    <t>2657c66aadfac72911922731f20265042d638d4dbff78a931a5db2f9f1585e84</t>
  </si>
  <si>
    <t>189f14feea6c2aec5013a6c2d70271da90ab2dabefd196aede1cf103fb298abe</t>
  </si>
  <si>
    <t>493745c2497b6df7bf26dd6c80a8fac64f847486df0a15db42bffe26c6ea778c</t>
  </si>
  <si>
    <t>c71d3982e01b384976261583665c3a073ea63364f6993270a78c73ff28a0b49b</t>
  </si>
  <si>
    <t>7315f5932ddbfbd97b27589d6083734d21ea59fcc8a08a2905e4034fc77e85e9</t>
  </si>
  <si>
    <t>c11db10541615bca617107617d417c534a24aca212b01b5b37fd951da3017b81</t>
  </si>
  <si>
    <t>919aacf3368b2baf3ec9c59694ad1954996d5542729f167b9dad195a5e284335</t>
  </si>
  <si>
    <t>171aa550b36a594bc29ca9d1f97aaf1264d063e5d69414c2f9a7c58394e178ec</t>
  </si>
  <si>
    <t>66e04f8c769d70a80f060e976fe7570a4b1d6ba3eb347312c6d65014da777226</t>
  </si>
  <si>
    <t>a12e115e469eb47fd25465c5cda6f80ea41f70d7faf818230a8254f95151d811</t>
  </si>
  <si>
    <t>43892c663c86fbb3b5202049878e786a47336e677c823023cb2af287a519acab</t>
  </si>
  <si>
    <t>a40f4f9a90794f3df42237e7fadee2deaf59edab2732e95f1c873cc7b8cbac71</t>
  </si>
  <si>
    <t>5e47720411be9ca41df19843029d787709ce33de9af94f863a12c8dd77045ffd</t>
  </si>
  <si>
    <t>9373dc6ab6c7fd8b0104ac12bf2ecc2dde199a4dbbf81e20978086f75ce84021</t>
  </si>
  <si>
    <t>36b17ea841b91e5dc831a771fe5f8985e0ca7cbd15de8b027a1cbbe8bcfd7da3</t>
  </si>
  <si>
    <t>233c715879b88082b5197c73b65c8aefa5ced591f18f1fcd03151abdf494001f</t>
  </si>
  <si>
    <t>2524a697076c77f210781a18c987262302105d13200d79856974d37ff6d0c8e4</t>
  </si>
  <si>
    <t>f21905bd6634e307fb678f1cbf3481e50d06bee85f68e41e36003e500332343b</t>
  </si>
  <si>
    <t>262f8d3c5ca313ddef47adb210b75448254ebd5287cc055e95e20a752ed30e24</t>
  </si>
  <si>
    <t>2b11945306edf0b085d8af1fbf0452c2060fa7a7a9a4212fdeb9b0fb5578337d</t>
  </si>
  <si>
    <t>2c57b92d8024e7dde629b24184a78036cc8ba9e10b25ebd1b69adc10b0aea6cb</t>
  </si>
  <si>
    <t>5ef43a604062110116d9f39cbea92f2f7341f8b5d08aac8062b196af358c8105</t>
  </si>
  <si>
    <t>129f40e6f2e86498f3ebae5e1fc698320c17a0365dd1e04ef30494417d24ed93</t>
  </si>
  <si>
    <t>6626adae19c0a6cda8bf43cb749e7c25f8062d3bf04209381e0820006d52df0f</t>
  </si>
  <si>
    <t>4be89af9e7bab1d322d92607e905adb91cfe4530cab7c97b1848ca9fa49176ed</t>
  </si>
  <si>
    <t>b46c125f8070f839d9e0a209017a2d377b7dcabbbbeef99eedcfb9057a074053</t>
  </si>
  <si>
    <t>a8d05bf53b6afceb826d9127d06d0aa2b28b1f093831b4ff561dcb9715dd918f</t>
  </si>
  <si>
    <t>6214a5a1d322c33a7685acd6660887f7da87d63f36d5983f60360145b538aaa1</t>
  </si>
  <si>
    <t>18f86b13008bc0e35cc8fe67790fd2e2f016b40d3ec0d66ff4f1ab541a499ed1</t>
  </si>
  <si>
    <t>26a7486a7df5904454e6214bdde6933dbd881150090912405378a58d84432da5</t>
  </si>
  <si>
    <t>0cc85a5460f7f5af7f770ffcdd4edefef9237390d453425c74056b6780462088</t>
  </si>
  <si>
    <t>64e3b0813134b797a23a2a9e3edb951e542d6a12be7fc63b9db6ea96d4bdbdbb</t>
  </si>
  <si>
    <t>50f637e680e754b05f0c519e663e0a81697ea9bcc52a82f42f68e31932f03b90</t>
  </si>
  <si>
    <t>b677156d219adafb3f99dc5617e37ed8804a96bff176d6a8f552aec28ba91e85</t>
  </si>
  <si>
    <t>9e8bc879514ef3a82dd3b5b33fc27fbb30271f983b4e738526dd8cb393ab9c38</t>
  </si>
  <si>
    <t>6e6228cdaf8d1d17874504cbeae83b517dcbbb215d97908c45e94fe547bb490f</t>
  </si>
  <si>
    <t>a6cfb8fd8fb9d5f5fe4481ee45225efa6dcaca4c76ce52e5fde86a7603df7f09</t>
  </si>
  <si>
    <t>7e220ea870145a5d1f8ed9cab492885eff666f97ad2797c23a46b60d2f472ae7</t>
  </si>
  <si>
    <t>57597abc04d446159ca164306d13f61588576f90e42517329c45c264c02a37d3</t>
  </si>
  <si>
    <t>a4eb362dd054801a5001dbd7beb25030096e57bdd3c75efd3cfa3bb1d88a2d69</t>
  </si>
  <si>
    <t>c8996c0330efd54314b9a593a73811a548d8750fbfced722868bf8741a0d43a7</t>
  </si>
  <si>
    <t>01ecf7c265a06505044e95cf1416d0a843ab73dae232e5b76e29f07b198204b9</t>
  </si>
  <si>
    <t>2451f2d0ebb9a8789115bdb169199a0e1f09485cd864a0042c80b5af4ffacfd2</t>
  </si>
  <si>
    <t>7e927e66f18f75536db71ffbffc8f08a1973aefb366d8792fd78f4de9dba06bf</t>
  </si>
  <si>
    <t>99a79d1e52e5c83ac35c88bb2b33fe04cc952cb5ca3c80fdf7122d18f1975f19</t>
  </si>
  <si>
    <t>7b6f3f3330d5d64d6f8f69a4f50fae0af8e630a85dacd4036e5256430600b2b3</t>
  </si>
  <si>
    <t>7b3f5faa34be5688960f3ed9dd39a83ad4db1b6418274c39aba8fdb96fa4b508</t>
  </si>
  <si>
    <t>558f51fcf63f25cbb1a6666ef5dd9a01dd932b9184643cdb99b83920e68a2cdb</t>
  </si>
  <si>
    <t>2385f68b819a11de5d86812f73ffaad622059505a3cd045d02283e05b3ff172e</t>
  </si>
  <si>
    <t>7c8530bd6928ee8010c248abe5ae474815265bf12887c0b695d2de5b2052e359</t>
  </si>
  <si>
    <t>bb43ed1b11a88658f472870a30f7cc30da7bffea7c68e23cf90c4bdc20618a96</t>
  </si>
  <si>
    <t>0eae4f6a2e5fb6064508f42a2620982a7e9db719de4850cedef699eceffa6f4e</t>
  </si>
  <si>
    <t>f10fc8b579be739a7f92ed7a9c7d6148e2b8a4d2edb16f240bbfde04661fc066</t>
  </si>
  <si>
    <t>fdb39f99c16b3cfeb1922e1059c2602cc8b6af0f2f6f85cb6950e9e61d36f5b4</t>
  </si>
  <si>
    <t>0922c68c6914c691ec358535a965cb8b02d0aa73f48b6419e80525df7ac40a28</t>
  </si>
  <si>
    <t>a40bb154d3699abf5df40eb7b445dd0f565e837518b95053c6f11956171c1108</t>
  </si>
  <si>
    <t>68f8447c6f0063ce56ae0299fef938bb2f6041db4552407626083fc1fe0c2f0f</t>
  </si>
  <si>
    <t>8ab113e5f43e51f62fa5481b3229f12f4644a1cc96a2fbcd409bb2672be6667e</t>
  </si>
  <si>
    <t>e7a66ebf6c0eacd9e3afdfb4b253c675f7483b9d6cc0d170b184377161a11e21</t>
  </si>
  <si>
    <t>1137ffca0ce3b831e224494a12db161f126a783f2042247e8263e1ac076d3fa6</t>
  </si>
  <si>
    <t>5002a2c6ef4e814d7b7bea152205025ff318d77f9fadd0fd95f4acd2033f0243</t>
  </si>
  <si>
    <t>341904d505b1dcc2951e85cbf9b4a0faed2fdbba8c0f25ea7c9ee66983fcd5e2</t>
  </si>
  <si>
    <t>4d3816170135fdb5949c148e121a7af0ae98b2a590eaa55a8070da0b577a3945</t>
  </si>
  <si>
    <t>a8b2ab9c1a6171c5c0cb629d23afdd437dc5500207f5a360aa9ff2034983c56f</t>
  </si>
  <si>
    <t>e390576e9ce641543cea4768afc076fc9fe3be486bea6bb0729e980290b8e072</t>
  </si>
  <si>
    <t>2f087425a51e6534fa418ea7a3f7d3251b87c4742b5df6713b891f1e0fe24720</t>
  </si>
  <si>
    <t>c8fa0c50c85b6b60dd71b94d207d4bb51422c64d6ba90da5a51f48c34e639621</t>
  </si>
  <si>
    <t>1bd3fdab9613faf5d98283070970f4efb8341f34df7bea0b888ae480b50b7860</t>
  </si>
  <si>
    <t>a8f35728c778bdc5b5d155ed0515c80e4a0cc1448ce24c7695aa51f4fe1886aa</t>
  </si>
  <si>
    <t>1f4f564bbdddef39dd89e87c30cb506fed3f30242f3614496ddcddb408205e4a</t>
  </si>
  <si>
    <t>c6885c2cf05305a4c92da5e011f5f2e54ebebdb7cf1bc5d343c7ac1165288218</t>
  </si>
  <si>
    <t>2370f8b98e7cdeec64d444f64bde43173336518de97ca56e798c44e8c1a5e0ff</t>
  </si>
  <si>
    <t>8af87326ba7bb2e097762c74e7317d63ef34cfa8b8fd92f38ad222ec489b8865</t>
  </si>
  <si>
    <t>2db109f3207622b3ab496011301589ba3a5b27e56f88410a8f6245a6bb158b8f</t>
  </si>
  <si>
    <t>09468436f6f9c0c54269a179987f32b2e25eeb4919c4aeab5130b3a98946bfe7</t>
  </si>
  <si>
    <t>8d28c13b968103baa419bb8de04fed04782bf77b391f6ef7d8d50409bc3fa7c4</t>
  </si>
  <si>
    <t>8b1715c8a866f36f652fc77aa15f099b8dcda83a66aa2bfaa4248fd14b2b6a68</t>
  </si>
  <si>
    <t>8a434aa1f984ecd1fa7b0c92c4f8753e9e35c66c6fb1653131ef964c80cfb956</t>
  </si>
  <si>
    <t>6622b242ab24ba3c2fd63200de94a4ede46d67c54e476a9fb1cb946c12e93152</t>
  </si>
  <si>
    <t>aba9e9e74cf9aecf1679ab6e00d5fd3b3590b3abf118ed1417036fe983bbe1fc</t>
  </si>
  <si>
    <t>bad8e11285ef89a1da26ffceacc75b9c1d508f7f413beb470be509a8614d406a</t>
  </si>
  <si>
    <t>939d656eef42bf7d27fbb91e2cd6e701edf6aa855926345246cfd62935b7bb4e</t>
  </si>
  <si>
    <t>0046d8a0da98c8208dc5992aa96328fd5b33fd5742791c540bfc1769d04839f1</t>
  </si>
  <si>
    <t>84f14ec337538694054420d3325319c4ee398849af3ef628dc82ca4ba37a3d89</t>
  </si>
  <si>
    <t>097baa59a31bcbb9a95df5e8c168df74cba3b16dde1369a99b36ff3116e250c6</t>
  </si>
  <si>
    <t>da7b9308bb4a2eca3e9b355af463193b650b62c4b7634ae7128a0dca5ee8c598</t>
  </si>
  <si>
    <t>04f1c01b51d1fce319f361090d5f33156c59d2889cc260b608fbd0ba0dd59d6d</t>
  </si>
  <si>
    <t>e2c5d0a0978ddc99410e360a1c9714fb758866a3c5dc6b3f3640c81e84c77f79</t>
  </si>
  <si>
    <t>0a66f051b82b2976dc4f09ef8f471f4a09debcc88b11f5d374cf226dcfbf6c3b</t>
  </si>
  <si>
    <t>84dba446f6f9629537555c2dabf9ccefc323ce92ac0566641abefbe192b590d2</t>
  </si>
  <si>
    <t>392078f7c636daf5dffdff9d2f988c8599e3ec7875cc94366e928089d70920e0</t>
  </si>
  <si>
    <t>5dd5b9f1314afe5d0158a6ea05f1d1358070a1d078ef11132659713e4c84637d</t>
  </si>
  <si>
    <t>c7d59a910cd24cafe471b2d580070677a1c38c002911aeabb87eec3a2150ff0a</t>
  </si>
  <si>
    <t>00f5f66290cb3a1a7d8714be722b041ded8319ab17c1aa3d9864e176451d6477</t>
  </si>
  <si>
    <t>49dcead34acab13a97cff443ef632d7a974f22c2d69f03a3ef752b53055926da</t>
  </si>
  <si>
    <t>2f7a4fcb160101075a7932eec998537ea87408b045a109a73096b8baca2e5110</t>
  </si>
  <si>
    <t>cefb08563f58f7daa38b70b2278d98f5bcbed5d751d98f03c60ca67cc783f17a</t>
  </si>
  <si>
    <t>6ddbb464d848a722d843bc3746f3391f45dbd9341811d509531b9318194985cd</t>
  </si>
  <si>
    <t>6028d1d9cc1c830c70661b72a81b617589dc985427f5d0040359cbd082c75895</t>
  </si>
  <si>
    <t>02a991fd72ba4ceef0faf9e032cb9f012361b72dc305713079b09da284669322</t>
  </si>
  <si>
    <t>547a9feddb6dd758687315e64c19520544d35e411be66cc99d110dcecf6aa8b5</t>
  </si>
  <si>
    <t>ecf151ea7249808dfb5f1caa7f07c22b406f4cedca2e5cbc5177ccdadcb46c35</t>
  </si>
  <si>
    <t>2dace24bbc35ac34b958bbb4c5cbbc489dbd9f2e992faa0bb0e954e8308742c2</t>
  </si>
  <si>
    <t>54a199f38c932f7f676c70e61012af1a177c81327067078e10b1d84e88a5175b</t>
  </si>
  <si>
    <t>ab46829055027c8fc24171d4d430202b378fe7e47c1ecf63c9278611c9c45f0b</t>
  </si>
  <si>
    <t>ca8f86577b2a5839c22de4deacb7ab4e58313160a1e529a558ccbeeb60b285ca</t>
  </si>
  <si>
    <t>58a821c88126ff5121bdd8831bd3f10b078299ad4110e2aea18f19d61464cc32</t>
  </si>
  <si>
    <t>9a77cd6140bc50d3fd0879c90776df3db522054ac00088e6b8ff5f0e4ccbba1e</t>
  </si>
  <si>
    <t>9524210502be259497ab253e333363c8f4f459f02e2c93b8e046003a9ed84657</t>
  </si>
  <si>
    <t>3982b07bb9854a81ea5045f8edeff287cc9f926d716084d3d37a22edd63b2651</t>
  </si>
  <si>
    <t>14573ab76f964499644ff77c9bb0d6424e3b01369647fb8f0ba4a9cd54d52ef8</t>
  </si>
  <si>
    <t>aa47726ee304c7a78ed64e80c9a4cf7a6eef8726206924ae4dd24c81360f80c3</t>
  </si>
  <si>
    <t>c937545dbe4627d08bb03cf49c43fa675e31a96e0b0267798eab8f53e8fb8d97</t>
  </si>
  <si>
    <t>c83fe02d2920a1623109eab6723c932479cc70f994eb49ddfa6c5b761b6aa3fe</t>
  </si>
  <si>
    <t>3d64d957e8b6cf8edd16ecb7c4f16be72f6edd9246b0552c48d723ec8f3048fc</t>
  </si>
  <si>
    <t>a914a976f3046c603a230fe5fd50a81269da936caaf371476ab0dca12d330cee</t>
  </si>
  <si>
    <t>d4c7f325af6b4f0dd2e8e72160c9358a235612c77161a77abaa156b4838bd2f2</t>
  </si>
  <si>
    <t>4eea3ac6786179428efb33935eb74c0c26edd89cc260174ac21c956b269a0508</t>
  </si>
  <si>
    <t>d58b595877f475b476c90ef098716a89eebff941efe91656eb870463f2fff29d</t>
  </si>
  <si>
    <t>43b2c6a29024f19ce442de4f6f5cff9eb267d44d843d9f00f2cb285c22c0b0f3</t>
  </si>
  <si>
    <t>PUTLA VILLA DE GUERRERO</t>
  </si>
  <si>
    <t>62b61641301824b56436ba592656c77162c88742ef6895401e291e29196910ed</t>
  </si>
  <si>
    <t>340c6f399d6add72be8faed19045c4018254a3fb63845a2c894f09ce055038df</t>
  </si>
  <si>
    <t>072423dc04eb218a4ee65583eb6671a44e255e38710aa749071c355c6800522c</t>
  </si>
  <si>
    <t>4f985cb19a1bffa8655220ad2d671c420c54cd83e59597162b0f5eb60350a027</t>
  </si>
  <si>
    <t>a732e861adb71fac7039a6c22a4ca5b42fa1a1b6948056f44a85c2e3550e2163</t>
  </si>
  <si>
    <t>448a9914185831b8023b141369e18783610700abd5d43669821e6986a6c90b99</t>
  </si>
  <si>
    <t>dd110555a7092e29fe23163cee738dc1d7c168b7594bc11ea4d55bf175f65c2c</t>
  </si>
  <si>
    <t>d0cfd09571b8364620b89b20d9a23d1959043154ae2f76d3e92dea434c51795c</t>
  </si>
  <si>
    <t>b6768da3f91d1776df622516d481f4392d3060f61fc760239679a1c5af95c969</t>
  </si>
  <si>
    <t>1bd50ad6f974983261fb03714ed35386d12ab1c15169799ab5ac12b70a97dbdc</t>
  </si>
  <si>
    <t>ef4e1d4255e6c1b15d6e1f5ff14a7fdb8b459ea63e06fbf37475de2ba2ee3b03</t>
  </si>
  <si>
    <t>a70a6dc69820b4696728448ab98da18c8a80fa892b223ee16719e063efa739ea</t>
  </si>
  <si>
    <t>ee589c08fc98ff50bd82ed96191c1b2843bc2814d194fdea35dbb0916a1cdf15</t>
  </si>
  <si>
    <t>da9f15f88282b05e3b64f393adf06fbc7d85449a93f604ae02cad4d6823fc2ff</t>
  </si>
  <si>
    <t>683e764b8775e0c9bc94316df9a173df55061d4a316ad9dfcc3c904990ccbb68</t>
  </si>
  <si>
    <t>1d11220bc782538968df75b05a92054e99b5001b1c85f3f48df03ac5a399a12e</t>
  </si>
  <si>
    <t>b658042c10b072b25ee68b2d95c82d62cd834f537751ef1f98087fad37222031</t>
  </si>
  <si>
    <t>ad8b71b7a65b0b3b6e8a5e1ba09b89f7a80a0ed16b92268a22b3c97eb055a170</t>
  </si>
  <si>
    <t>5863f38ebc376531642cbf656823a62c2f55497485356fcfe11f626f5e846f89</t>
  </si>
  <si>
    <t>6a3d575c9736cfeaec786fe9c44a0ab2bc658482c20c5481df336db7a86ecfc3</t>
  </si>
  <si>
    <t>b6a02f523bcc7aecac03588cdb78079697ba7b1d1e8be40a3f56d23331436c10</t>
  </si>
  <si>
    <t>61d86c47c33989f096365b54ef1d7544a88f81c4833d4d5a988405a44c4eeae6</t>
  </si>
  <si>
    <t>c68ff048d6ef9c3aac7af210ad4fc9a8a33e73fa1829d0995b0adcf08facbb10</t>
  </si>
  <si>
    <t>d1a8d1cd1bf1c9133ecf1f151b01aba7da5a4a11bcd9fa18dd0953247cc7dc8b</t>
  </si>
  <si>
    <t>7bdf039cf815fe1edaff810dc756edda5f77e4ca69c60ad1ee387f3e305c3beb</t>
  </si>
  <si>
    <t>fe993b3eff0bd9d2dfc3925899975b525bce02eb77272423564fed95bc94c8ae</t>
  </si>
  <si>
    <t>a781fba1010dabd6d68c66cda69003331959eeb3559b54aed3082a34328ff851</t>
  </si>
  <si>
    <t>15fdea7f2a44bb8407d541acb0d5bdd837fcdacc8612bb339113039be254b8ef</t>
  </si>
  <si>
    <t>188667bd5f1903ca04835637a2a51d5f521bedbd8b7920be580ac81a205e30bb</t>
  </si>
  <si>
    <t>59ab9ed82dff8c0d14eb8c7e7ca885a27dc84dd8245dbcf6068f6532f6eaf34f</t>
  </si>
  <si>
    <t>da6ad63833d434198e762cb3ab7034c47f5529c98d9a775e4c4a6a39c89e3fef</t>
  </si>
  <si>
    <t>780b1e068022e2e640512a42450ce186f277a275dc4bdc3785b9f1ad4a965d24</t>
  </si>
  <si>
    <t>1e265794ea75c32092f711ba106d63ae488d350aff6e8f94dfc77ac443c341fc</t>
  </si>
  <si>
    <t>5b355d4602f23bb17055d13e4e333493a563d45ee9f6dea8733c0875f026c5b0</t>
  </si>
  <si>
    <t>d04104da3cb1118d8909c94f21d495d1e72def1e814efa53066d87413e5b554f</t>
  </si>
  <si>
    <t>21589991214646455dc6f6b2a8e1d3085c4b4282054568f3014c8bedb3c7e0e4</t>
  </si>
  <si>
    <t>85692f88a2bab573370069136378b903e62c39a31efadfee131e563809316cb1</t>
  </si>
  <si>
    <t>6e9aa58524c50ae9f3788066244fdcb5649cbac143fb18d571067c0ca61cb38f</t>
  </si>
  <si>
    <t>e6bf267f397c80f93965d744b6ffc1a266f67de7650573538fdc60e1b19e79d2</t>
  </si>
  <si>
    <t>3e8d0974def781d951ca1ee40cca69fdb03c4e33d1621ec06659175a8103bc7f</t>
  </si>
  <si>
    <t>e8f2291814e7fdd7178c20eae068f1e9313a4d71d64bf4362edb884e866c1819</t>
  </si>
  <si>
    <t>de198256730c1420efc4f0105a9ef355c44699b74ac7267da4d9e8ea980f9d89</t>
  </si>
  <si>
    <t>d545282fed9ee3804d88396c73a87ca3a1d5402834cf9550bef5682be14c991a</t>
  </si>
  <si>
    <t>5f7ef5b61d3b66498f5218f1fabb5bada2da03b7729eb8700fe19bc675d062ef</t>
  </si>
  <si>
    <t>45f943fe050c741680d6ace688f9cf8748d23bf88a992b8ddc592b2b396bf79f</t>
  </si>
  <si>
    <t>0352551d35870b0153750d98134ee084e11fd1584ba26155361780b61f2d6bc5</t>
  </si>
  <si>
    <t>2a0ca338b2fa2bbfbee20e74b1349bd80560bf82eeab9abffed835cd8373b243</t>
  </si>
  <si>
    <t>827537f8efe091963270af2acadd8fe444b604ba87bad1e888e1f7bd84013c42</t>
  </si>
  <si>
    <t>fccb72d810e5a914f87315341e523b15ce31969cd18ad6c58ee46e65c894910c</t>
  </si>
  <si>
    <t>698a003e2b352a20fff97fcffcd7d0f4e59963979cbcbb3f4af3be90520b7b48</t>
  </si>
  <si>
    <t>bba8dc0d74be96fdc468a8665f7f73577c2c38e03fa21f74cef0224f89d32196</t>
  </si>
  <si>
    <t>5d93563215a96bc3999fb6b6f812668cdc3f0fa53c7ac0880190f4ab77948786</t>
  </si>
  <si>
    <t>e190c5ac087bad2a5e9cc776a168c4c9a5a2ee2096cca5a5c145192ac1bc4e17</t>
  </si>
  <si>
    <t>a5ad4c888c63f8186eefa8a56ff1541eea662eca1e1696be60f906dd0756c02d</t>
  </si>
  <si>
    <t>349334f8981540da00d3ba9f48c75bf17f453616b07e67e9bbed9bec8987cd30</t>
  </si>
  <si>
    <t>96cd218a284893941985574dbb125139f221e45becd836f2eae41f390a2042a7</t>
  </si>
  <si>
    <t>48db315a225212e661fa6662f09c4f2e56d2c66f2bace920634eea62526a4fab</t>
  </si>
  <si>
    <t>a90b6706fe1b96ce07e6bef33325fcd25445831d960827448f402fe4765a2b53</t>
  </si>
  <si>
    <t>e1123a21fc5148782995a328e546fe48df850ad86c316cd17c6a77bbbbbdd0fd</t>
  </si>
  <si>
    <t>ca22f917e3c14401449f5487bffd713f5ec17d5b80f82d951e332939ad11e81a</t>
  </si>
  <si>
    <t>c3624084f3a7c4b79bf6ac87c6189a2736a422068125550aada03ba10efaf910</t>
  </si>
  <si>
    <t>1916d155df18e3986d2d0b14d66c244dfe63dde372800c1f87a21b0a94e526f5</t>
  </si>
  <si>
    <t>67fbf11bb0bb4760331e71285bc6d350b0455113f107b889f8e4f1d98a084c4f</t>
  </si>
  <si>
    <t>c8610ccdd178c1c1c519d3f6e48beeb2658448fd670278797b8b1f9e5c563f50</t>
  </si>
  <si>
    <t>635d311b208abc434c296bde78438b5039f79f1d74e1e48a35ec4e1ac853403e</t>
  </si>
  <si>
    <t>717c9f58467576c03505f771470d6f3cf217fac979233265cd2a5ca5854e6fbb</t>
  </si>
  <si>
    <t>ffd654d666b44db8fe95ccec841067f71ab71b16e686fa5bbb2b701aa3fa1434</t>
  </si>
  <si>
    <t>6eddf3d39f5c70de0a9bb24263caa554f8aafa26a75cbe3fbed4b3f8ff773d82</t>
  </si>
  <si>
    <t>e1376dea13fc5915523a86dfc6eee6c0d3e3dffcf6b374ccd66c16ba148c420a</t>
  </si>
  <si>
    <t>37187601e3e0020aafaf3a60b6bd0bb7ca723dff6f1d2d487dfff12bd70598cc</t>
  </si>
  <si>
    <t>483ed24f25a1d4a13423e5ad655d74ac526f3dc7eb81a2763de68bc673197856</t>
  </si>
  <si>
    <t>eca9e1b80a9505d3ebc46a779cc6e40272d3bea64a25c97c1e42c61cedf8fa42</t>
  </si>
  <si>
    <t>6bf5f653ea05007363e6c5d1a9163aab650ac7b117f1218cb45e713ef685ac03</t>
  </si>
  <si>
    <t>73d53ecaf5e69dd6a7e3a75afcf25d10f37ecbebaeb7a2f02655110e2428fb24</t>
  </si>
  <si>
    <t>f0130e63d6875fae21186100dba72ff927aedf600355f99f58f5ad01b7384b12</t>
  </si>
  <si>
    <t>23b9e29a8edab20be4ed236c19bfcb7c30dc00f1e854f8beb9421b94940d040f</t>
  </si>
  <si>
    <t>97932a768db183c2c31c090cfffc0734c31e503e38b965a80107239da221dc0c</t>
  </si>
  <si>
    <t>67c47bbfaedbbdfab2202a556d4b6af70ba82aefe15adbcba06cae3321d515f0</t>
  </si>
  <si>
    <t>af31b2b853521640ae64734d6f759f57b8864cc43cda48976cea663b9d37365c</t>
  </si>
  <si>
    <t>3bac2c53686446086917de90f1b7a174734448d145cd4ac80c937b8b8367a45f</t>
  </si>
  <si>
    <t>5389d9462214d0b2482aaeec32a6b30fb9c6af95047f2adc2c223827c025859f</t>
  </si>
  <si>
    <t>75c78c6d8c959a04d5251b0b577de786df7b6f1e15a6ea8893bd36c8ce833185</t>
  </si>
  <si>
    <t>9f023c0cd7de5ee47a11c64d13da279f58284d11328890f443f4d9aa6a05ffcd</t>
  </si>
  <si>
    <t>ad504712a5d4a091995be10356e5dcbcb6eb833c21944a21cd7bd54b06583c81</t>
  </si>
  <si>
    <t>c00c5bc09443f8f0aabd1b12ddba83accb2db46490ec24ead3a41ef83c645297</t>
  </si>
  <si>
    <t>b74e4d5255a336d88651de7127f31686bcb002612bed6f8af73e0b21f247d319</t>
  </si>
  <si>
    <t>79034eaa7caca634f9af243e4549a63b50f0881f0f0763d2216b1944c93ac1ef</t>
  </si>
  <si>
    <t>642a0fe77f12b0c0cab4f62d87389c08346d930e8acb98178d9bed0b0a06c65a</t>
  </si>
  <si>
    <t>8ad1215fdf24cc689885b448af01736c4f9ed44f6a27dc7d4b8274d63d833a65</t>
  </si>
  <si>
    <t>f17bcf6606eec997c41ca0fcf1678f83670e9bc48a8badb585241cb0446dc2c7</t>
  </si>
  <si>
    <t>a6da498b3474fa8cfc74df8e27da93237538f7ed40350125ea55cfd650f702bf</t>
  </si>
  <si>
    <t>6e3479e856ec239fcf400e60e1936acf8f5222458d9a3bd101e3251886adc8ad</t>
  </si>
  <si>
    <t>85750082f136f3b57760ef8fc990e37a113be88db74dd3832eca60acb94f4952</t>
  </si>
  <si>
    <t>6b67a47506cf48f90fb6645f04cbbd242787db650a378ead06f555a6c596d126</t>
  </si>
  <si>
    <t>1e7c1b0cb84250a4ba866cbc28385cc3354a784ee699153d0ffa0e844f93329f</t>
  </si>
  <si>
    <t>39004f1ebd441a4938b78d7b40116074304f63c1dce2acaddee7e168c53bd030</t>
  </si>
  <si>
    <t>ac3b35ac87948f8635f462ce5b5bb6ee66aa107d3873cda20d0ca64dd373f587</t>
  </si>
  <si>
    <t>32b03df71379ff942e54f93cc4299aff85948e82729a1589e73c25d185a133b8</t>
  </si>
  <si>
    <t>071a5722cd3d1d12c531cf707379febfc3522612f8f03e1db0be9a61fe5a3aa5</t>
  </si>
  <si>
    <t>e3e1e3cd7a22a70ced531a745117edae4a320c35bee531e128e930bc89cd6d99</t>
  </si>
  <si>
    <t>56e6a8d41ea9ee061148bf116279faa7fd6528f45c75fee78427924ef8301cfd</t>
  </si>
  <si>
    <t>4be7ef89416e1b1da0f653bc7647bbd8adfa5e72e53a505c7354f21d641a6d88</t>
  </si>
  <si>
    <t>c3c77ceb2af9e573c0ce1e6363554c876820fe2fa797daa41230fc446f2cf67c</t>
  </si>
  <si>
    <t>9e0598dac76da1377f21d7956649f40faa4fdfea64de0e6207b7c7ea72306c78</t>
  </si>
  <si>
    <t>433d671e0071e0d50f0c7c5a83723fbc986187a5094014c8a592ab7f62241ffc</t>
  </si>
  <si>
    <t>ca7dca0c5d6cb803cf27b462bc50c8221f1c9811bf3bbbd40e7700b51ffce5f1</t>
  </si>
  <si>
    <t>c69e2890f089ba861753ba6d84f08c9016a090ebbf5d829c611efc97b81b6247</t>
  </si>
  <si>
    <t>f351cd9caceb1bcbe7a383bfc8a7c873d4c357344f0cd04e31a0e61fb7159ac6</t>
  </si>
  <si>
    <t>e0673439110764c60fe33cb63c8b5648ce2ffec4988b55767bf9399bf162a281</t>
  </si>
  <si>
    <t>4fd8bb92c2cfe0240376780f7d82aba4072452c391ad98664598c0fd61738d88</t>
  </si>
  <si>
    <t>66d4c2b761fbd96ada0acfcecfc425ac9197f561009c54b006dff5ae145e24f3</t>
  </si>
  <si>
    <t>6c61f6ebf55f895ed0a733964bf25a144653206491f45315f5f3f104e2a1fa92</t>
  </si>
  <si>
    <t>be4cecd67be877d60937de525d2d7a38a26cc4bc2881fffd03ed0daf7b7b92de</t>
  </si>
  <si>
    <t>c29e11c6b4059f38de0cd7ad93e3e8d129269b13a7887f8d0f24573fc297be31</t>
  </si>
  <si>
    <t>112058902a49285f37874099d2a877013e9da6349709cabad6809d87211b64a1</t>
  </si>
  <si>
    <t>28787c3bf6efcb7fde05ca25a5ff4e6372a9ea9222fdec3fbfcb563b6bba3c29</t>
  </si>
  <si>
    <t>6618e715457f2b28bf693a9277cf22af94f676fc901fee20d84eeb3b3187e5c3</t>
  </si>
  <si>
    <t>e8e84462638a3ccf566e547bd8a9ea1505e693fd079166391e32c2de943a029f</t>
  </si>
  <si>
    <t>406c8840f0b51cec3e59097dc8f56f426197160e321748ac901595068f6ad21a</t>
  </si>
  <si>
    <t>c205340701b2f133f74f74a26a7cde1de0b6965421c49d95375c0e1ab9ef9fd2</t>
  </si>
  <si>
    <t>2e3b047808b4baaae94123c3333c824973e17a79b2ca03044bdec72793f646c5</t>
  </si>
  <si>
    <t>65f015083926e4f2204bbb368f9ca839a5159ebde0daa536c33137736fd7dff3</t>
  </si>
  <si>
    <t>cf49c1fb45757c47b34656576547369832c49c7c0618af15cf977adbbd4b1fb3</t>
  </si>
  <si>
    <t>4098e6416d3d9f16341840dc449eeb908697ec54fbaee03f93e4882a8db57d17</t>
  </si>
  <si>
    <t>be11c2eec6f9324280e8cce38bfe6265578959b86d39301c6121ad42f6fb8e63</t>
  </si>
  <si>
    <t>fbb64c98a59c4a4ee49890f93ba3f39ad8e3e8deae38aea2234d36cf2598f265</t>
  </si>
  <si>
    <t>2738ad74cd594b3b65e36032321f88750f20b987facf8c4228a69ecca38b4b9b</t>
  </si>
  <si>
    <t>e89b3ff4480699f5538ab5899d5eb8d1e1e8a21957d2c3e99316e4b450f0f47a</t>
  </si>
  <si>
    <t>45479830c03db744fed0a583cbca04a7ac75ad88fb6277b88591f4dca7e92d3e</t>
  </si>
  <si>
    <t>1b48ae20fc59a8ed9b947da5244da7aa5dbceb0dc797357dd9ed2af1c42629c4</t>
  </si>
  <si>
    <t>80b046aa8401c9a05e6cb184d8b0409b6a9a85f973baf26154ef11d8f8598159</t>
  </si>
  <si>
    <t>2fd0e423510567325dca5f3b81fba4822b3f114b82edc93572bec83bf10b6780</t>
  </si>
  <si>
    <t>4f0e3a4414fdfa96905cb5506ccb23299e5cad02101cd447f9ef7898d250e0b6</t>
  </si>
  <si>
    <t>f80e58587a4cdddff728b958f2f8e48eded53444c495c6a896d271941747714e</t>
  </si>
  <si>
    <t>d32d610b16d344254acf235cabade08ed5e300d207e4f3430105404935aa8058</t>
  </si>
  <si>
    <t>c913431555621305cc06fbf436fb134a72f294bb2780c0d73ce459553a358978</t>
  </si>
  <si>
    <t>6fa6d453bdbde761dcb9d7f6c196e954d7bcdb88adaeb49cf37d8d92e84a0761</t>
  </si>
  <si>
    <t>53aa1441e3b711f74ef13ac4dfda7d2da5359aa686ac2308c2fc9d4e0896647b</t>
  </si>
  <si>
    <t>bc2b0f7198e0f3c810dd0df974a4163ed87263153a6d0a478b4c22fdb5dda13f</t>
  </si>
  <si>
    <t>0b7b8a3a2f619c0b542760f5e6e2194cd2196e6f417e4a16205908335ce354a9</t>
  </si>
  <si>
    <t>f11960b1ead4fabcf99351af75edf2b53422ad8e6ae5c5bfa753f7a6e9f1e9c0</t>
  </si>
  <si>
    <t>e09ac7278005cdd1d31f930b6434735e154a89e16480b3abf2e9e709019dd805</t>
  </si>
  <si>
    <t>78d9f18aab1025ae858cdf7651633e428469587ecf015e264f3a1b0a3151de65</t>
  </si>
  <si>
    <t>a3fb501050d61d43c38939816d3c97e2af3c7b1fb0c3ce26013bc646b7c18cc8</t>
  </si>
  <si>
    <t>82a1f7c9966290327af50b841ab546cfdacb1ab851cbf855c0f4f63d6fb3511e</t>
  </si>
  <si>
    <t>5c03a5c75fc3c887b8f99fe2736338240cf19d9ec939f266a2a4d43f7a3aac19</t>
  </si>
  <si>
    <t>9998b40ba756ae9d65589e15aa83f34fe0bef13c158d62b5ad52a6767a32a053</t>
  </si>
  <si>
    <t>7dc0d3f24fd7d83727dea23ae03e47f962ab91582aa101683906e744e8c918b1</t>
  </si>
  <si>
    <t>f5f8f9123b3a86ff401603d51cee0b0921a2c9977a341b016af47b3de8e71e9f</t>
  </si>
  <si>
    <t>77088bea1dbe62e84268e04bfc3247cfce7c42d93993acbbf0937d1334356272</t>
  </si>
  <si>
    <t>42ac68949f70a6e79be6f5a6505c6f4487c87390830f058fbb7488fa7628db98</t>
  </si>
  <si>
    <t>68bddd98f6db965221086296fdf155e2db04c740fbd644e963261481b72dc75e</t>
  </si>
  <si>
    <t>ce664d4bd193d207d2774f0195f4f0308e5910a3286cd7550c8dae1ef444c63e</t>
  </si>
  <si>
    <t>ef15d06f5a953de932e0f24ab29e7aba64b62f6555d8bf3a4a9d1216b99cf583</t>
  </si>
  <si>
    <t>0f7828531ecf07fa219251da1a17d8a25a228f4010fe9e7a104f6ce186798867</t>
  </si>
  <si>
    <t>3658bc097e0a3620b17e28471029d1b554c3a301e4d409d93f9adcb0999a7485</t>
  </si>
  <si>
    <t>c0716457926f9f7a45a83f3a16ca16c48eccf291fc4be79c4a5bcbfd7f5ea589</t>
  </si>
  <si>
    <t>7d9a3e6d42716565e85495caf9a5db5071e03b728a725c0a9279b6ec76924e81</t>
  </si>
  <si>
    <t>4565f141bb2af89263c7da85d7c591429e1a3d502a1057c23402c98d9e4a7e59</t>
  </si>
  <si>
    <t>58ddf30e2a2be3aaa42499afc6f7c6ffbfb023fdaea8cecf195ee22dcb434d36</t>
  </si>
  <si>
    <t>03179fc79273ec5db1790c50389d49e20cf3a064af9148a2e08faa27e9888047</t>
  </si>
  <si>
    <t>1f965b4896c52d8a9d23f6c521e58de9f36f3fcd1b3a877e2392e1d61bea01a5</t>
  </si>
  <si>
    <t>12fe42f11d947baaca71e24c97aeecab38d5f28509eb50d8fc895b97e34e2f2a</t>
  </si>
  <si>
    <t>46940b5ff1cdceb75031dc31070e73adb42f8dd5f60930994297817b2f38971f</t>
  </si>
  <si>
    <t>92b8486ed4f748ef9b05eef595b32fa2d31a2d2a5eb404bea0945b187c60065b</t>
  </si>
  <si>
    <t>04c00973949500dfe9f07160d70c6fbd62a16a089a021f1285775e8491a48405</t>
  </si>
  <si>
    <t>e11f655b4428ca72e1ce80cbddc0fbc82c60a68afd5135053aed7197dceda85c</t>
  </si>
  <si>
    <t>bbaaa2bb99e24ef3742920e8e710406b26ec7bbebf65e6567345ba011c471c74</t>
  </si>
  <si>
    <t>658580de0ef14ab54b8e0ed22357d704300104835ae2bf0eca1158883d4a04a4</t>
  </si>
  <si>
    <t>cf006e9ced90086557fc7444ca2335799111ef401498bd44aa764316dbb81faf</t>
  </si>
  <si>
    <t>b80bd20b26d7c3c69b846f638f968997b4555ecb884a5cf1744780d36fe14c8f</t>
  </si>
  <si>
    <t>90f9ac313c1cf7a7da2f65085db15fe6251504049fcc4fd1c6292f926d5490a8</t>
  </si>
  <si>
    <t>f4c01dea663c417d634edc9463e621a4275f27e42072fccab5121a89f3bac3ed</t>
  </si>
  <si>
    <t>4fa371854a40367d69ccf508b4e60e18be0081f28a1faf7c285dc36f8e78f0bc</t>
  </si>
  <si>
    <t>2836c5e8451ff4d27fed0885b143cc5dfaab94542e6fe3ee655c7646c33f80eb</t>
  </si>
  <si>
    <t>22a57121a0522195d5f5c1a5d9be5624416bbab6d5f1ed500a36a6f188936f9e</t>
  </si>
  <si>
    <t>6253dea2a30c2e8b5328172796be89d5b99944d345b60041bb9a8adcbb52014a</t>
  </si>
  <si>
    <t>15d94826cb4b272582649390706969e2e8bee5199d45a47d6284c3a94a40c118</t>
  </si>
  <si>
    <t>548ec5464ea2f5a05bfb6f94090f14078f6edac897fc51fa6f4312ccc4537738</t>
  </si>
  <si>
    <t>9d6ddc16b34298870f4e48e46fb3b273f00b1416526bfc77c0999d921362842e</t>
  </si>
  <si>
    <t>9a2509a64e24072d9d25559dcf53aa22718bc2b3c3b7d7b45506ac957ac72545</t>
  </si>
  <si>
    <t>b0123f359e584b44ec2728b93900666acdd70f6f74d9f66211197e4c0eaf0543</t>
  </si>
  <si>
    <t>858acde83a0b7b3a16538eae3bed9dc5289cceabb97040f3b6ebfe7955f8639a</t>
  </si>
  <si>
    <t>84667036f22081e86bb56ae643e2abceb808ed67cbb6bdc5e0f9f5a198fd1804</t>
  </si>
  <si>
    <t>1bbcea19a363c7d584ce6362dab3a1338a93dd9e62d1481893eed25dcd4e9cda</t>
  </si>
  <si>
    <t>774a4a3e8297210cc5ea71ee065b5982e5613f09448fcbb4ec00ff7c283a50de</t>
  </si>
  <si>
    <t>5a41b0123b6de146f26b801998647d3c899739a1473f5d06470eb6d7e37b16cc</t>
  </si>
  <si>
    <t>1dfd01c9011a04d6ae2396d5ef82880363111e21a631e028019f2f995d6b21b6</t>
  </si>
  <si>
    <t>66151c432f8e5865737f4a274f8e37a4b8891c0766e86dc0c691fb1d52ffca96</t>
  </si>
  <si>
    <t>785f6b25d09900cfd1b1e8f68d266150381b699d883031e413496f86ae007d36</t>
  </si>
  <si>
    <t>0fcd3b83b19c743f04edff22e3256e611318e114f887c652b22cd51a67cd230b</t>
  </si>
  <si>
    <t>431b050b4bf7675b9fcda4283d5ef3924a0281f08ce0669b324bbc5286425345</t>
  </si>
  <si>
    <t>7a288521787bbb7a3c87208a126ef987fe9de0f3b0284a738d7cd270e6d12c99</t>
  </si>
  <si>
    <t>1918e512b652f887837e6b13fdd1836113d9530e491cd4ba6d9485603fdf062f</t>
  </si>
  <si>
    <t>e9fa04953462653a59b9c4efdb35ec196458501fe28d3a710c297c45be60be87</t>
  </si>
  <si>
    <t>72d8d71031d80813ed732946d6dcc399d00c603d318c67535fa7a05ccc11cb69</t>
  </si>
  <si>
    <t>92d7055c61b1cc789f1df3f777dc2d09a613e9d99764620620c566b0cf517b31</t>
  </si>
  <si>
    <t>c647131c90c2a7a62c2d6c3e307346e5e6984faf26cf0cbb1d4ba6615281ad1c</t>
  </si>
  <si>
    <t>76479a3831783c7340feda915f41005a6b2bfd9726643ff45585ce7be58fd8f6</t>
  </si>
  <si>
    <t>82a2126523bb9a7d170ce59fc33a0ef03287bc689688681276ce28ca33eabf56</t>
  </si>
  <si>
    <t>25ef072f6d166303a706b9d61bce2f876c290856ab23b07cdef496897f0318bf</t>
  </si>
  <si>
    <t>b0e50ab9666ca3b9cc22c5659a834b6ca77a384de7dbd4eb0ac4dd7d734647d0</t>
  </si>
  <si>
    <t>6a0d4ed743b58ea376085e6e47347315cd10f02b948c5ffc4dfd5b4a244fc469</t>
  </si>
  <si>
    <t>4aee7b4745f56ae03b16ade803d19e656975cfbf77cf6fc06dc3f3c5c954559b</t>
  </si>
  <si>
    <t>05d76904b056e23f7ff8a34bb360801eb02b77d2bb72a7fcc336c4506d872234</t>
  </si>
  <si>
    <t>1dc0c386c4a238ec23b1f48d5d5d662e03dab66a3baaf8eddce552d535a9b9b9</t>
  </si>
  <si>
    <t>5f77ec184a0f5e290e7fdaaeb309e042580c43b6b5474e8cfb3fd3f57b64e2ba</t>
  </si>
  <si>
    <t>1cffd90f6fb69e856cfc8feb3af7c4c6e33fd39f4d0d2a1eed43d263925b7b24</t>
  </si>
  <si>
    <t>4db0b6c76608bef372f75c29bcd2fcbc0cfcea44e84dd6d6e284839d675cfb3c</t>
  </si>
  <si>
    <t>135c3062384b709a652c93598ecf9d0810b320afef089d6a4e18c22e9f11a5f4</t>
  </si>
  <si>
    <t>790990499d816a7cc735a3c63c121e1f5dfad0f07b4e294cc1aaf26b47c74abb</t>
  </si>
  <si>
    <t>586e2e68662f58aa55a621bce199d7733037e2d3dedf24518185a052ea4185bb</t>
  </si>
  <si>
    <t>fc8fefb2ff7527be31716cf10732947300bf80b01244539616637ef598fe17c7</t>
  </si>
  <si>
    <t>56955030b1cbdc605d36501b2c725a89efe0d95d7ebaab798dea3c42894be65f</t>
  </si>
  <si>
    <t>117d195cba4414f3bf13833b13a07f4210712280b9e2cb9e5a05a1b3c4eec36b</t>
  </si>
  <si>
    <t>8cc4bb3ca4cef05bb015a4b8d62244931d39104b8cc3a9a8595ebe2eea8ad921</t>
  </si>
  <si>
    <t>7597c5d2b13cfb4dd5f805ae92a0eb0b872138e8158380f417b8b6fe63b51299</t>
  </si>
  <si>
    <t>f3c858bc481285a17e56218f5ab4fd7f30504f389ddc41926554069051a920ab</t>
  </si>
  <si>
    <t>947c08e5e55f97f2326d948a9e3335494604c4620a150a31f1b738130e9806b2</t>
  </si>
  <si>
    <t>6ec6516135ef8d92650f762a1db89d7ed9f4ab04124abe84724b2b4481649a30</t>
  </si>
  <si>
    <t>b4236fbaaa579bf2cbeba7a1dcf257d31200763fff5180fc694bb9ba2d67f306</t>
  </si>
  <si>
    <t>eb6619014de6a7bf7cb6306f0d35d55283aaeb0f66a2d2fbf4846ba8972e20d9</t>
  </si>
  <si>
    <t>1322d2774e1ff6f26195fcf0a41546208b24d5af7254e0ffb61a25a9796aeae0</t>
  </si>
  <si>
    <t>a8a2a3f2e0ad9bdc49f07672faf3788640920f6bcae1b541defdc4209a20f98f</t>
  </si>
  <si>
    <t>e75c0b2cea24bb5e5932d407de038d6a88830762ceb419673ce4b59eef5766f5</t>
  </si>
  <si>
    <t>dfc99abe4928ec995645f8c6645ff70a06c94d765a5e1ae0e2b1794fb4373f8c</t>
  </si>
  <si>
    <t>9a9626182c96f484370bcf86501f1a89fa107b247e7ffe5cc56ad33a6230d5cc</t>
  </si>
  <si>
    <t>e2a6e5d3a2743e8aef0145b26ba9a89079ec2301ff4027d41d44e59014c3d171</t>
  </si>
  <si>
    <t>287c5cb2b765e93f20aa6537f8f57ebb695c22e808f905c86ce2224dfb362854</t>
  </si>
  <si>
    <t>ac084869863d9c2af3012c5433d3fc6dea39ce5c85f9d67c8987d5ac5bf3d8a4</t>
  </si>
  <si>
    <t>9e0f7f7c5b2a051e1f7762b171ccf95b938f4e245158cf54320f9ff550e13aa5</t>
  </si>
  <si>
    <t>e60777e693871fa6d8d0fd8b3307067e44965fa32e9e17f8393da2e87f2b040c</t>
  </si>
  <si>
    <t>ec9e8ec1d8b04c6420a326e357bcf4b29a5c7e3d638d5a0510c381698bcb580f</t>
  </si>
  <si>
    <t>7ab877ef4e2c14e649740275e2aa908cd43920e88640f6cb8f812f0eb5ef5093</t>
  </si>
  <si>
    <t>6c42fdf6045fa183e96ad4547a3d6bd4628053e51bdf50b8d2eff6dd2368fee5</t>
  </si>
  <si>
    <t>a8843f777c4166e9e5d1fc3b90a93ae4e83797a676c3b370e6b90ef944e1b999</t>
  </si>
  <si>
    <t>288c65392a153c2d9aa8883fd85bbbe0b07cd84200b83fc2d83c3165123b6faf</t>
  </si>
  <si>
    <t>fc8c8d5c02a076d08c5e2948c3b592efdc09168381d800501b1b52f733101f7d</t>
  </si>
  <si>
    <t>93c37e12a30073e30a2e828f15f5bbb718a54930d5ecf0070694fcf1ef48edc3</t>
  </si>
  <si>
    <t>HEROICA CIUDAD DE TLAXIACO</t>
  </si>
  <si>
    <t>02986367866526e2c6f7ac2b9c2cb8e39f3b796a1049facfbe75973e51010cd1</t>
  </si>
  <si>
    <t>75cdb526ef27498aa140fe6c403d6b67ed3eee9fffd5e08df4b805d6dc59d6fe</t>
  </si>
  <si>
    <t>290bef98e6a77332fecd7583cd7d0aa572d4a85f5c222cccae64721a45f5df72</t>
  </si>
  <si>
    <t>1d39bbfa216d053850a34ba1df8fcadc585929ab86257991a38a47b1db8c77ce</t>
  </si>
  <si>
    <t>c9c6a53259c86592fe42fbaccace78be98105be1c7322be28c5d0ab5cd9b2463</t>
  </si>
  <si>
    <t>be8c1288dec48fc49503185a273c6834c130c864fdf479200416a1fe3c3b9ef4</t>
  </si>
  <si>
    <t>68bc24825057d0955b2e8ddd417a578abff8169f32d3c372c7c59fa8b15244ce</t>
  </si>
  <si>
    <t>bea5ad9b66d7cc37b635404796049290bead0768bae1fda831080e46656b49e6</t>
  </si>
  <si>
    <t>221f8b23294ea6eb75a81137ad3556c1450c5b4cb9806f9dbf9bf8144668b370</t>
  </si>
  <si>
    <t>c039b8e5d1f5a22148dda35d745eb39c7b61cfdda03c53cc9382d2b189526a62</t>
  </si>
  <si>
    <t>e84bab2e5d41d1b2199c9b1c9cb6e252864c17920b724db75ea4f317527ad01b</t>
  </si>
  <si>
    <t>3a19cf8c8ae6e4483cbfa700a2a31e5f84d951fe5602ddca7ac4c48eb3d27ebd</t>
  </si>
  <si>
    <t>245d9a7ea5c760153c600c1fdb0508e0b495c75d033edbf4ac35ade0f1c6d1eb</t>
  </si>
  <si>
    <t>7d5aef85585137bb15c6f1244387305457eae2a6b7ec26aaf42b5d4d1664572a</t>
  </si>
  <si>
    <t>0edcf1323ab786f4f4b16059dc6f8c84e77c53c995f19b7d1b9655f39c9dc7fb</t>
  </si>
  <si>
    <t>109519d7cbd4ed68883b68b85515378815ff2fe370dec671eac807cd86095fa3</t>
  </si>
  <si>
    <t>a048b8e5b5a0ac61051178913fcec8b93f62c9df1c0a73de3c42d7da73385cc2</t>
  </si>
  <si>
    <t>0735768deb1166f9f4b5447c457c0723f557571a7d79e1772f702c16474c6220</t>
  </si>
  <si>
    <t>4262f7a8861986177e3ea44051b9d5313d408c08addfb30916dc26448faff099</t>
  </si>
  <si>
    <t>c4cb5c1468f1ed4bdc89fa129df5505ecd610c90162a910eccd23a0da409829b</t>
  </si>
  <si>
    <t>8b9cc96d7088441d6e81075bf496f7bf9e7d4b6c6b1c201866b5b0ccd50fa1bf</t>
  </si>
  <si>
    <t>7267507ba0fc620bd11e050b2437b869a3c67ee19a65d6cef904e3bb3e24fd40</t>
  </si>
  <si>
    <t>841b68b345378750a7f433e8fa9810076301608f13bf32c9249350608fa8bf4f</t>
  </si>
  <si>
    <t>ed15b676e5c2c1911264a278335bb280f8c9c6ba7e736e0e574e5d3950a1f21e</t>
  </si>
  <si>
    <t>e2ece1f1743280bb8f00ee76c486c9d0d94084cf58f95e36623ee753316ed2f0</t>
  </si>
  <si>
    <t>5d322d92defcef025472091cfe3135df4a06018de6e781f3d4f54f7651a8038a</t>
  </si>
  <si>
    <t>9c21b5d94af9c7d4e6939e6e9b954989ea91b1936d5a42591ef6de68cb994834</t>
  </si>
  <si>
    <t>76356c190d7ff21765dfde62178e301151edc138f8d8af5ea62617237cf8bf8f</t>
  </si>
  <si>
    <t>db5f92a8f4db2dcb86c963c8cd1d44f4adb67bbda7aabbeca5febff772924b6f</t>
  </si>
  <si>
    <t>cb4a889d7f562db37eb4c9b2f1eaa6f07332979541c4586e029e78402a92f427</t>
  </si>
  <si>
    <t>e65734fa5ea39d59847d0c6c5cdd156a53844c330c13cddbf83c040ecdd7444e</t>
  </si>
  <si>
    <t>6f2b023d785bb9dcdb0a4bfc64fdb3abc40213a3f9eee49f8cc30d83542c935f</t>
  </si>
  <si>
    <t>1c2bb3e92aa514998cb7bd46e0bdff3e6d7e1658c42555bb653612a0165adfa3</t>
  </si>
  <si>
    <t>d7af0859a74679c7626da00e65ed567877ab2929351d90d3996232f27d79bd57</t>
  </si>
  <si>
    <t>f05116a21d7fc3beb9a49801e2db04419aff5ec832b523d0be2781f615d20fd3</t>
  </si>
  <si>
    <t>7ff935007cbff978a90a5a811ffff26fa525d52184ae419a503872d951610750</t>
  </si>
  <si>
    <t>266cc6f2b56ab559da241564913023a0c2e055f5544b0aa8e30be7cd5e1ce52f</t>
  </si>
  <si>
    <t>9e50be637c55c0e1718f93e91b1fdf5eb5d6b7c77b6ef42281d83d3afd71bd51</t>
  </si>
  <si>
    <t>431d4259b081a2a8646936ae1f834be399b3e673235413710c08d54bdb4aa862</t>
  </si>
  <si>
    <t>f10850eaae3dd67346776749cc119828914d998de570b4f673ab989388ddc956</t>
  </si>
  <si>
    <t>9ac72be958da71a26edc4c4f9e7ee034d69b0155b00a0fde9246b96e054022ec</t>
  </si>
  <si>
    <t>4b5c579053bf347fd1437d27b7dd72cdd28724d7092af1292ed1fb2d7ae3c35a</t>
  </si>
  <si>
    <t>8cca55418ad1cad4a89682f6a3fdfa6f64d2ad7f40db62e2bf269c7222a9a7e4</t>
  </si>
  <si>
    <t>35ee626d815cb5c1f8b0f93af115d0a3b72017c2ed15ff4ec3e5513eacb006ec</t>
  </si>
  <si>
    <t>e68d76db0275e148ab48e0b73b3c8be60962256d8ec968e907a74cf0b7d2fa50</t>
  </si>
  <si>
    <t>bb4f13c93b05619815e04b28b2ab59e62dfacbda827f35fcc7ed140df100cd36</t>
  </si>
  <si>
    <t>1262821f40b5fcbc01a2d5ad09142a34cae26320ead646ec977d93272e349234</t>
  </si>
  <si>
    <t>ea98963a0eda7aff5cff1347f6253fa9c1051dea85bfaeb8a76d59e321d86a04</t>
  </si>
  <si>
    <t>92750851f113ab32f1f8970c86c042019183b4e6905f406ae6b5ce0d01a9b59a</t>
  </si>
  <si>
    <t>8b7a27cb247c917be80ce7f588e82c197e98dd259f638ea94ae69d2eb3190cd9</t>
  </si>
  <si>
    <t>4f07213262de9e99b8328874baaa0d9532538c2232ef50f2dc7d139f7fd5b677</t>
  </si>
  <si>
    <t>b0a1e4bdfed6ef9d03174627dffe4de2c4b52140bb8627bc71fa1d7d7bc25471</t>
  </si>
  <si>
    <t>62f9fcaa10e4124877e219fe0b5093bc541cfbd8763765ebf0ad24bbf936d401</t>
  </si>
  <si>
    <t>91bad7daa0bd32074cbc28f8ad1ec2358c35d9ddd959a5c60c709d564d24bd1d</t>
  </si>
  <si>
    <t>c934e5320c93f431b9c53c77d7d2c2ee9613ac7d316961bfda31fd085bbef531</t>
  </si>
  <si>
    <t>c2108601b8fb39a92d861ad64da277927b2fe533337c93811529b9fe638f466c</t>
  </si>
  <si>
    <t>f340a0bf84303e380491e1091f8b4c19bbf143f56488388b05e1325cc6453c48</t>
  </si>
  <si>
    <t>dbc0b128e521d7d76d2abc416a84c9086907ff253962b7b4edc40d2bb47322a1</t>
  </si>
  <si>
    <t>a63c13d02d9876d42b348e7e27cc301c293babb0cef21c17561a3a8cf4360a61</t>
  </si>
  <si>
    <t>614b1482eb68acc0aa4c6af66f168d79850561fa32f43d201d8d7ffbe3eb0af3</t>
  </si>
  <si>
    <t>5750919227ac2a8ab98912d6e3a5ed3c628ed63293ea57f1244e9ac9c0e02305</t>
  </si>
  <si>
    <t>12199c97b5b308add67248a5949f1b94a55117ea8b47bed0baebf6c550f95b80</t>
  </si>
  <si>
    <t>68b49574ba6f615c2055f7da85e3fbb8b380a1fbb9a610616e9766d4f3fa51e1</t>
  </si>
  <si>
    <t>ca8817d9c9b28e4836b5b4f41f8490cd435e1454276edf3364d0043ba2cc88bc</t>
  </si>
  <si>
    <t>9da5ef3dd440ab9f7bfa4b11affffcd40b1505e2f9ec569137997b5c027727aa</t>
  </si>
  <si>
    <t>e74c2b8b28a1b5c774c4fdfe890a0554706d1994e216f9d811620ddda0bfa361</t>
  </si>
  <si>
    <t>c947c955ca73b85c7a10f04f2f8370d837342caa61f21f1ec70402facb367cf7</t>
  </si>
  <si>
    <t>187dfde6236d8c4169a8f8076a7604290830464a41f47d203863f4ce0634931e</t>
  </si>
  <si>
    <t>b160f089c2cc92ad5b267969679a6e323591305369739a9e34da0ef2957b6be2</t>
  </si>
  <si>
    <t>e55f6b5534ed5dd5296858b296497523b9d8fb5a804210660a180dfff3a7ba0a</t>
  </si>
  <si>
    <t>a2d1a61f2efb1221045ac6af1d7c862c11dfa9e27c252f4a6842dab94c937e9c</t>
  </si>
  <si>
    <t>004f09bf53a66f6d36e271f91412c6baf8436da9de0ff74666b5a6ab2b3988ee</t>
  </si>
  <si>
    <t>655ad46fe684913744b8484446cfd75d05badbe8f59c64960e26bd4c2d6ea830</t>
  </si>
  <si>
    <t>539fa0b58af29e7f7fe16f2e341849689b1cd376502b5fe255cac7f4cdb5f4ec</t>
  </si>
  <si>
    <t>97ffddd806994afdbeb4979278607f1ab7a32a875d827087b6abf811ec355080</t>
  </si>
  <si>
    <t>b4b1cb8fe8c8b2a2e1df8e4286358497f31f65d22297b3c23edd9be1ecc2354b</t>
  </si>
  <si>
    <t>2b9c9065720ad063268b82732dfbcd9d1fd9838696b27301421b13deeb2acea3</t>
  </si>
  <si>
    <t>84bbf948bff9cd68b96af71d6b56656bb948ee0e6feb6b935d9ed62d1daa58f8</t>
  </si>
  <si>
    <t>b0cd00d248341448cdac6658c7f94842b2dd98ba4bca404f948d846491f624e1</t>
  </si>
  <si>
    <t>10ce073b8fb90169fb22de889013492166505e4a59c25b8032975db1ae5b65ea</t>
  </si>
  <si>
    <t>a65d6c10c4ea5567741f5d8353af7474b4473ed3687fb68ba3621e905d2e6dc6</t>
  </si>
  <si>
    <t>f1b770407bc7131dd5fdff3a3ff285183f6132328e6320127b54ee9acac2556c</t>
  </si>
  <si>
    <t>e6e90f8b52763416e5e923bf022d62fb2c5fd0dab52a4631404227e7782a4ce9</t>
  </si>
  <si>
    <t>5b8d29d8f6e4441b2827975c77813ccfe2cd6d2244b3f4cf093e26d6deb812d5</t>
  </si>
  <si>
    <t>5ecfbe1b852881af617fa82a3a9940987e5ea2557440decfa7926434e10ea2d9</t>
  </si>
  <si>
    <t>36a5920b2146ca377b0a5444e15dc78d54bd11856580b574fd97495f59815b98</t>
  </si>
  <si>
    <t>deaa78febe97ccd103396da8cd411f0cebfee380bce5e63fd838bdab3e5192f4</t>
  </si>
  <si>
    <t>071b2b1d97542546872ffcffb6d4affb9a78ec69649b38c7d8a4d7439add4ff6</t>
  </si>
  <si>
    <t>44126061f58f8b318a5b5606ba6669fc14b0f1135f270fa1aac70f0bf76c5cc2</t>
  </si>
  <si>
    <t>8cce642c20c2b7cb38a5e5e9d580631ab729db150f15b7e000937c09b7530297</t>
  </si>
  <si>
    <t>d1d8a9b80bdd6fc25cf466255e9ffdd9cdfd05c6851e9b9f95db25513b961b90</t>
  </si>
  <si>
    <t>0352e4727bef619ff2ff4e03784613829c74cbdd27ded997017c7cf932f60c23</t>
  </si>
  <si>
    <t>c64ff3eb2b0dc8b287ccedbdd714fb6b5ee2c6c5f31e4662e3d8c8ce59650b51</t>
  </si>
  <si>
    <t>e90c6ba8cccfdb8f031cc4754638d079a3a70c8975b5c6c60741a191ef4fd0bf</t>
  </si>
  <si>
    <t>545fa159124468a0d1985b61f417c836cdbe3270d35a168bc762fbe40b363662</t>
  </si>
  <si>
    <t>64e41e4fcebe6abe801919dd01a6b02e98ec23fceb8208910c163eb0bb5c527d</t>
  </si>
  <si>
    <t>fe0fd503a5f9134bc3d9b5724e95ad0dcab8c43f377f031a65e718afc5453708</t>
  </si>
  <si>
    <t>b191c03073c3f204b063066b236787b7e44ee1c88f2b4b67352e687f30cb0653</t>
  </si>
  <si>
    <t>b5e20e3bac5b86dd978fab803859726e336908a761cb80273974016d82519cfd</t>
  </si>
  <si>
    <t>e52c4cbf931fb830fcb87f3e729edf9ed0d638a8d731d69dbfd27ce8c2bddbd0</t>
  </si>
  <si>
    <t>16dcbdc230e03968e8ec991f9b6589a71f883fd3990d0dbd207729f9d2b6a247</t>
  </si>
  <si>
    <t>160a64c43a6006138e0aa05e2530c7117809ea13dee4f318ebc5bc7dc05c0294</t>
  </si>
  <si>
    <t>996f91aebbbd3094d585ed2d9adbd57ac46645b547b47bcece39b14ccc9d1b1c</t>
  </si>
  <si>
    <t>199fa1a5c6f6814d86ef83cc5fa452f4e99728269e60cb39909ba8de75abfd5f</t>
  </si>
  <si>
    <t>c4c61cc01f15e3f7fc83023a5d73d3ce33d0160bf6dfed5f544c2743e54a4ca0</t>
  </si>
  <si>
    <t>6cda7469794cb2f82ad4083ab1571dc33719eaef8f9af02365a809e04710382a</t>
  </si>
  <si>
    <t>cbd1c17c43206e81eac7d5adb4c426f9665ebda228706ae4f629169b4318283a</t>
  </si>
  <si>
    <t>ba2367f6e41f882f53ef43b582e3d6d98ae9e75c61dcb93a93c10b84ff8bd061</t>
  </si>
  <si>
    <t>2bae27dc6faa027b7b96a58c1b62fdfa17bb05425e677d62bb661f5c9ee6540d</t>
  </si>
  <si>
    <t>ece8e058eddf87cf8e2afa11aaccda2ac488390dab831c2b041551652a524775</t>
  </si>
  <si>
    <t>23f2ee9d2a944747924c6412a05bc4911552022ca0ebdfcc0c0621db2705258b</t>
  </si>
  <si>
    <t>30174189f8c8c1dacff66fbbecd97c6c1cc3a00f9b6bff76a09de6cc57fc7fc6</t>
  </si>
  <si>
    <t>c20e1dc49d8fa17fb174a37f06e29de44ac94065145451865152b13dd5a78b70</t>
  </si>
  <si>
    <t>98d268668cdeb845a22e3aeb9c08069fdb412880f337190d93b99243d6e41fb2</t>
  </si>
  <si>
    <t>12d32b967fe29675e0fbea33ccc16060c323fb13fe796845a54b5cf7528b37d2</t>
  </si>
  <si>
    <t>7ebe6276936a34de654d1d8565abe8c9cec32f940d4ec2844ed8683e717212f6</t>
  </si>
  <si>
    <t>035cd2915456333e48731d8f269bfb5121b5408fd0e40d5c13bf7295982356c6</t>
  </si>
  <si>
    <t>54bfaec90b54a3f85877cf94f459aa2a7bda9d84135e25ac6b6b5830b53771d6</t>
  </si>
  <si>
    <t>550057bc530d3f3c547ab566f2aceed317b3c43ee35e785ae9292f0eb3acbc4d</t>
  </si>
  <si>
    <t>96bd40c5f045f4ac8bdab592dda6a28d6a44ebecf1c77ffdc4cc70972fce991c</t>
  </si>
  <si>
    <t>b3ed236d8fed06552c3ad38c4bbc5464ba5dfebabfb881bd3f739a1e0adf2126</t>
  </si>
  <si>
    <t>ee64798b74ee56a43373fe981d54a3995b326c5049fd662c395336812eb2199b</t>
  </si>
  <si>
    <t>7ca92031b3a6eaa3a5ffb763e2bf28db5a8769d8ec513e1d99fe1adbe60f52a5</t>
  </si>
  <si>
    <t>fcab76e6c5bd2837b25cacecc28b8d6cec9cbc11d5584ddffaaee458d7ad7c37</t>
  </si>
  <si>
    <t>67e6f6b2d21d245ef0d067cb7fbf2a98a35293fa4a0b064b9d7cceaae1a93a43</t>
  </si>
  <si>
    <t>d7027cf9e424b997a3c02b831080413f40787cf77873b3a351e416b2491449fd</t>
  </si>
  <si>
    <t>87d360c12eb3f12fe9bd160ff9f00a79756387d06374dd0ece4f64851a73d7b8</t>
  </si>
  <si>
    <t>b575c0b765d9299c900dd1a9e477729cda845a53222cb6d02d65861977476385</t>
  </si>
  <si>
    <t>1e01ad935c1f107e0a22bfe072fe342991ebe6d53c0905a7e9c05008ad3bce0a</t>
  </si>
  <si>
    <t>a22f29ff224e7ab328a2c7e0573a321e6e50ba68972d5aa03340bd4de4f71d66</t>
  </si>
  <si>
    <t>9e75dba962b8b878dc3b112180d72b057dc3d3dd67696ed845e677429ff0b629</t>
  </si>
  <si>
    <t>607a2a6dbca7bca074e1b9845c6df85d47008bbbf6a34a2f1b1517fd743ae0b2</t>
  </si>
  <si>
    <t>6449430a64a840f9ae2243730e5f4248638de2c5b85ca97713175c9fb3af3b1d</t>
  </si>
  <si>
    <t>003878db3bc986e08846f849e26e53a52277c271a5e757dbbdffbd65829eba27</t>
  </si>
  <si>
    <t>0bf429d3af04edfe92b1d966de2b667fa96dbbbc92843414133a15048242e1be</t>
  </si>
  <si>
    <t>5e2f934394a5c10bed3232dcd40dd4313b4fb49c6ee8517a9d334e1039f68e41</t>
  </si>
  <si>
    <t>fd804affc99c7bcac684f68bf9a201c97b7156e042625e8ba2587c09e25ecfe7</t>
  </si>
  <si>
    <t>a2b4b44ab3dd5eeec76aef77c334411f36e2550a910c80fd277534a280abf746</t>
  </si>
  <si>
    <t>cec429f3e89092294266e8f2cbd6b6d26c68c6d4a72ea6dbb874bdb3dbe5480b</t>
  </si>
  <si>
    <t>519af9da854c85c2bdd767e8f414cd21e08d7c5dcf0b8ddc24e1cb11c6cca86b</t>
  </si>
  <si>
    <t>f5e93626af5df975ed8b07de12c71f3dd97ebd57de4fe9cae2edfe44ef91bd16</t>
  </si>
  <si>
    <t>c0578e6b51ff4b631afbb90a3c48e1916a3e4ad25d84e1d1c323fb4e90f1e540</t>
  </si>
  <si>
    <t>2070abe807c85cb81fea0ae5c15956b15985da1c9d778fec098b1829d3ac6dc8</t>
  </si>
  <si>
    <t>f3206e6ab8357e02934d6d154fb0fb730d61ade60cde0fa03af1c2ece37860e5</t>
  </si>
  <si>
    <t>d03c900686cde1ee3dd035c074a58e537408507f3f4bee0ff651f4f6d0887b9f</t>
  </si>
  <si>
    <t>db1b6a5f0070973dd74feb912f5ca2d3fdfbfff2fafc59b4a82e8557068a48ff</t>
  </si>
  <si>
    <t>cc33fc408071b4622c9d230098c183f2bb9f561409495ffb21a2ea3e7f40a47c</t>
  </si>
  <si>
    <t>1ec64707051c79384b97f58f65f6be544300d5f8f168fdac1e45431fbc4e6bb1</t>
  </si>
  <si>
    <t>5816963e6168f67bc8283857fb32daf408378da0688d5f7449ab7488930e4cd6</t>
  </si>
  <si>
    <t>b1a88be3d6cf9f82cd4115ddbb49b426e85c1c2f775a3a90ec2a0fb1bba1947c</t>
  </si>
  <si>
    <t>585667c2910771f51f8b6e294d7d0d5063ed1d2d2a63e2f34596296b6acdc99b</t>
  </si>
  <si>
    <t>e8713930d7df606d56a077a9b5c9a14f08f33a5f9a6886942e2e2ec10545f258</t>
  </si>
  <si>
    <t>52c8689049ca30f02eb0e7c542dd23019b7752e1d19ae809af96153fa32e594b</t>
  </si>
  <si>
    <t>dec79f971bdc4954b061339189175a56f73a7d0fd1c1a79390c06e057720d449</t>
  </si>
  <si>
    <t>09f102e302e4ace2104c05ce2d0c9915f22a3a4bc570657baf3b8d0c5fab94fb</t>
  </si>
  <si>
    <t>7cb599a0d2124c3f5254e92cde4950c851aecaacf7ff6cfa26e46d5f57d07e15</t>
  </si>
  <si>
    <t>b6899514b687503b04d9c49b8a2beb5a0df81c1f386c993472ce4eadf175dfc5</t>
  </si>
  <si>
    <t>797efde951cfc98e10ec8e1b8b3d8858ae9e3a032d622671a6252c755f54862f</t>
  </si>
  <si>
    <t>9e3b9e87ab44f4d89b5a97f2ee61aeced8cb0a6a9ee2d5c5721ed4d1e93ab7a1</t>
  </si>
  <si>
    <t>48105768aa9e1e26d1b8c82738f94621117e86136da7688e5b61cfb887d2b0d3</t>
  </si>
  <si>
    <t>4f340d7adbe6f7cd18730d79c79b6886dc85e353ab433b1cdbbe44163f63ad33</t>
  </si>
  <si>
    <t>2492821dbf87069de13f08ca616a0faee2ddf63af9bf043ef17fc695e044eb9b</t>
  </si>
  <si>
    <t>c54d0fdc730d7e4571972afd9bddd52d865fc300efb1b0cf6fb1cc77942c6f0c</t>
  </si>
  <si>
    <t>f7508d1463e9ce2b65487c72572ac40db96c001327ec2dd259f8bc13037cccd8</t>
  </si>
  <si>
    <t>c03ec63d739039eec6f8f5efb160578f7479657ffc1a3d5992dd8fd4193312ae</t>
  </si>
  <si>
    <t>c2c1b0df88edd48d1ea5ef94ee4d57bb4107c18e6d0d079de3583df0df8f7dbd</t>
  </si>
  <si>
    <t>1e5bc39193f603a82ad7be312f016b427922d1e3dbff2041477e12a1e526c1a6</t>
  </si>
  <si>
    <t>bf3338ede3c670612f3b130c232caa0428fa2ebbecefaeeb04ed7fda22dff0e7</t>
  </si>
  <si>
    <t>cfb185d04aa59923fc92e617e25a1e1c8c2450c44297eca3075f0b9d7e823476</t>
  </si>
  <si>
    <t>a2502d56bb8dad010bdc7f9e51ba562eee5212987e1f897e848c8a77cc6d13bd</t>
  </si>
  <si>
    <t>cf47c2ac6dfd4486be1e37117634427b109d692cb8e7986d0a22e07584a64ca2</t>
  </si>
  <si>
    <t>14e6c85419b9ac4fd0a153a5b28cfa39377e0e040178eb9ab3382761ab5ca6f1</t>
  </si>
  <si>
    <t>82560cc8caf1e363d6404c91c27c6d9d23288ad4840d00b26cd16d45b237cdd8</t>
  </si>
  <si>
    <t>9e5ad817e5fc17465a5b0258974e1729db46899e57a8a0996e0c86f283d129e3</t>
  </si>
  <si>
    <t>d960ba2775bf03193eead0c0f91da95acccf8eae9b1e13cd4457c46e00f582f6</t>
  </si>
  <si>
    <t>71b7b9693a688503e23d401238b233ce807c64390e5904893f9ede0dd69f03fa</t>
  </si>
  <si>
    <t>18300cdfe2b34af8ee8e210174f3b62d5b17fae9d70d3daa067fce52a75aff36</t>
  </si>
  <si>
    <t>b82e1728b306c31c0d038967f3415165fbe153cfea0ec3bb6748a27ffecd8d3b</t>
  </si>
  <si>
    <t>3e3396ac2c0500b129f3a691c3d02de54c140fa4b61eb77f3df511cc89a9f17a</t>
  </si>
  <si>
    <t>c023a2073e4e24b2b0631e6f81fa9bdfb30a5956d188d12b2380fda128660325</t>
  </si>
  <si>
    <t>59a487e66aafad441b465a9b51dbc5c29417eb0b11f80453acb37918807ffe9c</t>
  </si>
  <si>
    <t>b3b43e4f3985856fa37cbd4193b0f44de6ee77463ac43e5cfdd7b9161416d893</t>
  </si>
  <si>
    <t>44fe81037d3b965869b4fec0c08e2055b6a40fb0bb46d04fdc1d8b163ae23002</t>
  </si>
  <si>
    <t>0971f695c1dac0f67bfec4ad0e2d6d1bce21b80ac27ee72dffb35f718dafb84f</t>
  </si>
  <si>
    <t>d8b0acd846b3de5a1e3138dcb683e919e2a2fb6ca07e1aecefc0c054a2821910</t>
  </si>
  <si>
    <t>ab1940cb899a05dc147ffe362c554e3effec184dad432c126cce6bb54b28f37d</t>
  </si>
  <si>
    <t>204d4d83276594b7fd96573f184b26482ef42f2d1b81f54fd449eedadde58997</t>
  </si>
  <si>
    <t>3f7ccd6f7a236ee696e01514aeaaed3325e9d18e83089f2a15984d4c82ad3ca8</t>
  </si>
  <si>
    <t>e23bf58fbc9eae9e2414147cf733e36efef95acf7b7f0c17bb82a69d92a899c3</t>
  </si>
  <si>
    <t>2ed4083ecf5c786a4bb309e70393d2dd6fbd6b1310574fd3d21f0f4408a30da3</t>
  </si>
  <si>
    <t>d8f8fe52035f684ad952906db0b2b8eb53a1f4ed7f21d4be5926aa58608bfa2e</t>
  </si>
  <si>
    <t>1cd88e39b163ae9f288d30f7ca1cf43628e7908b62b3e2f4318daeeb258e9418</t>
  </si>
  <si>
    <t>fb58719af389982c7709cd98b2e4d94aaeca3d9b065c7603bc42c402138eef8a</t>
  </si>
  <si>
    <t>10755df7246d197d2b80d8c161158176fba0ae1a542e755d391cdf5dbc59815d</t>
  </si>
  <si>
    <t>d82cc73a707c9545f84bb255063a5ac0f6ed8c822cb952c2bd227a8e88b6d242</t>
  </si>
  <si>
    <t>4c5fb3d95b0f0e827727ad53f78bdf508c8c7a47410a249b5f38a59f3c90c449</t>
  </si>
  <si>
    <t>9ebf367fc0ef5ad7e99920c914e6c7066525646ce2d6bec94f02a223a00d7c1a</t>
  </si>
  <si>
    <t>c7fdc7c0d16b0158519d47095d4d087b6105d4c0e76ee2d9934f7090a953513f</t>
  </si>
  <si>
    <t>9c24f9d29429467ac6e765d29d703a24e174cbb4c51fbba7a293a16d33047a50</t>
  </si>
  <si>
    <t>58c066c58b05577d2b6a998bccef639c98723524a3d4b4f57dce61e11f9d3d56</t>
  </si>
  <si>
    <t>6d75b91ba3dda3a5321f7810112f2f7ddcb81eff1dd3ee6f219a5c9918ce87ae</t>
  </si>
  <si>
    <t>11c53ef807441e5d7331ed96f49a813b5d6ab1a1e0f6983a0489bab30c98361b</t>
  </si>
  <si>
    <t>b080b46d7729bbab7a106d6a3a8e293c3c19f54da56619b686869c6187d14e34</t>
  </si>
  <si>
    <t>4a946109e911a858829546b9cd8234ea90983b7ed87a522a313c2544301c177d</t>
  </si>
  <si>
    <t>7f47c929709e3bf93d27aa8c309c3073dc0ef01173962dc34a85656d54a06350</t>
  </si>
  <si>
    <t>05b1bfb2b4e072b78f8994ce3c19e410c1d29a142c6b57d22ea66163d8df7ea0</t>
  </si>
  <si>
    <t>e0ba8ec0fcba7f58ea024ea9ccb376ebe999c2b6b5731a6eb499bce2375574e1</t>
  </si>
  <si>
    <t>793c0c40fddd767a8a14e25b2a79e1a8a8650df913b2fac391e7fc35da9389ce</t>
  </si>
  <si>
    <t>23b8d42a18ef4f213ee740fcfbbb247d9ad6422656ea954659faef9f558a3b71</t>
  </si>
  <si>
    <t>f66e91b629d3ddf8e98767b38e04004f92181044e4575219a715799599d9811c</t>
  </si>
  <si>
    <t>d4f5e2bba96ad1ea6baa83f0ba429c2e5766a3cca0001f18956715b1d574616d</t>
  </si>
  <si>
    <t>b5fa765e91e20c10a35b62aee8457d0e42f80a15db47bd1feadb06a7020f7750</t>
  </si>
  <si>
    <t>da3bf9b7da2d887b528d07ce0cbe126726f9458d26112c261f0b717f4b295386</t>
  </si>
  <si>
    <t>607fb9756565abef5b7d8c7395b3b7414031a5c3b4ac87ab5c379264d08c77d1</t>
  </si>
  <si>
    <t>497aeae5f7004ea92a309daef71310037cb3d4ce711b2ac06221e1096f53ef10</t>
  </si>
  <si>
    <t>675115ca7e793a7fb06cd12b0d39e072d319aceea5344ad233471e6d1daa0475</t>
  </si>
  <si>
    <t>d641bae228ea82e0f42dc9cca5dd4b7ef1bbcd27b94e8ac17c25cb47c6634893</t>
  </si>
  <si>
    <t>64901564d3729e86dd14eb12a75a2ec6efdbcc705ba27e1d85a57e0fb7ae698f</t>
  </si>
  <si>
    <t>02b52b5198e5016c9a46c9a0a302dd15dfc22d63b63584139b2ae990c64323fc</t>
  </si>
  <si>
    <t>1af707d5876a3e4dbc11398b42f5ae42d43d96751f0effa136d30a7ee58319b6</t>
  </si>
  <si>
    <t>95d148f9f08953f39de6199c60432b42424721d037523cf6a1f509317c04f31a</t>
  </si>
  <si>
    <t>b39837d750c388f1ce60bd4d398e08a1e52873cd8966d04b18e99ec9d4fa523c</t>
  </si>
  <si>
    <t>60c7ce73f134e04bb8874ac4ae55277220979eadc852ca3567efc06185a367d0</t>
  </si>
  <si>
    <t>ef1d1d2fe5e5b80c423bc1e6f55431c37fb0c75128a60cf5fd814abc61074cf4</t>
  </si>
  <si>
    <t>436497bca0978053eb89447bccad351a79f7bd63966d2e863303bd7defd93012</t>
  </si>
  <si>
    <t>3c2a72fe6a24cabf1a917fb474fae684fc4b1401a0d469708c1ed692323fadf0</t>
  </si>
  <si>
    <t>d197da61ca0b11b4c34143b5a74c7e09730047aaee50b7b9f626b77983629800</t>
  </si>
  <si>
    <t>d08fac74132324c9a5056cdb7302f0c29706a48d73c4781fcef0ced889533079</t>
  </si>
  <si>
    <t>c053a29159798874f67e6e81acaea8705233eb61dc9eb927eb17a80dd3e9082f</t>
  </si>
  <si>
    <t>bc62f27c5b1b423bf099b3c199dbc88d6dc2468ba701129e9f0cbc30b0e56641</t>
  </si>
  <si>
    <t>86ef2486f3f4eca206e7105377d4e0d035d9520a48bbd4c87f9d8f8855916701</t>
  </si>
  <si>
    <t>0c20a5fc60477828ad6fd8874f279b1b74bf9c45e0dbfdf8997e1c884676106a</t>
  </si>
  <si>
    <t>48439d7b80be3e17d9e64c45a0dfcffc2bf0ebec19c98c334ab546cc88e6ca1e</t>
  </si>
  <si>
    <t>1e739697e5f65f31666783b507a639247dcdb7a081466225a4253e8e30554353</t>
  </si>
  <si>
    <t>6ac99592e1fb533b09f7d4bc68e3c92919a84cb1b4deef236982aae741894ae3</t>
  </si>
  <si>
    <t>c245c1f1c5dfbf90f1d6e748ccde0332347469a196c7f251cd820817e5a35e93</t>
  </si>
  <si>
    <t>1644d66e6c9c67485b9d040ee64564036865020bd3d2d11f6abbe844f8e09018</t>
  </si>
  <si>
    <t>cfee49c5f7e93b6c7da1b0a289742990a06bee98bf1aa4d61d4693e8a66edbd1</t>
  </si>
  <si>
    <t>f6fc1e4d1b5dc63570cda05b54c6cfccbcbff69efecafde63e9167f034f6a4c1</t>
  </si>
  <si>
    <t>4270d98ead2e05f729e340988809f9e7a90f06b28ed27d05887d5d599fbe457a</t>
  </si>
  <si>
    <t>aa2e5a8c2507d321d959dd9ab94933eef5a3f40253cf82758449413c4e644365</t>
  </si>
  <si>
    <t>b0942a4a8d8a0c191e2c8c9bb4a12b91d783e834817749f6a60e0d8cd6debad8</t>
  </si>
  <si>
    <t>28ba9d763cd84e9dcc614bd1647dc6ca6e133ee938084dd56dc3c76d570340e6</t>
  </si>
  <si>
    <t>IXTLAN DE JUAREZ</t>
  </si>
  <si>
    <t>5c37ef588254d00ec08af2151e3b894bb7dae27bb8fbb06e0cb7ff917f00ec19</t>
  </si>
  <si>
    <t>8c6abbe715840b6d626c7916c23cf95156bd1320774d4cbc7eab451039f09b12</t>
  </si>
  <si>
    <t>2156a14f928fdec155241fdf0d29b81f955760ce54a31fee9b90578f0411c2b1</t>
  </si>
  <si>
    <t>c62cd0ac0f69a2aa69d1f75501d0d87b5c32081987e381d65fd5c4ba1eed818c</t>
  </si>
  <si>
    <t>a131ce1d354066877ce1d60828154e25ae5c24789930faa591c0a8657a71263e</t>
  </si>
  <si>
    <t>01943dff291e1c422f656043eee3e6c5a8c29a00c6e789109fbd4cedb5b243d2</t>
  </si>
  <si>
    <t>fafd8167af719743769bbe5bbc3c4760acf60c5d74b517785741ec134bb265a5</t>
  </si>
  <si>
    <t>fcbf975b6abf47d6d3a6f04ddf35cdd69c2bc532553b387219c30b8cf32523e2</t>
  </si>
  <si>
    <t>f1c996b5ae73528ad584a858192139a433231994ac20c93a602dc6efb5f0f3e3</t>
  </si>
  <si>
    <t>a9d9a23a878828df9e99c53961ba634a5fea29ee3ea28b0d5ae93feab7209daf</t>
  </si>
  <si>
    <t>79f7d5efc7ee991a95892c5197ba2e5ec29e66fefdb47e21dd784317bfbfbb3f</t>
  </si>
  <si>
    <t>941d9b5951dc0e4929604feb00ad6dc7052af88ff67651e432dbb9dc708fd9d5</t>
  </si>
  <si>
    <t>4c824ff6f642de36662c31ae4f2650838c13c7a877c1daa1b3c00a6bae2d41db</t>
  </si>
  <si>
    <t>39d306d219dede2f9fff377b8a2d226bd7d324fd3cab71332f3c4276550a42a3</t>
  </si>
  <si>
    <t>bfe2b73237e1e74d5087c01ce91cd03ce0b422040255d19b9ab3e89311d2f124</t>
  </si>
  <si>
    <t>444787469c1aa28d76af62d36954aed1d14eb74944efd9f0481062eca72fa42f</t>
  </si>
  <si>
    <t>6fbfe3da4a1e271f3aa4581e79749624f1a8d71ac825369fd9c23543f967408d</t>
  </si>
  <si>
    <t>c1a9f790a9872167cb4d1df79e62ba073177a58429644065746a890d5352655f</t>
  </si>
  <si>
    <t>59d73d517dc3f69c9c9558b31369b7bc13f4a37b9a8faf4f6f6b6a366343fbc2</t>
  </si>
  <si>
    <t>576aa655c97fbb0f024fab50c0f212c1e9466471e9321eab12a348cc29a363c5</t>
  </si>
  <si>
    <t>0686866ded1f837a8e03a4ce7abf3f7d01f2bf81af3c801bcca451c1f6b3bbfe</t>
  </si>
  <si>
    <t>b90748f72e5ac2153c9b6ac381861bbd8eba5ceb9dba683a177d23a3d6f3b8aa</t>
  </si>
  <si>
    <t>107876064d648fbcc9462661caed83801324fad981f7a5afb15ba6045c4cb25e</t>
  </si>
  <si>
    <t>25b72b361b80920c51648f071385b9ec07e89ad056fab5162390b7b2e6e94800</t>
  </si>
  <si>
    <t>46e7cb4c622242a765d0c3379f7a62643a80e4d051e43f850f864eee1ab69a38</t>
  </si>
  <si>
    <t>10f030d77ae7bdfece6a232450d604aa9380ce9b6684bef38c0bcc6b01ae7e06</t>
  </si>
  <si>
    <t>6375457e60439479cbf14f883e123cd2ba61d8e075ab7ef6ed7757b1f0572235</t>
  </si>
  <si>
    <t>103f0bc62983034666033d02c4a287d801d123fc7fe03e0ebb2edf84748b5dfb</t>
  </si>
  <si>
    <t>6ae492451c7ce166eeaa9a72f5d59c2d32c0b30ae17a1d3ed4e80058405a6116</t>
  </si>
  <si>
    <t>e83148df9b61cc28b4660e9650ab4d7280bcb69ed274d044dfde3622832d7fba</t>
  </si>
  <si>
    <t>041e65bb44be99a12489ac233369355f97ccd96f396a88fa2e5490b10100784d</t>
  </si>
  <si>
    <t>8c016ea71ae88a32acb483bf234415c4bf99ac059e4a07077f8191c2200e6e48</t>
  </si>
  <si>
    <t>08c01bdd692b565cdc656b87f27cd36d449fb3142af70ac3d97248d7d591478c</t>
  </si>
  <si>
    <t>5ffcc336c9e70e79ff8d1fbed840f06ded99474c5e161c4a5017e2b9dadb1845</t>
  </si>
  <si>
    <t>6fbb325b36a9f7b885949d3b0a1111e6ecd1994712f07c729ab83a91e73329f4</t>
  </si>
  <si>
    <t>e8ad7da3854ed647e3596585e512dd64564977192e42ddf9988f465eb3641db6</t>
  </si>
  <si>
    <t>261727c8aa2a8833b4267d317469523c55ab3c2e9bfe0e47581826fbfbeb2be1</t>
  </si>
  <si>
    <t>3aab1c423ebec4631163d50adc850233ac986ebb003adbe8ae72301ef6b67bdb</t>
  </si>
  <si>
    <t>9f18b8e9680770570c0e13c0dd33bc564a6fa3052cbf25c94b89870a433c0c7d</t>
  </si>
  <si>
    <t>4c2d7c805f3196490f92b5931eedd8c1f8441e9d8e4d5fc748700e54ce81d5d4</t>
  </si>
  <si>
    <t>d3e4e5fc768f7bfbe7e45cdfed06438f26b4d53ba61b37f011359b2ae3c3a8eb</t>
  </si>
  <si>
    <t>3b978811fcc52dab37b569153b53ee007c60f819a7698a9937efea7b478d7638</t>
  </si>
  <si>
    <t>a47696a1c261d402bd6f397d1243177afb217bbc581d909e2a26afefb0dde5f0</t>
  </si>
  <si>
    <t>879db1e4cb4af483bd1b10d2bbd131f29c8b7d911ce543ec3ccad0ef400910fd</t>
  </si>
  <si>
    <t>e13d579ef601ef881fb517def07acab2935073b5413cdca13a7822cd04adcb6e</t>
  </si>
  <si>
    <t>ec06267d96b831cf0db962e266ad9bf3405c39078eb75c16aba0888aabdf07e1</t>
  </si>
  <si>
    <t>ebb75a9356082fb73cef05e7b9795bce7401e136829b8ca374fe103443ac5913</t>
  </si>
  <si>
    <t>fc08e5fd3b0c4ca55c114f69066bd96a4470bd3371a4f50e541da3a3a8a76d93</t>
  </si>
  <si>
    <t>6780b4e29f1fed34eda8b480d66fdf7f6f2d6947cd774c04629df5015e41a10d</t>
  </si>
  <si>
    <t>55b979452a5f1e9748dd423e1811cd85e3b29753a1e89867f0e6c553edabcaa0</t>
  </si>
  <si>
    <t>1c9e1bcd80eab5eac39c7234cf0e0fbcf4047dbdfc072febf5ea7b2608c2ed99</t>
  </si>
  <si>
    <t>ac4b5206e6dcf450113777c61c20888f8e144cd7283c6f7cdd14a081312b79ee</t>
  </si>
  <si>
    <t>SIN ACTA POR CASILLA NO INSTALADA</t>
  </si>
  <si>
    <t>3aa42d4aa798d92d79f53141cca0e1bb250999bf7a18f333e33097e378ded70b</t>
  </si>
  <si>
    <t>3cf4c0117fdb53d40f4d5c6dded05e0430754064b7c3175bac8ee240b25b8968</t>
  </si>
  <si>
    <t>0f1040b86f8abdc50cbf6d32eee57fd89ee07620a33b72a327ea1bc0a7d4d0a5</t>
  </si>
  <si>
    <t>6678fc1daabebff8b827a7a5f78cd479116e817bec0557abe680344bd2ec363c</t>
  </si>
  <si>
    <t>b75f347070fe27c06e115e74fb475e6effe304e88211f1d4fffec0d80d6956ff</t>
  </si>
  <si>
    <t>061794880b8d3314a075e938c997a3ecbca791c467900e47496933d253c94f7d</t>
  </si>
  <si>
    <t>d1d9841953acf5c3b96082f4bf4ab695efce038beb359582e33f436db3db6dad</t>
  </si>
  <si>
    <t>989754610297f134d52e6e1c52fac3b076d1ffd7a5b54dff094f4d79656c24ec</t>
  </si>
  <si>
    <t>916d586c6c1e1c5027e14fe54e58e478be4dbae9b17e932d13876aad7e57e1ed</t>
  </si>
  <si>
    <t>d17f436f0322a75e04714f88fbf21f52ffc5d754c85e6f6502a1605e91206dce</t>
  </si>
  <si>
    <t>159bac3df4c70358ac80dfc95d742f82d4c75a85d60fcc71b2bca2057f90c779</t>
  </si>
  <si>
    <t>c2ec68a73c844e2a0b5822945b3d678febbc6d36364b5b45ade2c2a8d6cdcdf3</t>
  </si>
  <si>
    <t>9f63540b7fbb51852cac56f4e4c0bf98530aa8c50f04f01fba62e363b92912a1</t>
  </si>
  <si>
    <t>f87783306f75bbf007047092207490773b649bbfe7046bc817a056060ed4eb6e</t>
  </si>
  <si>
    <t>8d841c83ad682b366dbdf35a4d3624e3e1f6337da578acafba241e7c3de259e0</t>
  </si>
  <si>
    <t>638b7335eb156b6e1f7e48a8ebdfb52f42e02f91de9deaa89f10bce81011d7ed</t>
  </si>
  <si>
    <t>f196344b39c3444ce131a349836762624ea081c0d2d676c5fcc0c02cd8bc8df9</t>
  </si>
  <si>
    <t>b955166515b0b83c354f10847b2e881f74c5f3feea0bf83459eef0681cfbb8f8</t>
  </si>
  <si>
    <t>fac83c7497221d886b49f468e881cd22e1d41f2c0d96d9109379dbe99d7c5746</t>
  </si>
  <si>
    <t>8cb96a5ccb40d3e537a78923099d560402d55877fd7ce2791c1719943f699dc5</t>
  </si>
  <si>
    <t>27c042976aa0522f4807085425e0bec0d3f6dd66da8a604a720858832cd66598</t>
  </si>
  <si>
    <t>d1ded1f61adcbe82c205641b82fad59d701be1ddda0ededf2ee71310f7d3d0d7</t>
  </si>
  <si>
    <t>5718e1a6daed5bcca957d52923a6821f1734e14bdab438ff059d7aca838d5a0e</t>
  </si>
  <si>
    <t>7c804efc27a39aff5fbd097aca3f32918709f7d1783f95dce07d493cecdabe36</t>
  </si>
  <si>
    <t>a4ac9ca4fc1a5961a133afde406719025e1f0e7351984711eef30d4b3409876c</t>
  </si>
  <si>
    <t>e28eed52c43102ab98d7db52cf97673cfe5881945f5b72d1cd43ab28f6e87b49</t>
  </si>
  <si>
    <t>225154b595024e59b6984db6c457462efec05ac5c4a2bcde5a7bfd0812584afe</t>
  </si>
  <si>
    <t>38d0a1c465f8454df52340a06d8a0101441b9c15a53c984ff644ac634d8ec99b</t>
  </si>
  <si>
    <t>28d7023ad5a0c325b87efdfd291b12b9aad43a06e257fd42e43f807c8088272c</t>
  </si>
  <si>
    <t>5ac1e3ab02d35c0dcf5eeae377c4e91b54dbb703d0ac10c08fa9cc20cf4a127d</t>
  </si>
  <si>
    <t>98b4fb3a5787a071725db03c34cb6de21e2216c9915c1ffc9d956c4ce1cfe35c</t>
  </si>
  <si>
    <t>b055e70b1b779330c63c8c74dd43372cb5170bd56356484bde96622ade21fd2a</t>
  </si>
  <si>
    <t>9764c6b944f8a7c5ec8ac57a70276f99fd2ec04ff1d214892e48b61011d9e40b</t>
  </si>
  <si>
    <t>f04aa15563e0f6d821a51984daeec6cb81c11af4d7fc5c2d0aa9ac4e41d11468</t>
  </si>
  <si>
    <t>741bf48ead29dc32804c7bedaf003d463d437b290a60f891e0c639e66bab13ba</t>
  </si>
  <si>
    <t>ed5632ac078ce4b84f715018503b035867ce3d9eacb2d615533001e22cf9312a</t>
  </si>
  <si>
    <t>093c71a483b3d446293189a430d6646cba3d8395848ef6a71a750fb91ed61ea9</t>
  </si>
  <si>
    <t>4501403d5fefc91315c7224fa881182bfb52b3295758268241d8d903be529759</t>
  </si>
  <si>
    <t>6f4c6fae181695d66b5e18f9dfc4512cf9c0f484d187258089fc93aa86d8421f</t>
  </si>
  <si>
    <t>07acd3ead6b3fb6b82c7c7080d3c98d79ab137c94b8d3154217e387c4e748203</t>
  </si>
  <si>
    <t>d1798f11d4c7bec5f711cf44208db0955452adf6f3d3980971a7236bbb698dee</t>
  </si>
  <si>
    <t>ca1265bea0257b28989bbb29dd33be1f6da378395e70bcf67b6e23b10189531b</t>
  </si>
  <si>
    <t>d0db9d619552825fa2bac904f2bf7f0f926a43aa186a67c67ac5c7e97540d76f</t>
  </si>
  <si>
    <t>5a0d8221542939f1bfb88772550c34b76bb92aa0c05982f959b183c7583c1e7c</t>
  </si>
  <si>
    <t>d601c028dc29964d028d492f60d1c90e5d274f49f090693b99594a29b6bd17a3</t>
  </si>
  <si>
    <t>e2628485b0176a08814c4000663a85bf372ce2fc31a77ffd2b8629df57ff5e0b</t>
  </si>
  <si>
    <t>4fa755b3692926135c0bb77a8dab752471ae787165d413cdd98d15096788743c</t>
  </si>
  <si>
    <t>7a1580c0b6433380f6b0b59a8eff2e4d84d6c883089497d4cbe8cc8fe87152c9</t>
  </si>
  <si>
    <t>e4a7f1f8c7ede77db4f998de9b3b92e5d18ead398b2540e8a483c10a6f9ebac5</t>
  </si>
  <si>
    <t>4c34b449960e15c23ddef01601589f63eccb57cae20ae6974f7650e87a23a402</t>
  </si>
  <si>
    <t>652948765df5fa0d1a1bef536f4f32789d4cecd07da2c658e412d11da8052548</t>
  </si>
  <si>
    <t>31322001923b2192cd73d4305ef296ad8f4569c0f07951570a69013a9b592477</t>
  </si>
  <si>
    <t>8134dffecfab6764285cb547c51a06ef26c9c92b6318fe6f767d06bdfcbaba88</t>
  </si>
  <si>
    <t>91dec1e472fafe119fc06619dea068180e4001a18fa760e65c9d30db12909ffe</t>
  </si>
  <si>
    <t>63e7886069817833070185a976434d57a28f3b90947a7eda4909e89e9db8319e</t>
  </si>
  <si>
    <t>edb4067fb9980e2661b9cf8fdf42edc9f68f52cf42b488477d16b7518ba28939</t>
  </si>
  <si>
    <t>78da6fa6781a8fdf52f24103f08ad040614fb0f01b9800eaccbee70fb4ac2676</t>
  </si>
  <si>
    <t>4649f14b513a05ea86ab69d265a407d619cdbc6686a1517d8cdfdb1a1061cdfb</t>
  </si>
  <si>
    <t>0be7848271e56771281d2f44bb69bc959c242530446ff0ca7fd3e357764ffef5</t>
  </si>
  <si>
    <t>45b684f547ed27103d2d385357ff361c05453de0314740a02c1b581f25ddd7e6</t>
  </si>
  <si>
    <t>5dd1e962f0f3ce39c6adc4a2347735759a68bc19570d46d42ab7b6def786eabe</t>
  </si>
  <si>
    <t>362c9e9a6bad267b1aa6d9b24328db34d6ad4969f4f92536839e989f48f831fd</t>
  </si>
  <si>
    <t>ee7ebf46b3070ed32683898eb0cd733b4637ad52c4bacc9c14d7943eb2af8bdc</t>
  </si>
  <si>
    <t>7eff8abc5dd7e2554caa39ce1bcab04bb0eb7fe5c35de74e4491f84ab87af061</t>
  </si>
  <si>
    <t>25513a17948b341eec4f2a70cd2d37d41a5b842219896109a5c36908bfbc3fba</t>
  </si>
  <si>
    <t>b41fc535d42f6ce151c2eca79b793c58198ac2da772818684fe04de33bfcb47d</t>
  </si>
  <si>
    <t>b70f5f587219dba68c162ef64fb3fa8081083f50abbdf6fcfc6f2cf29f5450d0</t>
  </si>
  <si>
    <t>2da96c9012b3d6d9ac1b0db28993b4dc8a6249159abf58166644d4f69b734cb1</t>
  </si>
  <si>
    <t>b531fd11977c3f45181dc538b6552b7854fa01d81c3d7735d1365c45a0615b75</t>
  </si>
  <si>
    <t>266ed32a7c5eb7640722246c7d07ef80c19e326c307925389b8ebd92c3bcb349</t>
  </si>
  <si>
    <t>17c36030d8038e3c672d8e4086560c4dcde693a703931ef7c847971d31ade251</t>
  </si>
  <si>
    <t>0a8a00acf4f70ff104bcf8de3e9035f35d682fb585f58bc4e3a0548d3873a091</t>
  </si>
  <si>
    <t>7f868d7a2587932811ea815550e4785df425fb5fbb7f27614793a74285ab6f30</t>
  </si>
  <si>
    <t>f16cb2b582c34bb59d1f03a1cc261c3ee66615f8f013e106f5d82a176579350d</t>
  </si>
  <si>
    <t>5bd02bd80fa292300a13b34a87097feafd6193eebbef39115eba8a93572fb905</t>
  </si>
  <si>
    <t>197bf2fbc1c6dd82f21fcd89c73afd40d802f2a2ac21f2b409d83fb1408244d1</t>
  </si>
  <si>
    <t>a4fcb50a1c34b3e5bd9547dddd0774531c9fb2f1dd1554f3ef5b55eece74f97d</t>
  </si>
  <si>
    <t>b34b0e24d0892ce9d55003c225c3bd5e27e1da1dcc01f46d531416a54358f30f</t>
  </si>
  <si>
    <t>f6c7703c583d34b2aae1b274ec892f942733bc1229d3addaa2a7c6732c59eca4</t>
  </si>
  <si>
    <t>c850672e18f6a7ec107a711a4c48dfeef7e5ed62b3dc53712d34b332e23e9beb</t>
  </si>
  <si>
    <t>9b15de75ce9ccfc2aba2821e4a57a492dc099eb4e649b655fc0a877a8e85a0b1</t>
  </si>
  <si>
    <t>98067f386f9fc70e6e315302d6fb193de31fba5f3902cc8b3fae3cf1408a90e4</t>
  </si>
  <si>
    <t>74c39e5fdef3549364497a0c577fb7ecdf71e41172763f143066940e98d872b8</t>
  </si>
  <si>
    <t>0c001889e5ed24f050420810a557512c64c2cf941701f831b320508577382304</t>
  </si>
  <si>
    <t>6fa3971fbabe2a88fb67b9a0fa839b19c747c5407ea214c3d4d6e13d7ec88b13</t>
  </si>
  <si>
    <t>75ff6039be37b8a186c5367420e8e34cfaa3ebd2ed8711e87a7cf7c5ae95b60f</t>
  </si>
  <si>
    <t>fe1972481edd0edfc06f4ac0c73fd09cf90c246695a6aa0ef885ad8ba049dff3</t>
  </si>
  <si>
    <t>24ce6576be6f8a2f5412dfdcf7c11e3ecdb5abbaf2bff3f9fb273d6eb899a660</t>
  </si>
  <si>
    <t>0affc03e566fb3fb90c6bbdb328c8db029c5a0ce341c9b9b9fb2d6b0b777126d</t>
  </si>
  <si>
    <t>d2685e870631e2a0e37431a29640874a378167ff5346500e4c12bf28117a5eff</t>
  </si>
  <si>
    <t>78344823dd2bf6320bd73b36d33d80c8fade0d1fc5fd464c72f337d2cc78224a</t>
  </si>
  <si>
    <t>98494bd2b1e50efffd4e1f75ac1ac0983312aeb0873089e3046d6ab6f063dfd5</t>
  </si>
  <si>
    <t>605fe74d42734abd9c34a31e6fc9db755efb1ed04c85b1d970089c973f68c209</t>
  </si>
  <si>
    <t>e1ab604afdfcd5c767a53f42777caab02ae363b275f437a1c6f4c39e24b89ead</t>
  </si>
  <si>
    <t>919a9875d94b4e270641550c552122f8c9cc6876f55901cd9055e0cbbce17b12</t>
  </si>
  <si>
    <t>12085d036f5a6e21b2fe687f5f23fd798bf0bec3090a95f80e31230744444a98</t>
  </si>
  <si>
    <t>4b5a195d2e0b25aa403ecf3ff087790e0a26ee1e652d892e0dddea235fd5f898</t>
  </si>
  <si>
    <t>8db9af6f0dfe3e0912f1c9a586a9e61e91a9ae6727220dff88fc84dee5f2de7a</t>
  </si>
  <si>
    <t>dae89f52744c019f60d6be5c657d19ce7020cb993dd15ee66148542da5df2ef0</t>
  </si>
  <si>
    <t>a631d40d2a2dd6de75bbdd52e5001a9b8dd879c596ec41b5348804fdcdd5a942</t>
  </si>
  <si>
    <t>33b81392d9f37661782c33a79c6239a52b40fdbfb5e5caca4d6efd98cebfd97f</t>
  </si>
  <si>
    <t>01255b34296389d1a9cb8ed576483711d29fc05e5e73ef2f1a07931c9c5ef01a</t>
  </si>
  <si>
    <t>4703e4f86322422b8a29e9c8edb60b32a0dd032a1432806716b263fb3165cfad</t>
  </si>
  <si>
    <t>4a531385b5b7f0e47d2cf32cb4a725f22e7a4c0f0c1ce88839d9a708ea516c16</t>
  </si>
  <si>
    <t>43bd38f64be8c6bc2bc4fd5f11cf64692c2a69f28c76df83f624db7c96234fc7</t>
  </si>
  <si>
    <t>9dfc310ce0816b2e47b357697a42f7ac79204e21507586f6e90a66acf45556f3</t>
  </si>
  <si>
    <t>c95d8afd3d38db8cc44c66f90f96ea122bda2d2248ff4108c47693fed014fee4</t>
  </si>
  <si>
    <t>0749a559294eec06851cc8ba94d44776cbed3320b98faf0fb8129a39d58d8dd4</t>
  </si>
  <si>
    <t>76bc03d5df6f2c0377ead77b341feae96513f97305fbf7a8c71b159c64b90bdf</t>
  </si>
  <si>
    <t>75fad3e467d533654fb8c579d77b1e37846b1583b395990be2350558b2e792ad</t>
  </si>
  <si>
    <t>3b89fb84a0d2312d8817bbe31f2cd5f320560c70d9f8e84dc94ef48ccc4dfe6b</t>
  </si>
  <si>
    <t>f7313627ea16229da340ea9df9b90479e8ae5540da08cd98b0f6b38c2526b308</t>
  </si>
  <si>
    <t>68986d2c43849d78d10e5987b17fa6244480302bb3f08e3d1f69976c97113b47</t>
  </si>
  <si>
    <t>b36eefcf4d26ea908f70d0c97fec68b6cb1fb72c1c56f667739921adb6866204</t>
  </si>
  <si>
    <t>ec58377a55f21da8c3c1bf2a1e99e4d268b88fb21081da6f378c4bb18e7ead3b</t>
  </si>
  <si>
    <t>09c1ba74d601f5cb8c67044a767a55a505f8bd0bde6f32e159cc26f6beda2a29</t>
  </si>
  <si>
    <t>10fbb6e93e02c967c838d97b6630e9ef30ff2e5fd0aa2aced6db140312a24905</t>
  </si>
  <si>
    <t>e1ad9e8bf044b2d702fe8d48bb9796d7346bac357ffef3be73dda04f1360dca4</t>
  </si>
  <si>
    <t>a13e2902aa961e374e2b7964577719139a563862de2a37c76d33b9caf6afdde7</t>
  </si>
  <si>
    <t>87e4c32e0601f66150f92c94dec3733d44bdb8872c915594f1614014484f6bbe</t>
  </si>
  <si>
    <t>cfdfc4661f7891c412760863c3210e8d0fcf6b940ab26d8cbd2a279771158db5</t>
  </si>
  <si>
    <t>9070ac17e928d4abf71ccaabbbc6f7800b02fbe50c5ba892aa1ae4d9fc56b904</t>
  </si>
  <si>
    <t>c6839d6fd10abc98373889b072890963a0e6543668d356696831a349f6d65f58</t>
  </si>
  <si>
    <t>0f88b3e97d3e9ce3c4022cc14b72a69bbbd1ff4277e3b36093bbbd5bb3094db5</t>
  </si>
  <si>
    <t>e52db60d9b2bccf73f0fa03f608f94ebe35cc372e095a01dee6d4879762c1b47</t>
  </si>
  <si>
    <t>c18ca0b289b59c55968ca6fe03943880038071ea62229063a0b755ddbccd3ece</t>
  </si>
  <si>
    <t>e27a181e706e68ee468a1d78b660a0b2f5086e5bc1c5be97f3610be590dbdc4e</t>
  </si>
  <si>
    <t>6fcedaeb8ad856a7930efbda64d17db8a43f0a2e65f41bb9b6d03d0353623e31</t>
  </si>
  <si>
    <t>ece7181859e074a6b0e2050acd675400cfcf0353aa1d9d567a41962ff5b68c99</t>
  </si>
  <si>
    <t>e68dfee3a6f5392ef8a22de43ea2745cb52ed8d7eb197c87df998eabad5ac054</t>
  </si>
  <si>
    <t>53dd7d9e87e92757dd29bd996dc7e820a10412213ec597b3084072b43ac64a3f</t>
  </si>
  <si>
    <t>5344353128051321c6928f607c0bb3aa555b728867b4924880441a0e76197659</t>
  </si>
  <si>
    <t>cf226189ad78c317dd7c1542ce7340cea41ec28394ccbe2eded4179dbd86c95c</t>
  </si>
  <si>
    <t>cd4f29fe0e7bdc03837adf29278a0b03344c11000066a9d41f58ee00b86c4deb</t>
  </si>
  <si>
    <t>e868177a333806395caad21580177901dafecebca58a3aafd0dd136ea5b7d067</t>
  </si>
  <si>
    <t>9cb5e2ffb9bff52031c4b94d4079e6fa75ceea44db46278268c9afe2f466c305</t>
  </si>
  <si>
    <t>6c31fccd6731473b9ff0dca302a91249836b9c4ced56c1b249f015ac036638ba</t>
  </si>
  <si>
    <t>85809f2e6bba2f501c472c64a3ad96fac2bbce68fe10aade8ccd924e926edb9b</t>
  </si>
  <si>
    <t>f0bbac4b2769776e1c2d97fc814007c60f13aec13c05fea2113746bf26faabca</t>
  </si>
  <si>
    <t>d9a63d84e862259770f3a86ee9af6fc49bc11e2d90d5ebea9850d88aa5a00170</t>
  </si>
  <si>
    <t>e7e8890075cec59f80bcd5407d8a9c3286294b121212dbca8d5e3022a4963ca0</t>
  </si>
  <si>
    <t>381dd3602fa95861d91ce7276454ad12d399a8453b32f0a05ed4fc1c22c02d6d</t>
  </si>
  <si>
    <t>a4e7446466639b1251d5c88b5a6310760025820777b98b6bd5c81d433c0d6acd</t>
  </si>
  <si>
    <t>173c28e8eda117cf7a4cadc65b16444cf69035197441ab32325da7a22554439d</t>
  </si>
  <si>
    <t>559ed2f73684a680e1180ac84f5eff670011e97941eb50db4cd9e7d5d9479a58</t>
  </si>
  <si>
    <t>5361d6133cc8b6359c82ec0d352c7d5e459bce3b4ee6597baac95f04775e48c5</t>
  </si>
  <si>
    <t>92b65c50d0cd93be871ec1bc933dd1c7913f96e30beac218b30918837e2c2540</t>
  </si>
  <si>
    <t>749e44a782c369322f42858f556bff646e7a27e3f59d787c43159c04b733eba1</t>
  </si>
  <si>
    <t>de71e7f982d05d771debb2c7127a63c27761f1193284fd58d379995fe984a056</t>
  </si>
  <si>
    <t>a9cef6fa5aada915e0750a25d02fd83fac5145fc06a406a9286b3f44d7c84c8f</t>
  </si>
  <si>
    <t>9d2ee4e1a699d55bf5b2d9ecd23e5431854d7a6a00eb04b65e1d215bb76c60b1</t>
  </si>
  <si>
    <t>0732e8b461ce895674446c896e1a168f3666bdb7dc8fdf8101d6212b7719c861</t>
  </si>
  <si>
    <t>a88b56cea91a76097b6c6cefbda024f20d2e1de962ce232d1307f6f6c94062a7</t>
  </si>
  <si>
    <t>fd81cc5ba010ad14324a43a696ba75fddf12b9b3c29ba506a055077a6fd8d64f</t>
  </si>
  <si>
    <t>efb3884c784ad0ac3f3af90050d77a715ce28a8a6cc20208fb51c0a82c5ced96</t>
  </si>
  <si>
    <t>9e9bad259a65667ad932adc4a4a165915265b1a17e705c969173216cb272fb2c</t>
  </si>
  <si>
    <t>df27651f7db4fa6a2d4a30d2f326c3ad670ddc89478f035f9c9e4bed11d6f62b</t>
  </si>
  <si>
    <t>1b6cf83177079c56addcf7108bd9e176c049a446ef4a6e46e7edaff9f8c6080b</t>
  </si>
  <si>
    <t>a232b7a65070e862960465e29ad3d39588e9f98fddd69eab964e405da80ff253</t>
  </si>
  <si>
    <t>ae2c78da013688057f791e877d7ef40693423689d249b1dba8e6ceaa0782a793</t>
  </si>
  <si>
    <t>b8628f4bc6ccb0138cbe7bdc4a68a9f68a6d7285c8e702e2c0385d5b3853e1e6</t>
  </si>
  <si>
    <t>a5f50b98f63b959c6868a8178fc85df67bd075092714d2f3483977e330b8f23f</t>
  </si>
  <si>
    <t>28d9f54b920999653e412f91ffae9895707fd58b0e26269c9772a8e1a4c76176</t>
  </si>
  <si>
    <t>7a35008c8bcb6ae111d6bd2fbe2c44db4e369bd1b5dabfb7ab675304c9ca09e1</t>
  </si>
  <si>
    <t>22ab06dc82310c0dc770e245310532b19231175067ff05962119e6d73f66cb83</t>
  </si>
  <si>
    <t>4bad87ef789091b069d75ff94cf2671344fe047cf304dfd09f2850def9704e3c</t>
  </si>
  <si>
    <t>616a44ab975ca58271c87de8f60dbf5afcf9fd08808ea1473c7699a97f076b1f</t>
  </si>
  <si>
    <t>4a36e6fb51d8cb1c2af848bc230ca88efddf819b6a39459b2cb1e57732987e4f</t>
  </si>
  <si>
    <t>b955a180304d4892985f7668e0c9731fdb8fbc35c9b755aeed8b7ddac2734d00</t>
  </si>
  <si>
    <t>5fc56e809f3859ea67fd6652fc5057bdc0ebe9d2c4c9e578d45ab1d5f7772188</t>
  </si>
  <si>
    <t>87fcc9020dd50948b7581f3e79da175b6df6cf8e60b1b58b1492a7140cb790f1</t>
  </si>
  <si>
    <t>a1a6abc6ec19d88f8d5d91992c8f4f4d9369eeab25c00775d5bb5d25265cf618</t>
  </si>
  <si>
    <t>9a4ef500306b783e6da196802d2d6a2b7bffc89f7ea6a1768b23fa4da4efd393</t>
  </si>
  <si>
    <t>eca26bb5fa2dd6beae827f99bca5f85c82b921dc2e66a6e38b3d0454cdc87b30</t>
  </si>
  <si>
    <t>dcaab26fe90a413fc7f876beff4bade258009ee935f9e61f58bdf70cb7ee27bf</t>
  </si>
  <si>
    <t>7e752a672c097c0cccd79e3e3ca2daf3567f7d00f7ac1b6b151d91d06e68c39c</t>
  </si>
  <si>
    <t>2eebca859d67eda839531ea11c22253cd42ddbf5a300d7aa75f6752f219b76bd</t>
  </si>
  <si>
    <t>318e456320b84a6722677ce2814324499099188218a1dac6bad8ee7eb00c8054</t>
  </si>
  <si>
    <t>068435cf7a3fb27b96c160c937af81e168b0ee167751f973eb7f0577637f964e</t>
  </si>
  <si>
    <t>899a0dabc9a2559f982347740a9a08c13f7e7a9f8aa6e9c55e24c293605432da</t>
  </si>
  <si>
    <t>e5733cccc510a9a71fe45a683fdaa3e4e2d20bf89b15e36da3748ab7d9b38165</t>
  </si>
  <si>
    <t>96f41024f6fd7a89a1a71c649deefd6a8ecd490859670dca36a7493214fa4af4</t>
  </si>
  <si>
    <t>85c468eefcee92000995f4cce0b214acf50227b4a3b2671d7eebc5a134c831c7</t>
  </si>
  <si>
    <t>1574c4aa53e7d290e1dbc74ca5cc33ec5c9df7c63a35c287e0416b78e813f85c</t>
  </si>
  <si>
    <t>ac3159a1870c860b0a27d5fcd844625c80989f4a1e79473f9b6e72c5087e6a82</t>
  </si>
  <si>
    <t>ef6ef1176c3245449ec9d2fb089ff93287de27986ec9430f4db84f64b3e0b6c6</t>
  </si>
  <si>
    <t>dc80585a14957592330051ba3f4051edf0653472f5b410dea88b8c4d5c977739</t>
  </si>
  <si>
    <t>5908089643f44795d146294cc6323805de19d525e0a359dc43a0305ff2c236d9</t>
  </si>
  <si>
    <t>SAN PEDRO Y SAN PABLO AYUTLA</t>
  </si>
  <si>
    <t>9be7957f4e3a4a7af282a01695a97f9bf641f71a27828e5495229eab200d45dc</t>
  </si>
  <si>
    <t>6393d3ccd3d5e3a6e0084ee03a44a1f12dad3288406768d7f12230ea9d340fa8</t>
  </si>
  <si>
    <t>cea5542aefa2959bc4a5e77685db0b595fb066a753f7ed5fbc0dbe397035074d</t>
  </si>
  <si>
    <t>168ee9aa76318f7657fc1605d5158882a27155180b47282b4d754b8a2811dafb</t>
  </si>
  <si>
    <t>811d4a1ee4a5981a9c0c7472a322b2b2feb7b0b9dc2586a03f1f9c6606d3195e</t>
  </si>
  <si>
    <t>b7ce43ac89fdb3fd1bc8ea4da307ba0c56964069c64fa922128b650ebd1ada70</t>
  </si>
  <si>
    <t>ff39a0615b82a4c0206470f2fc9584a9b83cbc7acef03d715c6724818b8fd15c</t>
  </si>
  <si>
    <t>63156613a0e63f627fa32437c3d27896e371fbcec7be950ffb582668f08f826e</t>
  </si>
  <si>
    <t>cb86696a51891ddc880cf33030ad92563ca3fae3caf784f5b88c90dfd04bbf78</t>
  </si>
  <si>
    <t>ac253d3a3dc5c0b0562ac0648a29839543ceae2dda32dc6fdab177a6054132b3</t>
  </si>
  <si>
    <t>ecd7257771a4325369d82df8df5a610abc6c5bd89ab28f5efa52c1d294bea368</t>
  </si>
  <si>
    <t>24186fc38368043c2b02e3d665794fb0cae44a33a33f002de3d87277f40330ad</t>
  </si>
  <si>
    <t>d8409683ad16a8bdba17f3631065128a9b35b7e358b49e356b0d295bfdfba373</t>
  </si>
  <si>
    <t>8a99b7ed21faf11d9a1cdb80a60d103a150d9014c5800954db7514f1c8b1d0e8</t>
  </si>
  <si>
    <t>e3cbb0502801ac67f71c332bf32fb84454593449334e15b0e7b8ddc71234b8cd</t>
  </si>
  <si>
    <t>2588403bf51a2ef1ea2f23c08f5780471b77c92a0f8427ea801c3019360bb2ae</t>
  </si>
  <si>
    <t>96f74d528c8c3245dd35c4b9cc7ed1041193292dfd7ebd7880b7838bc9995425</t>
  </si>
  <si>
    <t>65932eba3c6b1b6d04eea11c92f58248037860197c2d648786c3e1f44bc34ded</t>
  </si>
  <si>
    <t>d6293b4d7aedab0d3c259dc786ea37dee02e8847edd2d3361a3d7467a1181d2c</t>
  </si>
  <si>
    <t>3b9c33ea650a04620743ee0a97ddeda5181cbe552046fb8ce35cc73e55485b96</t>
  </si>
  <si>
    <t>fc634b0268d4e9c4008e29be5e88ae6dd4885343ee7dc5a24542d56b2b1f2019</t>
  </si>
  <si>
    <t>7b8d74b7a9b4f5af7d307d890421a231e3eb3d6bc04abb9c89029acb1bc49acf</t>
  </si>
  <si>
    <t>f13f5f8d70a9382d814434a0fe6b0e80c4b9a955be3c39bd72dd6674de4a556e</t>
  </si>
  <si>
    <t>56873fdf223a114bb69b79ccf6a82c6b0b74605225a0ceaf0a814cb0beba1f20</t>
  </si>
  <si>
    <t>36c0deee0ace41950c4fa34b217bc8e0798d1a6ac1dfb05e6f4628c4b4177f33</t>
  </si>
  <si>
    <t>8e08938bcd6179144ff50b433109a69b16e8c9f623d7e27e711c011f0e4ad50c</t>
  </si>
  <si>
    <t>9021823578d5f534141f82d7a60e00b57d52102d18b7354705145d841f4a2cde</t>
  </si>
  <si>
    <t>b0befca07ab25063b53cbae1e0f719cf1d30cade4c6d49677e54eb531f63344f</t>
  </si>
  <si>
    <t>6546bc2a42c1f121d78001d2c63337c534529fb1ccb44e3a4d0f528be4fd3c74</t>
  </si>
  <si>
    <t>f8581abe954b3848141eecc2c30a378301298a8ed140faa31e8ebd0e71cdaf24</t>
  </si>
  <si>
    <t>36c767342e998803f9113ae5d2a78ebd5f4753309952320bed05c960e6eabefd</t>
  </si>
  <si>
    <t>e4a458300aeb7e008ec9a9f781d734ee61c75fb056db82e9e1dca9e99e51282e</t>
  </si>
  <si>
    <t>56701e925e75ca836f507400b73b168498f215b5afb3d4932ca5375d64326ea9</t>
  </si>
  <si>
    <t>48188077e279781f7114a370bb2c4efede758f129191cd84d00026b23056b3d7</t>
  </si>
  <si>
    <t>507ef3971fc70d82065bfe158046d6c87de94c17934b50368e8ea70808207c68</t>
  </si>
  <si>
    <t>143f1940b4dd394885e09a48fedb5e3f40567947133d64f32a41b7478859dd4c</t>
  </si>
  <si>
    <t>513fd4ef7636e6c0d5b5d472681a554c4e4013f361411c2872d78d13de7aa0a4</t>
  </si>
  <si>
    <t>997934cb71612967860e9b7f21828b1a54f2ca7503048a7931de8c23adf217af</t>
  </si>
  <si>
    <t>72a5b96557b4311afe510570442a0c797f4bdf72e34ecf6e5a207bfff50da1c5</t>
  </si>
  <si>
    <t>345d6653408d9832ea893a994c693ec800b84fe63d3fb0cb0eb2cfa980e55066</t>
  </si>
  <si>
    <t>cf51f44175e88d81dd680628f1aa4894e1f7205ff5d1609a75ab30aadc6dcee0</t>
  </si>
  <si>
    <t>2a5a85b6a6d685345e5bb8ac3273d20b02c133bf43e1abe0b986f2c882001eee</t>
  </si>
  <si>
    <t>9863599745e3112e5edce47b5e8218eb85b94dd59864c7026586e638ed4d9507</t>
  </si>
  <si>
    <t>59f91477a967155309911246d0111edd2bf6dd979be9ba7d072a26e799b902d2</t>
  </si>
  <si>
    <t>622b2340eebc0ebaab5f8d716c432b877fbab5aa541ec07a21cbe1cb33e9a8cd</t>
  </si>
  <si>
    <t>cd33a920e0626d61697a78bb380336beaf23805af21bf5d78a3923c534cd8110</t>
  </si>
  <si>
    <t>7a98af8161451f8bf70aacce7145b7fe8becafaf129f045cf3158babdd97b324</t>
  </si>
  <si>
    <t>e905f9e94fdf88dda617e69d1163386ea6b419251703343d9375d508fdd949b6</t>
  </si>
  <si>
    <t>1e636460d434896df6251540ad6a2a3ed4c4eb67d4cccff5ec7f275f5e9b8923</t>
  </si>
  <si>
    <t>6261ab92b96d86ccd2d673e9ddc83a19608a62e177f8c5627fb9dfaca84eac5a</t>
  </si>
  <si>
    <t>41a427911b3f7c9cf0ca252fc00480e200fc4171e3fee1dc277a3fa47a74374e</t>
  </si>
  <si>
    <t>b0eabdc81a136b6e10b533e0f023730b174887e0a9aa6f9883ce55c2ac387c4c</t>
  </si>
  <si>
    <t>dacd1b317224d90ab45418c8f66641f7b93a1f16e2ae44b18e54670ad738f804</t>
  </si>
  <si>
    <t>c48cf0aee14e0d7a6a56e93c884d44fe7210af99eccdfd64156c2912ad118ae4</t>
  </si>
  <si>
    <t>b800defd01f5a9c2bd395f025ae4e954a43204158038fbbd9dc732ec55da8bbd</t>
  </si>
  <si>
    <t>15209427caea16a0d353317f121b4c9e3dcab93d4818cdfddd00a8252e7a93d4</t>
  </si>
  <si>
    <t>909bb353cc18c4314ce63e55685457dd74b6927bc25aa714531e609507e7b900</t>
  </si>
  <si>
    <t>7d629a62c55ca8fb92c892de9cd2653467a4dd503964e38c2bf324c90f4a7064</t>
  </si>
  <si>
    <t>6d1d742b529a641d741c9b04270f9cd11c4e2b1744e31367126fd048c9891ab4</t>
  </si>
  <si>
    <t>2ac2f4267009e5fa5ebc90e85b9ac10f892c1bf718a2e7567a7b16a3a23fe2d6</t>
  </si>
  <si>
    <t>0222c092e4b63a8ebfcfffd327e365670e5bcb05170770e07f67c5d89de00f4e</t>
  </si>
  <si>
    <t>3c7a23b5bbbde69e95cabcef017a062ec5a5e531b3f9b5f84e3f8da4bb1c56ed</t>
  </si>
  <si>
    <t>2aed8c70df4389d7f788dc6cb64255ec08cd4c15a91298370dc08c54673e7005</t>
  </si>
  <si>
    <t>3ee6dbf512813e69af77fadf5f9338e7357b609b48abb8cd369032238fd706de</t>
  </si>
  <si>
    <t>c99f2b681597f56278fea40f560d3dee051d35f7b51bfeb67b438599b2e163ee</t>
  </si>
  <si>
    <t>f98e2076471daa809f36b18f03baf697d4b27598b50861e9d38b651e6f7000a6</t>
  </si>
  <si>
    <t>1388deadb6c9dcfa8bc725bd0b5a2abdc3e9a0ccac5deb6e7f0b9874b7dc8730</t>
  </si>
  <si>
    <t>d4e60c8103e7473b6cfc052625572968af6f8723ed009453802bf3d6ce576e2b</t>
  </si>
  <si>
    <t>f710d5bff331fac3c11e220af294a7af7cbf066d74ca9f43dd9446c9cab60b79</t>
  </si>
  <si>
    <t>61c3c3c0c4e073d603f8c0d06a1ef5e836efe7baaddfc8aa2e68165cf3eb912c</t>
  </si>
  <si>
    <t>dffc92341dddba3c9046db0147917cf3e9640da175c943eaf9927d3eabe4a2df</t>
  </si>
  <si>
    <t>65ff4101d0f8fd52c2d50d041a90e0dd37ae5acca2dfd2aeaef69c16254af707</t>
  </si>
  <si>
    <t>8d45b7d4e11b08be75ac63a1fbc6f38c93287bc30ec00829ced4bea6336efce7</t>
  </si>
  <si>
    <t>ff99514015eb79cd453600b8b50e6694d06a23289d26635f8c80ff41fef1c0c1</t>
  </si>
  <si>
    <t>991940f7e2962cb4fc56e3c81744cf0e55c445ee17c710628d4786cd031e1fc6</t>
  </si>
  <si>
    <t>eee58a85a87226bcc938b558d0bc283afc18ffd980d848186b8d478f0343473a</t>
  </si>
  <si>
    <t>63b5ebffd2ef10b45c430ede38b288da10e35b75012c0bd7e1d85ac4b93ade19</t>
  </si>
  <si>
    <t>a572c99012f5016f86467bb2e82f2cb55b95be31e6c9d50a5b021d61a3297a66</t>
  </si>
  <si>
    <t>fa6d1c9cd076e38b90215e130770d0c90696cedce5bea2aca50b5bc0d9e07d20</t>
  </si>
  <si>
    <t>44c46928c59dc51f17a44a35b55c7d06a2d3bccf35c3d36c9c563b76b3d7eb02</t>
  </si>
  <si>
    <t>07c9cdd3557fc6202912afe441de7c7ab5857c9be9e7f3fb913a8c39179a1aee</t>
  </si>
  <si>
    <t>08e7e185d1fdbf92dd23226c0e7537dba188ac64c03403771379c5d424ef6f23</t>
  </si>
  <si>
    <t>a3158f6cc0d32e139874040139b13feae7c0518782306ae66c2519597495c5e9</t>
  </si>
  <si>
    <t>7466344404b226493a87d6977c3cb6ecc225e87020b820fdb31e163f85e01acf</t>
  </si>
  <si>
    <t>56c5aa64e273c152c46ec7a01694e2c7c6c51c327212fb6f5d045ec6ff32814a</t>
  </si>
  <si>
    <t>78affd7ff151fe8583c34f4affde62f4f22bba2940f962115238a98f99e43bec</t>
  </si>
  <si>
    <t>ce0e5b504b5e4f2c079e5583d48b3ba1d97a6cdf8c78d7bca9b70d083106f7b2</t>
  </si>
  <si>
    <t>89993fed71c87f8a242e2403f2f8f1c6ac377c8149fc7812fbf8d372d8426ab9</t>
  </si>
  <si>
    <t>8ab31a28a4a12bc935ba71b1ab36b40e1cd8c4cf614e5f0a3f894ff0845b5a9c</t>
  </si>
  <si>
    <t>c7383a868917438a4e521df1521809369c6ca088fade8e16507950a65200efc8</t>
  </si>
  <si>
    <t>bac1b8ddfa304582901d5f98516a6151269b6b78d160e9fe219e7702bab7c42e</t>
  </si>
  <si>
    <t>a0e75e13dce3500a9c54875269b8b28e62a306d5e37a8145727cafc61d9cb9d7</t>
  </si>
  <si>
    <t>d875d3df7b3b854c0c7a1e5726bdebd29a78ecee5cafcd667fa9105ec6917de4</t>
  </si>
  <si>
    <t>635930f3b6ad5ba41a7f6bb7eb6ce822482a1b2ee3ea48aa952e90bf31980acb</t>
  </si>
  <si>
    <t>a6facb58a45dbaab7641c9a84e2117a1fa3b5fa534f29acb28049181c5c441b1</t>
  </si>
  <si>
    <t>c0bd878fa85a1a9171387aa2195a32616f271dd9c59debda65d6399247b74b08</t>
  </si>
  <si>
    <t>56c9698fcc5ecefb13f1bc7f6161eed745a6a11b31a599549d70892bf87eafbe</t>
  </si>
  <si>
    <t>e54e7dca7cfc55adfb1b6d908eb9a6abebcc5177748e00352f0ecc41232d881e</t>
  </si>
  <si>
    <t>1c5a9c12dedd32d27a54476a38164cba16243e31c39e964f9885a3e403905dc1</t>
  </si>
  <si>
    <t>e22fca8a27d2e2a6a15fa349c1efff3285dca107f1edc50a22513f38b9985d48</t>
  </si>
  <si>
    <t>144e06416d201580a17bb2437f1668978e3f6de37d0272808c0c12c6ec05db37</t>
  </si>
  <si>
    <t>75ce7409e88dbeb95a9d8795e65553d7b8a5281e89044fcfbefa94f7c69b0313</t>
  </si>
  <si>
    <t>1387d8b0c8a0d48b29875a6221f9a439062edbc4665973378d367a5d0e252cf5</t>
  </si>
  <si>
    <t>e69baec3842ca34a86fedd33361c8c5953219aecb34088b65d58392b593615f9</t>
  </si>
  <si>
    <t>4ec1b6d0f0482b499d7669a3dca762e496a3a61ad15b78b2a54cc4a0423caa2d</t>
  </si>
  <si>
    <t>d7b1beb032f8629423ee370ce237a2b9b27ec77b6764ceda9931c08722198542</t>
  </si>
  <si>
    <t>d949bd147707ed2084bad37e123e62ad5d818c3e638c2504b244cc7a73218c2e</t>
  </si>
  <si>
    <t>3f21e419e7f5796a5e2d8a54a3521a47dc012296cb75cd7e9c443def5d0282cc</t>
  </si>
  <si>
    <t>3cc1ebaf11e19f287e0abfd06ac732475d7da5ad1a70c6712d47c54d38837b63</t>
  </si>
  <si>
    <t>d2257cd773964fa404ab23fdb5ff897c0477bb8ea5a91f60bb6c10f5af25409c</t>
  </si>
  <si>
    <t>d4ccf5ba951942e9fa1e616b12638ae22c1f5d3bf6025d6d6f60b90cac5556ba</t>
  </si>
  <si>
    <t>826e679a46777f9446a4c6047a2cbdf27e1475e3c42b1cf620738f2275e039b7</t>
  </si>
  <si>
    <t>7ce5e7198c8d9d51b1a75e91cb7233e611d9e907941429d1aabb124f1167b0b1</t>
  </si>
  <si>
    <t>fb73ec90b7fed69d7a4f1e3ca8efe1fa45148147eb8f78d8a1f498906622d30e</t>
  </si>
  <si>
    <t>a9e28303a4883dcfe489a040724f04b2633c7598da713b116ca8bbd03913ddee</t>
  </si>
  <si>
    <t>de619f76f5a2770baaf871cb2903f9279459ab95d98ee480275c08c95f49f126</t>
  </si>
  <si>
    <t>96770bdb6fb18816b3b94dcb1661675a38734d5df252369faf115e528eea9ee4</t>
  </si>
  <si>
    <t>7a5fc64e68039db1c3760a012dce8a619d49dddc2ecf5b9e12010c4a7e9ea593</t>
  </si>
  <si>
    <t>56e3647b93176146d4e08b5963f5acb3df9732a5c1416252b4a4c199dd88e9f7</t>
  </si>
  <si>
    <t>812087a7a9d8f84dec197ba8d72bae15093d88c25d50703a7a1ed1061d9ebb42</t>
  </si>
  <si>
    <t>4eb57005926e777632aef766e2c8f687c952834485bef867b1e2b743f5e34c9d</t>
  </si>
  <si>
    <t>01e39dcaf14c48f03b5e6fc316ecfbc90b0c8801b16ff6350ea97d2b6a1ae1fd</t>
  </si>
  <si>
    <t>9c9cc9a562a767546929c51f71ef2e30a1ac682359cae832a53cfb0a6b6d9d4d</t>
  </si>
  <si>
    <t>b1f322b37d1b43be7942f2af6d6149a630b50a4fdc0a53baad244b53e0ca8d65</t>
  </si>
  <si>
    <t>fe09e79c221424135c16f2ad32b22a85eba5d5aa8b2909c1a283826bc708c702</t>
  </si>
  <si>
    <t>ed182e4c6543be52e35ac2d9caf690d8ae6e6dcd737b3dd452c13208a165c97b</t>
  </si>
  <si>
    <t>598bac1408afdaf074de990c8fe9a643a7f6e6382c63cce8a8cc1ff2ebf6c19e</t>
  </si>
  <si>
    <t>9813f43dd17ee9367deb87c2b7f092084eb44e9de22792a16a9a3a156f701e18</t>
  </si>
  <si>
    <t>04035ec395b473ce1475369293374c4c5ed144f929d067703f3033551a53d12c</t>
  </si>
  <si>
    <t>ee054322ab978e036f95a022f07659c05ea8023b5ab95cb6d40dc48823c42e11</t>
  </si>
  <si>
    <t>c93abbbc8e8a1a3bb83c519b24cbc4bcd30fe597b419ab82667a70107934f4a1</t>
  </si>
  <si>
    <t>2fad4632281ded5a10f48ccdb9de62178bafa11c04bfb2b170b09a3ca0f1af92</t>
  </si>
  <si>
    <t>e10c3871e5c272f80bf5d2dc7d921095a2479798fa9cf8171d9c39ab1b41917b</t>
  </si>
  <si>
    <t>f99eb027f0a61297e565f251181c968af24292b4635b17d5ab9ecbac7a031acf</t>
  </si>
  <si>
    <t>aff1bcdcd2d30b0ea1b588631a7d2508d82a95a4e2b4588c70a5904267f624ec</t>
  </si>
  <si>
    <t>1aa8866f35fe2c2c0f97104e3ad72e35deb0472c01a56fd1fef7915ea07cad5d</t>
  </si>
  <si>
    <t>d41dbcdb83da814b8cdde9d9af45710575e96decb06a61e445e93f4301d86c07</t>
  </si>
  <si>
    <t>656ee89dedee7092b4f2268bdcf0ca4134edc61b791b21c59766b5412cc93a66</t>
  </si>
  <si>
    <t>2d4c95c277a815ab686aa181df98996faad7c8a3f825294d3895acf09272cdf3</t>
  </si>
  <si>
    <t>91f4717c9763dd1d220c016c0f1ff0486102b45ff67894c8940240b3b86c6d7b</t>
  </si>
  <si>
    <t>5cefafe0d30fdf02c0bda00bf977294617d16a28df675e75147cc554c10c7981</t>
  </si>
  <si>
    <t>cfdd3a188486aea70647f09b6d6d94247960871db1e110cf2b2a1d2ce0e13358</t>
  </si>
  <si>
    <t>dd44071aeb28d45e7459e3f94d6f2ca3c1b38bd060c1a3bfe81fb2ec432eac46</t>
  </si>
  <si>
    <t>6ac2437c3af13f840a68381b247f29e14b5d1b668ebb84646fcbc9dd48e5193c</t>
  </si>
  <si>
    <t>9eec0d2139eb5471f35c8c2b084a93e63ad89cb94ea3c6f7294b20591bc06018</t>
  </si>
  <si>
    <t>39f94a5b58aea4708bae465992ce63b81c537b479046ea7f6df358a2aaa58c00</t>
  </si>
  <si>
    <t>20e9588ed984b63026fcebaf6d6126d403cde5b3ad186e307f0d3f1b6257be7c</t>
  </si>
  <si>
    <t>4ace47c3bbc8b851d10d136334bac8d7c69211ec74f57a47ddb30f714bbe844c</t>
  </si>
  <si>
    <t>fdd8051ec3364a576e02cac0407e6eb2cfc522caecaa56220c5382a454853b1a</t>
  </si>
  <si>
    <t>5413d5828856fa73a9282f862a737a6590d7894c73410b4a517f72e89dc5efd5</t>
  </si>
  <si>
    <t>7d28206e4d6356edd3089f1fd78f33c41f339ac0ecd0aee2bbd5e8eb79d259b4</t>
  </si>
  <si>
    <t>17db904bd6168b755655757ca220d56723d5b7b56595ff13531f0569e285486b</t>
  </si>
  <si>
    <t>0d535cc772623fec6a88397da451dafd6ab3afec1157e42915d2046f6a727bfb</t>
  </si>
  <si>
    <t>e014ff18b49d5f5c5043c1681d00ca2ad61a88d6abed15d2e13505e51e177647</t>
  </si>
  <si>
    <t>1e789cd30043e23e9a5ccea813217dad71039fe70dfabde15df3719af26c8905</t>
  </si>
  <si>
    <t>d5b0685e7178bc21e6b25406f19c9f818f2a024d0494401bb07fb9fff66e9ad0</t>
  </si>
  <si>
    <t>e9224e8c26de0d64e68a99f9e052c0b01dc1a1109a13fde0d9cad5e37ee5e6de</t>
  </si>
  <si>
    <t>1ddbd6108c3960fed5e9ca1b38001dfba0c3f135d344c974f4aa672c581cb59b</t>
  </si>
  <si>
    <t>a2e5836a5d4696ebeb519c3f35d7a850ee2314b9f6a57e8982ac7250bdfd26ac</t>
  </si>
  <si>
    <t>149fe00e56b9df90a4c35ce32bbe00bbaaea63c3c93e2f5a4f9dfc2f449b69cf</t>
  </si>
  <si>
    <t>7759862fb3b4381460b1bc764b6a5afb8bf7479b320e98f4594c4b6b820e9557</t>
  </si>
  <si>
    <t>f75017acd5f5974e5d9749b91dce0b94d8c17bc5b28de4b77e0ac796efc33ab0</t>
  </si>
  <si>
    <t>ca1e873501078c0cbcfd021c8287dcbf58ceb82e7b63e188efd6293bd94491b1</t>
  </si>
  <si>
    <t>7f1d938cc80ef5755ef8963ddf2d80ec3ab433e46f542a84b822956a5f4a6432</t>
  </si>
  <si>
    <t>2b54d43c0cd2bfacc2fca9d7de5a2278d9b0400c48caec72d6b72eb3cef76dac</t>
  </si>
  <si>
    <t>fae486633593354b1992d4f04c26a23d363fee9e1759857d2304a6083b39d7ea</t>
  </si>
  <si>
    <t>2ae5f49b826601d3d32095d7396450c03f819469688856605746633475558f8b</t>
  </si>
  <si>
    <t>f4b0052c2d929c6fa03e91f8772838c19968890a6c5ba7629758b02f5409ddaa</t>
  </si>
  <si>
    <t>5ebf14f67597ccda2344e50f45a9ec78d0fa5763e5e5b21616fa5d5e0bd1051a</t>
  </si>
  <si>
    <t>73889888c8453e9d86217987433a3d6304d0919b1bf289579aa43267825b0338</t>
  </si>
  <si>
    <t>da621b329756e8cbc2220154ee0f382c1f63e5c8f2f2db4c7c018f368d1a002d</t>
  </si>
  <si>
    <t>646aee00f060626c6b44a01180b76908ba7331685f763a2d9654715915c319fa</t>
  </si>
  <si>
    <t>0b9d7a408e28dfa79e5c098c63a53d2a5a552cc0f105680c688bd0d1ab03cec2</t>
  </si>
  <si>
    <t>5ca11e664317ab5bfdf168b70785a28ba6a6e1192544d1c04a40348d72d063fc</t>
  </si>
  <si>
    <t>42a55c0c7c064f3f113f0e072fb931c80f2e4237f27c2d0b9416781141a859ea</t>
  </si>
  <si>
    <t>202f74fda3298a08954ec2572388a6b594a250e3a58afc3a5f82e0a98a51f5b4</t>
  </si>
  <si>
    <t>0b5dc81e45202f959db30ee8c96daf20f38f8824da3640044fa9d95ec25ecbf3</t>
  </si>
  <si>
    <t>bf00914012f5e8645c45103bd96f853d6cc3468c2976af0a0957baab1ee2ffcd</t>
  </si>
  <si>
    <t>a515c4216953276b0772f9a47bcc5956890803e8d7ca1251ae1ea763e1130cfa</t>
  </si>
  <si>
    <t>13145034d230e6f6b311e40685ff9624495b8028ce652fd6a3526a96d46bc55c</t>
  </si>
  <si>
    <t>cd9030e2baf760e3793cd2ef6fc42258700f21aef660395e075bb739b8c7cdb6</t>
  </si>
  <si>
    <t>0e4dccee4c70b70f89a7ae6e19d7d93738b84476a6517848e4a64909cd700e31</t>
  </si>
  <si>
    <t>d81b695d806fe3812a3a04ad7a100921415622d59171c3a83c1158d1c097fbe8</t>
  </si>
  <si>
    <t>205e39f643813cb5b8bd9b7d2b99d9241f4addeeb652f9c002839a4fbb0928bb</t>
  </si>
  <si>
    <t>726abf417b3bc818f248377c5d2ce8b4b56d8644eb108f7f35f40191f7354bbe</t>
  </si>
  <si>
    <t>67e49302c293c05a70b6daa70b54b19dc1b012605817dceb47c2a95656f55de2</t>
  </si>
  <si>
    <t>a8f1e0269370a2670df46fca97f8354a1eecb9410d378c7429873a4021a2fd45</t>
  </si>
  <si>
    <t>226b4cc8f71633c776ac9a66480f0db1a42684369584955f8f634540a190d0db</t>
  </si>
  <si>
    <t>620bd79643cafd3b25340b2571ba6eb318502413412bc746352197071e39383c</t>
  </si>
  <si>
    <t>9f2152b4390a50db87510d6fb9977e250122ff505275b30ad28c9bba104c9f36</t>
  </si>
  <si>
    <t>738a2f72d6950f0d5acd782a6736a3598606f54d1ebc849097caa83087515edf</t>
  </si>
  <si>
    <t>776ec910505bed1511e5d0e9a3831b2ccc0d1b84f554014088bee145298563b2</t>
  </si>
  <si>
    <t>33001b9684d9036fa1e1d7b2c3f00929c597e69b23e820b612bcc249aecce295</t>
  </si>
  <si>
    <t>e9761e1db4fd73ae518790bf5443ac72bf9b97f6137316110d1676cb2549216b</t>
  </si>
  <si>
    <t>526bb06bf7659e581b8c3fb49ec2c5d2c23d295de47a3fe63feb6acfd0288d7d</t>
  </si>
  <si>
    <t>a2022b4be4ae138cbbc83b3a2be6deb539418aea090c5f61b7ca1c77a5153614</t>
  </si>
  <si>
    <t>5c05064b20bb7520a7abedd9eac633c97ec00d76abd33c7ab04e8c75bd119ca2</t>
  </si>
  <si>
    <t>a71f476b79415ee932788e0dc22ff9540563da843d7d76268207941cc1968234</t>
  </si>
  <si>
    <t>6f31a841f143ca37fa3c81adda6290242925c89bc946d3d844d78ad7458c2126</t>
  </si>
  <si>
    <t>5d20331cf26b5225ed0244739ff2bf584ecd4cfced8b3970b9fea3654461bfb2</t>
  </si>
  <si>
    <t>ad968e247c57375975e919b480d4cff64fa43ce1103982136024bd4e071145f7</t>
  </si>
  <si>
    <t>b473543ecd1d76200983b87f93c35846c204dbf41b5bc120a6acba93079b8124</t>
  </si>
  <si>
    <t>MATIAS ROMERO</t>
  </si>
  <si>
    <t>de7871ae58f8be2c65ee710b3a1ff0ce51a8eb5da69c425793936992082608b9</t>
  </si>
  <si>
    <t>8d44a6f53b94cc18cbcdbaf05d279c37b9d1962d91b822845cb6832c723912c4</t>
  </si>
  <si>
    <t>9e5cb77f472bf2f6bacf0b6b6c11769aad9a6e275031ec3ce706fbd563fff564</t>
  </si>
  <si>
    <t>b7ad5ae86bf2a81ffcd3480fc8950715a17fe447eecf1284551e415740a881a6</t>
  </si>
  <si>
    <t>9d3f36af40737d26adae114d18647699aedfb0c90540cb0b155c04be21688f01</t>
  </si>
  <si>
    <t>785d6086d30cc29e21efb706ad98e9bf1149f18b9966fd30608b4b50a5d578db</t>
  </si>
  <si>
    <t>c8561c77909d1475187e12ab65c2052bc0e784b8e12255ed1d0239a40963dd51</t>
  </si>
  <si>
    <t>db16af3a7063b732b31cb7494c84af783386f4d79752085c4d5461bb888f935f</t>
  </si>
  <si>
    <t>fc1d97808f30010b8486179ba5d103aaadf4337139e9077d0e5a63a94d429318</t>
  </si>
  <si>
    <t>ae3050369c7db7028368a093d4077e366f4aaa9f0505b46763613243d219617c</t>
  </si>
  <si>
    <t>02c2c84bfd95379c0ced3db615365f96fdbd282800b5d088bfcec865c0cfbef0</t>
  </si>
  <si>
    <t>ffbb4648f8ea700754d97f5793fb31902cd4bc906152c446b04a2ab5404d120e</t>
  </si>
  <si>
    <t>974325b6cc03e3df1aa36e051cfe94f102618b5ca16dfec552c0735db140c2f4</t>
  </si>
  <si>
    <t>888af4e2cc3dfb7f4886b5c4fe9b1198441a5aa43c64f863c829d44bba788742</t>
  </si>
  <si>
    <t>9b594e75ea6737a37b080ad719a9a6852005f1139da96ce60ee8e8ceb4455638</t>
  </si>
  <si>
    <t>21cf67bcc8d92818f0624d4b2ad5faecbe290afbaf3616181329b387ab246bf5</t>
  </si>
  <si>
    <t>b50945bc53335716282f60120ea70d8834503da537776c07b0403f64d4aff08f</t>
  </si>
  <si>
    <t>62c54a4ae00fb357e13dad0bab649b33fc3c63f6687aa9210684f505680af8ad</t>
  </si>
  <si>
    <t>64786b7d3f01b413f7d9584b6089ccc6650b7f618588bcbc9525acbd323a0118</t>
  </si>
  <si>
    <t>f49a8f9c5ec1f644cf46bf32f8c0978b966ee79c840eeb503f0eb35bfd1135d5</t>
  </si>
  <si>
    <t>ceabce28906c51e3c066a7def38a51e2aaf347ff2b05c11d046583987ea206df</t>
  </si>
  <si>
    <t>cfece81189e2282baf26368cc1fb06e69a264a02bdd14a05a21c539ed87534b6</t>
  </si>
  <si>
    <t>88c8e6096df4cc03f443770fe2a21f6e81e0f9fbbbf08ac556a6b7dbd8ff7c6e</t>
  </si>
  <si>
    <t>0bb8fa62a73df8430083dc0d04c5246c4ee335aa294ee946a120f240ff84e213</t>
  </si>
  <si>
    <t>2265c4314de4d6c36428830796bd083a1c90114fbb1ca0d5c9883f85664eb0dd</t>
  </si>
  <si>
    <t>6f5c45feb68e9d930f01c2fbe7c4db5a40214995b1d869c78ce80f6df1d0c699</t>
  </si>
  <si>
    <t>b447b4fed7cd1aa7c9e6dc67c1e64df71424a8a8889afd2a81c00527768a1b5d</t>
  </si>
  <si>
    <t>3200189f496d4754f7045a43eb16963eadf506660f20996b71deef7fdbb5904e</t>
  </si>
  <si>
    <t>18b670ed7eac9117431df5821eb262f5518f76fa200721779e4c5582e9ea6a6c</t>
  </si>
  <si>
    <t>0d71381811f5e2615870700ed451d52fbd7eb8ea9f6272e0c13ff7b0c6b91eb5</t>
  </si>
  <si>
    <t>836c29c6b7c796cd6dbfe34a12c3bcceb69e7b2cfd8ca0be372ffb1bd30a61bd</t>
  </si>
  <si>
    <t>4444b0705d40996be20a415c8d0ffca823ea5a3aafcd52b30046152f3bd059af</t>
  </si>
  <si>
    <t>65aba94d99a47aaf96d1a23af2a7752a0ece418404d0b0914b64bf802147c30f</t>
  </si>
  <si>
    <t>8f41e0b1851cf753a026bc1c07dccf82450574abb18798989816aca340a1de99</t>
  </si>
  <si>
    <t>a457fb498175f15b020c07ac53d7054e23703b3ec4c572d97036e5652e5f1c8a</t>
  </si>
  <si>
    <t>6d04b1f079173b82f51dd4a711b918438cef904b0d023a86bfd23b4a388976ca</t>
  </si>
  <si>
    <t>3b22643ae4c2751e43a5f4231c4872512acee4b5805d068b0b381678dde14580</t>
  </si>
  <si>
    <t>bdd4404dc547d906254c1929dce433a201124583e25c228c76b9ca2e28061601</t>
  </si>
  <si>
    <t>6a6cbb832a378bcef0b99bd4e66bcc82b3fc471d8f59f050641aede886863b18</t>
  </si>
  <si>
    <t>6a253a105c82d31f33a022d1dd9d6cd6ebccb6f8ff43eeef0071a9cec85c75c5</t>
  </si>
  <si>
    <t>eb63c9882d0135f10c961188bf72ce995fb23c58bb7d8eb06da82f560cb43929</t>
  </si>
  <si>
    <t>0d2445bd5232c0af1d234c232c888a40088b5897fbb5888e0276465641c869bd</t>
  </si>
  <si>
    <t>9148bb4af0029990a9f54269b208a139c8f00e83a704b003ec4c7436aa1e550c</t>
  </si>
  <si>
    <t>2daadba8e377e9890fbab08acb362ed237bb9623072bc5daf26572fe535a3f62</t>
  </si>
  <si>
    <t>f617578b5ac0175faa818ac55a7f3699f6342651ae54d5d7f0d1aa47d6c9b37a</t>
  </si>
  <si>
    <t>5917918d874caec5b3f7f48c7e93b7247ee8435331b40d476fb0ea1625438d20</t>
  </si>
  <si>
    <t>9ac2310841afb983b3378520e3032f31cd3984a11d2daceb592dd4118739ae5c</t>
  </si>
  <si>
    <t>7023c47b0361e1904e23516145fc60184d1baae8668d2333d14679c51139029b</t>
  </si>
  <si>
    <t>6cdb2237274283865ed74e92d9bbe350091c1dd177b7b53df6e596fd4964a07d</t>
  </si>
  <si>
    <t>7baa2121a99d8bcc75cac8b21cca9ce0a6bcad6e5039bc9f72d2d9405f1ec1fa</t>
  </si>
  <si>
    <t>1e8cca9d64cb55eec4ecb38a55100ac5f94488451dc31382ea0c535e00b6afd3</t>
  </si>
  <si>
    <t>e2cd70f5b1bbb97907b86e6cc54e8bcdcd28c3cda45e3eae2397808933e8c11a</t>
  </si>
  <si>
    <t>d870ef5a72431535251e8203ad6e56dcbdd176a620a76f43c24affb98c50bc9d</t>
  </si>
  <si>
    <t>7534be2b5d0c360dd1d98c16ffdd3322e14268dc4aa873ca8d3a0029b79d710b</t>
  </si>
  <si>
    <t>66dacc9a8fa6aa1ba9c48f26716ea27fcd16eacfcc8130dbe9e9171a41de62dd</t>
  </si>
  <si>
    <t>8b002959ed3f4fc5c3f07b240ded66250b9762ac45fdc41a0b31e201a3884ee0</t>
  </si>
  <si>
    <t>19e024a814e3420d457ef5b0673a703de93f855d1acf231f436610274cc1f846</t>
  </si>
  <si>
    <t>79d77d6d870b972fa6617f29558b8564bbebbbeb5df20bac1ee8915734b6cd42</t>
  </si>
  <si>
    <t>650838b0cea71e57110a36bb764d932c7038b775db3e203967b6cf0112d7b65c</t>
  </si>
  <si>
    <t>167cb94c66fec7d0ec2e32b244ea5f7bf6be733816ae317b622a930172a8090b</t>
  </si>
  <si>
    <t>c643a829f0c26c62a8259f47af6695e0cd888704fd436eaa68fce5c6366bfc19</t>
  </si>
  <si>
    <t>55557d37f34fca05990e9926e1c130d2a499fe6e5e7fc495b3394b1942e5b59b</t>
  </si>
  <si>
    <t>cffd439b478d04c64593f4c22ec984f7f94bbe6929fd3bbfc7a272500bd17ecf</t>
  </si>
  <si>
    <t>4548e5f0e67b75106a26544bbb621bc8c53fdfa6750b331207d7342d08c63086</t>
  </si>
  <si>
    <t>6ffd6ed5ee7a127173cf3ba5104305a629d555d17c576f8ab71a089dd7547c4e</t>
  </si>
  <si>
    <t>fe10e0dc8a843490c16ac08dbb5586f14a6769223d27cb055c3da64cbdc8f346</t>
  </si>
  <si>
    <t>4bb39508123da6977c27d82b767ddad49ee17aa0374012075a9291900cc73d5c</t>
  </si>
  <si>
    <t>888b62c5ed1adea32610c3306c173e7eccac5ab20ef141e3fe990bcfaf00dcd2</t>
  </si>
  <si>
    <t>47e73fd3a9f4940ec74f41349661bf5b2fbd1ba5a601f3e8af27a4356660283a</t>
  </si>
  <si>
    <t>1bea1021c88e1e97f5684b2c901fc6718f351ec1b58383c731d093ea5a5986d3</t>
  </si>
  <si>
    <t>0f0090195969b05ed6d86464952fb8a339726137ed9c1e5fa77afd92ec6a1af1</t>
  </si>
  <si>
    <t>947f13bf6a9401d71759ad56ded4a907a03b056e7e3fe4f57d985477ae67383b</t>
  </si>
  <si>
    <t>0e723ddd85de69d1a68a500d5b80ed6304cef047ba4f2753a08a2c9c6b3cad3d</t>
  </si>
  <si>
    <t>de8b275028bae4c90755beccef1d590e38fb90bb002aacf82e64ad3fe19006b8</t>
  </si>
  <si>
    <t>36133745a79da7956829abb61673b6289d0075b8cf8e10fca1404402c82e509f</t>
  </si>
  <si>
    <t>fcab6ce85184890707d95b1aff8d9a6f4e2803427abc29b11253d44b348db781</t>
  </si>
  <si>
    <t>02245188baff421d9d60f7e3823bebdcb727f5b5ded49f6ebc2d3c22f8d61970</t>
  </si>
  <si>
    <t>98ea6de6313f9ac28b8ef7d92d822caf65bbf668fd31c789178ecb6703e2b015</t>
  </si>
  <si>
    <t>dddaaa1944cddd0783201d4170b920d133d891d52cad0840018e8fef6da65378</t>
  </si>
  <si>
    <t>4e1192690f13d3e887cfa620fb9ef913a453a340ec67ec73675dbf2b6c2725f8</t>
  </si>
  <si>
    <t>6fcfa2319523b559de76d69d8d151412dc90c9c0ed5338611fc1e580d1952a2f</t>
  </si>
  <si>
    <t>fcbc49ebd22f40d5fc70d8780544d2549e1bd81c9a814114ae743afb12c3042f</t>
  </si>
  <si>
    <t>01d708b4eab0a54ad76906010b77b4d14f1efb5f6af540d2a4adc1fb2f7c22b5</t>
  </si>
  <si>
    <t>196705d81db67ac85bdd7e3d8adaf599fdf0b3aecbca846cc10e9f782c4867e5</t>
  </si>
  <si>
    <t>7eb0c6c6a340e37029b51d8d498fd11c97f77d0a643b8f059d7e681c45ff7584</t>
  </si>
  <si>
    <t>3310399563382d45f6b33d3932e5400d1ae32bedd82d9469be78958d5eea6021</t>
  </si>
  <si>
    <t>c7989c9b1263880e34b438cbbfbf34f3cbf36e91d09e608b665d7a65ed50d9e8</t>
  </si>
  <si>
    <t>40c6ec5d32db29ca192ffa55f2f4a3d9ccd4988b14ec3d679a784764f93b96b0</t>
  </si>
  <si>
    <t>6fddba532437ef169507170a1cb102639d9e02c2520ceba6ef0c9256c33b5784</t>
  </si>
  <si>
    <t>aac94ad26c3c728dee84824b8c9cd4195e4bee27ced471f459a6305143cc2868</t>
  </si>
  <si>
    <t>1ecf199e081f60b5b6e94185342ee01e12dbefd0fab5ae3a3d9ad86047189713</t>
  </si>
  <si>
    <t>77c04a7567c7ae52ad912bf3ea32069531e832f8dbe95af395a373474d8440fa</t>
  </si>
  <si>
    <t>e39a89d5808779c5b8b74d2ca6360888e7ffadd33f5c7650d5e82effd624ca17</t>
  </si>
  <si>
    <t>b8fac728927df353fc303a1a97bf8f7a6e4c2302251ef7accf6454e68fc9de69</t>
  </si>
  <si>
    <t>92d50a819b724e49d46f5344754e8ace594480ce64000e9ea45ce855c44067c5</t>
  </si>
  <si>
    <t>26c73bcddb0789485307f4480c07fdca741df73635f3cf4afdc1f222afb2ea4d</t>
  </si>
  <si>
    <t>7423d83dc6089529324a38273308eae4eab42b5751ae2cff7a06ae9ce23d03a8</t>
  </si>
  <si>
    <t>d001a996574a4a0ef9937de1e7f07cdcee75192063e3efb9f5fad45a70bde522</t>
  </si>
  <si>
    <t>30c4958dd47db664bf0525e047677e84ad67b893457cec4a75fdfa19b9d3dee5</t>
  </si>
  <si>
    <t>13ca4483d6edce80f41e75d7881f2c8412f5e105ea3c52ea5f39101fa55880f5</t>
  </si>
  <si>
    <t>a46465de5b3d80d7c45b9ef6bfdde88323045259b14061532040c5efa619f5cd</t>
  </si>
  <si>
    <t>a5f16b98c32d3f1d6d416dce5f013446dab466a6707139b508057e9858a4d69a</t>
  </si>
  <si>
    <t>602cf2bcdede7b0a12dd69fd4311e0a74c7d75323c1bd7d46d403c43a9f5f35a</t>
  </si>
  <si>
    <t>4a2892a7fa453697264ef5f2e124737dad6977f13e00ab96e933db730e848209</t>
  </si>
  <si>
    <t>e80bbc4d03c8dd4d70c0e9514b82e09b177224ffcec527bc2c66697c4e0b6efd</t>
  </si>
  <si>
    <t>cc4b9216a2344f05cff0301257dfac8060de9839406897e059dacf4666483332</t>
  </si>
  <si>
    <t>32fcf90dcf1eec063804d1c69b61a2a0ddb093a5dc1ff9a0e71cad3dabb3a9ba</t>
  </si>
  <si>
    <t>ceb94d8ac3ad735c355e14f0dbf1dcdf182b8134ace15f68bfae9795825448e3</t>
  </si>
  <si>
    <t>10a5c708285ff9fcb038a8a1eed52f230ec342e3bec2275b2752abbd4c03ac51</t>
  </si>
  <si>
    <t>50e5172b3bc945659f66feaad135b5adaead3ef1d88f9fd14b71b09c51da5689</t>
  </si>
  <si>
    <t>e69fd89ddb1012e5b82d7553f8a310cf6ab6db029a89b60779868292421fe2d0</t>
  </si>
  <si>
    <t>3882e050ab2ba6775c6c5af2e94f3edcc6495d1afe5f47a6feedccc4222daf6b</t>
  </si>
  <si>
    <t>3741ccd88b2eede97024bad1591e7fa856a41a4f93d3b20d2afbfd21fd17a19e</t>
  </si>
  <si>
    <t>9feb8aa104ede8c0f2334c93a5b314d3b87937337463fb4aa332c9e5b551990e</t>
  </si>
  <si>
    <t>e0bbb4592c640b9d45e06536bb0f59ebc70821e83418570b85e22e29031e5683</t>
  </si>
  <si>
    <t>124bfc7770ab66d559f25e2efce6490c74e43cc9c4b6e2bb7c0fba2086838872</t>
  </si>
  <si>
    <t>69105f0570039b718f79c006abeddd4f80487248449429a49e80294a209328c2</t>
  </si>
  <si>
    <t>cadde01d590f44eb87d0687659c8d1de4696eaf9ac63e0e09c0aea8e5d46e80b</t>
  </si>
  <si>
    <t>40c169c9622e11843bb50f63d73576c943b3a4b2dde4ef45939d46f897663407</t>
  </si>
  <si>
    <t>731d83de4c8d2f51ce283f4ca3dab709bf65bf24f4c8ae98670248856cef29eb</t>
  </si>
  <si>
    <t>79ea6f8e6994255a709e0ccabc6091f9ed8e640ecea3ec8200fddea37af0e18c</t>
  </si>
  <si>
    <t>da0d27a110a79a7ecd4dfcda1afb244dba9255b34bd407c56939e2a29791c3d2</t>
  </si>
  <si>
    <t>79ce1aec21c52de07a98b0faf5d459113a95f6d52df6f207547b68a50232c120</t>
  </si>
  <si>
    <t>7ef70225a3111eccc8026d262aec60b6441c1b0aade7ebdf3509a863170e7af9</t>
  </si>
  <si>
    <t>830e7a6a6be276131f516d04745f6124fa94650d88b992c379a1a84385d767f3</t>
  </si>
  <si>
    <t>0d26123be2bd0f74c7ddb611981b1625d8c3662f17523be7f10023cdcb9f3d9f</t>
  </si>
  <si>
    <t>947cc1ec05c241e5a2ad656add6e44c459bf78a7717b296e6553cf743576fb6f</t>
  </si>
  <si>
    <t>8cc313e1faf2701d9f04ecaa1a12b0013b1085fb7be966a02c97197caff4a3df</t>
  </si>
  <si>
    <t>adc2c8959a52717a6bf567550a96380a64be2e87cb577a4d7f9c2190b3a9b395</t>
  </si>
  <si>
    <t>f7d5009f63401200071323a10fcff413b505c6c7bffb9a2369e02287f591d9b9</t>
  </si>
  <si>
    <t>e370b58348c1b61ef0125f9055a62521b43a0552fa9a5bd53dea1bf01d596820</t>
  </si>
  <si>
    <t>90966fac8017dc161e8b223d7ab6d15114d081ec159f5321f281d9ec017c3b8d</t>
  </si>
  <si>
    <t>8bafd1d2e660acf040d6945c637392b679330ddac41d7646c92a32ce1bf110aa</t>
  </si>
  <si>
    <t>ee1f13e1bef1d8c049e67343d025f6a21bacb3e45ee612a63ef04dce79493187</t>
  </si>
  <si>
    <t>e2e8112a156031b1833472e41a55868a8c1c05703379f249a05ff490f6d6c115</t>
  </si>
  <si>
    <t>c835ec5eca4bfcb86ae372fab63aad3040e149590b62ccbde9ea1a6a80fa7d31</t>
  </si>
  <si>
    <t>61340fa130fa284e9148714cbcc9e66370031427ada02b57f8c4d14a74deef5f</t>
  </si>
  <si>
    <t>8ec37849e3366d170263f857afbcdf99d263fab892b9025ed75a02249cb60ec9</t>
  </si>
  <si>
    <t>bb069fb79659814f6cd2d7c3c1a4c9a0e083766f2fcccaf32f16ee6e34b3b00e</t>
  </si>
  <si>
    <t>69e8834213ce54c107114ca5ddadf5af97066f5a77bb9d908c738d81d74fbca1</t>
  </si>
  <si>
    <t>64802992809e4d7c4c55d5f02a46ff1d1cf97267926693fb9d159a8b68b11d72</t>
  </si>
  <si>
    <t>159b98e09aa5190ef94f830081b5d8d0ef4e2fc8b8ac7fdb4e29c72c38181779</t>
  </si>
  <si>
    <t>0a78f3d2379554ecbf3650b276223e2662e081e1d68193dbf32ade0df6639ba3</t>
  </si>
  <si>
    <t>df5879c69c17bb89768ed971ddc775e64dda58fe4c49284cb2a8304c82cb0c6a</t>
  </si>
  <si>
    <t>fc074a96122c4bf79c2ec38728d709d84d1c7b4a7af0ed263e059eea21dd8631</t>
  </si>
  <si>
    <t>f42a9b98b444237303180891da86420d01f5274e86d35ef7ecfc81a8138551b5</t>
  </si>
  <si>
    <t>0cfc43556699da33b8b2c6dded1d189f51935ac5a211a0a3b676c8250a24fef9</t>
  </si>
  <si>
    <t>b9494ff5cb4024bf6b227dd26a232e5531d4e760d7565c1aebd4477d6f5ede5a</t>
  </si>
  <si>
    <t>2b1e68abf2c4e8524c7d0d346bb3f917464c524d5a31e1d9ee6ca10153deea56</t>
  </si>
  <si>
    <t>6edea73eb2aea8614da23f3f4f30e1c085d0e9ac88012e09cffb5d6ef435e1a6</t>
  </si>
  <si>
    <t>8be7639d8cfe2f22809b4223b895ef938b846c0d10e9194711edaa5a3ba3a16b</t>
  </si>
  <si>
    <t>1c26659489ddf1ef301ac1d013180fde4424346229afa1c89f05e827fba3c4a8</t>
  </si>
  <si>
    <t>68ceeb54e3ac4c5bf9dacf032190d038036cb595bde2d7939e67e9fd2440037f</t>
  </si>
  <si>
    <t>5001cf3822a07dc2fcd8c86814cd8b697757856ab83390b0a29cff634997235a</t>
  </si>
  <si>
    <t>8482d9139f3c8873fb04f057d526a78f9c83e665222fd79f687a2684a6e076f1</t>
  </si>
  <si>
    <t>b84d514924c18941fcee511d2c06714fdf56e6cb862b995f28506a172ab01a23</t>
  </si>
  <si>
    <t>2f14ccfeeeed47e3c309d416f7b83d96e825ee885179c474e274c1ec769a4c3d</t>
  </si>
  <si>
    <t>3ac2dbf4d7fa6ecae90ccf260a298ed85c68a924d944f7a89482c012345a1142</t>
  </si>
  <si>
    <t>af37f605fbdfe76206bcde5ddbbcd88c92b38b6165fba22195808dc9f668b893</t>
  </si>
  <si>
    <t>d2979f2b8732d023bd9117c3f350dbd5ebd1a856482bca78dd040d80c9ef27e1</t>
  </si>
  <si>
    <t>0789345d315947ea3627c3cbbb778feebd712fe58bce8f78b990b866b60b02bb</t>
  </si>
  <si>
    <t>5d41fb2e7474a5887689879814a60b0cb636cfa2169cbf0518c529023710b05b</t>
  </si>
  <si>
    <t>d5a0a4fadde19e5203e4782b9e16c492a768fc4aa31e3ae6b5ecb14e1c4db3bc</t>
  </si>
  <si>
    <t>4a082a703dc7c21bf30ef315567ef9423b7c298fa7c67a2621cffdd1a193edcb</t>
  </si>
  <si>
    <t>1be3a5d70bec9e6f3826cbaec344a2c451459e145173e6f968f207f103566d60</t>
  </si>
  <si>
    <t>eb4577ee0f83f7333e6fc62554473934c53a9724a2fd858755566b10c0c162ec</t>
  </si>
  <si>
    <t>5fa08365a334b0e99387b0631a9db238a1252d34dd800a1dacf2d4c7a85c1d46</t>
  </si>
  <si>
    <t>7a34259198f41e698226c7ed910ba38a7a8a0901b214b907dfa72d33b55a37bb</t>
  </si>
  <si>
    <t>24f6264c64a75e751cad55eb9fa8677b06567607f0e1e9922e1ed98d5a03ea37</t>
  </si>
  <si>
    <t>7e45c94092f18dd15d37eb4fd26d624c2aec9f29a6dfe92d742f4163c7650cef</t>
  </si>
  <si>
    <t>7f086b6615d48ad90d7c997a62fdd0824e43e402bdfbea7c3348724a2ae9b4a9</t>
  </si>
  <si>
    <t>4a54d621c01bc9e049a1de81b927c57cfaaf9a74c732f5bed2d50b32ada239a3</t>
  </si>
  <si>
    <t>10f81d5b26f9678189f6fce23c269685e34764456f7a6c48e23dc0fe611970dd</t>
  </si>
  <si>
    <t>7afd463c5e6fbe1f805941372727501354ab22bb04adece4c6f6eafae032ce22</t>
  </si>
  <si>
    <t>e2ce77b0f250f4876398da45baf45b2873a2a73a3c8b58473537c3136851bfd7</t>
  </si>
  <si>
    <t>618c115ede31d91f9cf1f9f30bae33542e9658e73c2ca329c621f4c42123997c</t>
  </si>
  <si>
    <t>543149332a1a75220e8bbc1e47fc43aa558df89c3125843467534bc4690b64da</t>
  </si>
  <si>
    <t>c8b3f74e20855ddb63589507d7c08425316e055d3c0b417533be072f8b9e2767</t>
  </si>
  <si>
    <t>87ec07b12aeee8ad185e904aeba4d243aee4906c92660bca5d83ffc88d36f719</t>
  </si>
  <si>
    <t>8be8d882a9b58f258128a1ac1ac69b67b3f3173546906e7d27b611e0fa605e5c</t>
  </si>
  <si>
    <t>fe16aa06aeb23218881f5327fcfacc6225b15b7cd688c56370a91c7b39f2dff9</t>
  </si>
  <si>
    <t>feefde39569b67527423bd4488e942ba11d66acdfa6ab59df39e8da2bb43750f</t>
  </si>
  <si>
    <t>c6d54b893192bd5aeb40e2c5a50e1cf14e56a00ad53f5a062bf4c0e883684d28</t>
  </si>
  <si>
    <t>eea761fe7457597a356dd544aec66b710fb4d44b8cd16f39bd24b50e96ef26b7</t>
  </si>
  <si>
    <t>e7d55fdcd7066fa82583c1594acdff138535c363d08d19ae5fe67d38e9912f8a</t>
  </si>
  <si>
    <t>9eb14e9b1408d5d18ee1b99ccdffec7bc6444b6d8255ae16fc38e5271daf639f</t>
  </si>
  <si>
    <t>d69690275fc6ec3a83251e40419a0c947e7d88abfe5955f43a0a948f23b9203b</t>
  </si>
  <si>
    <t>ef801429cecab53f37eff744e6ab4943fcf921393b6b977338695f6e9a151642</t>
  </si>
  <si>
    <t>1ac5e917ecdff071f331d0b5ae65f24fbe721babc837fe0497b85e65d379931b</t>
  </si>
  <si>
    <t>9e9c1c2ac8c57c8992bc5673f8a25bf13e63eafaa1ae26a733adfa3d51921993</t>
  </si>
  <si>
    <t>59b001b454c05683f58b11051e3ae487f35add54c520cb6a1b40f8b06d158c38</t>
  </si>
  <si>
    <t>f703b093d408811dc5a63be8b5ab9bf40cf4620fb5cd2f0d6cb3d7f486db2ff0</t>
  </si>
  <si>
    <t>da5bb0a369e4f647ca46fe7512f7f0f57f7f53ab5847f39ffa85d6d7945d42b0</t>
  </si>
  <si>
    <t>5c62c5816f27e0f5e53394300822a2f909ce0f451563402a483464292bc55de4</t>
  </si>
  <si>
    <t>404d23582393fd10b437604d85e9157a38f88f141054dd52b43be06891372eec</t>
  </si>
  <si>
    <t>f2ccc8adfddc68d4e5e50b39b4c958f8d12d6d6452865db8afc8aa7f290707fa</t>
  </si>
  <si>
    <t>045dd66af68d8805da37af67f3bf9154704d798a4e4937af777601dd04312134</t>
  </si>
  <si>
    <t>55649f9b9d2b02605c19a527762e9231ff3ffea7a0c9ca172b251b19310943a0</t>
  </si>
  <si>
    <t>2c6eecdca101f6d0452333651fd434aecdf9fab3c3e0da676643a7b806dc8980</t>
  </si>
  <si>
    <t>3b2799d711ae04d665b7d4c492d1cb5bb92405960b2030f9881eb3c5132871fe</t>
  </si>
  <si>
    <t>27ecec062a470c4a140043ef5349d92793fd6cb42a480f7ed56057561712e72c</t>
  </si>
  <si>
    <t>2ad7bab4ec4e967489997b6fc26acea5b7b18606041cca1f26ec64258530156c</t>
  </si>
  <si>
    <t>023de7635416275938ef83ce260a6748c6665d544a6794e32af620ca8a108bf6</t>
  </si>
  <si>
    <t>486d636e10e4d153f4354967c390f3f340c0c225a9d026b07ffaa4ccd22994b4</t>
  </si>
  <si>
    <t>d2b968f24f88bfc94d7ea1fd584448c02eccc2b7f9ea82db2d85caaefdebf618</t>
  </si>
  <si>
    <t>ef35b3da21367a6ae450d37a05cb0b8b0553599d56d085e59f3df2551983a03d</t>
  </si>
  <si>
    <t>9ec11569f6e4a933ccbb765369e076652e60a348fba3d9db12adf02a3ce4e371</t>
  </si>
  <si>
    <t>a837e1c31e670b526e4e174e3a1832f4f119d9d5d1c801e12acb30588b34a7ff</t>
  </si>
  <si>
    <t>f1164201a230c40fe081cb62d148f3c4e19c3f97cec06d2f7cf36aefb3305623</t>
  </si>
  <si>
    <t>b2eed268d2698f13c4cf99c155d2d5f9b17a579613867800c134e389264b880f</t>
  </si>
  <si>
    <t>86d43e9e4fc33b9be408b92dc31b2dfee4df815a8f123ea36821a24338ec1991</t>
  </si>
  <si>
    <t>f3bb2186b920325f3a7d1c8b7939187d457fc1075ebf0ab1f9fb75ff9c18760f</t>
  </si>
  <si>
    <t>f49e32310ace3bacc634428e74b1cc50e2dfd1923ca898084b5efc6e45a74b12</t>
  </si>
  <si>
    <t>74f0619fc8147007d08fef572539a070b4ce1f0d62c4ce4ad2652e8426853924</t>
  </si>
  <si>
    <t>b28de2f5df4bf6b9fd082422bd1b0f4e823cc5e163140a7b53947c46f2e351ab</t>
  </si>
  <si>
    <t>43df35eccc821b0124a030f2d8e8f387ccc6ea25c2081b985ac7e4f5274b82d9</t>
  </si>
  <si>
    <t>6402a4521521e92f1009a1568f45ee02b6322abf99189fb2872780ad4f476bd8</t>
  </si>
  <si>
    <t>c41dcb6fa1b7ed20ab38683053c8ef7f91626dbfce5f4947ebe77e2403b1f310</t>
  </si>
  <si>
    <t>1044a108ff5db425304ea07f7aea933f9d46625d4eb790fb44647d9b202f6f20</t>
  </si>
  <si>
    <t>1e2e22dd7525f39ebf01fad0c43eac6ebde6d3c46ca3722163579b564084c427</t>
  </si>
  <si>
    <t>4b41d50dc283aadc6ce9edb47a3afd933d689d4f552ff15e6c0fd00d8d384ad6</t>
  </si>
  <si>
    <t>5c4c474bdc9bb2dcab4bf838a750db5f28536e8dbdcffaee45358a8b09bf2462</t>
  </si>
  <si>
    <t>273ffdbe10c6f99f0527ffedc4b667d5441d56a5d59221d13e69486adc21664a</t>
  </si>
  <si>
    <t>023ff4fe725cec98fbb1380bfbbc0ffb41dfd625f073d6450ca9935f65a92c6c</t>
  </si>
  <si>
    <t>b09cca0019d95f61d2e788bd95021d4f136b6fc942484f1db0453b829b74eba2</t>
  </si>
  <si>
    <t>5793ee9ba4fae1419d8c9e2f26c94dd1753f95e2bcbd2c1260d946cd0fca0ba0</t>
  </si>
  <si>
    <t>29013b2ea4535ce06964483112291bed5ee44513041c0ca27859825d117f641d</t>
  </si>
  <si>
    <t>78bc90bed0fcac3fb964ed09a742577b4ada459aba639c477313209527c49159</t>
  </si>
  <si>
    <t>4f8c334d3fbe4535978e96453ec7be0b920a974b040ec4a7c006d56edf215455</t>
  </si>
  <si>
    <t>82cbf1ddb97e9d34d653fa8a015fe8ff75fb74d2f98ab6380d8fa6fb9e097545</t>
  </si>
  <si>
    <t>a0966841c1cf955adb3fb6ebe395455356d6de7dd762e13669d11e7bdfec68f3</t>
  </si>
  <si>
    <t>e70571a199481e9ceea1ba9ea3087ab9f04d8343d58b654036a19a872e354352</t>
  </si>
  <si>
    <t>60e42ba74cf067ba74bea66a04393c58732106c89795a869e2f2677b49c0ce3e</t>
  </si>
  <si>
    <t>caffdce65f19997d37653e850b9cd7a52efed00c69e081a5a63c0495d5cc3d08</t>
  </si>
  <si>
    <t>fdd94c11b521a85bcbfc8f9dcbeb6681f4ab09a5ed2eea362354cd2f9b241688</t>
  </si>
  <si>
    <t>9fc7cf66a170c7baf3de813c2e8772424c9677a75ae553dcdb08d5a3c70e19d4</t>
  </si>
  <si>
    <t>bdd7856e1162a86c67ed04d374fe403064cf1e9f3f6ef63e3f2515b57eeebbd7</t>
  </si>
  <si>
    <t>fd1b643275f93c31aa26fc8589e83b89661e668cffc20d6cbcdebca58ec0b331</t>
  </si>
  <si>
    <t>683251a4f04194683aeb45d8966778a08b06b1f4c3d3908df473634fd245de08</t>
  </si>
  <si>
    <t>008525f0afab82ba3b48c58ae7f0ad1d87b09a511aa999816750b7533607b4cb</t>
  </si>
  <si>
    <t>802cd13b53c00c79c6662da03e8a746434ecdc7d3471e810492ac358d13f020c</t>
  </si>
  <si>
    <t>caabfe593146239525f61f271480e2d12d1682595d03fee27f5ca80025225b15</t>
  </si>
  <si>
    <t>1e460279dd3ed7f51dd24243b9e0249ada92a67b849dbc3f1a465475f511bcd3</t>
  </si>
  <si>
    <t>6ba0961340670f7d0cab935d89273dc794e3124c5f035d1a25d2acef1352af82</t>
  </si>
  <si>
    <t>bd4ae9de994767f14b30f60b879fb8535b634aa9ef4d8227cfb050d5c7cd4ade</t>
  </si>
  <si>
    <t>904f21784ceec53640f4b4bed91bcb55fc68abe71c23be75e9c05dc7e911d100</t>
  </si>
  <si>
    <t>2c1575a5c1c19bb5e63a81affc04ba1401e16e0f34e3fed8e4b25c525c6a4c20</t>
  </si>
  <si>
    <t>cfcf56e974577a43b01b8dba4f446cbc2a7c41b39cffbdb4da05f599aef0fbf8</t>
  </si>
  <si>
    <t>6fa77af3c22f85f64841024b77e01fa6684083afb0b6319d6f0337a6af03e69e</t>
  </si>
  <si>
    <t>ef5c2290184ae44439f40b7d16729c9e19c7639519c843a4d082fda5c8d5df02</t>
  </si>
  <si>
    <t>49852da4e36d0b10a4c9a1acf60e57a6c1d131764a92d5c6209a958eefd92360</t>
  </si>
  <si>
    <t>a1485bfc9b999f76d086dfa5228c7fa8cf1e142b2bb645598eb3737fbf43bf15</t>
  </si>
  <si>
    <t>80aabe89b18499687b47d468ebf924e20aad3a3e26c37e03d214988beddc7ad4</t>
  </si>
  <si>
    <t>5566fb096bba8a490d0f12eb7e7e3e1aa32efa2378574508795d86422fea7b21</t>
  </si>
  <si>
    <t>897ad97742f94650380cbd3ada1a276962ff29ad4575947261b972521bc2bd1b</t>
  </si>
  <si>
    <t>b2c9c2e6e05e6fd21885abb9295bd6111cd78f284d0ec20acae9855164243955</t>
  </si>
  <si>
    <t>2c4dd4b9dabb1e3c4fc10345f718f92ea1eef1d994840617ba685e3aebde3f28</t>
  </si>
  <si>
    <t>0b699ec122d1efe9fa8245f258f29a341ca9089cfc9cded6624d390d489970dc</t>
  </si>
  <si>
    <t>0f050b35ece8c3317fb8eb2c39c873821a2ef923a44052cfe086ac09d4fff36d</t>
  </si>
  <si>
    <t>25c7fa41ecd9f86fd260dfe59b77b9bbd62ea0d6d7599dff03b39b4752f82c7f</t>
  </si>
  <si>
    <t>0c87d7ed2e3ac2c60ea9e5ef49c8839f03989e996c872e9e8f1619c2e2d6969b</t>
  </si>
  <si>
    <t>17288a9a32d1a2b662a549630f64e6eaec431336581b1169cf13a6d90b9ecc5c</t>
  </si>
  <si>
    <t>1c1ed5b88432beb315e89c5bf2a305c4412842443dc8b912ac5d79b3b08870c8</t>
  </si>
  <si>
    <t>91b96d28c2262b43e2c6d63d3d83d0bd56e476fe357dd0a2d822b02a81b09a60</t>
  </si>
  <si>
    <t>c6a413348fbe1dbe1fd90899386dd8f70c202d80d2ee0cbb7e7b1cad0a81f18b</t>
  </si>
  <si>
    <t>dea6a0d37d8607cbcfad0a84ceb600bc1070ba7875e68d0ab27b8221cfb98216</t>
  </si>
  <si>
    <t>SANTA LUCIA DEL CAMINO</t>
  </si>
  <si>
    <t>0b823ea426f9085c2a1edaf06a752e4f100549a71ffbfb81ac066dbe48d2a46e</t>
  </si>
  <si>
    <t>ac454116342f666aaeb59e0faac1e37176fc1e6d072c2b336e93444e78a2e691</t>
  </si>
  <si>
    <t>07d149e873e73f992922a87c90a7a7bd9437d660fb885311bd410e9dd7d4925b</t>
  </si>
  <si>
    <t>be4edd35e452db1adff58983f5541a8984b8e87e1f13a3b129871e57df378914</t>
  </si>
  <si>
    <t>40da5269d3efdb8ad33d5299a44455ec0dc61f7ced5211bf3b3a606cc9b6b8f4</t>
  </si>
  <si>
    <t>b9d5ba3d5f0fba32cdbc28fef5de6984c8933a11174694aabfc1ac766091e26d</t>
  </si>
  <si>
    <t>0d1af2d2e670f96c2e977b55576127da8e8ba0cc5584becd1471136de282471e</t>
  </si>
  <si>
    <t>f6ff5d62c82fc740b13175439754eb8b744c45f21aec3409d8f1516d085253be</t>
  </si>
  <si>
    <t>edc3ce47a5ebce1c4569093279654cb9067376810e71f69df18445b966f51199</t>
  </si>
  <si>
    <t>b5802bfc5cf8b024e3671fb3e1b637164018233a2411975abc7c36444c01d5af</t>
  </si>
  <si>
    <t>4936daaff82d12207b6fbd71f5234a4daa8b2ade68ce11edeec92740d4ab3e0d</t>
  </si>
  <si>
    <t>9895f3d88deb757058fcb8a6875f37625fe00a94e1b2706f682f2c37f3719a75</t>
  </si>
  <si>
    <t>9b97accf00709c6d843a587646359681993f957851be3dcad7d23bc6c9651541</t>
  </si>
  <si>
    <t>fbab846f181ec04e9ede92e925a592cb125fa923c24259d11c12e14f89c1366e</t>
  </si>
  <si>
    <t>b0ac2c7e5c46e6bf469fbfde7554f7c9b58f6833dac5fb9d7dd1b5a945555381</t>
  </si>
  <si>
    <t>cff4e2c0a321bc985261cf5a4c9d6039cd057d950bb729a7a572e20bfc943454</t>
  </si>
  <si>
    <t>2db523b2b8a6e7c71dfb04805b1d54ba60bf0ae23def4d12abd1821b5aa32ff0</t>
  </si>
  <si>
    <t>f7838cf5a5ffe687075705bd95975030495cad6f2785b1d39d132fefcac4df6f</t>
  </si>
  <si>
    <t>333470c129e845b7e883689c039661b72f6782f8cb7a6227a089fc7b11d3f529</t>
  </si>
  <si>
    <t>660db98e772afad6c7cc1f0a6c346ca8b0cf91526412005ce8981dc897a237f8</t>
  </si>
  <si>
    <t>47d5ad8cd360c3384626d1925bce6cd874bcfb35fc0d1b435276967818ae097a</t>
  </si>
  <si>
    <t>c6d611864bebc044474e6f29120a8a16b52c181d22b837f35e90dbdb1ce76680</t>
  </si>
  <si>
    <t>5ea510a4ce21c899b255be6f3cd4acd3ac45f95ed51af9656cc41a597d9f66e0</t>
  </si>
  <si>
    <t>0344077a85d69f840c71a6f304aa479927d02dc3c3ca6af46a67f7b74b753efe</t>
  </si>
  <si>
    <t>7e3195c2adee3f0d772c06ce54d6e151d5757bb0f9137eb8d404c76e7c573ac8</t>
  </si>
  <si>
    <t>2b1b3e611417da7830259d5b98a6f6ae79dce55e99241e50527a0ae202d4aff8</t>
  </si>
  <si>
    <t>acf4e337b8ad1bb7cad3cb208be1dc470daad624fcc3fce3f7232389c70bd221</t>
  </si>
  <si>
    <t>e89138fa88194cd125936d551be0a29aa036ab68e65bd858ce40e568e030c1ec</t>
  </si>
  <si>
    <t>009c1d95bc577333534f4de69d644cc97be649272da2aebcdbc38e3e3c294fae</t>
  </si>
  <si>
    <t>829dd8fb43c366cf5699743a3855560ffd25e7cafbb0cd43ada7e4e8fa6335c2</t>
  </si>
  <si>
    <t>31ec5ee16117f1ab0afe056d5b186990b8a191bca7560543df436ecb9060b9b7</t>
  </si>
  <si>
    <t>9b9d8270e857742d9425ef90d988eb6943c21a5c543c573bf584f8a15cafbd58</t>
  </si>
  <si>
    <t>69a496c82b6f3d1feebe2854665ac2265055bcd0a94828188d6d59f344ed0087</t>
  </si>
  <si>
    <t>5f69322ead8edcf45f4323b2c6bbb61359131dbe1b4b2e00aedd19f723debaed</t>
  </si>
  <si>
    <t>a1365cb87ae6b1b5b47c15a85431af025a1cc7680999a87694af25d2e632fb92</t>
  </si>
  <si>
    <t>cd1f5ff543c86e5dcf4b200134d65d11eae913df0e078c8eb32b0792224b90b8</t>
  </si>
  <si>
    <t>3dc95fe206255cfea2136686694af77e021471e855da467a44964561b6c8bd20</t>
  </si>
  <si>
    <t>37d8d247c663ea1d9d157472d9e20a77a01967d6ee2925b4dfd1786a1a9e1c50</t>
  </si>
  <si>
    <t>84142e0d0d330292d2e232de5f0e3f333d0649d58485f64d0ce605fad8f6f450</t>
  </si>
  <si>
    <t>d7dcd1f5b8bec957f4090fc20ef5095fa918cd97adec8e8c8688a2f340b98e9c</t>
  </si>
  <si>
    <t>9533ce6c8267e13b2318a00ae678f82e504aa3b34291b0249aca4c435fa307d6</t>
  </si>
  <si>
    <t>843becfd023c3e7c87ab7856ef89cf452a469af87224e063894117fd0394f26c</t>
  </si>
  <si>
    <t>b7c9349f714a641bafaf5be6ffdc54a56bc93d8d79e2a7ac78da2a8d5eaa6145</t>
  </si>
  <si>
    <t>2f8aed275abd1cf48ca64f867dc47901dd3ffa520297acf4f69b50a8b43289b9</t>
  </si>
  <si>
    <t>02d193b884f13577bcfd83efa80ca495ef935f380316fc132db6742e431f0a5a</t>
  </si>
  <si>
    <t>67fc58e459bc46e0a752f61c5879a41ad1326291c637db030b5ee55273934df6</t>
  </si>
  <si>
    <t>0403770445f81886b0789fc7e4ccbe33c82522d7f26260d6fb2acb0e4e0a25c3</t>
  </si>
  <si>
    <t>ae83bdae5246b46e8c8364dd467e49a16d566a44280dda98ca018d4453ecd4fd</t>
  </si>
  <si>
    <t>e2f4dbe88765baf86fc77689ed9d86756a04f91b195d999292bcaa8e79b40f6c</t>
  </si>
  <si>
    <t>735e0357ab2f8dd4a7774a562a7961c19e411efb13295b91c0e81a7a7a8819b6</t>
  </si>
  <si>
    <t>3fe9f2b3447fe5134fd82ccad57b412033d43e547ad3c01de532653e9e669893</t>
  </si>
  <si>
    <t>62d18781eb986dadfafc252046d8fc67ea2fb31be810913bee7717bd898312e6</t>
  </si>
  <si>
    <t>e42650ee12149f09ad8889b146311eaa1000d0823a4471ae3b2e5c346e492cd8</t>
  </si>
  <si>
    <t>f86801eb7d6c25c36e63a7e4b799994181d50178c39a9c1362d5a9f882a59f39</t>
  </si>
  <si>
    <t>4e22c78f8d84d81cdcfbde9417d0a1d79de39051692d09d6462c8e4dbe65ace7</t>
  </si>
  <si>
    <t>288c2648cbe591a2a3e3a25d2122e8a0e68076cf1fc2ced63bcc545d7aed7074</t>
  </si>
  <si>
    <t>698d153710d081718aa46432c4775c911ae6334e33e0b1b4524a47cd39ef51b6</t>
  </si>
  <si>
    <t>cb75da18ff15e9f712e048e8f99ea805d00b071372f7e1530810f9fad11ca637</t>
  </si>
  <si>
    <t>14bebca5f01c7846396f59f3533d948df1b16843b436eb4a6ae1ba9c80cc65df</t>
  </si>
  <si>
    <t>2fa77093b3344f521cdb6e4cd795b721f98fba4469b31d230be8b31cc1a9512d</t>
  </si>
  <si>
    <t>6480302bddc00366a4e134f57841dd94682e552572f63adf1ef3e061a6daccff</t>
  </si>
  <si>
    <t>b6f34aa44ac3d9db7af946f1f31c18d601fcb4bdb6ca39854c7617e4cdaef957</t>
  </si>
  <si>
    <t>628ee1cebdab7c4af8227219e357b6593a12f274ca64f6a46cf5c54c6d0e1098</t>
  </si>
  <si>
    <t>9e2712eba14953b5abe7eb1e4caea5a067407d6eb2addd4e05dfdeb8af5da9ae</t>
  </si>
  <si>
    <t>7a502e948b00aecd3f071a746d7c967836507b2f84d8d08f2e99b93e1436221c</t>
  </si>
  <si>
    <t>76747fd36a485e17af24ec697f04c87a61695474a307934df12ed856f9959f8b</t>
  </si>
  <si>
    <t>3a12f16f4ba660eb99b999e6c14ff08a91d94233bd7334ea2e5c88bd996ccb4e</t>
  </si>
  <si>
    <t>52c214a3db168981baa1ae913db67295533284722ac8ed57e55ab92bc9d35896</t>
  </si>
  <si>
    <t>38832fea1aa8a37d414dcb39a46a56867e7d66f5a8bfc01e80a980b6f0cb7d7b</t>
  </si>
  <si>
    <t>6bce1c81ece3947e6724d0db72a99dbb51dfecf78bc0fea0826d156c8658ecfc</t>
  </si>
  <si>
    <t>8a5e404ef00fadb896036f95128410abfa121bd929bff25e13c7b6700ee1493d</t>
  </si>
  <si>
    <t>92e7b4206b0415b12184de7aa92b52b8e1bed1bbfad7e6d446e85ae29f1b1dbf</t>
  </si>
  <si>
    <t>e5d9fe1efd386694ba580ed80a890edfa68065e960a24a588a82ca5f709f1952</t>
  </si>
  <si>
    <t>ba7957cdc6ed3f357b2646d678843beb62b47ae5848b4e6ee5462573eda13734</t>
  </si>
  <si>
    <t>6da0e383e43aa6fff2f3f146bd3b2b298b66864fc9d5b525bb2389b1ff881f63</t>
  </si>
  <si>
    <t>ba295218d8074c1bcfc50fd26f8c7d499295602bbb9c277b67ff8c77b3bbbd26</t>
  </si>
  <si>
    <t>6c1b8deacf6573a81ddf2953981b2f26a5f3e1ec8829ff10df43101293e573a5</t>
  </si>
  <si>
    <t>d7630b625dcaad996e33ec55a2434deeee54eec26751a2d26eca5aedf9043371</t>
  </si>
  <si>
    <t>f9e2db5d854fddf82504c469a217120f99322a841382f2093b261ae7872e98d3</t>
  </si>
  <si>
    <t>6b7840dda3fea3f4d37a7c4cc000efc0f15365623e7416aea1b923253ab99cc2</t>
  </si>
  <si>
    <t>b3ccc4895173726baf7fd4a67dab27d4d5265c54dcd19e330decaf09848e9e4e</t>
  </si>
  <si>
    <t>be90bf9064000b489105298b31bfdd74c8e050827ad320f25bd025828411329f</t>
  </si>
  <si>
    <t>c02fe39413103f721243236a548329bd8a77ce992358d0014208462da6be9297</t>
  </si>
  <si>
    <t>fd75cd53456d383ef34ee89113d28a269d786225d6734711ad78066d681ab926</t>
  </si>
  <si>
    <t>0b8dcb4ea4d4a2e009a3c44eb4a215fcb95f002858f39a502d07a0285d3fca6e</t>
  </si>
  <si>
    <t>518387724e1a93208f3b4f04664af46e41633700e0877cfbfb8467d751ba0002</t>
  </si>
  <si>
    <t>82c5a7717308a94565b54db58575ab1007646b9852e93309bef9e429a194f7fc</t>
  </si>
  <si>
    <t>5932c98266276fc6bb44f567403810c14909050c79b106320e7d3a5d56f2487d</t>
  </si>
  <si>
    <t>2411537ba6190e8d926a68e6de6ce61d38b03ab60ac3da7ee9d18f2e6e8d3dce</t>
  </si>
  <si>
    <t>ba966501f0181e9354857d2426e31e5f49b6fe6710f05ee643a10c6b20e9174e</t>
  </si>
  <si>
    <t>5ce75d33af4237480fa75de30cff72f45e27a3499ba0743ef087961555244c2e</t>
  </si>
  <si>
    <t>aae853abda776a70d7ce55532794cbbad6d0b8598eb10ef26c14dd48953edc53</t>
  </si>
  <si>
    <t>38166cef71005f0879bac498a0abda1f039253f8fdc4e710ed111dc5ddf579ed</t>
  </si>
  <si>
    <t>781a1d7d666add1caf3b9174339d1fbdba3f98feb6524830831241e380881232</t>
  </si>
  <si>
    <t>94063022c19da90602fb05b7a40c6a44977818b7c2e8c532327da2b225789ed3</t>
  </si>
  <si>
    <t>5c10dff7cfe30305ce5afe62517b2028e9d7f4e410295649c345155c0235fb27</t>
  </si>
  <si>
    <t>22c96a0c672581d7266dae09d44aec9dfdcc966d97bd2ab1a6a0a07831e4cdee</t>
  </si>
  <si>
    <t>49517664448833353c2b5254048517644a225eb0940d200c9b8176f93bd36600</t>
  </si>
  <si>
    <t>533fedcef1ca5b3d8b6b262371f65cea87f417d7211cc24ac52f41493574a8ab</t>
  </si>
  <si>
    <t>b71793ddcbe64a877f9dec03a5b071e1c069eaca482883cbe40db8e4b2b6c421</t>
  </si>
  <si>
    <t>ef7e4a44942c28ca72ef35fe100a9d07d3b5c2d61607a7e77b064b9e9c0b7ba8</t>
  </si>
  <si>
    <t>44b2f2adcac0ef4d2e4e5ee5ef38be4cfec25ada5910faaad8b7ea5c1ef735a0</t>
  </si>
  <si>
    <t>c776e1aeb9cfbce55978c654fe8309a74f8a0a63cfb404a434d6497268ee9dcf</t>
  </si>
  <si>
    <t>d427ef99cc2af7feed7e49fa930ceece630db997cb2613ac472b7f82fedd55e3</t>
  </si>
  <si>
    <t>f957ced594d25716b3d507e1d7a9522abac77131d53fc7efe4be98b54775c6bb</t>
  </si>
  <si>
    <t>f6202ac1c51f607bbcb7e4a39af9c69faa9886189306a7cd1807ad5ecb8c431b</t>
  </si>
  <si>
    <t>ac854aad92b013f16a052c291e5dc1d10155e90ce475370160d9f125485e8f18</t>
  </si>
  <si>
    <t>d3295da485d7e8dd4d54533834869fd324d2f37b5dcc076b65fafcbb2768a22c</t>
  </si>
  <si>
    <t>942f5db88ff484228a0b8fd087f35a24641da7c343aa47fb47ebbc8f73cf3938</t>
  </si>
  <si>
    <t>406dc61f0719adb1059edfa4201d4fc0bae95b768316930aca016810b4afc95f</t>
  </si>
  <si>
    <t>20773b1f2016309c5f03eb2f639ce1b703a05ede04eec5edb7ee593cca0532a9</t>
  </si>
  <si>
    <t>6e9b34a2a68ab6fca5256c54edde73dc794cf69c82df31db4130941d65c35739</t>
  </si>
  <si>
    <t>d575b7129a0fa845a4b670c13649d1d4501484b7a06017cbb6a3a8bac492f96c</t>
  </si>
  <si>
    <t>f000640c9161c48a2a353cc12f87111d2d10b9c93786c933eb259152c6e1907c</t>
  </si>
  <si>
    <t>e1d893e8ea7a7859013fc8ac9751768d6e660553888a23c762101ad2890fc679</t>
  </si>
  <si>
    <t>7dcb28941e5f37e3f6b5c3303f2ef07fd656006d5bdbbdc33addb5b77ef9ffac</t>
  </si>
  <si>
    <t>7851d9a02c0dd6cef687b6c0471f0df4ea0fe2c3ad11447d5e00e5fa32023c5a</t>
  </si>
  <si>
    <t>10efc934134fcaf0494d25e15e1f62fe93f2c531cc4a514b716bb23920619347</t>
  </si>
  <si>
    <t>b6bc75f71aafe1a611f5e743e34a9698b1e83ddc99edf36872105e7716959e0f</t>
  </si>
  <si>
    <t>347e14e2a68d2ebae41c2f055dd07fbfdbea6e671d35cf56c53e939edaefbede</t>
  </si>
  <si>
    <t>b33bc03bcd26d336a3f1c3fb7b92e55f64f8ab7b15996b6d69cf6df5fbc004c6</t>
  </si>
  <si>
    <t>2ad67e4ea497358696c4c915f69a9361279321586f304616d61c4b36e8ea6848</t>
  </si>
  <si>
    <t>7b33277ccfc81fef5a6f6225662fc37f08f21fef03c0e582959168c015ad0e53</t>
  </si>
  <si>
    <t>51ae2dbe8a5b4d7ae712fe82da01cb27a334d48db3e2d0728b0467ad6932ce9a</t>
  </si>
  <si>
    <t>b777ad4746fa9f058ff07059112dbdcd36c0691ed637446e337466d3d396ac90</t>
  </si>
  <si>
    <t>478203e0a293599835fab737d9e9fec5a249bbde764d357943530be6e347ac65</t>
  </si>
  <si>
    <t>12e661691c5ac10f0bf2c9f380a53f35cd2bd99cab8d82fe198b778a9c8656dd</t>
  </si>
  <si>
    <t>f3699a1766c32336a4541032d6986e41d28504385789585f39e326c6e9de8747</t>
  </si>
  <si>
    <t>92bda9deacc196bd5bd7ee88d2333ab3b3e13fd617d5e963b688db3ff43403e5</t>
  </si>
  <si>
    <t>ada7cf91bdcd9ebcb8f8455c3ec172a68d262f9a9de835bb787941218ede8baa</t>
  </si>
  <si>
    <t>a693252df02f88792871f3ef2542e9f2b8b5e96fd04c5c8e34a321f4d5ea268a</t>
  </si>
  <si>
    <t>42e134c5d28cf83665f6cf3814772654d74885cf99522785d26ee1ae86fb1a87</t>
  </si>
  <si>
    <t>f4f83cf24f95eb7366bb11b9cc1f90175f5a2ac9f19cd6538e63a241d05bae55</t>
  </si>
  <si>
    <t>a8eca1f7c8fa795cf0e3bdc0183928f4104752451d2ee48ecb6252c25bdcd4b3</t>
  </si>
  <si>
    <t>909a7059b666fd2a7729a654e5309f552b30c0b889916dcf6a75250d3c7f7e4e</t>
  </si>
  <si>
    <t>773ebe0ec5450c398f9856a1eae34423f91afa062a4d8f2183c283f72fedc28c</t>
  </si>
  <si>
    <t>e649076592bfa3a5296b96f02868d559e0e825759c8c495bf4086820a6e6126c</t>
  </si>
  <si>
    <t>35e82ee88f1f1646acf29e82a7f1fe1fbbf6848fe2c51e3bc8faec93836aa6d3</t>
  </si>
  <si>
    <t>6b79d29b06aedd2f94187dd634cc85ea8eb87407d0847e81d92e0329b6dad914</t>
  </si>
  <si>
    <t>81bc5a3452b02f7d30cba415ae24568f3d1eb3440d173b69c8b9da017ea10cb3</t>
  </si>
  <si>
    <t>abc79b53ee54302be44f8b235b5568f04f71bce023881ec54c12fc8a5506784d</t>
  </si>
  <si>
    <t>b6cc28c4c9ba3181d4eb15dbbed1ad97fc133dbf9e6507cbe7a135b7d46c1399</t>
  </si>
  <si>
    <t>6f878134ecc42fe03af359ec5d0f89e2654903307f4a3ba9e092b180055f8c53</t>
  </si>
  <si>
    <t>40562cb7632d239f70d9bd750d362600aed6311f027a5b67bc5a236601f186a1</t>
  </si>
  <si>
    <t>4b2f503f3a5a0fb032157c2724ba56bfb2c6e9e195cf1885b714e4ff9cfd0b9b</t>
  </si>
  <si>
    <t>e0bb88bee71da76e6ded5f5e37cb22976224ee0440d42e284258b8cbf2550f07</t>
  </si>
  <si>
    <t>845983c13b327ab75d215ce6f8e7ba6dad3fa485b6b4908296fc1dcae74b8da1</t>
  </si>
  <si>
    <t>2b93f1410d705857ff7cac8df367cc95acaf7e8340f6fc0721b406a36c9d74f0</t>
  </si>
  <si>
    <t>96f71240191f43f743a800739c2c6853a27d2d3ec3ff4fe19c2e48c0a3400634</t>
  </si>
  <si>
    <t>dd504aea15cfca5d2d3f40f993be77d936cd31769748bf86e166afbe1f128914</t>
  </si>
  <si>
    <t>7e052d3bb31f949ed6ec547cae56f0ddeb3bcdae2efa869f51cd30edad360a32</t>
  </si>
  <si>
    <t>3b088c350bb0de5767568c7f33dacb5f0bd91172ebe498a14a09c10608b0a4f9</t>
  </si>
  <si>
    <t>a07bcff97ce186355b31877f6bca0a219d2a02ed5502c9e1aae2667262667433</t>
  </si>
  <si>
    <t>945e580270d9025cfb03d93d0fb92393b1b32767993c96396aca6451e9d72c8b</t>
  </si>
  <si>
    <t>f892e9260b15a2c61f3e2113453b2821123bde91de18fdb0c4cc25b354c0e776</t>
  </si>
  <si>
    <t>97e25ee4c32651d967042be3b1be8d9749ccd0e6502f5267965816299020a402</t>
  </si>
  <si>
    <t>28cfceff50434b631e21a28166ddeed0e91ed5a8ba0a1cbc3202af517a069b37</t>
  </si>
  <si>
    <t>70ea506038907a758c9b5044c3e4994e2d315bd9572abba847c27044666bb23d</t>
  </si>
  <si>
    <t>f3027fa0ee03df30646a148f4643c90eae7cd096d6978cb385d2ed846184c0bb</t>
  </si>
  <si>
    <t>ad0a054b409cb69cb3543b556b2f7574989ef8e8691fd02ecf1f11596535ccd0</t>
  </si>
  <si>
    <t>a5213b8b2bbc80dcfba2d5d9c4eeecef4ed62ccac5fc489839eff0323929a65f</t>
  </si>
  <si>
    <t>b74fca6aa913fc4557b8144a91e82f229ac10f12570a4d67b76dd2b36f40bfac</t>
  </si>
  <si>
    <t>0b8df389ea0aa953aa0d69722cef1ac6a9e81df1fc70f0c8d867760886d041f9</t>
  </si>
  <si>
    <t>0a7a9de46325393dfb0499249db2a5b504a8f53ca25c1ac7e5f313c383c7d0c8</t>
  </si>
  <si>
    <t>1548d74147f84dd6f0845ac7743dfb4d635f8496aad9053763aa7d05e7b4b94e</t>
  </si>
  <si>
    <t>fc988d03f5b461af511efb8fa1127fede6a8a5a9f3cb84c91776dcdaffab6e5a</t>
  </si>
  <si>
    <t>263d2546f9df084683711ad6f2b598bce2c40804886d76559e0ea83dd4ce5a90</t>
  </si>
  <si>
    <t>a40fcdd5869b05287f1ff1ce98d214419df330b1dfc66a4ddb24b43e5d97faa4</t>
  </si>
  <si>
    <t>a3063fa43fab281e0c2fb1a08fdc18df71783eba2837fe012245784c360cf73f</t>
  </si>
  <si>
    <t>4ecb1b8b92b40f0cf90ab9fb42191d648520a398e3d5c7c44195b6773147e4d9</t>
  </si>
  <si>
    <t>6c79e1ff52c99f20a5d85eba0915f6e369ed887a2b48119c61f489632617e2fb</t>
  </si>
  <si>
    <t>9d08dc86e72009108bbcb47702b2a3b438e2eea3e1b62407c78aa790a879645f</t>
  </si>
  <si>
    <t>758c03c518f67c4de3a38bef433e47f26c35ba9ea69804f97086a75db6eff074</t>
  </si>
  <si>
    <t>d0711efbade136acc0b78db0a742597fe6cac01cd58bba49dc35fa5603badf79</t>
  </si>
  <si>
    <t>d00531ea7cfebcf3a78ea51f306876181b91927a098bedd52bebdfa999d5c3aa</t>
  </si>
  <si>
    <t>5db903e43b70d3679e65ae044368f32f2dddb59a5477a478dbd4260aa32d670f</t>
  </si>
  <si>
    <t>85211da02562de79b22e83b7966c8375ff4dd9b23c055584aec26222935fa66f</t>
  </si>
  <si>
    <t>138613621b849b8467f859ee1f1c7a1a113539d3785a8b223bc8ff48ab68ed33</t>
  </si>
  <si>
    <t>3cd25f87c7db75387b9be08c4bd78a90c6eb5b16c53715470ad023e611aa1488</t>
  </si>
  <si>
    <t>bf861aaa4362d999752faef1b7e6c2ec832df96c71deabb4fb524494dc2c8d63</t>
  </si>
  <si>
    <t>d61204f8d5067d24d95f6f96321c18c2b58226dda9c3c52129fcea2e8edbd514</t>
  </si>
  <si>
    <t>f8a5ccba3788452ff07902f88897ffee914ab14b7ddff65a8edd7c813e7b538e</t>
  </si>
  <si>
    <t>665556a8f915459d3558be808c0791751e31fcedcc869802863f321079075a1b</t>
  </si>
  <si>
    <t>ee68148df40a9bfe40962f814064ce939f7f2a40963db82d1ea68b533adefea6</t>
  </si>
  <si>
    <t>96126d3c249551d0c2137e24d1ec780f77975fd56166be82d8af26e9673349ee</t>
  </si>
  <si>
    <t>0943f9c1f534072eb1f186c09cafe1b29daca634853d719f8882acde4b5a5fa8</t>
  </si>
  <si>
    <t>cfe8c0c2def0fa911cb318d5ae7e1723e4d9cf5b3f63b2ccd1230881af686aa7</t>
  </si>
  <si>
    <t>74edae748cc35ebc25377722a2e61cfbdbe2d5329bed4850f51bfbac896ebc3d</t>
  </si>
  <si>
    <t>776937630c21c55a84eb76b9b168a473fa27029ea125c9ba5d91384eebf1f47e</t>
  </si>
  <si>
    <t>49b66435314484747a5cebaec79f8c937236044f3316baf4fa13dfb0401d951c</t>
  </si>
  <si>
    <t>9a08cc4d58a40a91db6f7187cb3e0488500607955e85be73f879118ef036b90a</t>
  </si>
  <si>
    <t>c3989fe8d87e973613dea08698990fb979af5b5663f1d69c3dd1f5c4d4c59971</t>
  </si>
  <si>
    <t>ecc82961e81296e5d88a891ad1194f79dd28598a688a8352d7b374f36f199162</t>
  </si>
  <si>
    <t>1aa5187720ea7aafa96eba3a43658fad0c93b66ee556ac98e2acf4964cf10da8</t>
  </si>
  <si>
    <t>1088a039ef637bdd843caa2d1044eef722aaa9b6acfcc8cde0b9c8f8f6ce08a1</t>
  </si>
  <si>
    <t>21283e73a788d8914299a55ba60538dabaadd1ed55ba216451d896a7386484ba</t>
  </si>
  <si>
    <t>7f9ce1c98c8aa428b33a89777520b3676412ad3caabbaaa810992623987345b7</t>
  </si>
  <si>
    <t>df28089d1f24b1a265dc897e15297893347490e072ea95a2865753ba02ae9f9f</t>
  </si>
  <si>
    <t>OAXACA DE JUAREZ</t>
  </si>
  <si>
    <t>0b0bc60e8e4d0f204078a9248a739fbd1b3c767989d61403312db31d4f392283</t>
  </si>
  <si>
    <t>bddf1e1df47b881704c8b76a6bb738487a2b0d3a1f999a904292c2fcb42a0c96</t>
  </si>
  <si>
    <t>ac2bd647fcaa620e7fdd1c8cdd8cd1b4f27dd7084a0c6a3317fcac531bb510cf</t>
  </si>
  <si>
    <t>da565b0c3adfa4f44fc34463803b89e55f2c5877a92088057ddd969a60c9f864</t>
  </si>
  <si>
    <t>b9d4ff629a285b4cb7cdd93417be9c22a0ffee8fcd142555cd2fa3033a3b8896</t>
  </si>
  <si>
    <t>619c0a391aac217aefa0ee3795ab54fcf72095ca63458ed4cacba02e432bdf6b</t>
  </si>
  <si>
    <t>ab1810c77370b9455f3caafe106d0a9ba2736d3598e8856852d5ebc03aaac97c</t>
  </si>
  <si>
    <t>ffa1d31817e5038d099d6e04142d1cfac8869480f2c541f365f5715d8c9c9153</t>
  </si>
  <si>
    <t>a3ff3f48761fcd57ffd5d3d1054729c3567c48837803c09d6a6c6048501c6bee</t>
  </si>
  <si>
    <t>de6ef8af6b1d12593d00b231a92e4ee53542eb56ae5a5b9d790ac0a61897e4e4</t>
  </si>
  <si>
    <t>dd741317d99288a7f5b8f6fa69bfeb5cb6f544c348dce72ff9cac22bd1066a23</t>
  </si>
  <si>
    <t>08a41244debd1334bda10ca16717234ccdffc424d5b702968c766d28cefdfe37</t>
  </si>
  <si>
    <t>c2f5d808c8186e82ce6708c9a8d9aa5695bca26db974ff0fb3e2de284a793c26</t>
  </si>
  <si>
    <t>c38746a12fa90c07954e53c59d385e777092c481f299b68cd4e4c5b3998c5a29</t>
  </si>
  <si>
    <t>4f22fb0c473be42936791cc8eb1adef47e69e441487209b3bffcdb64891ee0ff</t>
  </si>
  <si>
    <t>39f4458f10eb1ed40cfff9615147021e34551f0941aabcb48ed1ed684899c175</t>
  </si>
  <si>
    <t>eec5260de6cb9b856848c2b4e3a48f3e603856052d0313f01c2b8c39f3b7c195</t>
  </si>
  <si>
    <t>f635c85829419f2c6bfc5da65c087133c8ddd655c985241b34836fccef8589bb</t>
  </si>
  <si>
    <t>1d51b01c13e48a44936a393becc9ddad4b31beb9e7b71fab2656c1c2f124842e</t>
  </si>
  <si>
    <t>99d69671b66eae9678b9bcf2e2574c2b3f7dcec38c444bf5a8908cbbf646bde8</t>
  </si>
  <si>
    <t>bf597bd4df58f4909e7e0d53f24872b158110fbad9d5b4804294874a45e7c055</t>
  </si>
  <si>
    <t>687e924297bc8fb6286ec44a99374c50d6d50d9ded09107068e97394e41180c2</t>
  </si>
  <si>
    <t>60f98baba87cbd3587681fbd0b8225aafd9db73b91a5ac69f8882c605c2e9880</t>
  </si>
  <si>
    <t>920b34bfd94ee257295e82d09e1dc048bdefc808e1c85e7920a0ba1ee0cac7c2</t>
  </si>
  <si>
    <t>b0b11eb56abde2bd8a9718688fe283e1f53807d29ed8d55e6330e07eaf9cfff5</t>
  </si>
  <si>
    <t>44fccfc45b422991d68dca19fd0e6f785af26d91b5e8bec4f68a53fcd9c015e0</t>
  </si>
  <si>
    <t>62e77f384dd3456b60ed56d868c1d467b059756aebce993cc8a2c5a3346d44ff</t>
  </si>
  <si>
    <t>95d3212b7ce835fd2b629e51545c07fccc19ad3af8f714b7df10dd727b6eb8fa</t>
  </si>
  <si>
    <t>fe512e7b6f079b51afc42313feda90f4a304ea422183f6e2fd10ca1e99c10e8d</t>
  </si>
  <si>
    <t>ab14c42773960d26dd4531d97b17679a00bd20f94cd8bff6f569a5a4ce4cf2e0</t>
  </si>
  <si>
    <t>ff434022a0e31164f53f8bfa197f9916606cb5d5cce0b3177ba6ad45758225c8</t>
  </si>
  <si>
    <t>ea34bfcb8491e0a5ed4f0d90eeca2f72924e796f5114732bd77225b47eec4690</t>
  </si>
  <si>
    <t>27b6855a4f8dca2f2420f12470d6739e66e56447c2baaacccf3e313343212e69</t>
  </si>
  <si>
    <t>4c0fe72dba587e96ba6251e9824a415a885fb80de0de443d3c8db9929bc2aa04</t>
  </si>
  <si>
    <t>aca9d967e17d5378103d02f34ce3e9cd612de63e54984617b2e85e96631dd073</t>
  </si>
  <si>
    <t>f16e39258052df23cc4f3fc5e737b48680b63e9654924fe0861cc69241cb12e2</t>
  </si>
  <si>
    <t>d086ff6b4067ddece97a8b555352380aefe80c36a46e484f265f799ae1e0b747</t>
  </si>
  <si>
    <t>858fafa77e48f555d99edf8f01058ec656c588c5d5fd51ab5f4a37510a1b8dbd</t>
  </si>
  <si>
    <t>14e48c67791ee51cc5470f84c57d9aa887d5a7374d0d37c711837970b7985294</t>
  </si>
  <si>
    <t>56c8afe00eebf11d53202dac6d56f4a8cdb29421c5591f472c8b50f1fd96a0dd</t>
  </si>
  <si>
    <t>22de7e914a68948088f0a85dbe80f2f676d85a2746d479cabbc9374a2b4f0d73</t>
  </si>
  <si>
    <t>42a48a6650262912ebcbafe492d6a508f195026ff20adb9ff0ce41a5d5ef6276</t>
  </si>
  <si>
    <t>063105254ffaeea706d102795181fac437efc8c9a47dca02c8045a22583864da</t>
  </si>
  <si>
    <t>66215eedfd3dfff56e44650bf9d5b4544bd3ba3857b6e0f5bf2aaae833dde5a1</t>
  </si>
  <si>
    <t>3675ecfd0fbfbbc65b5a2b9f581def0311d3ae919243dddc159b4408babe61b5</t>
  </si>
  <si>
    <t>ac46be390bdbc083ed308c452581ab1bbf9f01963f088d5bee6ca5a618c9218a</t>
  </si>
  <si>
    <t>743f5c7ee794ce99607c577693e1554512c7bf469baf0170aa42fbaf724af47c</t>
  </si>
  <si>
    <t>ad472d78463309570496ccaf6c45aa18795449e782fa6e8828b20a3ce4ede1fe</t>
  </si>
  <si>
    <t>870203a6594606b8edff5b5f46bb9cdfd04057ab5812a8740013e4a7a7037b41</t>
  </si>
  <si>
    <t>f0c2e89448485f20a39f1bdc2c04ff8c283481e467a0a5d445749a6b5016350b</t>
  </si>
  <si>
    <t>d15988fd91c0ec397a8c767d6781085ecc770e9931059f66d8f82f72eac9296c</t>
  </si>
  <si>
    <t>4b171f161c1972756ef4a2c9a2140f7ef6c5d1306e023a2d596b9a7982ac371a</t>
  </si>
  <si>
    <t>c0c8a91ce0a831d0828fa01183781fc025f8e55915430e7ed9f72f1e7ce7b8a2</t>
  </si>
  <si>
    <t>3b45e554d7d4a2ff958e959393b60370b2167cd2775dcf4a1ecf1a508aba1d87</t>
  </si>
  <si>
    <t>19042e38cdd132d11182a7ff1cc20a38822292872c8d749a7f25343c8e8f2903</t>
  </si>
  <si>
    <t>023cb4d26fc2488b87ef26b0e7cffebfe417783497832fc1af0f48207e120b65</t>
  </si>
  <si>
    <t>d450baf074b6f1badba4006ea0a760b78303bf62b0338beb540b62358d087743</t>
  </si>
  <si>
    <t>1a2e072a14425525d990d7e2f47bdb3037bbf981bb0253552f809d53c64d68a8</t>
  </si>
  <si>
    <t>2362febf8c0603a248bf3e4cd4d4490fdf5656b0c62bd60006b8bb0b6ed42bfc</t>
  </si>
  <si>
    <t>23c80702d3b3c731a519f92ca2b93a09c7db4593d3f6902d58225247c155a0d5</t>
  </si>
  <si>
    <t>e2da1c27c1df3140d03eb0c83f9c96071c608651528f5c1af6f9d18e27ffe2d8</t>
  </si>
  <si>
    <t>d69aaf9ba39baef71f5fe40b0c0193d0d863d9e9721b57820979e1ebd99ea949</t>
  </si>
  <si>
    <t>6eb49855fc8bf49ee716f562aef3addfe1a4bfda46173f6e7e8bbb94e78ebfc9</t>
  </si>
  <si>
    <t>a7f54a2d4bc089d60aabcad470cec9267d87483780443cf57d18bd2df1f1b433</t>
  </si>
  <si>
    <t>be4ecdddf205a19dfde217cf8c68416f24b797ecaee7f09695a111aa18922122</t>
  </si>
  <si>
    <t>e1dbb3cc1b7ad19aa141432af806cef565061d136df5f90bb80e751744277fa5</t>
  </si>
  <si>
    <t>1a6e1228c8da193f6e6cc1daf6dea8bbb8ee6d1d73277fa8120fa6bcc3b0472a</t>
  </si>
  <si>
    <t>0a0896a7c59c93cb9d5b149f4d451a67560ef5f96298ca19f88df5e9384c6870</t>
  </si>
  <si>
    <t>0c960d02eadb5abd4ab6fb513a7db1d469954dce40ace3d2fe11ca25072273e9</t>
  </si>
  <si>
    <t>b868ee7cb800783cd6800f47ecdac8e7f7d2ecb977ec70887fc15652a749d0a9</t>
  </si>
  <si>
    <t>50c1a2c8d80c08e3c8e48db94ab0c91c6ceb43a6f5b74881fea9f83059307210</t>
  </si>
  <si>
    <t>c2589b12266ac9f9d4a2e6df6a6ddf3c7bf042a4a6466c682b485e977ce1a520</t>
  </si>
  <si>
    <t>730841437aa2433dfbe66fc282ee217ac6a094b4cecd558cd74e9612279e34af</t>
  </si>
  <si>
    <t>39ab9ef62aba3bcb2ae88aa0dcfa2a3e5dd4df63d04824c4c2ea7409fec4cf3a</t>
  </si>
  <si>
    <t>a005428f46ec8b2698651f3ae6c785ca334a186271d0d18824fdec0fcfccc6f1</t>
  </si>
  <si>
    <t>505c5580e02538ac9238efe3527c9f60466f84ab513b184a9d13915d59d331eb</t>
  </si>
  <si>
    <t>48e619c24e59996a13be659e6883ec608d541ee19cabf3e04334f0f4f4bc4fc2</t>
  </si>
  <si>
    <t>8c44e2f042308d180a98852961f01a826405c7b65f92bd0602c017624f7d72df</t>
  </si>
  <si>
    <t>478a512587134ee736500ec1b7c8c90a58d6522d414992baa9397493a3726fa2</t>
  </si>
  <si>
    <t>f39063e8fd0d50da3340ab5b98d1a3ab4b2234118d8cdf9fe9661bfa9d38bebd</t>
  </si>
  <si>
    <t>052db60a5c99aea1ea1d1c4daad5c936397f4cded52f3d2ba57bcf27175aefeb</t>
  </si>
  <si>
    <t>6e4ad518ad1f232cf66077a01917db780a5bec67654ce54c90b7cdcbf5df0906</t>
  </si>
  <si>
    <t>a6ec136488bf7df2fa91b088ef3d9cd2c9f44447a930331748987b871d2815f6</t>
  </si>
  <si>
    <t>d52f4d5072cc0a0c63fe27d667a6fdd0810435934e2258c049161128d8f156d8</t>
  </si>
  <si>
    <t>b0f4b873757a7a97bef76baf8352a22e19ea20b4f828b41e6f158a4a40b57b8c</t>
  </si>
  <si>
    <t>0babbab1f05e185e405d0d0283c602967b682b00a2af46bfb2bfb3c6f36ce125</t>
  </si>
  <si>
    <t>e09741fcf2dd24c23f104f27a06d9053aad10346837aaccb9b8945cfedb46435</t>
  </si>
  <si>
    <t>8f8c16282ce36c2b8f54183a55c94e3c5c731bc3eb664ae0a2ef2dc1bb624104</t>
  </si>
  <si>
    <t>f7562df96726dfc848a511da68da94672f431f12e2d225a485905939684e26b1</t>
  </si>
  <si>
    <t>451c074623734d4e65ef35831e4321f87f9a3095fc3c3ba095474d826d4143d4</t>
  </si>
  <si>
    <t>946349c2a23205257756d65625566dc8e51777412558c6dedbd1952d1eff0742</t>
  </si>
  <si>
    <t>df67a0cc86785dd34df9fff3cf76d8cd5b2b4c5282ec8a31fcc2309d10b4d356</t>
  </si>
  <si>
    <t>32c3bdd5713fde5df6468cd127c0d29e02ce81ed7318cb77b55b3174ce24ecc6</t>
  </si>
  <si>
    <t>fedeb4e5e9fe92991bcdcd08d7ba34fb1beeb4a582177a1f67ab73915f960456</t>
  </si>
  <si>
    <t>2030a6bbbe839d2933a378195efe2ed52f8517fe67a2b0d759aa5d5e3776ffdf</t>
  </si>
  <si>
    <t>b5aa4c057cc9c639253ebde2d9445de815fc50ae6f0da8c48004f1d5e9e3528b</t>
  </si>
  <si>
    <t>014b139a2603e801ccfc107908ed169632d64de8f0cdfefd3875f8ec0fc2f2bc</t>
  </si>
  <si>
    <t>5da94ccb84dfa0f46717c84706ba9559fd6ba97a25b4255e4059773aa3cd6bc2</t>
  </si>
  <si>
    <t>7fca6f3e142837be14fcb35b8d11979c9124ea4a111f710275ffbe43677726d9</t>
  </si>
  <si>
    <t>ba5e5fa244c3733583d4087d318d46e0c8d24c3709146458ce6d53be66bdaace</t>
  </si>
  <si>
    <t>df14c3c050edbd84522870e25b6e5a5d982984ec80e4c06119a5c7c3b1e46b6a</t>
  </si>
  <si>
    <t>f88fd5cd0fb3e436807a7315a65340730d8f0da09ea3c483a3457bd8cfa94860</t>
  </si>
  <si>
    <t>b7cac8757502d44be8800bf52d37885459061edeb07381cd33e8148cae85a3aa</t>
  </si>
  <si>
    <t>6ae6ea992c483b9f441da3e4c96a86c17383f6789194e5e225f5d1f6e9c7f73a</t>
  </si>
  <si>
    <t>c885db3f82d206b538bfb4f8cb66626774f0fbac04f2c9520274fa2820125ee6</t>
  </si>
  <si>
    <t>87216584d6ecd98e2c0c8a416c9722ac8b5340d5d72abccdcf6c781731fc9020</t>
  </si>
  <si>
    <t>b27f4f048587abe22827347b098d78c7437e20aae23eae3e4135dd437a1392ce</t>
  </si>
  <si>
    <t>8a9d31f4c1848e7d38d4f6b3ba0bb9fb505830cca89f3a2fb266bf866ed2c92f</t>
  </si>
  <si>
    <t>af17df1e8c9422c2c6ee86fec57b5edf8a95c6532752267637a1a8ee1a3ab71e</t>
  </si>
  <si>
    <t>778cdb8a88fd49babd9f26af61914f6658b3e7014c799c2b49be93e16b30cd29</t>
  </si>
  <si>
    <t>45c8d50fe60068ffe43aa61b347d70f9fb635f7ea78dab4909103fbe940cee2a</t>
  </si>
  <si>
    <t>976f90e98b93fee2d7b408bf65b31c84e610fb5dac55c9316113fb9369b43dd7</t>
  </si>
  <si>
    <t>00b0b22313a25bfa9cb117f4a9fb69790eb456109a0d8d5cfb347ca69b1edaf0</t>
  </si>
  <si>
    <t>a1f27a3276cd49bf35d2babdcecf4a34e231f6c8a9e6da467bc6d2d58e34d1d1</t>
  </si>
  <si>
    <t>746ff44201cf2862dc7e7a4746150956fc6cbe3350800f92a4ca832ace70dd30</t>
  </si>
  <si>
    <t>90e33905d7da27fe23fae14c9e53657196e5f071adb422cd9cf2304e547f9bb7</t>
  </si>
  <si>
    <t>0646f0ab7bcc4b5b631b111d1e66f813300062f7737085152bbaf0eee568f770</t>
  </si>
  <si>
    <t>c92d671e2452f0a48a14190722e998927609a35ce10dd05a88992a50200cccfb</t>
  </si>
  <si>
    <t>05cc09e5ea9888039ab1981f3acb8eb6de4eef7a4f8a054e0067c074bd936bf0</t>
  </si>
  <si>
    <t>eedb823fc53568a1429bbaf45bf55d94bf2b4b61afae94abf6d713ce10cf34eb</t>
  </si>
  <si>
    <t>6c16abeb225ab4032c0e03e927c44b3f5c14df2f3df2abab47fa43e6ad7b11d6</t>
  </si>
  <si>
    <t>cefbdd091f02f59635207a79b53d8afabc5c43d01700aa3b7710a10d2bcaa06a</t>
  </si>
  <si>
    <t>d25323713ec4ace744fff8dd1eb06d9a261a1a26b0ea6fd5ca6f8075589597fd</t>
  </si>
  <si>
    <t>5a7fc1dfe919a0ff903401ea41e31414bbf63579b116d319fe995d2111594e9d</t>
  </si>
  <si>
    <t>18ef784d35ce85d78f39d63f85b6ba891646704421333c24f6b04107b3430972</t>
  </si>
  <si>
    <t>eb74be919484ba56dd9611b94eace2ff1cf605ffb22bc87d4f935387c07cadf9</t>
  </si>
  <si>
    <t>758a4db01958d85615f76f35b2786f6f977f61d41c9ef2535ca56ef0486a901c</t>
  </si>
  <si>
    <t>d09a42827a99a8dac83ee45320773bd09ffd55972d9a225cb186eb11f82191d7</t>
  </si>
  <si>
    <t>bfde7658a407bf2c8610afbe8eb36a7d25ba552f0634612daad35fd03c3b1805</t>
  </si>
  <si>
    <t>4c5634db3e07af09998a7fc688770e2244d96c38aad08c1dc2a3d2c22c21e28f</t>
  </si>
  <si>
    <t>dbcc76db87071fc13f9301381c6ca38b3b0bd91968d32cc84c682243fafb096a</t>
  </si>
  <si>
    <t>9c47f9c183ca13c9af8cf62d3953c58953ef89575ecab66de7bcba96d1e40825</t>
  </si>
  <si>
    <t>f7d3f8855ad49a014520eb175bca87154576a3b7198a336ec369a076b18141e7</t>
  </si>
  <si>
    <t>38555afe2e7e8a8490f66ef0b42a38a3219ada2384f8c2e1303019c2401e3cb6</t>
  </si>
  <si>
    <t>69e147e0a9ce3e0b730d9c13f6259a1c596a5b9fe3abe8580a294e2e4c4ed0f3</t>
  </si>
  <si>
    <t>1efe3bb798c6f9d414c2c3a7534c23d042cc1f67e208fda2e4f677610a449da7</t>
  </si>
  <si>
    <t>d73f0ff1e1948f5686de10bdf333bd81099b4271076f66eecd16ee1692e86ffa</t>
  </si>
  <si>
    <t>c1763d4e6803e0bd50b7c43d419fffbf1e2f3b2b6b4b6ba0d833ee8e7195f208</t>
  </si>
  <si>
    <t>27c5b5820d83667918931351836492e91ac0437c0c3cffa1c47d77aed9c793df</t>
  </si>
  <si>
    <t>155149dd4377079f8e6c04b90d4522298ee3b609705b5f939d9964a2c7a4eb3b</t>
  </si>
  <si>
    <t>4a1f7d33a56ae573857c7f927e2bee15a42f6417e62923a3f53c3efc6b26fb99</t>
  </si>
  <si>
    <t>481b18f994196128e7cf9ac19f0eb55c5dafdb38a071e7de7b7f40e89d5787a7</t>
  </si>
  <si>
    <t>b7023ef8ca6ac56170b5fad8f3c7861964936d9afb451803d06b3be8fdfc3532</t>
  </si>
  <si>
    <t>b04b238e81a7d8da4240e9a041c657924d323b86c069076a5e9f6303d5d37913</t>
  </si>
  <si>
    <t>c4f4cf12be5f100de2c3e322d1f34e2a82e832a1519977fd379319296ca9a5d8</t>
  </si>
  <si>
    <t>03e5349b09ccc859a49e2a27299cbdc29fffccd53674457880ea2ccc8492b6b0</t>
  </si>
  <si>
    <t>9fea7fef64a8ee20241dbc796232911b14e9cab4608f849eb86a5fd9d6e12df9</t>
  </si>
  <si>
    <t>0094404b6cd1add0b23be9b054c27600ce4e37ee548d727e4e96df106befa387</t>
  </si>
  <si>
    <t>c4208bd3412771a4ba823040adcd65b1979a5060caf8433c98c55aa2df8a4da8</t>
  </si>
  <si>
    <t>8c3152a30af22be393322f32281ac9ec68ca9de335af8bd19fb50fe3924542fa</t>
  </si>
  <si>
    <t>e6f63c98feb135d5f55cd75752a4319ea7d7489e586de048fe21a94ea1490c2e</t>
  </si>
  <si>
    <t>efff609c215d7dc1c362dc05898dbc45ba0a9edbc75877575ac86846f5ab89a0</t>
  </si>
  <si>
    <t>6869ec904350057cab5a7c503fbd1dc94030a1bfd44621bf908edba9512b99d5</t>
  </si>
  <si>
    <t>79804860090b65d2266fa40eca2980c3a8a57af6aba86c79881d2690fc55a062</t>
  </si>
  <si>
    <t>779a8a71578c60b89370eb5c30ca1ddf0b55735d8c9bff248687be8afb5b985e</t>
  </si>
  <si>
    <t>fbaf11bb89c6e2c4c33df597111f840daa3c9717d67d3f2468da5157bed36ceb</t>
  </si>
  <si>
    <t>9b99d4aea5ab9e1d98cf66547ed21b01b603bd290bcb9821b219eaf3388aa35a</t>
  </si>
  <si>
    <t>f9babade280fa86c984199fe0c1c1062d272a3cb753149d0963b851eb87b86ea</t>
  </si>
  <si>
    <t>943ea96cf34430cf878e55aa886b3f5b29b385f84909309b984ca069ab6c4f36</t>
  </si>
  <si>
    <t>94cc185849dab1619d49cd2884daccc0963f66a7badbf883d8dfaaafc9fadad8</t>
  </si>
  <si>
    <t>f74b4b1041b72b4d4513a0b3bfcdab02795a3eb876bb5bf116aa15fa14b15db8</t>
  </si>
  <si>
    <t>e29e2f2e04fbc174e2cff76dcb56deb5e41605c688a919aeb17ef42faf010bb5</t>
  </si>
  <si>
    <t>aee5552f795f04dbc14725f1eb1ab5bd96c4bf9074057b6210491aef9e10a284</t>
  </si>
  <si>
    <t>97e778840e437fbd5369522b54545ac818da0dcb4505f595f8053aa683c7366b</t>
  </si>
  <si>
    <t>a138bb4c732fa8a5bf57b328e1df27ed4840cfc4bd79d68d7c77f86b6cf0bbbd</t>
  </si>
  <si>
    <t>b2e444e0bc2f406950b2cccb0f1cffddc1b2f16fdc5fdda1a41cf9d6305b8800</t>
  </si>
  <si>
    <t>6e0f3972faf2bc7f2b3630e1165a5bed81db3f46be486e926f2bb33ae4ee2f5a</t>
  </si>
  <si>
    <t>8216acb86b2530b53e85af6d70c4bd21e4393d18bcecbe496e3679f6c7478269</t>
  </si>
  <si>
    <t>e8cc746543e7b0e725b928d66ed89594faa604f5d096343549f3f56bf96e43a9</t>
  </si>
  <si>
    <t>c16ff508417d1616ee92a090a8c0de3258f85296041ff24451adbbfa0d5ae9a6</t>
  </si>
  <si>
    <t>aa2cf66e46152bb976d8d9379863de07cf067b10bc8a570bb38ddb249c1b5776</t>
  </si>
  <si>
    <t>53163295d67d3b7add94aab43109da890c339d7c36befc5141c11e1276d873f7</t>
  </si>
  <si>
    <t>db44ba782fdb5d781c5c7af44df22f58a828c63b5da08e95dc481d4dfd5781b0</t>
  </si>
  <si>
    <t>6fae82ff8436078ecd8ec28595bf857bf72a823f938a5b112e4f32b5cda68d82</t>
  </si>
  <si>
    <t>3ebcab940619eea9aafbf566673866d0b11d832530f36378bfa0a0d9f696c7db</t>
  </si>
  <si>
    <t>d5132c0a6c7c26977d3efedd2bee493f0aabcc7adc067584219adb5269799218</t>
  </si>
  <si>
    <t>f8af01ce4cb46c0783408a33907f66537e0a9de870cd26f34c0c17371103bb44</t>
  </si>
  <si>
    <t>aed72583f646720d35ce9d5738d03541755b262d48a5af7361b891a3d2d3b92c</t>
  </si>
  <si>
    <t>ed68e1bebbae9097fef733c5b8ea55526c6b8a62db7e9d6b8f011d08c05e0212</t>
  </si>
  <si>
    <t>c2953fe448ece83d13907f725880baa59687c66f4b2bc17de8c7bfe182cb1af1</t>
  </si>
  <si>
    <t>fd8970ea2abe696afe2f37a18145eaf4c2d33bbdc50c670834bab98c9b5826dd</t>
  </si>
  <si>
    <t>3d88e90529288f2ffee6c41c708680bb8a228ac04ce1e26c36d360a064437af0</t>
  </si>
  <si>
    <t>0d556a60cc99bdaf849d4bd73a6d5390f5bd000b165a3ce952f5fda649531e76</t>
  </si>
  <si>
    <t>4807adcc542244fea5ec3cb1dbef2adffb54cde4a8644a2f5e36d2aea7f86a18</t>
  </si>
  <si>
    <t>f45a0bd12f68c3b875a4f56b003dcece55af1a218415b51e36f626b8bd7d6937</t>
  </si>
  <si>
    <t>1a38fa61269c2a5d0e5e4d8b3081107cfdef23f6dafd181f7a521ee1667f1066</t>
  </si>
  <si>
    <t>4f29ffa7782bb46ec923e09996bdae5c27a6c8cd09c05883e8c99dbe76de4bfb</t>
  </si>
  <si>
    <t>c0e75eb4551966a8c94a3e4411f0b1c94c9c3ba98ba5561ed79e82f313aca85d</t>
  </si>
  <si>
    <t>7918679f7db2a0aa8e9fd490260c11da2b57bd6f4c78899de22913f8d220314a</t>
  </si>
  <si>
    <t>5d7b4f3b7a61cef38442f13783dc0d306877c94862dbbda1802acc546fe11a4b</t>
  </si>
  <si>
    <t>952f8b88e2e810b93bf8883f7700367c0581b530b2db2832d3ecd4c920dc357d</t>
  </si>
  <si>
    <t>ff0f615fe58971234afd39770aeac21b2cc4cb462d2f11abb939c77c255f918b</t>
  </si>
  <si>
    <t>ec976477272d92a09ddce476d07288463e4556b2f6b888414f9330d2560e7631</t>
  </si>
  <si>
    <t>12d7417eba060d18778dc4326baac673079075fec1537374584eb383347205da</t>
  </si>
  <si>
    <t>ec37fc108fd1a907e2e8d45a65e77c5947f4eef7daf0693b882e07c6fd754385</t>
  </si>
  <si>
    <t>c793f3b6b451d47f3930dfbd9f291637ae0261021d46262c04d510e16666c890</t>
  </si>
  <si>
    <t>b4610f7bf3b02318660568bd8fe43dec47a6d3a13698e9613202f75795d8773a</t>
  </si>
  <si>
    <t>0f2ebc0453e2e03092250e9ce49c07e2c2bcc92a322ff1d3d5936c5091a42fdf</t>
  </si>
  <si>
    <t>fba59aaa908108bf95f3d7682d6dc8bf84b2c312e0d65d237b3e92a54ba56c39</t>
  </si>
  <si>
    <t>0f0ad46154defd9427759623344aad49b8566a843d6d0a32d2d43a868479f0e1</t>
  </si>
  <si>
    <t>f8920812298075f743a6d3e51d96450b6fa48119df1e965fc0e37cdb35534518</t>
  </si>
  <si>
    <t>d34ee39c357ed52abb0e3ed0b78aba31ba38898900bc1fae92b8f5586b5c2213</t>
  </si>
  <si>
    <t>5336cbff07edcffdf3dfccde2b95465610ef27f94b61b69c4e473e549442972c</t>
  </si>
  <si>
    <t>fb53e177c11807af097411dc0da660ebea7afa136373299f4f8326d219d5f868</t>
  </si>
  <si>
    <t>20e630ab10eedd7d1c6369755c6ebfabd6a2dc6bee7c7a8a24d05b898b71dadd</t>
  </si>
  <si>
    <t>b54a3ddd4427768703ab8b219dc138d9548948d90f4e3e36391dbf962f72550c</t>
  </si>
  <si>
    <t>806bb38ff32e011dcb82a2ec3e3c091dba9ee4ae7d3fb9d2cdd3efff5ca0617f</t>
  </si>
  <si>
    <t>7b9168a1f9387509ff3d4137b0ff9907d83ba164e6ebc48461d95d4f68955aa5</t>
  </si>
  <si>
    <t>5217f14ec3dde45cd339a955eb27501c2d70a6c8da4d4ce272ec2117151c7ef5</t>
  </si>
  <si>
    <t>0aa27c3d821ae693477855e735c252871c081590938867435c29dbe38e5ea48a</t>
  </si>
  <si>
    <t>ab71ca85c09e10a038f3293ea8786cee2a6f6180a8a3a6d40e2c8e844dc3cae6</t>
  </si>
  <si>
    <t>83610adecda9e7d8fc929daf2d47aa305bf973c109e4e3726ef6a648e6eeffec</t>
  </si>
  <si>
    <t>add9b25c343e1ef0d98a31a751e0520156250e30d470729fb391de39af63fb80</t>
  </si>
  <si>
    <t>0ed39b01efd026d0780b9a504c59e3b9d1a6dbfb25636f9d43f514f9db42c41f</t>
  </si>
  <si>
    <t>4f44fcd89ad5f7e54ce4baf6071bb3a74ab5b49c6d7d466ffb82072aee833a1d</t>
  </si>
  <si>
    <t>05c18a15f16e00d15685e7aae0028c5a2ecd1403c1926f282b8fb5ad20a731a9</t>
  </si>
  <si>
    <t>f1c399163dd15192e7a6ad266d6e92ff4bcbecdb1323f356e36d6a60dc55192e</t>
  </si>
  <si>
    <t>0ff10a707f1ae62a92bcfb97af266b2114be530d78780e846bea82e6f1422db2</t>
  </si>
  <si>
    <t>247557141f78b7a2c5145368366fa206d8c0af9c626396d4af2c4d60d5b23e8b</t>
  </si>
  <si>
    <t>18379a660b6a0956bff53edf56f9a0d68e203c70e4111c641f311436b2edc836</t>
  </si>
  <si>
    <t>5919ea7862acd805033ca23fb2898bb799788c4c86b28ba59197d06277108330</t>
  </si>
  <si>
    <t>4749ec6f9b276c1149b5400948aa0490b268042da9e78b9e84a97448a0c5f977</t>
  </si>
  <si>
    <t>d944d86ca187fc621f4976c147b389ec57a931684d1314942de8df16c0a6e72e</t>
  </si>
  <si>
    <t>94affa293895c791327b608eff58582bc35a7f71b4b3afd7644f638709c07f37</t>
  </si>
  <si>
    <t>93d1f33ac9fdf13943c1e139fb130c2816fe81147522e772d1b097e6d9b0a260</t>
  </si>
  <si>
    <t>5af2e344d4858843b9c2028b60208fb1565d5b052ea2b83c87f5c0f03e34b6b7</t>
  </si>
  <si>
    <t>343a5fc821d6191f1f51e38e7d34aa339d4264cb6ea64d0130a0e8d95045d84a</t>
  </si>
  <si>
    <t>60f47ff4f92c34e5a9ffeb9d240802562dc3412214e7d0ea3125adab3eca4bba</t>
  </si>
  <si>
    <t>3800951f9ad617d13890d7e18473fbfba2f3dce04e290076eb7bba2adf1d8976</t>
  </si>
  <si>
    <t>eb26f7b80ba6cf95a4411b2b6e3306b8a2fa54fe66f451c2fcb2f15b25b3c3d4</t>
  </si>
  <si>
    <t>6b6596c20ff50c39500b6f2906737564cd92d7b41f08692476e2c3f99730e2a0</t>
  </si>
  <si>
    <t>2cfd678b3fd0b176902cd9facd8265ce8bbcdcc11e377bdfc410ba7153afcf53</t>
  </si>
  <si>
    <t>f152b2444491eeddbe8bb8dda18c2df57c71e559405d12898865896bbe891011</t>
  </si>
  <si>
    <t>e4d4c4d13ce4287ae1406c10c826e5fefe7a0c3cffc1c57c169508527843c09e</t>
  </si>
  <si>
    <t>0840afe0923cd4bc673b897d3160032b56be0b2b4e715724bc86c0cb9a92fab6</t>
  </si>
  <si>
    <t>e55a87fbba44c7f3efbcd2c13c07e491b574d7b4b177f40091c64b620b96df8c</t>
  </si>
  <si>
    <t>d138a42b305f1bdcdd50f59e0924ad36696684bd4e12a198f1d7e1e450b5cab9</t>
  </si>
  <si>
    <t>38069a292d81e79a719c01534c47ee4fffe2948fbc5b0d52245d69234d409620</t>
  </si>
  <si>
    <t>e11c97ffe5cf48d0aa2229308941eba61d06e0926b91c797c8c6b3e990377376</t>
  </si>
  <si>
    <t>38be79be44d7a4caf5bafa22619cffba07ff2d27ea69853d2bf75919119f39d5</t>
  </si>
  <si>
    <t>2ae710e4bf1165b110ecc48ab510018e4a7c560d532d02e49b0dbc8f93e19781</t>
  </si>
  <si>
    <t>cc9d50da95d00dc62de8483138110aa4316ce426274192eb58d5a9703d0863c5</t>
  </si>
  <si>
    <t>ff23cb5ec133be7aeb24b5d78a35106da6f0953607e7609babb7f593a439b500</t>
  </si>
  <si>
    <t>d95db7c9b93b5bb52711eca18071116341242f1734b13f0dbc8e354e7c280254</t>
  </si>
  <si>
    <t>9c05b1eee13acbcbb466b048e4b33825d296871ae4137fb892cacab878db9ab9</t>
  </si>
  <si>
    <t>df1f23ec6e63177ba60744ec0ff75802cae36fe0c66037af33726185e909659f</t>
  </si>
  <si>
    <t>68fab352f438e77c2f8ed02509ac1b21eb83e50168f818a19374704d3177496e</t>
  </si>
  <si>
    <t>ef93c3b94e5d8e9ff6ead629c0fe63a5df2b2ce0c9681d8cbc917f78e8841e96</t>
  </si>
  <si>
    <t>9e8d8ad8fb00995fe812e99c62613cfaae1864cd7f91916633b53421ed1aa1ab</t>
  </si>
  <si>
    <t>1a46e394430819907d3b2b3dd29ba57bab423205ed77bfe80da2ea1c420e6911</t>
  </si>
  <si>
    <t>9a87fb6fc6fd430dc978b82e99ee5a821f1fedd73b943957aac5cfb6daf36101</t>
  </si>
  <si>
    <t>67ffe3c44fb9f74656acaad27f85d2a83471743ad60cf19f16af2155693e1c75</t>
  </si>
  <si>
    <t>5f391877b29f9aca908751ea9d6344a2d2e7dad81ec8c3c0aa3125907b77e907</t>
  </si>
  <si>
    <t>00ffc396dd05df836defea871bd2f834937f0c67f9a2b86ce8db65b9262b1015</t>
  </si>
  <si>
    <t>6a6b4b86e44ec34d16a5ea75454efbbb212dd0f29adf330cea1bd1edd28b67c4</t>
  </si>
  <si>
    <t>bc52c177a7d3cf6daf14de7226248a464eb66c33cddf2f0dafe7b39a00d2a722</t>
  </si>
  <si>
    <t>3da7901484031051dbceb636293c05c82aef28aed287382f3eda7a5fc2077113</t>
  </si>
  <si>
    <t>0b8c8ee2cfb76458b1e3941b90200a79d10274fe9a9ff0151653cc579d343ea7</t>
  </si>
  <si>
    <t>404b6c3408596c4222df8fdaf5c6d9f9da54555565df3edd6f3aca4cbb1a4295</t>
  </si>
  <si>
    <t>8647909d6e9f8ca7772cc7f99cb62f27c9bbc662ca5633a4fa0f9c6b8c5304d2</t>
  </si>
  <si>
    <t>bce947e66da3a40ceef9d99f23d77b8a9e010ef36fff89d4f13373d9775aa8b9</t>
  </si>
  <si>
    <t>5dfe95c6ee11ebec50a0f68e4b227f43845fdb9fcc62e8bc11035fc62ced2b9e</t>
  </si>
  <si>
    <t>bb2f896ee01a40542b7874513eebe7d49e27bfaf816eae3922c0236b71327077</t>
  </si>
  <si>
    <t>ec1f319bbe434fc0062b471ec146b540c0a822d73add8d0df9ab18717915ccd3</t>
  </si>
  <si>
    <t>8e0a2294e1aa3ae1f324a59e084c9b1cfc7aab0a384d956ea798b73bf0ecb32e</t>
  </si>
  <si>
    <t>c8ddf1b16e7cf153ba8feaf8f1fec9c74e7abaae1e396270b903c0466f4009aa</t>
  </si>
  <si>
    <t>450a0e29ec4a530f55590032fa4ab79213ba1a904fdf8dfa8cbe1a62531b2fc4</t>
  </si>
  <si>
    <t>011c91486f6c47ec120c946156b961b21c1490b1f7fde6bf63f1d71c5e94a8f6</t>
  </si>
  <si>
    <t>759570579edb350f46824002604390b6c1d0c8d3d3cb787917cd868ba5b7598f</t>
  </si>
  <si>
    <t>a25d848923f101cb3d2594ec37a6e3ead4c54f34d42f405d43e46af02a2a6ee9</t>
  </si>
  <si>
    <t>7c7126d34c2ae88e403937a75b06113970e7ed4706cee5aaab83a75aaf1e6676</t>
  </si>
  <si>
    <t>df825beab828a9557589c59f0ef303a294e26156357d7be1c4f527814a6546e3</t>
  </si>
  <si>
    <t>7c8722e53d719d1ff477744a6b0fd4fc588a7c47e1d0076da7ac26b49836216b</t>
  </si>
  <si>
    <t>8fd9e7cbed57f0e3fdeaa22c1073948d7107337a209ae453fc8b5c5d65c54914</t>
  </si>
  <si>
    <t>c9b9d2b7d7129b0b6fd662f38a353ab334ec53f8c3cb81a87d9da316c42618d3</t>
  </si>
  <si>
    <t>192363289b38d829d1a429b9eef339a2ec7b2497c426ca9970fd563b8e070273</t>
  </si>
  <si>
    <t>c93714b6023e2e6addb38b47591d12f9c015153a8c8c7c80cc65bbf09a60802f</t>
  </si>
  <si>
    <t>ed3e5dea9f688006fd77449e67141d498e786d91671d95d27e4e2c101639ea56</t>
  </si>
  <si>
    <t>e14276d5585e29497fbfe256a6e45069e4e54a635e70618d75cc427579627716</t>
  </si>
  <si>
    <t>190a9c8241df1c6c6916bdcadf09ebd50322e696946cecfc3bdd8b5911761bc4</t>
  </si>
  <si>
    <t>b4bcf36172b137621372416a512cd1c9d0facac15740afc9bc65c6654837ffc4</t>
  </si>
  <si>
    <t>03946d6232f0cf5aa8f75c3474eb8fdc47d7b4ec932ff0e2f8b34f9fa49962f9</t>
  </si>
  <si>
    <t>a24d865a8e8dd6c6b25925bfcc4caf86d753c89cc0c5884323fb619599fdc960</t>
  </si>
  <si>
    <t>88c9c634cc5c7b406bfcc5db91566e583dc46958725eaac2be2928daceb30c01</t>
  </si>
  <si>
    <t>5c18e6e4838a9701dfd09ac50ebcf578584117b3cc5acb12d1d0207809ed8595</t>
  </si>
  <si>
    <t>d575a86139ed7994cf26d267a0dc11a05daa48aab1288e033cc3bd9f3902a0c5</t>
  </si>
  <si>
    <t>ef2596fc7d47da86f32ca180537bafe602bf3b9465094c3b64d3b14b6e720ac9</t>
  </si>
  <si>
    <t>4e53e00f59e70d83beaa757b17a26a4fac65acace94b08aa46170a5baf1b2fca</t>
  </si>
  <si>
    <t>cddc4a8b6cec74e70349d685d1f459ac27084d576a7df3489017ef52d697d27d</t>
  </si>
  <si>
    <t>1048398f4badac9ce1bf11bc4cbcb826e3d5e01a3e1957bdf17ca8d7464dfd93</t>
  </si>
  <si>
    <t>147dcf4a7972fbf92ecd5f6fe6b4e546557ea4f74f7568d7489dbff69066eb74</t>
  </si>
  <si>
    <t>713fcd679bf6235d4048e374e825583d11a334a2d1d113dba1649f1f6e6e00f2</t>
  </si>
  <si>
    <t>b77004052def36fca03bc62c4c9bb9707402963f18856875bafca72db175178e</t>
  </si>
  <si>
    <t>96c1c5c23f9c153243a61067e590e2f58a494e70e75558fc796aa64ae59486cb</t>
  </si>
  <si>
    <t>1b6a490ff4836c451395e0c5409a013fbffeba9141c0c95d0b894d1a064354b2</t>
  </si>
  <si>
    <t>71d0a5270fe558ca8b143d1eb0d68745dc6d70cbc56667471c18a00c1f58b78b</t>
  </si>
  <si>
    <t>49746c4a96f7771bcd3f4b733f6b6411193499fa7dd11db48aafaabab10a5d4e</t>
  </si>
  <si>
    <t>99fa66d18d8e3bcb4166dfd52c3283445c8e848bd8d2ca19a84cff77bdf4b266</t>
  </si>
  <si>
    <t>58d9a41164bce6b6192f3f87730adca453d3de4ee7e2a707c3d352623c71f9f8</t>
  </si>
  <si>
    <t>35ef99b0ac13409c99820e892d6a82c9c5fe23d7e4599bd50194651304d3a84a</t>
  </si>
  <si>
    <t>664b672624381c4e1ee5a67426c5a880a41aca8d5f2ef422a1b1ae3d7f9207ae</t>
  </si>
  <si>
    <t>b76dde36c454cbef2e25bd73ac5c77510904073161de56b651565b71c68e92c9</t>
  </si>
  <si>
    <t>993ca459bd2cba517cffa3e51980c6c804e6c63bb14c205a79e169dc21a7a9e0</t>
  </si>
  <si>
    <t>90d8913886b98684c1ecef76f9f696d1fd92d7c3eff63316c799783633f7706b</t>
  </si>
  <si>
    <t>d33aeef722773059387dd3b187d08049c8c8d5ffef2eb7c650244476dc96b910</t>
  </si>
  <si>
    <t>f46ca071054c8c314700470d1c5db848cd6134d12322350d92d4e40070ad5daf</t>
  </si>
  <si>
    <t>8f08fe31ba906bd7538c973db7702608d3feafa2e6ac16cb86c3a8175b14f8ea</t>
  </si>
  <si>
    <t>5e5c42c17a8b96fb9fc12a1ab850f197ee40db1b030303a5e3e8a82e9ce998ff</t>
  </si>
  <si>
    <t>ed5c5fbb66d46c41d1c32a88d202dd0faee5dfc24c37b2d98a960ec0fd71cd1e</t>
  </si>
  <si>
    <t>e833e99ae0ae38c02b29f36e9b04e784bd6328c9fef4b983d56d760ab9a6c46e</t>
  </si>
  <si>
    <t>3279c5dd5aea3267aa601f0cab2b8fd4a92a24b11287f47ac20b9bb812d88970</t>
  </si>
  <si>
    <t>eb36b965be613d2c4a3971a82b5c1bff21310d813e109be5bba9783845b92693</t>
  </si>
  <si>
    <t>f86843ba4e587c44f7d9a09c2fd9ec48d279485598f760a1078c8dba7d1a1807</t>
  </si>
  <si>
    <t>1cb50627e1d23a39f7f8bce7571c89423f516f3b81e5cf0c20d28d31ad7661e4</t>
  </si>
  <si>
    <t>a0565f4cb53e1bec7b2eb946767525f4c42b4930652c7a038c43c46940ef1d29</t>
  </si>
  <si>
    <t>03bb2e0e3a8cacc6b610ba0dd0a3d12b7d63f6b61e9654386cda63f672267b50</t>
  </si>
  <si>
    <t>86016777ac8bf1ededfcd8509466e589a7c50debf00e6e10d15d5fec61a9ec85</t>
  </si>
  <si>
    <t>f1f47bae02260c2f1ca4fc33dcf64d8e25a0bc33670c5a61cd4b55443cf9d562</t>
  </si>
  <si>
    <t>6db19cea924cd578c50a2ebc258be8ea3f347ab95ef40599ef529e6be6e61efc</t>
  </si>
  <si>
    <t>7703f365ae3bc76a57c7e6155f7d92d5b0d189c9257fb663d17cae7db0219edc</t>
  </si>
  <si>
    <t>945ef7f8dde0d8bd49d7948b23b915db7c4611d8f53679539cd0d851da6b7e36</t>
  </si>
  <si>
    <t>05c95e952d80364c46b2d8e09f9a9db474f8c515179530f355e8e7a2c5bb3aa7</t>
  </si>
  <si>
    <t>7d2341c4b9254a7a401cabbf00a066325ddc036924e4e17d219517bf1a230810</t>
  </si>
  <si>
    <t>5826388c85ef1d1801632dbebc14cf4390bc1d11628bd480ab6e0f2ebb358e52</t>
  </si>
  <si>
    <t>d82882dc65a6e3d3d97f10e786165c9a9a920925e213b8832004aae08e0ea695</t>
  </si>
  <si>
    <t>be28f28a2aa74d9f115031839ffde05419d3226fa6b4cef9eccbcfef8866b0f3</t>
  </si>
  <si>
    <t>1fe5a09039f132a675eb3e47464647eaab721fe2ba7aeb214d4464490b15c936</t>
  </si>
  <si>
    <t>921ecbac587d3e5b428c14619e3847332c575571b43d0c2fe97f7915a700b55e</t>
  </si>
  <si>
    <t>36df00558b76e58608cd7ac2df3e22fd0d4658e92180a2e494ce60a285f8e608</t>
  </si>
  <si>
    <t>85b710fa0f13f606063c39b5e53e7163060d4091ce51e2494edcfabd95d0222f</t>
  </si>
  <si>
    <t>75acab0f43bc7dcf1c6de3c2766b62e78e0acdd93e278d233c754eca01c38227</t>
  </si>
  <si>
    <t>fc7af594ed073c390e95abe156f3b80df2a6cb28a48f38ae3c2cd0db80737eda</t>
  </si>
  <si>
    <t>06aee5796952e5f168854d52c5d6f80f982688727aa298db96281e1d0175f838</t>
  </si>
  <si>
    <t>6681d86caa8920cc554eb0caf73e611d171d6fced1a0f4819d6480d669131e80</t>
  </si>
  <si>
    <t>0368a1da7bb39648d25b6575c30ccd9f948dfcfbcb69ff0b894c407d94a96877</t>
  </si>
  <si>
    <t>7363c66d8f7b75cdb4473155fea85030c5eacb081198573e7faedb3e33c616d1</t>
  </si>
  <si>
    <t>f960675c65eb9968b8c8aff901711f45144a3b7a89521b0f1a46d54417195d66</t>
  </si>
  <si>
    <t>4a500bb943dee3ff8fe7d70c61cabaf63922ab691d9390957ddfeec89a7ef0ca</t>
  </si>
  <si>
    <t>8374bc498ed9bbc720f19fb1ca8c62742f92b0165c5de1d76e20ded2f728ebbe</t>
  </si>
  <si>
    <t>01d3fbce628823e238d966837c1deacfd611b069dac843224828c3bafc2995d2</t>
  </si>
  <si>
    <t>06064fcebd22160f076b1b3e43e55bdb58a664fa69be192f06d5319a8b1ca767</t>
  </si>
  <si>
    <t>4e3f693a739ebdb11084f08911e45479fb207f56753bee095859ea078a2d1d1b</t>
  </si>
  <si>
    <t>f8bbee88ea1ec0551653048d7ca60f5050415e979ed2df0edf0b1ae91dc0a203</t>
  </si>
  <si>
    <t>1150223ac4be6c9daef20c6634ed3e8b4de214180fa578798357b95eaf6eafb5</t>
  </si>
  <si>
    <t>b61fd52c99fb7fae29fe4306bd0d8d32983c2347ceefd1a744832dae8ac38e80</t>
  </si>
  <si>
    <t>32a09e8536286e1aad98c58a70206f920a7e8647f9b6c7a4b4f6558e33d7fefc</t>
  </si>
  <si>
    <t>1c414436c09e2445b761cbf32f15f5c0963d4b3feb49760fee51b0fc7080ea3f</t>
  </si>
  <si>
    <t>08a7628372b26f52140835a4000910907d7c934795cf70e07979d5de02716e63</t>
  </si>
  <si>
    <t>85988f57cc561fd8a4a1d3291b5fdb66179a5523c497e0479ec92e85f573e058</t>
  </si>
  <si>
    <t>f3d4f92fcae74b7d79614a4caafe4e13639f3c372991d38a2255f60f791a844e</t>
  </si>
  <si>
    <t>c345bd17911375ac85c616e1739a309d1a6e10dc4d2dc4a337c727385ea5b6e0</t>
  </si>
  <si>
    <t>8ead2d0ebdf63df7b035f792bc13f7ac284b71c5221852acfc07de23febb27d0</t>
  </si>
  <si>
    <t>03aa62019982e064e8622208992ba85c6ced9ee896cb9f4246398dfa940de15b</t>
  </si>
  <si>
    <t>0daee9b5ca51eb66f7aa67ea69f1c6efbd3007eddc5471295ed5b00894cba375</t>
  </si>
  <si>
    <t>3f5835bb4787f306f211278058d970f6adf96c6177b5ec8b5f30f785973a39f6</t>
  </si>
  <si>
    <t>6219cde2d9408b4f94751f701bdb339665f6d29aba313cd894daa4410e4e58cf</t>
  </si>
  <si>
    <t>29d901a20b787009570a000146fda5587d1264dc501bf8659003393343c137e6</t>
  </si>
  <si>
    <t>cb4e1d1836d711c34f68f30caaeff0c21119855105939a39dcc43f31da13b3d3</t>
  </si>
  <si>
    <t>f6e2f742e8ed54f3667b165950965cf95bc5d5353f7e0b3b54510232d1d91830</t>
  </si>
  <si>
    <t>4d71bab0f81ad31360bc1a383c6dd5767f527b0a41653da09d39db3c5ed70123</t>
  </si>
  <si>
    <t>f5d829bb0d618eb685ee6241528e98850b298f96f501ebd0b358c6857110ff94</t>
  </si>
  <si>
    <t>fcdf6a356cef95458f67a0e9c33057337322af7e4b9ad60bebbc06822b1637a0</t>
  </si>
  <si>
    <t>3c63d354cc9d1286a52a66e6367937dde99b1ff79f98fc503a9bdcd5afcac318</t>
  </si>
  <si>
    <t>6ee8e6bff031b065cd878bb02275d9c160059c9318fa40de3fdf46588a1a77da</t>
  </si>
  <si>
    <t>ed36e388db0f107d3b5cec7697e29c6b31b3426b1495590cea7a19fc369aa926</t>
  </si>
  <si>
    <t>24c18b7058607ff04affa31f5ab5ff217097a95fcb88b1b2fceef314b8fad1a5</t>
  </si>
  <si>
    <t>1d8e2655d0fb64bc96176547ae5da7e0a5dcd5684b2d2cf428e38f8aaef7c982</t>
  </si>
  <si>
    <t>225e749c1cbcd9c6ea4b2c503ff7d30e244066314a086ec4f97193b9234b119b</t>
  </si>
  <si>
    <t>8cfd1b0efef4229ef712f096eb7d4c05c8209dfc0b9ccd63a0fe6fb4b97dcae1</t>
  </si>
  <si>
    <t>b5707725a1a2e7a2f31de89cd513c5b4bd3b88612a04e0110a4f8ccd4c03a0b1</t>
  </si>
  <si>
    <t>27728a351d74b21ca07ca83928cf74e464d7a573c0bdf8d2d3c45aa5130cc578</t>
  </si>
  <si>
    <t>8741f20612fab21140ca1fea5007df4934776edf1d1a578c62e6640708c13662</t>
  </si>
  <si>
    <t>81f8f7c79f0d4d2736529fe9b34bdf95eb0d0898595fb65755450ec30432b3e0</t>
  </si>
  <si>
    <t>d4d6ef4698443f53294425a64cf2fbb5f0ba04b66f4eb300852ce9a83a506f75</t>
  </si>
  <si>
    <t>f1a32c55e415bead63a3a692f4de93978cf71534242a246769267ff99ab58df7</t>
  </si>
  <si>
    <t>f08c6c7c42e7d1623263ad5c4cd7efea0c3b5dee3b3e15705ecc46ad6eccb424</t>
  </si>
  <si>
    <t>395a34400c7069a0c9021f3a492d9751684e5c9210cf78ba4b3138f5495b71a4</t>
  </si>
  <si>
    <t>50da3928202196849d150a361b0b198af15e9f0d08fa1b69715ff6d83e4f7eb2</t>
  </si>
  <si>
    <t>41baaf391459d8cd841a2c99d99f0b46e01932cf55f0ac74c6c3e73819a67788</t>
  </si>
  <si>
    <t>8047c7cf4582115bbb44d4dbfe4acd227827b0565f7dddf7039262f18b0619ce</t>
  </si>
  <si>
    <t>09c92bbd005f89102ab7cfded75d6e46647f1486e17a4ac933e1ca8948b3507c</t>
  </si>
  <si>
    <t>a181fa6260d3c8d2acd2ea6437286cea964279f5bae362b6a841bba117acfea5</t>
  </si>
  <si>
    <t>f49773742eeb1b5b8873e3eaa79c0d71f9e78265a123ce21b23604e5bd4a021b</t>
  </si>
  <si>
    <t>a6969708376f4410b6864d628366dba0a80a7acd4725298ffb33eaa9f3fe85e7</t>
  </si>
  <si>
    <t>9ff67850f094025a1ba496899a17829bb83d603299c487dd02f7749042a701fa</t>
  </si>
  <si>
    <t>f03cea2ab3373f524bc8e854caf6c2a61df606ce9d50c771a065bac007e3aef0</t>
  </si>
  <si>
    <t>dd9f3407c91c5b68a5697621dc5ddd3c9b3f8ac0fb4ee5b3d7250446dc98cb80</t>
  </si>
  <si>
    <t>452721293ae7565ae661e3165f679eb5fabdb7df1b45aaffb5582060776b7dd1</t>
  </si>
  <si>
    <t>6d41d746618842e168810586925783938b1f2c857c1c76277e399ced71677c98</t>
  </si>
  <si>
    <t>78d198ed93b99a9ad31c697299ea5c030f70cc7e5d59cb03cc8e85beb4f3634b</t>
  </si>
  <si>
    <t>c94f7e5fdccd8d6a8ed4e997e3adccfa8770680a9a43264c563b662bfa613409</t>
  </si>
  <si>
    <t>324224c8830135a7d3c28bb9f14324fefa29a5f7d5a45467e01a08c48e7305fa</t>
  </si>
  <si>
    <t>9f13fcb3733f7486292fd671694d42ee80b3ab4ccdcfc37526918d658a1aca9e</t>
  </si>
  <si>
    <t>6dc435e6d972909bb2b0d98d3b60e21c8985e74ec9ecaca7ade012c0fbda5bb5</t>
  </si>
  <si>
    <t>58d97714255692b8bc489ce777e402229ef57d0b953eea3d32fcc188a8441664</t>
  </si>
  <si>
    <t>a40e2e497a770f0b3c384587da4a5ced91d187881515623c68915a8199d561df</t>
  </si>
  <si>
    <t>5baafa8ae81fa7a1e0f08e5deab2d169e55291fac07db7580410a7a4354b1371</t>
  </si>
  <si>
    <t>f2e2502ca7197069f68d9985c16ce6708e0cd466183682c972d58dabf7903438</t>
  </si>
  <si>
    <t>3dd675bee8a881113c4c95b9028caf5740b2016a60631a3d37472b426c25eac7</t>
  </si>
  <si>
    <t>73c62fee38c756d7e22818450880160f9f682793ce096222c023874f58751d7f</t>
  </si>
  <si>
    <t>660c6b49070a51e3998d7da3a216b48dd63725dfba88daf2fd0d7db75270ed22</t>
  </si>
  <si>
    <t>79ad03c9584d64142989064280787f121b02a74bcd391c2c64ab9c7a086bdeff</t>
  </si>
  <si>
    <t>d25b8ea5f9a2674ef39308ed524ef16326d0410f8cf76414014b8c3e173009d6</t>
  </si>
  <si>
    <t>eb39c6567f118623f2ea1dbf3e04747452923a2d20d9e94e739ca99766073c49</t>
  </si>
  <si>
    <t>455512584c0a95146b351e7a96ffe9f1761c9258d82286604496c407a51b41d4</t>
  </si>
  <si>
    <t>bf4e673de4878120342f73e0240a8668bc15ac126402213ef9f87a3e624819ea</t>
  </si>
  <si>
    <t>fab9213f068423dc503a6637d02716be2f17f03afde16047626921c87abf8be2</t>
  </si>
  <si>
    <t>baaee16bc7e817ddb38da9cfdba599a514cf9adab912f24af148bd2c051bd733</t>
  </si>
  <si>
    <t>22f1e6fdf2c9e47982b5c6d222c5bea84a0b0ad690b90a71df873272cd7af26a</t>
  </si>
  <si>
    <t>2f9e4637eee433cb7d272c5083beea697a890ef914dbe6fac967d3ef7d2aa314</t>
  </si>
  <si>
    <t>7790de6f9c87eef85d2a93bb338be74920ed36d0bb63e5f18601a7421b4e6457</t>
  </si>
  <si>
    <t>e16572063542921bbfb09c26b7ac2f92e2393e128355a930019e3cd084859c90</t>
  </si>
  <si>
    <t>54381425fd80e05129177c93c0a4ba68b1b8eb19561f297b29f3fd433db5880a</t>
  </si>
  <si>
    <t>ba3ae797450f99233daff9ed25d1b86ab380123dafa10ea906c6179d719104a1</t>
  </si>
  <si>
    <t>752f0ad39abf33cd65c1f68b1e936558284c926b5058c8f2e030cebf69e81a0b</t>
  </si>
  <si>
    <t>e22fcf4d1dfdfd8819f0eea51caf7736ada11e442a5ec346b4a0e09d98824545</t>
  </si>
  <si>
    <t>f377dbe5c8787ff92a44302c4cbbb6991e20888bdabfcb520a519e2805ca3bac</t>
  </si>
  <si>
    <t>9e1a86c21f07f926d3d19f0c50f37d032d4ed9556dc14dedffce149bd5c181c7</t>
  </si>
  <si>
    <t>964b58a44331b9256c271decfeafddf71029a96c48c36b4bf897f430338c5b52</t>
  </si>
  <si>
    <t>441c960a74d94ac6a41ef05c2e6b91209dfcbee89783e52fad3d5bd34619822e</t>
  </si>
  <si>
    <t>ef640dbceb59a0747d736b0b11f339a939083f73fe1d79d6213ead50e21824eb</t>
  </si>
  <si>
    <t>b7435838ce7437ea00dc3117c2b093c2b8655208e5e35aae6774837128c3971f</t>
  </si>
  <si>
    <t>86ae0e0f3546bb538ed16be001704d150215fc8ca0437375c596fed0a483ac72</t>
  </si>
  <si>
    <t>96971589cd700d5301a006d51f602fb7b5ebc7a7b3c09326d6670495841a52b2</t>
  </si>
  <si>
    <t>dced96e8236f85d93f4c972fa42a3cd7595af9e587d9b54bba108d3795592868</t>
  </si>
  <si>
    <t>6153345b02c4d7ee4f98c2c0181705eeca65c9794d7b34027009c781a51e11f7</t>
  </si>
  <si>
    <t>a0060293f28c4c5be2a19e678e3e51cf00969d0c6c8f480338258756e9d43633</t>
  </si>
  <si>
    <t>6c127038edb99c8d1cd539bcbfb7cfe81d46de9e34f1474b57d16bffd6de8dbc</t>
  </si>
  <si>
    <t>b031c588df7938885aa0f4b070dfe54d85f3d4d446d482095ff91be8a401557d</t>
  </si>
  <si>
    <t>34d2dd530f140f77973c7f2770986299b02c22b6389a26158b0fa3da0ae2c299</t>
  </si>
  <si>
    <t>236733e20dd2faf62d2133eaa46a339866fd110a35de6700f2c84bf580077911</t>
  </si>
  <si>
    <t>7f9ba205f2f8b35008141621060bb27b31fbbb14d1d2f88248d4b4bb137bff2c</t>
  </si>
  <si>
    <t>3f9a293641d60d51e08c611c54f68577d3e7d00f9de8b5fdf798be1745dc6c4f</t>
  </si>
  <si>
    <t>c91fc37142f63d88ce85aa2843fddc840d81c80c270778346179af01e2c4aa20</t>
  </si>
  <si>
    <t>4acd01113961c18fe3e0581c948cccb4fbdc487942f1d35017155ff05ea1a17f</t>
  </si>
  <si>
    <t>a8d8fe34cbc5085486694f86a13128e466bee1ce4f46a1cdc141ebbe4edb5086</t>
  </si>
  <si>
    <t>63072558a34c196f79977b1a68f838bc3f0f6ce4d4fd4f4fbc10c7ea7082a7d9</t>
  </si>
  <si>
    <t>cf539cf908cce1326540c90275b472131cdda8c690c3a2a0b4facafcb0edc153</t>
  </si>
  <si>
    <t>aee3d77a3a95ff8990e8c0ec58f113f5cdd33d1a9295772ca8b1a3c585181a0d</t>
  </si>
  <si>
    <t>c4144c9e8ae06af50c893c3567dc1d0a6cc4bcb201ab4bba1121f079504729ce</t>
  </si>
  <si>
    <t>47e56b97554ba90c8e34e705abc79d377b45f6877116d36958ff0c93eef48600</t>
  </si>
  <si>
    <t>214034507891297ae9dc0ad7df3dd093f692df8cdbab7c12e72ac088312232da</t>
  </si>
  <si>
    <t>dda646f76434fa61da2ff07753cb4094794ad9a0ee60aab281023897e8a23ca0</t>
  </si>
  <si>
    <t>8b42e2b1a9dc18b78069f3ba26f7013076a9ece375915855511c79f79a1780a5</t>
  </si>
  <si>
    <t>7f18119bb25da8ee93028b1799e5990fb0a4a7bc0bba0f04c573f2a410fbf001</t>
  </si>
  <si>
    <t>fb81784aace466f3a899c5162c76c21faa37f95fd00010f04fd507ecfa5713ca</t>
  </si>
  <si>
    <t>f3a8f5a9c90df00f8b96704bbc420c65c1f899627c29dfb646ad1168c401974e</t>
  </si>
  <si>
    <t>a4bc90fe734df70b5f1a1ba3f191af52d36697cd1c324b88800befd7c796047c</t>
  </si>
  <si>
    <t>018432cb933fe9538470b9805d6495e5a414666296373ac44fad5849d0b109ea</t>
  </si>
  <si>
    <t>SANTA CRUZ XOXOCOTLAN</t>
  </si>
  <si>
    <t>fe21f927b4b9867f037ff59c173ee5942b1797a564a6c7a30b08be24463b7161</t>
  </si>
  <si>
    <t>1699e184285e2fa6ef6f5c5e10c748ed2cc9d934f9a495d3e9b97f5422e8a530</t>
  </si>
  <si>
    <t>88fd674f2a8cf8cc834991c1f614efaed8d98c04b648ad2aa5b29abd9916fc9f</t>
  </si>
  <si>
    <t>95ea7cbb616008f76f786fa2519049c9b42c298658c9eddc389193bdc905c16e</t>
  </si>
  <si>
    <t>ee4f285fb0ed78566df249d3e013cb5462ce17a0a924c9595675b7a9105a17b6</t>
  </si>
  <si>
    <t>bc48ecea65eeac49a86ca789eb612c4ed523d16bc1e8b6268bc3d5acabb62a4c</t>
  </si>
  <si>
    <t>1080759eeda956b949c6183f160cf59c0ae9085fba54059984e8d0e5a92833a3</t>
  </si>
  <si>
    <t>4093effc23b1770bf5b28bc1b206014b059b67b2d01f00c83729584451605d39</t>
  </si>
  <si>
    <t>01c732428994bd2421454bc7e3a295dfddf8ac52eb3558c03f1b3ab73c8b2d11</t>
  </si>
  <si>
    <t>fd2d5791973a93950ca4a4eefd6421550ab0dd7320f60b5ac24befca832741f7</t>
  </si>
  <si>
    <t>6955c07772c98ad256644196fcbb68a7d57333f6a780d2ab172ed969d5ff0230</t>
  </si>
  <si>
    <t>b1072fb9f5b4affbbe2da9c9457326bc5b650f3a4341f25e46506d96a3f30205</t>
  </si>
  <si>
    <t>5dbbafb4eb5a9fb878199a90540c967613fa9e972883203b7110520518fc6f75</t>
  </si>
  <si>
    <t>149d000b8f654f246d4ee29652b1f67631143075f6ecd11a43bc5e9bf66c5eab</t>
  </si>
  <si>
    <t>e0063a9da3cc0a04e3ea4aa253202e0eb365e7954f9f5f5e5648a82ca2fd5201</t>
  </si>
  <si>
    <t>6d0fb8c134f080f7ab02d3d6783e9c4f1ef1bb4390f85968cf0c8e2d040868f2</t>
  </si>
  <si>
    <t>0f5759a8abdbf34806f90447f869a7c9f62036b53b2caba3c38a09f31e2485d0</t>
  </si>
  <si>
    <t>2cfc15071b0b9ef3fa4f57942d47e775b4b80cfafdd0ff22170d4153e2fd9af9</t>
  </si>
  <si>
    <t>731a07b2ea43133bf181430c4d338432df745d7b996865bbbfcd73b0d6036af3</t>
  </si>
  <si>
    <t>753a9fc2fe56d1ba9330f8e08c3dfe8bab2501ffc34199b298acb8fcf29ce5ae</t>
  </si>
  <si>
    <t>cd3c77ccaf2acb9f4b4eb16f5b36705494049cac3b37114b7294e85f7d9ab38b</t>
  </si>
  <si>
    <t>97c4766b69628d93cb30561c12bf5ffe06142d73c97eaa5670910809d5cb4f57</t>
  </si>
  <si>
    <t>85e68aa3f52c761e5d6556437096c16e243ecc8295ac6409bacea2a48b4713f1</t>
  </si>
  <si>
    <t>fe7b133d21025bf39b52edfb487123f08af4e1bcf33d9f071ef05d873125c4b7</t>
  </si>
  <si>
    <t>d37a46a6be987c97331f99e30b20a9646ba0dc3b046c9d3a966dfdd8bd2d7e16</t>
  </si>
  <si>
    <t>9a00add4268e3fdafbad8d39aa0669315a26f47eb6332f9bd123afea9c0ee0f4</t>
  </si>
  <si>
    <t>a0c5d4da3084d95ab488608879605ca4bfcee0c8facb7d0ee7555e9aad45ad3a</t>
  </si>
  <si>
    <t>096f9c91cb7161eafa8a2186be75eb8a205175b8f1e7fae713c9c4fae4ef0ee3</t>
  </si>
  <si>
    <t>effef7361eb2097dd4b35870b4567ab71cea9031f7ef2f7b3edd8a4ba6d8de97</t>
  </si>
  <si>
    <t>fb69db4c330375559392a45f5cd67e49dc93ed1caf9d9169137ab3578e5e9d7c</t>
  </si>
  <si>
    <t>71c85af6d4d33eb5ee6fe6fe67773b63f6f3925f944c3596ce6e7fa5262b9eee</t>
  </si>
  <si>
    <t>3b79d7c99920c838d5eb0c19ce80dce93c00ceae357b04d71ea90ce87e45862c</t>
  </si>
  <si>
    <t>63a2984b01c3dc0b8fb6db776f60088025c0b9ff76aa0600cf91ab994589035f</t>
  </si>
  <si>
    <t>49def1f6c315599a38033ffad2070680abf9a7ad7975468b7b95e6616ad421fc</t>
  </si>
  <si>
    <t>e80ceda729aebc7a003a3e1b20f228f2f5fc3c6bc2f60738d10582e7005d6da0</t>
  </si>
  <si>
    <t>38cfac52cea7a30d6e8bdfce56ad3859587d032367ddb54da10bac31886fc17a</t>
  </si>
  <si>
    <t>f60f03cfbac229b07a327bcf671cee0428d084d8afa49d8da5b5514359368639</t>
  </si>
  <si>
    <t>42dae501c81b047632a77ee897279ef756b901553c75feea9b999d5fdd1c128a</t>
  </si>
  <si>
    <t>ca1b65759d960b0078a4384d81be0b4c31c9b066b65d7b8960f8c3aecd6654ba</t>
  </si>
  <si>
    <t>cbc9ddb3d1206f3741b27e26913e41c3cdf4a94d9ec4a25b8043e08dfd3092b0</t>
  </si>
  <si>
    <t>c00c949430487d0867ce5c0a216475f30dc24541f7f0e3bcfe05e6066786404c</t>
  </si>
  <si>
    <t>02aa8f7b3b7daf1d9294e33aacdf874936f1b0790691e4e5e98c72444eed10e9</t>
  </si>
  <si>
    <t>d6bd32ab60c949abff7aad2ac2579c3ab4883b93b2e9b3f325be51c027cd5671</t>
  </si>
  <si>
    <t>2623272258be80a57e2397f4b7cd1a34f6427d797e19f6db09a24859e81a7138</t>
  </si>
  <si>
    <t>bfec790a2c1acf9eadad8ced08ed86f8e3b7be740f791cee219dc45c82957060</t>
  </si>
  <si>
    <t>ba3b7522aca25d9606983c43ed605683c225a882f74a6001695cab79406a8a0c</t>
  </si>
  <si>
    <t>6abe6c7878871a879b1914bc35b07d675fdf208d60897120bc76da4599defe31</t>
  </si>
  <si>
    <t>34c90185f4a9814bb1c330f40e383205cb7b7d3f16d1933e8f4697ff86941f4d</t>
  </si>
  <si>
    <t>b0ade1cd2c96a597597fe48b2f6579fd4aa41fbb66215d54e57e8461b29e5c9b</t>
  </si>
  <si>
    <t>df23dfdb84f144f8423a147724f1cbe1380a4608bb603f93b4605e9ba500a000</t>
  </si>
  <si>
    <t>9bb244d71a94b738c6e73df4329ec21e2acb69bf57e591d09863aab11181d2d2</t>
  </si>
  <si>
    <t>eb00e7bd0952b7199b0a154bb2ececa715d6e96e8c73cbc27248032940f3bdc2</t>
  </si>
  <si>
    <t>fc9802bda50044afc246226d73efa6bd9bec53bd9c5739b7d513d9d1afd1abab</t>
  </si>
  <si>
    <t>047019e83ece8c6ff8f9d1cfd29fc029c5d5826ecd951375e64e526d5af70e03</t>
  </si>
  <si>
    <t>7e3c19e4927f33714a9c41d3ec249561b9d70c139b16552f7a9b7edb1dff3459</t>
  </si>
  <si>
    <t>b1f55ca5d536b92ce022ddf21f608b8f5cdc2411c7745052a2d514602afc5433</t>
  </si>
  <si>
    <t>7562e12b5b84bd775a83b2aadb2acc58fe1f65baf9e535a3d0ccc40ed0f30ea8</t>
  </si>
  <si>
    <t>425c17ef3e84f0f04ce246e13033b161d13f7aef82ffe470bc2c25fdbd23ffa5</t>
  </si>
  <si>
    <t>62eebd0988b19ee3f6781672296332301a926de44c0a5c5976673daad2413d9f</t>
  </si>
  <si>
    <t>94df585df22584f2a9bfe04a72674a70cde39604e9760ff81704aaa7ebfe177a</t>
  </si>
  <si>
    <t>f9452840f9ea1ffcaf3e0ea002505b2c41b6308ab1445b1df4833bd9950992b0</t>
  </si>
  <si>
    <t>e8825e494e5957209b8bcdeef49f83493c02b6f50423caa76943dc6432dc1fa9</t>
  </si>
  <si>
    <t>ddb848fc59ac1ab304aa31eb6acb2b463ab7143f7b628cd064f8811bd4b4a651</t>
  </si>
  <si>
    <t>030e98b6a52f638398b7f7eddc239b6c558f04b57b2d82b68ebcbd7f870db604</t>
  </si>
  <si>
    <t>c5b246c085acf932ccbfe89c7254b486389bdbeb3a24e6033ef1b9a25bcb8546</t>
  </si>
  <si>
    <t>280eca24851b1c1cde1588d59d99cfc7bb362e175664ea9a4665779b57b11ecd</t>
  </si>
  <si>
    <t>536049771032fbe7870db29b0dffd96a9db60cbfb07a45ba441b5228dd8118c2</t>
  </si>
  <si>
    <t>b65bf51798a7540d80fe39fd7e370b21f1c41c9dae70db78011d6971e1b159df</t>
  </si>
  <si>
    <t>839ce8632d533b7ed9bf17fe43b3779b37beb11fef2266d56d106bef2d64baee</t>
  </si>
  <si>
    <t>1f9aab01b22729938d5e9c309c35009ed51d65f47049cea4c50bc6a23c253673</t>
  </si>
  <si>
    <t>adeb8abdf0b7c21fd86ee04a90ffcc64e9b745f9c27bc13aaaef075a3fdd3e38</t>
  </si>
  <si>
    <t>931067e5ad3c0146c81c1f9c95f74992e58699c428571e46967d8ebbb6010b4b</t>
  </si>
  <si>
    <t>be0c5dbee42a68f3edf241db54da86620ac63c164572ddf6c5763a5d6f0852da</t>
  </si>
  <si>
    <t>599ae6d1bbdd6ee062d3134cf3ab424aeb1186c2d03296140ad88f1d7d7783be</t>
  </si>
  <si>
    <t>dc945b4cb79e3e8466a3c652dd882d5889b0228bb517f8e44621d9a689a84fb6</t>
  </si>
  <si>
    <t>2a5204c05f8d267add76cbe541fff2cad8c73294835cb7d2a0f28468047fc6f1</t>
  </si>
  <si>
    <t>e93f6241214ff9fcbcc1497cf25e910f22ccb3efce3c99009d77b5818dcc59bd</t>
  </si>
  <si>
    <t>93488495c980f759029df5ab198f1727069c564d0d1cf57032fc600f983f1126</t>
  </si>
  <si>
    <t>2b1b5a55a6791cbef05406e185b7e1f57ca0c9b59536c5f967c53fbe3e92688c</t>
  </si>
  <si>
    <t>d268c27d58de76e26bb31d37eea9e0ee4f80772ea233933ab53fbbb263c8b312</t>
  </si>
  <si>
    <t>3e0025c0aea031581fe8913d5776bd723d1c51f50adfeac339866335bf20bce1</t>
  </si>
  <si>
    <t>1c87d30f0db81c1264ba82b0374f06eb90427ac1b216e19b10334d41a4dc3ad2</t>
  </si>
  <si>
    <t>879ef633cb2c98a65bd73b4762aad3018b6a2ed2ef1a9c85cfaf6cf471fc4b52</t>
  </si>
  <si>
    <t>70ff9f4d9a881c0e651eb0468501c7285e98534e0f769d39a8be7559b6cb09f2</t>
  </si>
  <si>
    <t>4c04ef6b7e7d9bc40750825c76259b30e2a7604880622d100def5652261694bd</t>
  </si>
  <si>
    <t>fed2bf48e28708b6f60b065374ef9496a1d41d3c9c7875898648b844b79f5d36</t>
  </si>
  <si>
    <t>b8f6882db6ae3aef3b9541322b0be330c77b833812c8a48ca68f6537100eedc9</t>
  </si>
  <si>
    <t>c1553e75a390338e2f4f559ab3fa83ef07e915c192e1561a51d04acef473a595</t>
  </si>
  <si>
    <t>311b6559ed9374b60f7aa4d7abb5650c4428291193a3827bb15308c49059ad32</t>
  </si>
  <si>
    <t>09eaeb1b8af65ea628f3a9cfc1f8af23f8cdad7181526aad9482a6622e1e7fcd</t>
  </si>
  <si>
    <t>ab8627dde3946c212780f5d83d52d5fc0c0042460c90b8b9d5ad8e567b14faa7</t>
  </si>
  <si>
    <t>880daf6409ddf1e20f793f6c49ea7eb5c8717f20707a65b50bf7c0b9ed30e8d3</t>
  </si>
  <si>
    <t>020ab44882eb2a74125e3c9a78b37b6cff12ab06aa7138c18ce793eef87ea415</t>
  </si>
  <si>
    <t>f13f2276e3ad3bcb4ec7d893598dfa6e570aa98778218fc4420e6a9f02a26449</t>
  </si>
  <si>
    <t>ef985ecb8ad8205e7cc9a864e54d40673365637e633a02fcb7f6909f49368e2b</t>
  </si>
  <si>
    <t>8b41d76caad85d16843544b657e991abf4dc1e0649190492be433debd83dff84</t>
  </si>
  <si>
    <t>520ea1a21697eadc598643d1c04edbf7be7a1799b1ac3370d0704d8de523a680</t>
  </si>
  <si>
    <t>d7d5309ff7d9f2f45998decbd7b9f5fc8c4d2c01b051e4d15557cca5f28c1a22</t>
  </si>
  <si>
    <t>89ac25693e277f204ccef1a1235d24e84974f3d72264a3fb01b6039dd25d77a1</t>
  </si>
  <si>
    <t>c3c88a409f034839976fe47e9e5933df5c1943c770f1121d8ea5926c10b900c4</t>
  </si>
  <si>
    <t>5c3a52f1298e52fd4f6d5fd7c7f8fb0dc38db7edf0a41b8513e20f3920d3b18e</t>
  </si>
  <si>
    <t>68a7fa5996626bb109e75e0b10dc2d60ef1f06f391abe15676eaf31397459e5e</t>
  </si>
  <si>
    <t>1138ff7fb00f9e656780c86dd05d2d05f4fb3887a8c4d22d232b065c70a61833</t>
  </si>
  <si>
    <t>ef17ae2827df0c497d007d0555ac03fdb0a480f58c7bac4d1bd5c3d8d6576a29</t>
  </si>
  <si>
    <t>e90deaf46fe1acf3fcfc52fe3e5cb7401b6dd90a7bf2b501784e5d07f1def39e</t>
  </si>
  <si>
    <t>5176b9f3db69a90f0bfd9f4d9aa69de9753d7b482a32352c56b3cdcc01af61b6</t>
  </si>
  <si>
    <t>d24098f9631fad0063cddd04295beab56c0b3974c003311a116d356908fa5a35</t>
  </si>
  <si>
    <t>9c3b05e8dcc332b0ef8b22f7249c4d1f4a60ab61a4ac0122c0a3b5ccf80018b9</t>
  </si>
  <si>
    <t>9043041de2255f3c43f100eb940d8ca9fcfadce15fe47af20da2cc4f2f3a6eac</t>
  </si>
  <si>
    <t>c8cb6cc89e37df23a2a9542b2c09a541178d7fc0f3617f93aafe55a82461ece1</t>
  </si>
  <si>
    <t>d3b19d4d423455d03f4ca967d87ac4fd29343e730c035a87854021c3e0708200</t>
  </si>
  <si>
    <t>de7a218b4b65b83c4ce23bfda9ec5565277efb42f78e85634c73830e22b65590</t>
  </si>
  <si>
    <t>d19d58881b02c5a2cd782ad822e59397c5ca27031130612c7b8896781de1f440</t>
  </si>
  <si>
    <t>13565c3acbd487a4fa173340cd5f358e9734699f3d170ea527efca3f4b4a5acf</t>
  </si>
  <si>
    <t>c7bb7f1fce2f38ced52387768e542bae449aff504ac0c92c5399985fac9cfb29</t>
  </si>
  <si>
    <t>7bf7b75c9ce23300e1f9e4def790d80df1e5752f00b33b4ad4138cd27c7e9c09</t>
  </si>
  <si>
    <t>762df5c0c4a515df76d576f37921fbed7c5f98ed1d7e0c1cc64d447623ec7eb7</t>
  </si>
  <si>
    <t>f46e348885ee6840bf83b6b0802c196d38b71a8a5b7876469456f735295c059c</t>
  </si>
  <si>
    <t>c7fa2e3ec99cae40be079f7b9b6776bc2b423a3f6fd5679ec4304c59754f3358</t>
  </si>
  <si>
    <t>51058c0fa93e69d130b8f1e057c6f06d018c20a3edd2db72b375de17b323d71b</t>
  </si>
  <si>
    <t>d1d2c3399d5c2968d9cb35d5d35a709e354194185848f5205505f1de5c115aca</t>
  </si>
  <si>
    <t>86f32b36bc47938577d6345b89a25b3b2f030006dd89143d013cf755cd41c099</t>
  </si>
  <si>
    <t>e51ca035819955a8bef397be9f08acb42f2d8abcc1e8ce55a653a26f4a592826</t>
  </si>
  <si>
    <t>6d7f41faef1e7bd23309f6264dc13c1f44018a2b4d760a7fe72bfdeb1607be3d</t>
  </si>
  <si>
    <t>7181b85e6403b092ed399174d00208515526feff9cee9c87e899ed0d9c8f61ca</t>
  </si>
  <si>
    <t>097f4d03c62e1b6aa99cc9e7d3bafdb5a59f89a1ae7b302192146f18d99ae231</t>
  </si>
  <si>
    <t>580500fbd50af46cb9984fb6306f22a66fb8ee42c4f9158b4b87fe4c844032e6</t>
  </si>
  <si>
    <t>0f5a0eabc08f134b593dcf7a66b0df69fde1602fbad684f29867a068ef549d1c</t>
  </si>
  <si>
    <t>eadcaa240c1a387c3431f6ee50d24e5ed46055b5fe5a56447ca5f312271f444b</t>
  </si>
  <si>
    <t>6f9b77b72fcdbc12aaadf4c963d09c0f5ebb1f944da60675766f4e6564213960</t>
  </si>
  <si>
    <t>7573e7898172c08ca2fb63507d3c0695b48dfcb0d0ba9ca11c9df37ea68d5b8e</t>
  </si>
  <si>
    <t>7dbc4c5d3bb5f401216da5abd19c12f8502671682f77874f989d236eb6b352dc</t>
  </si>
  <si>
    <t>4f71756819082a9f1dca98582c3fae50766fa1c642731a352bf207431e116c2f</t>
  </si>
  <si>
    <t>2f256cee9b8736b4859a50a18ac26ad2302bd63a9e901b2e58320349f738f542</t>
  </si>
  <si>
    <t>599c0f01a826d032236d0f52f147e12bc78a30032479d38f8913b96127970640</t>
  </si>
  <si>
    <t>f56b1f099882a0f2a45a6c8ba4bec2630d011e372a0a5df150737af9b756f776</t>
  </si>
  <si>
    <t>6fd115fe742b718e62ea670c537b14300f4273e2c2efd3163a6c646ac7f6b469</t>
  </si>
  <si>
    <t>6f16b0cdf10e4a3be06d2038f4984be8670067a00589088b481877b7401f5c66</t>
  </si>
  <si>
    <t>800eecacf921b93cd02bab1fc72038826773084994e6496a36c6fd53abad11f0</t>
  </si>
  <si>
    <t>7c6b63a0e7e095ccd825ddaba284556f61e12879d98def76771c026ff0472b35</t>
  </si>
  <si>
    <t>ffbe38391fb2f25ace011d5010244b0fbaeacf4baf71f54011cac189a9002fea</t>
  </si>
  <si>
    <t>76dfff51635615ffbb641ba60555b3853706ed29ccb329dda9f4f29562596ea7</t>
  </si>
  <si>
    <t>42366141d96a243243972648bd97f2cbe6440841f5a49a3263fd3271d823f82c</t>
  </si>
  <si>
    <t>64f68a92bdfcf98e98921b78b304a6e8c3e96a32fc9630f351521790ec13cb27</t>
  </si>
  <si>
    <t>f3eecdc7362dbe75881df37479f52166bc211f435552c38f65663a3b6fa81dc8</t>
  </si>
  <si>
    <t>6f36be2e833f8fc8b7684d83ca19bd155ce4ab926f68087e62bb29eb84e19f64</t>
  </si>
  <si>
    <t>afbcaf2e7bfcc01291c1905dcc498315a9ae9dacc52bc9d8b30bb78ca16728f6</t>
  </si>
  <si>
    <t>10e44261954021c769887d9baa2b83f3ae6335e761ca0db22ae491c673154378</t>
  </si>
  <si>
    <t>23bfe80447826ddcd2c8664d28ed209737f8fb2242dc6eefdeb4ed4924196c88</t>
  </si>
  <si>
    <t>10422b82328a2de830d12edffb5a8ea207329abdaf4f00026e03b54a1362fda2</t>
  </si>
  <si>
    <t>973b39063393ce0756a1c12f25306a8c914c2bc5bbf82d7d64a14ae29d63dd28</t>
  </si>
  <si>
    <t>b945acc361b7591bf6c9b01e632da4041eaab497e34f5e7568e396044a24eae0</t>
  </si>
  <si>
    <t>e09d32569df661c66fd7ca7eae4281e1da9d0d4439e0a367a8235fa5967712a0</t>
  </si>
  <si>
    <t>cf73b33aa3c69a51c04c6935946985c32b90f144da78093d57fc785037c5982b</t>
  </si>
  <si>
    <t>0e21000c527a0858ca982899bbdfe9721f51b216aecad1d3e3234b85568ac694</t>
  </si>
  <si>
    <t>7474a0a5d3d507e85a02f8147d70f8ac20919624ce210aa1b2491516f506aabd</t>
  </si>
  <si>
    <t>fa461bc21694d53ea5c36bbc7e07aecf308935f2662e49c8eee62dfd6558b3a6</t>
  </si>
  <si>
    <t>f78ca30374b15a96073827931f1e5dc13f1cc22bd3a7833ad1669af15bc6931f</t>
  </si>
  <si>
    <t>656cbc127229788697ead5ca6f195669dc330156dd25b830e668aeadf6454a27</t>
  </si>
  <si>
    <t>53633fac8414b9bcdbe931f425a3d850b2c4f6370291bb380f56c0c1052636ec</t>
  </si>
  <si>
    <t>169759576867bf7eb4738cdc256ef063179ac1bf3cc16c3e151ec47f50fac086</t>
  </si>
  <si>
    <t>9ef5ef15650265c02469b15146bdf78735338ae7e830168cf03d96cd6bafa2fc</t>
  </si>
  <si>
    <t>837a0a78d959c2dac0998ccea861b7692f4a30ff66a208cba7dde59869e7eb91</t>
  </si>
  <si>
    <t>97efef718e5e212418e0afefc200e00ab0990779b227b904a01767279a5db9c0</t>
  </si>
  <si>
    <t>6b510ebed168e2cb396a3cecfe169ed64352bc9c47f22780e5a8156f2fc04277</t>
  </si>
  <si>
    <t>451a76bf6396e1ff259addf531ff690e795fd84519ca5205c060a06dafe4e30e</t>
  </si>
  <si>
    <t>b35ff06d73493c550d952fc8c8cb1881b1f56d0cd7833b0ab80f852b083db896</t>
  </si>
  <si>
    <t>1e9258d1f905b10c48fd31df72c034c923d32a4f49b798cf59f132b1bd2a7e3b</t>
  </si>
  <si>
    <t>036325b6e6037665cbdb23fe979f34b872514611024821fa5f8fbcb690286b91</t>
  </si>
  <si>
    <t>88615865408338d9940d6e07217b5b54356edff1c6522380368bfb8b9fa19a03</t>
  </si>
  <si>
    <t>46d24abc4a5d3ba4a399576408d6ef4bcfe08a70d7fbc3441f3dfdba75d9f133</t>
  </si>
  <si>
    <t>767a99a4410cf383e9eebfc65da9cec3eb50e426e04a3cac3ee78d70d76f4e55</t>
  </si>
  <si>
    <t>3cff0dd6dc7891651f31abe4cd2ebb337ffbf93819d50f62d949b1cee4221809</t>
  </si>
  <si>
    <t>49a7d8d31f68df2ad26dbc58bb3a87e106736e92b840cb02dd4a0006608b94c2</t>
  </si>
  <si>
    <t>ffadfcece38b165a057987d083dfcf8a0681f50de6f193a75694e54dd06588ea</t>
  </si>
  <si>
    <t>ce334e2a204e79b4a0f07b2a88b9a73266544433ef28d76a040d62027129d6e9</t>
  </si>
  <si>
    <t>003fd30c2c980a7e195fb1fe8ac40750115b37a501b64c92838bbdb9ebd3a6c2</t>
  </si>
  <si>
    <t>16634950ddcf8231eedb4c9186a0c568d2e135ad0a8d57557e96bb7c71e2967a</t>
  </si>
  <si>
    <t>093a49ae6e224ea33917cdcc4fd61cfd16485b557a89bfb3198a9ffcdcb57852</t>
  </si>
  <si>
    <t>3e5fb8e5f2d95cc041b67f84008d5a2817901634a031e70310f31a4b0ebea9bb</t>
  </si>
  <si>
    <t>c4ddde89b8299532307564a624a083a77bf4975670c153f4808dbf2c8144c0ba</t>
  </si>
  <si>
    <t>7f7cee79785c78cf7a9c93c92f13de942383b5b4b45bd870c5336966908848fa</t>
  </si>
  <si>
    <t>700c6d153cadae9b2588696f44c1790271a5ff91a815f9b67458c11e010aec92</t>
  </si>
  <si>
    <t>21970aa857f90dfc4730213356ae1844637b9a38ad0ac8bea826c7b397fc9189</t>
  </si>
  <si>
    <t>43a740c889f5c40eab7bcef7f7bf8c1957010e01760c0d8acefafd24edebecb5</t>
  </si>
  <si>
    <t>f22b23bb999526762f0ff1a8e76fda241ed764d2cea001fc67593d76fdf8632f</t>
  </si>
  <si>
    <t>e67ce07a241be424e4b73b82ea169f90e59e0cc9790b3ecd6e8ab35c54aeec1a</t>
  </si>
  <si>
    <t>1f27ee55e0ba1000abaeefa549585cc78d8a3f52c25546577732bc320929f5dd</t>
  </si>
  <si>
    <t>90d429c26a91ca3b8f6319affb726b71ba01d4ab1e339aa8249b04307fdd6211</t>
  </si>
  <si>
    <t>a77b14b84b2622cd41f18a5e086157a7d603ea343e2cb98db0c26cd1beaac263</t>
  </si>
  <si>
    <t>97fa5e270202ca95fe600d22affbbd9fede56e9e2ae946b414c35bdb5cb4c79d</t>
  </si>
  <si>
    <t>99fe9a4f409a03eeb39942655447eaf143376ba77227341614f9b203d480b776</t>
  </si>
  <si>
    <t>047911bc565695d14ea1b0632675ca9625435185b27589feaac2f755f7c4b533</t>
  </si>
  <si>
    <t>e463c6cf89e980e6bfc6a83025441e237ddcb05db849c1743b3fb516217edc79</t>
  </si>
  <si>
    <t>7465189abee89adab5b716144cbe2db870a4e0d7fcf8026c76afd273adbf1183</t>
  </si>
  <si>
    <t>bdeee1d232c72bd7c237ff95eef92317acf9c73aa9b3526365aadcefea91f8bc</t>
  </si>
  <si>
    <t>fd4030ff2ea61a306cc64f76c0d72b93427ba6cb2c2816b8bfff4f50fc4cb404</t>
  </si>
  <si>
    <t>386af2221452e8e086e8e07bcb376f16b8f3cfa7fedcb8ad0f2bae22a4b9d5ca</t>
  </si>
  <si>
    <t>0a6578409296a40cf1ed213d557c17c1f8fdbbccbb91be70e04d387fb578da5a</t>
  </si>
  <si>
    <t>def52871470887e444292aa79f64a78ca439164fdaaa86f5c604860d5cd6ece9</t>
  </si>
  <si>
    <t>2caac9bbda1284bd087e1c88ea73130f62813d1e39fbfe8618fb242b8ccfbd94</t>
  </si>
  <si>
    <t>ae399c94fce0cfe049fc5b0038d067e2d69a38e256fdd865a2cfb3c76f25a405</t>
  </si>
  <si>
    <t>c47b7b8f0bc0a9368f08583983322a5d183e4046e92601e557eb5e88967fb407</t>
  </si>
  <si>
    <t>47b4a4e00205dd2b015867531d69c381136cefacd81275bccc41db6461fd9474</t>
  </si>
  <si>
    <t>b185c44e8398a5561c212154c0ccb9e96c491a87fb08449e4e9a00d5c1ea0d67</t>
  </si>
  <si>
    <t>d68ccaefbf381eddcef8bd2cde4c854538f37850bd0bd3fa7bc1bbd68b836758</t>
  </si>
  <si>
    <t>7185968f403a52fead242f1b962afa03c855cc7f7df4e70a275578cfaabcfc67</t>
  </si>
  <si>
    <t>145726c409a83283a0f75925f83ef8e6f45f75a1898a2105201bc32cf53b662c</t>
  </si>
  <si>
    <t>d504dfc9d25a412f0004cb5f8c27e8f7297271549113d577613113bda60ff4ae</t>
  </si>
  <si>
    <t>76c35dd160dbfe32a930bbacc6ada4e4fcabae251a936e5898d979842ca2d3a2</t>
  </si>
  <si>
    <t>577c319a3c4a6e8cd7ba10dc063009916a18edae2e78f86028a2c2eb0bc7da25</t>
  </si>
  <si>
    <t>548c89e05e099575a74aa2fb8b689df3eb82d2ce6dc83123a82cb5488bc07188</t>
  </si>
  <si>
    <t>0dabad0ac82981fda398aabf49e2920894f8ca2b21ab0b3ac74f6685270eca20</t>
  </si>
  <si>
    <t>ZIMATLAN DE ALVAREZ</t>
  </si>
  <si>
    <t>6cdac8bdf9f4c64814773c4be796afd57e658bc88df21a794490e87d38eb56f6</t>
  </si>
  <si>
    <t>caef513434bce01695a605888c260512db7523364bb040fc6293c021c65ab67c</t>
  </si>
  <si>
    <t>4972cb3ba77cd61d7675e6d94c62a4109e95c093393a0c98082630698c8b2ff6</t>
  </si>
  <si>
    <t>cffc51d38f2b1d2e68e73801725e1ec410c0b76f24b418e0d3b89fc50b8bc44b</t>
  </si>
  <si>
    <t>52f01072bab49c5e800d988248756b99465f8cd13a496cfc6af07ddff5e19528</t>
  </si>
  <si>
    <t>5595097378926b7fba07d9e29e3e734472dca5d1c8db2f6a2da7249a793c50b3</t>
  </si>
  <si>
    <t>317cd11f836d9f134c8afbc1c5e23a00a12275a019e463feca80fa0a634a35d9</t>
  </si>
  <si>
    <t>99814adc5e27ac921cdf4467f9fca1fd1596e672c97e66386821382ece2c4914</t>
  </si>
  <si>
    <t>42be8782762e2fcfd188a4fd9dfa4ead64e5515b93b512c3572a910f0ede5b27</t>
  </si>
  <si>
    <t>a6c5714e4695b67e275d0aa523f02619246a958ea2a8f0bcefcab4ec0ad51be1</t>
  </si>
  <si>
    <t>803aaff2ad6a4de6db0d0dfbeeae55880ad590cb17b255a3ba38c5f0c471a752</t>
  </si>
  <si>
    <t>ee7b77639c2603a61fdcf42d0feb50ee54b906f3e478257f18baa9099ad89c67</t>
  </si>
  <si>
    <t>10ff78aad49bd5fcc177716d62fa337658fd42608abaafb1cdc106232d3487d3</t>
  </si>
  <si>
    <t>abbfdb02c0e8ec13f05e8167f8ea7eb8799b14931818b4dada9d6f7482cec3b6</t>
  </si>
  <si>
    <t>1692496826b979f487793afb53873d866b3942f6e7f064e3cbddb0423af01d1a</t>
  </si>
  <si>
    <t>9be925f06635d59cbf752cb2de2a7f72679cf741a17260009e3fa0911b324044</t>
  </si>
  <si>
    <t>6bf8afddc530eb5942a21c247384b13baf94b4ddfb5065c34dbfd240982d6dce</t>
  </si>
  <si>
    <t>3d1c84d0f94de8480990afaf9ae9f8fe12cf6150a704f0bc17506e580b1abef3</t>
  </si>
  <si>
    <t>d2a9f9e057300f7a30f3c5e873d6d8af4d517b116ef17ba253dd6410a5e13a15</t>
  </si>
  <si>
    <t>76297dbb70a5fc3d5b9889483141d975183a1c5c529816ce9885634727c3ad67</t>
  </si>
  <si>
    <t>cca7429d13037c7c8535c6b6f3a307bb95fe65f5bf9b380064f8b2e1ac76a1ea</t>
  </si>
  <si>
    <t>fd85fa9e2e6706278bc2497811cb3210b806b9a9e9d58caae5402ea5596b6d7e</t>
  </si>
  <si>
    <t>e2ccb9bd7db7d26ec11e6e5f2bbec789241c5bc0cad2619dbb4433674e9df1f6</t>
  </si>
  <si>
    <t>e65766284b4cb2fd66ab688a0941a8ba502de1d762bc18c90fbca17ed47edbfd</t>
  </si>
  <si>
    <t>9818c328d4425ee9113a20c1a44a0d503936a194a413bd1c0bb8423c614aadcb</t>
  </si>
  <si>
    <t>59c7e1eed154ae5dba119342ec66db478ca46b1589745d89073071f384f4480c</t>
  </si>
  <si>
    <t>76b8f780dce206d71515b729fe3b72d163c788ca063f1bcf024adbba821ef217</t>
  </si>
  <si>
    <t>b5290c65634693951bb3e529757c65ba056477af231879b894f70b4790d2da1d</t>
  </si>
  <si>
    <t>71ae2055b80712cacbe2ed77cebd98516770f900ea17cd13d0d55049b7b6328b</t>
  </si>
  <si>
    <t>e3daa6ce9dfed1be3ff76d418e11e609391ed29b10e1436b8a29f9abe70e3ff3</t>
  </si>
  <si>
    <t>b9c852ce4fb39351fa23893cf66c789b1f598c1cf8716ca4462a1655ca0d41d3</t>
  </si>
  <si>
    <t>20f39788c7d142808f70712498d693894d7f3087073f4e9631f414c5c1973ad3</t>
  </si>
  <si>
    <t>55f13f8ef1f6f2fda26c89b8197e196c0e85b7a0d60b3d202d94c88bb4fee2e0</t>
  </si>
  <si>
    <t>a18fbb893e1e56ad41865ac3155e909bcddcf141ed42d484941da67929bc3c1e</t>
  </si>
  <si>
    <t>6129434265b3ecdf7c7c0049c6fa2954f1ce7e5d3daaf23af7e20b20b1830595</t>
  </si>
  <si>
    <t>d4e4011c60fcd2fb48c9fd50328fdee26ada02502300bc906cc957298e8f9f2e</t>
  </si>
  <si>
    <t>af1b65bdaba2477395ee74e908684cb2980bd48aab35da976fe6021a316ab628</t>
  </si>
  <si>
    <t>f886c8093923bb057e610105ee4352d0c05779c679289975f0b11f586824fa86</t>
  </si>
  <si>
    <t>58572c82fc204bc806543fb3b7b5cf75fde5d8d7a6a3c7efbe66309cfc783034</t>
  </si>
  <si>
    <t>879abf21ccc38184f52826393b683cece8c0f9ba2459780a60953d59a17cef33</t>
  </si>
  <si>
    <t>273d631222c09156c7da93b59d1a6b80c35cddce7b16bc3f8d9ab33da7ec9435</t>
  </si>
  <si>
    <t>976cf74a620f44b51fbba494e7c385871b71797722c1969f62f954709207c5b0</t>
  </si>
  <si>
    <t>d775e4f43cf37171d910c913159917800089fc7a8b341d9f19728235ca63185a</t>
  </si>
  <si>
    <t>e8d169a4d245b182c5502b4ac7853ee5c25a9b8ed903e4a2cf9686f670930e3a</t>
  </si>
  <si>
    <t>002f3885b0eda3ba82f7719202841b8c09adc95af5a2324b253e1890bf2daa95</t>
  </si>
  <si>
    <t>a2d93144cbe94a5935439563f0241df5f0f27597c761392a9c8117cd3eb1fc9c</t>
  </si>
  <si>
    <t>774ade387f577303e6a3c67bf29d47e40df329194c7f8af5cc53f5906a8efcf1</t>
  </si>
  <si>
    <t>515e09b3d4593b978eeecac61f56beeb20b46f074794849b6e5a75b5e811dec3</t>
  </si>
  <si>
    <t>4218d9ec3b1a0d99b5456bb3b74406ba64dbde6d8e13efae1f76d1e1a731b0b6</t>
  </si>
  <si>
    <t>37c61b1e208bc0f1ce73fee817787eded665b575edea66bc73f1d677e20f0103</t>
  </si>
  <si>
    <t>5bf1851bb9d6f40de10a03896e1fccbb5e78861f5d8eafa1f1dc2c0fd563ec2b</t>
  </si>
  <si>
    <t>64e45b5280c856fedcdffc35e36ef619244cb00ad4419845140103f839909c89</t>
  </si>
  <si>
    <t>9230925ef0545d5e27dd20c2aaac1bfcfc2507c8c527770419a59502eeea7991</t>
  </si>
  <si>
    <t>8203ab57a92ed380d52801b331663376f501ec4a22fac9f91d676a87715821bf</t>
  </si>
  <si>
    <t>7901c0db3f70fbd7edbac1336755dd5cff5f0f4d4f6e97562c05e796f2e5bc1a</t>
  </si>
  <si>
    <t>f7566b97fa639a3b271789e8891f8ed157918f79d0d51bbb1311199f259cc6e7</t>
  </si>
  <si>
    <t>7beda4c9d2a939f994414e769d5d6bd4f541f82b42d133ecd8882f379ad3e98d</t>
  </si>
  <si>
    <t>899a1300b57e704b6c63c4aad772a9413ee45f4fb79d25b5dffcaa62596fcb01</t>
  </si>
  <si>
    <t>2170418182d7e5a4c53577355eeb09ca1d1a9201f9ef47b67b55dfffe2f1e751</t>
  </si>
  <si>
    <t>7e1685f2a9d37d8deeeb25bede9abbef20cd390a5c0c48230c20979d02097905</t>
  </si>
  <si>
    <t>56c2c34e6b92b9b2ad193497d2cd47d69a9b18b174bfbb31e66a9f4b54d4e8a8</t>
  </si>
  <si>
    <t>603bd8ec21e60430802c5e48ffaba3bbbec5b03cb04be645c6dec66b4ad96873</t>
  </si>
  <si>
    <t>5d06dc3a8b7f45bd130341d48a67def21c2257dc7f8556ed1fd77fbf5f28e9d7</t>
  </si>
  <si>
    <t>b4650aa404548b4a8796f7558a9b4b93e6d5f0c6300a55c64d0a08e8abd1c242</t>
  </si>
  <si>
    <t>3b8199ca26145a1e361d230067fa4d1a7924594923d8a06cc2cdfaeab512da06</t>
  </si>
  <si>
    <t>82e75c9bcbbbaa5ad8db71ed1ec21be8f766dc8a89e4ad72284dd1f1a8d23555</t>
  </si>
  <si>
    <t>9e4ccca05a4243266b5c2bd617e62b7b73af210ca8c29558be3104621e0933bc</t>
  </si>
  <si>
    <t>49ec0c7cbdb8e1982e13cfe84eb77d7a6818c3e024be2ae94bbe26c17f9b4172</t>
  </si>
  <si>
    <t>a3a325371086548cee3b2fb8636d5ef480660415100e8f91e60175f8a7053f74</t>
  </si>
  <si>
    <t>ef628b474ad894ab0e6a3ef578f817dd378456ea7d9c668b0cb934a2da50456b</t>
  </si>
  <si>
    <t>8cecfa48fb44740e2407fd14163f9236f9e48d022527ee4806eaa2d20da4858b</t>
  </si>
  <si>
    <t>e64a78a755483808cacbc4330c9a864ff5efa75a00dd07d2d0757bc650cad781</t>
  </si>
  <si>
    <t>f6cf2f4dcce19353bff67b18fd2fe86adb049ec2e1625ff97cb088bc9585fcaf</t>
  </si>
  <si>
    <t>0d17391129eb20a151534c02e8c64b94fb52b07cd6d492559b399920a7f943b6</t>
  </si>
  <si>
    <t>1ee0acef28391eeb20b9f9bf850cf7c2ab8e4cc686a8410f98d6032399ad9e4e</t>
  </si>
  <si>
    <t>4c56d656d45561884b28f7d6974770292e7949d850c0b8dd4fc97d1f67117daf</t>
  </si>
  <si>
    <t>abdf2dd3b0f8dfe069b87f21e39e2c1c0d573cf732161847c6111925ebfa27bb</t>
  </si>
  <si>
    <t>8ee8b88a15a369e9a539c5ae85880e5b92ef6603e0cd9723af0a91c65032d432</t>
  </si>
  <si>
    <t>3ac4485a3228313a058e1e5d5a3e3d5cf06bb10cdacb37f49f3b936553a21d26</t>
  </si>
  <si>
    <t>8a67af61f656997f93fb43eda0288153d4611745e16c602c0d7d48a34a996700</t>
  </si>
  <si>
    <t>8a2fda1bed069688ae43bd9b08458a742f6b4167ab4d2e7a1b286e4a42d7ba56</t>
  </si>
  <si>
    <t>43156756e5c4b32e58a7114f0c80fce4e1ba7e516fd3d1e43f572119ca5dc582</t>
  </si>
  <si>
    <t>bfa8448bd248fe95d9c782c8006ea864b4ec9382e311d806024014e50d4f738d</t>
  </si>
  <si>
    <t>ee5183176833ab074ea6b3267a85d52dd4f8bb375bc1dd1fe7437afd1cf96ed6</t>
  </si>
  <si>
    <t>7dad3b02a0c2839ab50a236231d928da96ec40eff5ead9f505f2709e9490c114</t>
  </si>
  <si>
    <t>6c79877e62c3cbb158e8e245099ef17a6230034474ec39ab912e289f8b8baf8c</t>
  </si>
  <si>
    <t>a17435f12ce3f816a8073405581f1b91fbadda7e01f4e7c59622a81ce1a09570</t>
  </si>
  <si>
    <t>ffc91d9ab5fddb3efaa12d2084cbf1c82514f91c6c35c5eb70930bf759f41b87</t>
  </si>
  <si>
    <t>f6743d7b7a0fb50ec11a3963323c045a6ad16ab88321965d2ec39b1dbdea5cc5</t>
  </si>
  <si>
    <t>1c3feefedaf39ff1e4ff8560eecba0c8b07216fe16653ae7663d9365a77c0b77</t>
  </si>
  <si>
    <t>b17c213946e9916f3cfdb09cb466fb40e5d9f6d22e6e2e0db2d3ef17ffd0941a</t>
  </si>
  <si>
    <t>6c9e40e412070a10432f6deb39734628bd61d0766b3d6ed8c434c50485dca7ec</t>
  </si>
  <si>
    <t>ed60643a71612265c770111ee5add203cd3dabe0bee82986db216032d829d8cf</t>
  </si>
  <si>
    <t>f72e1ac948598e2d3a6caea0970ffe03c994d69ff991db7dc072051facc8e482</t>
  </si>
  <si>
    <t>0d7e63cdf73ccebb0e8e5531be0912f2c1d445fb2f5e42bda6c0b9cdc8a0fe81</t>
  </si>
  <si>
    <t>f1b770f8b2c6f412deeae371cbbe5f17b9fdc024aed91daa115b930936c268fb</t>
  </si>
  <si>
    <t>9e677ea7f8ef9c2d0c4edab2096d0076602475f8bcd69773e11c573c71e3733c</t>
  </si>
  <si>
    <t>f051a465fa2610aba8adf98805d781aa4d6ee9f49ba2d9548ebee4b10f08f960</t>
  </si>
  <si>
    <t>1f0592705efce0f46d6c6c4cc7635545f61c19c42a4331ad8018d7bff4287d8b</t>
  </si>
  <si>
    <t>d85d8f1af6e0e2fcd978c1768777a0c7c404a11962fd3fc762fc49dbd2ffdcca</t>
  </si>
  <si>
    <t>45bd5095e4fefca18e11ea26a696247ab71068e23ff31d1daf57afd4f2aeed89</t>
  </si>
  <si>
    <t>d1610ffc1ba3f099d11926a8cc598f23c16a3e09953476dc1dab8217a32dcc1e</t>
  </si>
  <si>
    <t>bac1f77af6645269e1f16ba59dc35ade74d2cdcf950140c28ad779457c0b25ee</t>
  </si>
  <si>
    <t>c08e39977ca8bc7512b22bfa6b2c994d55912369e1984d291e2e212ae8664d9c</t>
  </si>
  <si>
    <t>64459b49ecb82943402b35d04f2344d812e632ab7509a3b6e26b7a32ae3f187b</t>
  </si>
  <si>
    <t>73c67a2ee36c7169d88079d4ef92f6c2f1e509c01a5cce6e312f516ad8938c47</t>
  </si>
  <si>
    <t>bca5e1dcecd806c673ef1cde9e4dec85acf784133cd16f1c931c62e6ffb29fc3</t>
  </si>
  <si>
    <t>fed9fcc7de55df4c4aad34f0f9c7f78d7cee8bf859238a91c71d65664d6f73a7</t>
  </si>
  <si>
    <t>fb0fc7291d184385216372823bc386398b9ac070ee87683289532383b613fd9f</t>
  </si>
  <si>
    <t>baecd7b955287c7c4d25d2bde7c4fc35708122fa84243a077f8e89d5b3c0173a</t>
  </si>
  <si>
    <t>b37d9fd4e9f87900554fc56c0fa99f87bbd618f726fe78fc37bb90d2181a4c12</t>
  </si>
  <si>
    <t>6cb7dfd3da943145de696a2f031205e6653e9743e9abd91aa20ffe85aa77e70f</t>
  </si>
  <si>
    <t>7123e20d1d7ea59649abee58e3d433d67bd8e83c843e3447ccada718db4f1b17</t>
  </si>
  <si>
    <t>c376893d797f2d8c386b7cd442af88d614aa6b3f8eeaa4dc3084555e59176455</t>
  </si>
  <si>
    <t>3d4400e43b5c2e6e3770344bc365e94c91fc2bc787c736fafe22d5bd1f281b57</t>
  </si>
  <si>
    <t>e57ae69493a9c8900ce21d2129e2cc18a3951874587b8c3282e4b276d27e1493</t>
  </si>
  <si>
    <t>e100d0c9264a14212eb293e3b85c10e8b2c9f90fa6bcaf4abe95b0acb4e76911</t>
  </si>
  <si>
    <t>2b9c066cbde62739955cff6699daf8037a63093aac7b958eb468c349089bd670</t>
  </si>
  <si>
    <t>8ff625df91e94026b3eba0422b442668350775db74c95cc2cd89c22b269f43e9</t>
  </si>
  <si>
    <t>79f31da2fed231884b2ba05e6f5e01d566e400ae45ae65a45bfeb15a7e15421b</t>
  </si>
  <si>
    <t>c5093b15529f277fdd097a6519b5d4cd3ac6f5675cf87156055ce3d1fd4c0716</t>
  </si>
  <si>
    <t>656c223cfa1b9b61952387f08ee3f3b3a0e85fa642a7e22fb38f4600edbde3c4</t>
  </si>
  <si>
    <t>efdd6647d07cf574e7dbfb7116682d45991aeb6252e58780897e8f8f58f01fea</t>
  </si>
  <si>
    <t>908a85a4ddf3dfb0bc7bbec29093c117bafb50bac677334722f7c0e698fc56aa</t>
  </si>
  <si>
    <t>89ea40707dc63564c43e3b44a17a39add3334e7d0a7de86fe767de5d8298d7c8</t>
  </si>
  <si>
    <t>27a306b980eec8bd11b1dea67ce6a6b1c9199caf8007752aee3490e9ec5eced2</t>
  </si>
  <si>
    <t>64968d493b4d36bdcc23b136105ee7a7921fc541879f9d0f9e8e8bc4500e1e82</t>
  </si>
  <si>
    <t>a7d0b03434381e0adbb42247f52622888d9ef627d0f1de6029ec7519b910209e</t>
  </si>
  <si>
    <t>46bb42057d50c9ea07a9a29c250edbaa95d0124ffcdc98188f135d57a6bd1544</t>
  </si>
  <si>
    <t>c35274ac6beba4f8d705dc1325a12579b60678cbe7e2f140c9dd362a4bd9fdcf</t>
  </si>
  <si>
    <t>b2ea455611f16a43faa918f390b5ae285242060874a917edfbd1c2c4ef2ecd9c</t>
  </si>
  <si>
    <t>259558d68ab02949eeb927d324e2616469a6f0cd370afe608258d02515a2fc06</t>
  </si>
  <si>
    <t>00c4ff4bce7cbca822602eceff29be846f3e9e5f9c35eb1246de48b0a91f1656</t>
  </si>
  <si>
    <t>59bdabbe978ec952ae2ea05b1d92e743fad425af74ec42f28fcbbc3ef1ee076c</t>
  </si>
  <si>
    <t>a46cd49bb922a18b6e8fa659fb4ef5cf162b2fbb63c9be6b6e8f48bdfd451488</t>
  </si>
  <si>
    <t>e3e883c42cd8d5898669eb3462f328bf69ba40ce85853fdb231591a02dfdba1a</t>
  </si>
  <si>
    <t>4d72f534c00db0f73c46148f50c53ed1dbc905ee2601bf7929709ac220ef2688</t>
  </si>
  <si>
    <t>5bc49fe33ffe40337039f29621fa32e9178efef8cc11ca65eba482527f65a2f4</t>
  </si>
  <si>
    <t>0331777b8725c2a3d8682d78f2c2934be24c1d931d1fff034ec66fe5d42dbd3e</t>
  </si>
  <si>
    <t>b6f663fe61402ac4b986bb76fccbf6c317cc4e33e2f58e073341519a05c893ef</t>
  </si>
  <si>
    <t>c43357a99c42e5bcc4eafe7182eb9a44a4adb8d47a8ba66696f5e6deebdef37b</t>
  </si>
  <si>
    <t>d93d216a6207f6ad752a87636de8f2a09bd45bd9381d102c9e7ae9804bd26522</t>
  </si>
  <si>
    <t>0ef7ea3af1a393b94b1cca98e9f99c4a1c19fb9b5cb5e45708e3746d8fbfd979</t>
  </si>
  <si>
    <t>68c0813f1567e9b0ac599631e84ae6d3ba0c7ec7584474605809e91efd1a35e2</t>
  </si>
  <si>
    <t>9b44a5d6dc96951e1c0009d3b6292cc6a26b981de8f3162ebe50e8e99da3d5ce</t>
  </si>
  <si>
    <t>c6be476aa692c2aa4862e3b06a6fad1c084f4461be132a4f5329f429ee16da7a</t>
  </si>
  <si>
    <t>7796764eab3914df2bea0edc9f78a5905abbef473006499b7148381aa188a454</t>
  </si>
  <si>
    <t>9253b1053b3c4f53847a6c67d874f1a2487f0dac129f16e3b92dc5d988600866</t>
  </si>
  <si>
    <t>c0addf9b99a5b4cdf5fac4532c94a9822f27bde6cd2f7648999e1f135148a521</t>
  </si>
  <si>
    <t>28861e800e90dc55fb67bd806693787d3e2e586fa8b66ed381d39ea9cd8a99eb</t>
  </si>
  <si>
    <t>4c2470460442d65132bbe22f409992698a8447dc941a18249c8f5ed470542e1e</t>
  </si>
  <si>
    <t>76a90aa1be8535974481d7cfd808fe1e008cb1441516b2e6b52a3cc611e7f976</t>
  </si>
  <si>
    <t>91ccc1d3682b8528cb5184548291adf42a91a5fddec731f3335edcd32e93c2bb</t>
  </si>
  <si>
    <t>f0f115b718a5ed2ad58e8257d0e015752c2ffaaaccc6545ef79b4df2d26827d0</t>
  </si>
  <si>
    <t>f0359f4c647e40fc993ddd081f96d993ff7cbf7a91bf2b1b1ad7308a602971d3</t>
  </si>
  <si>
    <t>e1b905568c72b722cfb6d8d3003e5be6da3ceeb47a9879dd6bb375ed5697b187</t>
  </si>
  <si>
    <t>4643661ec81dea5a68088bae91aee50ee994c38974abeae85db53774ec22ef81</t>
  </si>
  <si>
    <t>278f11deb4479df3a92c50cc38e3dd6f0216e74b750d3a3546fcaa0076074c38</t>
  </si>
  <si>
    <t>d0e80630f5b08440d9bd0829744184946779130fe428e53949b6fa239c740868</t>
  </si>
  <si>
    <t>dddde98bd87a62eb34dd2eec48a273e6bcf8966036cff083757515b24a2ca552</t>
  </si>
  <si>
    <t>c6f5182218a9ffcb3fcefb894a199306e29aaad3118c48ad63ec0ba6da0e25d6</t>
  </si>
  <si>
    <t>9b37f7a5ca990b603fd012304e0d046ebfee77d6fe51c6590754f098e63e6231</t>
  </si>
  <si>
    <t>3288f80e97d6295b65e048e758b551ce32603bd141af3698f4e27674d9011905</t>
  </si>
  <si>
    <t>386d42fe070c9a1cddc4f49e9c2ea6f8255bf19d23c14c547c09d682e0883c41</t>
  </si>
  <si>
    <t>aa6c99f75da38bb39b9b04d06c221e3072209bf1f2abd718ddbc250b92b4d517</t>
  </si>
  <si>
    <t>8f847e96bb9bc7948355e42b25d0319cc5b179e2d6403b005bde41585d883297</t>
  </si>
  <si>
    <t>a72f67d9e4e4f62e8abef31711570f4492947142f91b6a2d40956c19c8e6c7e0</t>
  </si>
  <si>
    <t>c5fc9195a3721a1ad47c3d5eb71070937cf0c22dff9b647de5e022e67b10127d</t>
  </si>
  <si>
    <t>c8b7771371d469a59cd7b5b778ae7af8b16f3c3c42b89f8a8a2e8efab4642a69</t>
  </si>
  <si>
    <t>564e74f900ebf74c8292cc288dfa8b4643cc991deaa8813894018ac73f7a23a5</t>
  </si>
  <si>
    <t>7806f8ea6cfbcfae703648a098851286b44c3ffd45fe11635e3ba945242757aa</t>
  </si>
  <si>
    <t>8d5a675f0901a1ce0373b33671d96feae3d7f1ed55bc8d7817f14bd222e015bb</t>
  </si>
  <si>
    <t>3198ed926d84f42de13df8adc6d57b571914a595fab231709759eb569845d36e</t>
  </si>
  <si>
    <t>acbbff659493832746c50a8a205e0b543968bdbfaf2ad4aa8ec93f1421298d56</t>
  </si>
  <si>
    <t>6860d203237cc8b92d304823b20b32dbd1f0685a0f8431749b81b60d33bbd748</t>
  </si>
  <si>
    <t>f71806f53c65549dbb4f0d4b83d9940358e965c3e79996864f0c2907cf9a5063</t>
  </si>
  <si>
    <t>437deac8dadda36b877c6fb013af19b417036d54a7711fe8744db06f2175b5b5</t>
  </si>
  <si>
    <t>2a056231bc535ecf59a716b94cccd573aafa743c370d5bbe73bb72d860dad4ac</t>
  </si>
  <si>
    <t>976ba8d0af77efe8f6c71d8f5cf753444b108e547da4de7975be2e73a3980bb0</t>
  </si>
  <si>
    <t>450c9158590d7fd255b57e889984873be5db172bf33329383fe3db448de153c0</t>
  </si>
  <si>
    <t>2e405b52fe1e2ba1051fb1c24fe5024c16bc80c1aa08fda1c0082c23ce7a4873</t>
  </si>
  <si>
    <t>2e6df680cec1c9f82beb3218b529fb8f7bd28ead7bfa4985e580980e27e7aeec</t>
  </si>
  <si>
    <t>2afeac55e03399ad8f78ef768f04d7bfb6fdf73d4efa4f2700a2e18592320931</t>
  </si>
  <si>
    <t>f4b3a38b1b044ec9d75c70880764a8a2f640f04d037568d962138c111995e024</t>
  </si>
  <si>
    <t>7ad4c7506a81ddedfadef63f3975bcfb2944ec71a1651641f0752af4092e988c</t>
  </si>
  <si>
    <t>6aea17d47c1a39d76a29b713f6d32c84076eedafaf79dc7e6bc105610482aee0</t>
  </si>
  <si>
    <t>5742671965a6131a4973c87ca3b6ea7e9d0eba132abe75f99da3ff775fcee1fc</t>
  </si>
  <si>
    <t>e76eac7b5b4cd8c7ccabe178d7071a72d9cd29412f0982561756dfcd093f1274</t>
  </si>
  <si>
    <t>f687402630c648d02ec8fc071ba762f4e9964a0678a5314a7268f1671ce72621</t>
  </si>
  <si>
    <t>2edb0946bfd9eefd3ccc58ad500c08b4c6dcffb87d75bfb4602618c4e029607e</t>
  </si>
  <si>
    <t>2bc1e1ad9571008805feea5c99752d18245b76badd96f657d49c4a064e3469cc</t>
  </si>
  <si>
    <t>bb143ab96044fc3ed38ae55d976621ffe1cf7abe23aeb21129299b237aa7801b</t>
  </si>
  <si>
    <t>c6ec7e123f08e045b89721e2c2dccb58981f0884e59522de2d20d77ae0d131d6</t>
  </si>
  <si>
    <t>ddff5dd5f287897919841561c3c7704f3a05e6b241ac3a3c92b39c82947958c5</t>
  </si>
  <si>
    <t>7f441f04332eb4717dc864e7558e955800f72391f36ae25b03798a9a93c0a3a3</t>
  </si>
  <si>
    <t>9014c0cb29ef446c04f48e0f6f4feb308fe14e1868656a522a72013f6c3f8220</t>
  </si>
  <si>
    <t>f09034c38c8e2762b63f907c63004a11c525ae36f6494f13652ca5658382321a</t>
  </si>
  <si>
    <t>e2f2d3e4a20a5142a06a5f70d90e461ad163dc7178f9c978fe409b0c97214960</t>
  </si>
  <si>
    <t>b824d0f37a3946886ca0f3a0e63bd2a21c0642eb4d3a613cab8982dfa0c0c1f1</t>
  </si>
  <si>
    <t>a588e3518ddc594047f4e78e18c8d38369121cff4a42a31bbad71fe5febc1aa1</t>
  </si>
  <si>
    <t>89a02d822b17659a3cdcafa0eaea6433afa312c6698a0679716795ea7e627329</t>
  </si>
  <si>
    <t>84a96024e2c55bfe73d1ee796a2b52ffaa34cd85f3cee7c9e411bde6255e21ca</t>
  </si>
  <si>
    <t>9dd50fbe75ca0a2a3f39a48735ff8da9e2ae807c45edbe73665a9287531f5b0b</t>
  </si>
  <si>
    <t>7823db437f118b66eb5bd28df5e9ce82bbe06caafd363de7c0986f700108c3e4</t>
  </si>
  <si>
    <t>3ba448e85a15efd74de7e8fef6c869b447543a8da2518b6e5036c234b3f6dfea</t>
  </si>
  <si>
    <t>7f4a748cd63f11694ed630dd1d6fabcb85eabb3c07361f57886acadb66657148</t>
  </si>
  <si>
    <t>eade4d23d70d7802115ea7f30705f7e262d42b45e9db41a161b878e6a47df916</t>
  </si>
  <si>
    <t>7dc5facaec7634e91d85a920d5ba8e23e72790e82ed433a2d67f8bae3804ebbd</t>
  </si>
  <si>
    <t>0f4ad31b1abc0309087b2bec54bf2f4610a228f1852c50cfd9b86cf629874c92</t>
  </si>
  <si>
    <t>a8c296e2c2f0a15fe5683728398673c3ef0fe07e1c2ebd14a9a2fe4304425847</t>
  </si>
  <si>
    <t>8113004c9a342387c4ad1a6af177cc16c6fe5a2178c0113cdc06e8fcba1f27d4</t>
  </si>
  <si>
    <t>cbf9f35acb7de1b9340969ab450735c0c835f24f599f34ff2ef9ec0985ac4860</t>
  </si>
  <si>
    <t>2328d4a827d2fe49e6c2786b52ef557fcff460b2a15a59fb3479f1a302fcfaaa</t>
  </si>
  <si>
    <t>affba0963ce990304017db7a10d95c019918ef4c7b960d2b1456111834d965ef</t>
  </si>
  <si>
    <t>be2ba93d7ab05c172364d29bd79a1a83274a6051e2a9e79f5967ac619c7295d8</t>
  </si>
  <si>
    <t>2009f5d99b41fd85f344c0bc5019c7ebf589c8fd4be7bfddbff4a1931468fe43</t>
  </si>
  <si>
    <t>841dc2b0122ce45a4bd99e5a78b985677d7c3354f40876b8f435a9d40d4c7a81</t>
  </si>
  <si>
    <t>c4895f41ce60e638dac3806928c9a3ac1fb5100d54937884cebe48e1f693c186</t>
  </si>
  <si>
    <t>01ccc4cb90bd6250a15b97cba54a2bacf718adbdbc8e631d60be96e9134e289b</t>
  </si>
  <si>
    <t>429cc8805a21fea92acf5dbe2c517af5a89d5ee3d63c2e68c2c7739808e8aa07</t>
  </si>
  <si>
    <t>ec305a4c4f58e18a17bfe70e384841b454e90dff5be1477227016ad65d207e98</t>
  </si>
  <si>
    <t>8422a8666fe9f3a61e6edaea5cc01830663eefa2c6d23b872883c1861a7ae08d</t>
  </si>
  <si>
    <t>70770f9f6105e10c781e38ad505a25b0ab178230c36153b063e245506c71cd2f</t>
  </si>
  <si>
    <t>6fc2e096f6e8f020bc9b983aae61157a914a8b4e42923e1dfd5f55fa850f0b84</t>
  </si>
  <si>
    <t>19c680209c468f92f2ebde46479d24c79c2cc0305b717f1a6665422f6798f2e5</t>
  </si>
  <si>
    <t>01e43266361738e27e71ea55873412bf566f45c7ae87bf1b7ffa6663e10e4d4b</t>
  </si>
  <si>
    <t>0dac1c6b3adf9b75716a891b91cf0e208cd2e22bfc84d5411ae5514477f6cefc</t>
  </si>
  <si>
    <t>5001905fb298a16e015ca506fa8a1321e1c913a6d37446eb630d83404208e4f8</t>
  </si>
  <si>
    <t>ebde6295c89a1ba9440d7a10d90facb8f601cf3d9cf6b918c0d60ce2034c3e0b</t>
  </si>
  <si>
    <t>TLACOLULA DE MATAMOROS</t>
  </si>
  <si>
    <t>f58ed0073b7f639bdbea1a8d5d0bf5043d211f6100c760d9c48222bcb11ee431</t>
  </si>
  <si>
    <t>31ac5c18229b8d1ea341318c5fd2f5f83f1b96e16efdb084e3914237e558dff9</t>
  </si>
  <si>
    <t>de6933da327c3d5e2f5ac6b4eb9859742b9df34546d7da0e6de2088ca5a22d07</t>
  </si>
  <si>
    <t>f13b94c99021e3bc50e6ba25ec6d21d821e41abbe36b5efd9759cd4ae5aaef90</t>
  </si>
  <si>
    <t>522697ed8501b660d79238017a6b87b59b500fe0c3eba6ee332e3ef42fa156a7</t>
  </si>
  <si>
    <t>93548bb5aa17717d9236369e8d3575bd4a689145d9a61acbf603ce58d79d6a95</t>
  </si>
  <si>
    <t>131f05434c26357a926ac1c2194583c8f20937506c73f1fdd5645cfa74885e1b</t>
  </si>
  <si>
    <t>38110de6678b84976f1af15246f745ecf3e4081c776b8b6428f01816aba3d37a</t>
  </si>
  <si>
    <t>9d23f982222e758cea3a9ac0efe8e3efed03bc9e402aef1b105b69cc64240cc8</t>
  </si>
  <si>
    <t>2c8cb3c1fdf93724cb09bc4c93c942c151fcccdce2c696650514e23773d7f80d</t>
  </si>
  <si>
    <t>793c35b77157eb9fe9874d7d12051438a0ca084fdcd288ddd6019d49e700cc39</t>
  </si>
  <si>
    <t>1cdd309ebf3175fdf4437085c305c7d8f93155c502263b505d6ab22f856a8f96</t>
  </si>
  <si>
    <t>d30a0112b67a5b71b4d76bca17c4ef674654d40006c13072eedee0d13a69c1eb</t>
  </si>
  <si>
    <t>492f301b8556e06f4d39acdd45bc83f7434ce1054601032c919764d1198e17f2</t>
  </si>
  <si>
    <t>73ef4c9868609f3946c3a8377b7fb19c5a9f6769b1844f9d51fb5579ec1040f0</t>
  </si>
  <si>
    <t>7cc69e8926d2cd0264016201986474ec20ab87cb9364fab3fec3a4665621cf03</t>
  </si>
  <si>
    <t>006a38180ae52fbe63e8fd64c929d99d7119537988489c0f150d5a49f0750aaa</t>
  </si>
  <si>
    <t>8ad6d86141c067daa62fce7f51366bc43ab4f359d56074d94efc035ac7c27ac6</t>
  </si>
  <si>
    <t>210e013a8c60c891de1d5b55bca847e3b5350ab0a9f63f0ad81aa1c886ab7482</t>
  </si>
  <si>
    <t>d47e7b4d2e9fcd040ca269744647683e22aab3bc0e94e5898c9d69ee2c19283a</t>
  </si>
  <si>
    <t>1a292b4609ca4fa66353aaaa07165c1490b7ecd947ecc805cd9c47741a5cc0f2</t>
  </si>
  <si>
    <t>81907c1f47603283c1ec4105e29de628c13546f42955b92ec00293b47aa16d73</t>
  </si>
  <si>
    <t>54a102b4b1818700e8470d472e5d3812811d3c8074133eabb7f6556a72a1c89e</t>
  </si>
  <si>
    <t>33cf05ca9aaeb064c12cb8042b7b3fd43efd3d017d99ae7bd3635c514fdd2453</t>
  </si>
  <si>
    <t>dfe705113474fe9ac1803dfff9c7567d1d1a6d0bbe3f21347e4e3c2c045f3472</t>
  </si>
  <si>
    <t>9c80b46af41e7c6aab6672e8e6ebddf36ab7898f68fd40cd1e73d8396b06bfcc</t>
  </si>
  <si>
    <t>3d284471fa0c443388a6fe2dd47fb3e5e3d5a8adda336f91d54069d6d76b3ad8</t>
  </si>
  <si>
    <t>b2797a282a1f0ee1d18e1ff44b64ad76400acb90ce64546602eb14edd2a1d525</t>
  </si>
  <si>
    <t>1d4cb7aefefd7c3da811d944066f7fde10b707f6532d5814a092c1c8b7d430ad</t>
  </si>
  <si>
    <t>1ea9ee6278e95b3d58da9600a6ed0b2db18456c8b20ee5bb8311ae6efff516b4</t>
  </si>
  <si>
    <t>42e9a2a2d85170ac498e86e7d78319f75ff866a8d301517816d1d66fcf1c1da8</t>
  </si>
  <si>
    <t>6e0ed95ecae185582adc85f41dc871aa8404cca00787919f2051f5f20dd81947</t>
  </si>
  <si>
    <t>a6c61e12d89c934d5678fd531995c164c1aa0193c9a3b8c367b481bf3fcff17d</t>
  </si>
  <si>
    <t>402caffd2250eda21aea96192d8965d283d816dacd9ea8142c9913b28a4fe812</t>
  </si>
  <si>
    <t>96d22aae9236f46ee8cd1277b76e7d801145d3c665ca0b44b95e4c48b81ec2d9</t>
  </si>
  <si>
    <t>f18d5bf02d4581b8282b5a80ad86a0805a2130697a6fa2e1b7475e495d298346</t>
  </si>
  <si>
    <t>ab9541a1835b0267f4dd218aaacfb3d46847001e445442798cd28023e628e01e</t>
  </si>
  <si>
    <t>690e817e53a11d933db8487a728dd95ff0871cfa37088d54a033d0b14bebb466</t>
  </si>
  <si>
    <t>84635966093eb49f2234f36735daf1d7875612fcc0919b8ecacaa3eff1f134ec</t>
  </si>
  <si>
    <t>3b13e1b80a1b083cb6431e3f6f722f4cd74d756e369d061005a6386add7a4544</t>
  </si>
  <si>
    <t>00ed86e45b1813916fd9c96adaaf150a381cc24b7946b34453de949a831a05d8</t>
  </si>
  <si>
    <t>a90d7ea421d48870bab8dec8234558bd32a3e29fdf4a685468e094e5305eaa8b</t>
  </si>
  <si>
    <t>bdcb6bd0c28c772b58a3efebf7a18608ec536192267648c248f2db84c6c566aa</t>
  </si>
  <si>
    <t>ed97228aa03039859251848d9903dacf9dd6ecb3f3e9d86d4984fa70a92bfd83</t>
  </si>
  <si>
    <t>f4d9c50e4effe6daa78c8ee65f66a625bd6d272a96beb13b72db784f87135d21</t>
  </si>
  <si>
    <t>88651354fa9588339cd4622d2db078329adc2147476c0d54048b02367ca0fbad</t>
  </si>
  <si>
    <t>7796479cc06de70832de10e15a5bb6d3b0f1efb23ee2c5eae83196e4ce22117d</t>
  </si>
  <si>
    <t>c55b2caebc4087ff54ae605c26ed7c9176660ab49d38843e40cf95028626880c</t>
  </si>
  <si>
    <t>e6b4fd9ba0e5d1304bb03ef60bede39c47dd0794d33610190df165794ebad73c</t>
  </si>
  <si>
    <t>1d32683b5205c1846c3b0336f0ad7c80933339f0d50a5675f45889fe6462feb4</t>
  </si>
  <si>
    <t>7ee6c9bbba7e14f7d3fe6761e16da0354bb22bccd7bba46f82917d3e2b7b6259</t>
  </si>
  <si>
    <t>fd4f1ebaaf23b460a71a812d93baa7e4fd96cac4b0c6a2dbf8e6d50834e487ef</t>
  </si>
  <si>
    <t>4ac0623e45c15e2a1fcbef2bcc4087473b3c18792e49a197b2feea957c78104e</t>
  </si>
  <si>
    <t>258cb6f8757337e4bbbd0cc4d074daa721447b5ed06e4d0c24ba404b7d293dc3</t>
  </si>
  <si>
    <t>d70b67727bfec15a9504b8351c62ea1e53460103e57d165dc649d0f06d70b4f3</t>
  </si>
  <si>
    <t>653dda2208961ed728ecd41739d2326da1fafc1b59539228b99ed2527977b29f</t>
  </si>
  <si>
    <t>3e03fc9b8ee9b12bee0ce90d52d64bdb08b7e55258a71789238a58ed37710006</t>
  </si>
  <si>
    <t>213c82643b97d71c7f12ea5ed90d1b7fe865660a2f0a551b382e908c46e8ce7d</t>
  </si>
  <si>
    <t>9314b5e519d7bccf434883a739f4d1f0f73a3172d6539db0ede21997025fd546</t>
  </si>
  <si>
    <t>ba9fe20dab1c94fffbd3d83c407e2c291a53ecc4e30d97e55599ef85dfdaabf3</t>
  </si>
  <si>
    <t>cafe2d58849f80a22589df5717386cd7cb6878941de90780c0cdde1acc82a4fc</t>
  </si>
  <si>
    <t>3b13e098d08644f881c7b0044475cf86708a4829bd2252dc4ba67b41294aff1b</t>
  </si>
  <si>
    <t>e1fabde696d6a05a3c2e47b491fc269d3c1d825eb808bcbb439d3a5af61a4220</t>
  </si>
  <si>
    <t>17606b632f30abe362ac19b80dc9481f4bc2414ff2400aab7dd4ac6e0fa6bbe3</t>
  </si>
  <si>
    <t>18b191c67bde6aedcce56e3490893346b250fe2c1ecf9b3d9bea9d4921dde65d</t>
  </si>
  <si>
    <t>2e9a7a2e1485af70559c371bf675bf973504ae43ee98469a3301e884962e6e50</t>
  </si>
  <si>
    <t>4cac3e83b045798b824146d5f1f441925545ce5e1f8b0ac0105e2b1d255cf6d0</t>
  </si>
  <si>
    <t>12f7819e08e1e482c51c84d6f06717d4baa587ed640717f16a39295c606b540b</t>
  </si>
  <si>
    <t>e7bfe2c1d68bdf2bd7b42f327c968700c8fd7608305ebca4ab32b4a13e869492</t>
  </si>
  <si>
    <t>4cde6bc062e4859120cdda54163480e7972ebcbc26de7f6f31e4264dcc245118</t>
  </si>
  <si>
    <t>cbf4e3a39d1778db4ac3c03d81c37a2eeadfdff83fcc7d5fa35ca6f335b823e5</t>
  </si>
  <si>
    <t>ba9021ac3619e82ea1a7b7e2823f9195b1738f2f6c98be48f2c6cb78df1be844</t>
  </si>
  <si>
    <t>17dcccd7dcf50f1945297a83c1b64bedfae49352634c33df4e939719ab6ecc17</t>
  </si>
  <si>
    <t>d004329eacf4836f02d53d1d9c9c0c5e0b54b94281f9e4e0cfab995a58dcb0a2</t>
  </si>
  <si>
    <t>4ddae852795e42857724d5a813b12ece9b5346db34b986bdf11fe8ad6229f54d</t>
  </si>
  <si>
    <t>3f38eebe4572eb7a4a516d326ffb00725b22d4e05e07a07a12b9f01629b0cb01</t>
  </si>
  <si>
    <t>86207cdaae8452b3126f1384c4d1db9eca42b2ef8f863c5f19a1d1ca06a03040</t>
  </si>
  <si>
    <t>a68f26673c3a779325db67148573514b6495f05cd12d25013dd5fd7d895db006</t>
  </si>
  <si>
    <t>50057f00edf198f4ee27bf4c392531ff477f6e88331dfac69a2e822233c0fd8e</t>
  </si>
  <si>
    <t>97087967bccaad5dd240c860d263a0cfe8cb779997db4548084b715a52492020</t>
  </si>
  <si>
    <t>1d78f60e6d7f79a2cb4bb23b9773c8b8d899b618d1203620b0f5b4a89997b2f9</t>
  </si>
  <si>
    <t>602f72752530a953e8499ca5d5511ac85a039f51a3f23cf3ec0a80819d119da6</t>
  </si>
  <si>
    <t>545f104fc11c42937c00831f91e1953f24bfbea56af4a0cc9e163b3cf3ba4e6c</t>
  </si>
  <si>
    <t>6a7f44e202302fcff8ece72f95a82e8f90de80d8b62904fa576808f70436be4a</t>
  </si>
  <si>
    <t>03437ba9eccbedc35e5f054488ef55af0d54b8243b1800f6bda3dfeec764b4e8</t>
  </si>
  <si>
    <t>05767f08743c8d715af66eb0c1b1edbcd65c0ae1156cf62b057ca8a075e6d21c</t>
  </si>
  <si>
    <t>7a5ee6f20901b51a79526c9e9893ff86884000b41cb20f4266f6d94d4b8f7fa7</t>
  </si>
  <si>
    <t>a671e23cbebd3b6c89ed07cbfc557404ed3972912b2e4d3a06c73831c0078a30</t>
  </si>
  <si>
    <t>c296f666d28652e64ddb0ab5b482566120d4335b55f43712b685dda0ae68e614</t>
  </si>
  <si>
    <t>e5ed9a6468b2586dbb1d0b04596f5d89d11d22c291420314f5502e6a4f778b82</t>
  </si>
  <si>
    <t>310b137279838c148ea142d3b9b8137ad1ffebb9e975004c7c2084469540d0c2</t>
  </si>
  <si>
    <t>39332c98c080ea047c47e08ef459f5b9548f45bac5c331ec6006d4e46261fb78</t>
  </si>
  <si>
    <t>e45e7d3a68f08241ad61a8b2d5e3762bc22f9f77aad538f78611bae379e028a7</t>
  </si>
  <si>
    <t>274f4d30dbe98b68498bde28f31037e5784492c93dc1310699345dd4c9fbf53d</t>
  </si>
  <si>
    <t>a7200b960ca4144ce295dcc3429b22be4e863adf054c8acd25725a3e90ce4648</t>
  </si>
  <si>
    <t>47e7c98bd89250e76b155bd15223f14d2fec257f43da0de03ed75a3eb95ae86b</t>
  </si>
  <si>
    <t>4e139ec19fa3151e80d95b58353c5321bebb8ea591404ce72bdeae5ab949e33b</t>
  </si>
  <si>
    <t>ede174b814fd5e92d983be7d060d10e2a7c21ab772b7a50be6626b41bec7fb31</t>
  </si>
  <si>
    <t>579a91692eb272103244296443274e98d45bf015be784a1b54fb4aa3fe292065</t>
  </si>
  <si>
    <t>26bea24f52a18a1951cecc9247817382a0219339abd5b77f2d2f4cdbc119a222</t>
  </si>
  <si>
    <t>ca456c64b549200ebb279f2a2a27bc8fba10c9ad9cb561abdaa400ec057e1818</t>
  </si>
  <si>
    <t>ebaff56646a635a45f2cf231d53f55071d8b4c62353c596f830882e71c29e981</t>
  </si>
  <si>
    <t>7d309ddefacc06c18d6e85d1462888db97e915bf4f0c9a5ee1d8517f488855d3</t>
  </si>
  <si>
    <t>c8e3b31ba3ee3f261717dd612d966558e30c1df17186c04ed631bc1211e25844</t>
  </si>
  <si>
    <t>e511364c3f0f06525556be87742a3e637540f7bc32edefc1a815d1496802dd36</t>
  </si>
  <si>
    <t>eeb833e009692f7b7b20465dc5ce2fd27c0dceb18668dd608379a42c860f04ff</t>
  </si>
  <si>
    <t>fd9526129adcff1563ce881a18b355c0232cae951f03f6581292d0a5f547ae24</t>
  </si>
  <si>
    <t>d706c1050703cd8bc636852c8543bc8d247479ef515397deb2d342dcb96f7a6d</t>
  </si>
  <si>
    <t>de20d6c26973d3fdf9088f80459415273c7aa22b984b69922ed57fa39b4dc63f</t>
  </si>
  <si>
    <t>2f06ba35ec0239ea45e9c9e2d26ca15e6d5e483f799211324f2f34612bcf8b25</t>
  </si>
  <si>
    <t>8ba606c0e3f1aa58ec9576cf5d5df9c285400f27c764aba24c91d4d22e810ab8</t>
  </si>
  <si>
    <t>074216d21e3685aff716a166ff2bccd83ac96ba6bd0706b55b1a42e571c38b48</t>
  </si>
  <si>
    <t>40f4b3e1f6b374bcee632cf17a2b19587346b7bb99104efbeb9ff3b03cf67a0f</t>
  </si>
  <si>
    <t>02e54fc57c7a31114137de0fc1373ae49133e02c6ef9aaa00890cc97e24b8aca</t>
  </si>
  <si>
    <t>1d0efbbd4a5ec00ba6461660ea86ddcba44991adfb47e6d2d403bd6629a5cdc2</t>
  </si>
  <si>
    <t>c48d9bb14a229cb7153a0494332bdbb20b8d4c4186d598554625961cbb2907d4</t>
  </si>
  <si>
    <t>91dd089158b7bdb7e2b4a3270e7c9eb0f3bdebf139c19d6883fb46dbfcf06994</t>
  </si>
  <si>
    <t>56c48a4133725ae0dac994f59822dd3895db9b7bd0e22a7c2f25c1e05fb731de</t>
  </si>
  <si>
    <t>6e3f1ae0f589b81f1b25b8a135a41c7247ac2b3724b61532b785d54dad3433a2</t>
  </si>
  <si>
    <t>546d4101874a8d705405191d26fae92510b42405f42a2d500b8562aaa3f5daa9</t>
  </si>
  <si>
    <t>ac67e14c3239bb543733e92bf9868f264aa1dade1dbc64d438bed014498d8759</t>
  </si>
  <si>
    <t>e448681775660b4077e176a37ea765a1184990e14120cba406a967bd0acf52a5</t>
  </si>
  <si>
    <t>cbf6a25abf296060a80c9e9b99c64ee25c4f7abca7688a334ef47087db168ee1</t>
  </si>
  <si>
    <t>e7502765f742cf0dc30a24c687cdeb74485edcbaa8e9e0e4eb579cefd5f18e36</t>
  </si>
  <si>
    <t>cb3d49c3ccd42844c63abca8eb37af1bc82430ce90129c6fff103dba3d9c0c97</t>
  </si>
  <si>
    <t>887877a0e17115e4898d2b6335471211709b54a4d804ccd3ec22caaad0ef6d16</t>
  </si>
  <si>
    <t>f72bac1f6a888e3f8f0a831d2ad58428cb98179a5d99b127af0891cbf7633962</t>
  </si>
  <si>
    <t>76909d8a8055fcf4f077ed6c1ea0ebd3a4e6e56380dd3ebed38676366afdc0f1</t>
  </si>
  <si>
    <t>4ddfce1c6ad47d21a730d365c440aa7fdd5baac8c91938fbaab2ff75e57f8a6c</t>
  </si>
  <si>
    <t>888f947fc5fecec6920e33d54c18d98a22be9a2b07b65e5ea512fa7e0124821d</t>
  </si>
  <si>
    <t>2823ae4dd02cee697db89711ed0c7e5dd1b0a60075eecc0e409e79ab7b7eb175</t>
  </si>
  <si>
    <t>0fd56d42b04e763f651b9e927a691f272952bbc1df613d4ac82bcef5ac3b65fb</t>
  </si>
  <si>
    <t>b9e771ca3d5554911112b0967a39047e5da2d86b05a5b4c4b10edd13abacae63</t>
  </si>
  <si>
    <t>18ea12e0e75c7b135c217d48999e7e4c98bb8a9e1920323189e5bcb40e6b99a7</t>
  </si>
  <si>
    <t>55bc18ecf6d6452e60781f1c2c4397478614ce81f6cce4f824ad28d21cb97898</t>
  </si>
  <si>
    <t>80dd8178acc2dfa67ab278967f417cae282d103b2f2d079b1d4465878194ff39</t>
  </si>
  <si>
    <t>717e2e8a0441afac7bc206c520181ffa418741022fdcc3be3d9dafb9ec59b943</t>
  </si>
  <si>
    <t>c48c52afaba79a8f3a314bd7ef3bda3f7f3586f092ea32e30e39148169e3069a</t>
  </si>
  <si>
    <t>01812259a8f2c095365e2a72e715136f31502e49dee4b4e60e051630f53d5136</t>
  </si>
  <si>
    <t>de21a4dd0a7e8ce629a16e73686586cb4bd9dd10e3ff0a1fdc89365f2d329bf7</t>
  </si>
  <si>
    <t>81021c697a4597eb745db1b6835a9d96b9737401332901ae7222d244b52551e8</t>
  </si>
  <si>
    <t>2f46f5b97ae36b01642ed3984f20aae19358eb8027612d712e37ae056e5e7812</t>
  </si>
  <si>
    <t>ddf47a832563641851888c26854824d4a6384b842b5e112431ad0c10e2bc2dda</t>
  </si>
  <si>
    <t>72e9f1fb564f5f63382ef9f1123b2485b2ec8405167ab314c67742dff099fb10</t>
  </si>
  <si>
    <t>6a12662d635531e833fcebeaec5d5ea1712ee117270f7dd05231d73cc7cc83c4</t>
  </si>
  <si>
    <t>a0eb38b3a02d4aebf8462abe440bf328e9e8f6e02d3fb6f3d0dc227588c819f9</t>
  </si>
  <si>
    <t>e9622d2d8bf9c804816a1edc20c8accaa954da20aab247de8028b3cf942d33be</t>
  </si>
  <si>
    <t>b683775ddd1e5cefee9265f2330e88f4d6dd6152916efd9121733707a11e2739</t>
  </si>
  <si>
    <t>148a895b04e8b0efc1b0051bb9b55a568cb857ca2604a8c3561f7da09f6bcb6d</t>
  </si>
  <si>
    <t>8396a78c8821849e88515f688372bd9b64c0e0cfb146ae80dc8dd17eaa95c40a</t>
  </si>
  <si>
    <t>8c9e813cc636db024064b0cea57dd548dc8cc0bee941815ba44f129f3ea83722</t>
  </si>
  <si>
    <t>768ddbe2eef646902c63478e8f2cd501a4fbfb8d37b0529f51268a3f9a732f9a</t>
  </si>
  <si>
    <t>7c5728ecae0a20479914693a12ffb4a9e0ac10c0b4cbd8174bd7d2651254a799</t>
  </si>
  <si>
    <t>42c40ebeebf5a4766a30b5a4367ebf845853016a293c5d1063032ef299e37d26</t>
  </si>
  <si>
    <t>95a9b0e1cb10b7c1dca9a50321f9c2f1e2d596599508a1813dc68e74a63ea008</t>
  </si>
  <si>
    <t>e8d4d59592101e1a15007d6f9968017ae0ec80a6c78f968324e5bd510748e985</t>
  </si>
  <si>
    <t>fe07f5f50a4c510e276c267218b2aee91777c1a096e792198c56f3923405bb22</t>
  </si>
  <si>
    <t>abe8be8f9dcfd109b1f1525dfadcfd44c7d442df4d00a44865d6c1c3d1b64e52</t>
  </si>
  <si>
    <t>abd118b50ceedcb080e09d9904a7a152ccfd6159e01be078546911787372e5f8</t>
  </si>
  <si>
    <t>84449d2ad0f4657f3f26ce9a34dbda66428b7ab17a793b3c4ab4e443e8d7fa56</t>
  </si>
  <si>
    <t>a8b318fdd0f5770292fc622c0477078a972f2150c347760f66b18b99d4f4ea45</t>
  </si>
  <si>
    <t>fd1360feca42c3e738616137397a3bb7b24ea6471aafafb7dfc578fdbb566657</t>
  </si>
  <si>
    <t>ce67aebbf7f84b73e768924072b335cb0d3c046a4f1b0941723e31a32d06a7d4</t>
  </si>
  <si>
    <t>f3baed047e866d9749906a5fb376cda80164dd1b762e75fbf536427f8de61081</t>
  </si>
  <si>
    <t>a2b15bacbea7bde7e8895fbec9ef889a5eddb80cd51d39586809393a23f439b8</t>
  </si>
  <si>
    <t>73698fa1ea4689b059b651e49dc7cd9293ddf007ce87bd65799d977d2406da86</t>
  </si>
  <si>
    <t>365abfaf6adacc50334f5bb532b72f7bd116b630f08d6997b6c08bd956e7fa02</t>
  </si>
  <si>
    <t>335052815914d655a0e1b4c4e32340e2b105959656f09f5f27649d3bc683b330</t>
  </si>
  <si>
    <t>87fc99e68bb6a984a0b5d81df0b805df377b692750dc47ccc1cc1d336ea7b284</t>
  </si>
  <si>
    <t>4429f9811458f7d7bd01d324c533ccb87a017b52aeba977985e77efab264e280</t>
  </si>
  <si>
    <t>027b8a298d9e262279ccd44333a3c29a4519f25c1f249c6aa12e87d00fed4d90</t>
  </si>
  <si>
    <t>9a0518471013c1a4ab781f33a2c34db86ea3f9a6049a93705d5970571f51cbc8</t>
  </si>
  <si>
    <t>b82f567a2920cbf8456990bce4a6b1185ee17f81420e12fa04e8d0056acf210f</t>
  </si>
  <si>
    <t>8955b534ab809998d306a754ace2336a45ac457f3f9ae0b844a78e84e4ea26b4</t>
  </si>
  <si>
    <t>1741004119165d595b69a366d5d4148a0a5da780a0ddffca39012ed45a2db58d</t>
  </si>
  <si>
    <t>89e8e00e38edc200ccb7af856588da0c92c85a92397117607d45fe9ce3244723</t>
  </si>
  <si>
    <t>5bf30fc8235b5f453b56ba6ec1f2d3be880cd0246139d6f5326a861e026e623d</t>
  </si>
  <si>
    <t>7cb4c277f1dc5251e45db47544924aa44d52a195697263e201332d6339d97dfb</t>
  </si>
  <si>
    <t>28b70ae927141940af0f896bf1531d82bd18e6eec65f3bb74628a23f54585cc7</t>
  </si>
  <si>
    <t>bd2fa4be7745bd78ffc0f45aee08b870cc047eeca4d564c201d1835908242035</t>
  </si>
  <si>
    <t>8ef4764c4031b21cba4f0e1500173893ce2f233f2b1575d80a02ccc39199c0ca</t>
  </si>
  <si>
    <t>ae9b371388063db637ce0e7039eda214b36c33edf4e0f33a7630681981fb9a0b</t>
  </si>
  <si>
    <t>0cce71f713c61cde22f3df1326fd2ca0e387874795a21cb7fb103438c28981f0</t>
  </si>
  <si>
    <t>bf92cbf99e8d42c3e78e46bc047698cae7421a3d8c698ff070f0945f06557520</t>
  </si>
  <si>
    <t>053b2b2433a791658d7f5fb8dbefa3462209c339d8283f3c257d636c447e6cc8</t>
  </si>
  <si>
    <t>0873ddd1d92b3119c38a754df4b22ba47af1de30d4387588112363a2a2ecc4b4</t>
  </si>
  <si>
    <t>4e3990474a227dea4abdcee7acbf2d2029c698fb178c5bfcab3b260ddc775c6e</t>
  </si>
  <si>
    <t>6ea9725dd8bdf5ed104b921587492f658cdf72a25df1eee8d334dc198e0b52da</t>
  </si>
  <si>
    <t>687d2b7107f990f53244fd3150504079652806ea56e2bd54f395689c68b63a51</t>
  </si>
  <si>
    <t>4753756a4c7d3ae688467c9c8751dd1c5c405e9f61d06c27d7120f38779e6f03</t>
  </si>
  <si>
    <t>7181076cb3b4fbc8f0c3aaabbfde94d9e7cd4526c4aeae9e424d9a67df90759b</t>
  </si>
  <si>
    <t>f77774e76ddd316e190f2f958cf4fb1457624ba33513410d5f6f3a5f8e69a62a</t>
  </si>
  <si>
    <t>3e738701c3b8c91b78b6d652a149755f56c92da6a14a95468ca6f207b629b156</t>
  </si>
  <si>
    <t>4273f93f179461f69056f11adfc2f3bdb4563d43c9b5dfb323695c4d4988e426</t>
  </si>
  <si>
    <t>613661892b1bab9cd1a0971c5c77c68ffe3d13442549696e222a47cd6bd942f1</t>
  </si>
  <si>
    <t>66519e5c265d509de871a0cf266f9299590d237f826be1ab301b1c500d4df870</t>
  </si>
  <si>
    <t>f9324177d7af30312bdcaa078440a853a0146ecf97bae7ef3feef5b4a9c67c44</t>
  </si>
  <si>
    <t>9e418397b5b319348b76e343ee2c9c3531c6b5ffedcacc1d5fc8c49bde5ce7df</t>
  </si>
  <si>
    <t>882b2eb8f74ca619137e65247fa1771d128ac6a1a727b5013fb5939bb8b516f5</t>
  </si>
  <si>
    <t>5752dbb5127289893918d1f2dc79a2c8601ecc94315178494b4212be3faa713f</t>
  </si>
  <si>
    <t>bdd304018191baaa54a8a8c97d81fa0f29330136771f2d23260d65aa9e882307</t>
  </si>
  <si>
    <t>40ebcde58142b3afc6d4cbc927bfd7ecd3d5f4c4db43eedfa45276afa54972cf</t>
  </si>
  <si>
    <t>24c343365e029e4fb9a2f6dd1621cd09e08afaef8feb9df7b3d49f470206b7f6</t>
  </si>
  <si>
    <t>d394d64777cff212075f93d34cc071498bdb7d306e29640e18f7785a5c568eb1</t>
  </si>
  <si>
    <t>83bd1911461746a7f0a14be1e6e3686b7c08ca3f5fe8d10078d7d3faccdb45f5</t>
  </si>
  <si>
    <t>7adb6f2d5360bc04ce78cec657aa981c4b51c5ccf0dc747e951d8c33e5e4f02e</t>
  </si>
  <si>
    <t>7dbd571a3e374bd41534d989bcdf4ae215677cd91b383ede28109dd9e6eca59c</t>
  </si>
  <si>
    <t>6f64a2feec113532234f4b329d1e7a9d775b2d64ae26eb20acd17743a2296766</t>
  </si>
  <si>
    <t>a0f80b91ace86a9ac54ea29f565de7ce1cfc9f5448948e3e39058bc2e45db439</t>
  </si>
  <si>
    <t>0ab2ac723a2ba2ac95bfa6f9a655d7346b9c16a3d611645d2e1e12a29ca1b201</t>
  </si>
  <si>
    <t>9ca07a97deba054a33874fb292c67a8b3a10b963183ce7f6d3b571f3bf0812dd</t>
  </si>
  <si>
    <t>c2449546cb6821a920527f3778479f2d000917d84cd57a0714ae227506d0ca12</t>
  </si>
  <si>
    <t>0196d51c7e11eab410aeab4e2afae4349fb948443de9b359d4d6bb1aacf462ed</t>
  </si>
  <si>
    <t>fe80269345e13aff8f2f96ca8827ebc7e161dc9e04c97e47f78cd0c6d1121ef2</t>
  </si>
  <si>
    <t>06f0b5c36de219d2d033498a73bef0adf54f0c84381519c7ae6973895713cbcb</t>
  </si>
  <si>
    <t>da8e82f374a2165d5a95fb12591bfa55d43a45f1317e0abd59c24bf0e13b947c</t>
  </si>
  <si>
    <t>ecfc5e18cf8156cba7bf1478ad8f633b0d1451c1e55200c1889d0c60ddebbc06</t>
  </si>
  <si>
    <t>0d0a393c9e70f161fcc13cfe9c066aa5611de44790e57486df94be65d7844c8d</t>
  </si>
  <si>
    <t>09f0e33076d78515fcb149498c9896b84c87ff63b1fe488faf89c876672ee9ac</t>
  </si>
  <si>
    <t>c05e4217aaeb192eeb5b1f5c6df6c30a4b7d45238be9be56e45dd5df58d8b0aa</t>
  </si>
  <si>
    <t>0fec313e7a4baf4eea2324f80318cad341edf347821d320a8dfd8e7672ac0fd8</t>
  </si>
  <si>
    <t>e9b38e5f446b65b601e66bd002487854854ebb0604f87012b3973b7246bb1369</t>
  </si>
  <si>
    <t>4da89ab17c0702eabfb13e158c3a554ca6458f8a3af1e2deacb608c0143460ae</t>
  </si>
  <si>
    <t>5bf95336a5d4f63063812b566fc835351f39a4cb5cb8400631e0f5c4ba66d7e1</t>
  </si>
  <si>
    <t>7accb9f1268af3fcc75711baf039d6567498c439fb09e5223fbbcc7d33d6f725</t>
  </si>
  <si>
    <t>6ec599cd47676fc7b608882b88d7c328dd966982b14e70bae6f581adb57d943d</t>
  </si>
  <si>
    <t>9d7b3eb5f69211f11b5a0e937a596037ca72e741417c2ee4a3a7eba3a8d7f925</t>
  </si>
  <si>
    <t>3824676e8fce1178ed1962d9a22d51bf6531e5ce5bdc87dae751a0cf539266a2</t>
  </si>
  <si>
    <t>6165087be0491f8a24216e6c6ed0d70ad248bdf068ba0f4e405b8d2010a5effb</t>
  </si>
  <si>
    <t>3d63b70c7b31083a6dc878208257cb30fcf92f6c2823fc817718ce40b282917b</t>
  </si>
  <si>
    <t>99e8cf47f6a40f7a477ce4a0f66f6bef6fbe9a4ab47467e738bc24d7c28b2bdb</t>
  </si>
  <si>
    <t>cea4e2917824ba4873f3473b01b74e408cf01d89aeed6b0386e17a669830e830</t>
  </si>
  <si>
    <t>b16aeb6669f6bb55ba1bb15e9744c44963ac47db281f3ac21fe8cebd353c2e2a</t>
  </si>
  <si>
    <t>38d4a1eb4f1ec981784c54fc7d278c2dee4d9265031d3436d1592226421ca651</t>
  </si>
  <si>
    <t>97b874f7f8779728a4f6cbbd8a2b59dafcca78892e97f08b8a4a58541b8f4bc4</t>
  </si>
  <si>
    <t>2d958c66501340e8c0963168796549fbb885e3d75c93027375d24e2994d208d9</t>
  </si>
  <si>
    <t>c3267d344f1378883fddd9ea3b067d0bef28ab4ecb19503ea00e58d45a4a1409</t>
  </si>
  <si>
    <t>f9e5f78b19f359d6b9fd1c844e8c44045e26976f29424be7f924db06ae5a9874</t>
  </si>
  <si>
    <t>bcda9a80126c50d427e43a47cc8d7d182aed066e27f5397845c5bc34e76960f9</t>
  </si>
  <si>
    <t>a987b374a42df08d430f0bdb854263d04c8a1ac2511ae94343abd637e7562531</t>
  </si>
  <si>
    <t>a543ab304cb95404be7e675a2528070320265a626a7959b451ebcbedd9ec6b1e</t>
  </si>
  <si>
    <t>a4f9320e944cb9c6bd7978bad579e6a898b178e8614a9f247ca673575a45d0c0</t>
  </si>
  <si>
    <t>cd3c131af1bc0e47c2c8f0823531a8ebb7e6edb68db056929ecc76ef28c02c75</t>
  </si>
  <si>
    <t>a5adb246d17215bd4c068bb153060452eefb5bf51437f50c30f822bfd14c27a3</t>
  </si>
  <si>
    <t>923208474cb322ab9f8f229a424ba2c89b5de0745e88df5c12a05a6225f9c4e3</t>
  </si>
  <si>
    <t>df21e4fefaa5ab88fa1150b3fe7362e1c3ade3ecb39f0c2b71c91af17f5e305b</t>
  </si>
  <si>
    <t>d30747eed5d41b54666db5271cc39c9cc7afdf3d5ffe0cf0cadea0ad867180ac</t>
  </si>
  <si>
    <t>b392437db72f93e254a8f00da43c9b5087c5468107c40774dddb60dfd547cdc2</t>
  </si>
  <si>
    <t>51e7fcd1221df76af9c6156123dde35ff5d09c84ede3280d0bda0c94660b34a9</t>
  </si>
  <si>
    <t>499a8b89c1555851c2bdbcf012bec3ac80ffb1e93d0ed1422adc574648443f30</t>
  </si>
  <si>
    <t>ca56dacb5e54e9ed66d5d681a8f1bc01eaca38eab2dd773b25d37edcf158df1b</t>
  </si>
  <si>
    <t>493b1a16aac787cb0dffe55f17b8050f4c3f719ad01ac306b0408398e6d84188</t>
  </si>
  <si>
    <t>9dc2bb28fc2461b2de61b86f2716fa8532eb4f6595fc26a25f9af06c3f26c192</t>
  </si>
  <si>
    <t>5f7d65acf1aa44e9a698400a49fa439a1d896c161f0f6518c1a02cb722b140d3</t>
  </si>
  <si>
    <t>624e2c9d8b973d0b5bc8e3085175e17d99279b145719e6078d7ea34d7b77a0a8</t>
  </si>
  <si>
    <t>d48d81bef8895b09a65df6e37acac736c55241ad3541e05301c02e2789a139a9</t>
  </si>
  <si>
    <t>bcf9d1f422305fd94220135a1f56a5333e4ef24db14e17986e78700a70325758</t>
  </si>
  <si>
    <t>1635863cbf09fe555d10e97317989934559db1eb72e58379db6228dc8397cdb7</t>
  </si>
  <si>
    <t>62b7bed8e40971a52ba57b96fab128fb83098a5979112e1e251b8e9672a83da1</t>
  </si>
  <si>
    <t>141b43704d987471287de1d4b8c1536d78c0c06f089122040bc67c3811f35045</t>
  </si>
  <si>
    <t>4943454ede8015e81632d4f87ed8da96c5221d0efdbe05eeae78069b4961187b</t>
  </si>
  <si>
    <t>f6bf2a3b2fa21c67c84be35bc5feca09169432b1cb51f83438be99e34d569e99</t>
  </si>
  <si>
    <t>798b082b1b59007952e0888965b943d795c991b50aa369e10ab685ad49ca7b5c</t>
  </si>
  <si>
    <t>a250bd6d61cb173a7dfbd3269c47f2ea3204c69327dd4acff8a50fe4fdd439ab</t>
  </si>
  <si>
    <t>afb785f142a5d4b54a120442ef2f53712da135fbfb0784ed63c1b01ab48fabc3</t>
  </si>
  <si>
    <t>6dd265f31f189577cb4c05f8b78a7654dbf9e2c7584a2648abbfcc503fd0a151</t>
  </si>
  <si>
    <t>SANTO DOMINGO TEHUANTEPEC</t>
  </si>
  <si>
    <t>d3f7f35268648979fbd7dca4139fc80a1a3b57ddfb157af771e8ccd792b04208</t>
  </si>
  <si>
    <t>5d15317e1efa8ef4a2e33cf4de47ad0fde3fdf4dd2a43a8d351189afc38a905b</t>
  </si>
  <si>
    <t>d6b2c84fdd5a918efde9784a38364c4bb1ee89a926ad3b53773bb9ae0def2b49</t>
  </si>
  <si>
    <t>a6a3c091f67b38ccaec1a5dc76484f568498769933cf72746a0298d6d84bfada</t>
  </si>
  <si>
    <t>14f1a4624dc154d47343b5ca4c27063e9affbb997870451b09e88cecc075dbb9</t>
  </si>
  <si>
    <t>302c4c83982e805c1c5c0c559851b8ea0cfadbcab741376152b76bd03f1db0bb</t>
  </si>
  <si>
    <t>3329a78351a0016d42636fc4e8a0fd51b0783601e3e617a482b7f9745fb4a6ee</t>
  </si>
  <si>
    <t>8edac1e2eb2a71e5c50ca2363aff9c82aaf434b27a93759a58ab61b84747e6b3</t>
  </si>
  <si>
    <t>b15097d18a86b0beb60bb39c241edea694ac638fa625ab3b781a0dcb1d7df838</t>
  </si>
  <si>
    <t>f4f562ec433e8dcfa6c78f20ac6e2e92fccfb1a666c7ed57647450e9ea03b4f0</t>
  </si>
  <si>
    <t>a8087388c3e2e92ca2c77439628a70b557d4da84715bdb76e97a14119ad13ae3</t>
  </si>
  <si>
    <t>f4bd2f1307a3f014079392481ff3d5ddfe6b70d5e3c832a1a641f10179aeeee7</t>
  </si>
  <si>
    <t>d5f421fb01958c3532b8ce90e52b0522ddfdaa49968440a18be9689808b83cd7</t>
  </si>
  <si>
    <t>8f48025349a9a263d84363ea1c790e82b8926e3bb656590476373eabe9c77dd4</t>
  </si>
  <si>
    <t>a27a1ef9d8ace1ab7cd9cd8246a269f3b45af09364c2f71370bdabe7eda4c34a</t>
  </si>
  <si>
    <t>5bce87e4f5e99e4a19144b5c30dcfee87330cbfdbacc471c9db67ad507989d9e</t>
  </si>
  <si>
    <t>1bd9544496aa865dda98f8e1489f58ccebf368c83c994bb0b8a10ed1eea6680d</t>
  </si>
  <si>
    <t>7a226aedb29b7b1cfe941ec2d879c1fc5023054ac317ac3b5e749356154182ea</t>
  </si>
  <si>
    <t>8df6facb8cb2f52af46b8aaac020c3b4dc6ae055cd6a08bf84dcf5eba527ca23</t>
  </si>
  <si>
    <t>60afe5446fb660589fa30b57879785a36db2fa027586deb26160d086390aaea9</t>
  </si>
  <si>
    <t>fce4b758f429e6b56c9ad5df11a406da655d6235246a74d889dbe60bd31de51e</t>
  </si>
  <si>
    <t>d4f95490cf59c0750ef413a16035e77be52ec5a37832ee6e263e686522cdfac7</t>
  </si>
  <si>
    <t>a3db2b70edff6b90ad9a860a757d2b6a5822af30be816477963a36080f778b10</t>
  </si>
  <si>
    <t>d7d9c591e6cc579c0b3f943d8b90b145fe7d95ad7344d043c48d315b0fd9dee3</t>
  </si>
  <si>
    <t>c195403fe90c1d98364f020f8cef25d9ca749bb7746fb3ee3a87f1a08bbacb8a</t>
  </si>
  <si>
    <t>f1de34fb172751a68ebd295f2fa3c84a2ec15b8a19a91dea528957b9fc1be3a7</t>
  </si>
  <si>
    <t>c3cffbf7b77fc1d3959b504a5acf61006b52b13ad3568eb2b2ca9c16037caabb</t>
  </si>
  <si>
    <t>a726fda0885d1507f52a24badcc884cb33c5ffd991c0fedecc1bab0ba462a508</t>
  </si>
  <si>
    <t>26e8ff0d33ad715b160eeadbbdebdc4841610b773b4be539aeaf17edeeb0cc40</t>
  </si>
  <si>
    <t>a7238c6a4a9f6d5882a39572120d76d7161546aadb92b05924eb02145a973445</t>
  </si>
  <si>
    <t>a647cb2b957830ff47fcdc6b7c7787faea4ad0bf41764c474e3866ba785242d7</t>
  </si>
  <si>
    <t>1b473fea31ef9ce81c20518e9f48c259a3499bbb0abd0f0203683ffc9db8ff45</t>
  </si>
  <si>
    <t>3e901115f4d48c27d3c8b36831fa712c73409bf7bc14c97ed3933c6bd3942d4a</t>
  </si>
  <si>
    <t>2ae26a0e26289408c9df82a145199d4a60578ba0e4facad95af562438c93eb18</t>
  </si>
  <si>
    <t>320b2d8f5937062ec97bcac8ff0c960c46691764de5e44a2c1be8731684c4039</t>
  </si>
  <si>
    <t>4ce33ee4a93cd76e2692470a0634cad781bd98ebf1db873c9559edf30ed766a3</t>
  </si>
  <si>
    <t>770bb7c2182a49f6ea964d5f336ed5e931e5e3d785c2a2a0281e6253b8e6b425</t>
  </si>
  <si>
    <t>648e148a60139f614fed18f11c1cd7ee71739b8401c1e43eb35fd19b50d51eeb</t>
  </si>
  <si>
    <t>44d85ebd241fd77156f7870b67709496d0e6e2a7826dc39013e08c6f4d1a13e0</t>
  </si>
  <si>
    <t>4eddd09144f55f839784d79ee391c872017beaa4cfb2942f1fe11c6315555658</t>
  </si>
  <si>
    <t>bf2d04a9a4550baca35428131184b40455301e98b1bcda92dcbbcaf331eb7081</t>
  </si>
  <si>
    <t>0e594074a05b7bdf6e7d126a7fcde10d40ff37e13b37af925188d343e1596f06</t>
  </si>
  <si>
    <t>2cb762f21bb1ae75c5674c4b0a1aa29e360b0e5043ce3c18ff7a4d64cc7bf6bf</t>
  </si>
  <si>
    <t>248fa49da6be066cda4bc25a528d1f54dd7208debf649405fb6d201c39ce7d1c</t>
  </si>
  <si>
    <t>5b5b9a5e77e156f5a490de605b3f4d6222ec9d9f9624b4573780d1eeb606edf9</t>
  </si>
  <si>
    <t>103d65b04ed4a71ba9ee1527d0a396dc2b30c21552f4efd1b4d9bc46f3fe88c0</t>
  </si>
  <si>
    <t>3b5fa49abaf50fe8e9cc2039899691da0a8e6c265f4657113349ce4303308a5e</t>
  </si>
  <si>
    <t>865d84708a219ab79cc6560455fa999ecf5d9538027bf87eeb16f65173e4c8ab</t>
  </si>
  <si>
    <t>21848310c122d8e86e01588717f53c0815c628105a2fbcc11ee5fe000b13e00a</t>
  </si>
  <si>
    <t>4f83a89bddf9be73ec4396abdd1627cec2e72adbd762715e8347f3294d404870</t>
  </si>
  <si>
    <t>c04e40be5441046bc04d0c103a99e73f26bff5927e94bba55d303cc29b08d8c2</t>
  </si>
  <si>
    <t>7098493e3b3d6c5fa6e04552c24afe7e74513bc59fe82f81c713f71d928d9a87</t>
  </si>
  <si>
    <t>baf8594260e57b8839e0678baff5f2349faf87179ac7275a8c8857c3034ccc50</t>
  </si>
  <si>
    <t>b7155afd8e49cdd0a43b770bd2c831e803a6f6c016918c9537a9289b190d0f02</t>
  </si>
  <si>
    <t>1b5e8507f406b2d21c389122d54ba54ff9659bcd24f6ec538127e0846e4bc1f6</t>
  </si>
  <si>
    <t>f4902ea4b0157c91027d1f1360ea0369e82811264ef9b74efe99be16f299e0e1</t>
  </si>
  <si>
    <t>7fbc1464a28fd064f4a0c04be5ab3db3ba14746e949c1a3ce6a4c49fa168f754</t>
  </si>
  <si>
    <t>9900f9c5b755da0eadc02635691faeb64755ce42b49608978a506a1f14606163</t>
  </si>
  <si>
    <t>3652abe2d4cc6f666c78e25d1f0e90d0d9878cfe524d3806a8ef6cc9686b5993</t>
  </si>
  <si>
    <t>f813152ca36507817b4b742fddad42c339e42693418a0dcdb1fde0913636be9f</t>
  </si>
  <si>
    <t>6747afa2941067ad6ad72c21042a79e1c1292954dd31423add0923cfb4bbb08d</t>
  </si>
  <si>
    <t>aa6af2cd9a4132127acb6af9b86fe311229cfdb4185cadf43f132d7d9a62577f</t>
  </si>
  <si>
    <t>af009a021ad1c17646d80a74ceac94901196d4bb7d885e1f774c4d91a1b7a810</t>
  </si>
  <si>
    <t>a8d9a153146a5b193953cbf7c39b0983d17aac46e9c19bdd97912f07480798a0</t>
  </si>
  <si>
    <t>5989281d106c5aa02f5544910d016d3fa8f256720cb7542e3d6e8724eb012630</t>
  </si>
  <si>
    <t>1322b9544a7ac4cdc48e092661dc70373199f87104684189f00712f6cf6b8bc7</t>
  </si>
  <si>
    <t>e5f8c3a1f6e2c7f6f7a96e4310a661e75d5b0a00e3e5d40d5b8da94f185a15fa</t>
  </si>
  <si>
    <t>7529609a0d5d95d0641439bc21165a34915905490ddbe6f18fa10ce27f8399ba</t>
  </si>
  <si>
    <t>6d0bcefe48519779fa472ec51d51a6018b719353cda6ce5474023fc53a24cfc0</t>
  </si>
  <si>
    <t>7eb5f3b754f097a72357dabad5f64de9d31fa7f5217fc7749889e02fe96080a0</t>
  </si>
  <si>
    <t>668957f35de789839eaa7ee95f55151bb2a406cbbabea937928f50679506b0fa</t>
  </si>
  <si>
    <t>a0c91dbe483a53f3133abe081bf31f89247d5570be199725d69f5291af60ed3d</t>
  </si>
  <si>
    <t>609c14d1d6fdc231a81f71422ed1697e18eac3d83047a02ffe4af96ba561b807</t>
  </si>
  <si>
    <t>fcfac4d25ef022b9e15480202c87d3794b1031a25eaf3a62678e2999983a25ee</t>
  </si>
  <si>
    <t>d1c94211f4b324bbd6eb24155e8e43ab4df78461494d84e91c91a8f70912b4e8</t>
  </si>
  <si>
    <t>f3ca3f19a270b5beac6686ac880ae6b0b29f6bda1b2806ed76254246c55c690b</t>
  </si>
  <si>
    <t>e856e9ea73ca062fbbc8bb924cb04743e899f85c377f94d7fd4aa3709d68f78d</t>
  </si>
  <si>
    <t>ff37cc253597600741d904226af4b61af012fab5d795c4e82f9d0ae8b961bd5e</t>
  </si>
  <si>
    <t>46e7cd49611be7a8fce1c47fb5175cd65e04f22aee0947e0caa048d45ba9d1c1</t>
  </si>
  <si>
    <t>b458866a9b9df2a7f13e825e1a32adedca9ef84ca0a6c7d7fa0b1b1a52a16ef1</t>
  </si>
  <si>
    <t>de9861d812daeb37fdaf06a1819daf63fc45d51d79288b4f4a0028ced525c668</t>
  </si>
  <si>
    <t>c8937c0f31ae3510b909a3c81ffd5c3b14c413eba7766a566b6e3acc1ce948c9</t>
  </si>
  <si>
    <t>cabb35884e1f4abeeaf1586e4135d8b364ab0e66ab0eea05ae1bf0e47fe1317f</t>
  </si>
  <si>
    <t>0ce3fa36c27d91a7ba3cefb0d799211c2cca6cece49e2428e4e8a40bd44eaa0b</t>
  </si>
  <si>
    <t>dc12fc05ca792d8cc184260f9b8d2e7566ff41aeda0f00775d9586c3ceeb8b26</t>
  </si>
  <si>
    <t>b9083e31c61ef1ed5f6ab0ba16b2be008be5b82311ead05ac605ef9f782e106f</t>
  </si>
  <si>
    <t>844c106af4978da0a7c4d4240e11503a75a3ba86852b5896dc851b7f17f0c51d</t>
  </si>
  <si>
    <t>21f0a141ffb961c25c51a8d81795c11410f6c0aae16fbc3e1220c5595cc2d13c</t>
  </si>
  <si>
    <t>82f2b91a592d32943488adc09bebedc7ea914f275f344c2463a7e4b9fcb066e3</t>
  </si>
  <si>
    <t>2abfd3af1a2edc8c628dc94acf78ac9b662e340e228b015c4810439556a0e3f6</t>
  </si>
  <si>
    <t>51bcb169e0d4154a56b96714cadb69ef3151174b1cbc07308b205bbe326dbb83</t>
  </si>
  <si>
    <t>cfdfe71e7df85a48bff735948ab8d6162cfb7f9f9d7c147bab0a14321af2cba0</t>
  </si>
  <si>
    <t>3c5abb2975827a0288a9d2b337748e39493fa81f14b24eb32c49f46662d22ee8</t>
  </si>
  <si>
    <t>21147d56c70139d2f7ebfb391cec6a8be91ffcbc0bee7a602c4f243a7e6fe7cc</t>
  </si>
  <si>
    <t>f2916382b583d606ccb24d214d0ab762c67bbfd183394dca8bee035fac872898</t>
  </si>
  <si>
    <t>ed9aade78641043e1f8300fda1e9f0f64ac7200aef235caf120debd69ddbb4b0</t>
  </si>
  <si>
    <t>5c280fc30b59b993f07cf31c4abd10af6f8d75a24ce69f5a5b8bc668cf73b908</t>
  </si>
  <si>
    <t>d85a810ecf1a55b5c5a40586d33ed6ccb4a31dd2745a4eea61e150559b19f439</t>
  </si>
  <si>
    <t>af802e8c34e32bdba9d699905b67e45cbe57143fbe7ebce7281fef224fb6d0a6</t>
  </si>
  <si>
    <t>3b77c1854d6c93267e5cfe691a0bc54e15fabb53b1d1df131a5b6d602e6e64c8</t>
  </si>
  <si>
    <t>bbd3317362fe25f79fc4d7fa3aa01bfb95a55c6bce2fce0905c1c3f21d1b5ed4</t>
  </si>
  <si>
    <t>ae52bac3162b928cdea9a43e330b1b4fc6b47df5c9c94bed7d7d17a05bee4840</t>
  </si>
  <si>
    <t>fc27cfd30076ef486d86a12c009949692ce5ef5ed596d2f6a9adf942f707e011</t>
  </si>
  <si>
    <t>666428b6f2711b44c504097b8d46e71d756dfc595268d11f62e0a141a69c72fa</t>
  </si>
  <si>
    <t>f48a4a868ac959a62e06c6b4c992ef17e491f18f05e5598d350d0df243e8cad5</t>
  </si>
  <si>
    <t>3781f305d87960ed068f043594226b7e331d05c06cb1b32820d8daaad2543a5a</t>
  </si>
  <si>
    <t>fd5b74ddc68c98dc3e90dfcdf1969607ade82835cf275a0b266884b0cd0c60ac</t>
  </si>
  <si>
    <t>fd0b53261e39e6b1bca946ef326afd5fda317424d9aece84a869d84030e8c388</t>
  </si>
  <si>
    <t>584bcc5e9ebaa0ddb886914b04013ca0e03403894720403395243593d35a6298</t>
  </si>
  <si>
    <t>b44bf005cd03a2840d324fc9008bf1d7766c8272dbd72fda35170a5b46879dee</t>
  </si>
  <si>
    <t>83da99c30e5ce65e0d8a4d2461e4bc17d987039a46192de72027cda354df84b0</t>
  </si>
  <si>
    <t>813af752d3222345ccce18b33b663a1b19bdfa4f44f649644028fde9052d6ac8</t>
  </si>
  <si>
    <t>73da53cf7d6163992370f4d6c4b99185c4d716ef7d1e0deb93f4cdc1c1b71d27</t>
  </si>
  <si>
    <t>6165e59c406e7fdeeed1038f320fa6ea7ccb201a094c090c2250bd1aec263f61</t>
  </si>
  <si>
    <t>b0dcfb10febc1626adfe98a6a27b6e2300f191fca427416ca81c456abc0894f5</t>
  </si>
  <si>
    <t>d4ec31b16defaafde84c08a02b4ba1113f1165ed800cad38f514b918d359a42c</t>
  </si>
  <si>
    <t>ec4b75d7d2bbba0cba5b660b5034d6ca9b8a891ed58b1c1b21cfce8e2644d64d</t>
  </si>
  <si>
    <t>93e46cdc0db259b71bd47d1d6b2bb3e976ce97e11d37ca1be8647cbfddbefc29</t>
  </si>
  <si>
    <t>62c68a677cd21dff11dc7ed023d1e6634cf4d1d73dc8e39836ff8341bca46167</t>
  </si>
  <si>
    <t>264e9c077f2a7e6503b79a667841ba3c9d1b0ef3130dba14d6f5224db13dd364</t>
  </si>
  <si>
    <t>77a28283e40cf75da84dcbf496e8c299df33ea64ff6f4940d4ae05f34e52f7ae</t>
  </si>
  <si>
    <t>2516525192132af01cd505133fdf1a8c24180725664d590c10b2c95f619386f9</t>
  </si>
  <si>
    <t>9e07d15c526e5ebf1f86b41e72bd564d6dd7490e1e004521fa4a1495c1570b70</t>
  </si>
  <si>
    <t>37f76ce2d18c9d24bf664d4c6f93724d41de0045129cc5c263fc1e01120a6b9b</t>
  </si>
  <si>
    <t>64cf516f77573667a82d886beb707c4e8510d1787fd8b7a780bb10e5b1d10f1f</t>
  </si>
  <si>
    <t>4b394cfd2e5ca726fc2cf3fab941a9683cb4aa933e0737302f11cf4f799cb242</t>
  </si>
  <si>
    <t>38ffd744c192be31905efc62f6503ce34cda7c6589ef009170db84f5dcd4f5f8</t>
  </si>
  <si>
    <t>be89f08b923d831f17891c948915cd5becb0c861b7e17cf7eaf339936a6db299</t>
  </si>
  <si>
    <t>984694e06dd6107943954d2d049279cb29532b55a74b57e2011ba9734821f994</t>
  </si>
  <si>
    <t>9fce66e0f5f6e620b7f8e54ff30faee1baa7d4ea4377e1a14337aaf7bc5fd6ba</t>
  </si>
  <si>
    <t>89bf6e2265ae640a60d3eaa29f6d5aff8e1e40cece3c71bb9c11852055b90286</t>
  </si>
  <si>
    <t>94e84d69a8005684ec317d2d548fcaa505542e5548a0f85758c9c22d2c021892</t>
  </si>
  <si>
    <t>06e78608680720ed2ad75a7d3bb42e01909d92ae95a6145885c6bda3d98decc7</t>
  </si>
  <si>
    <t>a3a077a3ec7d5e100917586bfc5d4b474a1394e4c5e404b5fdaa3c2e8e67caba</t>
  </si>
  <si>
    <t>dcf2022911e339f1d51d22c13ebb449bd897f8d278a16e45a61b5f98996f2575</t>
  </si>
  <si>
    <t>d3e1cde25bebbabfed40cf9e88497583019c34a7192b7bbb41511d9903becf26</t>
  </si>
  <si>
    <t>321d188e1f2f1e1d85bb71fad56e00bc1e61937fbde07d6a7f33fc16445940fe</t>
  </si>
  <si>
    <t>cb84ad189b2b5a7fc48dd98ef2a8ed727be426c9b7dadea80ad25be7d5a0fc70</t>
  </si>
  <si>
    <t>a5aabf9a891d03541e4eae1fdb5ab66302a34bafa26d81a3019b72cf5a868357</t>
  </si>
  <si>
    <t>665859cf7a5f2cb752ba3d4044a0e8fc8332fee607ebf0b73fb95b2803735338</t>
  </si>
  <si>
    <t>8d868484d5e9b201456fc3aebef4c8f23494573d551577c6e232a5e4482bdddd</t>
  </si>
  <si>
    <t>86e2bc2500763c46a24cacb250345c4d9dad37a9a5841d1a879faff7bcaff665</t>
  </si>
  <si>
    <t>e1fa7600ae503f3a6120ae206eb67bd1f795274fc11e6ed7c4c2610e99bd533d</t>
  </si>
  <si>
    <t>2647cd02ce9b1338ed00062319dd258660d5142354baf84f5bc3bd23743c6d6c</t>
  </si>
  <si>
    <t>584f77922ee45388cc6b7e03075a01339147866be8a41d05f6292c9e0164e159</t>
  </si>
  <si>
    <t>9e39be50d0d08b971b5126cc70cbea21d57b2a9f0c9aaf2b18de4c0aef72e551</t>
  </si>
  <si>
    <t>e2d6527049137ea4466d18276bead3fcd8a44a3a1d34af266583e201853ba65a</t>
  </si>
  <si>
    <t>5dcb730ab315beb2fc6c9813ee6ace7a441c3404a5b938de3481ac5ea5a7a4fe</t>
  </si>
  <si>
    <t>0e0f1efe332a20222fca8a220792a80a0567c101478a3bfa3b4d9add137b35bb</t>
  </si>
  <si>
    <t>65119497c8c9b922fd3dccfcb83fea409b49331ac481f233a6efa223fde2de58</t>
  </si>
  <si>
    <t>7a56ad80b9da2db9c6fb161ce660aedd1cd81c55fe7936f0b3b8f2cf84b119cb</t>
  </si>
  <si>
    <t>66a203407b954e7dbc98ab63281656e8e89bbed91ea6e43f2ef6f90089806d09</t>
  </si>
  <si>
    <t>b284da3771321803d20517158dd678a4ae7b10d18e0619ec94d5a3aa2361277e</t>
  </si>
  <si>
    <t>dc38043a1f454bd1ea11e20c6e0f21e6fe8d2ab02cca9926c5422d7d91a62b71</t>
  </si>
  <si>
    <t>391be8d6d55da7917989640d61f106abfac6eae7c43d5961c9d90cc8505da7a6</t>
  </si>
  <si>
    <t>50200cc74def893e3b00dadf88c382ed85b53d178f2ed1576fbc00cb1e6e8de0</t>
  </si>
  <si>
    <t>4b4d525c5b0a60d8d9d3afe0b002c9b2a25d1f4bdc7e370759a1a4ad343e1d90</t>
  </si>
  <si>
    <t>4d69a36cfb9c8503dec0f0d00b348f6e8f8343c9623ced4f1cfcdea6a058cafb</t>
  </si>
  <si>
    <t>32b9505950d9614ca5720f0b8e940661d3b83ad40a3853a86d275ef1bbcebfe0</t>
  </si>
  <si>
    <t>bb6e79b06694d874f19ad6650123a65343ad85757c91c3672ceafae36d4d04c3</t>
  </si>
  <si>
    <t>aea452747d5eff79d2e0f2cd7e64f3a2b514ec26842e5d345b50d7c5f1e16006</t>
  </si>
  <si>
    <t>3830e04db3d1482ddb1ac7c21d4a9026fec9a234d4033c977af972449281d83f</t>
  </si>
  <si>
    <t>3bbc2e26bb57c7ed1c53d2b10334b1a3dc164e06f16cc07696088fade44d4a8d</t>
  </si>
  <si>
    <t>101df5c326623c8b41ccc927612516413e4adae3575b8c0cab8f44869ce37801</t>
  </si>
  <si>
    <t>86ce5476cc46d22bee0b62e21a354b4c27edd70094790abe046d0ab15e4fde73</t>
  </si>
  <si>
    <t>ecedaf5c6bfed34ace77817feef7fd3f2864901634afbfe0959e745be4e0a7a1</t>
  </si>
  <si>
    <t>8a45a22126c9a8b999d5025f70f05daeaa166a69111066ac9c0ff1a8bec63674</t>
  </si>
  <si>
    <t>6b9694a709a81860ff497c259ba0d30e4862897bc40a0cb2615dafe437bc1ebe</t>
  </si>
  <si>
    <t>98e6b3ad48729813e13434bbb62707b11471d42aa3a9f6f723f3f456577ff738</t>
  </si>
  <si>
    <t>4ba4a5bb0eaba3142d5a4d84257f2560e764809b8fd6f7097d452df3c7c06901</t>
  </si>
  <si>
    <t>d425487c263180932d8ad43b88e56cccc770642c9e6d3994a98b650590490732</t>
  </si>
  <si>
    <t>2fd324ec35ef3e99d56b930fce1a6fda3dd05a50b0ed155875707ac9d28d6b5c</t>
  </si>
  <si>
    <t>dba975c92acb119e2ecdf93c0ef3ba6abb23ab840f78285d5ed44c9f41692729</t>
  </si>
  <si>
    <t>ea120aff99387492772fe84e7475c27a1312baf8421b93758a1494a0ce2c152d</t>
  </si>
  <si>
    <t>6092f23901a0602e40a64087c0b8c02fa49794115dd44caa6b1081cf373b75bc</t>
  </si>
  <si>
    <t>2425884a0d292178bfc9f03b5893543d082e69d6ca0db235b37917d80d40de9e</t>
  </si>
  <si>
    <t>399496b25b2f9f76486d3375b627544d10b388519914ee9225f2e614d6a6098d</t>
  </si>
  <si>
    <t>b635808cbbbed2f3a838404337385e389958ed963346cecd97eb6a920b1ab683</t>
  </si>
  <si>
    <t>f5012dec5c49558c59b9b1d82ceb51934c9d03f6d1af2e41921de25dae679efa</t>
  </si>
  <si>
    <t>cae0896a77cf5d8a69e334c42d84bab98f9dcac3ca7d589aa1c7c12af54db302</t>
  </si>
  <si>
    <t>fe311d1f82ba4c867b45cfac8fabbf9171833aef8383dd75bc19deedc2f44cf0</t>
  </si>
  <si>
    <t>d656d056fd4242bdd9143515acfede3b13ac08df647a8324cd68de3d18e88455</t>
  </si>
  <si>
    <t>26b23a2c6dd03c887ceccb4d6f836ffe94506eaf9be96e7a7ddc239976cb5a03</t>
  </si>
  <si>
    <t>ef6aaa4b4f267900c3bba2d85df341307b6dbaaa5a607735da117e9c50be0615</t>
  </si>
  <si>
    <t>f668768c375f165af8278ed5f893f9a8a6ade05a2aa693dc15023213442dbe65</t>
  </si>
  <si>
    <t>ee310eb9f6341367e835011f4e1ded1aa0daed9c7414688449ed83ea4adb348e</t>
  </si>
  <si>
    <t>0465fc52eeb8b525a3150b264db2293af0a6dc81e1adaaca6ed87613811d6b3d</t>
  </si>
  <si>
    <t>a7bf587e5b2d1e4547785bf325dcda46663effd88cf8f5ce24d0985d84269d72</t>
  </si>
  <si>
    <t>ff2b2948206b0381a178a5bd9ce4d1879f0141af8fe91de65fa413e860264b24</t>
  </si>
  <si>
    <t>2ee8fbd644437f13da004aea27c8f198077e622dc95bebb23fc09f12994ba1a4</t>
  </si>
  <si>
    <t>2d89dd3b08ab6018929f811615f518e56b42be2e0b5105858f49335f5274b106</t>
  </si>
  <si>
    <t>6ea6be366324ffa2752f4a46913e464619a3316ffc2f4279ac292a8fc295cd71</t>
  </si>
  <si>
    <t>f12c61e20557e0d119fc493b89a0744c0cefa1c213ce11d786d93a032781830a</t>
  </si>
  <si>
    <t>ed309f3c5f67715a20395c88c958f76cfe882dc8b6b768530a3f13ae2bcdaaa8</t>
  </si>
  <si>
    <t>e40853b71185ff1db7b29102baab6f0f1761c587ae547309dc934220d46af43b</t>
  </si>
  <si>
    <t>93a60cb9e1d051d29ae5f14369cc0b7ffbf64a188ab10877728e42b49eeca35b</t>
  </si>
  <si>
    <t>7ccffb9b7559836c65010dc9d75a05e0a11b16475eb83ee2b4477d81ff60555e</t>
  </si>
  <si>
    <t>eba70ba2452251ad6becee30ef5a385cb753a26889b971a7bb3a0e24739874e7</t>
  </si>
  <si>
    <t>55b8ea4d2fe1d2807b9ad8575bda64155b48e37f0a1af0d96a983d650ebd2f0f</t>
  </si>
  <si>
    <t>b32ef6f5f0c68f4bea69700efad526e20f8c3283163bfd432a590f98ae5952d1</t>
  </si>
  <si>
    <t>ca1b8f4b0e7bb26295066f70e1fceb89be93931251133293e3143edb866beb93</t>
  </si>
  <si>
    <t>63778b8a7fd9d32a22ccc85948275052fae8c42e5069857950df181494fe74f0</t>
  </si>
  <si>
    <t>SALINA CRUZ</t>
  </si>
  <si>
    <t>6f364e670747d2357ed908834d551ecd9f10497d052d0386c069929085d5b5f7</t>
  </si>
  <si>
    <t>c05beebff5ab88e3b9dd047548869e2988ddae4d621df196fc2f297e241d96e0</t>
  </si>
  <si>
    <t>87742c1db71bbe2cecf724355d38bf773b0b2551a1b566b2223ddcddf9f42de4</t>
  </si>
  <si>
    <t>cb34eef50b88498194c92347856ec7315021119738c979637cd6e54444e7c8e9</t>
  </si>
  <si>
    <t>9f2771ad4f2b300f367ccba65eb6e4fd3035beeeebe8d3dc4bb189a6c4e87559</t>
  </si>
  <si>
    <t>f942095f8b43a06afa9856004d720d4483e6450f90c6fa2eddadc8273a5778f8</t>
  </si>
  <si>
    <t>08d7add99f5277763a1f897de14deda8afbb2a7ead0a885ad405401f1cd02b87</t>
  </si>
  <si>
    <t>8b7af1b57c827d484a1ea9e0972c6dcd2257e0ccfde1301370dc1f39dd2324fb</t>
  </si>
  <si>
    <t>a5d060a614ed5ccee9ad827dff722cacccf40d9fd26feb957adc8e49366f4f90</t>
  </si>
  <si>
    <t>38831301fead43845a53544067de39b98e0021cfb8d74dbed5c51ebc28434ea4</t>
  </si>
  <si>
    <t>823fe79461aa637ed2a4f52e37f645dfef86826eedfed1d9811dacc6c8ca4aa4</t>
  </si>
  <si>
    <t>186bef7ecb12715612a351d4cff13a97ffea9054a1f9c918ce499cf6364a294e</t>
  </si>
  <si>
    <t>8092cae0230167a7fb874ccef226a319f6e922869853b43e9523e62c1b791d5e</t>
  </si>
  <si>
    <t>a1dea28810e9b9f03bdbfe9b875247242d55492951c23ef70eab57b1722e7186</t>
  </si>
  <si>
    <t>d096931894321d2b8efacdc57a296eab9a9543d65946a1d532de846531e8bbcc</t>
  </si>
  <si>
    <t>9d31eba94fad79c3f2c8c29aa60267dd1afb1560e4d28d5a09b7e5a9b002ba00</t>
  </si>
  <si>
    <t>b66a3268f2a790d392a66bb36afd2ae1b41368defb62308c668022297da5150b</t>
  </si>
  <si>
    <t>17fa5d0575ffcb0e066516f92ef93eda84dd4f19dbf6a8e59a6375a0ebbbdaf9</t>
  </si>
  <si>
    <t>5ab29f75a81f1a45235d48e15af7c4d280dae31fb15825ca91ffa5b36c77f9cd</t>
  </si>
  <si>
    <t>d2de17710677126f7f6ace533a0e8d05155546af8e245e3886bfdc0557584c18</t>
  </si>
  <si>
    <t>c9da8bb1f0267981650a24588264414ec540fd15507a4da37f13ea96ae35cd24</t>
  </si>
  <si>
    <t>d336a603f97e34556ec2c84ab15603b2307dc50dca03827a38bde968b894d623</t>
  </si>
  <si>
    <t>6a618c4b6be5bda59d62fe9acfd0487e53478adaa819451510fec5074cba2ed9</t>
  </si>
  <si>
    <t>1f8876e146600474dd89afc423fbf63a7c5f93d4e3674c7fbe14d691334b660c</t>
  </si>
  <si>
    <t>414e6757d4026e985271f0dbe64d1b8fef08c6e866dd19fbeb8f696667f51989</t>
  </si>
  <si>
    <t>06ff924dbde58ec441fbc5cb4e547a79ea35f35e22cbff469e1f911239d2243a</t>
  </si>
  <si>
    <t>10e572e06e3e6b8e96a792d09884bab2d18cf93c2740918189cea5827c197a67</t>
  </si>
  <si>
    <t>c8e8d9f0968d43c063abe227e3faf20efe8f6bb642273d826091d50911932bcc</t>
  </si>
  <si>
    <t>0a043b83b91e707e2d6c9d6b036f208515876a886d17c6558db1a4e4d5d414e4</t>
  </si>
  <si>
    <t>bb9eb562195465540f2b46361ebb9f303bd41070d1cce7c4f9ad17a0ee884866</t>
  </si>
  <si>
    <t>455f50ff0e90acb6520051dd32dcfdcb3d0403cb5c209d518ba47e2c657dcd19</t>
  </si>
  <si>
    <t>519a0b962ed1c0649311e9e38d3595b4b7b3fdd18ef8b34ee1952d015aa0e48f</t>
  </si>
  <si>
    <t>c2b5f56bcd1f012d0ba9dd7e747e11e462aec9e6abe5b4a4c595f7c613f23854</t>
  </si>
  <si>
    <t>c6c3179505fb728216f546fa8095ab9acb2d702a87fa3ae96f15be1df70748e5</t>
  </si>
  <si>
    <t>9b204dcddda2711fdfdbfcfb56ef996f98d2b1b6abaed2324f779263efe456d8</t>
  </si>
  <si>
    <t>7517a1f5e3535b71b8ca7972bbdce2e8cf1f6a54b2b5b25bc27f6cab840639bb</t>
  </si>
  <si>
    <t>746a25f2a2c099bfc455fc2d2ae535707a227a23a8ba2ae31c7d84f3c6762aa2</t>
  </si>
  <si>
    <t>640d1643e0cd6ff645823bfb2c2397c7adfb6259d43de3c6c15aedd2b3439732</t>
  </si>
  <si>
    <t>85684cad63c241c38164e7496a9f1594b742d291dcb772a7d9ecfe5f3e40afa0</t>
  </si>
  <si>
    <t>c08dc8fee3e4923b806e8a9fceb97401f1e0f69c8bae49f93e30a131557c6778</t>
  </si>
  <si>
    <t>c623644dd46385d77c84c2850444c9751f66901d913f3140bd6ef19c92999786</t>
  </si>
  <si>
    <t>b98dc640e377e730c4680ad34fbd3e30552b2eea92d128a513942eb77f56cf64</t>
  </si>
  <si>
    <t>6fcaf25471e4a28387ac71ef9247fc715d1a160dc25a961e7a6385dfc6179bc9</t>
  </si>
  <si>
    <t>2844f3984d386feecc9cc2b3886e09999bf4fd938bf61be65225fd581ac8a957</t>
  </si>
  <si>
    <t>5e9c888fd532601f4c7ebca275ce8670901931d29a2f3d7485f7e6031e8c1c07</t>
  </si>
  <si>
    <t>7d0b88ad04244ea2ea3e1cd3f56ee994666457adc5b404ee39cc48c55a5313a9</t>
  </si>
  <si>
    <t>d4ad0c5bfb1bd156f568a2f13be33802a2e2fe68b0021f8b2b7c1c2a1568222e</t>
  </si>
  <si>
    <t>bcda8c557943f245dd05059661ef379a413fd37bff0a5add3011e457219e0b11</t>
  </si>
  <si>
    <t>760baa599d75844e40f6e79bf2e36619c977e1160e907b8ce0f17780dfd86c23</t>
  </si>
  <si>
    <t>48542e68ba640d6a72d0a9da02881b7f383939d08d1f843dee919c1efc853c5d</t>
  </si>
  <si>
    <t>3b04e9b0bcfe8f42af29261fc2bff48ed7e576af8301e5270df7c3ef479d3a81</t>
  </si>
  <si>
    <t>2f51edee9c7036500dd390f5843fe7bfec6378088d34a5146d43f1cf7c1bc5b7</t>
  </si>
  <si>
    <t>5345b93b922da47670a321bdc1c11234e182f4eea78c8629cb0bec4426ea35cc</t>
  </si>
  <si>
    <t>d077ce3d323895cd86ccffb237441ee949564405ee2dcba62e32c38b56037061</t>
  </si>
  <si>
    <t>1cd62331f61743e02a34cbacb0ab74d1530610135cd95a0f4cd8b2f0bc255473</t>
  </si>
  <si>
    <t>f64bb89909faa0811b5d7b17ce103026a4b9fb6869bbf3c77357d592c0e227ee</t>
  </si>
  <si>
    <t>678f3ab47cd3cca9852601e14695612a50cd17e71f11657a1aa345d80bea3329</t>
  </si>
  <si>
    <t>eba85657f67e886a23fdfe5b3b3cee38617718fd39a7a5759e3777377a675b40</t>
  </si>
  <si>
    <t>4a0783055822dd239eb9453cfcf99950c00e6def08b10edab3b5d534ef639827</t>
  </si>
  <si>
    <t>516c5379acc459284e506352caf0b76e1496a44195893fe703557a5e23bd04f7</t>
  </si>
  <si>
    <t>caa0d1970492025a7fb7347ba57432e6e7b9710e1884586d334c504f40ccd5e7</t>
  </si>
  <si>
    <t>4cb35de11ec69bfa7d1a0dd62537f8fe88e44015dbf82e40a344a0e0210700a2</t>
  </si>
  <si>
    <t>dae0dd9ed3d8b27c595e2bbcb70659e7f5c0ee7062c0d73e51c24a885138d2e8</t>
  </si>
  <si>
    <t>c8a7a4cf7bfc3f6cde2ec6c3d4dd45f7c92c09574cffa5f4cc9a4ba6d415d67f</t>
  </si>
  <si>
    <t>aa75a73b8ca1f05b9cda1ee505c7d0212f1ba10580dbfa9aba2656bee8ba68f7</t>
  </si>
  <si>
    <t>ddee4f3a4d9c9e41265b3b62c35549e7631022700329f62a70cd97f46a9c2623</t>
  </si>
  <si>
    <t>a4e67db6a5061db65351433e452828535951055b182bab513236d95c7edf076a</t>
  </si>
  <si>
    <t>d125b828735c59024df54c6d7b2bdfd6ea3ebd25e4774b64d4b36515ee1cf4e7</t>
  </si>
  <si>
    <t>d1fd330ee9585721e1bfda34436578f014d7a9be556c23fe361d5219574d8d4d</t>
  </si>
  <si>
    <t>4db663998f14831d2a8b9d2e8331ecef4e6b0b9ea3662985711994e14f00bd5a</t>
  </si>
  <si>
    <t>7900793084b3f7ea26f04514fc7808195d0e89ac819de926981633e6198486c3</t>
  </si>
  <si>
    <t>4645423ef71f8b63b6f6aa073bf2f53b8eb8fb25fc9b84182efbadc0208063a8</t>
  </si>
  <si>
    <t>3430c9d624146aca2a5e75362b5d33584213d678fcba9a2c3c9b29d4a5e5805f</t>
  </si>
  <si>
    <t>55be80b134d12b53e5fdb69fffe5c6b8c31fb574a333e26fd8a0339c6e477b0d</t>
  </si>
  <si>
    <t>22b084b4c7ccc1549d1d803a16b721143cfd38a5f699b4825f749a3c3c54c7bc</t>
  </si>
  <si>
    <t>05dc2303f1eb321a254f76689a1fe2fa9a4825c989a4653f7362ba6fb02b83c5</t>
  </si>
  <si>
    <t>0f152f2ac3105b9c26f6db3cde3f127400f15f97e903d373180d31cd8fb5add4</t>
  </si>
  <si>
    <t>e206f3b6879f60f3e471eb89c5b50530425c0fe1e929b4ab016381bf14aa21f0</t>
  </si>
  <si>
    <t>17b814095e73b20bfe80598580f2b29a3cbba9f92805a8345d307d835b51f6e7</t>
  </si>
  <si>
    <t>5e3b36fc1f638031d16d5983b064a137a96a7567b118ae37837e8cb70518a157</t>
  </si>
  <si>
    <t>b63be568bbf33ad1a784c2f8afd8f822066a4783a283537ecd2c207f33ee6e87</t>
  </si>
  <si>
    <t>01ff6d49402b1cd9a27432e592e17f691f1467c9484b82f11219bd3f73da5503</t>
  </si>
  <si>
    <t>092d075697b0e61875e93eb1ed4b546ca5d41bc4341154dd8f47df47d0551c6a</t>
  </si>
  <si>
    <t>1ec0fe76f5a866d0ef4e1730225858205423b35b188388032fc6b09cacfa8733</t>
  </si>
  <si>
    <t>7d70fd42b780a8302858e84ef36e1a705ace22fd0c185ef74aef23ffa3ee1116</t>
  </si>
  <si>
    <t>223db04c919ca58f670fe51fb0b237dc502697dfe47b06ba3b20973ca6fc3043</t>
  </si>
  <si>
    <t>5cf5737708c67197faf86b32ead181cdcfdf5a4f3a45e91e0d068832537feade</t>
  </si>
  <si>
    <t>6c10125bae8a0d1f5716ec32dca89f5103c5f198c11855a17dfc801f11a5869d</t>
  </si>
  <si>
    <t>c01d38d86cfa1f5dbf25181962d4fa330e44a6e2e0d0d68c2507cebfd3d5b1a2</t>
  </si>
  <si>
    <t>caea69e4be90d68855d328229bcfec74d86ec12bcaae122a9f5693207495fd33</t>
  </si>
  <si>
    <t>0a9eacb7aa0fa1c9fd4083e6d9fe39bc48a24e1aa63881618990bc1db593a6f5</t>
  </si>
  <si>
    <t>17e33d0a4ed3016b9f73becd07604102df4cc4ea715e06985b795d592729688b</t>
  </si>
  <si>
    <t>b1d0c446ddc5856cd7878a097f8aa7c6e7cfeb6eeb5750b5668865ad141f7e5d</t>
  </si>
  <si>
    <t>c6ea3d17a1b830c28b14d4f0b299bd98912289056c17795915d2282984868ac4</t>
  </si>
  <si>
    <t>8eaeb409bef866d890818188921d6b6ba4e7fe800934aeb1bbdbd4fd8e0b911e</t>
  </si>
  <si>
    <t>602192cb9b1791c199da9adcec793946bbe34a21354473e94fa6e4e4df39758d</t>
  </si>
  <si>
    <t>35d03d97933c666085efd7cce3a6b9d346be269946cf757635b7934b11ce9320</t>
  </si>
  <si>
    <t>b0dafcd2f2a4134dce3648bed0e22bfd8267792c19fd2efb66d2bca87b23219a</t>
  </si>
  <si>
    <t>705054f6fbde8a13ae9269ad10f485193e789e8fc7f90ab42cf46aac23f60b5c</t>
  </si>
  <si>
    <t>018e1cbe9d7c7d1af49505306ebaa1ff8cbddfb607dc231fc63eca378cfd9616</t>
  </si>
  <si>
    <t>e456039a3597b72ca09897efa330f27eda91190cc9d197f12b475dfe419d15a7</t>
  </si>
  <si>
    <t>5d6ec487ec363c8b1a5c677e26ba477230484fd1926084f58adfd5286d5cae5f</t>
  </si>
  <si>
    <t>e76a14cdfe2ceb8f50662bffeaeacf8fc8d9e6e6ddb4428ac48c4a99a5358b4f</t>
  </si>
  <si>
    <t>6c4faf9ee039d67aaa6c39164d1396d49b9ccf3a3d9209e2c538bac6b4c193d5</t>
  </si>
  <si>
    <t>64704b72454b5c46cdd2bbb5d1bcb18cfc03a4bd381e34c9e7f46c0156ce1df4</t>
  </si>
  <si>
    <t>ed4c0209008ba893c0a53b31502cf229db071186994cf9ccb7b8a726e5387268</t>
  </si>
  <si>
    <t>892a35b1adad0b48ca0174c34ffef70327afafa2e7a6a33495c64aad486b1e65</t>
  </si>
  <si>
    <t>2299aef5954420e0cc9c7183ca78e1cdea4e78bd4ae766b1b66b697a103926e4</t>
  </si>
  <si>
    <t>81ea8ec2d11100ae6002819fdc9b1d0f1b1fd3784e299362f553467a94803573</t>
  </si>
  <si>
    <t>21dc61f5d663884ec853c00cb84bef6f2932c3e575f1e00b1836015ecef3edbb</t>
  </si>
  <si>
    <t>02e7e55c8d86ba74edeb1bef6df92284b17e511a60153ce1397686011b125460</t>
  </si>
  <si>
    <t>3ece3e3cf5ebb6337fb755c36224bcc92cb70d3c3e16df50d69279b6a9d47e8c</t>
  </si>
  <si>
    <t>f1623893ce47910bffd9e781f62417360be461722d3f225204149ac544ac5669</t>
  </si>
  <si>
    <t>a2ee9043ab9ae8cd9228eb40264577ba1da37314e2720da88d0be5e166369392</t>
  </si>
  <si>
    <t>bfc22a9d79dd2ba6574c8f44b27997304124e0bbb9522489d3a1814c568ac104</t>
  </si>
  <si>
    <t>af8e4de04da7202ee217b3c76a24c53d3ceca31c579c439d9ef03f8b62406b2c</t>
  </si>
  <si>
    <t>31c9cb649ef88a480a286467a98e9426c10a26da3fb535767a7d948ccb63f534</t>
  </si>
  <si>
    <t>a7619bd8bd4daffcd082ae5a877387a0833fa59249da78c7528a64fa3e4851d1</t>
  </si>
  <si>
    <t>2aa77932da60461636772d6f6588a364212024d697f208c0aac7feaced08dd56</t>
  </si>
  <si>
    <t>f6e033f3b2eb39f93dd5a13bffbeef65f68a2648c08ab84f5c427a3a508c9468</t>
  </si>
  <si>
    <t>b750051fa5298a480f8d2700b17cbfbc86014f182873d74c0e6cf405b6c05cef</t>
  </si>
  <si>
    <t>cb0476e83883a7567684d1c262202626d46ac819ad2f6b52ec4d5e4e03b24037</t>
  </si>
  <si>
    <t>612eec827035bcc846734ce165d73c96be94cbf4dead47db99f7ee7f29d3474a</t>
  </si>
  <si>
    <t>f53253d577acf0268e85030547cb261178998f835fb044ab5a03fccd68962f83</t>
  </si>
  <si>
    <t>9dcbe9587bf9ffd2457872fc7cf7d46454dda43d9612bbd18290d1ee4a5a3eb7</t>
  </si>
  <si>
    <t>6b669414502015e40f17e6900d55dbfc2a2da7c4330379ee3badcc875645c089</t>
  </si>
  <si>
    <t>85fd82550f88968c618a744ed2027716f553795d2f95319eaf95789afb4847c2</t>
  </si>
  <si>
    <t>d4997bd9e318c70419136c501ecc45d16f6ecc0a47929df55bf8046330b28ed8</t>
  </si>
  <si>
    <t>4ce42d9e8ac05ff099992bb081653e43dfb09310c39362397e4c88e1d3fbef98</t>
  </si>
  <si>
    <t>8e19ecc8c5eef6b1de686518d401a08bc801a5f5b1759f9518c6a8211af3bde0</t>
  </si>
  <si>
    <t>3d876caffac2ceac0237165eb0d1ce88ec71fe12ad81c22d6de8fe2bb9d650a5</t>
  </si>
  <si>
    <t>3912e90a894d3967f1a4fe466fa580e0cf5efb1e556a13560bb2549cfe82e1fb</t>
  </si>
  <si>
    <t>17a7a6c7943cfc7aa7745001423d1a218daca5e7e018021156e4a06c0c6ddde4</t>
  </si>
  <si>
    <t>b64ef1979d18593493ed3a14e8494553f2d8431078689ea85fe8c3d669548765</t>
  </si>
  <si>
    <t>1ae7cd37f1a76f92154e7f3a7d5295ac31c31cf13b141a9779612c44e710d6ce</t>
  </si>
  <si>
    <t>03881ab6a13c3422e38039bde14da4be49782c4ca9c005e0a7ca4a2af69d85d5</t>
  </si>
  <si>
    <t>a4255d0f4daa1395cb78c01c34d5518884a7bc4a2b4a517477f03ebf32eed324</t>
  </si>
  <si>
    <t>fd28d918c4d72900f876c92b9f9112e5624ebcde73e6f5e6cd11485533b68b12</t>
  </si>
  <si>
    <t>a58aa02287cd6017122036e0e2cb39e1fd929707a15109980d2f4cfe3f983a28</t>
  </si>
  <si>
    <t>5d91c572d2c2589aa1df30f41a177950ca3dc18e01066ec6e52a70545cec1d9c</t>
  </si>
  <si>
    <t>342531325a5bf8e929929ddba2d9e5b5f14f6e541061baa1218f4e46d40b1095</t>
  </si>
  <si>
    <t>a4529b7beadcea0fa7261432957cf861595f58b61689911cfd6ae657fd749efc</t>
  </si>
  <si>
    <t>20490c680df419fd7be9797ee2af7184accceff0cee30e97f933c60d16774a5e</t>
  </si>
  <si>
    <t>d47615bf6772d15fc88b7f3ea230a23db86df161e98765209c0edf5f1da384ac</t>
  </si>
  <si>
    <t>4c73bd1d526bf781660bb0c408307e3bf84882057b870b19dfc8e18903faf283</t>
  </si>
  <si>
    <t>ec92741141edf1395497d698bd742c1f0ef0e54b9954c0cf3f3138696e815607</t>
  </si>
  <si>
    <t>06c9007b0ae4311fc9a9f5e892bd39685151806d9c50277b9990537250cf5588</t>
  </si>
  <si>
    <t>149007ce2b1651ccf912e23580f3fea905f70a149941f92bd05010ba5d962dbb</t>
  </si>
  <si>
    <t>4c074b5ccb32e6016d2deb86c617d643f733c258c353006822b704dbc97bd464</t>
  </si>
  <si>
    <t>f3cbd781bf488543d8de98171d1999b574893c68edd4f5b7aba5fc8ff9529eb3</t>
  </si>
  <si>
    <t>be2abe79d683aa811aece432497de85d2970edd9cea6dcd7bb73483295230b01</t>
  </si>
  <si>
    <t>1866392ddb48ac737e97ecff6fb6eb705cf9d22a5e6d44d12d34ea0f64a101b7</t>
  </si>
  <si>
    <t>12913d63f0bced548ff693d0aa8cd85b8542c9d832924e0dd6ff23bdcab5b982</t>
  </si>
  <si>
    <t>fb0a6ce76a67096626598a109b65f336f7cb607e5ed19ea747dd4ef84c4552e5</t>
  </si>
  <si>
    <t>2488778c8a1361ee555ccfb04dec7a5e37c407010a06e54a962837463492c033</t>
  </si>
  <si>
    <t>e7c8760c09d5fa935bcaa3699fde2ad32b87a08644a2b8126c18e199c7f8c8cd</t>
  </si>
  <si>
    <t>a9dc470341ca05e51e35d9acb3c1d7128912887d4419c43602ba36e6dafcd285</t>
  </si>
  <si>
    <t>6b26897e8ca8689e0acbb222f24cdec47b581cef4a28eee89648a582da29cbea</t>
  </si>
  <si>
    <t>21d36f3499db4f599a7cb539d2bd9732dfdbc187b6ddb99eb655c8bcc94ae745</t>
  </si>
  <si>
    <t>e2802a933e41eff6463254b0326801227c39a551c2085ade21148382f5f30ae8</t>
  </si>
  <si>
    <t>24e3feeb168b56b80321cb4c7f828cc607d6a0de8b651961fae4305cd13d2eee</t>
  </si>
  <si>
    <t>150954c178edd8ce9831fbacba4a6a849cec6f2c80ea65f7a18609c29a8769c3</t>
  </si>
  <si>
    <t>b56043f952053e3278fef24bc42aafc33133af474211ea0a5ba679bdf4675b6d</t>
  </si>
  <si>
    <t>bef453bc40e4a9af0e788e965965521ec26c7a8f99c0e8373674cc4651c35353</t>
  </si>
  <si>
    <t>6d9f7ec0ff2a2eebc3194169411d0823a171b0f44db85fa01cfd10ca4911eb48</t>
  </si>
  <si>
    <t>91c0fca8a804b8a7d6089236d5591ebd579eabbe528c3ebaea965358472a17db</t>
  </si>
  <si>
    <t>dd70fc3f46f6212dd7a7cd0d10cfa6eab81fa97bacead8c2646719fc7e96a024</t>
  </si>
  <si>
    <t>c3875115d8e4bafb43a9d01340918d29f7d0ac88ce5c79dc883b6d50e533c6fc</t>
  </si>
  <si>
    <t>5e15fdc169bf94468ba90519089bc6eaea2d788f0968fbf1071dec7894287af4</t>
  </si>
  <si>
    <t>c1606e0d4c9b25c9e9c997e576512a47e2692752dc58f82b2f6f5747fa336023</t>
  </si>
  <si>
    <t>0999d6b703974764e0ca6ba2b7068608b445f1711ae4e0cbd6822edc820ebef7</t>
  </si>
  <si>
    <t>d3a70ab6dcc3b5fd28e5f7f57a1e06e71ac6bda837471ae049b03d58b41dc966</t>
  </si>
  <si>
    <t>7e3ff1a2e5edd841bd11c0dfd0f791ee7e322e2cc1c0d063202bfc4fba9c96d0</t>
  </si>
  <si>
    <t>4d52e99a0cf2864ddee4eb622c9a430cfcacf57a2fd28d5b9d03b03f5fad45ba</t>
  </si>
  <si>
    <t>da43f9681945b806e2e50d94ce91103f9d5122d4d24bf4d92a042aeaf519dfdd</t>
  </si>
  <si>
    <t>a79aa1393c0592333aae65bcdf301164233ec77da7da2edffeed3c98a70ca15c</t>
  </si>
  <si>
    <t>a38cf38193fe7d7bbfecf59da085784893734c64fe53032288ce0ddadbe13de1</t>
  </si>
  <si>
    <t>9765d3ed90f9b62b5e9f127cf41aafc2b1a8908ac8a2a5780688a7f918790bd1</t>
  </si>
  <si>
    <t>ddbb068b4172fb42666217c842ecaa3f463fe8e8e8939c287b59d44bc6ed261e</t>
  </si>
  <si>
    <t>05d698f24ea07c566b2d5ef426acf955fd0b339d82b65dcf0f4f1408e17bc6bc</t>
  </si>
  <si>
    <t>3737181dc24cdd599f3ec5ba12c1c2e027062fc1a43e371d2fc43c5f26188f3f</t>
  </si>
  <si>
    <t>5c16ad87f2518c420d94956da0ddefd755f3ceb584da9e57b98c065f4a441746</t>
  </si>
  <si>
    <t>51adde9e7b42d94ebf543247d7213e125b94aa84b66599525c423e13f15513cf</t>
  </si>
  <si>
    <t>ec3f59c77328c3472388f6e88c334d02b1b634fd08017ee5fa0608aa615eff77</t>
  </si>
  <si>
    <t>d07c37e968d5e8115c053dcf235ea5411889253b370f5e2d64224c4661e36d87</t>
  </si>
  <si>
    <t>c53ad8e0fe2adaba24c22b68659e14b80099d02fdd83c79d68389ca684a31910</t>
  </si>
  <si>
    <t>4f3ec3d23df9f61f816a177630e9b35e72160e6372ce414931e469a305b441f8</t>
  </si>
  <si>
    <t>782f268c2f995ce1df10086f721449037485f55a98901937faf0e41c35d4ebe3</t>
  </si>
  <si>
    <t>fadcf2905ea280080d1387afcc230ccbb09e62e779ba589887f4b6d15a58f4f7</t>
  </si>
  <si>
    <t>f5c54b226ad61305c80b2f0e7e0d89b8db79883ab1d6dcb7e13a97c3d0eca4bd</t>
  </si>
  <si>
    <t>82d3d299eb4376f1df29bf8a6b82abbed66467347c18b3a781013f19caab19ab</t>
  </si>
  <si>
    <t>96d0a31e73cfc714cea967830ba0cfd52efeaa5656cc12c63318e90d6fb5bd23</t>
  </si>
  <si>
    <t>d7b9f0101e3ddee629ed9487103c5b1f893fbda2059ad8972282c98b523067c6</t>
  </si>
  <si>
    <t>e8da38eb361ad619841386a816628ee931378cf8be66e0c13711dce4b44895cf</t>
  </si>
  <si>
    <t>7f373857acf9a7a4054a1bd0aee96c479e19fae8f09c8061bbb092659da5f2f1</t>
  </si>
  <si>
    <t>0594940d25eb47b819dfce5618e27eca789ff7d877f772ecb2fb42b6288b02c8</t>
  </si>
  <si>
    <t>f6d23d44d299e5165c0f72acb285888138374c7c0c2f1b57a3f68d4631558f63</t>
  </si>
  <si>
    <t>43167ec801b5eff4507573f805facc3c81a8f235a67a193083366cdaa1ee09e4</t>
  </si>
  <si>
    <t>cba011662dec9735f2d71ecebd2d995377d53f5bb3202ae78df7589d7cfff681</t>
  </si>
  <si>
    <t>bf6215664afabe5eb2ca305ddfbbad4ea07f3ee376e433de6dee0422a610f2c9</t>
  </si>
  <si>
    <t>f0944647a73991a01312830da0139256c7ce39e7231e2672e0c14c2359fc6f97</t>
  </si>
  <si>
    <t>6d11b6478fdf46fdfba1e4144fbf5457c16d6113eda3a1959a22d96e78926d77</t>
  </si>
  <si>
    <t>39bb94fa5a635c19003d7570c92b8fd46e970411f24b2c35ebe817f8733f890a</t>
  </si>
  <si>
    <t>3bfbf0abd3158b21a55200927b5225658c6a5821651c3230d3d453a54c07fdef</t>
  </si>
  <si>
    <t>cdc604891763e54a7817b854b3dfa647ba4f891e3620d7559ce9c01274917b83</t>
  </si>
  <si>
    <t>47e50c5f51f93e7ce65b7ba66d584f763164982e8a958b0c874b91784a20622e</t>
  </si>
  <si>
    <t>9bce74041a76b4cb8eb4f6fcf90588f3720026f0fc09fef93a08435edbc24be3</t>
  </si>
  <si>
    <t>4c75e7d2ff05776f719998b8574a349777ceee9b7cc3f7af66508d076077bf0f</t>
  </si>
  <si>
    <t>d7cd6d060329e148aa3978e1c83b369af68f0476bf6e3d0ce8bc1f96a8215074</t>
  </si>
  <si>
    <t>105ea8245b27a7ce823be2df606251facc286e7a7e8d0164e197cfbd473d8bc4</t>
  </si>
  <si>
    <t>58939c9f332696c08767b9b326ab8d64049a89cac7eef3b564676712faffc5ba</t>
  </si>
  <si>
    <t>d13bb82fb69c563ae84d56f4cf0fc0c72f1d346a92c7fd9fe77e48c8bccfcc21</t>
  </si>
  <si>
    <t>a6c5a53cd955c2dd28a1f0e146276670b01eed4b99d49c04baa710c82e230532</t>
  </si>
  <si>
    <t>1d60203d6491ad12f42d6a96b6bceb20caee42d84db93a7f7baf73a1bf68dc0f</t>
  </si>
  <si>
    <t>80382ba2a10128437001cdac04f0559e8daf90991821de766346a021bc25f38f</t>
  </si>
  <si>
    <t>7cdd05e22af0126114adc51f523cb70197221dca43ca3f8eb76da3f4db014627</t>
  </si>
  <si>
    <t>dc8b9580d01bd020bbec3dc13e10fb119f3739af2409a9bde58647c3db0b7ba6</t>
  </si>
  <si>
    <t>3302d18f3868242ec0fd98efe371c817673a71ecc200e9d24ac0f2eade6127db</t>
  </si>
  <si>
    <t>257b64927b78d3d38656b28e83f5df2d26013244ca702f7dd9a0afc83c0938f5</t>
  </si>
  <si>
    <t>b030af6f20254c83368dce6d38eeb3d4fcdeb92d07d740dd5cbb0c8556d0fa1a</t>
  </si>
  <si>
    <t>235c4aa69339afc2e5646a7ab6f245b11c808498644190ddefa268e86d090668</t>
  </si>
  <si>
    <t>bc5bbd6673f1b0c4e734f021102b4269ff6b38d6f20b382c248c4fd1e7e91911</t>
  </si>
  <si>
    <t>d270e7b555c73daf21108f10d778722771df2a60491cc89bb97e0ec4f0ca9dc2</t>
  </si>
  <si>
    <t>4cca540461b8138454530cba06854fbc3c1c87bfd0f1629c981e64f8bb978c27</t>
  </si>
  <si>
    <t>c46adac65a1f539ef2e6a80c13c7ce777bcc8f563ec8fcdaddefe8c27964f84e</t>
  </si>
  <si>
    <t>fcf06f4b866c59ee255ea3984d51632c24e462e13ac9d94cd4a398be03919078</t>
  </si>
  <si>
    <t>b97f931a15035af5ff8f97377033caaa7a58dd592bc70c64ec2a5e4c01fa957e</t>
  </si>
  <si>
    <t>HEROICA CIUDAD DE JUCHITAN DE ZARAGOZA</t>
  </si>
  <si>
    <t>43af6dfae3c9056ff793bc4b8e2e1b472d7514e037a23d4d9c829fd876552f66</t>
  </si>
  <si>
    <t>7b2b57d8820aecae7fd6e79a16a82d857e65484d889aa09e3fb953cbb92c3f3b</t>
  </si>
  <si>
    <t>0ac9dfeb76ee7923b168d539c80c4b447d31632835492b3e5b5248aab6238a7f</t>
  </si>
  <si>
    <t>382a4b1dcfe16917fc711f7e396277214851e39c3e0587942b5ecf8867b67a47</t>
  </si>
  <si>
    <t>8e6a6de170fa208ce78fbb0526e3dcb205831584f5a11a385b93b0e0be300035</t>
  </si>
  <si>
    <t>5244793b3f303b6aa4914ad0089517c76084488b5898d0802d3ceed7eeb92411</t>
  </si>
  <si>
    <t>636458f153a3be636041b9c1670b1cb4d543bdbd6a055bd1323e8321bf89f3c3</t>
  </si>
  <si>
    <t>162d6cc54f111577258fa2fb7b4c85d30482c99080eac2df26ba2b75b307cfcc</t>
  </si>
  <si>
    <t>9cf2b1f33f0f01e9dc8f0d3e2130383cfe297494a4929c982f39b0211817b71f</t>
  </si>
  <si>
    <t>0a8df69e6e43d11135d8576dfdccfc954f0585082dc3ce810d3b203009f8e1ac</t>
  </si>
  <si>
    <t>4d812e6e6fa67dc368a67cb47a7896515a245061cdb4d484c65fec9e452d9043</t>
  </si>
  <si>
    <t>07755aefe1bf04adf360f84432be036baae890ad06ea6759e90dbf841f4e0e86</t>
  </si>
  <si>
    <t>abacd4b285d20e8dd21b1b767674c6a7a2ca54d902c06e11458c0d3350bca907</t>
  </si>
  <si>
    <t>87fa72f1e747939a67f91f627412b79a7ea83694ec7b995b5a48042abdc1da65</t>
  </si>
  <si>
    <t>2e077a53e234e69e95ed91351a78e472ab23367a7e1d7fd2c9af688d1d0e2550</t>
  </si>
  <si>
    <t>542b9b68763d849eba85b47de72015c34697d78e945644eef8561f5149d2d28a</t>
  </si>
  <si>
    <t>249c3f1e429de0e2c313e48aac7048896a8af2b17d397a489a093889af93b0dd</t>
  </si>
  <si>
    <t>935561d689215d8d6a36c748804af2c05b34c3e3ec9d6b7b919652dea42c67dd</t>
  </si>
  <si>
    <t>9e1af05cf87ddb8d13a4b3e3da2a5447569ae337b4773105bbe77458dd3bf709</t>
  </si>
  <si>
    <t>05395418b638209a1b32212d77a8bbec03f0ccbb9e635c0387c6f807b2f8480c</t>
  </si>
  <si>
    <t>e1285b5ff605a93b909e22eda4942aa6071b2e1375666efb8cb1540007365a11</t>
  </si>
  <si>
    <t>8bae2e570333ba2e760b18622583a9034287fbcecb9195103d7572cb5e811557</t>
  </si>
  <si>
    <t>17070f858390cb9ffa0d5abf4331157bb498cd2df51b7e6081f82354acb48423</t>
  </si>
  <si>
    <t>3b885a652cbc7a4a18e80c59335ca548fae93fbf7ab162d203036b88a46661e7</t>
  </si>
  <si>
    <t>81b9ada1bd889d1af1ae61c30cd1582a44f87dddbb39f9c7d4610e349ed0bfdf</t>
  </si>
  <si>
    <t>66788c80b74296ee541e61376847822e07ab2c5defe01e6d3f1e96d26be0ee8e</t>
  </si>
  <si>
    <t>49bd20b5826ebfa07bd19b9c1faae06e82b102ee520a0147a7e90001da676331</t>
  </si>
  <si>
    <t>f232d7c173a5815bf0e587cc0717138e71f1d86d6b3e7aa10f7f1caad4ed98af</t>
  </si>
  <si>
    <t>5caa632d3e94a0154ac84ea1f91766378e70521e66b0d8bce017e5e0181630a7</t>
  </si>
  <si>
    <t>537ef4dbe66e503a3739b62ff54734b441d38512d187fa6165614e5422189a2f</t>
  </si>
  <si>
    <t>cadf03a6c74f91373be0b3aedfa85b8baa1538c942428857a3329bb0edbe9322</t>
  </si>
  <si>
    <t>bbec2529fadcb65121cbacba7149b39bddeff5ac0f232c5a348243ef86e56851</t>
  </si>
  <si>
    <t>c4338ee15ffcce0cd9eddc98a495216e6c649b3a9817024b06e1990b99a6aeb9</t>
  </si>
  <si>
    <t>dda167be6674f2fb19c31be05dba9838d930f73d2fdb4ffbbc2c82686fc745ec</t>
  </si>
  <si>
    <t>8e01bd29e85baef3e1401c67eec7cf3fb87f29e07435607050487b3be0fb6a21</t>
  </si>
  <si>
    <t>292a72d280d52061d8d9990d3429e276d93f8bfdfbe91c1199071c465477e3a4</t>
  </si>
  <si>
    <t>bd8c5299158f4e6b34f83726f57e5c62209045976a3e1fe5099c8cb1fad8100e</t>
  </si>
  <si>
    <t>533b1ed4568dd77f696ab8c567b8804d8b23e2943bd5b8e2b6443a329fd0d3d1</t>
  </si>
  <si>
    <t>c6b4b9e75d69618f9573af36de58677b50900e7501951758755a14f214d48765</t>
  </si>
  <si>
    <t>a36c2b994eeae070b625f32bd4a67c675f37196ce309423e69481361a5a597e6</t>
  </si>
  <si>
    <t>223466891fedf3ed03adfc65eced3d200853e81d6bcbd1515534ec52e3ff0d59</t>
  </si>
  <si>
    <t>d1a52a704408c0915b4e142b0a4b3ed51a479d5ed29adabd5ad54adda8fab02d</t>
  </si>
  <si>
    <t>99bd43833f710adb9cbbe133077435edca7259cafb65b5ef4ccd36a7cf8fd67e</t>
  </si>
  <si>
    <t>50250c23a1e0867e9167a442fb0fef88e2efdba63663a628e3d048db05e0faca</t>
  </si>
  <si>
    <t>0fd31d323a56209fabc0157674e9a6123ff566dfc55856665db8e49e49845cdc</t>
  </si>
  <si>
    <t>2f76cf0a4e3268f29f706a0c3fcbb303ee06bbc14e2a2a67963f039261054617</t>
  </si>
  <si>
    <t>417979031dd03403cda59ca6fb3e88be5811eb3ad8cc15205bbf078cec2dfd31</t>
  </si>
  <si>
    <t>741098eb44ef5346c29ddb11542cdfa4e0ac30d79deeb9cb18a5161d709e1f48</t>
  </si>
  <si>
    <t>e5bb805596d8be44be50f9382071961390b09df98492fab06270270afe052f19</t>
  </si>
  <si>
    <t>6e0bcf7ac6ea1934babd074906d9700a9dc47096c66fe973e32a285a31e908c9</t>
  </si>
  <si>
    <t>2013dc91bbbf0f2a312a7ed71ccef123b08642f0c4fc4c2edb6d29994c9e151d</t>
  </si>
  <si>
    <t>fb6894a1f199d49f60831608a0a5d1c7f9fb8cab81e936b45ab08884038f8adf</t>
  </si>
  <si>
    <t>bec74dbc5a4d6ec189908906b76b6798ddbbc66698ef323ac363a2e284a18993</t>
  </si>
  <si>
    <t>695a9183d4677bc11138b01147a340dcf7a11d703f6c3177ccab468abda86cb1</t>
  </si>
  <si>
    <t>9189da1c099f79ef6ba7f852fbcecf1f8a238150e023629a883ba64160f5e18a</t>
  </si>
  <si>
    <t>f7dddb204f230a1e82522a38553abf1c1e178986a277f7bb85a6088b312773d2</t>
  </si>
  <si>
    <t>d90a60660ca79adc1ffd7e4c153c12008d4fccbcdffda4832ca4c32227ff8c1d</t>
  </si>
  <si>
    <t>e23badc2082fd8f94f63d858b5f97251b8c19983d99dcbd1b4a6bafdcff8f7b3</t>
  </si>
  <si>
    <t>0366afceaa0468c39b0d06e7498ffa4b0605db0ff00a6f55447cdee6c6a631ee</t>
  </si>
  <si>
    <t>b4ad867220d549d2e6a9db3410d0f93afa14ab4ac475ada62077535a70c34cc9</t>
  </si>
  <si>
    <t>3532dde2d999a74389ec2cd077bb1aa72d7b9a13a00c25b32ab184cc01e3e285</t>
  </si>
  <si>
    <t>0c4866e70b21607d36527fb038f50f690e11cddb7c42872bd984f82269b10bbc</t>
  </si>
  <si>
    <t>55ae0672b558ab73f0f252d473b45a95485d403c0b0ecedb3e928b25ca02b4b3</t>
  </si>
  <si>
    <t>e56d3a4b63abea161380f600571c043b6b1810b4f9d442f01c62f1560a910651</t>
  </si>
  <si>
    <t>656fcd53f48d4ce60a594f7dcfc22e4477a18dec6f81c43ebb987871ee7c71ee</t>
  </si>
  <si>
    <t>e313e8cf11226c5a33d291c1d4253e2210620805d365f5868710279b9e369edf</t>
  </si>
  <si>
    <t>620bf4ffde93d2b4569d129ae406e91f58c291da20d77acfa5a918cf21f32816</t>
  </si>
  <si>
    <t>11e741291bb59fbab0c05688efd9f7f289145daf5b954f35556cc6b5bd76c4b6</t>
  </si>
  <si>
    <t>0619cec59e25ba114ba8e818d9439ff353ad1f3e3c6df471165a23a2ec3f7051</t>
  </si>
  <si>
    <t>ec329b07b5377787909a3979bbd894a8a823471097004723234aef4589d18def</t>
  </si>
  <si>
    <t>2675ce3b4a1ba6eccc1c1ec4d150ce92f983ef98c369b17dd2bb09d39fa69c05</t>
  </si>
  <si>
    <t>1d2d7c40f4db3e77a76f6183f3b90868b95f47c5c3569eb9a646aebac0c92500</t>
  </si>
  <si>
    <t>00174007f1657744e97044b7f8123da5a8055a8d47fe46bcb3b5dc5e39ba5418</t>
  </si>
  <si>
    <t>ab819123a1970f8fe2bb78d5b19fcecf9fe865cbab4ee0d43d7fc5caaeb135ba</t>
  </si>
  <si>
    <t>0c604057d8e285e86a73c3e6a743fce7184ac7342ced85f19b11456738ddd4e1</t>
  </si>
  <si>
    <t>555e54607b43b01613c5f5afc647b34e3ddb7325f399e45fb18e19b4b430d507</t>
  </si>
  <si>
    <t>4ce21b71e9410c6eecb2c49e014a0c437e59b12494120e8a5fc87324fb2b94b1</t>
  </si>
  <si>
    <t>13db55e03c2c350e88bac563ce6e13717c11224610196c6820ebed21cde4e169</t>
  </si>
  <si>
    <t>3728dc4b73508df92b7f4b4e5f3986a3e1b55cddedaeeb013fde4c827182b5dc</t>
  </si>
  <si>
    <t>dba893a56118c36a0327432a635c08e6e4991801cea81479daddca58b0906251</t>
  </si>
  <si>
    <t>803c8867c70483f4157a905e39e7e9baecb9b81fc06e1a6322a7cdf09a2eb3ea</t>
  </si>
  <si>
    <t>9567b2a80535ed6fa31c048a3c085ce1a6afee2c834642fb762cb175aeb63ee5</t>
  </si>
  <si>
    <t>a974553ef56b84334ba8ec792f14c6c641c62b8a4da83ff502a8ba3c605641ba</t>
  </si>
  <si>
    <t>eb63c32365d362e445405aed4e4c27bd3b2337bbaf8e93e5fdbeb37d3a4e5842</t>
  </si>
  <si>
    <t>3f2339d8c495bfcdc3bb7e584397f33f2f4a2c8154ecaecca9308c3fa9860dee</t>
  </si>
  <si>
    <t>44f6013e7d1f92e5ac53a10a6b92b0422460d3c6e0734fc512334d297ec41d0b</t>
  </si>
  <si>
    <t>1d98035bab9facc36fa49a673ba7b60c9282234e3fdb7e2fa514f20b32261302</t>
  </si>
  <si>
    <t>ae9d563c44d8ece6b207276c9b697d6f2b08fb645bf717c61fda6f414a3b4112</t>
  </si>
  <si>
    <t>26bf75e16ac6f1a1718e17ceaeb22f938e0ba2cd26ea4b382dea68ed545d244d</t>
  </si>
  <si>
    <t>42d9bbd7dca351163b035c974f075bc8d185666953eb7e59a4d5c62dc678b5cd</t>
  </si>
  <si>
    <t>e24f7c3732bb7c133a30e9e55b40fd77f8f70d07e13a1c7972c3f45b61524bce</t>
  </si>
  <si>
    <t>179fe581bac6f62ab0e569e62b6df06cd5dced29401cdc19ab5f5782b4f8a9f2</t>
  </si>
  <si>
    <t>d3a13cb5270e13f2279975fca84241792aa6c7b93c3d1eebc31301f0680a011b</t>
  </si>
  <si>
    <t>e03c6ede7688b061277b982e92fcc96d618f0b42fd97897b75eb2b2d150a9b47</t>
  </si>
  <si>
    <t>0e8e13b05af258d15752f0c11819a90ecfff063f70409fed849158fd3d875f52</t>
  </si>
  <si>
    <t>8fcb61b13dead0f217ec60e785dd846e6a2d7171e5a47fbba52a21a43e1cb0a6</t>
  </si>
  <si>
    <t>14ee738f55b1e37135bfdd6a9c97cd9bc560be58ff1a8ac870d0f90e05af8e00</t>
  </si>
  <si>
    <t>7ca772cf8e2da8de364c98f82d6b8ebf4686f251f1db479088c561f643b724be</t>
  </si>
  <si>
    <t>1b37bb1229110baf77c45f29570ecd82048063a0294546cd8bd8a4461827d1d9</t>
  </si>
  <si>
    <t>c3a9b5d5d0490a1f03688ef95cc26c8c20bf42c08e6cf668abaaa3d2631477fa</t>
  </si>
  <si>
    <t>9c868ba801c01ba2ea9baeb1ef75db29acc084de6d12d2fbf51de7520197d1d5</t>
  </si>
  <si>
    <t>2c5675d8823f6ed82ea2945578f2fb0e60aa501d0fc9bd0fd3de0ca08ecee6a1</t>
  </si>
  <si>
    <t>a6124295cc764bfcbaccd5ab9094dd9767daf89ebbed2bd1846be9dddcf2dcc7</t>
  </si>
  <si>
    <t>dcbaad876eaf1aa8430259c90cd8ecc23f422d5827abd94efc4033d6490b769e</t>
  </si>
  <si>
    <t>4be4c89c92c119daa67190f1567812a60ad1e04533803d2337c9d86a755c3029</t>
  </si>
  <si>
    <t>db12cc42f76b3b6b1d2d8858999f137dd47a2e34e9ff95770e5b836b350aedd3</t>
  </si>
  <si>
    <t>d5985d502873a77736b4f95a9443d9aac171b568d9ad1c668e5692b7b49115e1</t>
  </si>
  <si>
    <t>3af50560ea44c896b23235c2c04c747d480a659173ef422d98495f76a13df48b</t>
  </si>
  <si>
    <t>b7592c91d3010e4b0ab74299bc7e92b39059f44dc9f13247036479382f04f529</t>
  </si>
  <si>
    <t>27443dca7263f8557720e4491458477faa6dfa55f97f410cf198324bfa7b4d16</t>
  </si>
  <si>
    <t>bb5491d0548fe5983cb0fd570a3cb7a9ab0d744f8333177902e52ba5dafaceb5</t>
  </si>
  <si>
    <t>f3802d75accef8a68bcb0a7161d06de3ff60bf27b4bbdc10a3810779caee14da</t>
  </si>
  <si>
    <t>acb5381d52131b1aa33afd65df8f3b9addcaf7b593213899558e92fb2888d56f</t>
  </si>
  <si>
    <t>069eba42c173d6b4ab547137a278e3ac06643c235ee183988fcf8ba1298b372b</t>
  </si>
  <si>
    <t>a321ef2cf270b878ede50eb21edb68a646cbdc8f83043e3da8967acf6d819f49</t>
  </si>
  <si>
    <t>fd077a7f32dc2d591f493f0b929444a1fd890c7de838be7932a7895e4b68d882</t>
  </si>
  <si>
    <t>2d6ccc0d5f5e9a09cc10b6460a30b122dab55fb5159508d4ae05a3e22fe5343c</t>
  </si>
  <si>
    <t>d897a755060eefe3c7b82cad4fb84a068f0a6ee145b0cf3fbaf929a3fde016d2</t>
  </si>
  <si>
    <t>f2219626825dfceb57eb90b63a5946c4d9a584c7a938989d4ab28292750ae44e</t>
  </si>
  <si>
    <t>f671e1d37acf9b65d5e8e453a55bb5c486b72229f7d3440e813e2c9cd404d18e</t>
  </si>
  <si>
    <t>3cd37b7744fff56c6f77481facf8334709b57cc52b457cf443d5a4e8e2ddaa84</t>
  </si>
  <si>
    <t>859379624dcef6573887641e981389248e3e812749c9a791d21becb40d953eb3</t>
  </si>
  <si>
    <t>69aa42bb4f209b83e0e2d0e203e5b274aa67a9e20858970c90b72e26f70c9505</t>
  </si>
  <si>
    <t>dc15e2acd114cdf15ae7770c03eca341b7cb912ac6e72ab271c76181eb98cb29</t>
  </si>
  <si>
    <t>67077a0df1abffbfbf572b39dda824a9972d3098d3bfe787aa55054f8d881b51</t>
  </si>
  <si>
    <t>7b6f719f074d4b64632db51d971acfec8b7a5bfbb33da736a3a9819df613d5f2</t>
  </si>
  <si>
    <t>0aa12613d907c67d2ed35a9c4c83be0e7bf9d4e1f5f986d09bd0201e04b82aad</t>
  </si>
  <si>
    <t>b36f6cceafd40f8c93fd0cca644634f8720d4c3f94b4a605d4aa8014f6fd5ee5</t>
  </si>
  <si>
    <t>3e0070a89e08fb299b78e5e8fd29c2932cb6315554e9cb5570bda2eab903f390</t>
  </si>
  <si>
    <t>107c7cfa300a618911607669b9b678802ebc503301ed326c063661e2c47ffccb</t>
  </si>
  <si>
    <t>a07b54b7694daecd5070be6279ba72b7d1a62b35e898495396fbc8fed88ecdaf</t>
  </si>
  <si>
    <t>ffbaa5bc859b94a3444819a92d832dee8fbd4d1511972485acb7ced691314af4</t>
  </si>
  <si>
    <t>2e8ed254a507afbd1cad3549062b86ee7f4e15805040bb9357ea7b97b99d8e80</t>
  </si>
  <si>
    <t>58f3da7361c3906808b0fa5d6604cc04cb216b9e9524a2dafee975e6e3a98118</t>
  </si>
  <si>
    <t>3b56e7ac143eecc0c86d7416081d3f3e54216736f5f5d4e26bb708eb5bb51f34</t>
  </si>
  <si>
    <t>cf8c7e9f1d03d39e2c5bb68ce05b52b6315a9045d4dfde9c7512e92092c0cb81</t>
  </si>
  <si>
    <t>674ec1a7082a31848b367dd93b6eeb11598ce3dc828b95b0eb627b1d7a377b7f</t>
  </si>
  <si>
    <t>545371e7771de2c39e51e8e16c07b8e1ad6edf5cd6887f1119f4b599bc0a6fdd</t>
  </si>
  <si>
    <t>cf5dae02a70860de328fb5318029926cfb8c6ea85882a1d438847cd45a16238f</t>
  </si>
  <si>
    <t>1b843023c26f3ae7dc8b3e58d9e0cdb94e37bb0cc764044e3e57bc506c7bf8d7</t>
  </si>
  <si>
    <t>37903b8256e76ba2e3cd0d955dbf44f995d632ce27c00e019749cc89eb7a12ce</t>
  </si>
  <si>
    <t>8500bdf82423904feb9d912c8a5de794f5e03631d56de59a8af09c1ae8e28d3d</t>
  </si>
  <si>
    <t>2e901aefde1c69adc4000557a97d35456df53af1380223f1515e15a2b592ef98</t>
  </si>
  <si>
    <t>16e2bf3905b6a0609081bb23350e2e3388a1e7a7f4b3f73fff6443a8ed965ab0</t>
  </si>
  <si>
    <t>ae829922ef74510eb1ce99a94639e6ad48f532463f3cbb995b321bcc1fb97a3f</t>
  </si>
  <si>
    <t>01ac0808ea5e871e573c298c6e3ec258922fde856111655a6431462b82c558b9</t>
  </si>
  <si>
    <t>0429a3b22905d99a7edb9621fde464cf19a07fc1b7b011cfb6f1cac9cf4f32c7</t>
  </si>
  <si>
    <t>3152feac7e4bd595ef126191e546efae8071efc4e6804c32be6aae6b5f7bf1ee</t>
  </si>
  <si>
    <t>84263d55b5a5ba5a9ff3bb821663c5399aebc82ab2469a6c80d3da28247b4067</t>
  </si>
  <si>
    <t>ef5ad19f485a71d088c61e51d727fa23723ab2d52a9a1e708b498fc77bad2639</t>
  </si>
  <si>
    <t>d6717223d398f79ae9a9eaa77d0c6c366199e410f77c951f3d4125d4361f2c6e</t>
  </si>
  <si>
    <t>6bc3759ee977e1e2d91066df42cd94e41d4477103a72bca0896848b2980c5192</t>
  </si>
  <si>
    <t>b0a402d9324c72444498e57d7f65cc11d66efc3ae4e12bfab62d34d9ca33c2a1</t>
  </si>
  <si>
    <t>4101c411a9033b33498d24f3b8e160d4868afad7719c1c8204c961f02ad360cb</t>
  </si>
  <si>
    <t>d9eeb575ed57779715404e39973f84a339ff876b92e74a924963b4ebd4e043e2</t>
  </si>
  <si>
    <t>0278dc538c653051be79174ae43fc985c424ddfadc873d6ea97bf4d23a2bf5cf</t>
  </si>
  <si>
    <t>53b3b048f2c1743c74e1a95081df6c00705a2c4b9b005df4b4b4943a15ac434a</t>
  </si>
  <si>
    <t>cbf7ba35ef0f9fbd82085cef940f147d56d8a3c98670cec3c452247b60caa910</t>
  </si>
  <si>
    <t>9784cb342e7198bbee2eab245e62fcf5fc581c71c3a953affccea1980feca054</t>
  </si>
  <si>
    <t>24e8410e901a2cb4d7135d607b1866812f3de614d4f9e09b53e396ba9909fdac</t>
  </si>
  <si>
    <t>314b61b0c6cbbdbc0657d97eba86d9712fbb941924bdc1149dbed9fa6ac53229</t>
  </si>
  <si>
    <t>f19361a908765a946129d12a46fe63a9f90c5feddf3af9eee4a6a643c6bb98a4</t>
  </si>
  <si>
    <t>d3a9f7e9bee0b1676a12202fb280e999e24777c44b864b973f3a738694e9ca0e</t>
  </si>
  <si>
    <t>e1a0acae79244099d8b0d06261b7906048d4a9b70174489c3a1f9c080a786552</t>
  </si>
  <si>
    <t>547ec0083331c80d248868494d54d4c4f69cd4af45626a101812884ab78d2f1f</t>
  </si>
  <si>
    <t>4bb1151f53575f58d50d242ddd808c23dcb047039bc9fe9ec09e4c5349e51f80</t>
  </si>
  <si>
    <t>15b72f37b766f587fb95a926a111254431403e0aa4f752081958ad2456d61d0c</t>
  </si>
  <si>
    <t>23ecab79d0324464d0ef4ec2546c0358b5ab5cb629d310b0c3f8104cf8519b22</t>
  </si>
  <si>
    <t>efc6c0861889d2a0a5b607e33f6a1de3edce717c527c203eafeb93cc08e5865d</t>
  </si>
  <si>
    <t>b3a1485f559acdb44733c6b4e32892e351eaafa47ae90513d7d86dd3d6aa3833</t>
  </si>
  <si>
    <t>85e0dee9dd42c5a4d211c031153d0b642871f83698f7cfe4a65679fb41fa4845</t>
  </si>
  <si>
    <t>507b0dba4c905c375c77e1c2a2d69256aeb4128776e79a15807eb8397bb3f772</t>
  </si>
  <si>
    <t>1dd3e0eb43b91b9e6b55ea6c67a649a59c6256717d943660cf19b659a95b43b1</t>
  </si>
  <si>
    <t>903056a78187e6178e47a60b75e5d6855e88cc14553e0e8d2ed105f944e7f0da</t>
  </si>
  <si>
    <t>dd0d95ed31374ef2b8528e5b852b70c882a9ee2d2b2120c3077d83e2d07147da</t>
  </si>
  <si>
    <t>e7826feb079ddd674752088cc2c245e0cc429fa90f1f6b81133ca8110f746460</t>
  </si>
  <si>
    <t>46e75ed48ac5e9bcb86e59278a9506ca7c7071aac7620ab29fe11ed79d0ada18</t>
  </si>
  <si>
    <t>ec4ec266588e127dbf0c6c10b304c0d3f788796cc701bbeef8fe674c7a54fc4f</t>
  </si>
  <si>
    <t>4134d70f0baefbd87d1f1e34d62e5f3b8d82f80b6cb7595bcb4d5a610e2ef76d</t>
  </si>
  <si>
    <t>31c1e2ee0f73ff2d4f30d7227018340f4d9410c57749b71ff92c8cd13e1693fa</t>
  </si>
  <si>
    <t>ab52940084d3e76e0bc325a9dd9987001b13231319576132b34a4b0bf2ca5a80</t>
  </si>
  <si>
    <t>d4e3f4f1bd35d546e09cc36648874069e000f050caec62e099797ef64174faca</t>
  </si>
  <si>
    <t>672fa89633c0448eff218a2870c6eb2f922fa39699920a529230310d2eccb396</t>
  </si>
  <si>
    <t>66822eef839c6a477452161b609611cdf343572ef298ef9e822815a1dab132e5</t>
  </si>
  <si>
    <t>897d8b879553e9d0c58f99a91c5c5c0245e3ef5c5660fb542211c442349b0df1</t>
  </si>
  <si>
    <t>f11fbcca45b61c15134a6be6c4c56d19d2d57fa3dd85393d8f051748a46659af</t>
  </si>
  <si>
    <t>08fe1befc2fff321b6331a01b69f54a5388b9a753937b427badd6d653a499e5d</t>
  </si>
  <si>
    <t>ac6effb482f3fea843e0b0416c9bd0f502c22f4ef5124eb21fbc7f909e8965d6</t>
  </si>
  <si>
    <t>de6cb7f7edd1ad0ade75c36ff6edc7492f523dc4edbcb9462fb9bb8fc2f56108</t>
  </si>
  <si>
    <t>3e5a3c5b37b14304c9ed7ba541df6c150ec8344a5fc8f7b68145805d393ef472</t>
  </si>
  <si>
    <t>2928dddbbe954137a6b8c8c6debf76f403fcc561668a5b746a9dccf2ea66a02b</t>
  </si>
  <si>
    <t>2146454b1726360fceaff54658f8b2c160b532f032d52651bd22a17e828c0705</t>
  </si>
  <si>
    <t>8febf32578a9a2ea674a0d022360c290c447379de3e1be3d6c898baa5efe7ee9</t>
  </si>
  <si>
    <t>6bc8c2a6ceba4527c1f7edb6ba3dba9fb4a68434a1a072bcccd166102d850db4</t>
  </si>
  <si>
    <t>933b1b018e26a300cb438664e396961bd955e020f18c4204fe7022f588ddb86d</t>
  </si>
  <si>
    <t>b5e2ce22b52f7e000d60d1fc70e73857b1df638aeebb1174aadab082a55cb180</t>
  </si>
  <si>
    <t>0a53628d4c831ee0e970ec0d02f537dcf0a34eb63f232bc20b958c9ab8966948</t>
  </si>
  <si>
    <t>86155f25cf6daeaed8dfa72c720013f0e044aeea762693f43d037c24bef0428b</t>
  </si>
  <si>
    <t>be9a216899911bb4bcabfc18d6c695679520476d12ae0fb5021711d400af9c8f</t>
  </si>
  <si>
    <t>50fc0481b581964ad66d1cf11a6b8a6be45b8fab63ef4d9536429b07bd83600e</t>
  </si>
  <si>
    <t>f0af5959c055002d24a75507693ab76cdf2345492f64552b27b45b9fc180ed1a</t>
  </si>
  <si>
    <t>72ba24a9b2d8eeeaa9622bf67618dcc32679e917d8093bfd711836193a9d2b92</t>
  </si>
  <si>
    <t>f9a06e4765759c5ef76b3ee9054a02ab7d8c59e66fcfe68fa76146aec3bef8a0</t>
  </si>
  <si>
    <t>2180a3b58dfb9faf071a33459aaa36233030650b45539ea4d36aebbccedc8e08</t>
  </si>
  <si>
    <t>HEROICA CIUDAD DE EJUTLA DE CRESPO</t>
  </si>
  <si>
    <t>4c3afec4b3108045d9168c94b599c3245dd52b8a2a4009087ab0cff755a41ac0</t>
  </si>
  <si>
    <t>4e19fcd42e2bd73f62ed3f9bdc68fdb64eadb72a5e707872a0e5476915f5f340</t>
  </si>
  <si>
    <t>0753219ce79a6964629bd13a4a07e386d9fd5528739091138d5e2f60ced174c8</t>
  </si>
  <si>
    <t>a9634cfa586ecb97054019ea77ea2e6b2d7d9f674b8038ee71cebfe5a1effc69</t>
  </si>
  <si>
    <t>b858fa37e3d364a082ac221d9456580eb522339a6e3628c94d42747e991a99b2</t>
  </si>
  <si>
    <t>bd5fd0d0f1bb0ac419096cf0eb2c6d71216ee1309e46664a566ecea0ba067dda</t>
  </si>
  <si>
    <t>7a5f804b677db8d2df9ee1e154e7608c3055062007a50005a873a4ab1eadf4b2</t>
  </si>
  <si>
    <t>4ccb8f35c3fe210794d45a67b64cf14a19913e1c724c07d7fc60c0c129bc2d42</t>
  </si>
  <si>
    <t>94b94249effa6b5ed0b7a6de154cdf39b9d825f31fbd0cbd5bd28fb8de8df588</t>
  </si>
  <si>
    <t>8514bbd6e22a0abddf45e464165ea50b2e2e571911c516e84b5246d1972fd946</t>
  </si>
  <si>
    <t>d8b036904d4eb90cedb7c3bd5739dd46b860e613196deab8d56c3b63c3b8da2f</t>
  </si>
  <si>
    <t>680c2cad24912fb7980d89bb826a513e17c8957df5dc0b0b2a394b36a9e9c35a</t>
  </si>
  <si>
    <t>908c57e5ccaab8f95f184e5a2778bbdeedee3711e48a90db52ad721e61196a2f</t>
  </si>
  <si>
    <t>d6184213bad0932742c6b4fb6f32dd2116c880db676514893924c7a88fd0446d</t>
  </si>
  <si>
    <t>d8c685f7e0aca1c1aacc232cf2728457fd0a9b1ca84ef4fe0b6202c61d3f42c8</t>
  </si>
  <si>
    <t>b5701d21d2044977bbd9a2d7731bf616d1ab80d8c5641f1f26aab7538eed4e5c</t>
  </si>
  <si>
    <t>ed3a62d2f58d32154fbdce90466751da71310573ab6337bc0078c782aea11e11</t>
  </si>
  <si>
    <t>3a078d36fa5e796c984da3343f84dc4f00cce1c1f860686f1c1ae8b20193574e</t>
  </si>
  <si>
    <t>270cb196351be96324541222b00a0b31ff175d77c0d99917f88adadbec7abd8d</t>
  </si>
  <si>
    <t>95ba17b426f8ace78c5c0a15c5addd5990161c5512339d17336ff949f9476d02</t>
  </si>
  <si>
    <t>834dd4af689255432dac4db11075d533ce4b1b314784c46790d90f9efa81037a</t>
  </si>
  <si>
    <t>ea12d6e2baaf69ccdba2bb3af6cadd04f20ab939e3a04e79893164e3cccfe308</t>
  </si>
  <si>
    <t>4b15df5476a763ad54b1b622ba42844ab6ecff543367a072cb124a2e8ec4eaa1</t>
  </si>
  <si>
    <t>611cedf9b07e74ab3b595b0b6e4a722aa4293783805720272630f5faf735e0f5</t>
  </si>
  <si>
    <t>701289e53330df7ba97f9e3d2cd9475d7c7706f8fd75d759389c07a8ebc12962</t>
  </si>
  <si>
    <t>caf420cc3af4537ae6daf251b44c46093904f7ba5ecabb793cc2143863febc99</t>
  </si>
  <si>
    <t>8ba496a21a7073e790f2e48d88c8f8f46efce4ffaa4a0f45f1f554b8937993ec</t>
  </si>
  <si>
    <t>cc5cc0e50872cf5112fe2f6fde711965b39d440af6985a8ca5929284a0ff6445</t>
  </si>
  <si>
    <t>41dbc1dbc717cea1e27337132520cde3ab22c003384bd866c1f66fe8aca255c5</t>
  </si>
  <si>
    <t>dd471e752f23eaf01f9111f3ad2700186c8b2d5f35ac0a0066594ac7a4b19bd8</t>
  </si>
  <si>
    <t>b4ebc59af8796bdaf6ae410516278572cdbc57f51708424b8e0b0c6cc06ad248</t>
  </si>
  <si>
    <t>402b551856fbfbcec1b49062e4f08345617cdc4031f83812ce816c449304ab88</t>
  </si>
  <si>
    <t>54b5a91b77a740d594bd08e11b1b8b556199d73064c121214820027bc3aad0ec</t>
  </si>
  <si>
    <t>2b5c2de51cf479bdf285117910006447c40c55c74ab5db9ab41a57de74b9ddf0</t>
  </si>
  <si>
    <t>1b918c80d6d616f6153fd9147ecfdcaac82011f2a626725143fbf90095501403</t>
  </si>
  <si>
    <t>3836452b75b414d367b11faa66c9d1afb0c234e2ca4be1019e681441a6ee3380</t>
  </si>
  <si>
    <t>4847be3014f6addd2636e547fb95ad5ec0e9a83b24e51e61a9d038c6dfa38f49</t>
  </si>
  <si>
    <t>62eb62197a8b9f1e9cc5a785bd05104e3e9913d5895c083f21b9cad83b54a5bb</t>
  </si>
  <si>
    <t>69e30a1c6f8c4ae9febcb0ac77a9b06645dc1f35d4aa776569911bbba704cf0e</t>
  </si>
  <si>
    <t>cb3dcb104e3ec317223cfe5373cee15bbf9efa74894864d4b8f4e94574e5dd41</t>
  </si>
  <si>
    <t>61d161e6c8fedfcd0ac20ef41f39942971bdc6135afe550c97d9de06794cbbbe</t>
  </si>
  <si>
    <t>912820ea565727cc9d49f2e361a136a3a7ae05a531b1f3d3337c04f6c46e92f4</t>
  </si>
  <si>
    <t>2a067d5e04e383b3919caa14940b7ca1c91fee2dc1e6d324c5d5337e4cef2535</t>
  </si>
  <si>
    <t>3d657db17a78d06dc90abf770204096e2ce43fbddf52d9a6c14b57c588902433</t>
  </si>
  <si>
    <t>135898a9939d3032360d9c9de77a6521561a209b39f79e1fc08a3faa0f1b4acd</t>
  </si>
  <si>
    <t>cf74f2d0d8ba3d51d812c03156f7d63e58dcac36b590df09fbb4a55dda1c4bf0</t>
  </si>
  <si>
    <t>901d512ecf0dac1de895bf735b07c4bf1f7d736964a52147a7b6c8481f5857a4</t>
  </si>
  <si>
    <t>e2169469d140404337464daff00297fbd2dd42dbbd8e432aa6133fa008fec2da</t>
  </si>
  <si>
    <t>5893c088d3607e55c1dc441e46ab1b725f64fb05fb5584711cf0296d8b325e34</t>
  </si>
  <si>
    <t>4b649797106c022e55a6b1ca23c8566529279d78b4326735802a5e1b34499f44</t>
  </si>
  <si>
    <t>ed36e8e2e433b73dc0a3fc56e67eb741904d58641d7dcfda8edfc9975700135f</t>
  </si>
  <si>
    <t>d5e33fd6e222306fae95d8d9dfa92468b48438d4f6d4993f30e985ef5efd0597</t>
  </si>
  <si>
    <t>079f5909d539028ed6078d2a9bfc8665171a13aa0cbb15f3958b372cbc980ee3</t>
  </si>
  <si>
    <t>0aab7cc0d61bda58a81099f21da2db0ab7a928250c7a0778f22887886b611627</t>
  </si>
  <si>
    <t>6649f40cac9f5e2d15692ebf39c54963e335a9601ace9fe0d573291079c9b4e6</t>
  </si>
  <si>
    <t>a548e1295b13b410c9ff3e9a1ed391acd36623630b42b9c5e6cfea3964330b6f</t>
  </si>
  <si>
    <t>973ce3344409a22d4884b7c2cfab8a65755bdccf1b702a09244ac5aa8ec0e31f</t>
  </si>
  <si>
    <t>cbbd6d4927463097b668670d8de4f316def7699a382f663a3e4c7f33a805bd8d</t>
  </si>
  <si>
    <t>4ebe844d6e1e9584cf59c4d24565eb0f22b0e71d8cac9af3c8f6052a03a4f411</t>
  </si>
  <si>
    <t>c1ce7cb2f75f3a6df33a44cdfb4e656ac7b51bfc9a2f1bb37400cc7879c481a0</t>
  </si>
  <si>
    <t>5ba6b3468edba74e1929e8268b0baaeaa0aed636ed7eccd0dd92f260a8091e59</t>
  </si>
  <si>
    <t>3ae5a2c32a0eb1da97d4ad397ead3083ace2f44529ec3103863f2d87dbebde74</t>
  </si>
  <si>
    <t>74d2995fdf5a1621e1dbc3c12a60d73ef324430fef21dbf48e059e996a6ee038</t>
  </si>
  <si>
    <t>f34f8b6c76245e9e677f0e66813660037f5734561c1e421b4d0c375cb3f498b2</t>
  </si>
  <si>
    <t>8e0bc0e2024dc94cc4ac5e12c990e8208f8c2f86a3afde7083d7f0b5b7b421e4</t>
  </si>
  <si>
    <t>76aaf3cee9946fb8fbc2e5dbc64e27d7661704f1432eeeaf17cb7f50dafcf146</t>
  </si>
  <si>
    <t>363084e48d8eb3b966b89eb0de1a0ba836a781ba0a999288af060b05353e6632</t>
  </si>
  <si>
    <t>aec56a6e0431de27a14c525c867bf526d6a9a5b95047b77c047a5ffe0c86a56d</t>
  </si>
  <si>
    <t>8f17b48bef50d982cc04f7b938e478217a9b4d647b0332806f6a562e667a4a1e</t>
  </si>
  <si>
    <t>957f3a2022ec845079397b728e9e1d793e08eb1bc67e7933d3941ae5a59a314e</t>
  </si>
  <si>
    <t>5fcdcb6025d78bb4e42aa47c6d5d19f25f98668d2db62609c668bb0a02f03d84</t>
  </si>
  <si>
    <t>edb7f8925246aa405b1fdef22cbfbac9461c45343e9927032e751af25d96d73d</t>
  </si>
  <si>
    <t>86703af37580f510fc098c74f76e9f44e6e5484778e480f2323ee2b102c790a1</t>
  </si>
  <si>
    <t>f4a6e158d872911a1c6654f3cd395eab05cc4eaefd59af6e72ff07f276fbf60f</t>
  </si>
  <si>
    <t>c7d1d3ea38f4a8e10a361bd123b9884350c6b22c1b03bd89f7fe1d31a0aa0cc0</t>
  </si>
  <si>
    <t>8aba7b262e7bcf4fcbc24a94620f2058479e7079e57830614a659e3305290bee</t>
  </si>
  <si>
    <t>d4c535a04cf63f9c785d9f9cd4fdb929d9ded39fe8bf2e0825f828aa9727b2af</t>
  </si>
  <si>
    <t>a374453fc901bdee18165f0a73c5b64113eaea801f4d581996b1bc43ec4ce1af</t>
  </si>
  <si>
    <t>4b8f82b8f5f3eecb3514b426897be325a1f9ce631cbcf8609349329f75b1a602</t>
  </si>
  <si>
    <t>a5fa8b3ad8679dd08a3eb08e5362326cb322dc69bdc1303cfedbdf5c17eb05af</t>
  </si>
  <si>
    <t>bcc43623642de3480743a0fce1c1a01aa1307cdda026fe702e281b7172648016</t>
  </si>
  <si>
    <t>48272fa98b42577c00cec2b0f28d400ba8ee780f60153129caba3feb6014d605</t>
  </si>
  <si>
    <t>4845b7b54fb6548643d02c59c322298b69e67c0d51b8fd2cdec40ad74e0cae07</t>
  </si>
  <si>
    <t>1d16e0b16d98d92da716f3f6bd7bb410c01d0c57b33d1ec8b0a269fe23d004de</t>
  </si>
  <si>
    <t>40046d54a4292298e02d392eacedd0c10c517db7c5edd8935c75cd1602294983</t>
  </si>
  <si>
    <t>b719e38d833877b606a36d18603385018feed1e720d572d7000b024c3de1d0ff</t>
  </si>
  <si>
    <t>26222b0429e9858253c4be0f2be5e03336f4e6215083edaba058beede2ff5e0f</t>
  </si>
  <si>
    <t>609b8ff7be970e8fea57ea5296ba7bc6ef08be4c67ad0ec072fcaad9462c313c</t>
  </si>
  <si>
    <t>b161f6d4c2f671a96fed922ac12bcdf934b969bf79143984ec58945e7d7a1d39</t>
  </si>
  <si>
    <t>5ecfbbdeb92b376754dd8a218c1c4fdff6f0e6a48d0abdb033c70c108589b85e</t>
  </si>
  <si>
    <t>04776a3785d814fabbafcd0b57ece26aef3adfb37ba547940acfeada41d83ddf</t>
  </si>
  <si>
    <t>f4be3b94ea5717a89e94092ba6ffc0ada19c5239bad209a9613859bf048efb5d</t>
  </si>
  <si>
    <t>ead3e090c8368cfd01b211052c7dc72110455e8921f19c67dcdcfc21a5a14b63</t>
  </si>
  <si>
    <t>a89dbafb9a2510296d48bd19038f89bf668b88b02df05d27996ab4ad8e5bba5f</t>
  </si>
  <si>
    <t>f6744d2eb8bce1f4807eb31f3d6f7abca1daf523000cda4b6f53bb61722dda87</t>
  </si>
  <si>
    <t>98d9e4e9d8e07e30e5a89fe3a7e54c3fd56419583d098a7156d33bcc713e5857</t>
  </si>
  <si>
    <t>0d26244d2f4f2a4d32ab5d927bd7750e8a9c288fcf1f7de861a2dcd1a07889a2</t>
  </si>
  <si>
    <t>392e720cabb66e17e47592a04137bba0edf727a4c498febb71730198c226c522</t>
  </si>
  <si>
    <t>66791f1de459833bd4eca48a3bbb2e6806c0e11ca2ad0c000908c07423230c13</t>
  </si>
  <si>
    <t>cd696912a846197d0b61fdf0577101f2460f611922ee027a0cfcfbd26c8b9f41</t>
  </si>
  <si>
    <t>6e8184f0c899378a63488844812fd43c04ffdad61711bc6174ff3e1aac09ce84</t>
  </si>
  <si>
    <t>f50335f4450aa52c92f1c20cc6ea8a5c728e70569a4741e320d6962970c4090f</t>
  </si>
  <si>
    <t>8b4a7d609b226d3abd2cb2ec51f37430bb3f0869d4c579e83b796e081333e5e3</t>
  </si>
  <si>
    <t>5bccddf8c545fdc9f545af30fdcad47abf51684ffbf03a3064dc905ad43de76d</t>
  </si>
  <si>
    <t>fefe7483f52b9b6c7292ae7ee3bd7cc60eb07ec5d4b0128c657cde07c5e0befb</t>
  </si>
  <si>
    <t>800e7e5987f153bb6f50a568d74ecd21bda0b7e8b9c54fe468cb2c2d7a8b7414</t>
  </si>
  <si>
    <t>2c8cd07a7d5fbff1b6211b79cbe01f9a87b450b5e4986c2dc86e9b2ba329b8df</t>
  </si>
  <si>
    <t>e809a91a1945481fce6449f9796b1117719363a42867d68a953e7a39f64be568</t>
  </si>
  <si>
    <t>b8f0bcce2022dd1e02887d262394854869e454c247c944049eb850798397049b</t>
  </si>
  <si>
    <t>db9722fc35dfb92a2a95725870d28ab2a74517d2099f078ee0ebcd86606560a9</t>
  </si>
  <si>
    <t>e4b235038b25837b857de6a6c15fb03b645f856a0e33b7423738e140837af007</t>
  </si>
  <si>
    <t>99a931a9e81a31da5b8896cd0d58af207025f39f10385fb62a9f14b0e824ef1f</t>
  </si>
  <si>
    <t>a604a80d057236bb4f0384147f6f9cd412eec3495789d499d6bbf190367f3c88</t>
  </si>
  <si>
    <t>236a0c44eab489da5b9e147418f664213be4714ce9ec3d4c816a4b55d6f00c8a</t>
  </si>
  <si>
    <t>6c1869a28ab24eac5524b3be1a57eb111aa34e733e76894fd17c9c0d8493611a</t>
  </si>
  <si>
    <t>520f3a8b17e10f18959e329e16c119efe331be83c86896d9391f5fecdfc68488</t>
  </si>
  <si>
    <t>4b88d056baf44e5fb464cf1f45bea9dd430ade98252dc046893fa96a3b31ba89</t>
  </si>
  <si>
    <t>5560d9a45ac53015c1df2a125bd48a0b090e2e6998d8f625909b0945a4b88b1c</t>
  </si>
  <si>
    <t>88874c448b1ddb9ea2fec1aaa72ccf4fa587d4b0eda89acd43c2ba04dfbc3527</t>
  </si>
  <si>
    <t>4a433f9c019d45bfa28b14453d19848cfccddb053692091bbe5ca7fa9d4edf9c</t>
  </si>
  <si>
    <t>c09fbd1fdbd152f054b61095e495b6858155ac7d4525d092be80a8f2063fcbd5</t>
  </si>
  <si>
    <t>ffcab9a67b4105ec734d5f7698bd254830e5183d4ea2571f421a4779d6324b4a</t>
  </si>
  <si>
    <t>ac80d8114153aef50adf3a981e338136838575482323768f711c02b38cfbbf22</t>
  </si>
  <si>
    <t>1a56c5e5331b21fc2be00602437d1d547a24808dc0db4f8d777953402288083c</t>
  </si>
  <si>
    <t>b31e4895a8d0ab7c304b79800156b3d1fc8966bdb8f5400c1679665f42fadf7b</t>
  </si>
  <si>
    <t>e1701a712a6bca55aa3d58e33061a0e900234a4e5e483af8638daeea175cebb3</t>
  </si>
  <si>
    <t>3c6f58dfd0cfd39d92cc5f435404cf78c30f96611b95ca12cbe5e4c2bf8a6b71</t>
  </si>
  <si>
    <t>c37e0d3a01426372f2904cff1f461443022c9acaee2c3f9bc25e7304ff013090</t>
  </si>
  <si>
    <t>9457579f968e83b57ba4c3f4b7d7fc26f98b5fa0da76d28421bd8bdb8a745852</t>
  </si>
  <si>
    <t>d1a2aec33eb1630a22938339286ab2dc0fd9f442bcb60f00041282d92ca68469</t>
  </si>
  <si>
    <t>b7691f191691f0cd81eb5add01ecbabf27931673e6b6f1a68d42fdd029e46eb1</t>
  </si>
  <si>
    <t>d08e3d2bab52e099dd91229b206b015d99bb63109ac0c7d75d7ee91e762f0469</t>
  </si>
  <si>
    <t>1e7dfb45c0efd57734cb1e5172e49677518f9cd10bc41c990d73df7fd3cda42a</t>
  </si>
  <si>
    <t>2d6657d53dec2f9931291b51e964d0283a4c7727bdc6ecd3ad126ac9eaa706ec</t>
  </si>
  <si>
    <t>34a826738a3b71f622539275bb7cad04cc29fb27f0071c478a1207c23a67c52e</t>
  </si>
  <si>
    <t>56974c8c53827f981a3db8a9b29483eeaec3a0d7b0f11e47f3c991bc3dd3272f</t>
  </si>
  <si>
    <t>ff0e5989f2184fe6d1a9205764ca26c803f915a6e24f84e5457797637f78f593</t>
  </si>
  <si>
    <t>eb0d6ee7a659de0094b113ae6ba3b95c564049a96d07a61ab65a04473163416f</t>
  </si>
  <si>
    <t>24c003bf1224dd2303132b70906b6100bd81758dc2b31409dc0254bfa49801d5</t>
  </si>
  <si>
    <t>3aaed6fde405840e406146572a468dfe2e1567b03b5cbc470694e58aff02c7b3</t>
  </si>
  <si>
    <t>50ef9e76a927eecb9c474330acdb09639c35018b3e61af1b36fdf14f063217e1</t>
  </si>
  <si>
    <t>3598232dcd1aab2de2930d403d395bd4d2cccf0d348ea9eca116774f273e033e</t>
  </si>
  <si>
    <t>3b2577d1d1e0a26e9b5d3ca64c3c752f752e5576076f3090426d8e23f4cc5101</t>
  </si>
  <si>
    <t>741749073265b9e51d32883e7122a6f7661e7cd13bb8b64c7ea6f111fd457c74</t>
  </si>
  <si>
    <t>1a65256a672df129dc9fe9a33e89a4f78bc2de09ccd582d7f72f717c9eeb3528</t>
  </si>
  <si>
    <t>ddd69a49ea8501c92bad0d47916c6b67ab5b3095af8235f1714c7a5b56e2b70b</t>
  </si>
  <si>
    <t>88c113fb8add4635f3021e736e9423aca5ad991814c29d1a30c03a94af30724b</t>
  </si>
  <si>
    <t>5371f41b9d8e186152e779d365ed655fc8d91854748f79b7c33951f3ec01db73</t>
  </si>
  <si>
    <t>fb72fd45ac99387c61f3fbaeca94210caa67fb1797a2c7a3605fe5d080f5a116</t>
  </si>
  <si>
    <t>5c41a0868c90a119b54b4c602b925ac25839f6dc85f4ddf902fc583b2c384dc5</t>
  </si>
  <si>
    <t>200f9309b64d347d0fd181593147955946a60da4ebcf03c32550832aaef442b3</t>
  </si>
  <si>
    <t>4945418e29678feb8ae2f12027d1c6024a650949690afc13994d1a31e7bda8a8</t>
  </si>
  <si>
    <t>300924c3f8d761d403d1be0c5c1d86d2183b88bd87c1a649ef6c6ec3b1382bb2</t>
  </si>
  <si>
    <t>c335e463177244ab4ae8a9cd1f896ff76d8a9cc061bb72c3b8ba4c0127941bf1</t>
  </si>
  <si>
    <t>6cbe1e01f28390106281d901e0dc08a57840ebbb2954f142dac24ff088c7f7c6</t>
  </si>
  <si>
    <t>3855eaaee19e1c64f645fb716f7fd2cf76dadf72e71a9fca0fa116b67cb2ef2e</t>
  </si>
  <si>
    <t>11391650ca4c38edaae34f92aab6f451f1978c9fb3c023abf9dc01276c057a26</t>
  </si>
  <si>
    <t>ac91341da46d20bb4b57ff93cead2d1fc44aa2ebda44bd2bc2ecb6034413283f</t>
  </si>
  <si>
    <t>fd03d24feffad9b5f4967ed2a7d5f4e9bdd6379bdec3ebbec032c812f9f59938</t>
  </si>
  <si>
    <t>13221b3a6c9ade5fcec3ef97585f4404d5eaa53008dd7faa0558129558996feb</t>
  </si>
  <si>
    <t>a690392c5c117b08740c95c70c702a7a9d564790c660fba9b3ac3f2aa2ee6f46</t>
  </si>
  <si>
    <t>2885fed855e0f97da529bccb84f59d9bee156431cba4ead815d0b0584c9e3af1</t>
  </si>
  <si>
    <t>583b3b077a08c89f82ad48489d4ac6250f0d87157bcc099dbb20a70f256815e4</t>
  </si>
  <si>
    <t>9ce63d72551149efd30c3167f50029f0090a4ed90b77f45cb109bd486059ae94</t>
  </si>
  <si>
    <t>d6b5cc3e3431f3b073084d1f85b1a20a09876c32fb3924ab7decf54e7208f668</t>
  </si>
  <si>
    <t>c5a9a26dbaa2f3deb7208341c26217adc8d4b4188464bf481b2932b0a5c9be17</t>
  </si>
  <si>
    <t>0241b0d96b0f5b505c89b9bdf8879d4fecad29ca8130c4a6e3876eba9436aa27</t>
  </si>
  <si>
    <t>475831d44ab0a009d8304eb765734e2f987c5136b3cbf851898102a2044c890e</t>
  </si>
  <si>
    <t>07cbd0557334d8cc285f41dc40ba58330e165c3f0ae2f473d085ffae23b2346d</t>
  </si>
  <si>
    <t>efbae2ac9d231864159bc3c4c146f9432beb9bbf7b19ecc6ef1a4cc1a47d437f</t>
  </si>
  <si>
    <t>3a247ebd0a65cab44f615c27b38a2645f566f606a051be8e683ada442c612090</t>
  </si>
  <si>
    <t>bea763764f79159b0a4dc74232bbeb2cc86636c02892ebf7c0e285658c734191</t>
  </si>
  <si>
    <t>bd524c70b71771d39d849254d98c36f164271a026bd8782670ae61fcc71c86bf</t>
  </si>
  <si>
    <t>8f75bef7542e7a2f17b169cf518c7c4c05055f1c85976f8f4cb55d238ec9dfea</t>
  </si>
  <si>
    <t>c1b22657a30e7c582ddac27d92f2b951987ebd21559b7c2241283662dbe24c29</t>
  </si>
  <si>
    <t>553de4c000868f709e1117ebaa3f7e5ec9a7f55117b2cc7b60552f9308ac7706</t>
  </si>
  <si>
    <t>4ba13495da3611d7b860995d243b626a1329702f43c2c8dc808ea471031366fb</t>
  </si>
  <si>
    <t>cac9d8d7d91c99fdd652de09f96ba35a37bd119911ab086aace11652c77e4e98</t>
  </si>
  <si>
    <t>2793275c20ada89cec3d66dbd8a36db94aaa7496f025762faef342fa2b3b7588</t>
  </si>
  <si>
    <t>0a25b70cdf1c604e75365e14bdef655364eb1036af13dff816d24bf780388caa</t>
  </si>
  <si>
    <t>df9344bbb94fb6d979a932ff0402e6a590948e87e20ba74139ef16141397b249</t>
  </si>
  <si>
    <t>c65bb1986047d8a1a63af540e7446919e23393035e7cb28c4a3dc3c89df6ccdc</t>
  </si>
  <si>
    <t>117209c5f0771bbae70c5134157bf82bfe4d6013a88899b543b4d60e3d3b25d9</t>
  </si>
  <si>
    <t>6890308ce58269ef52f01397a321823762d80ec0b6c2c2d9b97791a8a4bf7a74</t>
  </si>
  <si>
    <t>2e7e45b1d6a3481aff079d30423fff05379746f7ebd4c7d9259a9c888d346d69</t>
  </si>
  <si>
    <t>c4c3a0bc8b50094af43ff85088a79323c474ec0135ee2665a70259177d3f43ed</t>
  </si>
  <si>
    <t>f625bb0c6d61ccabf983c2748cf7709c01fede05889c09650ae34c3709cf5288</t>
  </si>
  <si>
    <t>67bd4de74c8556734a2d486f93641f6b788087e054e370b05aeb7298f6da9761</t>
  </si>
  <si>
    <t>03c2654ddf8d5e27321f769188c3e18e7f2f6ec3963552d7b699ea0d5b50b5cc</t>
  </si>
  <si>
    <t>3f877a30a1c3648a58ed3ab499a2d1919da422abb34fc216ba023079e03da9ef</t>
  </si>
  <si>
    <t>05eb630c2d7dcfc61c1b8bf964b3effb0db285a0f0a97c42efcde5bcd76f1dcc</t>
  </si>
  <si>
    <t>e730e225f78dbf08d1b3920adbd0ab1d8d6e81253af4dcf24fce947c76bd3b5a</t>
  </si>
  <si>
    <t>286dc71a4aeb4c836e9f31988d7fa71859e0e9e602a12572894d0a3ae74306ed</t>
  </si>
  <si>
    <t>aa689efc407a235a9a66a061ba7b2cad379cf4914f00289a7239ba3591fd4647</t>
  </si>
  <si>
    <t>3102db3d4a4a4577e52bf36c0755c749fdc1519e02b4f7debf923f70770a8801</t>
  </si>
  <si>
    <t>fb598977defc5088e093623379979713f61014d8c34d3e50bbb382cd0c0e4af4</t>
  </si>
  <si>
    <t>bba48161f3a4584e23466efa65b2ea9fab498d2306930c5c1a0b627f1c8e71eb</t>
  </si>
  <si>
    <t>7ba1b0f862a24aa830bd885ae005349cf4a0067badfe6fe9bc99e84587893d49</t>
  </si>
  <si>
    <t>260c7f5ce0ec0e91b96709ba3af0063dd6e13dd9a04efb179159ca983846d23b</t>
  </si>
  <si>
    <t>0c654d95e9bc48939093592491e4e140dca8e5db7ef0ca2a79e40229ccbf2616</t>
  </si>
  <si>
    <t>eee14af8f80fe1f311d2e5d52a1d17c70a2a5a5c24c08165aaca6103a78aa954</t>
  </si>
  <si>
    <t>SANTIAGO PINOTEPA NACIONAL</t>
  </si>
  <si>
    <t>c4e518cd38e943a60ceed43c332741b6990352615a1376109d72766c50600544</t>
  </si>
  <si>
    <t>977b702727298c5f355ad810fb6f898ef95620db4a600654ac76098728b13f1e</t>
  </si>
  <si>
    <t>e83b0ad2b69a402839cd5a6ba7563c6c2878d9538fa9388eb1621a55c1ebc7e4</t>
  </si>
  <si>
    <t>0150a348c3822a50844590adcf3549f4e24673223bf3a70a6b3d98b16a72d9bb</t>
  </si>
  <si>
    <t>d22f499a7aa7998491ba13ee606bedb4506f89fc2a7e76446ab600f966f8ab1d</t>
  </si>
  <si>
    <t>11c36b3910bf0c745d6a9b3165356d831319aebfd153ebfa245e37fe5309a426</t>
  </si>
  <si>
    <t>7ebea63750b4d9e31861fb129a99d63b7709b17deb05c89110f59a3f3f1c3f8f</t>
  </si>
  <si>
    <t>6b5a3530cb01d1efa598e5e0ee7fb369ced9073962636cfc2afed4d5ea9f8ed2</t>
  </si>
  <si>
    <t>80c592930eabec36037b5729c857f1c564c559e42cf9eab479ef034e55ae1e6b</t>
  </si>
  <si>
    <t>4edcc540c8223224ac24d6d254d0f102f00e74b4449768762a31ddccaa110bcb</t>
  </si>
  <si>
    <t>177b9cfefd8be6c9e953806da6e28e120267017ef05d353c37501d2af86d95c6</t>
  </si>
  <si>
    <t>d798d5aab30940b5b0bb76e267283622d0fdc4ac5078363457eedee8eeda9407</t>
  </si>
  <si>
    <t>d28f66e87aea46537a2ccf46ea3e526891fbd3d44e8661aafa365abffde155c1</t>
  </si>
  <si>
    <t>4894622bcb2a80d4a80fcb7a39c0a97f422f005ece339611abc233de6cb0a6f2</t>
  </si>
  <si>
    <t>df6476737204fe70a8c93252bc8ab4460d32d077bc824db55caeb18a08cf8868</t>
  </si>
  <si>
    <t>60c9360136d1dd8ecf269f923ae0271054b1f3ec63860fab814651b4db42ddb8</t>
  </si>
  <si>
    <t>76cf22a84c60f8102fb14d766760b5d6a76bc90aff3ea9410afc09c871fc21ed</t>
  </si>
  <si>
    <t>df447a427b54b871adcf7a75cfab37b162f8db6276bc2370827a1671f63139f4</t>
  </si>
  <si>
    <t>ecac5cae21730d3150405c5ea72d782dba9ce3ed7424e71703c8f464ca62b30d</t>
  </si>
  <si>
    <t>d56eebc4c177ff84d3c056eef8dfaa4d4bc6a0928bf6e219bed453c036ec2ae8</t>
  </si>
  <si>
    <t>3385b7d8d4c9a8289c85998a91a16f1702dfb48777171be7ca6cea4f3b54a5e3</t>
  </si>
  <si>
    <t>5be72c6d487785d5072f6c4b094822ff0755613904d415679bfda1515b7e1d7e</t>
  </si>
  <si>
    <t>afc7983b4fecb4dc3d55675dfb43c22847bbc2c6155559e4f5aa99ae7f4fb663</t>
  </si>
  <si>
    <t>b8d610182808411234b65d8e85e7ee793c06c5af1bbaa0304ca079bf4938b010</t>
  </si>
  <si>
    <t>bff8e42e3a758542cb6eb0fb96b4a2d850c5a72ec7f70f8ce67454469073e257</t>
  </si>
  <si>
    <t>7ac69729f2bc24e902cb2c646b6f5a9f630c2d757c00342423e8ff0d470705ed</t>
  </si>
  <si>
    <t>4f89a6f9df730556854ab512c46da3a8ede4a76827c2aa09cf99b8442c8281d6</t>
  </si>
  <si>
    <t>34a39157ad1b292c3628ff73876fe2990881d1543480a480d4931d38c1d10246</t>
  </si>
  <si>
    <t>31f675908ef27e1dee49ab5595e72bcaf7aad7233c1ffbaa552c23f34e08690d</t>
  </si>
  <si>
    <t>ab372179bf59220f0e8d9ac36bcf5e2fb9e3cecac0884af14238f0865c29f37a</t>
  </si>
  <si>
    <t>0cb0d96a4e04e30ba17668b385313cb5b4aafd84b0abc6c07f4f85ec687dbd12</t>
  </si>
  <si>
    <t>e67fba1d61b88c3049e21f3f2fa0878dbb6ac081d8fb1bae1af49fb8243fadae</t>
  </si>
  <si>
    <t>a10a4fd5fc31bbf2cbce280fe64eb8968df6317d46aebce29a430305aecbe90d</t>
  </si>
  <si>
    <t>8d976db2ebbec692cc2608150e85f498c0c367ecfb83e1248cd7560c55ed775f</t>
  </si>
  <si>
    <t>42ec190024863074d1b927d03e56452c1880ae9d47bb5a1c9a421a9e45ae0bb3</t>
  </si>
  <si>
    <t>b6ab47daf14ffe7553939c5c8dd264e32b2a09dbd3a10f528f7a834de9d82b84</t>
  </si>
  <si>
    <t>e5c7b38c1648bdbdc14b6426f5027eca945c538fc45175b3dc7deb2d7dc28468</t>
  </si>
  <si>
    <t>ca27ec94197881aefbead313caf7de269ebe6b65a87924b69dad1d7ace332e6c</t>
  </si>
  <si>
    <t>08ee0d050276e715448dbcc4146cdd23b6fa957d61d1ac79a76b670b9145279c</t>
  </si>
  <si>
    <t>e31516f36886afa91feb3f061a5cb0ddd6082848c3fdba0aa5d9060f318a660b</t>
  </si>
  <si>
    <t>09c992328f552114d03f345186f636bdd08e206e3fe819b025a9cc30934e7254</t>
  </si>
  <si>
    <t>ab4f2e79e8f7870a74f107b4825a24faf6c1a1e14025b61fb4e422bde3a65d5a</t>
  </si>
  <si>
    <t>0d42e4ca7a20d52a58f23ded52735bb5b9588ca3e864ee430646db71f71e24ad</t>
  </si>
  <si>
    <t>23d2b90a03d7b6ea05ce9988769a665266a531c82867c61c96aad667a2ac781c</t>
  </si>
  <si>
    <t>65734e8d152c3134a3b36ed4856b9bc25b313d8fbbefb2381dba3617de146184</t>
  </si>
  <si>
    <t>978709fd90f04b03db402e839054f86d7d313d919a8da213c25f9ee5e669dade</t>
  </si>
  <si>
    <t>12a990154954d97834dc27fc27901b956083c0f708ce7c05d2dddf34dff70e5b</t>
  </si>
  <si>
    <t>a4fd3166218f6dfcabc399eaa08ec7f7e15d24590054636daa53150cc434de1e</t>
  </si>
  <si>
    <t>5cc716bef9dba43b489dcca2a382dc10fae43c43fcea526e53ef0b6009116fc9</t>
  </si>
  <si>
    <t>1990df73827aef53a419b0a898a27f67e4940da3ae7a3d75af18369b3cdff12d</t>
  </si>
  <si>
    <t>e54a369a3d7e83342abd2653e33c7cde9e9d0d37a4903d87b1cf80defff0758f</t>
  </si>
  <si>
    <t>0885e5ac40fce329cdc45cd37e23708c0ef2fedbbd4cc53f145c4971238d4699</t>
  </si>
  <si>
    <t>df31958a3691e88c5bcd6c59e91e4b1bf9fd938dcf05a3156c2ceaff3e1f5a6d</t>
  </si>
  <si>
    <t>52d02f42f2d6acd1f01e3ac6cd78522c0c5ca7fa25ce6bb7210cf5e6547a52c4</t>
  </si>
  <si>
    <t>642a70d0d0a8e0a600655c0dcbc5fbf16eed65e12c1def476c76250eb969adf5</t>
  </si>
  <si>
    <t>c33ecfd9c01c0b80259b9e1d62021f39b5accff8c7c3c025c9fd05fb0c9cc442</t>
  </si>
  <si>
    <t>30ec5640491ec280896cc10d2c1af80a1b5aad4c81f1458a6b4644bc1b32ad13</t>
  </si>
  <si>
    <t>af00f8b1baf76a35621a4f1696b16440a0321ac9a80e57415b8a94c5b630384e</t>
  </si>
  <si>
    <t>7086b8c7f656cf7908301cbfab416923688e7dbc1d9fa60ebd27daa8d5131b45</t>
  </si>
  <si>
    <t>7e56c40145dc5c1ef15d202fe9a5eac6177c2a2ad1969568fb7bdf5f07afbd82</t>
  </si>
  <si>
    <t>fb58dafdc8db943641293f7e9585409690f012b05b2ce766093c130060c6dacc</t>
  </si>
  <si>
    <t>64655008476e77854c18dd3f53056bfca8107c8f02dd1fcaa9bae2c408670fcb</t>
  </si>
  <si>
    <t>cb5f1c19e9e0292736f938241ab920986084fb2e3d1dbd39957d4dc8a5ca4356</t>
  </si>
  <si>
    <t>544c78cf1a07e11ef08d484f130760eec306eb41add1851e588ab68acd7974a7</t>
  </si>
  <si>
    <t>86245228a2e5b049df14243139a1022d4f78797c7615c0197ec7f8c7b3043a74</t>
  </si>
  <si>
    <t>86bbfed3325b5b3f56123ead16e1e12124987032df3e716cc352a18b84e2601d</t>
  </si>
  <si>
    <t>b5b849c32f274a87237acfbde62734cc9e429bb59f9106baff687a402f8bb0c0</t>
  </si>
  <si>
    <t>9b9197696bb8a9a3ef7919bb30a42b53e031bf1cdc1f32683bf5ef944c9faf9c</t>
  </si>
  <si>
    <t>384aba494f45fcff7c34a7bd67d8d957a2e8292e39a6fc0372e4c6d112fa8290</t>
  </si>
  <si>
    <t>dacbd11010f59866a540e17e474de3f8f75872bf8c7ef5af95b7d21ad675758f</t>
  </si>
  <si>
    <t>084fcb06ebc0d5c8c234ce0c1014f596f0f19bc9109ec4745bab97b447d2d3b9</t>
  </si>
  <si>
    <t>c1eb99ff8ac846abbe4f9f8c73cd260cbb509c4f31354c7ddd0dff5151fa9d13</t>
  </si>
  <si>
    <t>666c2d0369bdff249fafec7c8bd7277136bed98526c9e9c01d360e877a4565f3</t>
  </si>
  <si>
    <t>6e90c790c06a46f78c4577e48337079a67a39f1cf7a675fafa935c961c0a66d5</t>
  </si>
  <si>
    <t>7b88219d6973abe99cd54f59046b09343f65198a3b6cd8002d525d3f02fb02ee</t>
  </si>
  <si>
    <t>3024f3a3ae59be27b9d6f873ad9bdfd4ea002469aa0ad9ed1e91e8a2fcbcb185</t>
  </si>
  <si>
    <t>f4087690f9a32fa02c13411c32cc3bb76097f7b9df8861e919c43e24b33ca0cb</t>
  </si>
  <si>
    <t>f0e6e4f750f1fb75e249bd893aec9d7cf6c097a792a3ebb8cdc3534189a4e5da</t>
  </si>
  <si>
    <t>032e226093cd1d76998d610a16fa09ca80c039b1b51b2431151c67e24c591981</t>
  </si>
  <si>
    <t>fd687567b120c9ac2b83026866c8f09206c5426734ab8ac03409d0fb36266563</t>
  </si>
  <si>
    <t>ada2c519a4cd47aef2cbad82874dacb029c6cb301bb829f2242b1ccfff614f3c</t>
  </si>
  <si>
    <t>542149154e9550034e14f5841e8e9a65cb1a50aa5e9ac2affb48cce7c689af66</t>
  </si>
  <si>
    <t>d1fef6600ed7d62bb15c8d9b5cf5b1e51bf9bc4a17caab7885a9933c22740227</t>
  </si>
  <si>
    <t>2e96aee19262219c98036746b7d6677c499767a31c6361666b0ed44f3dca49d6</t>
  </si>
  <si>
    <t>1b55f65aeeaae9f83024eed75b800dde4ec5806ae9c788d3ec16f4e7871806b3</t>
  </si>
  <si>
    <t>ee4fda796410e1a5db4bfb00585e855510433f4f139cbe150111d04228e17008</t>
  </si>
  <si>
    <t>f0ad6a0f93f8eec5390f7e2bfdd910dae7b37b9fad9c6ca5f28a52f0260283b9</t>
  </si>
  <si>
    <t>6527d83b3b482d18e9a7d9b00766580e29dcc61cbcf37292849d60284ec00ef3</t>
  </si>
  <si>
    <t>646f35e7f5f279812515d22c419bfa89d1797da138ef0ea22060f8026ea17f47</t>
  </si>
  <si>
    <t>3472e5010723190a24897d4218d5bd7b5f9670c1f008f22361c896a722687922</t>
  </si>
  <si>
    <t>9270aa32c412c8bbb7dd4d066c6f851bf8ef40211e630b4c97d05b2f3928e144</t>
  </si>
  <si>
    <t>64451e223a193eed106435e3cddb3ee1b3b5d85f81810cef3cfef091c3fc462f</t>
  </si>
  <si>
    <t>d4e5c7d1c2cc3f435195959dcdcd5ad4c7d10aa40a74dde35dc1b0f4683779b1</t>
  </si>
  <si>
    <t>b267bf106643fb3e97a152186ef79837615d0b58a673910e1f42cb1ef4df99fb</t>
  </si>
  <si>
    <t>46bb7289c61d3a68a7acac02920216467099a8cd0322cf07a714406ad08c5b48</t>
  </si>
  <si>
    <t>e295c3eab896750d7e8e3b978d87c7d96ecf54c9f7e9e6950a2d75b04430b66e</t>
  </si>
  <si>
    <t>c6d44b37fda400aab8b26df21b9ea4579e46611870c70c491ad30258a219e01a</t>
  </si>
  <si>
    <t>68d9e3251959b6552afd22c235445750166fb99fd5a24bd2ac1fdd21d1916cdf</t>
  </si>
  <si>
    <t>9bbedd34d6a00b4e67bcedda1e3b3d03843699b3f1f891476b642646d57fa6c1</t>
  </si>
  <si>
    <t>e9223117241c9a9bbe658c05e6328da5d22398e6c05af71e5c99a6f704851030</t>
  </si>
  <si>
    <t>2673ddef1b0746f13ca2752994fe43a846c773c9b55500af416f8be31f181280</t>
  </si>
  <si>
    <t>e709a8eed85f8f06ed4b5d3118d5de074ba5fbbd3074eb3651f8ca9edc7c7297</t>
  </si>
  <si>
    <t>dece97577ee48af548d74136a986b842c518edd4b3b5675b03d8c9d32b49ee84</t>
  </si>
  <si>
    <t>6f4099548fbdc505c48e52b7ed90445b6a9b8eaae8970f6816b2ba9869723c9c</t>
  </si>
  <si>
    <t>26b5af32c6c2607ecdafba0c6f75a382a31c3b50eef370a154cda8167f6b3a70</t>
  </si>
  <si>
    <t>149ed4e3a2e176eb86bb5943877cdf3482a76d803004963f9384f9956566ae60</t>
  </si>
  <si>
    <t>7eb39b5f20d086aaf9d9895dd1213340c21cb5ae02db92a69c609214645267c1</t>
  </si>
  <si>
    <t>9b1daa6d6ff2b83e2c5595a090dd67a93a92e13e449bee4297b164260baa2497</t>
  </si>
  <si>
    <t>8637f69073f84f1265daa4d16cf88dd52666fe272f076655529c5e309a573373</t>
  </si>
  <si>
    <t>b29a7fa742d56fe083c0e1bc428c6a116631d1c674d92699b7822af85a250e6d</t>
  </si>
  <si>
    <t>a7bc1aacbabd9cf1a6e8743ca9a1f94b29fbd06ee5b623d9836a0aa7e0ea4286</t>
  </si>
  <si>
    <t>27d26fe9fde9fcd2567cf2d5ea6f38820f794eb1fa570bbc0da18c5ccf4fdea4</t>
  </si>
  <si>
    <t>fd851273ae8b3af3f3664d1d694a4eb21bc7e1e75891ee89321d3c47811087e1</t>
  </si>
  <si>
    <t>7b21b234ca5124657d0d29bfa8423a739a003f9db6cbde66289a78eb34430dec</t>
  </si>
  <si>
    <t>e5c6d3105d6cdb9c1164afe0c9f214abd9efc3ee5b3ba7346d9b5766c2d5921c</t>
  </si>
  <si>
    <t>f20166b095c5ecbbe19f87e04370293014c4acdc1f9dbc6a9bb2f341fcb59e14</t>
  </si>
  <si>
    <t>c8c498168efbd8f263b809778e99879e908c972b85fd47674e4d8569d6e3f969</t>
  </si>
  <si>
    <t>80d5cce80516b0cffe90eaf190c2b5124585fb6584b14ef59f634fbb31859506</t>
  </si>
  <si>
    <t>7ff53c383a09b264b9ecb15186d95f76722c1d8e57374d4032f5d2bfb51b2af6</t>
  </si>
  <si>
    <t>bdf3b23a5dbb3bb8b0386ef7e89eacefa4fac775555c7255cbe6e37d5f365f16</t>
  </si>
  <si>
    <t>e4837b115d9423d66038db868794ecbec2140a5de5bdf222df3b0a90d99c26c4</t>
  </si>
  <si>
    <t>b5227c659f06f2235d89efa22e044189f5fc395c90dc0f7887189338dc69eabd</t>
  </si>
  <si>
    <t>c9479ac4f8a007202294016fa0d1428ac286188037cee86ec862d73b4dbee18e</t>
  </si>
  <si>
    <t>41befcb2ace046c5a0257050d913e934ba5b21c0a8047e2c4f3fa5749de1cf9a</t>
  </si>
  <si>
    <t>629f18ecb14e27adbfda49be5411d10e851318664ca05267f7e36051b9f53a51</t>
  </si>
  <si>
    <t>7cca8bd5f4a6d0381b5bf7edea3172b42623c4db2a102ed153a91ab4d1301850</t>
  </si>
  <si>
    <t>d9010e26d2c0c6d3902e7387e15db2c499f1ad9737ee200253092cf3b2737d90</t>
  </si>
  <si>
    <t>adeb5adc346be9b5c16665c563ad0082120cb3a188ee82ff3374183ecbbf4c33</t>
  </si>
  <si>
    <t>5fa0489f574d49107cd010a0294dcf62670c47fe6b83a9d090f69e6b07f279ee</t>
  </si>
  <si>
    <t>94493534431c0ceb3399df199dc67f117676fb5eb4d2d80a90f6bf29099396e3</t>
  </si>
  <si>
    <t>77eeb668f2ae4a347d2be04ca134ee3dff69a6124af694796842e54ec0012b8c</t>
  </si>
  <si>
    <t>5d0847c4eca884ee60a98326231da91386e3d3b22347100a200c6cad1543c23d</t>
  </si>
  <si>
    <t>76c823f0ee142825fcd5ec487083a04f19c9a2aa0016b137c839831ab3e3691d</t>
  </si>
  <si>
    <t>184b9182157330014811961024214293692f333d9a67742945863adee5e68f48</t>
  </si>
  <si>
    <t>734c92c1609e7794d97863026e69579c4acef0a3c1247dbc96965a0a2b78f6f8</t>
  </si>
  <si>
    <t>e93d2f1e373e650051eea8f3d603eed00438fbc9dfd49b3046de7c69b35b35ab</t>
  </si>
  <si>
    <t>4e7ae53dbf2f4acfc808bd657a4d361012deaeced74d22bb9a88bcc1b45fc530</t>
  </si>
  <si>
    <t>a6414567e5e577a8fb05dae7437928141572e4c79e07a40aadd8d37ef5b00148</t>
  </si>
  <si>
    <t>cfe01ce183ce64fdfd5b1e4e4f08ff05ee68b205f18e1bad2f52a44014f2a0c6</t>
  </si>
  <si>
    <t>a8c3e866bff4fab924d97d29c94d5ef3e82fcdccd951c45676af7fffb2491739</t>
  </si>
  <si>
    <t>9007dace84073fbd837459f0a52e2a278a7c3855b0dc0f9c0ce562d2fdf1e76c</t>
  </si>
  <si>
    <t>e4a8bd884afed0f6c9e2669fd2252e8b28685f5a43e32799c4c78cbe102b1add</t>
  </si>
  <si>
    <t>c129c49b9567e311502e71f1d989c347a6d579d2cc32b61bf1094a5defd55cb2</t>
  </si>
  <si>
    <t>a44abf6965c45a13c2c7c1f5a96b13766ef3908a7d532306f9ad7a8062c2dbe5</t>
  </si>
  <si>
    <t>68551f12b12cc930ecabb90abff51270dc26997036cb2e978918c8825f3161f5</t>
  </si>
  <si>
    <t>c9da5e1dd4f8286c076fa311bdf99dcb3e0c4588f00db06001d0ae39eb2f2351</t>
  </si>
  <si>
    <t>b4d171e4306b9848e8ee023e9a16de669bd7c79c1cae4fc2fb1832be1e1dff86</t>
  </si>
  <si>
    <t>adacd0093fa825be4d48e4c423062602c7c3f8f01b24100e523ff32a70daf93f</t>
  </si>
  <si>
    <t>796cb3afa3040c698bb1bc7a0b4e24d8702afa1bd0bd94fed36c87c3bc54bc06</t>
  </si>
  <si>
    <t>ec196b4ec641c479167497be68f6f46c9fa70d2719945c1b0332d04e9da602e7</t>
  </si>
  <si>
    <t>92dbcb9952ffe3fe0f283704c27e1391e168b6b1fc90ecc76344e78fc84aab90</t>
  </si>
  <si>
    <t>286f9fa56d5c17a4a228ce4283debf17c9efc5df4339f56609f14892ef15050a</t>
  </si>
  <si>
    <t>4ab87d4a61e30edbe8b68aa8802616bdae6e0243b08452a3cef1ffbeab693614</t>
  </si>
  <si>
    <t>f8b9d7b3b26a2be32375b50e1e4b6364a40f40ce151586ddf256615577006618</t>
  </si>
  <si>
    <t>088878359112482afabae72d0d5c80d91a5de401344b19334d9e8568762ebac7</t>
  </si>
  <si>
    <t>ddf51fb140f14389e7825ee8a54d5a26ed82fe9ab59bf880f434bcbe9282f9d8</t>
  </si>
  <si>
    <t>7c381f8e63b495662f2ef7b7096cbc3577b6eceffbdf13984f9063817320eefa</t>
  </si>
  <si>
    <t>2986e99cceb13ce5e513fe49de3fbec314e2861ce2a07405e4ada2a2c04b5ba7</t>
  </si>
  <si>
    <t>f7c8a7fcb6f7ee608955de95fbc610bbd981c20f95a067f4675f0935c9598c89</t>
  </si>
  <si>
    <t>09e48ca44d3959ad33046b220c3cdd36aed4ff0cc22e179e279b7cee2cb78f77</t>
  </si>
  <si>
    <t>34b63737be461256fe1d51081918186aa4e70b087af3339030efb8f2934fb103</t>
  </si>
  <si>
    <t>5c4b60f6111bc15bdd14cadcb706dc63a5600953acc0145de4e902397dca00a6</t>
  </si>
  <si>
    <t>300b084e25ec3d2cd397ad5555dd3f5cdd74a7bc8beecbe79c189450826c02b5</t>
  </si>
  <si>
    <t>dd35ddc2a8834f88fda967ab75b1b9cfc2329e1bc6ba424b5353d5a69df26a98</t>
  </si>
  <si>
    <t>12c506e64e29e22237f768ade4b01d7c4de276dda8c436de7869ff5c537b350c</t>
  </si>
  <si>
    <t>1d80827c60ee2cb75f6cf7eb88cd2c97bddf2b6d1aec7e33444f1e8b87d74712</t>
  </si>
  <si>
    <t>12baa6c35168f8406b100f339c21978a3c2979bdfa892e4176a173b794b5c1ac</t>
  </si>
  <si>
    <t>a9c342c7578ad76a5c4c0b901a5e9775df3cf97e23e370954552aefcf2ab334b</t>
  </si>
  <si>
    <t>02ac59e8ffa195132500eceaa159bede1fd2783fdcfbf402db21b5f3a0ef8570</t>
  </si>
  <si>
    <t>03eb6967c74c88a2af207e242427030566b87f385f07b512f9e439a495f7079b</t>
  </si>
  <si>
    <t>ad587884bfba97303de60ab5c313694895d0d4c60dcb0d65a741f47ec0a82f51</t>
  </si>
  <si>
    <t>2dda870ac5b9f1f465f0402f0e06dc89777bc4457bcf1c05305f86f6cf30c8b0</t>
  </si>
  <si>
    <t>45ba04eb9b937ffc940484075b37f1eef9334bd542b8e96635b9e2a2c1903b3e</t>
  </si>
  <si>
    <t>3068f9bb5034534e154e3b31a02706dee699e5b58886f8c6614dc14ab292c613</t>
  </si>
  <si>
    <t>f0bb85546d10b54aa1edce3ca0f30878bf2d3be20408432b86c3e299c66d1bea</t>
  </si>
  <si>
    <t>cd8ba69656875706243be9de03e3864f78a1a073d07a6584043c13b050864db6</t>
  </si>
  <si>
    <t>595dfaac594d1b0b6d9f1015f3959eeb8c5b81ab5d6c3ff97dcc6b2547be2993</t>
  </si>
  <si>
    <t>cd5c7504d14249871c33995529d88bcd9b4c01ac056741d672ce75e2d96fc608</t>
  </si>
  <si>
    <t>477a695839d5598b65a47bf3c8ca3adedf3acdd2736e7993441b69edde88b6bc</t>
  </si>
  <si>
    <t>8232dd90c82f27866a1de3639d17a781004d090001815af1d3fb292fd1b99983</t>
  </si>
  <si>
    <t>b1de77db219fe302a60a095b3e56890353408deb907485af5e4a0b71beb71b60</t>
  </si>
  <si>
    <t>a14721d2571b06bd3251b35c559ae623ea803459ebf9e6864b2614c2e750c11a</t>
  </si>
  <si>
    <t>b53062a7b6e5ac88fea807a7315a36574f1d8bf2199ea00da6dc22e891c40ae6</t>
  </si>
  <si>
    <t>992bc0d2b6e37e21a9c3491c7771268d4bd36b9c47ef867c27ad62339ada48c6</t>
  </si>
  <si>
    <t>005bffdff33852a15d8e4ad982870d621426d3952dd7bcffdddf014ffa590b36</t>
  </si>
  <si>
    <t>6ac3bfe5b41256fe0c42061452518fb844a6d224dd61238d5cc30f43b1658c3d</t>
  </si>
  <si>
    <t>608b0e5db61885dd7f746dd0dbc7187590b70a0a1c80103283de121ef32e2ed6</t>
  </si>
  <si>
    <t>c5b95ca64016cf80394df327ce48a52df0f0554a1023bc46c17361b1a917909f</t>
  </si>
  <si>
    <t>01410a6124f8886751df6b42f78b77326bad3d776e5c21f4526a59df2cb3d5c3</t>
  </si>
  <si>
    <t>f819ed628774faac2445038c06d9aa1b11a52f21a1b5eee96977191f38cb77c6</t>
  </si>
  <si>
    <t>5f4ecb648cbfb0bd8582d7d962e5d2147c54abc9ad76c1422e0349c15022a5a1</t>
  </si>
  <si>
    <t>971aafeb763b62d32b676c0c9889edb918fe9543e2ebff4ad1aca536a517281e</t>
  </si>
  <si>
    <t>82b33fd3c17e70e602c3ebc19d83ecb40f58fd7879fb566816f0503206ab6ce9</t>
  </si>
  <si>
    <t>b348019a4f75023338cf896d87fdece6ae572e4fcdfc1ca52f5e1ee8ccd3c77b</t>
  </si>
  <si>
    <t>bbf40a9246834d6818797cff7ee8b63854862ecfa38464e4001eff8c860c309c</t>
  </si>
  <si>
    <t>8782cbb9493867dc948d8ab6875be6061696f9bd7fddb82d69cbbf7145defdeb</t>
  </si>
  <si>
    <t>13d70b9ea4d29d7779fd440fea92d55c1bc05de40cf4afdb90a0f1ca1e4be666</t>
  </si>
  <si>
    <t>1196a1a062866b2854bfc38ac5028d20ab53ad8f8f2147ec5cd29ccb46e6e5ee</t>
  </si>
  <si>
    <t>71808d9655a46bdfab2ab828d48e5252b5dbe42f833a7dbb16af346b6a36eeab</t>
  </si>
  <si>
    <t>ce9177c2a13a4397441b1801fed9d616a5fac0aed1b970e9b72477fcf807c7b7</t>
  </si>
  <si>
    <t>2b39045f7cb9b9a5128446e1c09f7ca53a11491979b3805b163d40c9fd524f62</t>
  </si>
  <si>
    <t>cbb7772ad9f82b1b2fdb7ae051be3c54c3ea89cbaa50ae985406c8b51f192dc5</t>
  </si>
  <si>
    <t>590363d607b7e2098fcba5c835183a93591b6247ee70ac1fcea9fe426779b0cb</t>
  </si>
  <si>
    <t>c282633ee9a92cc66c2668579097f52f37c54f6087a94fd58a6b2bc78bbdb87a</t>
  </si>
  <si>
    <t>43464320436dbda18f44657bf283c5b2a26a48d8f768819cba5aea24376d55b3</t>
  </si>
  <si>
    <t>be6b9009be1e26878d0929a18ebdfe8c7b7f51d2a2e55b1ca30603ca68745709</t>
  </si>
  <si>
    <t>6002d0a25462cfef31306035c4aa99140a970f93dbd7178f6103ba7a70f61ada</t>
  </si>
  <si>
    <t>5d680ac9982a0ec4c5232060b98b0b524531356212c950f19195815bb4603997</t>
  </si>
  <si>
    <t>769e7da785adec0abfccbc1ffe49e9d196d756d08bba3777e360f810c43c7ad4</t>
  </si>
  <si>
    <t>c993d6002ef7761c702793aa1023919fc052989fcb1abda2c6b491ed3354ea57</t>
  </si>
  <si>
    <t>bb020257ca2538b5f1b4fbdf42c71d8b560727e65a14c66490f01f83af82a548</t>
  </si>
  <si>
    <t>bfff092b6bb5e974d797ec9c4f68c3022c70610cb000bcbefc2bacb9d0ed7809</t>
  </si>
  <si>
    <t>8be523f97ac6865ce7d108f149648c898f412e56debcf068e974f24bf015ca59</t>
  </si>
  <si>
    <t>4072f1e931351760e4fbe267535560e8d1ccce729512e3c53036a2305f5a6080</t>
  </si>
  <si>
    <t>d260e280e60add1056bb537c824f04bb874cdd0fd401eb5f3bf0350c309d4a0f</t>
  </si>
  <si>
    <t>18f120b7345a6dca95de18876ed12502129532cf4dabdadbb9ace6e598e16e73</t>
  </si>
  <si>
    <t>24657c13f03412738c671629f6b25f96ffca043e1bed34100542932a9507e3fe</t>
  </si>
  <si>
    <t>7ab1bce70448defdc2e8733dc0740472893feb538b4447f60caafd7f39d9ae1b</t>
  </si>
  <si>
    <t>8c665affa996d5e59793d6a46f5c4fc002630598b857a45dd3d57af108c4e4ab</t>
  </si>
  <si>
    <t>863a55480107b45e6ab9212ea8695d6f54fba739bb3a627eeea15921c168d06e</t>
  </si>
  <si>
    <t>4174cfe5a08141a3a15522c9b3a71b7e1532199e5ebeda4e56033965361071a2</t>
  </si>
  <si>
    <t>ff2b8352db3f6bc6600b3afd646fbae989ccfa7c4e2fe9f3af0447dae685ad4b</t>
  </si>
  <si>
    <t>da79715ad412df2f3686c40692e2228db09aff7081f7e4d0dff5aeb42aad21ec</t>
  </si>
  <si>
    <t>6bb8f77dea74f8f92bf62d207a0f608c75e3d07d9cb268d5aa44ffb0bf462dc4</t>
  </si>
  <si>
    <t>1a2873702bba05d511e10bd288f43db06fea741d76818e3b08b478ca56032f16</t>
  </si>
  <si>
    <t>c92c482afe24b5bcb7dabb351ca5a92a5e4d3157a05241ae9310e38d1786b00c</t>
  </si>
  <si>
    <t>861dddf6071fd7d5b24c025d81485025b1e9aa8376242b27bc49717d45c9b492</t>
  </si>
  <si>
    <t>d6b36d78cb5317702ba344fdcf033c9b4e208c8fb6eeae412f63ad8018a5225e</t>
  </si>
  <si>
    <t>84b86c2a12308e2d8318bfe3f9e5beb864192b92104d5f73c9e871415e7ff48a</t>
  </si>
  <si>
    <t>4481461a3bb686529c0fc20d24bd03ad199e7b0c06ce1db0e974271eb4cf17a8</t>
  </si>
  <si>
    <t>b204ac827047b4a6cb3c11358558599f3ae5606643753173b7661b1d2cfd16b3</t>
  </si>
  <si>
    <t>eaed876ec6ebe1cee0f0a698bd1225d6e02788c7bc9132de664465896989acf2</t>
  </si>
  <si>
    <t>e0b8f5698bf5b26e1b53c0528abd9347b60542b728a2b7ba1be2a92a627c1e39</t>
  </si>
  <si>
    <t>6a355bf9a548eefe853e3d1e93c478cd0460f20369bcdafe6b23c42f7ad04327</t>
  </si>
  <si>
    <t>8a92f58b7873f6eaba77b62bd39b3c928e828aaeb3f91121509dc9aceebb3624</t>
  </si>
  <si>
    <t>9217e77e9c79ee537fecbd67b25c6387334624e9af6dae358ae0c490c8c8dffb</t>
  </si>
  <si>
    <t>10c8db76db556dce23d3929fdf238fb3bcd98930e1df8248322065e71f9393db</t>
  </si>
  <si>
    <t>92585b882312ed56ca22f2a11fd772a843657c2ed27756da23128de93273ed92</t>
  </si>
  <si>
    <t>fc56a7ac2a264e8bac2eb37b4107eb559cefc6b469cf5bb846fe91ae602bf6a6</t>
  </si>
  <si>
    <t>ba7a5830e21fec61ce380c42a77a2e7816daf59103534f0d00dc0eadf03d2893</t>
  </si>
  <si>
    <t>0ea3c48c6f3d64e36169457d58a33f2042a7acc00e1cb71fa05f321b9ed26463</t>
  </si>
  <si>
    <t>ef3a0a15ed13ebb14de396b062c9035bd3505ef059f169eb8019b08186ae2280</t>
  </si>
  <si>
    <t>62c0de14a1938371a2e99b6532ba957d30f6276ed2313f2d3ea879ad4b967e60</t>
  </si>
  <si>
    <t>SAN PEDRO MIXTEPEC</t>
  </si>
  <si>
    <t>10ea8a15b042658cd96c4c9985ac251558867b68f15a9c35be7639dc7a2cd1bf</t>
  </si>
  <si>
    <t>4ca26ca04ce196e4bc8175573845f2ccc2c52ff7aba3114004ed65e2940ca0ed</t>
  </si>
  <si>
    <t>f0032b8da84ee5454dd973641ebbe67be8ffcbf8e7417d5ca5a9dc006754a754</t>
  </si>
  <si>
    <t>922de5f3f4f67ba89353b9b78599a98e13bd9291e8d024ba7eb1c82db60e4364</t>
  </si>
  <si>
    <t>4c09a379eeec54dd0ec949e1bc91c5549ff51fbdf0278baaaf1ef5b00c76a565</t>
  </si>
  <si>
    <t>17c019e29cdd0830cde8982e1f76fa2c5c980ae5dbed2e220d98aa2da43ac628</t>
  </si>
  <si>
    <t>bb4e5f33de708f69d63e139303b0c86bfe4f538f6da225188cccb84047e2cc37</t>
  </si>
  <si>
    <t>49f76dbc989deedc56c37f64df6d52f34784be9aa04388ab34e2b786dcb2b21a</t>
  </si>
  <si>
    <t>fe8e2e2eca2068117ba1108da5bc7ca0c43287ab5d6911218283c4615145475e</t>
  </si>
  <si>
    <t>634862d36a6aea565fbdd544a6b46d8bd8f789bcf1cefb3d86bdabbdb1828129</t>
  </si>
  <si>
    <t>5f0c6507d6277cfda5cc874180c6742fe44d636f35a9aeac93531c2fa578d108</t>
  </si>
  <si>
    <t>4bd8afab7d25afe3c5b7f3cc7c9f179f671c460bdd3316bb59236004482dca72</t>
  </si>
  <si>
    <t>23a48f8924b001e6cc54d23a501d4add1f37fb612b7531f5d210d901d08a9353</t>
  </si>
  <si>
    <t>34de23ea1276c2c2a2c31cc31301402f4ff04d088f825958d20842ccf8c125a8</t>
  </si>
  <si>
    <t>6b7d0155ed5cdf496e88856737378b0e3170a5a249220fe6b90ff753ecf5ccf5</t>
  </si>
  <si>
    <t>35d8c106db4f88b66fcc2bf419af5ab60ce885fd9c28e1a607b570c80e84bf6a</t>
  </si>
  <si>
    <t>ffa84ea863d6326304c4a24655ec5695eb1e0132b5ec644f23de66ad09441924</t>
  </si>
  <si>
    <t>90a959d1e6f3e9200b894c7d550ba697496176a724c9facb2da07371c018d2c9</t>
  </si>
  <si>
    <t>0d65d1c59139fb6e76a7ee20ed934406cd4c50bbb4c33f9a987b340e79aaf6a3</t>
  </si>
  <si>
    <t>c8431cbaab4a7904132fbbdc1eea31cf76bad293735bf1ffb3575dab48a246c7</t>
  </si>
  <si>
    <t>9c69cbc9f26df555bd3e20e96bfef06c91c96bcbaaaee55e8f7ee55747dd4a42</t>
  </si>
  <si>
    <t>f3bc3984d27c04863f04dd03240b43042aa5e75e46bb873ffba707c72511256d</t>
  </si>
  <si>
    <t>69a334ed619f711372595fb5de48662f783c2d4ce764e3a10645ede0a70f0143</t>
  </si>
  <si>
    <t>e62a0f9bc45da54d98331f345ac5440b89b75fe92559cb7a29c258eb0de9b6ab</t>
  </si>
  <si>
    <t>d1c72a3cbb9e46d9c77ce86a5707662468eac36d37d6df9051f9b91df52ef3e8</t>
  </si>
  <si>
    <t>fe5e44a9f470abd2cd0fde2e95ec64482cad4b0996d80d42a980e581c1324bb7</t>
  </si>
  <si>
    <t>d0efdb93f611abf8858f7df8fbd51f6f7a3fe3590ab032262e0a48f9a4ff9bad</t>
  </si>
  <si>
    <t>bbe29404b1e15e3ebbc7ff4a5befd2aac0983efcef2f44053fbf03407d19a210</t>
  </si>
  <si>
    <t>59d80dddc02c3b953aa81cd1defcef0be4fbeadde329cc830f79782a703958f4</t>
  </si>
  <si>
    <t>d3dad1d4213bf9423a5df01cf120f25b23447edfe735ed8f841ef96bc89f0195</t>
  </si>
  <si>
    <t>917dfbf31332819a785f8ae4348a740a04d2f5c044ee04854cb9be51e2edd4a9</t>
  </si>
  <si>
    <t>61e06ad66baa5769c312f4109ad965b8a16859d3a7a4a14c63aa6a2cbbef0723</t>
  </si>
  <si>
    <t>ae66c8cc6b5e94718225685b3f5934eb4b45065b0344c17c35f278c332c8bbd8</t>
  </si>
  <si>
    <t>a930ee5f4aad89589312d9e3790327cedb7025ac5d9210f7e6db436e10bf851a</t>
  </si>
  <si>
    <t>dac42cc2e11445dd2ea386d6769245c55317190898e33d5353e2e91f4429d659</t>
  </si>
  <si>
    <t>b9cdac4896a737d6b452217a0d29ad50af386440441f32f037a71a45a979e14c</t>
  </si>
  <si>
    <t>c26f9e6b95b625a3eb446edd48523a04b996e513b1aba84d752a92386439bf06</t>
  </si>
  <si>
    <t>e69cbabbae957f86b712e9d944955687af7ea6028b6769f53082b8f9feef4410</t>
  </si>
  <si>
    <t>e4a54504abdbc8312ad4e298e8549174d95f37eb259b5f928069f663bb01177f</t>
  </si>
  <si>
    <t>390b6b5478e5fa196c703f1a07d31d2b7b1006c6f2fc42ef6d6137d1bc554bba</t>
  </si>
  <si>
    <t>94cd0173af4e8e92fb4481d87f4d585659166b07f02f9cabde5ea6f999fdea76</t>
  </si>
  <si>
    <t>3e6c92aa706b8989fd2cffc85b3497688184349599b21bcf7f8543eb9002c41e</t>
  </si>
  <si>
    <t>2f082d5e45a2d80726f8b85d229502fbe9618147a7318e292881910a9cb7886d</t>
  </si>
  <si>
    <t>104d0bb58a0bce1daca8d0489e5bd6c17ddf34c58f4f81970296355896a0d39e</t>
  </si>
  <si>
    <t>c9e5c208c3c4ae3733963a486b9b19fdbad5ea97996689c4a805aeeef5727b04</t>
  </si>
  <si>
    <t>c020eff7358acc7d4dfabd6585218cc2aee2b7a599655da48dd03ac8d361d69a</t>
  </si>
  <si>
    <t>fcbfd9e10c75a973bf98a9dadfc5185e1dff5a24eff935d017cb775c0b8f78dc</t>
  </si>
  <si>
    <t>837c8cdb42cd27897745cfa6b191dbb801135e63a6f94e8116c7e2a6297a27fb</t>
  </si>
  <si>
    <t>e5c6297bc3332d99ccec00ca7ba3d14b484f135df2f4e34738612a0b5910543a</t>
  </si>
  <si>
    <t>d38608fcaeb7546c83fc9224b21d9a72f1899718c8dadc6939a58d242c04fb00</t>
  </si>
  <si>
    <t>0e48a65da2ec1e351013fe4d3dddb65c7d8468967d9ffc43b25ebc477def1f2f</t>
  </si>
  <si>
    <t>b4f1740bd2a5438f400dbbc1ce579729024dbd99490c2fcf49b9cb11281c8e1f</t>
  </si>
  <si>
    <t>409214e5e56a912a526b698bca769e5e7187bfbbf70483c50241a9ac9727650b</t>
  </si>
  <si>
    <t>77a5dccddf51ece5f34a174b2540198bbae66002d9b7f83ecd55a5da1562f944</t>
  </si>
  <si>
    <t>b1e4528aa51717da831d24e5acd4097c0a0e1f793c30139c561b13e34fb06909</t>
  </si>
  <si>
    <t>57225f15a7e9582ff4354deb25425de79024a2cb6cd2282315cf092074af3b2f</t>
  </si>
  <si>
    <t>25ebd16e3f1d59780e6e186bb2f247e200a9aa322a08891e00b56ac28e0b3789</t>
  </si>
  <si>
    <t>67fa828f73d14595896389535253a986be4951d38e9dc28603b3932268fe0a2e</t>
  </si>
  <si>
    <t>7dc740260c5e33ed06fbfe84418aed4e8d56f4d6ac57993aaa44233ea7758c13</t>
  </si>
  <si>
    <t>de6d9c97120199d1248d19276727b92b903876b79d1daede91adbfb7f7ebf7d9</t>
  </si>
  <si>
    <t>ddf834baedd456475457fccd1833f760541b41034b409d50574d7ffce9cf21f0</t>
  </si>
  <si>
    <t>a511339669ffcfc4ca19e74243a5c185fdfea64e8bc8d7df775cb19dd73d2f2b</t>
  </si>
  <si>
    <t>499c6a0c41abe893d9f1d05a71a2e44ee4f6b08c2194740e3009ca4e66c3592a</t>
  </si>
  <si>
    <t>eef3511c71132368b6f98958e0e77661163d2f08a5bc97464e40b30a3cf243b2</t>
  </si>
  <si>
    <t>054fe7285a5b9f06e34b2d8c979071dee86269387f312c5227422ea8828aa487</t>
  </si>
  <si>
    <t>e9e8003a674f528bf69257c5b78bb8185ea56e205f7d5b884ce7e95281b245bf</t>
  </si>
  <si>
    <t>57b49d2504c4e0515b461dd8282d13407b5f88eaf67179d9b0f0fd93b00101d8</t>
  </si>
  <si>
    <t>1684bf11f131febcbfef6c4ac03cf101e1f556d21f89f55cfead369cdf23acda</t>
  </si>
  <si>
    <t>dd1e96b54b746d0907675a25e5be409f6d530dfadfae444d30334609bf07ee14</t>
  </si>
  <si>
    <t>f093151c5aa7ade72677c771618ca3ac2c4143107ed79dc9e93d34b8b1c1d84f</t>
  </si>
  <si>
    <t>f9e3d2915a8787a2456cbc5394608fadd9d588c3bdefa25555818d9d5685ad4c</t>
  </si>
  <si>
    <t>ab66938ee5656e069ef02201824613ce51e6cad82a759f861e38437cee181e9d</t>
  </si>
  <si>
    <t>3871a9de8edf194b4fe9edd2b4b84a468ed8630267f7013ef57a026ab8ea9b88</t>
  </si>
  <si>
    <t>fb9d9ad89e999797f2aabfe6429e98cc06f83775aa0a08305300a3fe756bf522</t>
  </si>
  <si>
    <t>d453fdca0f554be49a13adfbb2b92fe45ac60335d868231baad7276fb5c2b193</t>
  </si>
  <si>
    <t>47054e550afdedbeaa0422e3e3aa20b87fe5291d3d39bc858e441d18ecd868b2</t>
  </si>
  <si>
    <t>836772214f384a25843694e7a3ed5b442d208166879621d93b7aa21955706fcf</t>
  </si>
  <si>
    <t>de5a85e548875a9da8dccad1e21ffb34090131a6be887b8dcb88b07b6110b303</t>
  </si>
  <si>
    <t>61e8441ca02a511716dc5f52d8fe19c367a8d73191df6dc915877a596b829e68</t>
  </si>
  <si>
    <t>db343ef64514fdcf3a47ba249db6b9745bf34e1c0f75d76a76fda0c397249d93</t>
  </si>
  <si>
    <t>2e4f974e200f0ad95f34d006cfe069b67f6b3db83caacd4f8c8d34d6c51d7b0a</t>
  </si>
  <si>
    <t>bb9e8f6d18b2d4d3cde18552174d55e4403dcdc45a6d57337b75d91f28c91ae6</t>
  </si>
  <si>
    <t>b268f011c3e2fdc5640fff8f0227aa88b628d18b85756025031b3045f9bc3de1</t>
  </si>
  <si>
    <t>ce4b121d93bb78180c078a6f43c175c0b8f1d1af00e7a5c54f6aaae79e622bfd</t>
  </si>
  <si>
    <t>650b1c69be06b7ed8bc4d290ace035d02eb3ee812aac9bacf38c33b17e390ccf</t>
  </si>
  <si>
    <t>c03307ee59230b10e96a86d0b4debe8b37bf90d9b9a40c5abe6a2c78650ad7bd</t>
  </si>
  <si>
    <t>3f24bfa4764143c585f94efc89bbfb4972c23ce33a8e6d76f3356f46f83f9f55</t>
  </si>
  <si>
    <t>49571fd5bf92530bb48a0b6e418acf0645b5f9decb787c914c051d02dce4c5c1</t>
  </si>
  <si>
    <t>e3dee271f85b1e0b135dc43a4659ffcf09926af0d6db8d9159d1bb35551011ec</t>
  </si>
  <si>
    <t>4bcc6dc082fd75c6141986815fa0faed1b4f784e3b1e5492fbe889751a7aa947</t>
  </si>
  <si>
    <t>204cf589205effb97c00eea9cbc59fb41bdab2cd1aca6b40c4d390f39d2e3fa8</t>
  </si>
  <si>
    <t>1d63aa714e742da89aef5988b0826760f1b78285e0cb73b2e9a301daaa320b45</t>
  </si>
  <si>
    <t>789c78f91a7c6edaee2ab52fdd92f6e72bc35de63ebe510d7016828c7e6041a9</t>
  </si>
  <si>
    <t>3ee4aeae555d3fe9ff2726dd51c73b476a90d8452ebf4bef8600c0da11d2025a</t>
  </si>
  <si>
    <t>80a8bd5199fa1de61c3db921a53caa20360017bf45e89c5f2722fca7612f0ff2</t>
  </si>
  <si>
    <t>f93aeb082ae8b929b9175889818f1f71b3729f662446cbb678a03cd01a4e9741</t>
  </si>
  <si>
    <t>23a6d6063f5702816fd1896e00c340ddac4d2110d45031083a9d28abbae8d09f</t>
  </si>
  <si>
    <t>57f20c3cbeb9988a7f988489b72ddf8739d167cc6a3f787210484ceaff664a4b</t>
  </si>
  <si>
    <t>d21005a13bc5ff98cab01666f2b104dabb14eaa27791de7f748a986665441757</t>
  </si>
  <si>
    <t>5fe9e45170361e2f8822ecaa20a59b251249e653f0c3f6348c026e0057aff7c3</t>
  </si>
  <si>
    <t>cb9cf1eb87de84bc2a49032b25df4bf1324946db92a0d486d50577d352f6a4e8</t>
  </si>
  <si>
    <t>a0d2cace174982f52fac015438359d866ae0d5734e99c9761694d78f9ccff5f1</t>
  </si>
  <si>
    <t>3d10e897c27535d655cb32a8d787b5b55d83cf85eb2a045d23435d7c9d0256af</t>
  </si>
  <si>
    <t>fd8016b8e7a387a0d162727333c2adb65166457cf6a583a820b1262f1233444e</t>
  </si>
  <si>
    <t>41f6836ea3ea95ceed7cc2ffe4e565a10f77d348677bef5340bfffcfec423364</t>
  </si>
  <si>
    <t>bf96e4f431c4df89244cf424aca851d445e1033c882de80e5904411d40388ddf</t>
  </si>
  <si>
    <t>e8fa59fec22824f43faad4f9381665af4f8b712a281f3bb751eeed64d482a85a</t>
  </si>
  <si>
    <t>eac5a79f7c6f7145091298d01bbdc997cbaf6c15df2107ae6cc767275e520986</t>
  </si>
  <si>
    <t>ff2277d3a65a141f2ba715dbf94792592bbfa23511499c8e52872089c5cbabf7</t>
  </si>
  <si>
    <t>03cdd9ff699b42d83dbb4c56cc29ed3dd780eea4b54cba674ff8631eba234c19</t>
  </si>
  <si>
    <t>046a8717d759e4edcb3019fe5491b989007eb26310397e89972b8b425235dfb3</t>
  </si>
  <si>
    <t>f2dd74616c256ee542154467b084ccb59b3b62cdd594e92d47c471d21ff8249a</t>
  </si>
  <si>
    <t>9c3f5426d999d6345ce650a995640f28703ab5629077575fa7a816fb48266344</t>
  </si>
  <si>
    <t>2f7d070f7f18882bef5d6b6740690de76b7b18a8df36287c4025f174946aa02e</t>
  </si>
  <si>
    <t>99372e2a7be4a9e030ffb9d0e16007b9f44c47694d06ed35bd4bb45cdecd58a6</t>
  </si>
  <si>
    <t>32dfa2bd7c36652872ae79d2e8cedd54d13b797a5f0d6009c0305cb29cf6fe30</t>
  </si>
  <si>
    <t>ad5d86ccb5793165077e0f15c587aed7cbb90002b2e80cf8d437b17606202c8d</t>
  </si>
  <si>
    <t>399a6756e81c7da5bfff3b71b752cb211da23f2744d59c91c2d1c75c4ff5a849</t>
  </si>
  <si>
    <t>558881d7f4df745ca7f59a5a6edd1d2b5ab025a947cf5f227fccff9bd7cf2243</t>
  </si>
  <si>
    <t>61d1473b90988deb32ddc677215cb2b3a35b85c03c311b9435f5bb453c980efc</t>
  </si>
  <si>
    <t>7507dcd5af479892e89e3a5187702ab768c6dbc16e4ea0e19cc90c046b00d670</t>
  </si>
  <si>
    <t>9259c253db586e2bf347812f77f58af5583cd581788c5ae7e97d9fc97882f657</t>
  </si>
  <si>
    <t>58a079761d735eeef77a70ea95dc9d3a2ce58f03dc1f69f1be6f4db537568576</t>
  </si>
  <si>
    <t>7f2cb75cb3096ec480ddc55ef3507c4a134bd44362ebfa1de210db381272aff7</t>
  </si>
  <si>
    <t>739b99b6d75b2126ab612a6b9819a5fa1498e0d06690c1376eea21da7ca09c2a</t>
  </si>
  <si>
    <t>3d28ec27dd2a073f282d156b4e0baf8ed071e027344d9605a7822adeae7b5cdd</t>
  </si>
  <si>
    <t>4c5ba3e3e82824509dbbe36f430e62a49750d45786f343781150198b90708a07</t>
  </si>
  <si>
    <t>4ac808018b9e061be6b0742c0f805deda5361e1b5b481185d4c0e526183e2d6c</t>
  </si>
  <si>
    <t>d47a9baf70bb8e55ef0471c68e7753f8194718da70c9b980c50c6b0bd4fd12f6</t>
  </si>
  <si>
    <t>974885e45211213d8bfb764a2217d8e104429649eb6248c2346a7173f9f27e23</t>
  </si>
  <si>
    <t>d0ea4e102733deeade611fad028e36b8a2222df50ef61b337db0d717a64b68a6</t>
  </si>
  <si>
    <t>6cc49b04c14f8dfa8f9fb58be8908ebee0ab48769bf9e78c7884c11f5cf04fc8</t>
  </si>
  <si>
    <t>a3b490aec7d46c99fe8efc38a49d20771fb30d59cebb634ff43d72a8b71524e5</t>
  </si>
  <si>
    <t>ad51d4884926c6c8806cac1de899f47c0e26f80c3020f5f950e1d6ef40d0eb52</t>
  </si>
  <si>
    <t>e149b96540c0f92c7c2695d924c986444ce498ef8c3318f62b4f419e140321e2</t>
  </si>
  <si>
    <t>ead86b43c6e3b1cc575032e4d8bc7af32a93bffbeb399b472083993e11ad260a</t>
  </si>
  <si>
    <t>368d7bb31dd3fc05477a15929b59887e72d2e5cd409bf54a12a85036fc357492</t>
  </si>
  <si>
    <t>36a5d2562d0ec8a1316cd4bb25ae1081cd7450213a85e0423b2d419213350913</t>
  </si>
  <si>
    <t>0e38483391aeaf8c74c4863ee317c62d6a204b1399274731df6fc55c6e53b46b</t>
  </si>
  <si>
    <t>d283d503997daec7a06b192a74eece5e225eaa4032cea7f8399b19a95cb700e5</t>
  </si>
  <si>
    <t>4a576967ee030b28e005482595b794dba164681e4969a15d0d151ee8e76c8fb6</t>
  </si>
  <si>
    <t>c052b255b770f7f45ec2c433229ce29d4496b2e77315c651eda269a55a6fcebe</t>
  </si>
  <si>
    <t>caf64d02bb38ccf9aeede00a139e5bdc63bfb6d083d9da864ad9c4d572c3d23f</t>
  </si>
  <si>
    <t>0dd83701cd939f14ecd9334dac110316d168eee515d5606b3cd7843ee3efdf28</t>
  </si>
  <si>
    <t>182e342e2f85caa5397df68f991d4afcc425fb167d4035af59d27b9eea03b1f1</t>
  </si>
  <si>
    <t>4db5b0f59ad88e3e662a1a95f064078689d357cea6e2be591da65fe02f9285fe</t>
  </si>
  <si>
    <t>9857a15561fbf2d34505e773a44064e157a4d429650fed54c86fb594b1f75cf4</t>
  </si>
  <si>
    <t>274e5a38748268a386f31a949d988e977845c255cc29f05b6458a4362ebb77c2</t>
  </si>
  <si>
    <t>72c91a2f8ea047e6737b44a31cada115ef70fff76df75ed8c06183dbda067547</t>
  </si>
  <si>
    <t>66366af6717e3bd1ea5d0bb1d322d7c1c1eb0d7bc9843bc72814ee0a5a10763a</t>
  </si>
  <si>
    <t>0e7268196c4c313a08a14e0ebca1be9f097e7eadc69c050378b709669f317ac0</t>
  </si>
  <si>
    <t>bf17c3de314f86dda87bd3a9b6242d197ff102faae97710c4d1671e2be8c21e2</t>
  </si>
  <si>
    <t>9e10311bcbaad8d51e8258eb018bad31c0ba51f00fd8aa5934aed8d232cb2ff9</t>
  </si>
  <si>
    <t>ae512fd695b674255ad6ca3c93a3050f3168236699d0174da39b742000080cd5</t>
  </si>
  <si>
    <t>5fc994381eff63615d71a5af12f0d02371a343d52433615c39b17d8b4a4ce25e</t>
  </si>
  <si>
    <t>19facf54964a54a578405f5c1556461c65f7cf393ba20df967d3986733a145fc</t>
  </si>
  <si>
    <t>99205f38a739689ed233db54fed2bfe5a0754a09274a64beb565fa1fc189e956</t>
  </si>
  <si>
    <t>fc1c0a8643e186df50a8bd97d606bfcdef0e380cb2909f861189b5ea2c37dd5c</t>
  </si>
  <si>
    <t>b20047faa0b50bb651f6f405c06c11c63ad7563e2504fa93f3adb2644bb4ea58</t>
  </si>
  <si>
    <t>e0b8afa25e8f216b9df0a0f8af872d2482e67b3194c9230cb7d8c33d1c77f874</t>
  </si>
  <si>
    <t>fdb558aff0096c8bec4e27bf059c7e1a80ba6596e6db3efe937d14831b488b52</t>
  </si>
  <si>
    <t>9594cb2a3d64172cc9f16355bc31c92889d5b39f4d328f86aa0b8493a4d07ad7</t>
  </si>
  <si>
    <t>b41f9dad34fccc85c074ee6d7db049752d414e196255d0244ec892a2fdfc982e</t>
  </si>
  <si>
    <t>5175276c5802369ac0c1ec470adca0859c4a6900202b70c33f50f90c0a48e72b</t>
  </si>
  <si>
    <t>6cb92a43148f641be2f043e769043b8b26852f870b773b1b1faa4b7b7ac33fa3</t>
  </si>
  <si>
    <t>9e007c4eafb2280f4417b627cafbabd1a1c8b431d0d75edec21aaf923d5925c9</t>
  </si>
  <si>
    <t>d3eb72856b1e505b219d2f2f38257a066ead0fb5b8a5f391675d598cc9582660</t>
  </si>
  <si>
    <t>37f0788111486d002a5e0afe3c59d395cdcaf291cb6f8a21281b9f3a3fa1bd0b</t>
  </si>
  <si>
    <t>60d8fa0867e6348f237ff96abe50f095f8f9a43bd12bc2f5b5cc43372d7edc6b</t>
  </si>
  <si>
    <t>a5c36dc3b228b8a467e3121d3557a45b854139818ad6d04698e73c86880eb7af</t>
  </si>
  <si>
    <t>a7e5e6fef394996cb7f9ea6217d90b79c04ed452fa792f2933bbde1a2a9fb812</t>
  </si>
  <si>
    <t>a3ee784ae15232d2c502c66849db3b0657bb18c0070a06ea2b1104b6dd7d9bad</t>
  </si>
  <si>
    <t>171b76ad5fee44e2892c2c9ceaea8b7f5e847c2b4c2c6d9d8a74017bc90f6da4</t>
  </si>
  <si>
    <t>9cb332ef51fcb7c3285df9799786713c4b253822a21fd496217fa7e054adfb96</t>
  </si>
  <si>
    <t>bc29574b3bfb8be47fb8613998a682d7fe0f148fa735e0b9b46766fc90bae54a</t>
  </si>
  <si>
    <t>57ea563217a4e4aaf974f25cc8cd543363348366a7578e09d386e908f000683e</t>
  </si>
  <si>
    <t>bd3c03b676037e9e95bac7f7bf3eacab3c7824c0048a9af87276cecfbb28143d</t>
  </si>
  <si>
    <t>3ccaa2808d8130996073119215c180d43d1af3c602707795a09b97b88d0e2921</t>
  </si>
  <si>
    <t>73e5d5dc192d4d626a96fa378d26102bfdd3aaa89072be4f8dc6555fb6062071</t>
  </si>
  <si>
    <t>7f4e2f963d453985b84ddf0a6b8429a37042b3d64026b1cd6ed6a24d4efd0851</t>
  </si>
  <si>
    <t>6a20f001cedc0b2a254a38c94b9b835389762ce5ce73b95f02a49bf04b9b8aa2</t>
  </si>
  <si>
    <t>74d26c580f2b12b6282c8c043d46751e641200fd28409f58487e7b3dea05fc82</t>
  </si>
  <si>
    <t>de7f1110f0aaf5fa8c54f6e780bac925f7eaf30ffc4680633a2eb38dcb987a81</t>
  </si>
  <si>
    <t>5e7eb1996d7dbf8a5890db2c93abc0caf965336fe9f8073e0b334844e73e076b</t>
  </si>
  <si>
    <t>fdb2813e2d37bc0707ae7b57a6c27c9f1c6bd76907d7a2ac6f074415f5bc69ec</t>
  </si>
  <si>
    <t>2a8b76f16deb61925a5b06d72ada7bf54f7de7618cb314b9e3f2ee5e21b9832a</t>
  </si>
  <si>
    <t>a1b0ff6320e34f9df919f801d64501419b5129c8e7569a274bceb4f3df02cc9c</t>
  </si>
  <si>
    <t>830b609819e4d1285586aa4d82bc4453abe49d47f8af05529f0d98e925b8b5dd</t>
  </si>
  <si>
    <t>58e89619c32b13c2d4fd320a67fe6d3a291c291109356cad626f1442b3ec25e8</t>
  </si>
  <si>
    <t>44ce8ea6819d35cf368f98b60986ab6c9372a5c9fe0a0120dae9fc15e0dfa2b6</t>
  </si>
  <si>
    <t>c8dfac10b3719a86494467ff3a32ef002c6fe5d13c1102ee7f06a9ea5923f7af</t>
  </si>
  <si>
    <t>d32f7cdba2eab348ed364428da6f12e0b55f8f203faf51a2597a2f5a25160b5c</t>
  </si>
  <si>
    <t>e0bd5adbed1d86f9980cf871815656eba46e8e228117626f7ca3d4c94fdb1bd7</t>
  </si>
  <si>
    <t>81692b41ca6d4d3dac8961b39df5fec4c0924b7f9f1c9705a5a166247eec781d</t>
  </si>
  <si>
    <t>ad3972b4114de4eb7e97a7b2583326022803e5e82a3c5df1da210837eb932d69</t>
  </si>
  <si>
    <t>c2a1aef4d01ab5215793596641e1532413afc2d1a7fbf8fbc8e5e65f982dd919</t>
  </si>
  <si>
    <t>ab435f6f6692f6cfbcde4be06311f88be0e6179a7d71751b7fabe04dd9e68360</t>
  </si>
  <si>
    <t>272f9e52925203ea54d53c58a18b07a954074f633c3b4afbd9a7f87562e04e7a</t>
  </si>
  <si>
    <t>fbe3a19d5dc3ec8a774cf21ac3869d5e03b5228db050b08ef417e924d77091ee</t>
  </si>
  <si>
    <t>c65423d125f09cb512d7c789c95bb30969a34f4c22e3edaabe092bc65bc4c3b1</t>
  </si>
  <si>
    <t>20096908ab92676ca71390e1fddeccae353f3f8a60a6a3ee7a9dc2a9a7fd156f</t>
  </si>
  <si>
    <t>752cbc2f130d7938acd86d696b359ef08a5c32016931f51f94695cc8cab49dfd</t>
  </si>
  <si>
    <t>cff0f15a1750e7940a97c8d77ab987c5905fb517902b94ae18254e52f314e708</t>
  </si>
  <si>
    <t>78c23bb4ae240b98a1de0c2e4003e41a092eaf17a1eeeeddabf82c9657b4a029</t>
  </si>
  <si>
    <t>f88b8da43319087baee92223c1bb771ba0d2bda017109fc70166e9193c575f05</t>
  </si>
  <si>
    <t>ac1969b17da06a71359943bb3f4abea8744be8edc15d87f69d54380b047c1c9f</t>
  </si>
  <si>
    <t>f56da267b4a015b8301ea2e888cac5779ec69f9c1803d7162107df174589bd16</t>
  </si>
  <si>
    <t>d669df1a4f9fd8dc9b80e85cd856054fde9ffec9d5aaf9b53ea8d2e10bac2e0e</t>
  </si>
  <si>
    <t>b4a2f8f0f4468f5a4b9a36cbeae3c21ea54ab46351aab8df038d69581fa643bb</t>
  </si>
  <si>
    <t>87085aa5bcc7bb586cdcd180a9ebf51ccb42eb1148d971787ba74bca385c0874</t>
  </si>
  <si>
    <t>44d0d0ab3d047d80f66b910e2325b68e03f548c03b346ff9b129fa96a699cf9f</t>
  </si>
  <si>
    <t>9fe01bf8f726d5beddf9ae73b651ec4c3464c66e75b33bbbbe169941fc7eae72</t>
  </si>
  <si>
    <t>MIAHUATLAN DE PORFIRIO DIAZ</t>
  </si>
  <si>
    <t>8002692045bf14a1552ba3a6b2c1a97a95970257800367f805265447e680a10d</t>
  </si>
  <si>
    <t>33c72ac11c05f2b5e64abbffe23900c3eddb3adaf20c691e17210f77f0449196</t>
  </si>
  <si>
    <t>b9da50873484a7dd94f10df8e851f2ec678f061af9ca3fd98833682a1bee8fba</t>
  </si>
  <si>
    <t>6ac0df7b1583a3b1f9eb2cfdfd35698f0abafbe7a86c8d27e0d686aca93b589d</t>
  </si>
  <si>
    <t>8d06ff0c59226696fe600e6fa4ab4eda581da5a61f47ce654b69aa6a366e9790</t>
  </si>
  <si>
    <t>bcf1be917f3eccb8435a2314e1635dd2639478b675a4c393fb1fd359d8491231</t>
  </si>
  <si>
    <t>aa9d30607a7c40c03d44dee0232cf5e0ff99540647bde5fedfe3a6da23dbb769</t>
  </si>
  <si>
    <t>26e79990b17c28d931014637458c7e2547e37058b902c7817f6306594a1a63af</t>
  </si>
  <si>
    <t>0f308f52e1dfcad321a3977fb748c44bae4228bf4b5323f9648aac81435b7167</t>
  </si>
  <si>
    <t>41e6d02e19f5d2937f3b49682ec6911d46b2d3412119e1cf042d7347a4bf9e8d</t>
  </si>
  <si>
    <t>373c5c057581ad0ad9acf3555035fef8b68c0e6f9f48b4f69354745d97b4d02a</t>
  </si>
  <si>
    <t>0f11edaf4005a0e92115370c71f3fcc01fdb8aaf4a3452c9fa6b39031961acfb</t>
  </si>
  <si>
    <t>7bd41fae7220faa6da7cb85a4d1601c9f403c8fc449711636a01e41d68166e15</t>
  </si>
  <si>
    <t>0d2d3c5a9474d354e6ff7f410b6a8e3d0137a27c8da2a83aa803fc4cec3b8108</t>
  </si>
  <si>
    <t>5e35c65ba8a239e61691b415207920a946f8f52a9e569f4825f159dc94dd6521</t>
  </si>
  <si>
    <t>04d0c99594228ba48769eff0d9ebdbc91a24f7c6e24b0d9b119f4c6793f6c50f</t>
  </si>
  <si>
    <t>b681cb9626161b8c28137759c38c010173860ada5ef519705110542ea919bb7c</t>
  </si>
  <si>
    <t>8113bd90e0a4fa2cd8fe21051decace6a728a1c0fe01a3fa0a1cdb2f14d14a9a</t>
  </si>
  <si>
    <t>de8e35c2b3464296bc7673e3d81ac7c1902ea6f08138e9362582399c00065515</t>
  </si>
  <si>
    <t>73be4b7a76333bc5a4ca46093f59b02f0f087a89fb6038deebb49441e8bc84a6</t>
  </si>
  <si>
    <t>38839362269f9dbf01cbca68f9ee8072eed3c508d4ada793f68f18a2e019fa08</t>
  </si>
  <si>
    <t>d3a6b9da905aa2b39e7c476a887689452cadc376553ba88973f4753c49380b57</t>
  </si>
  <si>
    <t>aee6ae2db448662aeef3695448b910c01098c37e92e0826b9f61e8d39ed19c90</t>
  </si>
  <si>
    <t>cc2cde685b0074cb10ffd4433ee89541b4ffb700ceae92474191d7aa36860e70</t>
  </si>
  <si>
    <t>2bca3a9fe46aa74058052b7b1c12d1dcd965958a5dfe9233a6bbc243028f4821</t>
  </si>
  <si>
    <t>f4508128ac3ff72fd050ba278dfb24c24e66945351eecc1b5f92586d9872fbac</t>
  </si>
  <si>
    <t>9a1bdb13e1db4eb509a75b73aaf493687c58cf240d64f16af6a997f0b1d6e729</t>
  </si>
  <si>
    <t>255714d5a34f92d416a5915714823f83d31a38fe9a74af3caad36a22813cd2c9</t>
  </si>
  <si>
    <t>783dea5f006278cdcd167d94fb573b7962fb3b15dd31411f7d18b5f29372c331</t>
  </si>
  <si>
    <t>4ce2828f4491e9ee28bc7b6e521581d35b41cf668617eba9e6d5acd316a5435c</t>
  </si>
  <si>
    <t>7fcac95d2877d06d1a7a0caf56fd4e57b7644036761effd99b55d0ccb20799e0</t>
  </si>
  <si>
    <t>bc5feaf8276777675e1be22ffc3ede1653ba44b59ddb80694c3ec2b8ad55b421</t>
  </si>
  <si>
    <t>62deda4ef37dd27b9e8a3a5b21886fd71536c29cd9486d4233da56516d54dc11</t>
  </si>
  <si>
    <t>c60570c57dd7b6808d8c9f271a291bd774825f53fa922a098c5bd6452391fd8a</t>
  </si>
  <si>
    <t>04c10f29b375ac1a134ad8d08bafaafdcad6b38bce0d28b5f4712c03bd29313a</t>
  </si>
  <si>
    <t>90ee9a867d5cfe09871280bcb1c5d42244638be3fa6e4eecf176151a75c3d95b</t>
  </si>
  <si>
    <t>3260b7e9878aad7aee61f1b51f840777d06340237b2b1df01e52a513f8e0ddc1</t>
  </si>
  <si>
    <t>3a7364f62cf1dffa739b942000e4889997057a919071c1e43253d0b9ad7ac012</t>
  </si>
  <si>
    <t>d15d3c1d115225e757204183714c2d24dc4889bf8f8ad55f085c328aeb20ba16</t>
  </si>
  <si>
    <t>310b55fcc6ccd1435621fe851486ddad1f528293bb4deb72a4feaa1852fc8333</t>
  </si>
  <si>
    <t>d7b303dc4c78ac183027bb064d2f16f68dd6e57d3ba25faf097affe43aa3cbe6</t>
  </si>
  <si>
    <t>80bbba98bb14a7ba5ef6ff4feaef41fc9b6c4293469711dda7fce3f214b38e08</t>
  </si>
  <si>
    <t>b948fcfca8e9a72853c8758039c9c7d5fd03eb0aa198581dd89a87f53746c3a9</t>
  </si>
  <si>
    <t>166c1c2a2119ec59ae052fa5ef0db4c15f992a7eba74f5ce7a2e629f87fa9c4a</t>
  </si>
  <si>
    <t>8d73f1e8c6cc660edfb09d3325cfef5cce8f4ce633b593a185ff47a5bc48833b</t>
  </si>
  <si>
    <t>09037130de33c2ba93a66ea0294645ea6c8ae6c38ada71a450a344e41477dff1</t>
  </si>
  <si>
    <t>ef5735da4e195aad0731aa595598b9d475d16ea342680008dcf237a511c3466b</t>
  </si>
  <si>
    <t>6b7aac6be42308f11245fe189d0057b7cdb73d69d5cce20b7626dfa4da0b1c4a</t>
  </si>
  <si>
    <t>015290ce2de250ae8dcbdb8b2af46b5333c1bc7e3679b4d5b8189aa234b5d9a8</t>
  </si>
  <si>
    <t>20f802376d5dd1b3ba5773fadc2c806a0be3e7b16907447611277fc93be602ca</t>
  </si>
  <si>
    <t>67051be238349c8aea7a0c5f6da015f4ba14d6eae0df704a8434c54e40a50798</t>
  </si>
  <si>
    <t>23bdfa15e042efe1735db7ab15ada1afecb1a39f1d515a4cd732efe93170db18</t>
  </si>
  <si>
    <t>59851141f6896fecf3b20eb9f7b5578ced5fc0a0528abd4776b6950bc23132a3</t>
  </si>
  <si>
    <t>0fadb28689baafb30ae3814087ef6f29db7f2dcea71e5057c881f002eb993267</t>
  </si>
  <si>
    <t>40b0a232e4879417f26e7ba81c169537018d9a436ddbf22643c8b56dfe973eb3</t>
  </si>
  <si>
    <t>9d8f146abdb678156d49f02d099fb0d73efd94e414d8c9113a9b06af9ebe4567</t>
  </si>
  <si>
    <t>54a961bb08b439fa42f4f94ba5ea6ee888a78a525b5bef90691139578d1fe6c3</t>
  </si>
  <si>
    <t>209dd9c1538346dd58a2058c6aec93707c14939e95ecdb2e81256afe43d8578a</t>
  </si>
  <si>
    <t>0185bba553eaa4347bf9697587773bd33a0daff6d02f6940178df5a01deb7a61</t>
  </si>
  <si>
    <t>9da7b3357d4f1094f38783f94a617a9dc8112162ae76db6a4ea71b4876d5722b</t>
  </si>
  <si>
    <t>30b1be9262644bc35efd96f17e17f8e6a2c6339523732fb24ec492f0b0f8b57e</t>
  </si>
  <si>
    <t>1197682af524ab1273a29279b25bd47c9601b30327b536ae86c9ca90ef0229d7</t>
  </si>
  <si>
    <t>b7830ecfa8e1328eac97b22f4f5f3a4af821ebe7bbf104cd201a7dabd5bda660</t>
  </si>
  <si>
    <t>18ceda4bfd05d5eb949b253d104e0283680de38cb9cd5e71411ee3c415c570d0</t>
  </si>
  <si>
    <t>5172a51078ec4ddb6be506b1b4a9e7cd0e66409ed8b0d4b3f3b649e544098192</t>
  </si>
  <si>
    <t>951e771090d0a7235f35c5b3abcd55561ab81f28fe81f1584f9e72762d86c7db</t>
  </si>
  <si>
    <t>70bbb12ec1a063e5f55e9fdb61cf24e88dc7ed1ba5cba01c34b79c1dcf1f290b</t>
  </si>
  <si>
    <t>5577253099964bd9247b28d148b45031cec0c8fe3c7cbcfb13aa70f101712e19</t>
  </si>
  <si>
    <t>b3de3954abf0d75b7b998d1d75a9afe6b56eb8b623461aef19f15d9836624f97</t>
  </si>
  <si>
    <t>ff578c5a14addec6632bf35cbff500b47241d6f48f23437b97833bc164a8ff2f</t>
  </si>
  <si>
    <t>d07f437a6c71c67b6b94ffaa63960ce6a25cea0604f437d848f1b2aa8da70466</t>
  </si>
  <si>
    <t>13b9d59065b38d74dc33e1308145b4b501a3bf91a363f5a591486181bca933ac</t>
  </si>
  <si>
    <t>fa1141c3895bbeffc5937c65dfe1d403178722bd9626107ec8bc4857ad5d05ee</t>
  </si>
  <si>
    <t>582fa3b9f27ad3ca777a496a0e3d1a6df542c7f8b5d0e93d9e514b9a841ad85a</t>
  </si>
  <si>
    <t>44516349854a1cf280e49ec6850c708bb718ff5c2a61f2b76a93aa88be39005a</t>
  </si>
  <si>
    <t>f0a0a50e098efea8bc030810de51030f3f1da351bb2c43c0908049c334d9ef9d</t>
  </si>
  <si>
    <t>b32bad618771768afad504d5123013b30dc7de9c958f5d359526ce1898e12cfc</t>
  </si>
  <si>
    <t>21a2a2d5d81eee8dec48d126901019069141bb21a8e01f8c21ae88a644ddd4ac</t>
  </si>
  <si>
    <t>d0c55a46c2556b86564b552e2e529b4497b32d005d7e95122d0ba390d683953d</t>
  </si>
  <si>
    <t>e62b1b566abb218daa18520fe7cb3fb54a4c7bf96685fc81f182ee6ff599d6e1</t>
  </si>
  <si>
    <t>fbe54f0fc60983748785e513fc50d67b24e9e8ed005ec44f3262e8d18d973c53</t>
  </si>
  <si>
    <t>58c6e9bd6be26f4d3ce56c5e5eba950f3837a3a63660b4c3ff2a5f770b34efc6</t>
  </si>
  <si>
    <t>a64650116a45a78b5bc47fe0559f39f05440a3c2bb4a7cdf1ff66918cb704efc</t>
  </si>
  <si>
    <t>7004fb704f262f18273c7ac267494fd32dc5387bb36e76799dc118e4657514d5</t>
  </si>
  <si>
    <t>16be65e2d67024d78215cd4798fd16dbdbceb6426264e46758651710943357ec</t>
  </si>
  <si>
    <t>71c161eea505e2302e845370e54eca8b3cd217f7461e3ec50afeb548c67f5afa</t>
  </si>
  <si>
    <t>b237ad0cda840fb98af938f3b5762a122eac4a2b5619ba135b43b3cfba9302c7</t>
  </si>
  <si>
    <t>4b8fcbd21f6d54c723119c1d795ab0f0ac9a18382f6b6e5910945474dbbe898d</t>
  </si>
  <si>
    <t>66667009eee277986376bb89fead97cb0fb61ef44bc932583bd770c3421d7756</t>
  </si>
  <si>
    <t>d6aad887e6e752ff9762a6c660a0cc72fdee0d6995f508ab862af171311231da</t>
  </si>
  <si>
    <t>91d196512745bc1ce37096811c2f997ba34f1c65df4dd909d3aa13af4418b59e</t>
  </si>
  <si>
    <t>9b2f0213b24f2bce7c05ad58d19209d580e92bb93011dfd4d7d929b08ea0665c</t>
  </si>
  <si>
    <t>917ac6fb659e64477a2b3fdaa615c6b446c3312d7d6943dc1675ac254fafc07f</t>
  </si>
  <si>
    <t>49a82cfdbc4d9025956f87a089e3328d8fca693cfe6c3115c20cb0ec30210fad</t>
  </si>
  <si>
    <t>df4d30c31ccf2d511b0f39450d3e385cedc23ef6f625ed895cb26773ca36ffc6</t>
  </si>
  <si>
    <t>e1979be06ed10f66759c06a4d5fbf67b483719b620ef139a45793ed2c5f8bcff</t>
  </si>
  <si>
    <t>fbe5916892c35d83b05c4e1a6b86fbc515ec0a9e76424b565afd695cea36f56a</t>
  </si>
  <si>
    <t>dd5664f0c32dd2105b18b17c53b9c982999d581fb46cf7219afe36eb33380fe0</t>
  </si>
  <si>
    <t>e7569581b1a05b367aa925a271215a50e178a977cfcdbcc30a620a563a4b99b4</t>
  </si>
  <si>
    <t>fc9a8c9e1dafcd77363bea98c6bc0c48425826f74341608cb23887f48edf0c13</t>
  </si>
  <si>
    <t>503d7832dc04f820e9f4ca124632befece9d214b970ee621c726abc7641f3d81</t>
  </si>
  <si>
    <t>5a32db20e83c2aa489fdbe55f7343add4f12d40e50f1551d82fb7816fbb758cd</t>
  </si>
  <si>
    <t>bb15eab87d4e7926fbd15ed27a98c9706825c70fb97eeb598467702f07a2d202</t>
  </si>
  <si>
    <t>f15094c1931573848a0176a1f0691d60d559e32b8fee895e02fbab2a365152fe</t>
  </si>
  <si>
    <t>6b0aa9a91caae477af7a7e9e407b6654d58744b422358e736d2651775544524d</t>
  </si>
  <si>
    <t>9b70a722cdce80b5f76b623418fe79009d63a8f9ed27ddee7a373721ecd864e7</t>
  </si>
  <si>
    <t>e7ea18504485e5f5dfc814813b06e1d600190543729fdefc0fd53e94f82524f0</t>
  </si>
  <si>
    <t>398d3d2f2c77bb1ee7b579672509bfa9a6bb3bf4f47f22858c849aff973a3ccc</t>
  </si>
  <si>
    <t>ec9c7d3905d1bcb119e2eb8542904f99e83bbbb95aeb9a4f3c298b6d67f47c1e</t>
  </si>
  <si>
    <t>7efc5dc8e72b791fde50c74784391ff8d576aa17d699ed6ae35fbf74c271299b</t>
  </si>
  <si>
    <t>17114b864ce625a72bd46bb6a484e81bff2199c6ebcdd5c0ba0e849218376921</t>
  </si>
  <si>
    <t>c47ea3adfdcc4cdfce883bc2d676f346a7bdddc6e2a0f79f26df34c6aee2cf82</t>
  </si>
  <si>
    <t>bf14a6a69a3de7e47fd7fa35bb79bd3c0688d60b994cd60efe72a06d70650c82</t>
  </si>
  <si>
    <t>b54a8a442c6c53c5f4eca2cedbe7a96075d7fed0d9053402c487075dc54e2750</t>
  </si>
  <si>
    <t>1b3004f5a8dfdc6ba90aa15e9264c35d9c895481bfefa9afa9026b60c5938b28</t>
  </si>
  <si>
    <t>817096588d5de4eb113a9be40604e815f9d75797d79a32326b36270e0448917e</t>
  </si>
  <si>
    <t>9bc59df3956c09063fd10d10a95d13323d6eee521f13b1c4cd10439d1c7e0ec9</t>
  </si>
  <si>
    <t>30d077dfe15bfde04d86cca7e37920fcb6a2e8b2bb66cdfaf9d8644bf449fb18</t>
  </si>
  <si>
    <t>19f09df1ab92e22dec691363ba33bf4272aafde5246e1432856a0a7a080409e4</t>
  </si>
  <si>
    <t>7d7f2a2dfc0bb4a7d3bfb890ca5ee2a16be0d8229c36ab76dba090c0421a420c</t>
  </si>
  <si>
    <t>ebb1009b2e6deee105db6a1b5e0758711cf63c8e0fe91e4bbff6e8bd5a75a481</t>
  </si>
  <si>
    <t>11c9a200e73dcc73211ccdf6655b4b927a3322c114a88f4cf16ce085e3574835</t>
  </si>
  <si>
    <t>50cc68610a8df2a9c2cb23e032b57e82f5457c893741a346516397234d8b245f</t>
  </si>
  <si>
    <t>578b44cf1cf6e7937a088b60c275176bb467b5d659fefa433fce198ddfbb3346</t>
  </si>
  <si>
    <t>3153080bf2cd98d9c72afac5ba8dc6ab0f71e2e2e3f328e6b10836ceb6986e9c</t>
  </si>
  <si>
    <t>a92c2a0f843cf8dfd126212e8115522b55cd6dc7ded43b0f1d028424b48500a0</t>
  </si>
  <si>
    <t>aa196371a3d4f92b1b97e6b10a8ac1b37a52692468a2e7b8eb53f029468527e9</t>
  </si>
  <si>
    <t>3bbcb7e842f0a074c60052e426737f79b19b047e345777060ca9bec4d74d748e</t>
  </si>
  <si>
    <t>8998c7a50cd2557a318c6845beb43daf910873e0816e7786d9c1564e72037f48</t>
  </si>
  <si>
    <t>cae27e1754148beceeb1993664101bdf7eaec5b560687b5c0022168c9e787c5f</t>
  </si>
  <si>
    <t>5e150c044395f2dd9272d182d1d454dd4deea87dea4aee6b9b3b5c29326489d3</t>
  </si>
  <si>
    <t>e758d3fae7e5c0301fbd6adf05fbd13510b37657db0bbffe00e813c4eb032135</t>
  </si>
  <si>
    <t>d87fdbb0536e7fad8d1e4d66b203a4b753dc6eea1b86db58d0d1200fde7d2c3f</t>
  </si>
  <si>
    <t>76bf7367aff1bab45cdc94d1fa9bfad2720ccd1aaa703317a6cacd9cbb1c68b4</t>
  </si>
  <si>
    <t>d4691d243362de56e1c1c48170422ab271baff56ad714eb718c4f029cecf69dc</t>
  </si>
  <si>
    <t>33fc1b4b37404c95e683c0b38b9bb07816d7c0051741fd49b56f3179e8a9f82b</t>
  </si>
  <si>
    <t>c7fdef254c1b277e52e00f93cebc7dcca0048eb0bf6267b509b670ae4da8b152</t>
  </si>
  <si>
    <t>6b41b705ccd743c10b5365da7962295c5e7b7ad85a0eaad6c07ab7b2b6965cdd</t>
  </si>
  <si>
    <t>72df6827dd89819b53c21375e57d7200837ce267dd6c048b6f35845349a356f8</t>
  </si>
  <si>
    <t>fadb019bdbdbdb2f425f288ffb4d299f64de26b57b2fdc617be22ff0e7b52309</t>
  </si>
  <si>
    <t>872b1eb7dbcc9e891b9b975faff7df166239de1f1098a59590278fcb8493b46d</t>
  </si>
  <si>
    <t>0bef5c00a0852bc3f02b4f4cd7b5e46e53cb4c66e0dfd00c55c52f35b628993e</t>
  </si>
  <si>
    <t>58cece3faabc7f424cc3753036325be1a7e12641f9abd637f0488f14554a6ed2</t>
  </si>
  <si>
    <t>a62900f3fefa899084eb6cb522cf5e8d203a17fdca818f51d9dceac74ac030d7</t>
  </si>
  <si>
    <t>597a46a5134575702821a999275898a748168e59a25b52c28c43842b6c4e04ea</t>
  </si>
  <si>
    <t>0f64088d3e1911e92e6ca8d3fad168cb06b65443e764153bde3c5199fb3accc2</t>
  </si>
  <si>
    <t>3f631f8ca53d84e648606ba88738b36c5d48d2659ba47d62697a1d8737414eca</t>
  </si>
  <si>
    <t>743f1e2f64803c7e2ed4e25db57d83020ce2531172c0c3a6466176d73d1ce2a8</t>
  </si>
  <si>
    <t>8f9eb5c578e8fe9c3e2a4f06ebbecae20017630a9038bc2bfbb25d080dc41f8f</t>
  </si>
  <si>
    <t>ffa401d34071cfee1c41f092a52b728ab0b5023e16d667e76c17d08e1ba0818b</t>
  </si>
  <si>
    <t>544700edff7ab2880fa32efdd2bb977066f4a6e41d2dc25315010f52eecc84ba</t>
  </si>
  <si>
    <t>e435db42a7ddafc66c73888c3b9312a353be31c6cf694b386566dfaee558c981</t>
  </si>
  <si>
    <t>014f1de1004331282162d126ddb2c1748531f9bf968663f6c65fbba4dcf0ef42</t>
  </si>
  <si>
    <t>111007acae146edc4439844196a5be094f980d13a4e490f141bca580d55deb16</t>
  </si>
  <si>
    <t>0dc049677026a36af63c30d53a496bc0f056bb3fcf60229c6f7f82574dcd550b</t>
  </si>
  <si>
    <t>04dbe5e6144c96965d41d07c3c979be4123015bd79ab1f7a3ea1d624699cc303</t>
  </si>
  <si>
    <t>51944d58d37166cbe5df27e5cdb963a2446a3830843c1b6fc97905bb4814a59c</t>
  </si>
  <si>
    <t>ed4422e43f3ad95321ad162edb45cd09ece4c9a5299943f1fabc511ee5100bdc</t>
  </si>
  <si>
    <t>887fb7a34b15d6b6c791258879cb191fbe77f789b64196a53ac7f40a416a4312</t>
  </si>
  <si>
    <t>cf8f47c0b4bf5ca3792293c544554f09e837b4c8b13341eed19634d9f22b4b02</t>
  </si>
  <si>
    <t>e06e49e36744ddd85ca30f767d9589611a44ac6660b7cea0be9b278dac83e549</t>
  </si>
  <si>
    <t>9e71ca3e998cde6250e2177acd1cd989270e2f6f313a440575ba5cb78d78b7f4</t>
  </si>
  <si>
    <t>68a6fe97b52e25bb7235c17a1045403ce765f9824702a156b3c0ef6f0d824e5b</t>
  </si>
  <si>
    <t>d0dab46aff4b1707958da80e70c95a8f94480c38fd605053c025154e7ae71ab0</t>
  </si>
  <si>
    <t>f8086d95d0473bd6626bc337c61c1eaace1cdc00251d1aef0a91bcea547b8d60</t>
  </si>
  <si>
    <t>fe46f50b39525445fdcdbcb57090d16537bc8e4ba84521c3078d86c20961acae</t>
  </si>
  <si>
    <t>4f540563e71465f72807dc90e5655f3d385b610b310d7ad9a115d9c6084f7424</t>
  </si>
  <si>
    <t>18046fb559c9e198d3f6dc5682981d60a9c1b40b03a4bf4bbb01234a75a07fec</t>
  </si>
  <si>
    <t>9ae63ed4d00852d96045d481ba89993250d6e87db7eb73f1f3dd1bee60bd74cc</t>
  </si>
  <si>
    <t>83368e428bc95962782612cdab6fa1f2f51fa8b1862eabe8e208c0ad87b07ea7</t>
  </si>
  <si>
    <t>605d1f3a3e233cb1bf124b10187f0aaf5226e8ee95972201cb785b1166ce0aac</t>
  </si>
  <si>
    <t>7a5d5a5af42e64a3f77db7b4939a7d5dd8721f4e498afe02272283dc020497e4</t>
  </si>
  <si>
    <t>2ab7a423505e81ab7a884f530b70a3808f088ae41babaf1a72d79c612aa78fc2</t>
  </si>
  <si>
    <t>0ed543ca1e5d1b56723860241e67bfa0fe9af244fc8367867aadbb7b21d9244e</t>
  </si>
  <si>
    <t>10d21e806300e57690046ae82aea76972e2705004ccea438041f4e6b9952d73e</t>
  </si>
  <si>
    <t>4e69536c72f40d10697e8ed5319d131f7c88d76c16ec8a6f395fc04e9143c846</t>
  </si>
  <si>
    <t>d9fc943d8f7f3206acde95b0e54754191e46a6cb5763de37fe40f2c66c409309</t>
  </si>
  <si>
    <t>5ee0079f96b1a209318ee91be9c72b56dc328d0aef440a75e59d5bbf9a2750ca</t>
  </si>
  <si>
    <t>e2530477ccfe9cdcfd80ef2987320120c5e751b449c71c6dbf6e2a5f7d82d5ae</t>
  </si>
  <si>
    <t>ee1efe6557947296350cb833a99b1a3b2cdf8eb95a11b99d3dd257b71cb41088</t>
  </si>
  <si>
    <t>d7045e7ddfd84ad821c01ebbbb7fe22d86e4caa29dc17c7f032d60d38421dca4</t>
  </si>
  <si>
    <t>652f52e8c2e55c737fd49ec87090df5f04d1bf750c5130c825fe8ec3bb0a61fd</t>
  </si>
  <si>
    <t>95416f00a880b0261cedeeb1e1218c764361a95e027f384060cf45096a2b2d8d</t>
  </si>
  <si>
    <t>caec5d875eb45c7e150bd81cdafce2453990cd331badc954662ca8fbcc53edc6</t>
  </si>
  <si>
    <t>e9bc088b59496761fac8390c78260ed3649b132f6e65b38f563cc639796b0289</t>
  </si>
  <si>
    <t>af466d013104124bc12d32bb9c406ed400a94492bf87158e7a7ccbeba8697d87</t>
  </si>
  <si>
    <t>44d06664fac7e3d5cf4374498d45ccd1d04b9fb54dbefd4196dd0267882b026c</t>
  </si>
  <si>
    <t>814e583b0e7f7684a935b1c81c37edf6687f1863bed96d14d4f3c1fcb41eed9e</t>
  </si>
  <si>
    <t>090e7cf5eeac043f99aa01d6742553c8998489746f7c8ade6371749e420d5cd8</t>
  </si>
  <si>
    <t>ed144bc703745b6c04d23a89c302fe82494d6f0759df663198224b9e46d0ea95</t>
  </si>
  <si>
    <t>3e6d0e4dc99ee5b08c2cfae5c51bb9d24cb2a37946dc56bb0f83af9fbf46ef3a</t>
  </si>
  <si>
    <t>b4c69d1760e63746e2e046e90bcd829cb76bd8c7aa2f5a33673d026b0e4d6b55</t>
  </si>
  <si>
    <t>5743e1d822d5d42f57f7b99d5ee02f42b0f12f4bb0e74379063004298f800d1a</t>
  </si>
  <si>
    <t>8c070ad33031af94c81f03641d93f197e23798330845b8f8ac1fda8a2e1daeac</t>
  </si>
  <si>
    <t>9a1e650b297b23d7c37758e4c5d6339d1f6deb07966da57d37160de0831d76d8</t>
  </si>
  <si>
    <t>18ad20b01682a873e67548da3c2b199b442e39afc980528c7a670112ead478b1</t>
  </si>
  <si>
    <t>e1d0e1832b457cd952dbd68238594bf16ed489ce129392b96fd54b2d65949831</t>
  </si>
  <si>
    <t>10b5ab0294996aeffe9f6cfa5be45f047398068c044a6deec3ce97d2bcf2acd3</t>
  </si>
  <si>
    <t>fc175ffef019333f518e9347f3f4fa00c7120876090be6e418cb3ca8248c72cf</t>
  </si>
  <si>
    <t>7fd37a69d8eec534e3709453fe7a42bb871870e565e55ff0aee567bd3776b36c</t>
  </si>
  <si>
    <t>73f6fbf47886b39ecfceaee2e6ae8bb0e63387b99b209c37ebad69b91d17c4e9</t>
  </si>
  <si>
    <t>fabc19a9242aa6c16d9632dcd9f938aa8d65a17927b769f31fbfbb6e7a39f030</t>
  </si>
  <si>
    <t>c31c0c5b632df5cdfb8e17d1470e07c4a11fbd70b82a39b0c870ffcdddf4bc0f</t>
  </si>
  <si>
    <t>19ff340d99c07f00ba17e2cd650d4183bc2fa17c230d292399fe512eab48a292</t>
  </si>
  <si>
    <t>6e216916a5e82a6075f0c207a7c72506b16e2f1a87e8ac22cbdcab2e2547e5bf</t>
  </si>
  <si>
    <t>08862b90b388dfd863b569eb8bcb7228471e3c6f903d989507246f41cd37976c</t>
  </si>
  <si>
    <t>71c6c458db87b064f6a377478de4f4009bdfa8cfff5cdcf4f832b406304178e3</t>
  </si>
  <si>
    <t>b4d85abf63f1edf20598a56b6f20345608c9ec75eb44872495fe86dc8e6a7ab4</t>
  </si>
  <si>
    <t>d4e2189857178fdad02b4e0617d21c27cab2737de3681469abfedd1a6d22f1b7</t>
  </si>
  <si>
    <t>3c5917f4c5d16b4e3588b774182e5bd3183cdb1b5f1eb1355586ba62ba9a6568</t>
  </si>
  <si>
    <t>dd870c30cf03b1fd08ed684cbfae58d6b02d7207fea2ccb38ecca047c98ddd39</t>
  </si>
  <si>
    <t>573970ee4d56e01b1a853d039251413919e4270ad0d162604231d16260e4b4b3</t>
  </si>
  <si>
    <t>293cbd6e5920e1ad1b6f13b833b129f83c013156766640ab571317820f1c670e</t>
  </si>
  <si>
    <t>15d61d990b310ca88763eb94242354e21a3ca18ce63c4ba9caa3d55898967fb8</t>
  </si>
  <si>
    <t>46c58eaa1d9867577f79475b1fc7c64168b889d30b7d03b384477203a7aa8a88</t>
  </si>
  <si>
    <t>2ea66ecc56a52b5921ae24b0cc8c1b4c025a266b8dd878147a500d37b0b094ec</t>
  </si>
  <si>
    <t>ad405b84c4884b1acf7a3967270dfc8f25df1e51434535a8756656cb058bf0ef</t>
  </si>
  <si>
    <t>5fb619eb5ed26de471f136e552676751f666cdcf16019e185ae8ce493592f18f</t>
  </si>
  <si>
    <t>763e87f40151ac3d0041f8f4f55fb6eb7a5ff1223c5167923fe7fa2f111966d8</t>
  </si>
  <si>
    <t>010691a554a3730d2142e9111afffc7aab251bedadeb6b37cb3edb928762d045</t>
  </si>
  <si>
    <t>1f8f5884dd9838fede48f334f22a8590cfcaa50ecc532a531d5d4b8e5ec1103f</t>
  </si>
  <si>
    <t>89387cfea27d887cb36174cc7f95e4d06f599d930cd7d1ab138fea62e13e9676</t>
  </si>
  <si>
    <t>ade2a83275a9db695f25781b0c23230be83ce3f193d7780310866fc375dbda05</t>
  </si>
  <si>
    <t>57246762b775c0a026cd381a4aa9909100b0db079921ac221a7f0bda0b0dae0d</t>
  </si>
  <si>
    <t>1ce6a7e67048c2ceb8427cf325bb6d5020862a8ac29f1c63994456ca9a161643</t>
  </si>
  <si>
    <t>65534399e3b80e14cddf36cf7a73b7fe70aa3e91ed7c26d2378028ee5b0495a6</t>
  </si>
  <si>
    <t>5cbdf09e68360700cc9b8c12175874dff5776ed628bb18888d930a231aa577ec</t>
  </si>
  <si>
    <t>fe206ab44dbf75e790950d699a49fc2f1c0ee02df803412dfaf87edee05ec5a2</t>
  </si>
  <si>
    <t>f73170e3eaa4a48b2db5e1398e9e9957f05fd8189ecd783ccd65895269916123</t>
  </si>
  <si>
    <t>17ac1d137f47d36ca4c1dbfd1321cbfabc80a7e2245809fe14553734ed212db2</t>
  </si>
  <si>
    <t>f82f8064ef9e92fb5f7b282478f034bf4dfea8a13bedefc72587f08cd7d71742</t>
  </si>
  <si>
    <t>de537e6da04ffcef862cf28add0063f0bc09aaadf31f558d605f72a55be33ff0</t>
  </si>
  <si>
    <t>SAN PEDRO POCHUTLA</t>
  </si>
  <si>
    <t>cc62581f536bd60229e9943de205431bb3eb4cc62cf9226fd304e907603c4764</t>
  </si>
  <si>
    <t>950fe3b4ff3748bacfad9c5b2e21e59bdc7d2b77f0448dde28c04b7c34659c20</t>
  </si>
  <si>
    <t>ca63c744a7f9af69eaee35a84005deafc9df9aa02a838f90d3017d1b42d7d1fa</t>
  </si>
  <si>
    <t>38cb3bf3ddae5a8dcc06064dfcdda012fd30da3b987a93501cea372056d680bb</t>
  </si>
  <si>
    <t>bff3e48b8f0a7516a67d5b22cf189614ad177313d3daf5f096ee393faabf7cc3</t>
  </si>
  <si>
    <t>2cdb778fe53c8b7a5132d2012d0b8d5084f2b74b4e14b3c676941e30b653157e</t>
  </si>
  <si>
    <t>eac2be8e9dc7f2b51619fa318b70cc8bebd64a8781b3cc788caa3683734786b2</t>
  </si>
  <si>
    <t>1f8af3196501c16cc26247974b2c597195e720ba488782758eda50cbce131ad4</t>
  </si>
  <si>
    <t>5cfcd7c6d37f8bb7d79833c07c9104159fb3878b3a1e3559200554745c716349</t>
  </si>
  <si>
    <t>aa1c0c291d699011b3c08210e48f7b5e45dc3c94c974ce433a69e22292e3e944</t>
  </si>
  <si>
    <t>94adcf10f74e02ebdc29744f878101649696adecff3fd80d675e0a8a85aa1111</t>
  </si>
  <si>
    <t>4be280b4b909cfca26f897db25219b0fcc1ae04f4a0414c31429161d3aaf61e0</t>
  </si>
  <si>
    <t>f8592d36294d156673f23fc0f441ed3da05f542fb02a82ff72cdd6234ceb7c25</t>
  </si>
  <si>
    <t>8e3bc65acdec52852a912739730582ec38a11e96c72555b42c83560b1e19c366</t>
  </si>
  <si>
    <t>c65ec68199d2a2516238b10ff938e8f5cedf59e03734320837b35e2b706712c1</t>
  </si>
  <si>
    <t>42ebe5079d857d95d9b1e4c27b28fdbb42eabc1a9a6cef3d7e259eea6428b14a</t>
  </si>
  <si>
    <t>59683afb026516b27969fd7cb3f26ed6f0ce421f206233aacad9d46099544353</t>
  </si>
  <si>
    <t>22cff85291699429585f8fef44ab97e72dc6e72dd08535cffc767a1ead8fbb7e</t>
  </si>
  <si>
    <t>fd8c3c0882734bcd3ade6f66a63b1197b2316020ce5aedda7210c6589c4f828e</t>
  </si>
  <si>
    <t>4fe0cb5d76d74075f74e8c751769b861a4e46af8581e07dc29f0c1a096cd546b</t>
  </si>
  <si>
    <t>86976022f84d4c77ca288812b938387e1e78833e6d562745375159a81d18bcf8</t>
  </si>
  <si>
    <t>2c51efc5fb407e7dadbd8e6ea7f1f05facd7c64889960ca4b4278fc7e8657824</t>
  </si>
  <si>
    <t>6c95aebf7a676665639996963f719c72f48f8df958a3a4316b5253f1791754f3</t>
  </si>
  <si>
    <t>734e56c283ee4334071d66ff2671db363ed82ba9b61b56c27f3302eb699782f4</t>
  </si>
  <si>
    <t>57d659faaddb01610273649cddc5699fd58a26ee62c3f3859a2ee2b909cfb479</t>
  </si>
  <si>
    <t>137a71337b4f7b6e5e2b9dcaa8828e8906d41cddc25e13251be312630e36dd03</t>
  </si>
  <si>
    <t>58b7e2650e97c5b6a16e76750aea413afa76f037f8ead0fa193ccaa8c5085f97</t>
  </si>
  <si>
    <t>ecd30039a0c43a8d2b258815701e18151cf6c19a350bdc25e3d5d3c1d9231095</t>
  </si>
  <si>
    <t>c34cb88172bde661a95251712ec8299fe0c4f698c8e0107ddf965a102fd4c892</t>
  </si>
  <si>
    <t>c7c63c9a799fc02b8df0e2ff1cb5f425e88d11802a8468dff7d29379f809911c</t>
  </si>
  <si>
    <t>93db085520b2ee21a6716492bbd487f86bd47b39e37c2a152fa5abdf5a514239</t>
  </si>
  <si>
    <t>879cefa955dd99eda1e7fb80351e427597adc0aed0da248a7c22274ef7f5026f</t>
  </si>
  <si>
    <t>023ad72ba13147a5804ec3cff6ee855a77028b19fcdf115c923d3a3d95c21d36</t>
  </si>
  <si>
    <t>7f40e77064af0e042c303755684341ad89542332e755041a778d1a730b5128c8</t>
  </si>
  <si>
    <t>c58b47966ba30717f7946315b32924633167b0b3aa77130b14a7f5e30f4d0818</t>
  </si>
  <si>
    <t>757a81d2ccedd14f0977b1479eee025ed5ec65c77b6f9eacb6a8674cd8858b9f</t>
  </si>
  <si>
    <t>def0d808330d368ddd1a27b12902e996d90967f3f80ffa1bd140000af746d3e0</t>
  </si>
  <si>
    <t>8a2375ccc5c4d38a601e581b49566192c32ac0f9738c0c2d9c6e84a0edb8e893</t>
  </si>
  <si>
    <t>bed9fa265c7a573ac846ffa3cd5b926781ea3884b1a26ce9a3563510b38a9283</t>
  </si>
  <si>
    <t>b4c9a08e3a2c9f7785cce3e57eda073bcb95a0208ce971a18178c5eba15ecafc</t>
  </si>
  <si>
    <t>c4286075c46987e30f2f5a581584ab42668720784499dd46361654c776a5a109</t>
  </si>
  <si>
    <t>14e0225e6c007478e8227ef3fb7b6cf12ca7bbba7da3ff8aee273315f0f7a7b1</t>
  </si>
  <si>
    <t>8f1d5d777e6eb1f1a8cfc8d1e0710082979fc5c1be1dc10896b7b7d7a4d3169c</t>
  </si>
  <si>
    <t>f7682eebf45d6a15fb6a57b97b23a33ef7f58e4a6dc5f963c5fe5271240025bc</t>
  </si>
  <si>
    <t>544d5744ae0e52c1732dfa8172441354bd3d8970836e12532609959fcb24617e</t>
  </si>
  <si>
    <t>e6e0c89f86f3b057840257e0aa14dad01caf08a53880478640b9208f66f2ebd7</t>
  </si>
  <si>
    <t>645715fe803547de4750ec75e84290ca027da7492cb5d9b13b756e0e0933c4a2</t>
  </si>
  <si>
    <t>83a9dad674c420eaeec7120b08f1ea58cb76166d9ea5554f9ff2f24353326638</t>
  </si>
  <si>
    <t>8eb5665ad506e795f11b46ff6e6d111b41ed33b4db1955cbb9ee3eda2232f2d6</t>
  </si>
  <si>
    <t>dc061c39d0536c392c4049ad9044c712264f4d3557b3b3a6406bf660368cb253</t>
  </si>
  <si>
    <t>887786ef2253c15aa70bdc67af2a6564b2b2f1a4e7dfd79b912e29a12b6491eb</t>
  </si>
  <si>
    <t>d09906fd3e43be23c0dad18f2907305bb5938de0aa285b5e904eb382cf393c74</t>
  </si>
  <si>
    <t>288ae4c37db5eed706d80f13e671c4ea0a7a2922659d1975bab724d5919ff2d1</t>
  </si>
  <si>
    <t>7d8d27b7a120fd4048e0f7da78acb8354df1654397ffb723ad59febc802e5cb8</t>
  </si>
  <si>
    <t>9a1ab16c8d617b83f6a594ce11a3e6472e5597397e30e6fa15f4eef27d00c416</t>
  </si>
  <si>
    <t>776cb213585afa4e7ffe5ce34d90b9c3367ecc4a640ff309022e83b6219e0d67</t>
  </si>
  <si>
    <t>34be67204c0ac666a93f9639f2ce6868b2a884b47be43171b802a6418fd6ad03</t>
  </si>
  <si>
    <t>4febd09bfa1317fc1820730ee6d26b32c159715426cca53295a8b49af0c10ac3</t>
  </si>
  <si>
    <t>83b1b1c616d0e259d55f7bbb5bdfb9dab610acfddf0b5a830b8fd2244fc3dc51</t>
  </si>
  <si>
    <t>998281c833b73d69de16fc729e60ba23fdf50f0d8c8faa47aaa85e9c52302804</t>
  </si>
  <si>
    <t>7e99d0a5e2a7d9ddc03b3f87ed71350cd7377921d63a75216b44b7a68de9a46d</t>
  </si>
  <si>
    <t>b2a66f696f5c852ab763726fd7a94f4f01050da76f686898d3ab8399647c89e2</t>
  </si>
  <si>
    <t>afcfcc4739027183208979265402ff720e2b5e8c249bf59161b6ec69129f1459</t>
  </si>
  <si>
    <t>0155e2e26f263cbf82ad1771198defa0277aff4ccffc5721087acff91e035e63</t>
  </si>
  <si>
    <t>59abcbcf2c492d21827f5de2ce28960fd0f6d19d341fe3f55209db4a5fea2b40</t>
  </si>
  <si>
    <t>cb82398b3927f9cf07de752a9fec8e2530b2905973df7c92a5c2242739f0027f</t>
  </si>
  <si>
    <t>72a33ab928a8a214e869d9db9488f918282afd24531dbf73c81670139f0cd548</t>
  </si>
  <si>
    <t>814af5f5f4e4cbfec319ca3380abd4a69309444066801ed0015702fcf9c11949</t>
  </si>
  <si>
    <t>a142789114783b929a3017f8418be3d5452432c656b3085dd8602fc129d00a31</t>
  </si>
  <si>
    <t>f70ecd8bff071295ad3fac8b2be7982386c1f8513f8720621f4809f507c2cf88</t>
  </si>
  <si>
    <t>2186fe1659f333083b511965759a8d79a5b6fe2a3a5007818acf91b76cc0be7b</t>
  </si>
  <si>
    <t>e954f9d6766242ff94919eb055270df59283d704aa943ada8c530e528614981e</t>
  </si>
  <si>
    <t>39d21139f4abc64053711cc9e078548700e5fd983633d7cc8005b5fb24396019</t>
  </si>
  <si>
    <t>2a72368b9fb7663d8b5e7464031944a0a93c9a99f035bb1c096acc930368783b</t>
  </si>
  <si>
    <t>2d8af9343804503e049958b17dcfa68bc604bb5219daf785c3dfdea238e17624</t>
  </si>
  <si>
    <t>6e2ace2043288b267eeb2680ae5729f0fb3f60c73b66bb2ce68301ea1f5ea655</t>
  </si>
  <si>
    <t>32ce0ebe27e3d4eb28fca8327a4eb5881fe07f31fda51124b7f99d8f19d72e4a</t>
  </si>
  <si>
    <t>b3787f6c54bb19566c251564c749792f84c68356c8928ab63d678c9df445df5d</t>
  </si>
  <si>
    <t>2cc20e1b64d4371e99d95f907ca80152f7f6c08b46214c02f849218391fd2c94</t>
  </si>
  <si>
    <t>3c5944bae7ad2103e5045f927bcae9fda363eaa7c1fdbbfa77454438c0565c93</t>
  </si>
  <si>
    <t>6f3b91507158fe27df379ac8c7f5df1f325356f8a0a1c277b8baec7c7b9970ea</t>
  </si>
  <si>
    <t>645403bfaf3e27f43cad5ed11cf6c7ec90e3dc53ab90233d3b4435d569b146aa</t>
  </si>
  <si>
    <t>ef35106ab190075597b1edce1b4e6f01bfa50786424343a5ff3f01642bce8734</t>
  </si>
  <si>
    <t>32acd437d124a2e2df8fb70657c9f4ed629322df855c3cad8816b5628ade62bd</t>
  </si>
  <si>
    <t>eeecce5dece4c336ee73d98461c17619f328526849cbfdf2821a1f9a9b7c9f5e</t>
  </si>
  <si>
    <t>3ba043f589d55031e76aa268525d7a79b8ca64153abeac90a4538dfe3904371c</t>
  </si>
  <si>
    <t>6f6eea711f4b9319d5506345e053eedd41b90126426aefad347e1d3b8fefc662</t>
  </si>
  <si>
    <t>c4e0f86946fa5b755210d6724b99a6e808335e98564ab08a88a7853a83e0f833</t>
  </si>
  <si>
    <t>b34cd441a12266dac8f492c8b4345dbc4e6dc2dabf7ad4f6557d6ad4cb44510c</t>
  </si>
  <si>
    <t>1b329c3b19efb9c35874b162beef6aae4a7f44463352ba733efd5766736c06fd</t>
  </si>
  <si>
    <t>4174a861ccd49028074d6a8ac4f7a41fb6255bd4d084686c94146b08624b1607</t>
  </si>
  <si>
    <t>cbb47a1141c70551f4d29c869b806fc625f585f31ca59563b26ffcdbe12995da</t>
  </si>
  <si>
    <t>54d2a92931bc96864fbe8a665007bc9d9610da88428f435bb4ac62e18282b5f2</t>
  </si>
  <si>
    <t>03d416f480e955514918c0562e2c9c0f88d31e98f60e4e2da1040d522a43ec22</t>
  </si>
  <si>
    <t>1aac9cef24046736fa1e52c5dd38ebe61a58ec71cdb5ce55978aa5b8c10d7c0a</t>
  </si>
  <si>
    <t>c7e14658fa2d1cfb2ca5b5946f2e250056ff5b2d7f3fd34f769c643eae8656e3</t>
  </si>
  <si>
    <t>6ca02b72df0170acac2c0690bbe1ebc1a43bbe0eaeee3fc69df55d5380dc45bf</t>
  </si>
  <si>
    <t>f0214e36f762b90f9a8ee534f3641b7a261659c80ecffe95f9c99f81601af675</t>
  </si>
  <si>
    <t>d38fcfd58ba45b35bf97f74aa9e9697caf115f59a08ce7e1b22f5f71bef4e9e9</t>
  </si>
  <si>
    <t>d23c97b61634e4575d26b78bca391ed6865284ed94e437abaae8ee864a551371</t>
  </si>
  <si>
    <t>38afb48f1f514546bdf1d0ed1d2e3a99f8158527f13ba84b38b96f296137ace4</t>
  </si>
  <si>
    <t>16aa808279ffcee6b955feb9ae135cf8c4a3b3fd3cfce6b11b037dcab8dd6bb4</t>
  </si>
  <si>
    <t>e13462ca782b42b5dd1258041944ae07051ad09eb40f475ac90f88893f5e9a67</t>
  </si>
  <si>
    <t>8b7bb951f2b3cb881e25115d723b4ad7c432a30c3c6d4f58aa52c87b30959214</t>
  </si>
  <si>
    <t>b4c7146925b939a2c74e4a1466f059ff43a1f4f18813454cb0f5fd85289d51a4</t>
  </si>
  <si>
    <t>e2fc160eda97c15f033c9e2dec305eb59b1072a41b198cc7e4c764873a399f7c</t>
  </si>
  <si>
    <t>b3e8a195d8643d7db5ab38da9c9ff8bcfdfa4379d09318179722b0f1c286c914</t>
  </si>
  <si>
    <t>18863c2bbc72c4b79e1a351c0e140eeecbced72204cf84fca5e97ef775ba9bd8</t>
  </si>
  <si>
    <t>8f0f77f031c73e1bb955820916709f3679ddadd2c8401e6b753d61b1bd570318</t>
  </si>
  <si>
    <t>837add54e14901c27cc7973d31ca39d7820785298ebfdd5b4268aa3157392169</t>
  </si>
  <si>
    <t>478cfd0af5fc7031871cff6702375c6271184c0bfe9fc889f234d3d6bf9d6eba</t>
  </si>
  <si>
    <t>9ac7e16081d9e8edb82bf8c359400e9b9013e3bd383e25d4d1876d7350470921</t>
  </si>
  <si>
    <t>5af7621b7810a1833a549c658644083df1817401816f29e50bb2fcabe83ae307</t>
  </si>
  <si>
    <t>2ef1887456d33dcf009c88c0bddf1226b5921d42a3007081697e900ccf4f1e6f</t>
  </si>
  <si>
    <t>57491152e32b40f0639aa66e0c4fe3c033da8da787c725c509e08a5a3d3edf2d</t>
  </si>
  <si>
    <t>6dd75942ca6066a6554efae8fcbde977ac808bfe5fe77b10907a486a0acc094e</t>
  </si>
  <si>
    <t>5d76df13ab67744c2e07f5473fc2b52ae2842f58cf63179ade76b35ad1198246</t>
  </si>
  <si>
    <t>88748d69f227595b4dce812aa1e2621d6015f7a0e9a5e672cbce2cd1a4bde3f3</t>
  </si>
  <si>
    <t>e20a57a7cfa04eaae683a2d00183fa8427559994257984533a1551d8bf10d8a7</t>
  </si>
  <si>
    <t>54160ca782a62011cc1c7962abfc1418658913a30179d4499d4cc0f0458ca23f</t>
  </si>
  <si>
    <t>32c6c57526146ea3c811802acfb890c83b5c3df7c5e9eb692ac2aeb3cd32dae1</t>
  </si>
  <si>
    <t>ecbcea8b2b57320d20e49c5b9e1469ca900b657ce64abb721808c7c11b527424</t>
  </si>
  <si>
    <t>06abb7473dc8f4aff6d1a6ad1e63b47dc2154a0f922652997808eec47cc62bab</t>
  </si>
  <si>
    <t>b8dda0b468a8c4034b0a8feccdff1a5e7a3c397e7ed02fae28469a2bb419ad68</t>
  </si>
  <si>
    <t>61b79f564b1e8a6925101e721a1563e1ecfd184193cf200aae49efb044030941</t>
  </si>
  <si>
    <t>5213aafc7004f9e2f20a75bd1c1cd6bc51a1f97d65925fc23eb5de9cf478ad20</t>
  </si>
  <si>
    <t>07485f3f8cd874d149041daa4cc4a4937e2ecdfb2dac047400334ba06d333f20</t>
  </si>
  <si>
    <t>aea7d018a46f343eccf9c3160a2b93af3c32fd869504a5d4815d700fd7580d32</t>
  </si>
  <si>
    <t>f17b890453f4ed4193bd9c5b01a40466b713c1f5bcc8ac7318ce6512e663c0e5</t>
  </si>
  <si>
    <t>d3b33108f13880aa56d69cf77e035b70f229564df2c69f15754e2dbdee139d51</t>
  </si>
  <si>
    <t>f6e211fbb0b2715f65cde4c64a8358d25774330eb539cd952a5ce0f101e29b35</t>
  </si>
  <si>
    <t>17a5154576e355196084fcb246914c18066defe5f8071b8ca15eb19aa2226ea1</t>
  </si>
  <si>
    <t>adfa034a5b9f39a67ee8851000afb3041e455f582e5d8199d1daa74e08835627</t>
  </si>
  <si>
    <t>7e39e237d6271d45b579c63c2873db296fc107347fa9829d6c00c6eb36da5ebd</t>
  </si>
  <si>
    <t>6e8881ffcd7b63d96e50cf92685dfb6db3d09fbfe00458c1ccac93f1fc3f54b0</t>
  </si>
  <si>
    <t>802f6a26b2dc769b0884b563a774592960e023aef24b16692df44aaa512cb070</t>
  </si>
  <si>
    <t>5846ba52ae9351f1438d713c9ea0295ed30d2c6f70767f32116a86068c4e26cf</t>
  </si>
  <si>
    <t>3b642a80bd19b7da8ff78f4ec8dc8da0582c67e832facbdfe77304397fbb5255</t>
  </si>
  <si>
    <t>2d5b0f33730bfd1705fb75c964ea096541642306ed40396ba85f3acb4c3c4626</t>
  </si>
  <si>
    <t>fe1176eba1976f77f6410cc2710d11376a5252bc47fc6ae10ea57c576558b240</t>
  </si>
  <si>
    <t>5725fdfc973922fb2d679cc655cd97509ade075de9d68e04fff6174ac2cf7013</t>
  </si>
  <si>
    <t>147794c76e3937ee596e29656b960ccd7ff96dcf4887454989164df4dc526ed3</t>
  </si>
  <si>
    <t>85069fa10c5add1c8e157eeaeb9d28a951f987a6c0e80da45e1861c3513c4ab4</t>
  </si>
  <si>
    <t>15fd3144a57ba7546c3bdfd6892acc1a11496ee2c3d30a3d61a3e37f3cdd3ec2</t>
  </si>
  <si>
    <t>972199b4a443d8cf929e6322ab80d0f53fed5bf2effad4108a13b1fbce2e0b0b</t>
  </si>
  <si>
    <t>1ea76e28126cd32f6a34d29f39ceb4e20eb37e73c3f18ea67f490cb54237dbaf</t>
  </si>
  <si>
    <t>af58573004544127783c8773f5091dd281ba3eccb8e9027f4a4cd35da300963a</t>
  </si>
  <si>
    <t>e03fb3dade73d129b6443f2a37e07c6e2441d167d918bb2c84a0186665c79e1e</t>
  </si>
  <si>
    <t>b134d75f9dd2cff6ef477f0b4f11152eaf1b8021b30dbe4f4b91bc184e4ff28a</t>
  </si>
  <si>
    <t>08fff651e52477ebce7545e6f73d7112a335f603835251a1a02a7d6670acc5e5</t>
  </si>
  <si>
    <t>a91aa47330447519ca94c074f82f0caa49fe241b485d2028c02066ab9bb230eb</t>
  </si>
  <si>
    <t>6609e2a032ee004a299362dbd124eb8066befd5f51eb50130149c6e95de2478a</t>
  </si>
  <si>
    <t>a17de22325fe7912d12db0da40ceeb557194f7791bce10113ad5f1524dce5db8</t>
  </si>
  <si>
    <t>52ce9eff752bd7a46f96f0516169cfdca30b9d688fa8a2682611d10bbdaa1e59</t>
  </si>
  <si>
    <t>2cd4d77da124587a9b9f2a027bdf0e43d9e1de81d82e34e2158a41170776e41a</t>
  </si>
  <si>
    <t>3af63ad95a1214edc84941e7833f836218dbeb79d97dce1b13dee2801ec827eb</t>
  </si>
  <si>
    <t>e340c84aaf4cfa8e3836de842eb46f7d47c7c54e3a1d3ce204c3bd21dcafcc2a</t>
  </si>
  <si>
    <t>1b43c4f726b168bc055affaf0e4ca8d01820b4b3e9e43f45e65fae2d6823ec0f</t>
  </si>
  <si>
    <t>11ca2e76acd229aa2b142156bbe0e0f85c8d95b3b71ae639c4460e5b02c54c03</t>
  </si>
  <si>
    <t>c7e78d076a4bae53f84653670b6d8614637c56771470653f26ca18264bad2e67</t>
  </si>
  <si>
    <t>89bf14a40e32d72d1b67136f860d674ae216501f36c60a0a05805a7eef04c428</t>
  </si>
  <si>
    <t>81fed39a5df328c31ee5489e3b9c945e9f507186ff4063de216523173f63d918</t>
  </si>
  <si>
    <t>c4b4a88350f1c8e15e65d54d0c99d1665cc506c24d042656cabac77b153f1373</t>
  </si>
  <si>
    <t>169efc5910b604b5c11794bcca47f814c57afbd5d33b87e24d50ab0864768721</t>
  </si>
  <si>
    <t>805632346fc6a65fb40085ba4d9cade9cf261d4e1e58abbf241f2a553eacdada</t>
  </si>
  <si>
    <t>f2c4244adf40940aa953efbd6d31b5afc1155ab5d6fda904281683463bff0e74</t>
  </si>
  <si>
    <t>a165e304ff280ebf0fd361cd19e76b3835a5ee154654c3d236f6b81e1140ade0</t>
  </si>
  <si>
    <t>801e6970c4cb69887fd0ef8994cd6410fc77024a542972822eefdb4b0cdaabe0</t>
  </si>
  <si>
    <t>70e7ff2b4c23ad438dcac9411536e26b5223be5b0bbbd6a243e7f9881d939859</t>
  </si>
  <si>
    <t>0ddad0307a86448294ff0c2046fa71c8747f013701f9f01543f19a6aa7996b37</t>
  </si>
  <si>
    <t>11df0e1a99abe40c3f0eaecc6f9dcbfcc77dd9ba3bc645894e90ac99ebede7ea</t>
  </si>
  <si>
    <t>f67ea11a4d67a4c098203ef0051885018c0d9ecc8b59e8916a859a17071c8c75</t>
  </si>
  <si>
    <t>923755e497f3c39d743da708fc5025501a61e552ea6922fdd24b8efda41d6739</t>
  </si>
  <si>
    <t>db9a41d51b9055ba49c1e8d94f5ac12a350401d763923c6e69c1c5c44d626c1e</t>
  </si>
  <si>
    <t>0ad2e910a26a806c93bfff686e6f9ed07c3ebe4ff3aa442b8bf85ed57cd920de</t>
  </si>
  <si>
    <t>1bd195f650534a5538f3acb0e689365cd654a43255edd07d2281e79879ec5570</t>
  </si>
  <si>
    <t>c74f93edc08494c0f50c2e5d29ceb2ed3d8f69c6495b74b7f223f1f545822c96</t>
  </si>
  <si>
    <t>60d1fce76ca9c372456479a5df9ef9d1d008218c9cf18d96fb76ffa907d3c766</t>
  </si>
  <si>
    <t>29354ca8a240e73a63b0ece11a68e7b0e77da408dfb9ea768483b9b288f983c9</t>
  </si>
  <si>
    <t>ad91d22e1f299f6a823d997166aebbe2c06d8718c4670aeaa1335859127a328e</t>
  </si>
  <si>
    <t>82ea71d30f783307ee850a2635b738a2281294029d228b9a487e34fe0f2a54c5</t>
  </si>
  <si>
    <t>331dcfd2b37d94803d25d8f2b8803bdd039e3ffa99a5e02254afdd3c80405fa0</t>
  </si>
  <si>
    <t>df0ad411e13e6fa719d9c2d835fb0cabc5b0251c63f75c80fbe0a9583880d3bd</t>
  </si>
  <si>
    <t>8ada96533e22756ffb713cc89a7b27726938c6ff846a727231ce34c35d044f3f</t>
  </si>
  <si>
    <t>5c0d138eeba7beead7c6bcc1a701a6778981bff7471acd23671f9b0b16aee167</t>
  </si>
  <si>
    <t>e617f51ee19746222c124bd6f72faef4bcf9986e0c8535a052cc6fbd26a037b0</t>
  </si>
  <si>
    <t>29cbad85bbfac67853aae1dac553105fbcee7927c3d46a1574d8e06f3adefc64</t>
  </si>
  <si>
    <t>82ccb9afe36a19caf09b0b040a0c002a3ea59896f49e4e4cbdfc395e5d87f8ad</t>
  </si>
  <si>
    <t>7d4d6492baaf70fd1e84f673111d51ec1d40e9076881191531aaef099f665a23</t>
  </si>
  <si>
    <t>b759428a994ed4a58414278ef0e92722b12f37a7e51f9e98264a8fa525907a3e</t>
  </si>
  <si>
    <t>f47ae24cb4735c39714e909d0abe0a845e51a6bfb5127427e8fecc22faf4ad9d</t>
  </si>
  <si>
    <t>f335a8c0f92982412b9db115309d7e117de40f8c1400260cffe729bc294e8ae9</t>
  </si>
  <si>
    <t>35cddf2ce30b51338237df7a0e4b6afb62380967d32eee46056738c4c2d6f5c5</t>
  </si>
  <si>
    <t>afbc99ad953e94ae03a9405819a048e06ee8f12d2e82048c07ba68f38052ca97</t>
  </si>
  <si>
    <t>a38021898137e8f41325e5a63c0a1b4278192007e12531fed570e0992950248e</t>
  </si>
  <si>
    <t>592e6005fe4e46e99f1a00177516b2065d982391b8579bd9582d986e11352895</t>
  </si>
  <si>
    <t>615d1cbba6e2ab6d8b44fc89646c3175a0908fe624c07cf7d71536a9249a6e6f</t>
  </si>
  <si>
    <t>0a9f3a64cfeb52f79fd3fe12a045910110a1dd3367d19d1216617a438bb40cff</t>
  </si>
  <si>
    <t>6fd8527cb66fdf4e0de585d7aa38310a20461678ef278ce2de12a4eeafcfb6a1</t>
  </si>
  <si>
    <t>7de662550642740bd0c795b26c846a20c79c8fb8c0a229fd6977432e77d3def8</t>
  </si>
  <si>
    <t>bbe703d1f5bb5912f96000b164b2e4d2d07d0ec5309beb86e3ca80a957d85da5</t>
  </si>
  <si>
    <t>20632793b9ea1f7a25f8bec3ab67723f440bfc55f1a3ec42754a04e945f9823d</t>
  </si>
  <si>
    <t>5d364af3c858689b1d24a7406dd107eacbce93fb676b193540e2e5fb9abd623a</t>
  </si>
  <si>
    <t>3f7b566dc4cd84883de24c20a7b255c4b0cd4b4e3c1aa0a4e560b19538fc36e9</t>
  </si>
  <si>
    <t>a2509f0dcf35abf106c55ac18f4a78b15f29a0dbc7193a90db4a3e5af9cf1929</t>
  </si>
  <si>
    <t>63e047fac7ab39c7580bc392162b9f1d41e6dbd5b0bc48ab958c7b3b26ea5048</t>
  </si>
  <si>
    <t>85cf27903b5500644d9e8ae0a4dd964d1b73f3b69718a79e2998905e9b0656ce</t>
  </si>
  <si>
    <t>623effe3e31a07538a8895a0527750e51e91e0dfa84197a3233c691656636a07</t>
  </si>
  <si>
    <t>326c9cadf763ab0d5ded1ac5cd68c50f3cb3d1c3ff770b6f160dd40e0ac216b3</t>
  </si>
  <si>
    <t>7be5cd20108a61a4fe74225ae30d936a6a5191d855430d89e8a7339aa71b69c5</t>
  </si>
  <si>
    <t>99d17149c1209b4b59a63ac641d616d9cb0928e0d84fe59f560c1b8a74077a3c</t>
  </si>
  <si>
    <t>1bf11dc75d5e81647f8a84ca3c4c9d92c7e2902684032bdef63422142f49fb2d</t>
  </si>
  <si>
    <t>227fa6cb2b69a70bfebe04174cd48a5e4850e9045023d60b78143cece59e7a3b</t>
  </si>
  <si>
    <t>70bf775022ed4366ededd49568a32ac06d213824178ce12e3036dd8d0ff95b4f</t>
  </si>
  <si>
    <t>cf71a759e36386845895d2d7cb3cdcc01f49965494ef174b702c11fb97cf1f58</t>
  </si>
  <si>
    <t>b37c07173be8df27cce350ac4eff4fbb9576b706e105f3143207358a3404e3c2</t>
  </si>
  <si>
    <t>d5b9bdbedb18ed86cb07a1757284616614c792b39650261f0526e95665855135</t>
  </si>
  <si>
    <t>d2a94f47ea90453e754fa73107ef50f2ef61d972e7023c18cd89bf27372ac120</t>
  </si>
  <si>
    <t>f86002ecb7223c07f426e4f1165b18371acb2583e882c5e4051e1d701f85ef88</t>
  </si>
  <si>
    <t>18a1116ad9ba84ea05fb11e0683165abee12a2c553765cb0f52e700d775ad1b0</t>
  </si>
  <si>
    <t>f4432f4088751dd9760e43a56b182e24662fea5c2314ea016c08a460f2d42bdc</t>
  </si>
  <si>
    <t>2ERP</t>
  </si>
  <si>
    <t>2e429ad7119d218563bdd1b864862b4feac159c54306c5861c49c22fbcd02ed7</t>
  </si>
  <si>
    <t>2ad0befd65fef204f6f8e0f1b8d1721cb144f1267bd88d37bd45202516d15db9</t>
  </si>
  <si>
    <t>fb482f8e8c2644721a24b09561cce05bc72504660f98fb1b956046368af5e5f8</t>
  </si>
  <si>
    <t>3cf17924f3363e1af63d6e17c33af0e372969dee9171414ca520fcacda0b43e4</t>
  </si>
  <si>
    <t>3fc387bb767b34a01864dec6582919f81f91e6598a144d8adcc8109e8d6144cb</t>
  </si>
  <si>
    <t>8e36e98d770c14305d8c6034ded3cc63efd49c5f00a5c965cb9ec6a5bbe4a47f</t>
  </si>
  <si>
    <t>51f431a9e7c5430df18c7a564ac83fb26994cd59ba8a06e31336e03699291e2a</t>
  </si>
  <si>
    <t>dc1787d9fabc00a847a6767be8d2e3e0293a2cf5dd92c2be25726f4ecf007b5a</t>
  </si>
  <si>
    <t>b3447b7d3584832df6a296d8848ef26a7cfc898784d7dc351a81a9292e489f63</t>
  </si>
  <si>
    <t>738a9eb2fd3713457b241588f1862235e58320e7894c2d626f1d6dfa335b3bf0</t>
  </si>
  <si>
    <t>626f70d884c47cae2670d0cb636aa28edc981eed5700c1c6ce6eef12fd38e4c5</t>
  </si>
  <si>
    <t>4ab7d6ba9e53cd778fd81e2da1736e634f9fbb10021a694a4e9aec1cf8a517f4</t>
  </si>
  <si>
    <t>4e033cb822e4d2aa40f3ea63f0896b59f57e315d05ab654df45fcf7d37488c67</t>
  </si>
  <si>
    <t>df0f3f12d1da68c60bc0526395cc6c74cedc2f56fd00a4f6eec84dee600bd096</t>
  </si>
  <si>
    <t>5541c5a9210a4054b3eb4b4f7544846d822b2f1dce184035cc857610b6833359</t>
  </si>
  <si>
    <t>13b5fd391f38a8118dd6e52ca3ecb24f6a26ff8c3e14730165decbefa676bdcd</t>
  </si>
  <si>
    <t>c1ed0d484a51b47d3d02ee307c70aaa3c7eacc4e30d9d2b021887de91e3ad9b8</t>
  </si>
  <si>
    <t>3325fe1c37ca6faca1ce71fa651b5a1d71e0e8f6a89be0e17545aa10bdcb1be4</t>
  </si>
  <si>
    <t>07bda47eccf36396a0b98fecdb93e0b05c32157ddfa93400b25cf66293fec5d9</t>
  </si>
  <si>
    <t>f04e01ce54ba3ac5c69a6099857b741fff2f4bf33d3f7f7456260c19c3b741f1</t>
  </si>
  <si>
    <t>295462c93a463075463930ca32199a063b619b1059253913fb40f69505b94fbc</t>
  </si>
  <si>
    <t>b81ac69cb7d99b02066214095e1f213e1cd017b5b5fdd6302c7002a1c4c0466a</t>
  </si>
  <si>
    <t>bd6d000d8a244b770500b28bd20f2818fec9cdf2c87f545e02dd6889c59ace54</t>
  </si>
  <si>
    <t>7a5fd967685071cab95015cd6b735abc6ce581e54987dfe718a7604165d5c11f</t>
  </si>
  <si>
    <t>ca13f5d42214584fb4b51a7cfbc32f824dd1346dc74a3c3e3f0a2eb1258846ae</t>
  </si>
  <si>
    <t>e36adea7a4c43d46887ffad4169e5c96c51bd262149952fdaf099c418315991b</t>
  </si>
  <si>
    <t>f86a7c9723fe787026635457b806bea3ad916d535e988afcbe6d11ed53135fb3</t>
  </si>
  <si>
    <t>17b9084c1d7d8bc8a40671c002a2ed06ed9bfac6c97611fae7840c330143df1e</t>
  </si>
  <si>
    <t>83958860ca7290489df401cfb3ab27aaf0bb6fb5a2e41bde44584c21fb7f49ab</t>
  </si>
  <si>
    <t>58fa500769604f9d4a9ca64c50764ff10c2f278851485c725395b6af2b789c9b</t>
  </si>
  <si>
    <t>2d40a50ae3dc6a4e7a3339820bd58711067cdfe191e0679c843d079d0028bed0</t>
  </si>
  <si>
    <t>2ddddb229dbfc31c1adc587e0fc6569441f4bb4b8766616ef9970b80b892800c</t>
  </si>
  <si>
    <t>b6d7a0f79bc61cb9a50c2619e76b618496b002f23a59db75f24b3f27cd823280</t>
  </si>
  <si>
    <t>f7a9918b640cb45ae9b669f3211aea5bef2d6e11a73127c24d2e290f49257752</t>
  </si>
  <si>
    <t>a035b3fc8c58f469c0192d8c5798f0bed31b456cacf06bc7534fe8fe8e68a163</t>
  </si>
  <si>
    <t>d40d764261819a6cb8672a16908ed3ae77053c96378afa8ec749d51704f8c2f6</t>
  </si>
  <si>
    <t>dcfd52f10855c60d92ed172a7ae07b29df81420f9381e2cd8a0aad405a48c20e</t>
  </si>
  <si>
    <t>44a0446f7abb067d978ca361746d75f90488fd5fe0b13cf50f109e287de6a13c</t>
  </si>
  <si>
    <t>2bf61dd7747a0ce8e762ae9bdd41a12e57d27879512869266dd81d97302aa0e1</t>
  </si>
  <si>
    <t>772609b809ee78a569264c18d0e9ceade779a08a28b2449d70c7568954896ef5</t>
  </si>
  <si>
    <t>9210e613574e166ca7efb44170d201c9fb9a0480d6139b93a451e4470de61e26</t>
  </si>
  <si>
    <t>94472c23fb61f2a7ce420a7c3224ee139b98cde3e12abadc2d70a7d611d886fa</t>
  </si>
  <si>
    <t>00dcf02652be61b747654b419204e683fde14c5688b2c483a390fc124eb3e40f</t>
  </si>
  <si>
    <t>774d44a40cfac5d746ba1ece28130909503645d96d34e4cd6112a8bbb9d09d9a</t>
  </si>
  <si>
    <t>471c7a4af2754d5e1f036fe6bbb79c1d6d1cf2db5a3c62a950be2bfb30bc3778</t>
  </si>
  <si>
    <t>6babeaec0fa565efeebe5b8307ea5a4f6cfc0f347bf3e6a237f960797a84c2ff</t>
  </si>
  <si>
    <t>bc1982eb978a7a15ccc1da41c399f6357ca2e4458185a42897542cfed7c32b0f</t>
  </si>
  <si>
    <t>89ec1c167ec7204049eac2945abf8eb404aa653a0ef8fe4c40f45729e9f47316</t>
  </si>
  <si>
    <t>6216cf2f896f8ce76733fe3b7f48bbe136d2f2820dd5a80bdae36dbc8c890185</t>
  </si>
  <si>
    <t>0513a7f646e66296099fbedcbf6b399c865c6c54dd93a2420a5a3f13bf2e8f58</t>
  </si>
  <si>
    <t>c5107f27496352cafce3645e36ccf496543e5181347cfeefe91836cea9b56077</t>
  </si>
  <si>
    <t>29a85cb10562189659246f1a0175af9cd22486339789de0cfd5950e22b1ad33e</t>
  </si>
  <si>
    <t>c192129c2c874db1c1214b9d314f235a05a68581661664dd2449f3086867347f</t>
  </si>
  <si>
    <t>40e233eb1ddd3f22ae2b19ad7c4fb012d78536eec0b2ebade7b392a32c45a1f5</t>
  </si>
  <si>
    <t>9f894e765e362cd7dc16d66c3a35ba6f642c8dfbfd933a8e3f1725516a146e5b</t>
  </si>
  <si>
    <t>dabd26a6283c8320ab648f8c4cb8691c2f5f70012a6367fdd66890956926f0bb</t>
  </si>
  <si>
    <t>FUERA DE CATÁLOGO</t>
  </si>
  <si>
    <t>5274df6637a6deed632bb114e3ea0420399308a4f5726f5258636ad178e31f61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</si>
</sst>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0</xdr:rowOff>
    </xdr:from>
    <xdr:to>
      <xdr:col>16</xdr:col>
      <xdr:colOff>559661</xdr:colOff>
      <xdr:row>5</xdr:row>
      <xdr:rowOff>10885</xdr:rowOff>
    </xdr:to>
    <xdr:pic>
      <xdr:nvPicPr>
        <xdr:cNvPr id="2" name="Imagen 1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3557" y="370114"/>
          <a:ext cx="559661" cy="566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554280</xdr:colOff>
      <xdr:row>5</xdr:row>
      <xdr:rowOff>5443</xdr:rowOff>
    </xdr:to>
    <xdr:pic>
      <xdr:nvPicPr>
        <xdr:cNvPr id="3" name="Imagen 2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8214" y="370114"/>
          <a:ext cx="554280" cy="56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794657</xdr:colOff>
      <xdr:row>2</xdr:row>
      <xdr:rowOff>0</xdr:rowOff>
    </xdr:from>
    <xdr:to>
      <xdr:col>18</xdr:col>
      <xdr:colOff>554280</xdr:colOff>
      <xdr:row>5</xdr:row>
      <xdr:rowOff>5443</xdr:rowOff>
    </xdr:to>
    <xdr:pic>
      <xdr:nvPicPr>
        <xdr:cNvPr id="4" name="Imagen 3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2871" y="370114"/>
          <a:ext cx="554280" cy="56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</xdr:row>
      <xdr:rowOff>1</xdr:rowOff>
    </xdr:from>
    <xdr:to>
      <xdr:col>19</xdr:col>
      <xdr:colOff>555171</xdr:colOff>
      <xdr:row>5</xdr:row>
      <xdr:rowOff>6345</xdr:rowOff>
    </xdr:to>
    <xdr:pic>
      <xdr:nvPicPr>
        <xdr:cNvPr id="5" name="Imagen 4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7529" y="370115"/>
          <a:ext cx="555171" cy="561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554280</xdr:colOff>
      <xdr:row>5</xdr:row>
      <xdr:rowOff>5443</xdr:rowOff>
    </xdr:to>
    <xdr:pic>
      <xdr:nvPicPr>
        <xdr:cNvPr id="6" name="Imagen 5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72186" y="370114"/>
          <a:ext cx="554280" cy="56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21</xdr:col>
      <xdr:colOff>554280</xdr:colOff>
      <xdr:row>5</xdr:row>
      <xdr:rowOff>5443</xdr:rowOff>
    </xdr:to>
    <xdr:pic>
      <xdr:nvPicPr>
        <xdr:cNvPr id="7" name="Imagen 6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6843" y="370114"/>
          <a:ext cx="554280" cy="56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</xdr:row>
      <xdr:rowOff>1</xdr:rowOff>
    </xdr:from>
    <xdr:to>
      <xdr:col>22</xdr:col>
      <xdr:colOff>548899</xdr:colOff>
      <xdr:row>5</xdr:row>
      <xdr:rowOff>1</xdr:rowOff>
    </xdr:to>
    <xdr:pic>
      <xdr:nvPicPr>
        <xdr:cNvPr id="8" name="Imagen 7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0" y="370115"/>
          <a:ext cx="548899" cy="55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</xdr:row>
      <xdr:rowOff>1</xdr:rowOff>
    </xdr:from>
    <xdr:to>
      <xdr:col>23</xdr:col>
      <xdr:colOff>548899</xdr:colOff>
      <xdr:row>5</xdr:row>
      <xdr:rowOff>1</xdr:rowOff>
    </xdr:to>
    <xdr:pic>
      <xdr:nvPicPr>
        <xdr:cNvPr id="9" name="Imagen 8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6157" y="370115"/>
          <a:ext cx="548899" cy="55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554280</xdr:colOff>
      <xdr:row>5</xdr:row>
      <xdr:rowOff>5443</xdr:rowOff>
    </xdr:to>
    <xdr:pic>
      <xdr:nvPicPr>
        <xdr:cNvPr id="10" name="Imagen 9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50814" y="370114"/>
          <a:ext cx="554280" cy="56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794657</xdr:colOff>
      <xdr:row>2</xdr:row>
      <xdr:rowOff>1</xdr:rowOff>
    </xdr:from>
    <xdr:to>
      <xdr:col>25</xdr:col>
      <xdr:colOff>575805</xdr:colOff>
      <xdr:row>5</xdr:row>
      <xdr:rowOff>27215</xdr:rowOff>
    </xdr:to>
    <xdr:pic>
      <xdr:nvPicPr>
        <xdr:cNvPr id="11" name="Imagen 10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5471" y="370115"/>
          <a:ext cx="575805" cy="58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</xdr:row>
      <xdr:rowOff>1</xdr:rowOff>
    </xdr:from>
    <xdr:to>
      <xdr:col>26</xdr:col>
      <xdr:colOff>548899</xdr:colOff>
      <xdr:row>5</xdr:row>
      <xdr:rowOff>1</xdr:rowOff>
    </xdr:to>
    <xdr:pic>
      <xdr:nvPicPr>
        <xdr:cNvPr id="12" name="Imagen 11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0129" y="370115"/>
          <a:ext cx="548899" cy="55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</xdr:row>
      <xdr:rowOff>0</xdr:rowOff>
    </xdr:from>
    <xdr:to>
      <xdr:col>27</xdr:col>
      <xdr:colOff>554280</xdr:colOff>
      <xdr:row>5</xdr:row>
      <xdr:rowOff>5443</xdr:rowOff>
    </xdr:to>
    <xdr:pic>
      <xdr:nvPicPr>
        <xdr:cNvPr id="13" name="Imagen 12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34786" y="370114"/>
          <a:ext cx="554280" cy="56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</xdr:row>
      <xdr:rowOff>0</xdr:rowOff>
    </xdr:from>
    <xdr:to>
      <xdr:col>28</xdr:col>
      <xdr:colOff>560614</xdr:colOff>
      <xdr:row>5</xdr:row>
      <xdr:rowOff>11850</xdr:rowOff>
    </xdr:to>
    <xdr:pic>
      <xdr:nvPicPr>
        <xdr:cNvPr id="14" name="Imagen 13" descr="CI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9443" y="370114"/>
          <a:ext cx="560614" cy="567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3</xdr:row>
      <xdr:rowOff>5443</xdr:rowOff>
    </xdr:from>
    <xdr:to>
      <xdr:col>29</xdr:col>
      <xdr:colOff>1132114</xdr:colOff>
      <xdr:row>5</xdr:row>
      <xdr:rowOff>17012</xdr:rowOff>
    </xdr:to>
    <xdr:pic>
      <xdr:nvPicPr>
        <xdr:cNvPr id="15" name="Imagen 14" descr="CO_PAN_PRI_PRD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24100" y="560614"/>
          <a:ext cx="1132114" cy="381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2</xdr:row>
      <xdr:rowOff>185057</xdr:rowOff>
    </xdr:from>
    <xdr:to>
      <xdr:col>33</xdr:col>
      <xdr:colOff>751114</xdr:colOff>
      <xdr:row>5</xdr:row>
      <xdr:rowOff>9734</xdr:rowOff>
    </xdr:to>
    <xdr:pic>
      <xdr:nvPicPr>
        <xdr:cNvPr id="16" name="Imagen 15" descr="CC_PVEM_PT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1829" y="555171"/>
          <a:ext cx="751114" cy="379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2</xdr:row>
      <xdr:rowOff>185057</xdr:rowOff>
    </xdr:from>
    <xdr:to>
      <xdr:col>30</xdr:col>
      <xdr:colOff>745671</xdr:colOff>
      <xdr:row>5</xdr:row>
      <xdr:rowOff>6982</xdr:rowOff>
    </xdr:to>
    <xdr:pic>
      <xdr:nvPicPr>
        <xdr:cNvPr id="17" name="Imagen 16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2543" y="555171"/>
          <a:ext cx="745671" cy="37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0</xdr:colOff>
      <xdr:row>2</xdr:row>
      <xdr:rowOff>185057</xdr:rowOff>
    </xdr:from>
    <xdr:to>
      <xdr:col>31</xdr:col>
      <xdr:colOff>740228</xdr:colOff>
      <xdr:row>5</xdr:row>
      <xdr:rowOff>3962</xdr:rowOff>
    </xdr:to>
    <xdr:pic>
      <xdr:nvPicPr>
        <xdr:cNvPr id="18" name="Imagen 17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72643" y="555171"/>
          <a:ext cx="740228" cy="374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854528</xdr:colOff>
      <xdr:row>3</xdr:row>
      <xdr:rowOff>1</xdr:rowOff>
    </xdr:from>
    <xdr:to>
      <xdr:col>32</xdr:col>
      <xdr:colOff>734786</xdr:colOff>
      <xdr:row>5</xdr:row>
      <xdr:rowOff>948</xdr:rowOff>
    </xdr:to>
    <xdr:pic>
      <xdr:nvPicPr>
        <xdr:cNvPr id="19" name="Imagen 18" descr="IMAGE LOGO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27171" y="555172"/>
          <a:ext cx="734786" cy="37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75"/>
  <sheetViews>
    <sheetView tabSelected="1" zoomScale="140" zoomScaleNormal="140" workbookViewId="0"/>
  </sheetViews>
  <sheetFormatPr baseColWidth="10" defaultRowHeight="14.4" x14ac:dyDescent="0.3"/>
  <cols>
    <col min="1" max="1" width="22.77734375" customWidth="1"/>
    <col min="2" max="2" width="23.109375" customWidth="1"/>
    <col min="3" max="3" width="23" bestFit="1" customWidth="1"/>
    <col min="4" max="4" width="18.33203125" bestFit="1" customWidth="1"/>
    <col min="5" max="5" width="30.21875" bestFit="1" customWidth="1"/>
    <col min="6" max="6" width="39.33203125" bestFit="1" customWidth="1"/>
    <col min="7" max="7" width="33.5546875" bestFit="1" customWidth="1"/>
    <col min="8" max="8" width="34.33203125" bestFit="1" customWidth="1"/>
    <col min="9" max="9" width="25.33203125" bestFit="1" customWidth="1"/>
    <col min="10" max="10" width="36.6640625" bestFit="1" customWidth="1"/>
    <col min="11" max="11" width="18.21875" bestFit="1" customWidth="1"/>
    <col min="12" max="12" width="18" bestFit="1" customWidth="1"/>
    <col min="13" max="13" width="37.21875" bestFit="1" customWidth="1"/>
    <col min="14" max="14" width="25.5546875" bestFit="1" customWidth="1"/>
    <col min="15" max="15" width="31.109375" bestFit="1" customWidth="1"/>
    <col min="16" max="16" width="21.88671875" bestFit="1" customWidth="1"/>
    <col min="30" max="30" width="16.77734375" customWidth="1"/>
    <col min="31" max="31" width="11.6640625" bestFit="1" customWidth="1"/>
    <col min="32" max="32" width="12.44140625" bestFit="1" customWidth="1"/>
    <col min="33" max="33" width="11.5546875" bestFit="1" customWidth="1"/>
    <col min="34" max="34" width="12.21875" bestFit="1" customWidth="1"/>
    <col min="35" max="35" width="16.5546875" bestFit="1" customWidth="1"/>
    <col min="36" max="36" width="7.6640625" bestFit="1" customWidth="1"/>
    <col min="37" max="37" width="23.88671875" bestFit="1" customWidth="1"/>
    <col min="38" max="38" width="24.77734375" bestFit="1" customWidth="1"/>
    <col min="39" max="39" width="15" bestFit="1" customWidth="1"/>
    <col min="40" max="40" width="22.109375" bestFit="1" customWidth="1"/>
    <col min="41" max="41" width="42.21875" bestFit="1" customWidth="1"/>
    <col min="42" max="42" width="14.6640625" bestFit="1" customWidth="1"/>
    <col min="43" max="43" width="23" bestFit="1" customWidth="1"/>
    <col min="45" max="45" width="20.109375" bestFit="1" customWidth="1"/>
    <col min="46" max="46" width="21.5546875" bestFit="1" customWidth="1"/>
    <col min="47" max="47" width="25.6640625" bestFit="1" customWidth="1"/>
    <col min="48" max="48" width="7.6640625" bestFit="1" customWidth="1"/>
    <col min="49" max="49" width="14.6640625" bestFit="1" customWidth="1"/>
    <col min="50" max="50" width="17.5546875" bestFit="1" customWidth="1"/>
  </cols>
  <sheetData>
    <row r="1" spans="1:50" x14ac:dyDescent="0.3">
      <c r="A1" t="s">
        <v>0</v>
      </c>
      <c r="B1" t="s">
        <v>1</v>
      </c>
    </row>
    <row r="2" spans="1:50" x14ac:dyDescent="0.3">
      <c r="A2" t="s">
        <v>2</v>
      </c>
      <c r="B2" t="s">
        <v>3</v>
      </c>
    </row>
    <row r="3" spans="1:50" x14ac:dyDescent="0.3">
      <c r="A3" t="s">
        <v>4</v>
      </c>
      <c r="B3" t="s">
        <v>5</v>
      </c>
      <c r="C3" t="s">
        <v>6</v>
      </c>
      <c r="D3" t="s">
        <v>7</v>
      </c>
      <c r="E3" t="s">
        <v>8</v>
      </c>
      <c r="F3" t="s">
        <v>9</v>
      </c>
      <c r="G3" t="s">
        <v>10</v>
      </c>
      <c r="H3" t="s">
        <v>11</v>
      </c>
      <c r="I3" t="s">
        <v>12</v>
      </c>
      <c r="J3" t="s">
        <v>13</v>
      </c>
      <c r="K3" t="s">
        <v>14</v>
      </c>
      <c r="L3" t="s">
        <v>15</v>
      </c>
      <c r="M3" t="s">
        <v>16</v>
      </c>
    </row>
    <row r="4" spans="1:50" x14ac:dyDescent="0.3">
      <c r="A4">
        <v>5768</v>
      </c>
      <c r="B4">
        <v>5768</v>
      </c>
      <c r="C4">
        <v>1</v>
      </c>
      <c r="D4">
        <v>5768</v>
      </c>
      <c r="E4" t="str">
        <f>"100.0000"</f>
        <v>100.0000</v>
      </c>
      <c r="F4">
        <v>5485</v>
      </c>
      <c r="G4" t="str">
        <f>"95.0936"</f>
        <v>95.0936</v>
      </c>
      <c r="H4" t="str">
        <f>"15.0138"</f>
        <v>15.0138</v>
      </c>
      <c r="I4">
        <v>283</v>
      </c>
      <c r="J4">
        <v>2860483</v>
      </c>
      <c r="K4">
        <v>1627667</v>
      </c>
      <c r="L4">
        <v>1613865</v>
      </c>
      <c r="M4" t="str">
        <f>"56.9018"</f>
        <v>56.9018</v>
      </c>
    </row>
    <row r="6" spans="1:50" x14ac:dyDescent="0.3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26</v>
      </c>
      <c r="K6" t="s">
        <v>27</v>
      </c>
      <c r="L6" t="s">
        <v>28</v>
      </c>
      <c r="M6" t="s">
        <v>29</v>
      </c>
      <c r="N6" t="s">
        <v>30</v>
      </c>
      <c r="O6" t="s">
        <v>31</v>
      </c>
      <c r="P6" t="s">
        <v>32</v>
      </c>
      <c r="Q6" t="s">
        <v>33</v>
      </c>
      <c r="R6" t="s">
        <v>34</v>
      </c>
      <c r="S6" t="s">
        <v>35</v>
      </c>
      <c r="T6" t="s">
        <v>36</v>
      </c>
      <c r="U6" t="s">
        <v>37</v>
      </c>
      <c r="V6" t="s">
        <v>38</v>
      </c>
      <c r="W6" t="s">
        <v>39</v>
      </c>
      <c r="X6" t="s">
        <v>40</v>
      </c>
      <c r="Y6" t="s">
        <v>41</v>
      </c>
      <c r="Z6" t="s">
        <v>42</v>
      </c>
      <c r="AA6" t="s">
        <v>43</v>
      </c>
      <c r="AB6" t="s">
        <v>44</v>
      </c>
      <c r="AC6" t="s">
        <v>45</v>
      </c>
      <c r="AD6" t="s">
        <v>46</v>
      </c>
      <c r="AE6" t="s">
        <v>47</v>
      </c>
      <c r="AF6" t="s">
        <v>48</v>
      </c>
      <c r="AG6" t="s">
        <v>49</v>
      </c>
      <c r="AH6" t="s">
        <v>50</v>
      </c>
      <c r="AI6" t="s">
        <v>51</v>
      </c>
      <c r="AJ6" t="s">
        <v>52</v>
      </c>
      <c r="AK6" t="s">
        <v>53</v>
      </c>
      <c r="AL6" t="s">
        <v>54</v>
      </c>
      <c r="AM6" t="s">
        <v>55</v>
      </c>
      <c r="AN6" t="s">
        <v>56</v>
      </c>
      <c r="AO6" t="s">
        <v>57</v>
      </c>
      <c r="AP6" t="s">
        <v>58</v>
      </c>
      <c r="AQ6" t="s">
        <v>59</v>
      </c>
      <c r="AR6" t="s">
        <v>60</v>
      </c>
      <c r="AS6" t="s">
        <v>61</v>
      </c>
      <c r="AT6" t="s">
        <v>62</v>
      </c>
      <c r="AU6" t="s">
        <v>63</v>
      </c>
      <c r="AV6" t="s">
        <v>64</v>
      </c>
      <c r="AW6" t="s">
        <v>65</v>
      </c>
      <c r="AX6" t="s">
        <v>66</v>
      </c>
    </row>
    <row r="7" spans="1:50" x14ac:dyDescent="0.3">
      <c r="A7" t="str">
        <f>"200002B0000"</f>
        <v>200002B0000</v>
      </c>
      <c r="B7" t="str">
        <f>"200002B00002"</f>
        <v>200002B00002</v>
      </c>
      <c r="C7" t="str">
        <f t="shared" ref="C7:C70" si="0">"20"</f>
        <v>20</v>
      </c>
      <c r="D7" t="s">
        <v>67</v>
      </c>
      <c r="E7" t="str">
        <f t="shared" ref="E7:E70" si="1">"001"</f>
        <v>001</v>
      </c>
      <c r="F7" t="s">
        <v>68</v>
      </c>
      <c r="G7" t="str">
        <f>"0002"</f>
        <v>0002</v>
      </c>
      <c r="H7" t="str">
        <f>"0000"</f>
        <v>0000</v>
      </c>
      <c r="I7" t="s">
        <v>69</v>
      </c>
      <c r="J7">
        <v>0</v>
      </c>
      <c r="K7">
        <v>1</v>
      </c>
      <c r="L7">
        <v>2</v>
      </c>
      <c r="M7">
        <v>208</v>
      </c>
      <c r="N7">
        <v>540</v>
      </c>
      <c r="O7">
        <v>10</v>
      </c>
      <c r="P7">
        <v>540</v>
      </c>
      <c r="Q7">
        <v>7</v>
      </c>
      <c r="R7">
        <v>178</v>
      </c>
      <c r="S7">
        <v>3</v>
      </c>
      <c r="T7">
        <v>3</v>
      </c>
      <c r="U7">
        <v>3</v>
      </c>
      <c r="V7">
        <v>5</v>
      </c>
      <c r="W7">
        <v>0</v>
      </c>
      <c r="X7">
        <v>313</v>
      </c>
      <c r="Y7">
        <v>0</v>
      </c>
      <c r="Z7">
        <v>3</v>
      </c>
      <c r="AA7">
        <v>7</v>
      </c>
      <c r="AB7">
        <v>4</v>
      </c>
      <c r="AD7">
        <v>0</v>
      </c>
      <c r="AE7">
        <v>0</v>
      </c>
      <c r="AF7">
        <v>0</v>
      </c>
      <c r="AG7">
        <v>0</v>
      </c>
      <c r="AI7">
        <v>0</v>
      </c>
      <c r="AJ7">
        <v>14</v>
      </c>
      <c r="AK7">
        <v>540</v>
      </c>
      <c r="AL7">
        <v>540</v>
      </c>
      <c r="AM7">
        <v>704</v>
      </c>
      <c r="AN7">
        <v>44</v>
      </c>
      <c r="AP7">
        <v>1</v>
      </c>
      <c r="AR7" t="s">
        <v>70</v>
      </c>
      <c r="AS7" s="1">
        <v>44354.01458333333</v>
      </c>
      <c r="AT7" s="1">
        <v>44354.023032407407</v>
      </c>
      <c r="AU7" s="1">
        <v>44354.023773148147</v>
      </c>
      <c r="AV7" t="s">
        <v>71</v>
      </c>
      <c r="AW7" t="s">
        <v>72</v>
      </c>
      <c r="AX7" t="s">
        <v>73</v>
      </c>
    </row>
    <row r="8" spans="1:50" x14ac:dyDescent="0.3">
      <c r="A8" t="str">
        <f>"200003B0000"</f>
        <v>200003B0000</v>
      </c>
      <c r="B8" t="str">
        <f>"200003B00002"</f>
        <v>200003B00002</v>
      </c>
      <c r="C8" t="str">
        <f t="shared" si="0"/>
        <v>20</v>
      </c>
      <c r="D8" t="s">
        <v>67</v>
      </c>
      <c r="E8" t="str">
        <f t="shared" si="1"/>
        <v>001</v>
      </c>
      <c r="F8" t="s">
        <v>68</v>
      </c>
      <c r="G8" t="str">
        <f>"0003"</f>
        <v>0003</v>
      </c>
      <c r="H8" t="str">
        <f>"0000"</f>
        <v>0000</v>
      </c>
      <c r="I8" t="s">
        <v>69</v>
      </c>
      <c r="J8">
        <v>0</v>
      </c>
      <c r="K8">
        <v>1</v>
      </c>
      <c r="L8">
        <v>2</v>
      </c>
      <c r="M8">
        <v>176</v>
      </c>
      <c r="N8">
        <v>431</v>
      </c>
      <c r="O8">
        <v>3</v>
      </c>
      <c r="P8">
        <v>431</v>
      </c>
      <c r="Q8">
        <v>4</v>
      </c>
      <c r="R8">
        <v>98</v>
      </c>
      <c r="S8">
        <v>2</v>
      </c>
      <c r="T8">
        <v>0</v>
      </c>
      <c r="U8">
        <v>2</v>
      </c>
      <c r="V8">
        <v>2</v>
      </c>
      <c r="W8">
        <v>0</v>
      </c>
      <c r="X8">
        <v>302</v>
      </c>
      <c r="Y8">
        <v>0</v>
      </c>
      <c r="Z8">
        <v>3</v>
      </c>
      <c r="AA8">
        <v>3</v>
      </c>
      <c r="AB8">
        <v>5</v>
      </c>
      <c r="AD8">
        <v>4</v>
      </c>
      <c r="AE8">
        <v>1</v>
      </c>
      <c r="AF8">
        <v>0</v>
      </c>
      <c r="AG8">
        <v>0</v>
      </c>
      <c r="AI8">
        <v>0</v>
      </c>
      <c r="AJ8">
        <v>5</v>
      </c>
      <c r="AK8">
        <v>431</v>
      </c>
      <c r="AL8">
        <v>431</v>
      </c>
      <c r="AM8">
        <v>563</v>
      </c>
      <c r="AN8">
        <v>44</v>
      </c>
      <c r="AP8">
        <v>1</v>
      </c>
      <c r="AR8" t="s">
        <v>74</v>
      </c>
      <c r="AS8" s="1">
        <v>44353.927083333336</v>
      </c>
      <c r="AT8" s="1">
        <v>44354.02684027778</v>
      </c>
      <c r="AU8" s="1">
        <v>44354.027372685188</v>
      </c>
      <c r="AV8" t="s">
        <v>71</v>
      </c>
      <c r="AW8" t="s">
        <v>72</v>
      </c>
      <c r="AX8" t="s">
        <v>73</v>
      </c>
    </row>
    <row r="9" spans="1:50" x14ac:dyDescent="0.3">
      <c r="A9" t="str">
        <f>"200003C0100"</f>
        <v>200003C0100</v>
      </c>
      <c r="B9" t="str">
        <f>"200003C01002"</f>
        <v>200003C01002</v>
      </c>
      <c r="C9" t="str">
        <f t="shared" si="0"/>
        <v>20</v>
      </c>
      <c r="D9" t="s">
        <v>67</v>
      </c>
      <c r="E9" t="str">
        <f t="shared" si="1"/>
        <v>001</v>
      </c>
      <c r="F9" t="s">
        <v>68</v>
      </c>
      <c r="G9" t="str">
        <f>"0003"</f>
        <v>0003</v>
      </c>
      <c r="H9" t="str">
        <f>"0001"</f>
        <v>0001</v>
      </c>
      <c r="I9" t="s">
        <v>75</v>
      </c>
      <c r="J9">
        <v>0</v>
      </c>
      <c r="K9">
        <v>1</v>
      </c>
      <c r="L9">
        <v>2</v>
      </c>
      <c r="M9">
        <v>167</v>
      </c>
      <c r="N9">
        <v>440</v>
      </c>
      <c r="O9">
        <v>2</v>
      </c>
      <c r="P9">
        <v>440</v>
      </c>
      <c r="Q9">
        <v>6</v>
      </c>
      <c r="R9">
        <v>114</v>
      </c>
      <c r="S9">
        <v>2</v>
      </c>
      <c r="T9">
        <v>0</v>
      </c>
      <c r="U9">
        <v>2</v>
      </c>
      <c r="V9">
        <v>6</v>
      </c>
      <c r="W9">
        <v>0</v>
      </c>
      <c r="X9">
        <v>286</v>
      </c>
      <c r="Y9">
        <v>1</v>
      </c>
      <c r="Z9">
        <v>1</v>
      </c>
      <c r="AA9">
        <v>5</v>
      </c>
      <c r="AB9">
        <v>4</v>
      </c>
      <c r="AD9">
        <v>2</v>
      </c>
      <c r="AE9">
        <v>0</v>
      </c>
      <c r="AF9">
        <v>0</v>
      </c>
      <c r="AG9">
        <v>1</v>
      </c>
      <c r="AI9">
        <v>0</v>
      </c>
      <c r="AJ9">
        <v>10</v>
      </c>
      <c r="AK9">
        <v>440</v>
      </c>
      <c r="AL9">
        <v>440</v>
      </c>
      <c r="AM9">
        <v>563</v>
      </c>
      <c r="AN9">
        <v>44</v>
      </c>
      <c r="AP9">
        <v>1</v>
      </c>
      <c r="AR9" t="s">
        <v>76</v>
      </c>
      <c r="AS9" s="1">
        <v>44353.9375</v>
      </c>
      <c r="AT9" s="1">
        <v>44354.024895833332</v>
      </c>
      <c r="AU9" s="1">
        <v>44354.025729166664</v>
      </c>
      <c r="AV9" t="s">
        <v>71</v>
      </c>
      <c r="AW9" t="s">
        <v>72</v>
      </c>
      <c r="AX9" t="s">
        <v>73</v>
      </c>
    </row>
    <row r="10" spans="1:50" x14ac:dyDescent="0.3">
      <c r="A10" t="str">
        <f>"200003C0200"</f>
        <v>200003C0200</v>
      </c>
      <c r="B10" t="str">
        <f>"200003C02002"</f>
        <v>200003C02002</v>
      </c>
      <c r="C10" t="str">
        <f t="shared" si="0"/>
        <v>20</v>
      </c>
      <c r="D10" t="s">
        <v>67</v>
      </c>
      <c r="E10" t="str">
        <f t="shared" si="1"/>
        <v>001</v>
      </c>
      <c r="F10" t="s">
        <v>68</v>
      </c>
      <c r="G10" t="str">
        <f>"0003"</f>
        <v>0003</v>
      </c>
      <c r="H10" t="str">
        <f>"0002"</f>
        <v>0002</v>
      </c>
      <c r="I10" t="s">
        <v>75</v>
      </c>
      <c r="J10">
        <v>0</v>
      </c>
      <c r="K10">
        <v>1</v>
      </c>
      <c r="L10">
        <v>2</v>
      </c>
      <c r="M10">
        <v>171</v>
      </c>
      <c r="N10">
        <v>436</v>
      </c>
      <c r="O10">
        <v>2</v>
      </c>
      <c r="P10">
        <v>436</v>
      </c>
      <c r="Q10">
        <v>4</v>
      </c>
      <c r="R10">
        <v>114</v>
      </c>
      <c r="S10">
        <v>2</v>
      </c>
      <c r="T10">
        <v>3</v>
      </c>
      <c r="U10">
        <v>1</v>
      </c>
      <c r="V10">
        <v>4</v>
      </c>
      <c r="W10">
        <v>1</v>
      </c>
      <c r="X10">
        <v>282</v>
      </c>
      <c r="Y10">
        <v>0</v>
      </c>
      <c r="Z10">
        <v>5</v>
      </c>
      <c r="AA10">
        <v>6</v>
      </c>
      <c r="AB10">
        <v>5</v>
      </c>
      <c r="AD10">
        <v>4</v>
      </c>
      <c r="AE10">
        <v>1</v>
      </c>
      <c r="AF10">
        <v>0</v>
      </c>
      <c r="AG10">
        <v>0</v>
      </c>
      <c r="AI10" t="s">
        <v>77</v>
      </c>
      <c r="AJ10">
        <v>4</v>
      </c>
      <c r="AK10">
        <v>436</v>
      </c>
      <c r="AL10">
        <v>436</v>
      </c>
      <c r="AM10">
        <v>563</v>
      </c>
      <c r="AN10">
        <v>44</v>
      </c>
      <c r="AO10" t="s">
        <v>78</v>
      </c>
      <c r="AP10">
        <v>1</v>
      </c>
      <c r="AR10" t="s">
        <v>79</v>
      </c>
      <c r="AS10" s="1">
        <v>44353.940972222219</v>
      </c>
      <c r="AT10" s="1">
        <v>44354.025578703702</v>
      </c>
      <c r="AU10" s="1">
        <v>44354.026712962965</v>
      </c>
      <c r="AV10" t="s">
        <v>71</v>
      </c>
      <c r="AW10" t="s">
        <v>72</v>
      </c>
      <c r="AX10" t="s">
        <v>73</v>
      </c>
    </row>
    <row r="11" spans="1:50" x14ac:dyDescent="0.3">
      <c r="A11" t="str">
        <f>"200004B0000"</f>
        <v>200004B0000</v>
      </c>
      <c r="B11" t="str">
        <f>"200004B00002"</f>
        <v>200004B00002</v>
      </c>
      <c r="C11" t="str">
        <f t="shared" si="0"/>
        <v>20</v>
      </c>
      <c r="D11" t="s">
        <v>67</v>
      </c>
      <c r="E11" t="str">
        <f t="shared" si="1"/>
        <v>001</v>
      </c>
      <c r="F11" t="s">
        <v>68</v>
      </c>
      <c r="G11" t="str">
        <f>"0004"</f>
        <v>0004</v>
      </c>
      <c r="H11" t="str">
        <f>"0000"</f>
        <v>0000</v>
      </c>
      <c r="I11" t="s">
        <v>69</v>
      </c>
      <c r="J11">
        <v>0</v>
      </c>
      <c r="K11">
        <v>1</v>
      </c>
      <c r="L11">
        <v>2</v>
      </c>
      <c r="M11">
        <v>209</v>
      </c>
      <c r="N11" t="s">
        <v>80</v>
      </c>
      <c r="O11" t="s">
        <v>80</v>
      </c>
      <c r="P11">
        <v>418</v>
      </c>
      <c r="Q11">
        <v>6</v>
      </c>
      <c r="R11">
        <v>94</v>
      </c>
      <c r="S11">
        <v>2</v>
      </c>
      <c r="T11">
        <v>2</v>
      </c>
      <c r="U11">
        <v>2</v>
      </c>
      <c r="V11">
        <v>6</v>
      </c>
      <c r="W11">
        <v>3</v>
      </c>
      <c r="X11">
        <v>273</v>
      </c>
      <c r="Y11">
        <v>1</v>
      </c>
      <c r="Z11">
        <v>6</v>
      </c>
      <c r="AA11">
        <v>6</v>
      </c>
      <c r="AB11">
        <v>3</v>
      </c>
      <c r="AD11">
        <v>1</v>
      </c>
      <c r="AE11">
        <v>1</v>
      </c>
      <c r="AF11">
        <v>0</v>
      </c>
      <c r="AG11">
        <v>0</v>
      </c>
      <c r="AI11">
        <v>0</v>
      </c>
      <c r="AJ11">
        <v>12</v>
      </c>
      <c r="AK11">
        <v>418</v>
      </c>
      <c r="AL11">
        <v>418</v>
      </c>
      <c r="AM11">
        <v>583</v>
      </c>
      <c r="AN11">
        <v>44</v>
      </c>
      <c r="AP11">
        <v>1</v>
      </c>
      <c r="AR11" t="s">
        <v>81</v>
      </c>
      <c r="AS11" s="1">
        <v>44354.135416666664</v>
      </c>
      <c r="AT11" s="1">
        <v>44354.140046296299</v>
      </c>
      <c r="AU11" s="1">
        <v>44354.140636574077</v>
      </c>
      <c r="AV11" t="s">
        <v>71</v>
      </c>
      <c r="AW11" t="s">
        <v>72</v>
      </c>
      <c r="AX11" t="s">
        <v>73</v>
      </c>
    </row>
    <row r="12" spans="1:50" x14ac:dyDescent="0.3">
      <c r="A12" t="str">
        <f>"200004C0100"</f>
        <v>200004C0100</v>
      </c>
      <c r="B12" t="str">
        <f>"200004C01002"</f>
        <v>200004C01002</v>
      </c>
      <c r="C12" t="str">
        <f t="shared" si="0"/>
        <v>20</v>
      </c>
      <c r="D12" t="s">
        <v>67</v>
      </c>
      <c r="E12" t="str">
        <f t="shared" si="1"/>
        <v>001</v>
      </c>
      <c r="F12" t="s">
        <v>68</v>
      </c>
      <c r="G12" t="str">
        <f>"0004"</f>
        <v>0004</v>
      </c>
      <c r="H12" t="str">
        <f>"0001"</f>
        <v>0001</v>
      </c>
      <c r="I12" t="s">
        <v>75</v>
      </c>
      <c r="J12">
        <v>0</v>
      </c>
      <c r="K12">
        <v>1</v>
      </c>
      <c r="L12">
        <v>2</v>
      </c>
      <c r="M12">
        <v>194</v>
      </c>
      <c r="N12">
        <v>433</v>
      </c>
      <c r="O12">
        <v>7</v>
      </c>
      <c r="P12">
        <v>433</v>
      </c>
      <c r="Q12">
        <v>7</v>
      </c>
      <c r="R12">
        <v>110</v>
      </c>
      <c r="S12">
        <v>2</v>
      </c>
      <c r="T12">
        <v>0</v>
      </c>
      <c r="U12">
        <v>3</v>
      </c>
      <c r="V12">
        <v>6</v>
      </c>
      <c r="W12">
        <v>1</v>
      </c>
      <c r="X12">
        <v>267</v>
      </c>
      <c r="Y12">
        <v>0</v>
      </c>
      <c r="Z12">
        <v>5</v>
      </c>
      <c r="AA12">
        <v>4</v>
      </c>
      <c r="AB12">
        <v>4</v>
      </c>
      <c r="AD12">
        <v>4</v>
      </c>
      <c r="AE12">
        <v>1</v>
      </c>
      <c r="AF12">
        <v>0</v>
      </c>
      <c r="AG12">
        <v>0</v>
      </c>
      <c r="AI12" t="s">
        <v>77</v>
      </c>
      <c r="AJ12">
        <v>19</v>
      </c>
      <c r="AK12">
        <v>433</v>
      </c>
      <c r="AL12">
        <v>433</v>
      </c>
      <c r="AM12">
        <v>583</v>
      </c>
      <c r="AN12">
        <v>44</v>
      </c>
      <c r="AO12" t="s">
        <v>78</v>
      </c>
      <c r="AP12">
        <v>1</v>
      </c>
      <c r="AR12" t="s">
        <v>82</v>
      </c>
      <c r="AS12" s="1">
        <v>44353.895833333336</v>
      </c>
      <c r="AT12" s="1">
        <v>44354.140104166669</v>
      </c>
      <c r="AU12" s="1">
        <v>44354.140590277777</v>
      </c>
      <c r="AV12" t="s">
        <v>71</v>
      </c>
      <c r="AW12" t="s">
        <v>72</v>
      </c>
      <c r="AX12" t="s">
        <v>73</v>
      </c>
    </row>
    <row r="13" spans="1:50" x14ac:dyDescent="0.3">
      <c r="A13" t="str">
        <f>"200004C0200"</f>
        <v>200004C0200</v>
      </c>
      <c r="B13" t="str">
        <f>"200004C02002"</f>
        <v>200004C02002</v>
      </c>
      <c r="C13" t="str">
        <f t="shared" si="0"/>
        <v>20</v>
      </c>
      <c r="D13" t="s">
        <v>67</v>
      </c>
      <c r="E13" t="str">
        <f t="shared" si="1"/>
        <v>001</v>
      </c>
      <c r="F13" t="s">
        <v>68</v>
      </c>
      <c r="G13" t="str">
        <f>"0004"</f>
        <v>0004</v>
      </c>
      <c r="H13" t="str">
        <f>"0002"</f>
        <v>0002</v>
      </c>
      <c r="I13" t="s">
        <v>75</v>
      </c>
      <c r="J13">
        <v>0</v>
      </c>
      <c r="K13">
        <v>1</v>
      </c>
      <c r="L13">
        <v>2</v>
      </c>
      <c r="M13">
        <v>220</v>
      </c>
      <c r="N13">
        <v>406</v>
      </c>
      <c r="O13">
        <v>4</v>
      </c>
      <c r="P13" t="s">
        <v>80</v>
      </c>
      <c r="Q13">
        <v>5</v>
      </c>
      <c r="R13">
        <v>88</v>
      </c>
      <c r="S13">
        <v>5</v>
      </c>
      <c r="T13">
        <v>1</v>
      </c>
      <c r="U13">
        <v>4</v>
      </c>
      <c r="V13">
        <v>5</v>
      </c>
      <c r="W13">
        <v>2</v>
      </c>
      <c r="X13">
        <v>250</v>
      </c>
      <c r="Y13">
        <v>4</v>
      </c>
      <c r="Z13">
        <v>9</v>
      </c>
      <c r="AA13">
        <v>3</v>
      </c>
      <c r="AB13">
        <v>4</v>
      </c>
      <c r="AD13">
        <v>8</v>
      </c>
      <c r="AE13" t="s">
        <v>77</v>
      </c>
      <c r="AF13" t="s">
        <v>77</v>
      </c>
      <c r="AG13" t="s">
        <v>77</v>
      </c>
      <c r="AI13" t="s">
        <v>77</v>
      </c>
      <c r="AJ13">
        <v>18</v>
      </c>
      <c r="AK13">
        <v>406</v>
      </c>
      <c r="AL13">
        <v>406</v>
      </c>
      <c r="AM13">
        <v>582</v>
      </c>
      <c r="AN13">
        <v>44</v>
      </c>
      <c r="AO13" t="s">
        <v>78</v>
      </c>
      <c r="AP13">
        <v>1</v>
      </c>
      <c r="AR13" t="s">
        <v>83</v>
      </c>
      <c r="AS13" s="1">
        <v>44354.140277777777</v>
      </c>
      <c r="AT13" s="1">
        <v>44354.146932870368</v>
      </c>
      <c r="AU13" s="1">
        <v>44354.147766203707</v>
      </c>
      <c r="AV13" t="s">
        <v>71</v>
      </c>
      <c r="AW13" t="s">
        <v>72</v>
      </c>
      <c r="AX13" t="s">
        <v>73</v>
      </c>
    </row>
    <row r="14" spans="1:50" x14ac:dyDescent="0.3">
      <c r="A14" t="str">
        <f>"200005B0000"</f>
        <v>200005B0000</v>
      </c>
      <c r="B14" t="str">
        <f>"200005B00002"</f>
        <v>200005B00002</v>
      </c>
      <c r="C14" t="str">
        <f t="shared" si="0"/>
        <v>20</v>
      </c>
      <c r="D14" t="s">
        <v>67</v>
      </c>
      <c r="E14" t="str">
        <f t="shared" si="1"/>
        <v>001</v>
      </c>
      <c r="F14" t="s">
        <v>68</v>
      </c>
      <c r="G14" t="str">
        <f>"0005"</f>
        <v>0005</v>
      </c>
      <c r="H14" t="str">
        <f>"0000"</f>
        <v>0000</v>
      </c>
      <c r="I14" t="s">
        <v>69</v>
      </c>
      <c r="J14">
        <v>0</v>
      </c>
      <c r="K14">
        <v>1</v>
      </c>
      <c r="L14">
        <v>2</v>
      </c>
      <c r="M14">
        <v>229</v>
      </c>
      <c r="N14">
        <v>473</v>
      </c>
      <c r="O14">
        <v>5</v>
      </c>
      <c r="P14">
        <v>473</v>
      </c>
      <c r="Q14">
        <v>11</v>
      </c>
      <c r="R14">
        <v>164</v>
      </c>
      <c r="S14">
        <v>4</v>
      </c>
      <c r="T14">
        <v>2</v>
      </c>
      <c r="U14">
        <v>2</v>
      </c>
      <c r="V14">
        <v>4</v>
      </c>
      <c r="W14">
        <v>2</v>
      </c>
      <c r="X14">
        <v>268</v>
      </c>
      <c r="Y14">
        <v>1</v>
      </c>
      <c r="Z14">
        <v>3</v>
      </c>
      <c r="AA14">
        <v>3</v>
      </c>
      <c r="AB14">
        <v>1</v>
      </c>
      <c r="AD14">
        <v>3</v>
      </c>
      <c r="AE14">
        <v>0</v>
      </c>
      <c r="AF14">
        <v>0</v>
      </c>
      <c r="AG14">
        <v>0</v>
      </c>
      <c r="AI14">
        <v>0</v>
      </c>
      <c r="AJ14">
        <v>5</v>
      </c>
      <c r="AK14">
        <v>473</v>
      </c>
      <c r="AL14">
        <v>473</v>
      </c>
      <c r="AM14">
        <v>658</v>
      </c>
      <c r="AN14">
        <v>44</v>
      </c>
      <c r="AP14">
        <v>1</v>
      </c>
      <c r="AR14" t="s">
        <v>84</v>
      </c>
      <c r="AS14" s="1">
        <v>44354.024305555555</v>
      </c>
      <c r="AT14" s="1">
        <v>44354.065150462964</v>
      </c>
      <c r="AU14" s="1">
        <v>44354.065625000003</v>
      </c>
      <c r="AV14" t="s">
        <v>71</v>
      </c>
      <c r="AW14" t="s">
        <v>72</v>
      </c>
      <c r="AX14" t="s">
        <v>73</v>
      </c>
    </row>
    <row r="15" spans="1:50" x14ac:dyDescent="0.3">
      <c r="A15" t="str">
        <f>"200005S0100"</f>
        <v>200005S0100</v>
      </c>
      <c r="B15" t="str">
        <f>"200005S01002EMR"</f>
        <v>200005S01002EMR</v>
      </c>
      <c r="C15" t="str">
        <f t="shared" si="0"/>
        <v>20</v>
      </c>
      <c r="D15" t="s">
        <v>67</v>
      </c>
      <c r="E15" t="str">
        <f t="shared" si="1"/>
        <v>001</v>
      </c>
      <c r="F15" t="s">
        <v>68</v>
      </c>
      <c r="G15" t="str">
        <f>"0005"</f>
        <v>0005</v>
      </c>
      <c r="H15" t="str">
        <f>"0001"</f>
        <v>0001</v>
      </c>
      <c r="I15" t="s">
        <v>85</v>
      </c>
      <c r="J15">
        <v>0</v>
      </c>
      <c r="K15">
        <v>1</v>
      </c>
      <c r="L15" t="s">
        <v>86</v>
      </c>
      <c r="M15">
        <v>884</v>
      </c>
      <c r="N15">
        <v>55</v>
      </c>
      <c r="O15">
        <v>0</v>
      </c>
      <c r="P15">
        <v>116</v>
      </c>
      <c r="Q15">
        <v>1</v>
      </c>
      <c r="R15">
        <v>22</v>
      </c>
      <c r="S15">
        <v>2</v>
      </c>
      <c r="T15">
        <v>1</v>
      </c>
      <c r="U15">
        <v>0</v>
      </c>
      <c r="V15">
        <v>1</v>
      </c>
      <c r="W15">
        <v>0</v>
      </c>
      <c r="X15">
        <v>25</v>
      </c>
      <c r="Y15">
        <v>0</v>
      </c>
      <c r="Z15">
        <v>0</v>
      </c>
      <c r="AA15">
        <v>0</v>
      </c>
      <c r="AB15">
        <v>0</v>
      </c>
      <c r="AD15">
        <v>0</v>
      </c>
      <c r="AE15">
        <v>0</v>
      </c>
      <c r="AF15">
        <v>2</v>
      </c>
      <c r="AG15">
        <v>0</v>
      </c>
      <c r="AI15">
        <v>0</v>
      </c>
      <c r="AJ15">
        <v>1</v>
      </c>
      <c r="AK15">
        <v>55</v>
      </c>
      <c r="AL15">
        <v>55</v>
      </c>
      <c r="AM15">
        <v>0</v>
      </c>
      <c r="AN15">
        <v>44</v>
      </c>
      <c r="AP15">
        <v>1</v>
      </c>
      <c r="AR15" t="s">
        <v>87</v>
      </c>
      <c r="AS15" s="1">
        <v>44354.027777777781</v>
      </c>
      <c r="AT15" s="1">
        <v>44354.723692129628</v>
      </c>
      <c r="AU15" s="1">
        <v>44354.724745370368</v>
      </c>
      <c r="AV15" t="s">
        <v>71</v>
      </c>
      <c r="AW15" t="s">
        <v>72</v>
      </c>
      <c r="AX15" t="s">
        <v>73</v>
      </c>
    </row>
    <row r="16" spans="1:50" x14ac:dyDescent="0.3">
      <c r="A16" t="str">
        <f>"200006B0000"</f>
        <v>200006B0000</v>
      </c>
      <c r="B16" t="str">
        <f>"200006B00002"</f>
        <v>200006B00002</v>
      </c>
      <c r="C16" t="str">
        <f t="shared" si="0"/>
        <v>20</v>
      </c>
      <c r="D16" t="s">
        <v>67</v>
      </c>
      <c r="E16" t="str">
        <f t="shared" si="1"/>
        <v>001</v>
      </c>
      <c r="F16" t="s">
        <v>68</v>
      </c>
      <c r="G16" t="str">
        <f>"0006"</f>
        <v>0006</v>
      </c>
      <c r="H16" t="str">
        <f>"0000"</f>
        <v>0000</v>
      </c>
      <c r="I16" t="s">
        <v>69</v>
      </c>
      <c r="J16">
        <v>0</v>
      </c>
      <c r="K16">
        <v>1</v>
      </c>
      <c r="L16">
        <v>2</v>
      </c>
      <c r="M16">
        <v>183</v>
      </c>
      <c r="N16">
        <v>411</v>
      </c>
      <c r="O16">
        <v>5</v>
      </c>
      <c r="P16">
        <v>411</v>
      </c>
      <c r="Q16">
        <v>11</v>
      </c>
      <c r="R16">
        <v>106</v>
      </c>
      <c r="S16">
        <v>2</v>
      </c>
      <c r="T16">
        <v>1</v>
      </c>
      <c r="U16">
        <v>1</v>
      </c>
      <c r="V16">
        <v>1</v>
      </c>
      <c r="W16">
        <v>1</v>
      </c>
      <c r="X16">
        <v>252</v>
      </c>
      <c r="Y16">
        <v>2</v>
      </c>
      <c r="Z16">
        <v>5</v>
      </c>
      <c r="AA16">
        <v>6</v>
      </c>
      <c r="AB16">
        <v>4</v>
      </c>
      <c r="AD16">
        <v>8</v>
      </c>
      <c r="AE16">
        <v>2</v>
      </c>
      <c r="AF16">
        <v>0</v>
      </c>
      <c r="AG16">
        <v>0</v>
      </c>
      <c r="AI16">
        <v>0</v>
      </c>
      <c r="AJ16">
        <v>9</v>
      </c>
      <c r="AK16">
        <v>411</v>
      </c>
      <c r="AL16">
        <v>411</v>
      </c>
      <c r="AM16">
        <v>550</v>
      </c>
      <c r="AN16">
        <v>44</v>
      </c>
      <c r="AP16">
        <v>1</v>
      </c>
      <c r="AR16" t="s">
        <v>88</v>
      </c>
      <c r="AS16" s="1">
        <v>44354.100694444445</v>
      </c>
      <c r="AT16" s="1">
        <v>44354.103564814817</v>
      </c>
      <c r="AU16" s="1">
        <v>44354.103981481479</v>
      </c>
      <c r="AV16" t="s">
        <v>71</v>
      </c>
      <c r="AW16" t="s">
        <v>72</v>
      </c>
      <c r="AX16" t="s">
        <v>73</v>
      </c>
    </row>
    <row r="17" spans="1:50" x14ac:dyDescent="0.3">
      <c r="A17" t="str">
        <f>"200006C0100"</f>
        <v>200006C0100</v>
      </c>
      <c r="B17" t="str">
        <f>"200006C01002"</f>
        <v>200006C01002</v>
      </c>
      <c r="C17" t="str">
        <f t="shared" si="0"/>
        <v>20</v>
      </c>
      <c r="D17" t="s">
        <v>67</v>
      </c>
      <c r="E17" t="str">
        <f t="shared" si="1"/>
        <v>001</v>
      </c>
      <c r="F17" t="s">
        <v>68</v>
      </c>
      <c r="G17" t="str">
        <f>"0006"</f>
        <v>0006</v>
      </c>
      <c r="H17" t="str">
        <f>"0001"</f>
        <v>0001</v>
      </c>
      <c r="I17" t="s">
        <v>75</v>
      </c>
      <c r="J17">
        <v>0</v>
      </c>
      <c r="K17">
        <v>1</v>
      </c>
      <c r="L17">
        <v>2</v>
      </c>
      <c r="M17">
        <v>190</v>
      </c>
      <c r="N17">
        <v>404</v>
      </c>
      <c r="O17">
        <v>5</v>
      </c>
      <c r="P17">
        <v>404</v>
      </c>
      <c r="Q17">
        <v>7</v>
      </c>
      <c r="R17">
        <v>113</v>
      </c>
      <c r="S17">
        <v>7</v>
      </c>
      <c r="T17">
        <v>1</v>
      </c>
      <c r="U17">
        <v>2</v>
      </c>
      <c r="V17">
        <v>4</v>
      </c>
      <c r="W17">
        <v>3</v>
      </c>
      <c r="X17">
        <v>232</v>
      </c>
      <c r="Y17">
        <v>1</v>
      </c>
      <c r="Z17">
        <v>9</v>
      </c>
      <c r="AA17">
        <v>6</v>
      </c>
      <c r="AB17">
        <v>2</v>
      </c>
      <c r="AD17">
        <v>5</v>
      </c>
      <c r="AE17">
        <v>1</v>
      </c>
      <c r="AF17">
        <v>0</v>
      </c>
      <c r="AG17">
        <v>0</v>
      </c>
      <c r="AI17">
        <v>0</v>
      </c>
      <c r="AJ17">
        <v>11</v>
      </c>
      <c r="AK17">
        <v>404</v>
      </c>
      <c r="AL17">
        <v>404</v>
      </c>
      <c r="AM17">
        <v>550</v>
      </c>
      <c r="AN17">
        <v>44</v>
      </c>
      <c r="AP17">
        <v>1</v>
      </c>
      <c r="AR17" t="s">
        <v>89</v>
      </c>
      <c r="AS17" s="1">
        <v>44354.099305555559</v>
      </c>
      <c r="AT17" s="1">
        <v>44354.103773148148</v>
      </c>
      <c r="AU17" s="1">
        <v>44354.104467592595</v>
      </c>
      <c r="AV17" t="s">
        <v>71</v>
      </c>
      <c r="AW17" t="s">
        <v>72</v>
      </c>
      <c r="AX17" t="s">
        <v>73</v>
      </c>
    </row>
    <row r="18" spans="1:50" x14ac:dyDescent="0.3">
      <c r="A18" t="str">
        <f>"200006C0200"</f>
        <v>200006C0200</v>
      </c>
      <c r="B18" t="str">
        <f>"200006C02002"</f>
        <v>200006C02002</v>
      </c>
      <c r="C18" t="str">
        <f t="shared" si="0"/>
        <v>20</v>
      </c>
      <c r="D18" t="s">
        <v>67</v>
      </c>
      <c r="E18" t="str">
        <f t="shared" si="1"/>
        <v>001</v>
      </c>
      <c r="F18" t="s">
        <v>68</v>
      </c>
      <c r="G18" t="str">
        <f>"0006"</f>
        <v>0006</v>
      </c>
      <c r="H18" t="str">
        <f>"0002"</f>
        <v>0002</v>
      </c>
      <c r="I18" t="s">
        <v>75</v>
      </c>
      <c r="J18">
        <v>0</v>
      </c>
      <c r="K18">
        <v>1</v>
      </c>
      <c r="L18">
        <v>2</v>
      </c>
      <c r="M18">
        <v>186</v>
      </c>
      <c r="N18">
        <v>407</v>
      </c>
      <c r="O18">
        <v>8</v>
      </c>
      <c r="P18">
        <v>407</v>
      </c>
      <c r="Q18">
        <v>9</v>
      </c>
      <c r="R18">
        <v>69</v>
      </c>
      <c r="S18">
        <v>8</v>
      </c>
      <c r="T18">
        <v>2</v>
      </c>
      <c r="U18">
        <v>0</v>
      </c>
      <c r="V18">
        <v>4</v>
      </c>
      <c r="W18">
        <v>2</v>
      </c>
      <c r="X18">
        <v>282</v>
      </c>
      <c r="Y18">
        <v>1</v>
      </c>
      <c r="Z18">
        <v>5</v>
      </c>
      <c r="AA18">
        <v>7</v>
      </c>
      <c r="AB18">
        <v>1</v>
      </c>
      <c r="AD18">
        <v>4</v>
      </c>
      <c r="AE18">
        <v>1</v>
      </c>
      <c r="AF18">
        <v>0</v>
      </c>
      <c r="AG18">
        <v>0</v>
      </c>
      <c r="AI18">
        <v>0</v>
      </c>
      <c r="AJ18">
        <v>12</v>
      </c>
      <c r="AK18">
        <v>407</v>
      </c>
      <c r="AL18">
        <v>407</v>
      </c>
      <c r="AM18">
        <v>549</v>
      </c>
      <c r="AN18">
        <v>44</v>
      </c>
      <c r="AP18">
        <v>1</v>
      </c>
      <c r="AR18" t="s">
        <v>90</v>
      </c>
      <c r="AS18" s="1">
        <v>44354.101388888892</v>
      </c>
      <c r="AT18" s="1">
        <v>44354.104803240742</v>
      </c>
      <c r="AU18" s="1">
        <v>44354.105694444443</v>
      </c>
      <c r="AV18" t="s">
        <v>71</v>
      </c>
      <c r="AW18" t="s">
        <v>72</v>
      </c>
      <c r="AX18" t="s">
        <v>73</v>
      </c>
    </row>
    <row r="19" spans="1:50" x14ac:dyDescent="0.3">
      <c r="A19" t="str">
        <f>"200007B0000"</f>
        <v>200007B0000</v>
      </c>
      <c r="B19" t="str">
        <f>"200007B00002"</f>
        <v>200007B00002</v>
      </c>
      <c r="C19" t="str">
        <f t="shared" si="0"/>
        <v>20</v>
      </c>
      <c r="D19" t="s">
        <v>67</v>
      </c>
      <c r="E19" t="str">
        <f t="shared" si="1"/>
        <v>001</v>
      </c>
      <c r="F19" t="s">
        <v>68</v>
      </c>
      <c r="G19" t="str">
        <f>"0007"</f>
        <v>0007</v>
      </c>
      <c r="H19" t="str">
        <f>"0000"</f>
        <v>0000</v>
      </c>
      <c r="I19" t="s">
        <v>69</v>
      </c>
      <c r="J19">
        <v>0</v>
      </c>
      <c r="K19">
        <v>1</v>
      </c>
      <c r="L19">
        <v>2</v>
      </c>
      <c r="M19">
        <v>147</v>
      </c>
      <c r="N19">
        <v>365</v>
      </c>
      <c r="O19">
        <v>5</v>
      </c>
      <c r="P19" t="s">
        <v>80</v>
      </c>
      <c r="Q19">
        <v>3</v>
      </c>
      <c r="R19">
        <v>69</v>
      </c>
      <c r="S19">
        <v>5</v>
      </c>
      <c r="T19">
        <v>1</v>
      </c>
      <c r="U19">
        <v>3</v>
      </c>
      <c r="V19">
        <v>1</v>
      </c>
      <c r="W19">
        <v>3</v>
      </c>
      <c r="X19">
        <v>250</v>
      </c>
      <c r="Y19">
        <v>0</v>
      </c>
      <c r="Z19">
        <v>8</v>
      </c>
      <c r="AA19">
        <v>4</v>
      </c>
      <c r="AB19">
        <v>10</v>
      </c>
      <c r="AD19">
        <v>3</v>
      </c>
      <c r="AE19">
        <v>0</v>
      </c>
      <c r="AF19">
        <v>0</v>
      </c>
      <c r="AG19">
        <v>0</v>
      </c>
      <c r="AI19">
        <v>0</v>
      </c>
      <c r="AJ19">
        <v>5</v>
      </c>
      <c r="AK19">
        <v>365</v>
      </c>
      <c r="AL19">
        <v>365</v>
      </c>
      <c r="AM19">
        <v>469</v>
      </c>
      <c r="AN19">
        <v>44</v>
      </c>
      <c r="AP19">
        <v>1</v>
      </c>
      <c r="AR19" t="s">
        <v>91</v>
      </c>
      <c r="AS19" s="1">
        <v>44354.102083333331</v>
      </c>
      <c r="AT19" s="1">
        <v>44354.106828703705</v>
      </c>
      <c r="AU19" s="1">
        <v>44354.107453703706</v>
      </c>
      <c r="AV19" t="s">
        <v>71</v>
      </c>
      <c r="AW19" t="s">
        <v>72</v>
      </c>
      <c r="AX19" t="s">
        <v>73</v>
      </c>
    </row>
    <row r="20" spans="1:50" x14ac:dyDescent="0.3">
      <c r="A20" t="str">
        <f>"200007C0100"</f>
        <v>200007C0100</v>
      </c>
      <c r="B20" t="str">
        <f>"200007C01002"</f>
        <v>200007C01002</v>
      </c>
      <c r="C20" t="str">
        <f t="shared" si="0"/>
        <v>20</v>
      </c>
      <c r="D20" t="s">
        <v>67</v>
      </c>
      <c r="E20" t="str">
        <f t="shared" si="1"/>
        <v>001</v>
      </c>
      <c r="F20" t="s">
        <v>68</v>
      </c>
      <c r="G20" t="str">
        <f>"0007"</f>
        <v>0007</v>
      </c>
      <c r="H20" t="str">
        <f>"0001"</f>
        <v>0001</v>
      </c>
      <c r="I20" t="s">
        <v>75</v>
      </c>
      <c r="J20">
        <v>0</v>
      </c>
      <c r="K20">
        <v>1</v>
      </c>
      <c r="L20">
        <v>2</v>
      </c>
      <c r="M20">
        <v>182</v>
      </c>
      <c r="N20">
        <v>330</v>
      </c>
      <c r="O20">
        <v>6</v>
      </c>
      <c r="P20">
        <v>330</v>
      </c>
      <c r="Q20">
        <v>6</v>
      </c>
      <c r="R20">
        <v>78</v>
      </c>
      <c r="S20">
        <v>3</v>
      </c>
      <c r="T20">
        <v>1</v>
      </c>
      <c r="U20">
        <v>1</v>
      </c>
      <c r="V20">
        <v>2</v>
      </c>
      <c r="W20">
        <v>1</v>
      </c>
      <c r="X20">
        <v>216</v>
      </c>
      <c r="Y20">
        <v>0</v>
      </c>
      <c r="Z20">
        <v>3</v>
      </c>
      <c r="AA20">
        <v>4</v>
      </c>
      <c r="AB20">
        <v>5</v>
      </c>
      <c r="AD20">
        <v>0</v>
      </c>
      <c r="AE20">
        <v>0</v>
      </c>
      <c r="AF20">
        <v>0</v>
      </c>
      <c r="AG20">
        <v>0</v>
      </c>
      <c r="AI20">
        <v>0</v>
      </c>
      <c r="AJ20">
        <v>10</v>
      </c>
      <c r="AK20">
        <v>330</v>
      </c>
      <c r="AL20">
        <v>330</v>
      </c>
      <c r="AM20">
        <v>468</v>
      </c>
      <c r="AN20">
        <v>44</v>
      </c>
      <c r="AP20">
        <v>1</v>
      </c>
      <c r="AR20" t="s">
        <v>92</v>
      </c>
      <c r="AS20" s="1">
        <v>44354.102083333331</v>
      </c>
      <c r="AT20" s="1">
        <v>44354.106030092589</v>
      </c>
      <c r="AU20" s="1">
        <v>44354.106365740743</v>
      </c>
      <c r="AV20" t="s">
        <v>71</v>
      </c>
      <c r="AW20" t="s">
        <v>72</v>
      </c>
      <c r="AX20" t="s">
        <v>73</v>
      </c>
    </row>
    <row r="21" spans="1:50" x14ac:dyDescent="0.3">
      <c r="A21" t="str">
        <f>"200008B0000"</f>
        <v>200008B0000</v>
      </c>
      <c r="B21" t="str">
        <f>"200008B00002"</f>
        <v>200008B00002</v>
      </c>
      <c r="C21" t="str">
        <f t="shared" si="0"/>
        <v>20</v>
      </c>
      <c r="D21" t="s">
        <v>67</v>
      </c>
      <c r="E21" t="str">
        <f t="shared" si="1"/>
        <v>001</v>
      </c>
      <c r="F21" t="s">
        <v>68</v>
      </c>
      <c r="G21" t="str">
        <f>"0008"</f>
        <v>0008</v>
      </c>
      <c r="H21" t="str">
        <f>"0000"</f>
        <v>0000</v>
      </c>
      <c r="I21" t="s">
        <v>69</v>
      </c>
      <c r="J21">
        <v>0</v>
      </c>
      <c r="K21">
        <v>1</v>
      </c>
      <c r="L21">
        <v>2</v>
      </c>
      <c r="M21">
        <v>141</v>
      </c>
      <c r="N21">
        <v>288</v>
      </c>
      <c r="O21">
        <v>7</v>
      </c>
      <c r="P21">
        <v>288</v>
      </c>
      <c r="Q21">
        <v>11</v>
      </c>
      <c r="R21">
        <v>75</v>
      </c>
      <c r="S21">
        <v>2</v>
      </c>
      <c r="T21">
        <v>2</v>
      </c>
      <c r="U21">
        <v>2</v>
      </c>
      <c r="V21">
        <v>0</v>
      </c>
      <c r="W21">
        <v>2</v>
      </c>
      <c r="X21">
        <v>168</v>
      </c>
      <c r="Y21">
        <v>1</v>
      </c>
      <c r="Z21">
        <v>6</v>
      </c>
      <c r="AA21">
        <v>6</v>
      </c>
      <c r="AB21">
        <v>2</v>
      </c>
      <c r="AD21">
        <v>2</v>
      </c>
      <c r="AE21">
        <v>1</v>
      </c>
      <c r="AF21">
        <v>2</v>
      </c>
      <c r="AG21">
        <v>3</v>
      </c>
      <c r="AI21">
        <v>1</v>
      </c>
      <c r="AJ21">
        <v>4</v>
      </c>
      <c r="AK21">
        <v>288</v>
      </c>
      <c r="AL21">
        <v>290</v>
      </c>
      <c r="AM21">
        <v>385</v>
      </c>
      <c r="AN21">
        <v>44</v>
      </c>
      <c r="AP21">
        <v>1</v>
      </c>
      <c r="AR21" t="s">
        <v>93</v>
      </c>
      <c r="AS21" s="1">
        <v>44354.133333333331</v>
      </c>
      <c r="AT21" s="1">
        <v>44354.138726851852</v>
      </c>
      <c r="AU21" s="1">
        <v>44354.139143518521</v>
      </c>
      <c r="AV21" t="s">
        <v>71</v>
      </c>
      <c r="AW21" t="s">
        <v>72</v>
      </c>
      <c r="AX21" t="s">
        <v>73</v>
      </c>
    </row>
    <row r="22" spans="1:50" x14ac:dyDescent="0.3">
      <c r="A22" t="str">
        <f>"200008C0100"</f>
        <v>200008C0100</v>
      </c>
      <c r="B22" t="str">
        <f>"200008C01002"</f>
        <v>200008C01002</v>
      </c>
      <c r="C22" t="str">
        <f t="shared" si="0"/>
        <v>20</v>
      </c>
      <c r="D22" t="s">
        <v>67</v>
      </c>
      <c r="E22" t="str">
        <f t="shared" si="1"/>
        <v>001</v>
      </c>
      <c r="F22" t="s">
        <v>68</v>
      </c>
      <c r="G22" t="str">
        <f>"0008"</f>
        <v>0008</v>
      </c>
      <c r="H22" t="str">
        <f>"0001"</f>
        <v>0001</v>
      </c>
      <c r="I22" t="s">
        <v>75</v>
      </c>
      <c r="J22">
        <v>0</v>
      </c>
      <c r="K22">
        <v>1</v>
      </c>
      <c r="L22">
        <v>2</v>
      </c>
      <c r="M22">
        <v>145</v>
      </c>
      <c r="N22">
        <v>283</v>
      </c>
      <c r="O22">
        <v>4</v>
      </c>
      <c r="P22">
        <v>283</v>
      </c>
      <c r="Q22">
        <v>8</v>
      </c>
      <c r="R22">
        <v>77</v>
      </c>
      <c r="S22">
        <v>5</v>
      </c>
      <c r="T22">
        <v>3</v>
      </c>
      <c r="U22">
        <v>0</v>
      </c>
      <c r="V22">
        <v>1</v>
      </c>
      <c r="W22">
        <v>1</v>
      </c>
      <c r="X22">
        <v>164</v>
      </c>
      <c r="Y22">
        <v>1</v>
      </c>
      <c r="Z22">
        <v>4</v>
      </c>
      <c r="AA22">
        <v>1</v>
      </c>
      <c r="AB22">
        <v>6</v>
      </c>
      <c r="AD22">
        <v>7</v>
      </c>
      <c r="AE22">
        <v>2</v>
      </c>
      <c r="AF22">
        <v>0</v>
      </c>
      <c r="AG22">
        <v>0</v>
      </c>
      <c r="AI22">
        <v>0</v>
      </c>
      <c r="AJ22">
        <v>3</v>
      </c>
      <c r="AK22">
        <v>283</v>
      </c>
      <c r="AL22">
        <v>283</v>
      </c>
      <c r="AM22">
        <v>384</v>
      </c>
      <c r="AN22">
        <v>44</v>
      </c>
      <c r="AP22">
        <v>1</v>
      </c>
      <c r="AR22" t="s">
        <v>94</v>
      </c>
      <c r="AS22" s="1">
        <v>44354.132638888892</v>
      </c>
      <c r="AT22" s="1">
        <v>44354.142164351855</v>
      </c>
      <c r="AU22" s="1">
        <v>44354.142800925925</v>
      </c>
      <c r="AV22" t="s">
        <v>71</v>
      </c>
      <c r="AW22" t="s">
        <v>72</v>
      </c>
      <c r="AX22" t="s">
        <v>73</v>
      </c>
    </row>
    <row r="23" spans="1:50" x14ac:dyDescent="0.3">
      <c r="A23" t="str">
        <f>"200009B0000"</f>
        <v>200009B0000</v>
      </c>
      <c r="B23" t="str">
        <f>"200009B00002"</f>
        <v>200009B00002</v>
      </c>
      <c r="C23" t="str">
        <f t="shared" si="0"/>
        <v>20</v>
      </c>
      <c r="D23" t="s">
        <v>67</v>
      </c>
      <c r="E23" t="str">
        <f t="shared" si="1"/>
        <v>001</v>
      </c>
      <c r="F23" t="s">
        <v>68</v>
      </c>
      <c r="G23" t="str">
        <f>"0009"</f>
        <v>0009</v>
      </c>
      <c r="H23" t="str">
        <f>"0000"</f>
        <v>0000</v>
      </c>
      <c r="I23" t="s">
        <v>69</v>
      </c>
      <c r="J23">
        <v>0</v>
      </c>
      <c r="K23">
        <v>1</v>
      </c>
      <c r="L23">
        <v>2</v>
      </c>
      <c r="M23">
        <v>210</v>
      </c>
      <c r="N23">
        <v>511</v>
      </c>
      <c r="O23">
        <v>5</v>
      </c>
      <c r="P23">
        <v>511</v>
      </c>
      <c r="Q23">
        <v>10</v>
      </c>
      <c r="R23">
        <v>120</v>
      </c>
      <c r="S23">
        <v>14</v>
      </c>
      <c r="T23">
        <v>3</v>
      </c>
      <c r="U23">
        <v>4</v>
      </c>
      <c r="V23">
        <v>2</v>
      </c>
      <c r="W23">
        <v>2</v>
      </c>
      <c r="X23">
        <v>330</v>
      </c>
      <c r="Y23">
        <v>0</v>
      </c>
      <c r="Z23">
        <v>4</v>
      </c>
      <c r="AA23">
        <v>2</v>
      </c>
      <c r="AB23">
        <v>4</v>
      </c>
      <c r="AD23">
        <v>10</v>
      </c>
      <c r="AE23">
        <v>0</v>
      </c>
      <c r="AF23">
        <v>0</v>
      </c>
      <c r="AG23">
        <v>1</v>
      </c>
      <c r="AI23">
        <v>0</v>
      </c>
      <c r="AJ23">
        <v>5</v>
      </c>
      <c r="AK23">
        <v>511</v>
      </c>
      <c r="AL23">
        <v>511</v>
      </c>
      <c r="AM23">
        <v>677</v>
      </c>
      <c r="AN23">
        <v>44</v>
      </c>
      <c r="AP23">
        <v>1</v>
      </c>
      <c r="AR23" t="s">
        <v>95</v>
      </c>
      <c r="AS23" s="1">
        <v>44354.132638888892</v>
      </c>
      <c r="AT23" s="1">
        <v>44354.145902777775</v>
      </c>
      <c r="AU23" s="1">
        <v>44354.146701388891</v>
      </c>
      <c r="AV23" t="s">
        <v>71</v>
      </c>
      <c r="AW23" t="s">
        <v>72</v>
      </c>
      <c r="AX23" t="s">
        <v>73</v>
      </c>
    </row>
    <row r="24" spans="1:50" x14ac:dyDescent="0.3">
      <c r="A24" t="str">
        <f>"200010B0000"</f>
        <v>200010B0000</v>
      </c>
      <c r="B24" t="str">
        <f>"200010B00002"</f>
        <v>200010B00002</v>
      </c>
      <c r="C24" t="str">
        <f t="shared" si="0"/>
        <v>20</v>
      </c>
      <c r="D24" t="s">
        <v>67</v>
      </c>
      <c r="E24" t="str">
        <f t="shared" si="1"/>
        <v>001</v>
      </c>
      <c r="F24" t="s">
        <v>68</v>
      </c>
      <c r="G24" t="str">
        <f>"0010"</f>
        <v>0010</v>
      </c>
      <c r="H24" t="str">
        <f>"0000"</f>
        <v>0000</v>
      </c>
      <c r="I24" t="s">
        <v>69</v>
      </c>
      <c r="J24">
        <v>0</v>
      </c>
      <c r="K24">
        <v>1</v>
      </c>
      <c r="L24">
        <v>2</v>
      </c>
      <c r="M24">
        <v>190</v>
      </c>
      <c r="N24">
        <v>459</v>
      </c>
      <c r="O24">
        <v>6</v>
      </c>
      <c r="P24">
        <v>459</v>
      </c>
      <c r="Q24">
        <v>15</v>
      </c>
      <c r="R24">
        <v>112</v>
      </c>
      <c r="S24">
        <v>2</v>
      </c>
      <c r="T24">
        <v>0</v>
      </c>
      <c r="U24">
        <v>14</v>
      </c>
      <c r="V24">
        <v>2</v>
      </c>
      <c r="W24">
        <v>0</v>
      </c>
      <c r="X24">
        <v>292</v>
      </c>
      <c r="Y24">
        <v>2</v>
      </c>
      <c r="Z24">
        <v>5</v>
      </c>
      <c r="AA24">
        <v>4</v>
      </c>
      <c r="AB24">
        <v>3</v>
      </c>
      <c r="AD24">
        <v>3</v>
      </c>
      <c r="AE24">
        <v>3</v>
      </c>
      <c r="AF24">
        <v>0</v>
      </c>
      <c r="AG24">
        <v>0</v>
      </c>
      <c r="AI24">
        <v>0</v>
      </c>
      <c r="AJ24">
        <v>2</v>
      </c>
      <c r="AK24">
        <v>459</v>
      </c>
      <c r="AL24">
        <v>459</v>
      </c>
      <c r="AM24">
        <v>605</v>
      </c>
      <c r="AN24">
        <v>44</v>
      </c>
      <c r="AP24">
        <v>1</v>
      </c>
      <c r="AR24" t="s">
        <v>96</v>
      </c>
      <c r="AS24" s="1">
        <v>44354.061805555553</v>
      </c>
      <c r="AT24" s="1">
        <v>44354.068368055552</v>
      </c>
      <c r="AU24" s="1">
        <v>44354.069398148145</v>
      </c>
      <c r="AV24" t="s">
        <v>71</v>
      </c>
      <c r="AW24" t="s">
        <v>72</v>
      </c>
      <c r="AX24" t="s">
        <v>73</v>
      </c>
    </row>
    <row r="25" spans="1:50" x14ac:dyDescent="0.3">
      <c r="A25" t="str">
        <f>"200010C0100"</f>
        <v>200010C0100</v>
      </c>
      <c r="B25" t="str">
        <f>"200010C01002"</f>
        <v>200010C01002</v>
      </c>
      <c r="C25" t="str">
        <f t="shared" si="0"/>
        <v>20</v>
      </c>
      <c r="D25" t="s">
        <v>67</v>
      </c>
      <c r="E25" t="str">
        <f t="shared" si="1"/>
        <v>001</v>
      </c>
      <c r="F25" t="s">
        <v>68</v>
      </c>
      <c r="G25" t="str">
        <f>"0010"</f>
        <v>0010</v>
      </c>
      <c r="H25" t="str">
        <f>"0001"</f>
        <v>0001</v>
      </c>
      <c r="I25" t="s">
        <v>75</v>
      </c>
      <c r="J25">
        <v>0</v>
      </c>
      <c r="K25">
        <v>1</v>
      </c>
      <c r="L25">
        <v>2</v>
      </c>
      <c r="M25">
        <v>193</v>
      </c>
      <c r="N25">
        <v>455</v>
      </c>
      <c r="O25">
        <v>2</v>
      </c>
      <c r="P25">
        <v>455</v>
      </c>
      <c r="Q25">
        <v>11</v>
      </c>
      <c r="R25">
        <v>85</v>
      </c>
      <c r="S25">
        <v>0</v>
      </c>
      <c r="T25">
        <v>0</v>
      </c>
      <c r="U25">
        <v>4</v>
      </c>
      <c r="V25">
        <v>6</v>
      </c>
      <c r="W25">
        <v>1</v>
      </c>
      <c r="X25">
        <v>322</v>
      </c>
      <c r="Y25">
        <v>1</v>
      </c>
      <c r="Z25">
        <v>9</v>
      </c>
      <c r="AA25">
        <v>3</v>
      </c>
      <c r="AB25">
        <v>3</v>
      </c>
      <c r="AD25">
        <v>4</v>
      </c>
      <c r="AE25">
        <v>0</v>
      </c>
      <c r="AF25">
        <v>0</v>
      </c>
      <c r="AG25">
        <v>0</v>
      </c>
      <c r="AI25">
        <v>0</v>
      </c>
      <c r="AJ25">
        <v>6</v>
      </c>
      <c r="AK25">
        <v>455</v>
      </c>
      <c r="AL25">
        <v>455</v>
      </c>
      <c r="AM25">
        <v>604</v>
      </c>
      <c r="AN25">
        <v>44</v>
      </c>
      <c r="AP25">
        <v>1</v>
      </c>
      <c r="AR25" t="s">
        <v>97</v>
      </c>
      <c r="AS25" s="1">
        <v>44354.063888888886</v>
      </c>
      <c r="AT25" s="1">
        <v>44354.069976851853</v>
      </c>
      <c r="AU25" s="1">
        <v>44354.070509259262</v>
      </c>
      <c r="AV25" t="s">
        <v>71</v>
      </c>
      <c r="AW25" t="s">
        <v>72</v>
      </c>
      <c r="AX25" t="s">
        <v>73</v>
      </c>
    </row>
    <row r="26" spans="1:50" x14ac:dyDescent="0.3">
      <c r="A26" t="str">
        <f>"200011B0000"</f>
        <v>200011B0000</v>
      </c>
      <c r="B26" t="str">
        <f>"200011B00002"</f>
        <v>200011B00002</v>
      </c>
      <c r="C26" t="str">
        <f t="shared" si="0"/>
        <v>20</v>
      </c>
      <c r="D26" t="s">
        <v>67</v>
      </c>
      <c r="E26" t="str">
        <f t="shared" si="1"/>
        <v>001</v>
      </c>
      <c r="F26" t="s">
        <v>68</v>
      </c>
      <c r="G26" t="str">
        <f>"0011"</f>
        <v>0011</v>
      </c>
      <c r="H26" t="str">
        <f>"0000"</f>
        <v>0000</v>
      </c>
      <c r="I26" t="s">
        <v>69</v>
      </c>
      <c r="J26">
        <v>0</v>
      </c>
      <c r="K26">
        <v>1</v>
      </c>
      <c r="L26">
        <v>2</v>
      </c>
      <c r="M26">
        <v>221</v>
      </c>
      <c r="N26">
        <v>345</v>
      </c>
      <c r="O26">
        <v>3</v>
      </c>
      <c r="P26">
        <v>345</v>
      </c>
      <c r="Q26">
        <v>13</v>
      </c>
      <c r="R26">
        <v>95</v>
      </c>
      <c r="S26">
        <v>3</v>
      </c>
      <c r="T26">
        <v>1</v>
      </c>
      <c r="U26">
        <v>4</v>
      </c>
      <c r="V26">
        <v>2</v>
      </c>
      <c r="W26">
        <v>0</v>
      </c>
      <c r="X26">
        <v>206</v>
      </c>
      <c r="Y26">
        <v>0</v>
      </c>
      <c r="Z26">
        <v>3</v>
      </c>
      <c r="AA26">
        <v>3</v>
      </c>
      <c r="AB26">
        <v>4</v>
      </c>
      <c r="AD26">
        <v>4</v>
      </c>
      <c r="AE26">
        <v>0</v>
      </c>
      <c r="AF26">
        <v>0</v>
      </c>
      <c r="AG26">
        <v>0</v>
      </c>
      <c r="AI26">
        <v>0</v>
      </c>
      <c r="AJ26">
        <v>7</v>
      </c>
      <c r="AK26">
        <v>345</v>
      </c>
      <c r="AL26">
        <v>345</v>
      </c>
      <c r="AM26">
        <v>522</v>
      </c>
      <c r="AN26">
        <v>44</v>
      </c>
      <c r="AP26">
        <v>1</v>
      </c>
      <c r="AR26" t="s">
        <v>98</v>
      </c>
      <c r="AS26" s="1">
        <v>44354.0625</v>
      </c>
      <c r="AT26" s="1">
        <v>44354.069143518522</v>
      </c>
      <c r="AU26" s="1">
        <v>44354.069733796299</v>
      </c>
      <c r="AV26" t="s">
        <v>71</v>
      </c>
      <c r="AW26" t="s">
        <v>72</v>
      </c>
      <c r="AX26" t="s">
        <v>73</v>
      </c>
    </row>
    <row r="27" spans="1:50" x14ac:dyDescent="0.3">
      <c r="A27" t="str">
        <f>"200011C0100"</f>
        <v>200011C0100</v>
      </c>
      <c r="B27" t="str">
        <f>"200011C01002"</f>
        <v>200011C01002</v>
      </c>
      <c r="C27" t="str">
        <f t="shared" si="0"/>
        <v>20</v>
      </c>
      <c r="D27" t="s">
        <v>67</v>
      </c>
      <c r="E27" t="str">
        <f t="shared" si="1"/>
        <v>001</v>
      </c>
      <c r="F27" t="s">
        <v>68</v>
      </c>
      <c r="G27" t="str">
        <f>"0011"</f>
        <v>0011</v>
      </c>
      <c r="H27" t="str">
        <f>"0001"</f>
        <v>0001</v>
      </c>
      <c r="I27" t="s">
        <v>75</v>
      </c>
      <c r="J27">
        <v>0</v>
      </c>
      <c r="K27">
        <v>1</v>
      </c>
      <c r="L27">
        <v>2</v>
      </c>
      <c r="M27">
        <v>201</v>
      </c>
      <c r="N27" t="s">
        <v>99</v>
      </c>
      <c r="O27">
        <v>1</v>
      </c>
      <c r="P27">
        <v>364</v>
      </c>
      <c r="Q27">
        <v>13</v>
      </c>
      <c r="R27">
        <v>96</v>
      </c>
      <c r="S27">
        <v>2</v>
      </c>
      <c r="T27">
        <v>3</v>
      </c>
      <c r="U27">
        <v>7</v>
      </c>
      <c r="V27">
        <v>1</v>
      </c>
      <c r="W27">
        <v>1</v>
      </c>
      <c r="X27">
        <v>210</v>
      </c>
      <c r="Y27">
        <v>1</v>
      </c>
      <c r="Z27">
        <v>6</v>
      </c>
      <c r="AA27">
        <v>4</v>
      </c>
      <c r="AB27">
        <v>5</v>
      </c>
      <c r="AD27">
        <v>5</v>
      </c>
      <c r="AE27">
        <v>0</v>
      </c>
      <c r="AF27">
        <v>0</v>
      </c>
      <c r="AG27">
        <v>0</v>
      </c>
      <c r="AI27">
        <v>0</v>
      </c>
      <c r="AJ27">
        <v>10</v>
      </c>
      <c r="AK27">
        <v>364</v>
      </c>
      <c r="AL27">
        <v>364</v>
      </c>
      <c r="AM27">
        <v>521</v>
      </c>
      <c r="AN27">
        <v>44</v>
      </c>
      <c r="AP27">
        <v>1</v>
      </c>
      <c r="AR27" t="s">
        <v>100</v>
      </c>
      <c r="AS27" s="1">
        <v>44354.063194444447</v>
      </c>
      <c r="AT27" s="1">
        <v>44354.069768518515</v>
      </c>
      <c r="AU27" s="1">
        <v>44354.070300925923</v>
      </c>
      <c r="AV27" t="s">
        <v>71</v>
      </c>
      <c r="AW27" t="s">
        <v>72</v>
      </c>
      <c r="AX27" t="s">
        <v>73</v>
      </c>
    </row>
    <row r="28" spans="1:50" x14ac:dyDescent="0.3">
      <c r="A28" t="str">
        <f>"200011C0200"</f>
        <v>200011C0200</v>
      </c>
      <c r="B28" t="str">
        <f>"200011C02002"</f>
        <v>200011C02002</v>
      </c>
      <c r="C28" t="str">
        <f t="shared" si="0"/>
        <v>20</v>
      </c>
      <c r="D28" t="s">
        <v>67</v>
      </c>
      <c r="E28" t="str">
        <f t="shared" si="1"/>
        <v>001</v>
      </c>
      <c r="F28" t="s">
        <v>68</v>
      </c>
      <c r="G28" t="str">
        <f>"0011"</f>
        <v>0011</v>
      </c>
      <c r="H28" t="str">
        <f>"0002"</f>
        <v>0002</v>
      </c>
      <c r="I28" t="s">
        <v>75</v>
      </c>
      <c r="J28">
        <v>0</v>
      </c>
      <c r="K28">
        <v>1</v>
      </c>
      <c r="L28">
        <v>2</v>
      </c>
      <c r="M28">
        <v>203</v>
      </c>
      <c r="N28">
        <v>362</v>
      </c>
      <c r="O28">
        <v>3</v>
      </c>
      <c r="P28">
        <v>362</v>
      </c>
      <c r="Q28">
        <v>15</v>
      </c>
      <c r="R28">
        <v>81</v>
      </c>
      <c r="S28">
        <v>4</v>
      </c>
      <c r="T28">
        <v>1</v>
      </c>
      <c r="U28">
        <v>1</v>
      </c>
      <c r="V28">
        <v>0</v>
      </c>
      <c r="W28">
        <v>0</v>
      </c>
      <c r="X28">
        <v>228</v>
      </c>
      <c r="Y28">
        <v>2</v>
      </c>
      <c r="Z28">
        <v>6</v>
      </c>
      <c r="AA28">
        <v>7</v>
      </c>
      <c r="AB28">
        <v>5</v>
      </c>
      <c r="AD28">
        <v>6</v>
      </c>
      <c r="AE28">
        <v>1</v>
      </c>
      <c r="AF28">
        <v>0</v>
      </c>
      <c r="AG28">
        <v>0</v>
      </c>
      <c r="AI28">
        <v>0</v>
      </c>
      <c r="AJ28">
        <v>5</v>
      </c>
      <c r="AK28">
        <v>362</v>
      </c>
      <c r="AL28">
        <v>362</v>
      </c>
      <c r="AM28">
        <v>521</v>
      </c>
      <c r="AN28">
        <v>44</v>
      </c>
      <c r="AP28">
        <v>1</v>
      </c>
      <c r="AR28" t="s">
        <v>101</v>
      </c>
      <c r="AS28" s="1">
        <v>44354.063194444447</v>
      </c>
      <c r="AT28" s="1">
        <v>44354.069386574076</v>
      </c>
      <c r="AU28" s="1">
        <v>44354.069791666669</v>
      </c>
      <c r="AV28" t="s">
        <v>71</v>
      </c>
      <c r="AW28" t="s">
        <v>72</v>
      </c>
      <c r="AX28" t="s">
        <v>73</v>
      </c>
    </row>
    <row r="29" spans="1:50" x14ac:dyDescent="0.3">
      <c r="A29" t="str">
        <f>"200012B0000"</f>
        <v>200012B0000</v>
      </c>
      <c r="B29" t="str">
        <f>"200012B00002"</f>
        <v>200012B00002</v>
      </c>
      <c r="C29" t="str">
        <f t="shared" si="0"/>
        <v>20</v>
      </c>
      <c r="D29" t="s">
        <v>67</v>
      </c>
      <c r="E29" t="str">
        <f t="shared" si="1"/>
        <v>001</v>
      </c>
      <c r="F29" t="s">
        <v>68</v>
      </c>
      <c r="G29" t="str">
        <f>"0012"</f>
        <v>0012</v>
      </c>
      <c r="H29" t="str">
        <f>"0000"</f>
        <v>0000</v>
      </c>
      <c r="I29" t="s">
        <v>69</v>
      </c>
      <c r="J29">
        <v>0</v>
      </c>
      <c r="K29">
        <v>1</v>
      </c>
      <c r="L29">
        <v>2</v>
      </c>
      <c r="M29">
        <v>222</v>
      </c>
      <c r="N29">
        <v>382</v>
      </c>
      <c r="O29">
        <v>3</v>
      </c>
      <c r="P29">
        <v>382</v>
      </c>
      <c r="Q29">
        <v>15</v>
      </c>
      <c r="R29">
        <v>88</v>
      </c>
      <c r="S29">
        <v>6</v>
      </c>
      <c r="T29">
        <v>1</v>
      </c>
      <c r="U29">
        <v>3</v>
      </c>
      <c r="V29">
        <v>2</v>
      </c>
      <c r="W29">
        <v>1</v>
      </c>
      <c r="X29">
        <v>234</v>
      </c>
      <c r="Y29">
        <v>0</v>
      </c>
      <c r="Z29">
        <v>14</v>
      </c>
      <c r="AA29">
        <v>3</v>
      </c>
      <c r="AB29">
        <v>2</v>
      </c>
      <c r="AD29">
        <v>6</v>
      </c>
      <c r="AE29">
        <v>3</v>
      </c>
      <c r="AF29">
        <v>0</v>
      </c>
      <c r="AG29">
        <v>0</v>
      </c>
      <c r="AI29">
        <v>0</v>
      </c>
      <c r="AJ29">
        <v>4</v>
      </c>
      <c r="AK29">
        <v>382</v>
      </c>
      <c r="AL29">
        <v>382</v>
      </c>
      <c r="AM29">
        <v>560</v>
      </c>
      <c r="AN29">
        <v>44</v>
      </c>
      <c r="AP29">
        <v>1</v>
      </c>
      <c r="AR29" t="s">
        <v>102</v>
      </c>
      <c r="AS29" s="1">
        <v>44354.112500000003</v>
      </c>
      <c r="AT29" s="1">
        <v>44354.117939814816</v>
      </c>
      <c r="AU29" s="1">
        <v>44354.11855324074</v>
      </c>
      <c r="AV29" t="s">
        <v>71</v>
      </c>
      <c r="AW29" t="s">
        <v>72</v>
      </c>
      <c r="AX29" t="s">
        <v>73</v>
      </c>
    </row>
    <row r="30" spans="1:50" x14ac:dyDescent="0.3">
      <c r="A30" t="str">
        <f>"200012C0100"</f>
        <v>200012C0100</v>
      </c>
      <c r="B30" t="str">
        <f>"200012C01002"</f>
        <v>200012C01002</v>
      </c>
      <c r="C30" t="str">
        <f t="shared" si="0"/>
        <v>20</v>
      </c>
      <c r="D30" t="s">
        <v>67</v>
      </c>
      <c r="E30" t="str">
        <f t="shared" si="1"/>
        <v>001</v>
      </c>
      <c r="F30" t="s">
        <v>68</v>
      </c>
      <c r="G30" t="str">
        <f>"0012"</f>
        <v>0012</v>
      </c>
      <c r="H30" t="str">
        <f>"0001"</f>
        <v>0001</v>
      </c>
      <c r="I30" t="s">
        <v>75</v>
      </c>
      <c r="J30">
        <v>0</v>
      </c>
      <c r="K30">
        <v>1</v>
      </c>
      <c r="L30">
        <v>2</v>
      </c>
      <c r="M30">
        <v>215</v>
      </c>
      <c r="N30">
        <v>389</v>
      </c>
      <c r="O30">
        <v>0</v>
      </c>
      <c r="P30">
        <v>389</v>
      </c>
      <c r="Q30">
        <v>15</v>
      </c>
      <c r="R30">
        <v>74</v>
      </c>
      <c r="S30">
        <v>4</v>
      </c>
      <c r="T30">
        <v>2</v>
      </c>
      <c r="U30">
        <v>8</v>
      </c>
      <c r="V30">
        <v>4</v>
      </c>
      <c r="W30">
        <v>1</v>
      </c>
      <c r="X30">
        <v>248</v>
      </c>
      <c r="Y30" t="s">
        <v>77</v>
      </c>
      <c r="Z30">
        <v>9</v>
      </c>
      <c r="AA30">
        <v>9</v>
      </c>
      <c r="AB30">
        <v>1</v>
      </c>
      <c r="AD30">
        <v>8</v>
      </c>
      <c r="AE30" t="s">
        <v>77</v>
      </c>
      <c r="AF30" t="s">
        <v>77</v>
      </c>
      <c r="AG30" t="s">
        <v>77</v>
      </c>
      <c r="AI30" t="s">
        <v>77</v>
      </c>
      <c r="AJ30">
        <v>6</v>
      </c>
      <c r="AK30">
        <v>389</v>
      </c>
      <c r="AL30">
        <v>389</v>
      </c>
      <c r="AM30">
        <v>560</v>
      </c>
      <c r="AN30">
        <v>44</v>
      </c>
      <c r="AO30" t="s">
        <v>78</v>
      </c>
      <c r="AP30">
        <v>1</v>
      </c>
      <c r="AR30" t="s">
        <v>103</v>
      </c>
      <c r="AS30" s="1">
        <v>44354.112500000003</v>
      </c>
      <c r="AT30" s="1">
        <v>44354.117037037038</v>
      </c>
      <c r="AU30" s="1">
        <v>44354.117777777778</v>
      </c>
      <c r="AV30" t="s">
        <v>71</v>
      </c>
      <c r="AW30" t="s">
        <v>72</v>
      </c>
      <c r="AX30" t="s">
        <v>73</v>
      </c>
    </row>
    <row r="31" spans="1:50" x14ac:dyDescent="0.3">
      <c r="A31" t="str">
        <f>"200012C0200"</f>
        <v>200012C0200</v>
      </c>
      <c r="B31" t="str">
        <f>"200012C02002"</f>
        <v>200012C02002</v>
      </c>
      <c r="C31" t="str">
        <f t="shared" si="0"/>
        <v>20</v>
      </c>
      <c r="D31" t="s">
        <v>67</v>
      </c>
      <c r="E31" t="str">
        <f t="shared" si="1"/>
        <v>001</v>
      </c>
      <c r="F31" t="s">
        <v>68</v>
      </c>
      <c r="G31" t="str">
        <f>"0012"</f>
        <v>0012</v>
      </c>
      <c r="H31" t="str">
        <f>"0002"</f>
        <v>0002</v>
      </c>
      <c r="I31" t="s">
        <v>75</v>
      </c>
      <c r="J31">
        <v>0</v>
      </c>
      <c r="K31">
        <v>1</v>
      </c>
      <c r="L31">
        <v>2</v>
      </c>
      <c r="M31">
        <v>233</v>
      </c>
      <c r="N31">
        <v>371</v>
      </c>
      <c r="O31">
        <v>1</v>
      </c>
      <c r="P31">
        <v>371</v>
      </c>
      <c r="Q31">
        <v>9</v>
      </c>
      <c r="R31">
        <v>73</v>
      </c>
      <c r="S31">
        <v>5</v>
      </c>
      <c r="T31">
        <v>0</v>
      </c>
      <c r="U31">
        <v>4</v>
      </c>
      <c r="V31">
        <v>2</v>
      </c>
      <c r="W31">
        <v>2</v>
      </c>
      <c r="X31">
        <v>250</v>
      </c>
      <c r="Y31">
        <v>2</v>
      </c>
      <c r="Z31">
        <v>11</v>
      </c>
      <c r="AA31">
        <v>3</v>
      </c>
      <c r="AB31">
        <v>0</v>
      </c>
      <c r="AD31">
        <v>4</v>
      </c>
      <c r="AE31">
        <v>2</v>
      </c>
      <c r="AF31">
        <v>0</v>
      </c>
      <c r="AG31">
        <v>0</v>
      </c>
      <c r="AI31">
        <v>0</v>
      </c>
      <c r="AJ31">
        <v>4</v>
      </c>
      <c r="AK31">
        <v>371</v>
      </c>
      <c r="AL31">
        <v>371</v>
      </c>
      <c r="AM31">
        <v>560</v>
      </c>
      <c r="AN31">
        <v>44</v>
      </c>
      <c r="AP31">
        <v>1</v>
      </c>
      <c r="AR31" t="s">
        <v>104</v>
      </c>
      <c r="AS31" s="1">
        <v>44354.112500000003</v>
      </c>
      <c r="AT31" s="1">
        <v>44354.116168981483</v>
      </c>
      <c r="AU31" s="1">
        <v>44354.117060185185</v>
      </c>
      <c r="AV31" t="s">
        <v>71</v>
      </c>
      <c r="AW31" t="s">
        <v>72</v>
      </c>
      <c r="AX31" t="s">
        <v>73</v>
      </c>
    </row>
    <row r="32" spans="1:50" x14ac:dyDescent="0.3">
      <c r="A32" t="str">
        <f>"200013B0000"</f>
        <v>200013B0000</v>
      </c>
      <c r="B32" t="str">
        <f>"200013B00002"</f>
        <v>200013B00002</v>
      </c>
      <c r="C32" t="str">
        <f t="shared" si="0"/>
        <v>20</v>
      </c>
      <c r="D32" t="s">
        <v>67</v>
      </c>
      <c r="E32" t="str">
        <f t="shared" si="1"/>
        <v>001</v>
      </c>
      <c r="F32" t="s">
        <v>68</v>
      </c>
      <c r="G32" t="str">
        <f>"0013"</f>
        <v>0013</v>
      </c>
      <c r="H32" t="str">
        <f>"0000"</f>
        <v>0000</v>
      </c>
      <c r="I32" t="s">
        <v>69</v>
      </c>
      <c r="J32">
        <v>0</v>
      </c>
      <c r="K32">
        <v>1</v>
      </c>
      <c r="L32">
        <v>2</v>
      </c>
      <c r="M32">
        <v>185</v>
      </c>
      <c r="N32">
        <v>499</v>
      </c>
      <c r="O32">
        <v>0</v>
      </c>
      <c r="P32">
        <v>499</v>
      </c>
      <c r="Q32">
        <v>7</v>
      </c>
      <c r="R32">
        <v>168</v>
      </c>
      <c r="S32">
        <v>1</v>
      </c>
      <c r="T32">
        <v>1</v>
      </c>
      <c r="U32">
        <v>6</v>
      </c>
      <c r="V32">
        <v>5</v>
      </c>
      <c r="W32">
        <v>1</v>
      </c>
      <c r="X32">
        <v>251</v>
      </c>
      <c r="Y32">
        <v>1</v>
      </c>
      <c r="Z32">
        <v>8</v>
      </c>
      <c r="AA32">
        <v>17</v>
      </c>
      <c r="AB32">
        <v>14</v>
      </c>
      <c r="AD32">
        <v>2</v>
      </c>
      <c r="AE32">
        <v>3</v>
      </c>
      <c r="AF32" t="s">
        <v>77</v>
      </c>
      <c r="AG32" t="s">
        <v>77</v>
      </c>
      <c r="AI32" t="s">
        <v>77</v>
      </c>
      <c r="AJ32">
        <v>14</v>
      </c>
      <c r="AK32">
        <v>499</v>
      </c>
      <c r="AL32">
        <v>499</v>
      </c>
      <c r="AM32">
        <v>640</v>
      </c>
      <c r="AN32">
        <v>44</v>
      </c>
      <c r="AO32" t="s">
        <v>78</v>
      </c>
      <c r="AP32">
        <v>1</v>
      </c>
      <c r="AR32" t="s">
        <v>105</v>
      </c>
      <c r="AS32" s="1">
        <v>44354.097222222219</v>
      </c>
      <c r="AT32" s="1">
        <v>44354.102986111109</v>
      </c>
      <c r="AU32" s="1">
        <v>44354.103865740741</v>
      </c>
      <c r="AV32" t="s">
        <v>71</v>
      </c>
      <c r="AW32" t="s">
        <v>72</v>
      </c>
      <c r="AX32" t="s">
        <v>73</v>
      </c>
    </row>
    <row r="33" spans="1:50" x14ac:dyDescent="0.3">
      <c r="A33" t="str">
        <f>"200014B0000"</f>
        <v>200014B0000</v>
      </c>
      <c r="B33" t="str">
        <f>"200014B00002"</f>
        <v>200014B00002</v>
      </c>
      <c r="C33" t="str">
        <f t="shared" si="0"/>
        <v>20</v>
      </c>
      <c r="D33" t="s">
        <v>67</v>
      </c>
      <c r="E33" t="str">
        <f t="shared" si="1"/>
        <v>001</v>
      </c>
      <c r="F33" t="s">
        <v>68</v>
      </c>
      <c r="G33" t="str">
        <f>"0014"</f>
        <v>0014</v>
      </c>
      <c r="H33" t="str">
        <f>"0000"</f>
        <v>0000</v>
      </c>
      <c r="I33" t="s">
        <v>69</v>
      </c>
      <c r="J33">
        <v>0</v>
      </c>
      <c r="K33">
        <v>1</v>
      </c>
      <c r="L33">
        <v>2</v>
      </c>
      <c r="M33">
        <v>124</v>
      </c>
      <c r="N33">
        <v>326</v>
      </c>
      <c r="O33">
        <v>0</v>
      </c>
      <c r="P33">
        <v>326</v>
      </c>
      <c r="Q33">
        <v>22</v>
      </c>
      <c r="R33">
        <v>159</v>
      </c>
      <c r="S33">
        <v>1</v>
      </c>
      <c r="T33">
        <v>0</v>
      </c>
      <c r="U33">
        <v>2</v>
      </c>
      <c r="V33">
        <v>3</v>
      </c>
      <c r="W33">
        <v>4</v>
      </c>
      <c r="X33">
        <v>110</v>
      </c>
      <c r="Y33">
        <v>0</v>
      </c>
      <c r="Z33">
        <v>3</v>
      </c>
      <c r="AA33">
        <v>8</v>
      </c>
      <c r="AB33">
        <v>7</v>
      </c>
      <c r="AD33">
        <v>3</v>
      </c>
      <c r="AE33">
        <v>1</v>
      </c>
      <c r="AF33">
        <v>0</v>
      </c>
      <c r="AG33">
        <v>0</v>
      </c>
      <c r="AI33">
        <v>0</v>
      </c>
      <c r="AJ33">
        <v>3</v>
      </c>
      <c r="AK33">
        <v>326</v>
      </c>
      <c r="AL33">
        <v>326</v>
      </c>
      <c r="AM33">
        <v>406</v>
      </c>
      <c r="AN33">
        <v>44</v>
      </c>
      <c r="AP33">
        <v>1</v>
      </c>
      <c r="AR33" t="s">
        <v>106</v>
      </c>
      <c r="AS33" s="1">
        <v>44354.010416666664</v>
      </c>
      <c r="AT33" s="1">
        <v>44354.018055555556</v>
      </c>
      <c r="AU33" s="1">
        <v>44354.018611111111</v>
      </c>
      <c r="AV33" t="s">
        <v>71</v>
      </c>
      <c r="AW33" t="s">
        <v>72</v>
      </c>
      <c r="AX33" t="s">
        <v>73</v>
      </c>
    </row>
    <row r="34" spans="1:50" x14ac:dyDescent="0.3">
      <c r="A34" t="str">
        <f>"200014C0100"</f>
        <v>200014C0100</v>
      </c>
      <c r="B34" t="str">
        <f>"200014C01002"</f>
        <v>200014C01002</v>
      </c>
      <c r="C34" t="str">
        <f t="shared" si="0"/>
        <v>20</v>
      </c>
      <c r="D34" t="s">
        <v>67</v>
      </c>
      <c r="E34" t="str">
        <f t="shared" si="1"/>
        <v>001</v>
      </c>
      <c r="F34" t="s">
        <v>68</v>
      </c>
      <c r="G34" t="str">
        <f>"0014"</f>
        <v>0014</v>
      </c>
      <c r="H34" t="str">
        <f>"0001"</f>
        <v>0001</v>
      </c>
      <c r="I34" t="s">
        <v>75</v>
      </c>
      <c r="J34">
        <v>0</v>
      </c>
      <c r="K34">
        <v>1</v>
      </c>
      <c r="L34">
        <v>2</v>
      </c>
      <c r="M34">
        <v>122</v>
      </c>
      <c r="N34">
        <v>327</v>
      </c>
      <c r="O34">
        <v>0</v>
      </c>
      <c r="P34">
        <v>327</v>
      </c>
      <c r="Q34">
        <v>20</v>
      </c>
      <c r="R34">
        <v>151</v>
      </c>
      <c r="S34">
        <v>3</v>
      </c>
      <c r="T34">
        <v>1</v>
      </c>
      <c r="U34">
        <v>2</v>
      </c>
      <c r="V34">
        <v>3</v>
      </c>
      <c r="W34">
        <v>7</v>
      </c>
      <c r="X34">
        <v>105</v>
      </c>
      <c r="Y34">
        <v>0</v>
      </c>
      <c r="Z34">
        <v>5</v>
      </c>
      <c r="AA34">
        <v>3</v>
      </c>
      <c r="AB34">
        <v>5</v>
      </c>
      <c r="AD34">
        <v>14</v>
      </c>
      <c r="AE34" t="s">
        <v>77</v>
      </c>
      <c r="AF34" t="s">
        <v>77</v>
      </c>
      <c r="AG34" t="s">
        <v>77</v>
      </c>
      <c r="AI34" t="s">
        <v>77</v>
      </c>
      <c r="AJ34">
        <v>8</v>
      </c>
      <c r="AK34">
        <v>327</v>
      </c>
      <c r="AL34">
        <v>327</v>
      </c>
      <c r="AM34">
        <v>405</v>
      </c>
      <c r="AN34">
        <v>44</v>
      </c>
      <c r="AO34" t="s">
        <v>78</v>
      </c>
      <c r="AP34">
        <v>1</v>
      </c>
      <c r="AR34" t="s">
        <v>107</v>
      </c>
      <c r="AS34" s="1">
        <v>44354.009027777778</v>
      </c>
      <c r="AT34" s="1">
        <v>44354.065243055556</v>
      </c>
      <c r="AU34" s="1">
        <v>44354.065763888888</v>
      </c>
      <c r="AV34" t="s">
        <v>71</v>
      </c>
      <c r="AW34" t="s">
        <v>72</v>
      </c>
      <c r="AX34" t="s">
        <v>73</v>
      </c>
    </row>
    <row r="35" spans="1:50" x14ac:dyDescent="0.3">
      <c r="A35" t="str">
        <f>"200015B0000"</f>
        <v>200015B0000</v>
      </c>
      <c r="B35" t="str">
        <f>"200015B00002"</f>
        <v>200015B00002</v>
      </c>
      <c r="C35" t="str">
        <f t="shared" si="0"/>
        <v>20</v>
      </c>
      <c r="D35" t="s">
        <v>67</v>
      </c>
      <c r="E35" t="str">
        <f t="shared" si="1"/>
        <v>001</v>
      </c>
      <c r="F35" t="s">
        <v>68</v>
      </c>
      <c r="G35" t="str">
        <f>"0015"</f>
        <v>0015</v>
      </c>
      <c r="H35" t="str">
        <f>"0000"</f>
        <v>0000</v>
      </c>
      <c r="I35" t="s">
        <v>69</v>
      </c>
      <c r="J35">
        <v>0</v>
      </c>
      <c r="K35">
        <v>1</v>
      </c>
      <c r="L35">
        <v>2</v>
      </c>
      <c r="M35">
        <v>132</v>
      </c>
      <c r="N35">
        <v>373</v>
      </c>
      <c r="O35">
        <v>6</v>
      </c>
      <c r="P35">
        <v>373</v>
      </c>
      <c r="Q35">
        <v>21</v>
      </c>
      <c r="R35">
        <v>157</v>
      </c>
      <c r="S35">
        <v>3</v>
      </c>
      <c r="T35">
        <v>1</v>
      </c>
      <c r="U35">
        <v>3</v>
      </c>
      <c r="V35">
        <v>1</v>
      </c>
      <c r="W35">
        <v>1</v>
      </c>
      <c r="X35">
        <v>162</v>
      </c>
      <c r="Y35">
        <v>2</v>
      </c>
      <c r="Z35">
        <v>6</v>
      </c>
      <c r="AA35">
        <v>7</v>
      </c>
      <c r="AB35">
        <v>3</v>
      </c>
      <c r="AD35">
        <v>2</v>
      </c>
      <c r="AE35">
        <v>2</v>
      </c>
      <c r="AF35">
        <v>0</v>
      </c>
      <c r="AG35">
        <v>0</v>
      </c>
      <c r="AI35">
        <v>0</v>
      </c>
      <c r="AJ35">
        <v>2</v>
      </c>
      <c r="AK35">
        <v>373</v>
      </c>
      <c r="AL35">
        <v>373</v>
      </c>
      <c r="AM35">
        <v>461</v>
      </c>
      <c r="AN35">
        <v>44</v>
      </c>
      <c r="AP35">
        <v>1</v>
      </c>
      <c r="AR35" t="s">
        <v>108</v>
      </c>
      <c r="AS35" s="1">
        <v>44354.112500000003</v>
      </c>
      <c r="AT35" s="1">
        <v>44354.116226851853</v>
      </c>
      <c r="AU35" s="1">
        <v>44354.1171875</v>
      </c>
      <c r="AV35" t="s">
        <v>71</v>
      </c>
      <c r="AW35" t="s">
        <v>72</v>
      </c>
      <c r="AX35" t="s">
        <v>73</v>
      </c>
    </row>
    <row r="36" spans="1:50" x14ac:dyDescent="0.3">
      <c r="A36" t="str">
        <f>"200015E0100"</f>
        <v>200015E0100</v>
      </c>
      <c r="B36" t="str">
        <f>"200015E01002"</f>
        <v>200015E01002</v>
      </c>
      <c r="C36" t="str">
        <f t="shared" si="0"/>
        <v>20</v>
      </c>
      <c r="D36" t="s">
        <v>67</v>
      </c>
      <c r="E36" t="str">
        <f t="shared" si="1"/>
        <v>001</v>
      </c>
      <c r="F36" t="s">
        <v>68</v>
      </c>
      <c r="G36" t="str">
        <f>"0015"</f>
        <v>0015</v>
      </c>
      <c r="H36" t="str">
        <f>"0001"</f>
        <v>0001</v>
      </c>
      <c r="I36" t="s">
        <v>109</v>
      </c>
      <c r="J36">
        <v>0</v>
      </c>
      <c r="K36">
        <v>1</v>
      </c>
      <c r="L36">
        <v>2</v>
      </c>
      <c r="M36">
        <v>129</v>
      </c>
      <c r="N36">
        <v>252</v>
      </c>
      <c r="O36">
        <v>5</v>
      </c>
      <c r="P36">
        <v>252</v>
      </c>
      <c r="Q36">
        <v>9</v>
      </c>
      <c r="R36">
        <v>65</v>
      </c>
      <c r="S36">
        <v>3</v>
      </c>
      <c r="T36">
        <v>1</v>
      </c>
      <c r="U36">
        <v>2</v>
      </c>
      <c r="V36">
        <v>3</v>
      </c>
      <c r="W36">
        <v>0</v>
      </c>
      <c r="X36">
        <v>151</v>
      </c>
      <c r="Y36">
        <v>0</v>
      </c>
      <c r="Z36">
        <v>4</v>
      </c>
      <c r="AA36">
        <v>3</v>
      </c>
      <c r="AB36">
        <v>5</v>
      </c>
      <c r="AD36">
        <v>1</v>
      </c>
      <c r="AE36">
        <v>0</v>
      </c>
      <c r="AF36">
        <v>0</v>
      </c>
      <c r="AG36">
        <v>0</v>
      </c>
      <c r="AI36">
        <v>0</v>
      </c>
      <c r="AJ36">
        <v>5</v>
      </c>
      <c r="AK36">
        <v>252</v>
      </c>
      <c r="AL36">
        <v>252</v>
      </c>
      <c r="AM36">
        <v>337</v>
      </c>
      <c r="AN36">
        <v>44</v>
      </c>
      <c r="AP36">
        <v>1</v>
      </c>
      <c r="AR36" t="s">
        <v>110</v>
      </c>
      <c r="AS36" s="1">
        <v>44354.091666666667</v>
      </c>
      <c r="AT36" s="1">
        <v>44354.107534722221</v>
      </c>
      <c r="AU36" s="1">
        <v>44354.108391203707</v>
      </c>
      <c r="AV36" t="s">
        <v>71</v>
      </c>
      <c r="AW36" t="s">
        <v>72</v>
      </c>
      <c r="AX36" t="s">
        <v>73</v>
      </c>
    </row>
    <row r="37" spans="1:50" x14ac:dyDescent="0.3">
      <c r="A37" t="str">
        <f>"200016B0000"</f>
        <v>200016B0000</v>
      </c>
      <c r="B37" t="str">
        <f>"200016B00002"</f>
        <v>200016B00002</v>
      </c>
      <c r="C37" t="str">
        <f t="shared" si="0"/>
        <v>20</v>
      </c>
      <c r="D37" t="s">
        <v>67</v>
      </c>
      <c r="E37" t="str">
        <f t="shared" si="1"/>
        <v>001</v>
      </c>
      <c r="F37" t="s">
        <v>68</v>
      </c>
      <c r="G37" t="str">
        <f>"0016"</f>
        <v>0016</v>
      </c>
      <c r="H37" t="str">
        <f>"0000"</f>
        <v>0000</v>
      </c>
      <c r="I37" t="s">
        <v>69</v>
      </c>
      <c r="J37">
        <v>0</v>
      </c>
      <c r="K37">
        <v>1</v>
      </c>
      <c r="L37">
        <v>2</v>
      </c>
      <c r="M37">
        <v>142</v>
      </c>
      <c r="N37">
        <v>243</v>
      </c>
      <c r="O37">
        <v>8</v>
      </c>
      <c r="P37">
        <v>244</v>
      </c>
      <c r="Q37">
        <v>17</v>
      </c>
      <c r="R37">
        <v>76</v>
      </c>
      <c r="S37">
        <v>1</v>
      </c>
      <c r="T37">
        <v>0</v>
      </c>
      <c r="U37">
        <v>3</v>
      </c>
      <c r="V37">
        <v>1</v>
      </c>
      <c r="W37">
        <v>1</v>
      </c>
      <c r="X37">
        <v>129</v>
      </c>
      <c r="Y37">
        <v>1</v>
      </c>
      <c r="Z37">
        <v>5</v>
      </c>
      <c r="AA37">
        <v>4</v>
      </c>
      <c r="AB37">
        <v>3</v>
      </c>
      <c r="AD37">
        <v>1</v>
      </c>
      <c r="AE37">
        <v>0</v>
      </c>
      <c r="AF37">
        <v>0</v>
      </c>
      <c r="AG37">
        <v>0</v>
      </c>
      <c r="AI37">
        <v>0</v>
      </c>
      <c r="AJ37">
        <v>0</v>
      </c>
      <c r="AK37">
        <v>244</v>
      </c>
      <c r="AL37">
        <v>242</v>
      </c>
      <c r="AM37">
        <v>342</v>
      </c>
      <c r="AN37">
        <v>44</v>
      </c>
      <c r="AP37">
        <v>1</v>
      </c>
      <c r="AR37" t="s">
        <v>111</v>
      </c>
      <c r="AS37" s="1">
        <v>44354.090277777781</v>
      </c>
      <c r="AT37" s="1">
        <v>44354.095879629633</v>
      </c>
      <c r="AU37" s="1">
        <v>44354.096550925926</v>
      </c>
      <c r="AV37" t="s">
        <v>71</v>
      </c>
      <c r="AW37" t="s">
        <v>72</v>
      </c>
      <c r="AX37" t="s">
        <v>73</v>
      </c>
    </row>
    <row r="38" spans="1:50" x14ac:dyDescent="0.3">
      <c r="A38" t="str">
        <f>"200017B0000"</f>
        <v>200017B0000</v>
      </c>
      <c r="B38" t="str">
        <f>"200017B00002"</f>
        <v>200017B00002</v>
      </c>
      <c r="C38" t="str">
        <f t="shared" si="0"/>
        <v>20</v>
      </c>
      <c r="D38" t="s">
        <v>67</v>
      </c>
      <c r="E38" t="str">
        <f t="shared" si="1"/>
        <v>001</v>
      </c>
      <c r="F38" t="s">
        <v>68</v>
      </c>
      <c r="G38" t="str">
        <f>"0017"</f>
        <v>0017</v>
      </c>
      <c r="H38" t="str">
        <f>"0000"</f>
        <v>0000</v>
      </c>
      <c r="I38" t="s">
        <v>69</v>
      </c>
      <c r="J38">
        <v>0</v>
      </c>
      <c r="K38">
        <v>1</v>
      </c>
      <c r="L38">
        <v>2</v>
      </c>
      <c r="M38">
        <v>197</v>
      </c>
      <c r="N38">
        <v>467</v>
      </c>
      <c r="O38">
        <v>2</v>
      </c>
      <c r="P38">
        <v>467</v>
      </c>
      <c r="Q38">
        <v>3</v>
      </c>
      <c r="R38">
        <v>135</v>
      </c>
      <c r="S38">
        <v>0</v>
      </c>
      <c r="T38">
        <v>1</v>
      </c>
      <c r="U38">
        <v>0</v>
      </c>
      <c r="V38">
        <v>2</v>
      </c>
      <c r="W38">
        <v>1</v>
      </c>
      <c r="X38">
        <v>296</v>
      </c>
      <c r="Y38">
        <v>1</v>
      </c>
      <c r="Z38">
        <v>7</v>
      </c>
      <c r="AA38">
        <v>4</v>
      </c>
      <c r="AB38">
        <v>6</v>
      </c>
      <c r="AD38">
        <v>4</v>
      </c>
      <c r="AE38">
        <v>1</v>
      </c>
      <c r="AF38">
        <v>0</v>
      </c>
      <c r="AG38">
        <v>0</v>
      </c>
      <c r="AI38">
        <v>0</v>
      </c>
      <c r="AJ38">
        <v>6</v>
      </c>
      <c r="AK38">
        <v>467</v>
      </c>
      <c r="AL38">
        <v>467</v>
      </c>
      <c r="AM38">
        <v>620</v>
      </c>
      <c r="AN38">
        <v>44</v>
      </c>
      <c r="AP38">
        <v>1</v>
      </c>
      <c r="AR38" t="s">
        <v>112</v>
      </c>
      <c r="AS38" s="1">
        <v>44354.102777777778</v>
      </c>
      <c r="AT38" s="1">
        <v>44354.105613425927</v>
      </c>
      <c r="AU38" s="1">
        <v>44354.106898148151</v>
      </c>
      <c r="AV38" t="s">
        <v>71</v>
      </c>
      <c r="AW38" t="s">
        <v>72</v>
      </c>
      <c r="AX38" t="s">
        <v>73</v>
      </c>
    </row>
    <row r="39" spans="1:50" x14ac:dyDescent="0.3">
      <c r="A39" t="str">
        <f>"200017C0100"</f>
        <v>200017C0100</v>
      </c>
      <c r="B39" t="str">
        <f>"200017C01002"</f>
        <v>200017C01002</v>
      </c>
      <c r="C39" t="str">
        <f t="shared" si="0"/>
        <v>20</v>
      </c>
      <c r="D39" t="s">
        <v>67</v>
      </c>
      <c r="E39" t="str">
        <f t="shared" si="1"/>
        <v>001</v>
      </c>
      <c r="F39" t="s">
        <v>68</v>
      </c>
      <c r="G39" t="str">
        <f>"0017"</f>
        <v>0017</v>
      </c>
      <c r="H39" t="str">
        <f>"0001"</f>
        <v>0001</v>
      </c>
      <c r="I39" t="s">
        <v>75</v>
      </c>
      <c r="J39">
        <v>0</v>
      </c>
      <c r="K39">
        <v>1</v>
      </c>
      <c r="L39">
        <v>2</v>
      </c>
      <c r="M39">
        <v>180</v>
      </c>
      <c r="N39">
        <v>483</v>
      </c>
      <c r="O39">
        <v>0</v>
      </c>
      <c r="P39">
        <v>483</v>
      </c>
      <c r="Q39">
        <v>6</v>
      </c>
      <c r="R39">
        <v>133</v>
      </c>
      <c r="S39">
        <v>2</v>
      </c>
      <c r="T39">
        <v>3</v>
      </c>
      <c r="U39">
        <v>0</v>
      </c>
      <c r="V39">
        <v>7</v>
      </c>
      <c r="W39">
        <v>0</v>
      </c>
      <c r="X39">
        <v>292</v>
      </c>
      <c r="Y39">
        <v>0</v>
      </c>
      <c r="Z39">
        <v>10</v>
      </c>
      <c r="AA39">
        <v>3</v>
      </c>
      <c r="AB39">
        <v>8</v>
      </c>
      <c r="AD39">
        <v>3</v>
      </c>
      <c r="AE39">
        <v>3</v>
      </c>
      <c r="AF39">
        <v>0</v>
      </c>
      <c r="AG39">
        <v>0</v>
      </c>
      <c r="AI39">
        <v>0</v>
      </c>
      <c r="AJ39">
        <v>13</v>
      </c>
      <c r="AK39">
        <v>483</v>
      </c>
      <c r="AL39">
        <v>483</v>
      </c>
      <c r="AM39">
        <v>620</v>
      </c>
      <c r="AN39">
        <v>44</v>
      </c>
      <c r="AP39">
        <v>1</v>
      </c>
      <c r="AR39" t="s">
        <v>113</v>
      </c>
      <c r="AS39" s="1">
        <v>44354.102777777778</v>
      </c>
      <c r="AT39" s="1">
        <v>44354.106770833336</v>
      </c>
      <c r="AU39" s="1">
        <v>44354.107534722221</v>
      </c>
      <c r="AV39" t="s">
        <v>71</v>
      </c>
      <c r="AW39" t="s">
        <v>72</v>
      </c>
      <c r="AX39" t="s">
        <v>73</v>
      </c>
    </row>
    <row r="40" spans="1:50" x14ac:dyDescent="0.3">
      <c r="A40" t="str">
        <f>"200018B0000"</f>
        <v>200018B0000</v>
      </c>
      <c r="B40" t="str">
        <f>"200018B00002"</f>
        <v>200018B00002</v>
      </c>
      <c r="C40" t="str">
        <f t="shared" si="0"/>
        <v>20</v>
      </c>
      <c r="D40" t="s">
        <v>67</v>
      </c>
      <c r="E40" t="str">
        <f t="shared" si="1"/>
        <v>001</v>
      </c>
      <c r="F40" t="s">
        <v>68</v>
      </c>
      <c r="G40" t="str">
        <f>"0018"</f>
        <v>0018</v>
      </c>
      <c r="H40" t="str">
        <f>"0000"</f>
        <v>0000</v>
      </c>
      <c r="I40" t="s">
        <v>69</v>
      </c>
      <c r="J40">
        <v>0</v>
      </c>
      <c r="K40">
        <v>1</v>
      </c>
      <c r="L40">
        <v>2</v>
      </c>
      <c r="M40">
        <v>127</v>
      </c>
      <c r="N40">
        <v>373</v>
      </c>
      <c r="O40">
        <v>0</v>
      </c>
      <c r="P40">
        <v>373</v>
      </c>
      <c r="Q40">
        <v>7</v>
      </c>
      <c r="R40">
        <v>123</v>
      </c>
      <c r="S40">
        <v>1</v>
      </c>
      <c r="T40">
        <v>0</v>
      </c>
      <c r="U40">
        <v>1</v>
      </c>
      <c r="V40">
        <v>1</v>
      </c>
      <c r="W40">
        <v>0</v>
      </c>
      <c r="X40">
        <v>227</v>
      </c>
      <c r="Y40">
        <v>0</v>
      </c>
      <c r="Z40">
        <v>0</v>
      </c>
      <c r="AA40">
        <v>1</v>
      </c>
      <c r="AB40">
        <v>5</v>
      </c>
      <c r="AD40">
        <v>2</v>
      </c>
      <c r="AE40">
        <v>2</v>
      </c>
      <c r="AF40">
        <v>0</v>
      </c>
      <c r="AG40">
        <v>0</v>
      </c>
      <c r="AI40">
        <v>0</v>
      </c>
      <c r="AJ40">
        <v>2</v>
      </c>
      <c r="AK40">
        <v>373</v>
      </c>
      <c r="AL40">
        <v>372</v>
      </c>
      <c r="AM40">
        <v>456</v>
      </c>
      <c r="AN40">
        <v>44</v>
      </c>
      <c r="AP40">
        <v>1</v>
      </c>
      <c r="AR40" t="s">
        <v>114</v>
      </c>
      <c r="AS40" s="1">
        <v>44353.936805555553</v>
      </c>
      <c r="AT40" s="1">
        <v>44353.967789351853</v>
      </c>
      <c r="AU40" s="1">
        <v>44353.968530092592</v>
      </c>
      <c r="AV40" t="s">
        <v>71</v>
      </c>
      <c r="AW40" t="s">
        <v>72</v>
      </c>
      <c r="AX40" t="s">
        <v>73</v>
      </c>
    </row>
    <row r="41" spans="1:50" x14ac:dyDescent="0.3">
      <c r="A41" t="str">
        <f>"200019B0000"</f>
        <v>200019B0000</v>
      </c>
      <c r="B41" t="str">
        <f>"200019B00002"</f>
        <v>200019B00002</v>
      </c>
      <c r="C41" t="str">
        <f t="shared" si="0"/>
        <v>20</v>
      </c>
      <c r="D41" t="s">
        <v>67</v>
      </c>
      <c r="E41" t="str">
        <f t="shared" si="1"/>
        <v>001</v>
      </c>
      <c r="F41" t="s">
        <v>68</v>
      </c>
      <c r="G41" t="str">
        <f>"0019"</f>
        <v>0019</v>
      </c>
      <c r="H41" t="str">
        <f>"0000"</f>
        <v>0000</v>
      </c>
      <c r="I41" t="s">
        <v>69</v>
      </c>
      <c r="J41">
        <v>0</v>
      </c>
      <c r="K41">
        <v>1</v>
      </c>
      <c r="L41">
        <v>2</v>
      </c>
      <c r="M41">
        <v>179</v>
      </c>
      <c r="N41">
        <v>428</v>
      </c>
      <c r="O41">
        <v>10</v>
      </c>
      <c r="P41">
        <v>428</v>
      </c>
      <c r="Q41">
        <v>6</v>
      </c>
      <c r="R41">
        <v>143</v>
      </c>
      <c r="S41">
        <v>3</v>
      </c>
      <c r="T41" t="s">
        <v>77</v>
      </c>
      <c r="U41">
        <v>1</v>
      </c>
      <c r="V41" t="s">
        <v>77</v>
      </c>
      <c r="W41" t="s">
        <v>77</v>
      </c>
      <c r="X41">
        <v>253</v>
      </c>
      <c r="Y41">
        <v>2</v>
      </c>
      <c r="Z41">
        <v>6</v>
      </c>
      <c r="AA41">
        <v>3</v>
      </c>
      <c r="AB41">
        <v>2</v>
      </c>
      <c r="AD41">
        <v>2</v>
      </c>
      <c r="AE41">
        <v>1</v>
      </c>
      <c r="AF41" t="s">
        <v>77</v>
      </c>
      <c r="AG41" t="s">
        <v>77</v>
      </c>
      <c r="AI41" t="s">
        <v>77</v>
      </c>
      <c r="AJ41">
        <v>6</v>
      </c>
      <c r="AK41">
        <v>428</v>
      </c>
      <c r="AL41">
        <v>428</v>
      </c>
      <c r="AM41">
        <v>563</v>
      </c>
      <c r="AN41">
        <v>44</v>
      </c>
      <c r="AO41" t="s">
        <v>78</v>
      </c>
      <c r="AP41">
        <v>1</v>
      </c>
      <c r="AR41" t="s">
        <v>115</v>
      </c>
      <c r="AS41" s="1">
        <v>44354.132638888892</v>
      </c>
      <c r="AT41" s="1">
        <v>44354.145787037036</v>
      </c>
      <c r="AU41" s="1">
        <v>44354.146921296298</v>
      </c>
      <c r="AV41" t="s">
        <v>71</v>
      </c>
      <c r="AW41" t="s">
        <v>72</v>
      </c>
      <c r="AX41" t="s">
        <v>73</v>
      </c>
    </row>
    <row r="42" spans="1:50" x14ac:dyDescent="0.3">
      <c r="A42" t="str">
        <f>"200020B0000"</f>
        <v>200020B0000</v>
      </c>
      <c r="B42" t="str">
        <f>"200020B00002"</f>
        <v>200020B00002</v>
      </c>
      <c r="C42" t="str">
        <f t="shared" si="0"/>
        <v>20</v>
      </c>
      <c r="D42" t="s">
        <v>67</v>
      </c>
      <c r="E42" t="str">
        <f t="shared" si="1"/>
        <v>001</v>
      </c>
      <c r="F42" t="s">
        <v>68</v>
      </c>
      <c r="G42" t="str">
        <f>"0020"</f>
        <v>0020</v>
      </c>
      <c r="H42" t="str">
        <f>"0000"</f>
        <v>0000</v>
      </c>
      <c r="I42" t="s">
        <v>69</v>
      </c>
      <c r="J42">
        <v>0</v>
      </c>
      <c r="K42">
        <v>1</v>
      </c>
      <c r="L42">
        <v>2</v>
      </c>
      <c r="M42">
        <v>210</v>
      </c>
      <c r="N42">
        <v>509</v>
      </c>
      <c r="O42">
        <v>5</v>
      </c>
      <c r="P42">
        <v>509</v>
      </c>
      <c r="Q42">
        <v>15</v>
      </c>
      <c r="R42">
        <v>103</v>
      </c>
      <c r="S42">
        <v>5</v>
      </c>
      <c r="T42">
        <v>2</v>
      </c>
      <c r="U42">
        <v>10</v>
      </c>
      <c r="V42">
        <v>5</v>
      </c>
      <c r="W42">
        <v>3</v>
      </c>
      <c r="X42">
        <v>306</v>
      </c>
      <c r="Y42">
        <v>3</v>
      </c>
      <c r="Z42">
        <v>23</v>
      </c>
      <c r="AA42">
        <v>8</v>
      </c>
      <c r="AB42">
        <v>16</v>
      </c>
      <c r="AD42">
        <v>2</v>
      </c>
      <c r="AE42">
        <v>1</v>
      </c>
      <c r="AF42">
        <v>0</v>
      </c>
      <c r="AG42">
        <v>0</v>
      </c>
      <c r="AI42">
        <v>0</v>
      </c>
      <c r="AJ42">
        <v>7</v>
      </c>
      <c r="AK42">
        <v>509</v>
      </c>
      <c r="AL42">
        <v>509</v>
      </c>
      <c r="AM42">
        <v>675</v>
      </c>
      <c r="AN42">
        <v>44</v>
      </c>
      <c r="AP42">
        <v>1</v>
      </c>
      <c r="AR42" t="s">
        <v>116</v>
      </c>
      <c r="AS42" s="1">
        <v>44354.102777777778</v>
      </c>
      <c r="AT42" s="1">
        <v>44354.106620370374</v>
      </c>
      <c r="AU42" s="1">
        <v>44354.107291666667</v>
      </c>
      <c r="AV42" t="s">
        <v>71</v>
      </c>
      <c r="AW42" t="s">
        <v>72</v>
      </c>
      <c r="AX42" t="s">
        <v>73</v>
      </c>
    </row>
    <row r="43" spans="1:50" x14ac:dyDescent="0.3">
      <c r="A43" t="str">
        <f>"200021B0000"</f>
        <v>200021B0000</v>
      </c>
      <c r="B43" t="str">
        <f>"200021B00002"</f>
        <v>200021B00002</v>
      </c>
      <c r="C43" t="str">
        <f t="shared" si="0"/>
        <v>20</v>
      </c>
      <c r="D43" t="s">
        <v>67</v>
      </c>
      <c r="E43" t="str">
        <f t="shared" si="1"/>
        <v>001</v>
      </c>
      <c r="F43" t="s">
        <v>68</v>
      </c>
      <c r="G43" t="str">
        <f>"0021"</f>
        <v>0021</v>
      </c>
      <c r="H43" t="str">
        <f>"0000"</f>
        <v>0000</v>
      </c>
      <c r="I43" t="s">
        <v>69</v>
      </c>
      <c r="J43">
        <v>0</v>
      </c>
      <c r="K43">
        <v>1</v>
      </c>
      <c r="L43">
        <v>2</v>
      </c>
      <c r="M43">
        <v>207</v>
      </c>
      <c r="N43">
        <v>471</v>
      </c>
      <c r="O43">
        <v>0</v>
      </c>
      <c r="P43">
        <v>476</v>
      </c>
      <c r="Q43">
        <v>7</v>
      </c>
      <c r="R43">
        <v>116</v>
      </c>
      <c r="S43">
        <v>62</v>
      </c>
      <c r="T43">
        <v>2</v>
      </c>
      <c r="U43">
        <v>3</v>
      </c>
      <c r="V43">
        <v>2</v>
      </c>
      <c r="W43">
        <v>0</v>
      </c>
      <c r="X43">
        <v>260</v>
      </c>
      <c r="Y43">
        <v>1</v>
      </c>
      <c r="Z43">
        <v>4</v>
      </c>
      <c r="AA43">
        <v>5</v>
      </c>
      <c r="AB43">
        <v>9</v>
      </c>
      <c r="AD43">
        <v>0</v>
      </c>
      <c r="AE43">
        <v>0</v>
      </c>
      <c r="AF43">
        <v>0</v>
      </c>
      <c r="AG43">
        <v>0</v>
      </c>
      <c r="AI43">
        <v>0</v>
      </c>
      <c r="AJ43">
        <v>5</v>
      </c>
      <c r="AK43" t="s">
        <v>77</v>
      </c>
      <c r="AL43">
        <v>476</v>
      </c>
      <c r="AM43">
        <v>639</v>
      </c>
      <c r="AN43">
        <v>44</v>
      </c>
      <c r="AP43">
        <v>1</v>
      </c>
      <c r="AR43" t="s">
        <v>117</v>
      </c>
      <c r="AS43" s="1">
        <v>44354.102083333331</v>
      </c>
      <c r="AT43" s="1">
        <v>44354.108217592591</v>
      </c>
      <c r="AU43" s="1">
        <v>44354.108946759261</v>
      </c>
      <c r="AV43" t="s">
        <v>71</v>
      </c>
      <c r="AW43" t="s">
        <v>72</v>
      </c>
      <c r="AX43" t="s">
        <v>73</v>
      </c>
    </row>
    <row r="44" spans="1:50" x14ac:dyDescent="0.3">
      <c r="A44" t="str">
        <f>"200021E0100"</f>
        <v>200021E0100</v>
      </c>
      <c r="B44" t="str">
        <f>"200021E01002"</f>
        <v>200021E01002</v>
      </c>
      <c r="C44" t="str">
        <f t="shared" si="0"/>
        <v>20</v>
      </c>
      <c r="D44" t="s">
        <v>67</v>
      </c>
      <c r="E44" t="str">
        <f t="shared" si="1"/>
        <v>001</v>
      </c>
      <c r="F44" t="s">
        <v>68</v>
      </c>
      <c r="G44" t="str">
        <f>"0021"</f>
        <v>0021</v>
      </c>
      <c r="H44" t="str">
        <f>"0001"</f>
        <v>0001</v>
      </c>
      <c r="I44" t="s">
        <v>109</v>
      </c>
      <c r="J44">
        <v>0</v>
      </c>
      <c r="K44">
        <v>1</v>
      </c>
      <c r="L44">
        <v>2</v>
      </c>
      <c r="M44">
        <v>175</v>
      </c>
      <c r="N44">
        <v>438</v>
      </c>
      <c r="O44">
        <v>10</v>
      </c>
      <c r="P44" t="s">
        <v>80</v>
      </c>
      <c r="Q44">
        <v>19</v>
      </c>
      <c r="R44">
        <v>103</v>
      </c>
      <c r="S44">
        <v>35</v>
      </c>
      <c r="T44">
        <v>3</v>
      </c>
      <c r="U44">
        <v>13</v>
      </c>
      <c r="V44">
        <v>4</v>
      </c>
      <c r="W44">
        <v>0</v>
      </c>
      <c r="X44">
        <v>211</v>
      </c>
      <c r="Y44">
        <v>7</v>
      </c>
      <c r="Z44">
        <v>4</v>
      </c>
      <c r="AA44">
        <v>1</v>
      </c>
      <c r="AB44">
        <v>20</v>
      </c>
      <c r="AD44">
        <v>6</v>
      </c>
      <c r="AE44" t="s">
        <v>77</v>
      </c>
      <c r="AF44" t="s">
        <v>77</v>
      </c>
      <c r="AG44">
        <v>1</v>
      </c>
      <c r="AI44" t="s">
        <v>77</v>
      </c>
      <c r="AJ44" t="s">
        <v>99</v>
      </c>
      <c r="AK44">
        <v>438</v>
      </c>
      <c r="AL44">
        <v>427</v>
      </c>
      <c r="AM44">
        <v>569</v>
      </c>
      <c r="AN44">
        <v>44</v>
      </c>
      <c r="AO44" t="s">
        <v>78</v>
      </c>
      <c r="AP44">
        <v>1</v>
      </c>
      <c r="AR44" t="s">
        <v>118</v>
      </c>
      <c r="AS44" s="1">
        <v>44354.102083333331</v>
      </c>
      <c r="AT44" s="1">
        <v>44354.111828703702</v>
      </c>
      <c r="AU44" s="1">
        <v>44354.112592592595</v>
      </c>
      <c r="AV44" t="s">
        <v>71</v>
      </c>
      <c r="AW44" t="s">
        <v>72</v>
      </c>
      <c r="AX44" t="s">
        <v>73</v>
      </c>
    </row>
    <row r="45" spans="1:50" x14ac:dyDescent="0.3">
      <c r="A45" t="str">
        <f>"200022B0000"</f>
        <v>200022B0000</v>
      </c>
      <c r="B45" t="str">
        <f>"200022B00002"</f>
        <v>200022B00002</v>
      </c>
      <c r="C45" t="str">
        <f t="shared" si="0"/>
        <v>20</v>
      </c>
      <c r="D45" t="s">
        <v>67</v>
      </c>
      <c r="E45" t="str">
        <f t="shared" si="1"/>
        <v>001</v>
      </c>
      <c r="F45" t="s">
        <v>68</v>
      </c>
      <c r="G45" t="str">
        <f>"0022"</f>
        <v>0022</v>
      </c>
      <c r="H45" t="str">
        <f>"0000"</f>
        <v>0000</v>
      </c>
      <c r="I45" t="s">
        <v>69</v>
      </c>
      <c r="J45">
        <v>0</v>
      </c>
      <c r="K45">
        <v>1</v>
      </c>
      <c r="L45">
        <v>2</v>
      </c>
      <c r="M45">
        <v>156</v>
      </c>
      <c r="N45">
        <v>405</v>
      </c>
      <c r="O45">
        <v>0</v>
      </c>
      <c r="P45">
        <v>405</v>
      </c>
      <c r="Q45">
        <v>9</v>
      </c>
      <c r="R45">
        <v>75</v>
      </c>
      <c r="S45">
        <v>15</v>
      </c>
      <c r="T45">
        <v>0</v>
      </c>
      <c r="U45">
        <v>7</v>
      </c>
      <c r="V45">
        <v>1</v>
      </c>
      <c r="W45">
        <v>1</v>
      </c>
      <c r="X45">
        <v>257</v>
      </c>
      <c r="Y45">
        <v>1</v>
      </c>
      <c r="Z45">
        <v>5</v>
      </c>
      <c r="AA45">
        <v>4</v>
      </c>
      <c r="AB45">
        <v>13</v>
      </c>
      <c r="AD45">
        <v>1</v>
      </c>
      <c r="AE45">
        <v>0</v>
      </c>
      <c r="AF45">
        <v>1</v>
      </c>
      <c r="AG45">
        <v>1</v>
      </c>
      <c r="AI45">
        <v>0</v>
      </c>
      <c r="AJ45">
        <v>14</v>
      </c>
      <c r="AK45">
        <v>405</v>
      </c>
      <c r="AL45">
        <v>405</v>
      </c>
      <c r="AM45">
        <v>517</v>
      </c>
      <c r="AN45">
        <v>44</v>
      </c>
      <c r="AP45">
        <v>1</v>
      </c>
      <c r="AR45" t="s">
        <v>119</v>
      </c>
      <c r="AS45" s="1">
        <v>44354.090277777781</v>
      </c>
      <c r="AT45" s="1">
        <v>44354.096689814818</v>
      </c>
      <c r="AU45" s="1">
        <v>44354.097569444442</v>
      </c>
      <c r="AV45" t="s">
        <v>71</v>
      </c>
      <c r="AW45" t="s">
        <v>72</v>
      </c>
      <c r="AX45" t="s">
        <v>73</v>
      </c>
    </row>
    <row r="46" spans="1:50" x14ac:dyDescent="0.3">
      <c r="A46" t="str">
        <f>"200023B0000"</f>
        <v>200023B0000</v>
      </c>
      <c r="B46" t="str">
        <f>"200023B00002"</f>
        <v>200023B00002</v>
      </c>
      <c r="C46" t="str">
        <f t="shared" si="0"/>
        <v>20</v>
      </c>
      <c r="D46" t="s">
        <v>67</v>
      </c>
      <c r="E46" t="str">
        <f t="shared" si="1"/>
        <v>001</v>
      </c>
      <c r="F46" t="s">
        <v>68</v>
      </c>
      <c r="G46" t="str">
        <f>"0023"</f>
        <v>0023</v>
      </c>
      <c r="H46" t="str">
        <f>"0000"</f>
        <v>0000</v>
      </c>
      <c r="I46" t="s">
        <v>69</v>
      </c>
      <c r="J46">
        <v>0</v>
      </c>
      <c r="K46">
        <v>1</v>
      </c>
      <c r="L46">
        <v>2</v>
      </c>
      <c r="M46">
        <v>167</v>
      </c>
      <c r="N46">
        <v>484</v>
      </c>
      <c r="O46">
        <v>7</v>
      </c>
      <c r="P46">
        <v>484</v>
      </c>
      <c r="Q46">
        <v>13</v>
      </c>
      <c r="R46">
        <v>104</v>
      </c>
      <c r="S46">
        <v>4</v>
      </c>
      <c r="T46">
        <v>1</v>
      </c>
      <c r="U46">
        <v>3</v>
      </c>
      <c r="V46">
        <v>1</v>
      </c>
      <c r="W46">
        <v>3</v>
      </c>
      <c r="X46">
        <v>311</v>
      </c>
      <c r="Y46">
        <v>0</v>
      </c>
      <c r="Z46">
        <v>8</v>
      </c>
      <c r="AA46">
        <v>11</v>
      </c>
      <c r="AB46">
        <v>8</v>
      </c>
      <c r="AD46">
        <v>2</v>
      </c>
      <c r="AE46">
        <v>3</v>
      </c>
      <c r="AF46">
        <v>0</v>
      </c>
      <c r="AG46">
        <v>0</v>
      </c>
      <c r="AI46">
        <v>0</v>
      </c>
      <c r="AJ46">
        <v>12</v>
      </c>
      <c r="AK46">
        <v>484</v>
      </c>
      <c r="AL46">
        <v>484</v>
      </c>
      <c r="AM46">
        <v>607</v>
      </c>
      <c r="AN46">
        <v>44</v>
      </c>
      <c r="AP46">
        <v>1</v>
      </c>
      <c r="AR46" t="s">
        <v>120</v>
      </c>
      <c r="AS46" s="1">
        <v>44354.144224537034</v>
      </c>
      <c r="AT46" s="1">
        <v>44354.145266203705</v>
      </c>
      <c r="AU46" s="1">
        <v>44354.145636574074</v>
      </c>
      <c r="AV46" t="s">
        <v>71</v>
      </c>
      <c r="AW46" t="s">
        <v>72</v>
      </c>
      <c r="AX46" t="s">
        <v>73</v>
      </c>
    </row>
    <row r="47" spans="1:50" x14ac:dyDescent="0.3">
      <c r="A47" t="str">
        <f>"200024B0000"</f>
        <v>200024B0000</v>
      </c>
      <c r="B47" t="str">
        <f>"200024B00002"</f>
        <v>200024B00002</v>
      </c>
      <c r="C47" t="str">
        <f t="shared" si="0"/>
        <v>20</v>
      </c>
      <c r="D47" t="s">
        <v>67</v>
      </c>
      <c r="E47" t="str">
        <f t="shared" si="1"/>
        <v>001</v>
      </c>
      <c r="F47" t="s">
        <v>68</v>
      </c>
      <c r="G47" t="str">
        <f>"0024"</f>
        <v>0024</v>
      </c>
      <c r="H47" t="str">
        <f>"0000"</f>
        <v>0000</v>
      </c>
      <c r="I47" t="s">
        <v>69</v>
      </c>
      <c r="J47">
        <v>0</v>
      </c>
      <c r="K47">
        <v>1</v>
      </c>
      <c r="L47">
        <v>2</v>
      </c>
      <c r="M47">
        <v>161</v>
      </c>
      <c r="N47">
        <v>304</v>
      </c>
      <c r="O47">
        <v>4</v>
      </c>
      <c r="P47">
        <v>304</v>
      </c>
      <c r="Q47">
        <v>6</v>
      </c>
      <c r="R47">
        <v>81</v>
      </c>
      <c r="S47">
        <v>1</v>
      </c>
      <c r="T47">
        <v>0</v>
      </c>
      <c r="U47">
        <v>2</v>
      </c>
      <c r="V47">
        <v>2</v>
      </c>
      <c r="W47">
        <v>0</v>
      </c>
      <c r="X47">
        <v>167</v>
      </c>
      <c r="Y47">
        <v>2</v>
      </c>
      <c r="Z47">
        <v>9</v>
      </c>
      <c r="AA47">
        <v>6</v>
      </c>
      <c r="AB47">
        <v>20</v>
      </c>
      <c r="AD47">
        <v>3</v>
      </c>
      <c r="AE47">
        <v>1</v>
      </c>
      <c r="AF47" t="s">
        <v>77</v>
      </c>
      <c r="AG47" t="s">
        <v>77</v>
      </c>
      <c r="AI47" t="s">
        <v>77</v>
      </c>
      <c r="AJ47">
        <v>4</v>
      </c>
      <c r="AK47">
        <v>304</v>
      </c>
      <c r="AL47">
        <v>304</v>
      </c>
      <c r="AM47">
        <v>421</v>
      </c>
      <c r="AN47">
        <v>44</v>
      </c>
      <c r="AO47" t="s">
        <v>78</v>
      </c>
      <c r="AP47">
        <v>1</v>
      </c>
      <c r="AR47" t="s">
        <v>121</v>
      </c>
      <c r="AS47" s="1">
        <v>44354.134027777778</v>
      </c>
      <c r="AT47" s="1">
        <v>44354.139918981484</v>
      </c>
      <c r="AU47" s="1">
        <v>44354.140474537038</v>
      </c>
      <c r="AV47" t="s">
        <v>71</v>
      </c>
      <c r="AW47" t="s">
        <v>72</v>
      </c>
      <c r="AX47" t="s">
        <v>73</v>
      </c>
    </row>
    <row r="48" spans="1:50" x14ac:dyDescent="0.3">
      <c r="A48" t="str">
        <f>"200024C0100"</f>
        <v>200024C0100</v>
      </c>
      <c r="B48" t="str">
        <f>"200024C01002"</f>
        <v>200024C01002</v>
      </c>
      <c r="C48" t="str">
        <f t="shared" si="0"/>
        <v>20</v>
      </c>
      <c r="D48" t="s">
        <v>67</v>
      </c>
      <c r="E48" t="str">
        <f t="shared" si="1"/>
        <v>001</v>
      </c>
      <c r="F48" t="s">
        <v>68</v>
      </c>
      <c r="G48" t="str">
        <f>"0024"</f>
        <v>0024</v>
      </c>
      <c r="H48" t="str">
        <f>"0001"</f>
        <v>0001</v>
      </c>
      <c r="I48" t="s">
        <v>75</v>
      </c>
      <c r="J48">
        <v>0</v>
      </c>
      <c r="K48">
        <v>1</v>
      </c>
      <c r="L48">
        <v>2</v>
      </c>
      <c r="M48">
        <v>161</v>
      </c>
      <c r="N48">
        <v>304</v>
      </c>
      <c r="O48">
        <v>8</v>
      </c>
      <c r="P48">
        <v>0</v>
      </c>
      <c r="Q48">
        <v>8</v>
      </c>
      <c r="R48">
        <v>90</v>
      </c>
      <c r="S48">
        <v>3</v>
      </c>
      <c r="T48">
        <v>1</v>
      </c>
      <c r="U48">
        <v>4</v>
      </c>
      <c r="V48">
        <v>4</v>
      </c>
      <c r="W48" t="s">
        <v>77</v>
      </c>
      <c r="X48">
        <v>147</v>
      </c>
      <c r="Y48">
        <v>3</v>
      </c>
      <c r="Z48">
        <v>6</v>
      </c>
      <c r="AA48" t="s">
        <v>77</v>
      </c>
      <c r="AB48">
        <v>14</v>
      </c>
      <c r="AD48">
        <v>3</v>
      </c>
      <c r="AE48">
        <v>1</v>
      </c>
      <c r="AF48">
        <v>1</v>
      </c>
      <c r="AG48">
        <v>0</v>
      </c>
      <c r="AI48" t="s">
        <v>77</v>
      </c>
      <c r="AJ48">
        <v>14</v>
      </c>
      <c r="AK48">
        <v>304</v>
      </c>
      <c r="AL48">
        <v>299</v>
      </c>
      <c r="AM48">
        <v>421</v>
      </c>
      <c r="AN48">
        <v>44</v>
      </c>
      <c r="AO48" t="s">
        <v>78</v>
      </c>
      <c r="AP48">
        <v>1</v>
      </c>
      <c r="AR48" t="s">
        <v>122</v>
      </c>
      <c r="AS48" s="1">
        <v>44354.135416666664</v>
      </c>
      <c r="AT48" s="1">
        <v>44354.140127314815</v>
      </c>
      <c r="AU48" s="1">
        <v>44354.140717592592</v>
      </c>
      <c r="AV48" t="s">
        <v>71</v>
      </c>
      <c r="AW48" t="s">
        <v>72</v>
      </c>
      <c r="AX48" t="s">
        <v>73</v>
      </c>
    </row>
    <row r="49" spans="1:50" x14ac:dyDescent="0.3">
      <c r="A49" t="str">
        <f>"200024E0100"</f>
        <v>200024E0100</v>
      </c>
      <c r="B49" t="str">
        <f>"200024E01002"</f>
        <v>200024E01002</v>
      </c>
      <c r="C49" t="str">
        <f t="shared" si="0"/>
        <v>20</v>
      </c>
      <c r="D49" t="s">
        <v>67</v>
      </c>
      <c r="E49" t="str">
        <f t="shared" si="1"/>
        <v>001</v>
      </c>
      <c r="F49" t="s">
        <v>68</v>
      </c>
      <c r="G49" t="str">
        <f>"0024"</f>
        <v>0024</v>
      </c>
      <c r="H49" t="str">
        <f>"0001"</f>
        <v>0001</v>
      </c>
      <c r="I49" t="s">
        <v>109</v>
      </c>
      <c r="J49">
        <v>0</v>
      </c>
      <c r="K49">
        <v>1</v>
      </c>
      <c r="L49">
        <v>2</v>
      </c>
      <c r="M49">
        <v>156</v>
      </c>
      <c r="N49">
        <v>221</v>
      </c>
      <c r="O49">
        <v>8</v>
      </c>
      <c r="P49">
        <v>221</v>
      </c>
      <c r="Q49">
        <v>6</v>
      </c>
      <c r="R49">
        <v>44</v>
      </c>
      <c r="S49">
        <v>1</v>
      </c>
      <c r="T49">
        <v>0</v>
      </c>
      <c r="U49">
        <v>2</v>
      </c>
      <c r="V49">
        <v>0</v>
      </c>
      <c r="W49">
        <v>4</v>
      </c>
      <c r="X49">
        <v>148</v>
      </c>
      <c r="Y49">
        <v>1</v>
      </c>
      <c r="Z49">
        <v>4</v>
      </c>
      <c r="AA49">
        <v>0</v>
      </c>
      <c r="AB49">
        <v>0</v>
      </c>
      <c r="AD49" t="s">
        <v>77</v>
      </c>
      <c r="AE49">
        <v>1</v>
      </c>
      <c r="AF49" t="s">
        <v>77</v>
      </c>
      <c r="AG49" t="s">
        <v>77</v>
      </c>
      <c r="AI49" t="s">
        <v>77</v>
      </c>
      <c r="AJ49">
        <v>10</v>
      </c>
      <c r="AK49">
        <v>221</v>
      </c>
      <c r="AL49">
        <v>221</v>
      </c>
      <c r="AM49">
        <v>333</v>
      </c>
      <c r="AN49">
        <v>44</v>
      </c>
      <c r="AO49" t="s">
        <v>78</v>
      </c>
      <c r="AP49">
        <v>1</v>
      </c>
      <c r="AR49" s="2" t="s">
        <v>123</v>
      </c>
      <c r="AS49" s="1">
        <v>44353.866666666669</v>
      </c>
      <c r="AT49" s="1">
        <v>44354.059560185182</v>
      </c>
      <c r="AU49" s="1">
        <v>44354.060081018521</v>
      </c>
      <c r="AV49" t="s">
        <v>71</v>
      </c>
      <c r="AW49" t="s">
        <v>72</v>
      </c>
      <c r="AX49" t="s">
        <v>73</v>
      </c>
    </row>
    <row r="50" spans="1:50" x14ac:dyDescent="0.3">
      <c r="A50" t="str">
        <f>"200025B0000"</f>
        <v>200025B0000</v>
      </c>
      <c r="B50" t="str">
        <f>"200025B00002"</f>
        <v>200025B00002</v>
      </c>
      <c r="C50" t="str">
        <f t="shared" si="0"/>
        <v>20</v>
      </c>
      <c r="D50" t="s">
        <v>67</v>
      </c>
      <c r="E50" t="str">
        <f t="shared" si="1"/>
        <v>001</v>
      </c>
      <c r="F50" t="s">
        <v>68</v>
      </c>
      <c r="G50" t="str">
        <f>"0025"</f>
        <v>0025</v>
      </c>
      <c r="H50" t="str">
        <f>"0000"</f>
        <v>0000</v>
      </c>
      <c r="I50" t="s">
        <v>69</v>
      </c>
      <c r="J50">
        <v>0</v>
      </c>
      <c r="K50">
        <v>1</v>
      </c>
      <c r="L50">
        <v>2</v>
      </c>
      <c r="M50">
        <v>150</v>
      </c>
      <c r="N50">
        <v>326</v>
      </c>
      <c r="O50">
        <v>1</v>
      </c>
      <c r="P50">
        <v>326</v>
      </c>
      <c r="Q50">
        <v>5</v>
      </c>
      <c r="R50">
        <v>51</v>
      </c>
      <c r="S50">
        <v>1</v>
      </c>
      <c r="T50">
        <v>1</v>
      </c>
      <c r="U50">
        <v>0</v>
      </c>
      <c r="V50">
        <v>0</v>
      </c>
      <c r="W50">
        <v>0</v>
      </c>
      <c r="X50">
        <v>245</v>
      </c>
      <c r="Y50">
        <v>2</v>
      </c>
      <c r="Z50">
        <v>3</v>
      </c>
      <c r="AA50">
        <v>7</v>
      </c>
      <c r="AB50">
        <v>4</v>
      </c>
      <c r="AD50">
        <v>0</v>
      </c>
      <c r="AE50">
        <v>0</v>
      </c>
      <c r="AF50">
        <v>0</v>
      </c>
      <c r="AG50">
        <v>1</v>
      </c>
      <c r="AI50">
        <v>0</v>
      </c>
      <c r="AJ50">
        <v>6</v>
      </c>
      <c r="AK50">
        <v>326</v>
      </c>
      <c r="AL50">
        <v>326</v>
      </c>
      <c r="AM50">
        <v>432</v>
      </c>
      <c r="AN50">
        <v>44</v>
      </c>
      <c r="AP50">
        <v>1</v>
      </c>
      <c r="AR50" s="2" t="s">
        <v>124</v>
      </c>
      <c r="AS50" s="1">
        <v>44354.054166666669</v>
      </c>
      <c r="AT50" s="1">
        <v>44354.061099537037</v>
      </c>
      <c r="AU50" s="1">
        <v>44354.061527777776</v>
      </c>
      <c r="AV50" t="s">
        <v>71</v>
      </c>
      <c r="AW50" t="s">
        <v>72</v>
      </c>
      <c r="AX50" t="s">
        <v>73</v>
      </c>
    </row>
    <row r="51" spans="1:50" x14ac:dyDescent="0.3">
      <c r="A51" t="str">
        <f>"200025C0100"</f>
        <v>200025C0100</v>
      </c>
      <c r="B51" t="str">
        <f>"200025C01002"</f>
        <v>200025C01002</v>
      </c>
      <c r="C51" t="str">
        <f t="shared" si="0"/>
        <v>20</v>
      </c>
      <c r="D51" t="s">
        <v>67</v>
      </c>
      <c r="E51" t="str">
        <f t="shared" si="1"/>
        <v>001</v>
      </c>
      <c r="F51" t="s">
        <v>68</v>
      </c>
      <c r="G51" t="str">
        <f>"0025"</f>
        <v>0025</v>
      </c>
      <c r="H51" t="str">
        <f>"0001"</f>
        <v>0001</v>
      </c>
      <c r="I51" t="s">
        <v>75</v>
      </c>
      <c r="J51">
        <v>0</v>
      </c>
      <c r="K51">
        <v>1</v>
      </c>
      <c r="L51">
        <v>2</v>
      </c>
      <c r="M51">
        <v>150</v>
      </c>
      <c r="N51">
        <v>326</v>
      </c>
      <c r="O51">
        <v>0</v>
      </c>
      <c r="P51">
        <v>326</v>
      </c>
      <c r="Q51">
        <v>6</v>
      </c>
      <c r="R51">
        <v>51</v>
      </c>
      <c r="S51">
        <v>2</v>
      </c>
      <c r="T51">
        <v>0</v>
      </c>
      <c r="U51">
        <v>1</v>
      </c>
      <c r="V51">
        <v>1</v>
      </c>
      <c r="W51">
        <v>1</v>
      </c>
      <c r="X51">
        <v>244</v>
      </c>
      <c r="Y51">
        <v>2</v>
      </c>
      <c r="Z51">
        <v>1</v>
      </c>
      <c r="AA51">
        <v>2</v>
      </c>
      <c r="AB51">
        <v>3</v>
      </c>
      <c r="AD51">
        <v>2</v>
      </c>
      <c r="AE51">
        <v>1</v>
      </c>
      <c r="AF51">
        <v>1</v>
      </c>
      <c r="AG51">
        <v>0</v>
      </c>
      <c r="AI51" t="s">
        <v>77</v>
      </c>
      <c r="AJ51">
        <v>8</v>
      </c>
      <c r="AK51">
        <v>326</v>
      </c>
      <c r="AL51">
        <v>326</v>
      </c>
      <c r="AM51">
        <v>432</v>
      </c>
      <c r="AN51">
        <v>44</v>
      </c>
      <c r="AO51" t="s">
        <v>78</v>
      </c>
      <c r="AP51">
        <v>1</v>
      </c>
      <c r="AR51" t="s">
        <v>125</v>
      </c>
      <c r="AS51" s="1">
        <v>44354.002083333333</v>
      </c>
      <c r="AT51" s="1">
        <v>44354.06354166667</v>
      </c>
      <c r="AU51" s="1">
        <v>44354.064085648148</v>
      </c>
      <c r="AV51" t="s">
        <v>71</v>
      </c>
      <c r="AW51" t="s">
        <v>72</v>
      </c>
      <c r="AX51" t="s">
        <v>73</v>
      </c>
    </row>
    <row r="52" spans="1:50" x14ac:dyDescent="0.3">
      <c r="A52" t="str">
        <f>"200026B0000"</f>
        <v>200026B0000</v>
      </c>
      <c r="B52" t="str">
        <f>"200026B00002"</f>
        <v>200026B00002</v>
      </c>
      <c r="C52" t="str">
        <f t="shared" si="0"/>
        <v>20</v>
      </c>
      <c r="D52" t="s">
        <v>67</v>
      </c>
      <c r="E52" t="str">
        <f t="shared" si="1"/>
        <v>001</v>
      </c>
      <c r="F52" t="s">
        <v>68</v>
      </c>
      <c r="G52" t="str">
        <f>"0026"</f>
        <v>0026</v>
      </c>
      <c r="H52" t="str">
        <f>"0000"</f>
        <v>0000</v>
      </c>
      <c r="I52" t="s">
        <v>69</v>
      </c>
      <c r="J52">
        <v>0</v>
      </c>
      <c r="K52">
        <v>1</v>
      </c>
      <c r="L52">
        <v>2</v>
      </c>
      <c r="M52">
        <v>133</v>
      </c>
      <c r="N52">
        <v>352</v>
      </c>
      <c r="O52">
        <v>2</v>
      </c>
      <c r="P52">
        <v>352</v>
      </c>
      <c r="Q52">
        <v>11</v>
      </c>
      <c r="R52">
        <v>97</v>
      </c>
      <c r="S52">
        <v>1</v>
      </c>
      <c r="T52">
        <v>2</v>
      </c>
      <c r="U52">
        <v>5</v>
      </c>
      <c r="V52">
        <v>3</v>
      </c>
      <c r="W52">
        <v>1</v>
      </c>
      <c r="X52">
        <v>204</v>
      </c>
      <c r="Y52">
        <v>1</v>
      </c>
      <c r="Z52">
        <v>3</v>
      </c>
      <c r="AA52">
        <v>4</v>
      </c>
      <c r="AB52">
        <v>3</v>
      </c>
      <c r="AD52">
        <v>2</v>
      </c>
      <c r="AE52">
        <v>2</v>
      </c>
      <c r="AF52" t="s">
        <v>77</v>
      </c>
      <c r="AG52">
        <v>1</v>
      </c>
      <c r="AI52" t="s">
        <v>77</v>
      </c>
      <c r="AJ52">
        <v>12</v>
      </c>
      <c r="AK52">
        <v>352</v>
      </c>
      <c r="AL52">
        <v>352</v>
      </c>
      <c r="AM52">
        <v>441</v>
      </c>
      <c r="AN52">
        <v>44</v>
      </c>
      <c r="AO52" t="s">
        <v>78</v>
      </c>
      <c r="AP52">
        <v>1</v>
      </c>
      <c r="AR52" t="s">
        <v>126</v>
      </c>
      <c r="AS52" s="1">
        <v>44353.923611111109</v>
      </c>
      <c r="AT52" s="1">
        <v>44354.095694444448</v>
      </c>
      <c r="AU52" s="1">
        <v>44354.096180555556</v>
      </c>
      <c r="AV52" t="s">
        <v>71</v>
      </c>
      <c r="AW52" t="s">
        <v>72</v>
      </c>
      <c r="AX52" t="s">
        <v>73</v>
      </c>
    </row>
    <row r="53" spans="1:50" x14ac:dyDescent="0.3">
      <c r="A53" t="str">
        <f>"200026C0100"</f>
        <v>200026C0100</v>
      </c>
      <c r="B53" t="str">
        <f>"200026C01002"</f>
        <v>200026C01002</v>
      </c>
      <c r="C53" t="str">
        <f t="shared" si="0"/>
        <v>20</v>
      </c>
      <c r="D53" t="s">
        <v>67</v>
      </c>
      <c r="E53" t="str">
        <f t="shared" si="1"/>
        <v>001</v>
      </c>
      <c r="F53" t="s">
        <v>68</v>
      </c>
      <c r="G53" t="str">
        <f>"0026"</f>
        <v>0026</v>
      </c>
      <c r="H53" t="str">
        <f>"0001"</f>
        <v>0001</v>
      </c>
      <c r="I53" t="s">
        <v>75</v>
      </c>
      <c r="J53">
        <v>0</v>
      </c>
      <c r="K53">
        <v>1</v>
      </c>
      <c r="L53">
        <v>2</v>
      </c>
      <c r="M53">
        <v>140</v>
      </c>
      <c r="N53">
        <v>345</v>
      </c>
      <c r="O53">
        <v>0</v>
      </c>
      <c r="P53">
        <v>345</v>
      </c>
      <c r="Q53">
        <v>6</v>
      </c>
      <c r="R53">
        <v>73</v>
      </c>
      <c r="S53">
        <v>1</v>
      </c>
      <c r="T53">
        <v>1</v>
      </c>
      <c r="U53">
        <v>3</v>
      </c>
      <c r="V53">
        <v>0</v>
      </c>
      <c r="W53">
        <v>0</v>
      </c>
      <c r="X53">
        <v>239</v>
      </c>
      <c r="Y53">
        <v>2</v>
      </c>
      <c r="Z53">
        <v>3</v>
      </c>
      <c r="AA53">
        <v>5</v>
      </c>
      <c r="AB53">
        <v>2</v>
      </c>
      <c r="AD53">
        <v>4</v>
      </c>
      <c r="AE53">
        <v>1</v>
      </c>
      <c r="AF53">
        <v>0</v>
      </c>
      <c r="AG53">
        <v>2</v>
      </c>
      <c r="AI53">
        <v>0</v>
      </c>
      <c r="AJ53">
        <v>3</v>
      </c>
      <c r="AK53">
        <v>345</v>
      </c>
      <c r="AL53">
        <v>345</v>
      </c>
      <c r="AM53">
        <v>441</v>
      </c>
      <c r="AN53">
        <v>44</v>
      </c>
      <c r="AP53">
        <v>1</v>
      </c>
      <c r="AR53" t="s">
        <v>127</v>
      </c>
      <c r="AS53" s="1">
        <v>44354.090277777781</v>
      </c>
      <c r="AT53" s="1">
        <v>44354.096932870372</v>
      </c>
      <c r="AU53" s="1">
        <v>44354.097557870373</v>
      </c>
      <c r="AV53" t="s">
        <v>71</v>
      </c>
      <c r="AW53" t="s">
        <v>72</v>
      </c>
      <c r="AX53" t="s">
        <v>73</v>
      </c>
    </row>
    <row r="54" spans="1:50" x14ac:dyDescent="0.3">
      <c r="A54" t="str">
        <f>"200027B0000"</f>
        <v>200027B0000</v>
      </c>
      <c r="B54" t="str">
        <f>"200027B00002"</f>
        <v>200027B00002</v>
      </c>
      <c r="C54" t="str">
        <f t="shared" si="0"/>
        <v>20</v>
      </c>
      <c r="D54" t="s">
        <v>67</v>
      </c>
      <c r="E54" t="str">
        <f t="shared" si="1"/>
        <v>001</v>
      </c>
      <c r="F54" t="s">
        <v>68</v>
      </c>
      <c r="G54" t="str">
        <f>"0027"</f>
        <v>0027</v>
      </c>
      <c r="H54" t="str">
        <f>"0000"</f>
        <v>0000</v>
      </c>
      <c r="I54" t="s">
        <v>69</v>
      </c>
      <c r="J54">
        <v>0</v>
      </c>
      <c r="K54">
        <v>1</v>
      </c>
      <c r="L54">
        <v>2</v>
      </c>
      <c r="M54">
        <v>173</v>
      </c>
      <c r="N54">
        <v>375</v>
      </c>
      <c r="O54">
        <v>0</v>
      </c>
      <c r="P54">
        <v>375</v>
      </c>
      <c r="Q54">
        <v>5</v>
      </c>
      <c r="R54">
        <v>142</v>
      </c>
      <c r="S54">
        <v>2</v>
      </c>
      <c r="T54">
        <v>0</v>
      </c>
      <c r="U54">
        <v>0</v>
      </c>
      <c r="V54">
        <v>4</v>
      </c>
      <c r="W54">
        <v>3</v>
      </c>
      <c r="X54">
        <v>194</v>
      </c>
      <c r="Y54">
        <v>1</v>
      </c>
      <c r="Z54">
        <v>6</v>
      </c>
      <c r="AA54">
        <v>1</v>
      </c>
      <c r="AB54">
        <v>6</v>
      </c>
      <c r="AD54">
        <v>1</v>
      </c>
      <c r="AE54">
        <v>1</v>
      </c>
      <c r="AF54">
        <v>0</v>
      </c>
      <c r="AG54">
        <v>0</v>
      </c>
      <c r="AI54">
        <v>0</v>
      </c>
      <c r="AJ54">
        <v>9</v>
      </c>
      <c r="AK54">
        <v>375</v>
      </c>
      <c r="AL54">
        <v>375</v>
      </c>
      <c r="AM54">
        <v>504</v>
      </c>
      <c r="AN54">
        <v>44</v>
      </c>
      <c r="AP54">
        <v>1</v>
      </c>
      <c r="AR54" t="s">
        <v>128</v>
      </c>
      <c r="AS54" s="1">
        <v>44354.135416666664</v>
      </c>
      <c r="AT54" s="1">
        <v>44354.148645833331</v>
      </c>
      <c r="AU54" s="1">
        <v>44354.149560185186</v>
      </c>
      <c r="AV54" t="s">
        <v>71</v>
      </c>
      <c r="AW54" t="s">
        <v>72</v>
      </c>
      <c r="AX54" t="s">
        <v>73</v>
      </c>
    </row>
    <row r="55" spans="1:50" x14ac:dyDescent="0.3">
      <c r="A55" t="str">
        <f>"200027E0100"</f>
        <v>200027E0100</v>
      </c>
      <c r="B55" t="str">
        <f>"200027E01002"</f>
        <v>200027E01002</v>
      </c>
      <c r="C55" t="str">
        <f t="shared" si="0"/>
        <v>20</v>
      </c>
      <c r="D55" t="s">
        <v>67</v>
      </c>
      <c r="E55" t="str">
        <f t="shared" si="1"/>
        <v>001</v>
      </c>
      <c r="F55" t="s">
        <v>68</v>
      </c>
      <c r="G55" t="str">
        <f>"0027"</f>
        <v>0027</v>
      </c>
      <c r="H55" t="str">
        <f>"0001"</f>
        <v>0001</v>
      </c>
      <c r="I55" t="s">
        <v>109</v>
      </c>
      <c r="J55">
        <v>0</v>
      </c>
      <c r="K55">
        <v>1</v>
      </c>
      <c r="L55">
        <v>2</v>
      </c>
      <c r="M55">
        <v>75</v>
      </c>
      <c r="N55">
        <v>179</v>
      </c>
      <c r="O55">
        <v>9</v>
      </c>
      <c r="P55">
        <v>179</v>
      </c>
      <c r="Q55">
        <v>7</v>
      </c>
      <c r="R55">
        <v>64</v>
      </c>
      <c r="S55">
        <v>3</v>
      </c>
      <c r="T55">
        <v>3</v>
      </c>
      <c r="U55">
        <v>0</v>
      </c>
      <c r="V55">
        <v>3</v>
      </c>
      <c r="W55">
        <v>0</v>
      </c>
      <c r="X55">
        <v>90</v>
      </c>
      <c r="Y55">
        <v>1</v>
      </c>
      <c r="Z55">
        <v>3</v>
      </c>
      <c r="AA55">
        <v>0</v>
      </c>
      <c r="AB55">
        <v>2</v>
      </c>
      <c r="AD55">
        <v>1</v>
      </c>
      <c r="AE55">
        <v>2</v>
      </c>
      <c r="AF55">
        <v>0</v>
      </c>
      <c r="AG55">
        <v>0</v>
      </c>
      <c r="AI55">
        <v>0</v>
      </c>
      <c r="AJ55">
        <v>0</v>
      </c>
      <c r="AK55">
        <v>179</v>
      </c>
      <c r="AL55">
        <v>179</v>
      </c>
      <c r="AM55">
        <v>210</v>
      </c>
      <c r="AN55">
        <v>44</v>
      </c>
      <c r="AP55">
        <v>1</v>
      </c>
      <c r="AR55" t="s">
        <v>129</v>
      </c>
      <c r="AS55" s="1">
        <v>44354.133333333331</v>
      </c>
      <c r="AT55" s="1">
        <v>44354.140682870369</v>
      </c>
      <c r="AU55" s="1">
        <v>44354.141111111108</v>
      </c>
      <c r="AV55" t="s">
        <v>71</v>
      </c>
      <c r="AW55" t="s">
        <v>72</v>
      </c>
      <c r="AX55" t="s">
        <v>73</v>
      </c>
    </row>
    <row r="56" spans="1:50" x14ac:dyDescent="0.3">
      <c r="A56" t="str">
        <f>"200028B0000"</f>
        <v>200028B0000</v>
      </c>
      <c r="B56" t="str">
        <f>"200028B00002"</f>
        <v>200028B00002</v>
      </c>
      <c r="C56" t="str">
        <f t="shared" si="0"/>
        <v>20</v>
      </c>
      <c r="D56" t="s">
        <v>67</v>
      </c>
      <c r="E56" t="str">
        <f t="shared" si="1"/>
        <v>001</v>
      </c>
      <c r="F56" t="s">
        <v>68</v>
      </c>
      <c r="G56" t="str">
        <f>"0028"</f>
        <v>0028</v>
      </c>
      <c r="H56" t="str">
        <f>"0000"</f>
        <v>0000</v>
      </c>
      <c r="I56" t="s">
        <v>69</v>
      </c>
      <c r="J56">
        <v>0</v>
      </c>
      <c r="K56">
        <v>1</v>
      </c>
      <c r="L56">
        <v>2</v>
      </c>
      <c r="M56">
        <v>116</v>
      </c>
      <c r="N56">
        <v>348</v>
      </c>
      <c r="O56">
        <v>0</v>
      </c>
      <c r="P56">
        <v>348</v>
      </c>
      <c r="Q56">
        <v>11</v>
      </c>
      <c r="R56">
        <v>110</v>
      </c>
      <c r="S56">
        <v>13</v>
      </c>
      <c r="T56">
        <v>5</v>
      </c>
      <c r="U56">
        <v>1</v>
      </c>
      <c r="V56">
        <v>3</v>
      </c>
      <c r="W56">
        <v>3</v>
      </c>
      <c r="X56">
        <v>177</v>
      </c>
      <c r="Y56">
        <v>1</v>
      </c>
      <c r="Z56">
        <v>5</v>
      </c>
      <c r="AA56">
        <v>8</v>
      </c>
      <c r="AB56">
        <v>6</v>
      </c>
      <c r="AD56">
        <v>0</v>
      </c>
      <c r="AE56">
        <v>0</v>
      </c>
      <c r="AF56">
        <v>0</v>
      </c>
      <c r="AG56">
        <v>0</v>
      </c>
      <c r="AI56">
        <v>0</v>
      </c>
      <c r="AJ56">
        <v>5</v>
      </c>
      <c r="AK56">
        <v>348</v>
      </c>
      <c r="AL56">
        <v>348</v>
      </c>
      <c r="AM56">
        <v>420</v>
      </c>
      <c r="AN56">
        <v>44</v>
      </c>
      <c r="AP56">
        <v>1</v>
      </c>
      <c r="AR56" t="s">
        <v>130</v>
      </c>
      <c r="AS56" s="1">
        <v>44354.135416666664</v>
      </c>
      <c r="AT56" s="1">
        <v>44354.147685185184</v>
      </c>
      <c r="AU56" s="1">
        <v>44354.1484375</v>
      </c>
      <c r="AV56" t="s">
        <v>71</v>
      </c>
      <c r="AW56" t="s">
        <v>72</v>
      </c>
      <c r="AX56" t="s">
        <v>73</v>
      </c>
    </row>
    <row r="57" spans="1:50" x14ac:dyDescent="0.3">
      <c r="A57" t="str">
        <f>"200028E0100"</f>
        <v>200028E0100</v>
      </c>
      <c r="B57" t="str">
        <f>"200028E01002"</f>
        <v>200028E01002</v>
      </c>
      <c r="C57" t="str">
        <f t="shared" si="0"/>
        <v>20</v>
      </c>
      <c r="D57" t="s">
        <v>67</v>
      </c>
      <c r="E57" t="str">
        <f t="shared" si="1"/>
        <v>001</v>
      </c>
      <c r="F57" t="s">
        <v>68</v>
      </c>
      <c r="G57" t="str">
        <f>"0028"</f>
        <v>0028</v>
      </c>
      <c r="H57" t="str">
        <f>"0001"</f>
        <v>0001</v>
      </c>
      <c r="I57" t="s">
        <v>109</v>
      </c>
      <c r="J57">
        <v>0</v>
      </c>
      <c r="K57">
        <v>1</v>
      </c>
      <c r="L57">
        <v>2</v>
      </c>
      <c r="M57">
        <v>126</v>
      </c>
      <c r="N57">
        <v>287</v>
      </c>
      <c r="O57">
        <v>10</v>
      </c>
      <c r="P57">
        <v>287</v>
      </c>
      <c r="Q57">
        <v>8</v>
      </c>
      <c r="R57" t="s">
        <v>99</v>
      </c>
      <c r="S57" t="s">
        <v>77</v>
      </c>
      <c r="T57" t="s">
        <v>77</v>
      </c>
      <c r="U57">
        <v>2</v>
      </c>
      <c r="V57">
        <v>3</v>
      </c>
      <c r="W57">
        <v>1</v>
      </c>
      <c r="X57">
        <v>141</v>
      </c>
      <c r="Y57">
        <v>1</v>
      </c>
      <c r="Z57" t="s">
        <v>99</v>
      </c>
      <c r="AA57">
        <v>4</v>
      </c>
      <c r="AB57">
        <v>6</v>
      </c>
      <c r="AD57">
        <v>4</v>
      </c>
      <c r="AE57">
        <v>4</v>
      </c>
      <c r="AF57">
        <v>1</v>
      </c>
      <c r="AG57" t="s">
        <v>77</v>
      </c>
      <c r="AI57" t="s">
        <v>77</v>
      </c>
      <c r="AJ57">
        <v>2</v>
      </c>
      <c r="AK57">
        <v>287</v>
      </c>
      <c r="AL57">
        <v>177</v>
      </c>
      <c r="AM57">
        <v>369</v>
      </c>
      <c r="AN57">
        <v>44</v>
      </c>
      <c r="AO57" t="s">
        <v>78</v>
      </c>
      <c r="AP57">
        <v>1</v>
      </c>
      <c r="AR57" t="s">
        <v>131</v>
      </c>
      <c r="AS57" s="1">
        <v>44354.133333333331</v>
      </c>
      <c r="AT57" s="1">
        <v>44354.14267361111</v>
      </c>
      <c r="AU57" s="1">
        <v>44354.143854166665</v>
      </c>
      <c r="AV57" t="s">
        <v>71</v>
      </c>
      <c r="AW57" t="s">
        <v>72</v>
      </c>
      <c r="AX57" t="s">
        <v>73</v>
      </c>
    </row>
    <row r="58" spans="1:50" x14ac:dyDescent="0.3">
      <c r="A58" t="str">
        <f>"200029B0000"</f>
        <v>200029B0000</v>
      </c>
      <c r="B58" t="str">
        <f>"200029B00002"</f>
        <v>200029B00002</v>
      </c>
      <c r="C58" t="str">
        <f t="shared" si="0"/>
        <v>20</v>
      </c>
      <c r="D58" t="s">
        <v>67</v>
      </c>
      <c r="E58" t="str">
        <f t="shared" si="1"/>
        <v>001</v>
      </c>
      <c r="F58" t="s">
        <v>68</v>
      </c>
      <c r="G58" t="str">
        <f>"0029"</f>
        <v>0029</v>
      </c>
      <c r="H58" t="str">
        <f>"0000"</f>
        <v>0000</v>
      </c>
      <c r="I58" t="s">
        <v>69</v>
      </c>
      <c r="J58">
        <v>0</v>
      </c>
      <c r="K58">
        <v>1</v>
      </c>
      <c r="L58">
        <v>2</v>
      </c>
      <c r="M58">
        <v>155</v>
      </c>
      <c r="N58">
        <v>327</v>
      </c>
      <c r="O58">
        <v>0</v>
      </c>
      <c r="P58">
        <v>327</v>
      </c>
      <c r="Q58">
        <v>4</v>
      </c>
      <c r="R58">
        <v>72</v>
      </c>
      <c r="S58">
        <v>1</v>
      </c>
      <c r="T58">
        <v>1</v>
      </c>
      <c r="U58">
        <v>5</v>
      </c>
      <c r="V58">
        <v>2</v>
      </c>
      <c r="W58">
        <v>2</v>
      </c>
      <c r="X58">
        <v>207</v>
      </c>
      <c r="Y58">
        <v>3</v>
      </c>
      <c r="Z58">
        <v>9</v>
      </c>
      <c r="AA58">
        <v>8</v>
      </c>
      <c r="AB58">
        <v>4</v>
      </c>
      <c r="AD58">
        <v>0</v>
      </c>
      <c r="AE58">
        <v>2</v>
      </c>
      <c r="AF58">
        <v>0</v>
      </c>
      <c r="AG58">
        <v>0</v>
      </c>
      <c r="AI58">
        <v>0</v>
      </c>
      <c r="AJ58">
        <v>7</v>
      </c>
      <c r="AK58">
        <v>327</v>
      </c>
      <c r="AL58">
        <v>327</v>
      </c>
      <c r="AM58">
        <v>438</v>
      </c>
      <c r="AN58">
        <v>44</v>
      </c>
      <c r="AP58">
        <v>1</v>
      </c>
      <c r="AR58" t="s">
        <v>132</v>
      </c>
      <c r="AS58" s="1">
        <v>44354.089583333334</v>
      </c>
      <c r="AT58" s="1">
        <v>44354.096446759257</v>
      </c>
      <c r="AU58" s="1">
        <v>44354.097291666665</v>
      </c>
      <c r="AV58" t="s">
        <v>71</v>
      </c>
      <c r="AW58" t="s">
        <v>72</v>
      </c>
      <c r="AX58" t="s">
        <v>73</v>
      </c>
    </row>
    <row r="59" spans="1:50" x14ac:dyDescent="0.3">
      <c r="A59" t="str">
        <f>"200029C0100"</f>
        <v>200029C0100</v>
      </c>
      <c r="B59" t="str">
        <f>"200029C01002"</f>
        <v>200029C01002</v>
      </c>
      <c r="C59" t="str">
        <f t="shared" si="0"/>
        <v>20</v>
      </c>
      <c r="D59" t="s">
        <v>67</v>
      </c>
      <c r="E59" t="str">
        <f t="shared" si="1"/>
        <v>001</v>
      </c>
      <c r="F59" t="s">
        <v>68</v>
      </c>
      <c r="G59" t="str">
        <f>"0029"</f>
        <v>0029</v>
      </c>
      <c r="H59" t="str">
        <f>"0001"</f>
        <v>0001</v>
      </c>
      <c r="I59" t="s">
        <v>75</v>
      </c>
      <c r="J59">
        <v>0</v>
      </c>
      <c r="K59">
        <v>1</v>
      </c>
      <c r="L59">
        <v>2</v>
      </c>
      <c r="M59">
        <v>127</v>
      </c>
      <c r="N59">
        <v>355</v>
      </c>
      <c r="O59">
        <v>0</v>
      </c>
      <c r="P59">
        <v>355</v>
      </c>
      <c r="Q59">
        <v>7</v>
      </c>
      <c r="R59">
        <v>75</v>
      </c>
      <c r="S59">
        <v>2</v>
      </c>
      <c r="T59">
        <v>0</v>
      </c>
      <c r="U59">
        <v>3</v>
      </c>
      <c r="V59">
        <v>3</v>
      </c>
      <c r="W59">
        <v>2</v>
      </c>
      <c r="X59">
        <v>240</v>
      </c>
      <c r="Y59">
        <v>3</v>
      </c>
      <c r="Z59">
        <v>5</v>
      </c>
      <c r="AA59">
        <v>4</v>
      </c>
      <c r="AB59">
        <v>5</v>
      </c>
      <c r="AD59">
        <v>2</v>
      </c>
      <c r="AE59">
        <v>0</v>
      </c>
      <c r="AF59">
        <v>0</v>
      </c>
      <c r="AG59">
        <v>0</v>
      </c>
      <c r="AI59">
        <v>0</v>
      </c>
      <c r="AJ59">
        <v>4</v>
      </c>
      <c r="AK59">
        <v>355</v>
      </c>
      <c r="AL59">
        <v>355</v>
      </c>
      <c r="AM59">
        <v>438</v>
      </c>
      <c r="AN59">
        <v>44</v>
      </c>
      <c r="AP59">
        <v>1</v>
      </c>
      <c r="AR59" t="s">
        <v>133</v>
      </c>
      <c r="AS59" s="1">
        <v>44354.089583333334</v>
      </c>
      <c r="AT59" s="1">
        <v>44354.096215277779</v>
      </c>
      <c r="AU59" s="1">
        <v>44354.096608796295</v>
      </c>
      <c r="AV59" t="s">
        <v>71</v>
      </c>
      <c r="AW59" t="s">
        <v>72</v>
      </c>
      <c r="AX59" t="s">
        <v>73</v>
      </c>
    </row>
    <row r="60" spans="1:50" x14ac:dyDescent="0.3">
      <c r="A60" t="str">
        <f>"200029E0100"</f>
        <v>200029E0100</v>
      </c>
      <c r="B60" t="str">
        <f>"200029E01002"</f>
        <v>200029E01002</v>
      </c>
      <c r="C60" t="str">
        <f t="shared" si="0"/>
        <v>20</v>
      </c>
      <c r="D60" t="s">
        <v>67</v>
      </c>
      <c r="E60" t="str">
        <f t="shared" si="1"/>
        <v>001</v>
      </c>
      <c r="F60" t="s">
        <v>68</v>
      </c>
      <c r="G60" t="str">
        <f>"0029"</f>
        <v>0029</v>
      </c>
      <c r="H60" t="str">
        <f>"0001"</f>
        <v>0001</v>
      </c>
      <c r="I60" t="s">
        <v>109</v>
      </c>
      <c r="J60">
        <v>0</v>
      </c>
      <c r="K60">
        <v>1</v>
      </c>
      <c r="L60">
        <v>2</v>
      </c>
      <c r="M60">
        <v>86</v>
      </c>
      <c r="N60">
        <v>218</v>
      </c>
      <c r="O60">
        <v>0</v>
      </c>
      <c r="P60">
        <v>218</v>
      </c>
      <c r="Q60">
        <v>6</v>
      </c>
      <c r="R60">
        <v>23</v>
      </c>
      <c r="S60">
        <v>2</v>
      </c>
      <c r="T60">
        <v>1</v>
      </c>
      <c r="U60">
        <v>0</v>
      </c>
      <c r="V60">
        <v>3</v>
      </c>
      <c r="W60">
        <v>1</v>
      </c>
      <c r="X60">
        <v>157</v>
      </c>
      <c r="Y60">
        <v>3</v>
      </c>
      <c r="Z60">
        <v>6</v>
      </c>
      <c r="AA60">
        <v>5</v>
      </c>
      <c r="AB60">
        <v>2</v>
      </c>
      <c r="AD60">
        <v>2</v>
      </c>
      <c r="AE60">
        <v>0</v>
      </c>
      <c r="AF60">
        <v>0</v>
      </c>
      <c r="AG60">
        <v>0</v>
      </c>
      <c r="AI60">
        <v>0</v>
      </c>
      <c r="AJ60">
        <v>7</v>
      </c>
      <c r="AK60">
        <v>218</v>
      </c>
      <c r="AL60">
        <v>218</v>
      </c>
      <c r="AM60">
        <v>260</v>
      </c>
      <c r="AN60">
        <v>44</v>
      </c>
      <c r="AP60">
        <v>1</v>
      </c>
      <c r="AR60" t="s">
        <v>134</v>
      </c>
      <c r="AS60" s="1">
        <v>44354.09097222222</v>
      </c>
      <c r="AT60" s="1">
        <v>44354.097430555557</v>
      </c>
      <c r="AU60" s="1">
        <v>44354.098101851851</v>
      </c>
      <c r="AV60" t="s">
        <v>71</v>
      </c>
      <c r="AW60" t="s">
        <v>72</v>
      </c>
      <c r="AX60" t="s">
        <v>73</v>
      </c>
    </row>
    <row r="61" spans="1:50" x14ac:dyDescent="0.3">
      <c r="A61" t="str">
        <f>"200030B0000"</f>
        <v>200030B0000</v>
      </c>
      <c r="B61" t="str">
        <f>"200030B00002"</f>
        <v>200030B00002</v>
      </c>
      <c r="C61" t="str">
        <f t="shared" si="0"/>
        <v>20</v>
      </c>
      <c r="D61" t="s">
        <v>67</v>
      </c>
      <c r="E61" t="str">
        <f t="shared" si="1"/>
        <v>001</v>
      </c>
      <c r="F61" t="s">
        <v>68</v>
      </c>
      <c r="G61" t="str">
        <f>"0030"</f>
        <v>0030</v>
      </c>
      <c r="H61" t="str">
        <f>"0000"</f>
        <v>0000</v>
      </c>
      <c r="I61" t="s">
        <v>69</v>
      </c>
      <c r="J61">
        <v>0</v>
      </c>
      <c r="K61">
        <v>1</v>
      </c>
      <c r="L61">
        <v>2</v>
      </c>
      <c r="M61">
        <v>218</v>
      </c>
      <c r="N61">
        <v>564</v>
      </c>
      <c r="O61">
        <v>0</v>
      </c>
      <c r="P61">
        <v>564</v>
      </c>
      <c r="Q61">
        <v>14</v>
      </c>
      <c r="R61">
        <v>158</v>
      </c>
      <c r="S61">
        <v>2</v>
      </c>
      <c r="T61">
        <v>0</v>
      </c>
      <c r="U61">
        <v>4</v>
      </c>
      <c r="V61">
        <v>2</v>
      </c>
      <c r="W61">
        <v>2</v>
      </c>
      <c r="X61">
        <v>328</v>
      </c>
      <c r="Y61">
        <v>1</v>
      </c>
      <c r="Z61">
        <v>8</v>
      </c>
      <c r="AA61">
        <v>7</v>
      </c>
      <c r="AB61">
        <v>21</v>
      </c>
      <c r="AD61" t="s">
        <v>77</v>
      </c>
      <c r="AE61" t="s">
        <v>77</v>
      </c>
      <c r="AF61">
        <v>1</v>
      </c>
      <c r="AG61">
        <v>2</v>
      </c>
      <c r="AI61" t="s">
        <v>77</v>
      </c>
      <c r="AJ61">
        <v>14</v>
      </c>
      <c r="AK61">
        <v>564</v>
      </c>
      <c r="AL61">
        <v>564</v>
      </c>
      <c r="AM61">
        <v>738</v>
      </c>
      <c r="AN61">
        <v>44</v>
      </c>
      <c r="AO61" t="s">
        <v>78</v>
      </c>
      <c r="AP61">
        <v>1</v>
      </c>
      <c r="AR61" t="s">
        <v>135</v>
      </c>
      <c r="AS61" s="1">
        <v>44353.915972222225</v>
      </c>
      <c r="AT61" s="1">
        <v>44354.058854166666</v>
      </c>
      <c r="AU61" s="1">
        <v>44354.059467592589</v>
      </c>
      <c r="AV61" t="s">
        <v>71</v>
      </c>
      <c r="AW61" t="s">
        <v>72</v>
      </c>
      <c r="AX61" t="s">
        <v>73</v>
      </c>
    </row>
    <row r="62" spans="1:50" x14ac:dyDescent="0.3">
      <c r="A62" t="str">
        <f>"200030E0100"</f>
        <v>200030E0100</v>
      </c>
      <c r="B62" t="str">
        <f>"200030E01002"</f>
        <v>200030E01002</v>
      </c>
      <c r="C62" t="str">
        <f t="shared" si="0"/>
        <v>20</v>
      </c>
      <c r="D62" t="s">
        <v>67</v>
      </c>
      <c r="E62" t="str">
        <f t="shared" si="1"/>
        <v>001</v>
      </c>
      <c r="F62" t="s">
        <v>68</v>
      </c>
      <c r="G62" t="str">
        <f>"0030"</f>
        <v>0030</v>
      </c>
      <c r="H62" t="str">
        <f>"0001"</f>
        <v>0001</v>
      </c>
      <c r="I62" t="s">
        <v>109</v>
      </c>
      <c r="J62">
        <v>0</v>
      </c>
      <c r="K62">
        <v>1</v>
      </c>
      <c r="L62">
        <v>2</v>
      </c>
      <c r="M62">
        <v>91</v>
      </c>
      <c r="N62">
        <v>105</v>
      </c>
      <c r="O62">
        <v>2</v>
      </c>
      <c r="P62">
        <v>105</v>
      </c>
      <c r="Q62">
        <v>2</v>
      </c>
      <c r="R62">
        <v>27</v>
      </c>
      <c r="S62">
        <v>1</v>
      </c>
      <c r="T62">
        <v>1</v>
      </c>
      <c r="U62">
        <v>3</v>
      </c>
      <c r="V62">
        <v>3</v>
      </c>
      <c r="W62" t="s">
        <v>77</v>
      </c>
      <c r="X62">
        <v>49</v>
      </c>
      <c r="Y62">
        <v>1</v>
      </c>
      <c r="Z62">
        <v>3</v>
      </c>
      <c r="AA62">
        <v>2</v>
      </c>
      <c r="AB62">
        <v>7</v>
      </c>
      <c r="AD62">
        <v>2</v>
      </c>
      <c r="AE62" t="s">
        <v>77</v>
      </c>
      <c r="AF62" t="s">
        <v>77</v>
      </c>
      <c r="AG62" t="s">
        <v>77</v>
      </c>
      <c r="AI62" t="s">
        <v>77</v>
      </c>
      <c r="AJ62">
        <v>4</v>
      </c>
      <c r="AK62">
        <v>105</v>
      </c>
      <c r="AL62">
        <v>105</v>
      </c>
      <c r="AM62">
        <v>152</v>
      </c>
      <c r="AN62">
        <v>44</v>
      </c>
      <c r="AO62" t="s">
        <v>78</v>
      </c>
      <c r="AP62">
        <v>1</v>
      </c>
      <c r="AR62" t="s">
        <v>136</v>
      </c>
      <c r="AS62" s="1">
        <v>44353.833333333336</v>
      </c>
      <c r="AT62" s="1">
        <v>44354.091944444444</v>
      </c>
      <c r="AU62" s="1">
        <v>44354.095034722224</v>
      </c>
      <c r="AV62" t="s">
        <v>71</v>
      </c>
      <c r="AW62" t="s">
        <v>72</v>
      </c>
      <c r="AX62" t="s">
        <v>73</v>
      </c>
    </row>
    <row r="63" spans="1:50" x14ac:dyDescent="0.3">
      <c r="A63" t="str">
        <f>"200031B0000"</f>
        <v>200031B0000</v>
      </c>
      <c r="B63" t="str">
        <f>"200031B00002"</f>
        <v>200031B00002</v>
      </c>
      <c r="C63" t="str">
        <f t="shared" si="0"/>
        <v>20</v>
      </c>
      <c r="D63" t="s">
        <v>67</v>
      </c>
      <c r="E63" t="str">
        <f t="shared" si="1"/>
        <v>001</v>
      </c>
      <c r="F63" t="s">
        <v>68</v>
      </c>
      <c r="G63" t="str">
        <f>"0031"</f>
        <v>0031</v>
      </c>
      <c r="H63" t="str">
        <f>"0000"</f>
        <v>0000</v>
      </c>
      <c r="I63" t="s">
        <v>69</v>
      </c>
      <c r="J63">
        <v>0</v>
      </c>
      <c r="K63">
        <v>1</v>
      </c>
      <c r="L63">
        <v>2</v>
      </c>
      <c r="M63">
        <v>174</v>
      </c>
      <c r="N63">
        <v>517</v>
      </c>
      <c r="O63">
        <v>0</v>
      </c>
      <c r="P63">
        <v>517</v>
      </c>
      <c r="Q63">
        <v>9</v>
      </c>
      <c r="R63">
        <v>170</v>
      </c>
      <c r="S63">
        <v>7</v>
      </c>
      <c r="T63">
        <v>1</v>
      </c>
      <c r="U63">
        <v>4</v>
      </c>
      <c r="V63">
        <v>9</v>
      </c>
      <c r="W63">
        <v>2</v>
      </c>
      <c r="X63">
        <v>265</v>
      </c>
      <c r="Y63">
        <v>6</v>
      </c>
      <c r="Z63">
        <v>9</v>
      </c>
      <c r="AA63">
        <v>10</v>
      </c>
      <c r="AB63">
        <v>10</v>
      </c>
      <c r="AD63">
        <v>4</v>
      </c>
      <c r="AE63">
        <v>0</v>
      </c>
      <c r="AF63">
        <v>0</v>
      </c>
      <c r="AG63">
        <v>0</v>
      </c>
      <c r="AI63">
        <v>0</v>
      </c>
      <c r="AJ63">
        <v>11</v>
      </c>
      <c r="AK63">
        <v>517</v>
      </c>
      <c r="AL63">
        <v>517</v>
      </c>
      <c r="AM63">
        <v>647</v>
      </c>
      <c r="AN63">
        <v>44</v>
      </c>
      <c r="AP63">
        <v>1</v>
      </c>
      <c r="AR63" t="s">
        <v>137</v>
      </c>
      <c r="AS63" s="1">
        <v>44354.140277777777</v>
      </c>
      <c r="AT63" s="1">
        <v>44354.147569444445</v>
      </c>
      <c r="AU63" s="1">
        <v>44354.148356481484</v>
      </c>
      <c r="AV63" t="s">
        <v>71</v>
      </c>
      <c r="AW63" t="s">
        <v>72</v>
      </c>
      <c r="AX63" t="s">
        <v>73</v>
      </c>
    </row>
    <row r="64" spans="1:50" x14ac:dyDescent="0.3">
      <c r="A64" t="str">
        <f>"200031C0100"</f>
        <v>200031C0100</v>
      </c>
      <c r="B64" t="str">
        <f>"200031C01002"</f>
        <v>200031C01002</v>
      </c>
      <c r="C64" t="str">
        <f t="shared" si="0"/>
        <v>20</v>
      </c>
      <c r="D64" t="s">
        <v>67</v>
      </c>
      <c r="E64" t="str">
        <f t="shared" si="1"/>
        <v>001</v>
      </c>
      <c r="F64" t="s">
        <v>68</v>
      </c>
      <c r="G64" t="str">
        <f>"0031"</f>
        <v>0031</v>
      </c>
      <c r="H64" t="str">
        <f>"0001"</f>
        <v>0001</v>
      </c>
      <c r="I64" t="s">
        <v>75</v>
      </c>
      <c r="J64">
        <v>0</v>
      </c>
      <c r="K64">
        <v>1</v>
      </c>
      <c r="L64">
        <v>2</v>
      </c>
      <c r="M64">
        <v>185</v>
      </c>
      <c r="N64">
        <v>505</v>
      </c>
      <c r="O64">
        <v>0</v>
      </c>
      <c r="P64">
        <v>505</v>
      </c>
      <c r="Q64">
        <v>7</v>
      </c>
      <c r="R64">
        <v>159</v>
      </c>
      <c r="S64">
        <v>5</v>
      </c>
      <c r="T64">
        <v>1</v>
      </c>
      <c r="U64">
        <v>7</v>
      </c>
      <c r="V64">
        <v>2</v>
      </c>
      <c r="W64">
        <v>3</v>
      </c>
      <c r="X64">
        <v>273</v>
      </c>
      <c r="Y64">
        <v>2</v>
      </c>
      <c r="Z64">
        <v>12</v>
      </c>
      <c r="AA64">
        <v>11</v>
      </c>
      <c r="AB64">
        <v>9</v>
      </c>
      <c r="AD64">
        <v>7</v>
      </c>
      <c r="AE64">
        <v>1</v>
      </c>
      <c r="AF64">
        <v>1</v>
      </c>
      <c r="AG64">
        <v>0</v>
      </c>
      <c r="AI64">
        <v>0</v>
      </c>
      <c r="AJ64">
        <v>5</v>
      </c>
      <c r="AK64">
        <v>505</v>
      </c>
      <c r="AL64">
        <v>505</v>
      </c>
      <c r="AM64">
        <v>646</v>
      </c>
      <c r="AN64">
        <v>44</v>
      </c>
      <c r="AP64">
        <v>1</v>
      </c>
      <c r="AR64" t="s">
        <v>138</v>
      </c>
      <c r="AS64" s="1">
        <v>44354.140277777777</v>
      </c>
      <c r="AT64" s="1">
        <v>44354.144270833334</v>
      </c>
      <c r="AU64" s="1">
        <v>44354.144976851851</v>
      </c>
      <c r="AV64" t="s">
        <v>71</v>
      </c>
      <c r="AW64" t="s">
        <v>72</v>
      </c>
      <c r="AX64" t="s">
        <v>73</v>
      </c>
    </row>
    <row r="65" spans="1:50" x14ac:dyDescent="0.3">
      <c r="A65" t="str">
        <f>"200031C0200"</f>
        <v>200031C0200</v>
      </c>
      <c r="B65" t="str">
        <f>"200031C02002"</f>
        <v>200031C02002</v>
      </c>
      <c r="C65" t="str">
        <f t="shared" si="0"/>
        <v>20</v>
      </c>
      <c r="D65" t="s">
        <v>67</v>
      </c>
      <c r="E65" t="str">
        <f t="shared" si="1"/>
        <v>001</v>
      </c>
      <c r="F65" t="s">
        <v>68</v>
      </c>
      <c r="G65" t="str">
        <f>"0031"</f>
        <v>0031</v>
      </c>
      <c r="H65" t="str">
        <f>"0002"</f>
        <v>0002</v>
      </c>
      <c r="I65" t="s">
        <v>75</v>
      </c>
      <c r="J65">
        <v>0</v>
      </c>
      <c r="K65">
        <v>1</v>
      </c>
      <c r="L65">
        <v>2</v>
      </c>
      <c r="M65">
        <v>212</v>
      </c>
      <c r="N65">
        <v>477</v>
      </c>
      <c r="O65">
        <v>0</v>
      </c>
      <c r="P65">
        <v>477</v>
      </c>
      <c r="Q65">
        <v>8</v>
      </c>
      <c r="R65">
        <v>156</v>
      </c>
      <c r="S65">
        <v>4</v>
      </c>
      <c r="T65">
        <v>2</v>
      </c>
      <c r="U65">
        <v>3</v>
      </c>
      <c r="V65">
        <v>1</v>
      </c>
      <c r="W65">
        <v>1</v>
      </c>
      <c r="X65">
        <v>254</v>
      </c>
      <c r="Y65">
        <v>2</v>
      </c>
      <c r="Z65">
        <v>7</v>
      </c>
      <c r="AA65">
        <v>15</v>
      </c>
      <c r="AB65">
        <v>14</v>
      </c>
      <c r="AD65">
        <v>0</v>
      </c>
      <c r="AE65">
        <v>0</v>
      </c>
      <c r="AF65">
        <v>0</v>
      </c>
      <c r="AG65">
        <v>0</v>
      </c>
      <c r="AI65">
        <v>0</v>
      </c>
      <c r="AJ65">
        <v>10</v>
      </c>
      <c r="AK65">
        <v>477</v>
      </c>
      <c r="AL65">
        <v>477</v>
      </c>
      <c r="AM65">
        <v>646</v>
      </c>
      <c r="AN65">
        <v>44</v>
      </c>
      <c r="AP65">
        <v>1</v>
      </c>
      <c r="AR65" t="s">
        <v>139</v>
      </c>
      <c r="AS65" s="1">
        <v>44354.13958333333</v>
      </c>
      <c r="AT65" s="1">
        <v>44354.14334490741</v>
      </c>
      <c r="AU65" s="1">
        <v>44354.143946759257</v>
      </c>
      <c r="AV65" t="s">
        <v>71</v>
      </c>
      <c r="AW65" t="s">
        <v>72</v>
      </c>
      <c r="AX65" t="s">
        <v>73</v>
      </c>
    </row>
    <row r="66" spans="1:50" x14ac:dyDescent="0.3">
      <c r="A66" t="str">
        <f>"200032B0000"</f>
        <v>200032B0000</v>
      </c>
      <c r="B66" t="str">
        <f>"200032B00002"</f>
        <v>200032B00002</v>
      </c>
      <c r="C66" t="str">
        <f t="shared" si="0"/>
        <v>20</v>
      </c>
      <c r="D66" t="s">
        <v>67</v>
      </c>
      <c r="E66" t="str">
        <f t="shared" si="1"/>
        <v>001</v>
      </c>
      <c r="F66" t="s">
        <v>68</v>
      </c>
      <c r="G66" t="str">
        <f>"0032"</f>
        <v>0032</v>
      </c>
      <c r="H66" t="str">
        <f>"0000"</f>
        <v>0000</v>
      </c>
      <c r="I66" t="s">
        <v>69</v>
      </c>
      <c r="J66">
        <v>0</v>
      </c>
      <c r="K66">
        <v>1</v>
      </c>
      <c r="L66">
        <v>2</v>
      </c>
      <c r="M66">
        <v>112</v>
      </c>
      <c r="N66">
        <v>385</v>
      </c>
      <c r="O66">
        <v>2</v>
      </c>
      <c r="P66">
        <v>385</v>
      </c>
      <c r="Q66">
        <v>2</v>
      </c>
      <c r="R66">
        <v>180</v>
      </c>
      <c r="S66">
        <v>1</v>
      </c>
      <c r="T66">
        <v>0</v>
      </c>
      <c r="U66">
        <v>1</v>
      </c>
      <c r="V66">
        <v>1</v>
      </c>
      <c r="W66">
        <v>3</v>
      </c>
      <c r="X66">
        <v>178</v>
      </c>
      <c r="Y66">
        <v>4</v>
      </c>
      <c r="Z66">
        <v>1</v>
      </c>
      <c r="AA66">
        <v>2</v>
      </c>
      <c r="AB66">
        <v>0</v>
      </c>
      <c r="AD66">
        <v>3</v>
      </c>
      <c r="AE66">
        <v>0</v>
      </c>
      <c r="AF66">
        <v>0</v>
      </c>
      <c r="AG66">
        <v>0</v>
      </c>
      <c r="AI66">
        <v>2</v>
      </c>
      <c r="AJ66">
        <v>7</v>
      </c>
      <c r="AK66">
        <v>385</v>
      </c>
      <c r="AL66">
        <v>385</v>
      </c>
      <c r="AM66">
        <v>453</v>
      </c>
      <c r="AN66">
        <v>44</v>
      </c>
      <c r="AP66">
        <v>1</v>
      </c>
      <c r="AR66" t="s">
        <v>140</v>
      </c>
      <c r="AS66" s="1">
        <v>44354.13958333333</v>
      </c>
      <c r="AT66" s="1">
        <v>44354.142997685187</v>
      </c>
      <c r="AU66" s="1">
        <v>44354.14402777778</v>
      </c>
      <c r="AV66" t="s">
        <v>71</v>
      </c>
      <c r="AW66" t="s">
        <v>72</v>
      </c>
      <c r="AX66" t="s">
        <v>73</v>
      </c>
    </row>
    <row r="67" spans="1:50" x14ac:dyDescent="0.3">
      <c r="A67" t="str">
        <f>"200033B0000"</f>
        <v>200033B0000</v>
      </c>
      <c r="B67" t="str">
        <f>"200033B00002"</f>
        <v>200033B00002</v>
      </c>
      <c r="C67" t="str">
        <f t="shared" si="0"/>
        <v>20</v>
      </c>
      <c r="D67" t="s">
        <v>67</v>
      </c>
      <c r="E67" t="str">
        <f t="shared" si="1"/>
        <v>001</v>
      </c>
      <c r="F67" t="s">
        <v>68</v>
      </c>
      <c r="G67" t="str">
        <f>"0033"</f>
        <v>0033</v>
      </c>
      <c r="H67" t="str">
        <f>"0000"</f>
        <v>0000</v>
      </c>
      <c r="I67" t="s">
        <v>69</v>
      </c>
      <c r="J67">
        <v>0</v>
      </c>
      <c r="K67">
        <v>1</v>
      </c>
      <c r="L67">
        <v>2</v>
      </c>
      <c r="M67">
        <v>107</v>
      </c>
      <c r="N67">
        <v>360</v>
      </c>
      <c r="O67">
        <v>0</v>
      </c>
      <c r="P67" t="s">
        <v>80</v>
      </c>
      <c r="Q67">
        <v>3</v>
      </c>
      <c r="R67">
        <v>135</v>
      </c>
      <c r="S67">
        <v>2</v>
      </c>
      <c r="T67">
        <v>2</v>
      </c>
      <c r="U67">
        <v>0</v>
      </c>
      <c r="V67">
        <v>5</v>
      </c>
      <c r="W67">
        <v>0</v>
      </c>
      <c r="X67">
        <v>193</v>
      </c>
      <c r="Y67">
        <v>0</v>
      </c>
      <c r="Z67">
        <v>4</v>
      </c>
      <c r="AA67">
        <v>4</v>
      </c>
      <c r="AB67">
        <v>6</v>
      </c>
      <c r="AD67">
        <v>0</v>
      </c>
      <c r="AE67">
        <v>0</v>
      </c>
      <c r="AF67">
        <v>0</v>
      </c>
      <c r="AG67">
        <v>1</v>
      </c>
      <c r="AI67">
        <v>0</v>
      </c>
      <c r="AJ67">
        <v>0</v>
      </c>
      <c r="AK67">
        <v>5</v>
      </c>
      <c r="AL67">
        <v>355</v>
      </c>
      <c r="AM67">
        <v>423</v>
      </c>
      <c r="AN67">
        <v>44</v>
      </c>
      <c r="AP67">
        <v>1</v>
      </c>
      <c r="AR67" t="s">
        <v>141</v>
      </c>
      <c r="AS67" s="1">
        <v>44354.088888888888</v>
      </c>
      <c r="AT67" s="1">
        <v>44354.09611111111</v>
      </c>
      <c r="AU67" s="1">
        <v>44354.096782407411</v>
      </c>
      <c r="AV67" t="s">
        <v>71</v>
      </c>
      <c r="AW67" t="s">
        <v>72</v>
      </c>
      <c r="AX67" t="s">
        <v>73</v>
      </c>
    </row>
    <row r="68" spans="1:50" x14ac:dyDescent="0.3">
      <c r="A68" t="str">
        <f>"200033C0100"</f>
        <v>200033C0100</v>
      </c>
      <c r="B68" t="str">
        <f>"200033C01002"</f>
        <v>200033C01002</v>
      </c>
      <c r="C68" t="str">
        <f t="shared" si="0"/>
        <v>20</v>
      </c>
      <c r="D68" t="s">
        <v>67</v>
      </c>
      <c r="E68" t="str">
        <f t="shared" si="1"/>
        <v>001</v>
      </c>
      <c r="F68" t="s">
        <v>68</v>
      </c>
      <c r="G68" t="str">
        <f>"0033"</f>
        <v>0033</v>
      </c>
      <c r="H68" t="str">
        <f>"0001"</f>
        <v>0001</v>
      </c>
      <c r="I68" t="s">
        <v>75</v>
      </c>
      <c r="J68">
        <v>0</v>
      </c>
      <c r="K68">
        <v>1</v>
      </c>
      <c r="L68">
        <v>2</v>
      </c>
      <c r="M68">
        <v>103</v>
      </c>
      <c r="N68">
        <v>364</v>
      </c>
      <c r="O68">
        <v>0</v>
      </c>
      <c r="P68">
        <v>364</v>
      </c>
      <c r="Q68">
        <v>3</v>
      </c>
      <c r="R68">
        <v>136</v>
      </c>
      <c r="S68">
        <v>0</v>
      </c>
      <c r="T68">
        <v>0</v>
      </c>
      <c r="U68">
        <v>3</v>
      </c>
      <c r="V68">
        <v>3</v>
      </c>
      <c r="W68">
        <v>3</v>
      </c>
      <c r="X68">
        <v>205</v>
      </c>
      <c r="Y68">
        <v>0</v>
      </c>
      <c r="Z68">
        <v>3</v>
      </c>
      <c r="AA68">
        <v>3</v>
      </c>
      <c r="AB68">
        <v>2</v>
      </c>
      <c r="AD68">
        <v>0</v>
      </c>
      <c r="AE68">
        <v>0</v>
      </c>
      <c r="AF68">
        <v>0</v>
      </c>
      <c r="AG68">
        <v>0</v>
      </c>
      <c r="AI68">
        <v>0</v>
      </c>
      <c r="AJ68">
        <v>3</v>
      </c>
      <c r="AK68">
        <v>364</v>
      </c>
      <c r="AL68">
        <v>364</v>
      </c>
      <c r="AM68">
        <v>423</v>
      </c>
      <c r="AN68">
        <v>44</v>
      </c>
      <c r="AP68">
        <v>1</v>
      </c>
      <c r="AR68" t="s">
        <v>142</v>
      </c>
      <c r="AS68" s="1">
        <v>44354.088888888888</v>
      </c>
      <c r="AT68" s="1">
        <v>44354.095555555556</v>
      </c>
      <c r="AU68" s="1">
        <v>44354.096041666664</v>
      </c>
      <c r="AV68" t="s">
        <v>71</v>
      </c>
      <c r="AW68" t="s">
        <v>72</v>
      </c>
      <c r="AX68" t="s">
        <v>73</v>
      </c>
    </row>
    <row r="69" spans="1:50" x14ac:dyDescent="0.3">
      <c r="A69" t="str">
        <f>"200033E0100"</f>
        <v>200033E0100</v>
      </c>
      <c r="B69" t="str">
        <f>"200033E01002"</f>
        <v>200033E01002</v>
      </c>
      <c r="C69" t="str">
        <f t="shared" si="0"/>
        <v>20</v>
      </c>
      <c r="D69" t="s">
        <v>67</v>
      </c>
      <c r="E69" t="str">
        <f t="shared" si="1"/>
        <v>001</v>
      </c>
      <c r="F69" t="s">
        <v>68</v>
      </c>
      <c r="G69" t="str">
        <f>"0033"</f>
        <v>0033</v>
      </c>
      <c r="H69" t="str">
        <f>"0001"</f>
        <v>0001</v>
      </c>
      <c r="I69" t="s">
        <v>109</v>
      </c>
      <c r="J69">
        <v>0</v>
      </c>
      <c r="K69">
        <v>1</v>
      </c>
      <c r="L69">
        <v>2</v>
      </c>
      <c r="AM69">
        <v>481</v>
      </c>
      <c r="AN69">
        <v>44</v>
      </c>
      <c r="AO69" t="s">
        <v>143</v>
      </c>
      <c r="AP69">
        <v>0</v>
      </c>
      <c r="AR69" t="s">
        <v>144</v>
      </c>
      <c r="AS69" s="1">
        <v>44354.724999999999</v>
      </c>
      <c r="AT69" s="1">
        <v>44354.727488425924</v>
      </c>
      <c r="AU69" s="1">
        <v>44354.727488425924</v>
      </c>
      <c r="AV69" t="s">
        <v>71</v>
      </c>
      <c r="AW69" t="s">
        <v>72</v>
      </c>
      <c r="AX69" t="s">
        <v>73</v>
      </c>
    </row>
    <row r="70" spans="1:50" x14ac:dyDescent="0.3">
      <c r="A70" t="str">
        <f>"200034B0000"</f>
        <v>200034B0000</v>
      </c>
      <c r="B70" t="str">
        <f>"200034B00002"</f>
        <v>200034B00002</v>
      </c>
      <c r="C70" t="str">
        <f t="shared" si="0"/>
        <v>20</v>
      </c>
      <c r="D70" t="s">
        <v>67</v>
      </c>
      <c r="E70" t="str">
        <f t="shared" si="1"/>
        <v>001</v>
      </c>
      <c r="F70" t="s">
        <v>68</v>
      </c>
      <c r="G70" t="str">
        <f>"0034"</f>
        <v>0034</v>
      </c>
      <c r="H70" t="str">
        <f>"0000"</f>
        <v>0000</v>
      </c>
      <c r="I70" t="s">
        <v>69</v>
      </c>
      <c r="J70">
        <v>0</v>
      </c>
      <c r="K70">
        <v>1</v>
      </c>
      <c r="L70">
        <v>2</v>
      </c>
      <c r="M70">
        <v>142</v>
      </c>
      <c r="N70">
        <v>428</v>
      </c>
      <c r="O70">
        <v>1</v>
      </c>
      <c r="P70">
        <v>428</v>
      </c>
      <c r="Q70">
        <v>10</v>
      </c>
      <c r="R70">
        <v>105</v>
      </c>
      <c r="S70">
        <v>29</v>
      </c>
      <c r="T70">
        <v>2</v>
      </c>
      <c r="U70">
        <v>27</v>
      </c>
      <c r="V70">
        <v>8</v>
      </c>
      <c r="W70">
        <v>5</v>
      </c>
      <c r="X70">
        <v>219</v>
      </c>
      <c r="Y70">
        <v>2</v>
      </c>
      <c r="Z70">
        <v>7</v>
      </c>
      <c r="AA70">
        <v>3</v>
      </c>
      <c r="AB70">
        <v>4</v>
      </c>
      <c r="AD70">
        <v>1</v>
      </c>
      <c r="AE70">
        <v>0</v>
      </c>
      <c r="AF70">
        <v>0</v>
      </c>
      <c r="AG70">
        <v>0</v>
      </c>
      <c r="AI70">
        <v>0</v>
      </c>
      <c r="AJ70">
        <v>6</v>
      </c>
      <c r="AK70">
        <v>428</v>
      </c>
      <c r="AL70">
        <v>428</v>
      </c>
      <c r="AM70">
        <v>526</v>
      </c>
      <c r="AN70">
        <v>44</v>
      </c>
      <c r="AP70">
        <v>1</v>
      </c>
      <c r="AR70" t="s">
        <v>145</v>
      </c>
      <c r="AS70" s="1">
        <v>44354.133333333331</v>
      </c>
      <c r="AT70" s="1">
        <v>44354.139097222222</v>
      </c>
      <c r="AU70" s="1">
        <v>44354.13958333333</v>
      </c>
      <c r="AV70" t="s">
        <v>71</v>
      </c>
      <c r="AW70" t="s">
        <v>72</v>
      </c>
      <c r="AX70" t="s">
        <v>73</v>
      </c>
    </row>
    <row r="71" spans="1:50" x14ac:dyDescent="0.3">
      <c r="A71" t="str">
        <f>"200034E0100"</f>
        <v>200034E0100</v>
      </c>
      <c r="B71" t="str">
        <f>"200034E01002"</f>
        <v>200034E01002</v>
      </c>
      <c r="C71" t="str">
        <f t="shared" ref="C71:C134" si="2">"20"</f>
        <v>20</v>
      </c>
      <c r="D71" t="s">
        <v>67</v>
      </c>
      <c r="E71" t="str">
        <f t="shared" ref="E71:E134" si="3">"001"</f>
        <v>001</v>
      </c>
      <c r="F71" t="s">
        <v>68</v>
      </c>
      <c r="G71" t="str">
        <f>"0034"</f>
        <v>0034</v>
      </c>
      <c r="H71" t="str">
        <f>"0001"</f>
        <v>0001</v>
      </c>
      <c r="I71" t="s">
        <v>109</v>
      </c>
      <c r="J71">
        <v>0</v>
      </c>
      <c r="K71">
        <v>1</v>
      </c>
      <c r="L71">
        <v>2</v>
      </c>
      <c r="M71">
        <v>219</v>
      </c>
      <c r="N71">
        <v>515</v>
      </c>
      <c r="O71">
        <v>6</v>
      </c>
      <c r="P71">
        <v>515</v>
      </c>
      <c r="Q71">
        <v>11</v>
      </c>
      <c r="R71">
        <v>129</v>
      </c>
      <c r="S71">
        <v>11</v>
      </c>
      <c r="T71">
        <v>1</v>
      </c>
      <c r="U71">
        <v>5</v>
      </c>
      <c r="V71">
        <v>3</v>
      </c>
      <c r="W71">
        <v>6</v>
      </c>
      <c r="X71">
        <v>314</v>
      </c>
      <c r="Y71">
        <v>2</v>
      </c>
      <c r="Z71">
        <v>7</v>
      </c>
      <c r="AA71">
        <v>5</v>
      </c>
      <c r="AB71">
        <v>10</v>
      </c>
      <c r="AD71">
        <v>2</v>
      </c>
      <c r="AE71">
        <v>0</v>
      </c>
      <c r="AF71">
        <v>0</v>
      </c>
      <c r="AG71">
        <v>1</v>
      </c>
      <c r="AI71">
        <v>0</v>
      </c>
      <c r="AJ71">
        <v>8</v>
      </c>
      <c r="AK71">
        <v>515</v>
      </c>
      <c r="AL71">
        <v>515</v>
      </c>
      <c r="AM71">
        <v>690</v>
      </c>
      <c r="AN71">
        <v>44</v>
      </c>
      <c r="AP71">
        <v>1</v>
      </c>
      <c r="AR71" t="s">
        <v>146</v>
      </c>
      <c r="AS71" s="1">
        <v>44354.193055555559</v>
      </c>
      <c r="AT71" s="1">
        <v>44354.197696759256</v>
      </c>
      <c r="AU71" s="1">
        <v>44354.198182870372</v>
      </c>
      <c r="AV71" t="s">
        <v>71</v>
      </c>
      <c r="AW71" t="s">
        <v>72</v>
      </c>
      <c r="AX71" t="s">
        <v>73</v>
      </c>
    </row>
    <row r="72" spans="1:50" x14ac:dyDescent="0.3">
      <c r="A72" t="str">
        <f>"200134B0000"</f>
        <v>200134B0000</v>
      </c>
      <c r="B72" t="str">
        <f>"200134B00002"</f>
        <v>200134B00002</v>
      </c>
      <c r="C72" t="str">
        <f t="shared" si="2"/>
        <v>20</v>
      </c>
      <c r="D72" t="s">
        <v>67</v>
      </c>
      <c r="E72" t="str">
        <f t="shared" si="3"/>
        <v>001</v>
      </c>
      <c r="F72" t="s">
        <v>68</v>
      </c>
      <c r="G72" t="str">
        <f>"0134"</f>
        <v>0134</v>
      </c>
      <c r="H72" t="str">
        <f>"0000"</f>
        <v>0000</v>
      </c>
      <c r="I72" t="s">
        <v>69</v>
      </c>
      <c r="J72">
        <v>0</v>
      </c>
      <c r="K72">
        <v>1</v>
      </c>
      <c r="L72">
        <v>2</v>
      </c>
      <c r="M72">
        <v>154</v>
      </c>
      <c r="N72">
        <v>298</v>
      </c>
      <c r="O72">
        <v>1</v>
      </c>
      <c r="P72">
        <v>298</v>
      </c>
      <c r="Q72">
        <v>8</v>
      </c>
      <c r="R72">
        <v>193</v>
      </c>
      <c r="S72">
        <v>1</v>
      </c>
      <c r="T72">
        <v>4</v>
      </c>
      <c r="U72">
        <v>0</v>
      </c>
      <c r="V72">
        <v>1</v>
      </c>
      <c r="W72">
        <v>1</v>
      </c>
      <c r="X72">
        <v>73</v>
      </c>
      <c r="Y72">
        <v>0</v>
      </c>
      <c r="Z72">
        <v>0</v>
      </c>
      <c r="AA72">
        <v>3</v>
      </c>
      <c r="AB72">
        <v>0</v>
      </c>
      <c r="AD72">
        <v>4</v>
      </c>
      <c r="AE72">
        <v>1</v>
      </c>
      <c r="AF72">
        <v>0</v>
      </c>
      <c r="AG72">
        <v>0</v>
      </c>
      <c r="AI72">
        <v>0</v>
      </c>
      <c r="AJ72">
        <v>9</v>
      </c>
      <c r="AK72">
        <v>298</v>
      </c>
      <c r="AL72">
        <v>298</v>
      </c>
      <c r="AM72">
        <v>408</v>
      </c>
      <c r="AN72">
        <v>44</v>
      </c>
      <c r="AP72">
        <v>1</v>
      </c>
      <c r="AR72" t="s">
        <v>147</v>
      </c>
      <c r="AS72" s="1">
        <v>44354.085416666669</v>
      </c>
      <c r="AT72" s="1">
        <v>44354.092627314814</v>
      </c>
      <c r="AU72" s="1">
        <v>44354.093124999999</v>
      </c>
      <c r="AV72" t="s">
        <v>71</v>
      </c>
      <c r="AW72" t="s">
        <v>72</v>
      </c>
      <c r="AX72" t="s">
        <v>73</v>
      </c>
    </row>
    <row r="73" spans="1:50" x14ac:dyDescent="0.3">
      <c r="A73" t="str">
        <f>"200134C0100"</f>
        <v>200134C0100</v>
      </c>
      <c r="B73" t="str">
        <f>"200134C01002"</f>
        <v>200134C01002</v>
      </c>
      <c r="C73" t="str">
        <f t="shared" si="2"/>
        <v>20</v>
      </c>
      <c r="D73" t="s">
        <v>67</v>
      </c>
      <c r="E73" t="str">
        <f t="shared" si="3"/>
        <v>001</v>
      </c>
      <c r="F73" t="s">
        <v>68</v>
      </c>
      <c r="G73" t="str">
        <f>"0134"</f>
        <v>0134</v>
      </c>
      <c r="H73" t="str">
        <f>"0001"</f>
        <v>0001</v>
      </c>
      <c r="I73" t="s">
        <v>75</v>
      </c>
      <c r="J73">
        <v>0</v>
      </c>
      <c r="K73">
        <v>1</v>
      </c>
      <c r="L73">
        <v>2</v>
      </c>
      <c r="M73">
        <v>132</v>
      </c>
      <c r="N73">
        <v>320</v>
      </c>
      <c r="O73">
        <v>0</v>
      </c>
      <c r="P73">
        <v>320</v>
      </c>
      <c r="Q73">
        <v>12</v>
      </c>
      <c r="R73">
        <v>211</v>
      </c>
      <c r="S73">
        <v>4</v>
      </c>
      <c r="T73">
        <v>0</v>
      </c>
      <c r="U73">
        <v>4</v>
      </c>
      <c r="V73">
        <v>2</v>
      </c>
      <c r="W73">
        <v>0</v>
      </c>
      <c r="X73">
        <v>67</v>
      </c>
      <c r="Y73">
        <v>1</v>
      </c>
      <c r="Z73">
        <v>0</v>
      </c>
      <c r="AA73">
        <v>1</v>
      </c>
      <c r="AB73">
        <v>1</v>
      </c>
      <c r="AD73">
        <v>12</v>
      </c>
      <c r="AE73">
        <v>0</v>
      </c>
      <c r="AF73">
        <v>0</v>
      </c>
      <c r="AG73">
        <v>0</v>
      </c>
      <c r="AI73">
        <v>0</v>
      </c>
      <c r="AJ73">
        <v>5</v>
      </c>
      <c r="AK73">
        <v>320</v>
      </c>
      <c r="AL73">
        <v>320</v>
      </c>
      <c r="AM73">
        <v>408</v>
      </c>
      <c r="AN73">
        <v>44</v>
      </c>
      <c r="AP73">
        <v>1</v>
      </c>
      <c r="AR73" t="s">
        <v>148</v>
      </c>
      <c r="AS73" s="1">
        <v>44354.086111111108</v>
      </c>
      <c r="AT73" s="1">
        <v>44354.095104166663</v>
      </c>
      <c r="AU73" s="1">
        <v>44354.095914351848</v>
      </c>
      <c r="AV73" t="s">
        <v>71</v>
      </c>
      <c r="AW73" t="s">
        <v>72</v>
      </c>
      <c r="AX73" t="s">
        <v>73</v>
      </c>
    </row>
    <row r="74" spans="1:50" x14ac:dyDescent="0.3">
      <c r="A74" t="str">
        <f>"200135B0000"</f>
        <v>200135B0000</v>
      </c>
      <c r="B74" t="str">
        <f>"200135B00002"</f>
        <v>200135B00002</v>
      </c>
      <c r="C74" t="str">
        <f t="shared" si="2"/>
        <v>20</v>
      </c>
      <c r="D74" t="s">
        <v>67</v>
      </c>
      <c r="E74" t="str">
        <f t="shared" si="3"/>
        <v>001</v>
      </c>
      <c r="F74" t="s">
        <v>68</v>
      </c>
      <c r="G74" t="str">
        <f>"0135"</f>
        <v>0135</v>
      </c>
      <c r="H74" t="str">
        <f>"0000"</f>
        <v>0000</v>
      </c>
      <c r="I74" t="s">
        <v>69</v>
      </c>
      <c r="J74">
        <v>0</v>
      </c>
      <c r="K74">
        <v>1</v>
      </c>
      <c r="L74">
        <v>2</v>
      </c>
      <c r="M74">
        <v>117</v>
      </c>
      <c r="N74">
        <v>558</v>
      </c>
      <c r="O74">
        <v>0</v>
      </c>
      <c r="P74">
        <v>558</v>
      </c>
      <c r="Q74">
        <v>26</v>
      </c>
      <c r="R74">
        <v>393</v>
      </c>
      <c r="S74">
        <v>12</v>
      </c>
      <c r="T74">
        <v>1</v>
      </c>
      <c r="U74">
        <v>3</v>
      </c>
      <c r="V74">
        <v>4</v>
      </c>
      <c r="W74">
        <v>0</v>
      </c>
      <c r="X74">
        <v>32</v>
      </c>
      <c r="Y74">
        <v>1</v>
      </c>
      <c r="Z74">
        <v>4</v>
      </c>
      <c r="AA74">
        <v>0</v>
      </c>
      <c r="AB74">
        <v>1</v>
      </c>
      <c r="AD74">
        <v>13</v>
      </c>
      <c r="AE74">
        <v>1</v>
      </c>
      <c r="AF74">
        <v>0</v>
      </c>
      <c r="AG74">
        <v>3</v>
      </c>
      <c r="AI74">
        <v>0</v>
      </c>
      <c r="AJ74">
        <v>64</v>
      </c>
      <c r="AK74">
        <v>558</v>
      </c>
      <c r="AL74">
        <v>558</v>
      </c>
      <c r="AM74">
        <v>631</v>
      </c>
      <c r="AN74">
        <v>44</v>
      </c>
      <c r="AP74">
        <v>1</v>
      </c>
      <c r="AR74" t="s">
        <v>149</v>
      </c>
      <c r="AS74" s="1">
        <v>44354.085416666669</v>
      </c>
      <c r="AT74" s="1">
        <v>44354.093391203707</v>
      </c>
      <c r="AU74" s="1">
        <v>44354.0937962963</v>
      </c>
      <c r="AV74" t="s">
        <v>71</v>
      </c>
      <c r="AW74" t="s">
        <v>72</v>
      </c>
      <c r="AX74" t="s">
        <v>73</v>
      </c>
    </row>
    <row r="75" spans="1:50" x14ac:dyDescent="0.3">
      <c r="A75" t="str">
        <f>"200135C0100"</f>
        <v>200135C0100</v>
      </c>
      <c r="B75" t="str">
        <f>"200135C01002"</f>
        <v>200135C01002</v>
      </c>
      <c r="C75" t="str">
        <f t="shared" si="2"/>
        <v>20</v>
      </c>
      <c r="D75" t="s">
        <v>67</v>
      </c>
      <c r="E75" t="str">
        <f t="shared" si="3"/>
        <v>001</v>
      </c>
      <c r="F75" t="s">
        <v>68</v>
      </c>
      <c r="G75" t="str">
        <f>"0135"</f>
        <v>0135</v>
      </c>
      <c r="H75" t="str">
        <f>"0001"</f>
        <v>0001</v>
      </c>
      <c r="I75" t="s">
        <v>75</v>
      </c>
      <c r="J75">
        <v>0</v>
      </c>
      <c r="K75">
        <v>1</v>
      </c>
      <c r="L75">
        <v>2</v>
      </c>
      <c r="M75">
        <v>133</v>
      </c>
      <c r="N75">
        <v>542</v>
      </c>
      <c r="O75">
        <v>0</v>
      </c>
      <c r="P75">
        <v>542</v>
      </c>
      <c r="Q75">
        <v>26</v>
      </c>
      <c r="R75">
        <v>379</v>
      </c>
      <c r="S75">
        <v>5</v>
      </c>
      <c r="T75">
        <v>3</v>
      </c>
      <c r="U75">
        <v>5</v>
      </c>
      <c r="V75">
        <v>5</v>
      </c>
      <c r="W75">
        <v>0</v>
      </c>
      <c r="X75">
        <v>37</v>
      </c>
      <c r="Y75">
        <v>0</v>
      </c>
      <c r="Z75">
        <v>2</v>
      </c>
      <c r="AA75">
        <v>1</v>
      </c>
      <c r="AB75">
        <v>2</v>
      </c>
      <c r="AD75">
        <v>24</v>
      </c>
      <c r="AE75">
        <v>0</v>
      </c>
      <c r="AF75">
        <v>0</v>
      </c>
      <c r="AG75">
        <v>0</v>
      </c>
      <c r="AI75">
        <v>0</v>
      </c>
      <c r="AJ75">
        <v>53</v>
      </c>
      <c r="AK75">
        <v>542</v>
      </c>
      <c r="AL75">
        <v>542</v>
      </c>
      <c r="AM75">
        <v>631</v>
      </c>
      <c r="AN75">
        <v>44</v>
      </c>
      <c r="AP75">
        <v>1</v>
      </c>
      <c r="AR75" t="s">
        <v>150</v>
      </c>
      <c r="AS75" s="1">
        <v>44354.085416666669</v>
      </c>
      <c r="AT75" s="1">
        <v>44354.093194444446</v>
      </c>
      <c r="AU75" s="1">
        <v>44354.094930555555</v>
      </c>
      <c r="AV75" t="s">
        <v>71</v>
      </c>
      <c r="AW75" t="s">
        <v>72</v>
      </c>
      <c r="AX75" t="s">
        <v>73</v>
      </c>
    </row>
    <row r="76" spans="1:50" x14ac:dyDescent="0.3">
      <c r="A76" t="str">
        <f>"200135C0200"</f>
        <v>200135C0200</v>
      </c>
      <c r="B76" t="str">
        <f>"200135C02002"</f>
        <v>200135C02002</v>
      </c>
      <c r="C76" t="str">
        <f t="shared" si="2"/>
        <v>20</v>
      </c>
      <c r="D76" t="s">
        <v>67</v>
      </c>
      <c r="E76" t="str">
        <f t="shared" si="3"/>
        <v>001</v>
      </c>
      <c r="F76" t="s">
        <v>68</v>
      </c>
      <c r="G76" t="str">
        <f>"0135"</f>
        <v>0135</v>
      </c>
      <c r="H76" t="str">
        <f>"0002"</f>
        <v>0002</v>
      </c>
      <c r="I76" t="s">
        <v>75</v>
      </c>
      <c r="J76">
        <v>0</v>
      </c>
      <c r="K76">
        <v>1</v>
      </c>
      <c r="L76">
        <v>2</v>
      </c>
      <c r="M76">
        <v>130</v>
      </c>
      <c r="N76">
        <v>545</v>
      </c>
      <c r="O76">
        <v>0</v>
      </c>
      <c r="P76">
        <v>545</v>
      </c>
      <c r="Q76">
        <v>44</v>
      </c>
      <c r="R76">
        <v>354</v>
      </c>
      <c r="S76">
        <v>5</v>
      </c>
      <c r="T76">
        <v>3</v>
      </c>
      <c r="U76">
        <v>1</v>
      </c>
      <c r="V76">
        <v>6</v>
      </c>
      <c r="W76">
        <v>2</v>
      </c>
      <c r="X76">
        <v>37</v>
      </c>
      <c r="Y76">
        <v>4</v>
      </c>
      <c r="Z76">
        <v>1</v>
      </c>
      <c r="AA76">
        <v>0</v>
      </c>
      <c r="AB76">
        <v>1</v>
      </c>
      <c r="AD76">
        <v>20</v>
      </c>
      <c r="AE76">
        <v>2</v>
      </c>
      <c r="AF76">
        <v>0</v>
      </c>
      <c r="AG76">
        <v>0</v>
      </c>
      <c r="AI76">
        <v>0</v>
      </c>
      <c r="AJ76">
        <v>65</v>
      </c>
      <c r="AK76">
        <v>545</v>
      </c>
      <c r="AL76">
        <v>545</v>
      </c>
      <c r="AM76">
        <v>631</v>
      </c>
      <c r="AN76">
        <v>44</v>
      </c>
      <c r="AP76">
        <v>1</v>
      </c>
      <c r="AR76" t="s">
        <v>151</v>
      </c>
      <c r="AS76" s="1">
        <v>44354.089583333334</v>
      </c>
      <c r="AT76" s="1">
        <v>44354.096655092595</v>
      </c>
      <c r="AU76" s="1">
        <v>44354.097256944442</v>
      </c>
      <c r="AV76" t="s">
        <v>71</v>
      </c>
      <c r="AW76" t="s">
        <v>72</v>
      </c>
      <c r="AX76" t="s">
        <v>73</v>
      </c>
    </row>
    <row r="77" spans="1:50" x14ac:dyDescent="0.3">
      <c r="A77" t="str">
        <f>"200136B0000"</f>
        <v>200136B0000</v>
      </c>
      <c r="B77" t="str">
        <f>"200136B00002"</f>
        <v>200136B00002</v>
      </c>
      <c r="C77" t="str">
        <f t="shared" si="2"/>
        <v>20</v>
      </c>
      <c r="D77" t="s">
        <v>67</v>
      </c>
      <c r="E77" t="str">
        <f t="shared" si="3"/>
        <v>001</v>
      </c>
      <c r="F77" t="s">
        <v>68</v>
      </c>
      <c r="G77" t="str">
        <f>"0136"</f>
        <v>0136</v>
      </c>
      <c r="H77" t="str">
        <f>"0000"</f>
        <v>0000</v>
      </c>
      <c r="I77" t="s">
        <v>69</v>
      </c>
      <c r="J77">
        <v>0</v>
      </c>
      <c r="K77">
        <v>1</v>
      </c>
      <c r="L77">
        <v>2</v>
      </c>
      <c r="M77">
        <v>200</v>
      </c>
      <c r="N77">
        <v>494</v>
      </c>
      <c r="O77">
        <v>3</v>
      </c>
      <c r="P77">
        <v>494</v>
      </c>
      <c r="Q77">
        <v>21</v>
      </c>
      <c r="R77">
        <v>309</v>
      </c>
      <c r="S77">
        <v>9</v>
      </c>
      <c r="T77">
        <v>4</v>
      </c>
      <c r="U77">
        <v>3</v>
      </c>
      <c r="V77">
        <v>4</v>
      </c>
      <c r="W77">
        <v>2</v>
      </c>
      <c r="X77">
        <v>110</v>
      </c>
      <c r="Y77">
        <v>0</v>
      </c>
      <c r="Z77">
        <v>3</v>
      </c>
      <c r="AA77">
        <v>2</v>
      </c>
      <c r="AB77">
        <v>0</v>
      </c>
      <c r="AD77">
        <v>16</v>
      </c>
      <c r="AE77">
        <v>1</v>
      </c>
      <c r="AF77">
        <v>0</v>
      </c>
      <c r="AG77">
        <v>3</v>
      </c>
      <c r="AI77">
        <v>0</v>
      </c>
      <c r="AJ77">
        <v>7</v>
      </c>
      <c r="AK77">
        <v>494</v>
      </c>
      <c r="AL77">
        <v>494</v>
      </c>
      <c r="AM77">
        <v>650</v>
      </c>
      <c r="AN77">
        <v>44</v>
      </c>
      <c r="AP77">
        <v>1</v>
      </c>
      <c r="AR77" t="s">
        <v>152</v>
      </c>
      <c r="AS77" s="1">
        <v>44354.229166666664</v>
      </c>
      <c r="AT77" s="1">
        <v>44354.236388888887</v>
      </c>
      <c r="AU77" s="1">
        <v>44354.236956018518</v>
      </c>
      <c r="AV77" t="s">
        <v>71</v>
      </c>
      <c r="AW77" t="s">
        <v>72</v>
      </c>
      <c r="AX77" t="s">
        <v>73</v>
      </c>
    </row>
    <row r="78" spans="1:50" x14ac:dyDescent="0.3">
      <c r="A78" t="str">
        <f>"200136C0100"</f>
        <v>200136C0100</v>
      </c>
      <c r="B78" t="str">
        <f>"200136C01002"</f>
        <v>200136C01002</v>
      </c>
      <c r="C78" t="str">
        <f t="shared" si="2"/>
        <v>20</v>
      </c>
      <c r="D78" t="s">
        <v>67</v>
      </c>
      <c r="E78" t="str">
        <f t="shared" si="3"/>
        <v>001</v>
      </c>
      <c r="F78" t="s">
        <v>68</v>
      </c>
      <c r="G78" t="str">
        <f>"0136"</f>
        <v>0136</v>
      </c>
      <c r="H78" t="str">
        <f>"0001"</f>
        <v>0001</v>
      </c>
      <c r="I78" t="s">
        <v>75</v>
      </c>
      <c r="J78">
        <v>0</v>
      </c>
      <c r="K78">
        <v>1</v>
      </c>
      <c r="L78">
        <v>2</v>
      </c>
      <c r="M78">
        <v>148</v>
      </c>
      <c r="N78">
        <v>545</v>
      </c>
      <c r="O78">
        <v>0</v>
      </c>
      <c r="P78">
        <v>545</v>
      </c>
      <c r="Q78">
        <v>29</v>
      </c>
      <c r="R78">
        <v>336</v>
      </c>
      <c r="S78">
        <v>18</v>
      </c>
      <c r="T78">
        <v>3</v>
      </c>
      <c r="U78">
        <v>2</v>
      </c>
      <c r="V78">
        <v>4</v>
      </c>
      <c r="W78">
        <v>3</v>
      </c>
      <c r="X78">
        <v>60</v>
      </c>
      <c r="Y78">
        <v>0</v>
      </c>
      <c r="Z78">
        <v>0</v>
      </c>
      <c r="AA78">
        <v>1</v>
      </c>
      <c r="AB78">
        <v>2</v>
      </c>
      <c r="AD78">
        <v>17</v>
      </c>
      <c r="AE78">
        <v>0</v>
      </c>
      <c r="AF78">
        <v>0</v>
      </c>
      <c r="AG78">
        <v>0</v>
      </c>
      <c r="AI78">
        <v>0</v>
      </c>
      <c r="AJ78">
        <v>70</v>
      </c>
      <c r="AK78">
        <v>545</v>
      </c>
      <c r="AL78">
        <v>545</v>
      </c>
      <c r="AM78">
        <v>649</v>
      </c>
      <c r="AN78">
        <v>44</v>
      </c>
      <c r="AP78">
        <v>1</v>
      </c>
      <c r="AR78" t="s">
        <v>153</v>
      </c>
      <c r="AS78" s="1">
        <v>44354.240972222222</v>
      </c>
      <c r="AT78" s="1">
        <v>44354.252256944441</v>
      </c>
      <c r="AU78" s="1">
        <v>44354.284895833334</v>
      </c>
      <c r="AV78" t="s">
        <v>71</v>
      </c>
      <c r="AW78" t="s">
        <v>72</v>
      </c>
      <c r="AX78" t="s">
        <v>73</v>
      </c>
    </row>
    <row r="79" spans="1:50" x14ac:dyDescent="0.3">
      <c r="A79" t="str">
        <f>"200136C0200"</f>
        <v>200136C0200</v>
      </c>
      <c r="B79" t="str">
        <f>"200136C02002"</f>
        <v>200136C02002</v>
      </c>
      <c r="C79" t="str">
        <f t="shared" si="2"/>
        <v>20</v>
      </c>
      <c r="D79" t="s">
        <v>67</v>
      </c>
      <c r="E79" t="str">
        <f t="shared" si="3"/>
        <v>001</v>
      </c>
      <c r="F79" t="s">
        <v>68</v>
      </c>
      <c r="G79" t="str">
        <f>"0136"</f>
        <v>0136</v>
      </c>
      <c r="H79" t="str">
        <f>"0002"</f>
        <v>0002</v>
      </c>
      <c r="I79" t="s">
        <v>75</v>
      </c>
      <c r="J79">
        <v>0</v>
      </c>
      <c r="K79">
        <v>1</v>
      </c>
      <c r="L79">
        <v>2</v>
      </c>
      <c r="M79">
        <v>185</v>
      </c>
      <c r="N79">
        <v>508</v>
      </c>
      <c r="O79">
        <v>2</v>
      </c>
      <c r="P79" t="s">
        <v>80</v>
      </c>
      <c r="Q79">
        <v>20</v>
      </c>
      <c r="R79">
        <v>319</v>
      </c>
      <c r="S79">
        <v>18</v>
      </c>
      <c r="T79">
        <v>5</v>
      </c>
      <c r="U79">
        <v>5</v>
      </c>
      <c r="V79">
        <v>11</v>
      </c>
      <c r="W79">
        <v>0</v>
      </c>
      <c r="X79">
        <v>67</v>
      </c>
      <c r="Y79">
        <v>3</v>
      </c>
      <c r="Z79">
        <v>2</v>
      </c>
      <c r="AA79">
        <v>2</v>
      </c>
      <c r="AB79">
        <v>0</v>
      </c>
      <c r="AD79">
        <v>12</v>
      </c>
      <c r="AE79">
        <v>14</v>
      </c>
      <c r="AF79">
        <v>2</v>
      </c>
      <c r="AG79">
        <v>3</v>
      </c>
      <c r="AI79">
        <v>0</v>
      </c>
      <c r="AJ79">
        <v>25</v>
      </c>
      <c r="AK79">
        <v>508</v>
      </c>
      <c r="AL79">
        <v>508</v>
      </c>
      <c r="AM79">
        <v>649</v>
      </c>
      <c r="AN79">
        <v>44</v>
      </c>
      <c r="AP79">
        <v>1</v>
      </c>
      <c r="AR79" t="s">
        <v>154</v>
      </c>
      <c r="AS79" s="1">
        <v>44354.240277777775</v>
      </c>
      <c r="AT79" s="1">
        <v>44354.246493055558</v>
      </c>
      <c r="AU79" s="1">
        <v>44354.246886574074</v>
      </c>
      <c r="AV79" t="s">
        <v>71</v>
      </c>
      <c r="AW79" t="s">
        <v>72</v>
      </c>
      <c r="AX79" t="s">
        <v>73</v>
      </c>
    </row>
    <row r="80" spans="1:50" x14ac:dyDescent="0.3">
      <c r="A80" t="str">
        <f>"200137B0000"</f>
        <v>200137B0000</v>
      </c>
      <c r="B80" t="str">
        <f>"200137B00002"</f>
        <v>200137B00002</v>
      </c>
      <c r="C80" t="str">
        <f t="shared" si="2"/>
        <v>20</v>
      </c>
      <c r="D80" t="s">
        <v>67</v>
      </c>
      <c r="E80" t="str">
        <f t="shared" si="3"/>
        <v>001</v>
      </c>
      <c r="F80" t="s">
        <v>68</v>
      </c>
      <c r="G80" t="str">
        <f>"0137"</f>
        <v>0137</v>
      </c>
      <c r="H80" t="str">
        <f>"0000"</f>
        <v>0000</v>
      </c>
      <c r="I80" t="s">
        <v>69</v>
      </c>
      <c r="J80">
        <v>0</v>
      </c>
      <c r="K80">
        <v>1</v>
      </c>
      <c r="L80">
        <v>2</v>
      </c>
      <c r="M80">
        <v>154</v>
      </c>
      <c r="N80">
        <v>515</v>
      </c>
      <c r="O80">
        <v>3</v>
      </c>
      <c r="P80">
        <v>515</v>
      </c>
      <c r="Q80">
        <v>5</v>
      </c>
      <c r="R80">
        <v>397</v>
      </c>
      <c r="S80">
        <v>11</v>
      </c>
      <c r="T80">
        <v>1</v>
      </c>
      <c r="U80">
        <v>3</v>
      </c>
      <c r="V80">
        <v>2</v>
      </c>
      <c r="W80">
        <v>1</v>
      </c>
      <c r="X80">
        <v>29</v>
      </c>
      <c r="Y80">
        <v>0</v>
      </c>
      <c r="Z80">
        <v>0</v>
      </c>
      <c r="AA80">
        <v>1</v>
      </c>
      <c r="AB80">
        <v>0</v>
      </c>
      <c r="AD80">
        <v>23</v>
      </c>
      <c r="AE80">
        <v>0</v>
      </c>
      <c r="AF80">
        <v>0</v>
      </c>
      <c r="AG80">
        <v>0</v>
      </c>
      <c r="AI80" t="s">
        <v>77</v>
      </c>
      <c r="AJ80">
        <v>42</v>
      </c>
      <c r="AK80">
        <v>515</v>
      </c>
      <c r="AL80">
        <v>515</v>
      </c>
      <c r="AM80">
        <v>625</v>
      </c>
      <c r="AN80">
        <v>44</v>
      </c>
      <c r="AO80" t="s">
        <v>78</v>
      </c>
      <c r="AP80">
        <v>1</v>
      </c>
      <c r="AR80" t="s">
        <v>155</v>
      </c>
      <c r="AS80" s="1">
        <v>44354.100694444445</v>
      </c>
      <c r="AT80" s="1">
        <v>44354.103842592594</v>
      </c>
      <c r="AU80" s="1">
        <v>44354.10527777778</v>
      </c>
      <c r="AV80" t="s">
        <v>71</v>
      </c>
      <c r="AW80" t="s">
        <v>72</v>
      </c>
      <c r="AX80" t="s">
        <v>73</v>
      </c>
    </row>
    <row r="81" spans="1:50" x14ac:dyDescent="0.3">
      <c r="A81" t="str">
        <f>"200138B0000"</f>
        <v>200138B0000</v>
      </c>
      <c r="B81" t="str">
        <f>"200138B00002"</f>
        <v>200138B00002</v>
      </c>
      <c r="C81" t="str">
        <f t="shared" si="2"/>
        <v>20</v>
      </c>
      <c r="D81" t="s">
        <v>67</v>
      </c>
      <c r="E81" t="str">
        <f t="shared" si="3"/>
        <v>001</v>
      </c>
      <c r="F81" t="s">
        <v>68</v>
      </c>
      <c r="G81" t="str">
        <f>"0138"</f>
        <v>0138</v>
      </c>
      <c r="H81" t="str">
        <f>"0000"</f>
        <v>0000</v>
      </c>
      <c r="I81" t="s">
        <v>69</v>
      </c>
      <c r="J81">
        <v>0</v>
      </c>
      <c r="K81">
        <v>1</v>
      </c>
      <c r="L81">
        <v>2</v>
      </c>
      <c r="M81">
        <v>137</v>
      </c>
      <c r="N81">
        <v>572</v>
      </c>
      <c r="O81">
        <v>5</v>
      </c>
      <c r="P81" t="s">
        <v>80</v>
      </c>
      <c r="Q81">
        <v>0</v>
      </c>
      <c r="R81">
        <v>493</v>
      </c>
      <c r="S81">
        <v>0</v>
      </c>
      <c r="T81">
        <v>2</v>
      </c>
      <c r="U81">
        <v>1</v>
      </c>
      <c r="V81">
        <v>5</v>
      </c>
      <c r="W81">
        <v>0</v>
      </c>
      <c r="X81">
        <v>0</v>
      </c>
      <c r="Y81">
        <v>0</v>
      </c>
      <c r="Z81">
        <v>0</v>
      </c>
      <c r="AA81">
        <v>3</v>
      </c>
      <c r="AB81">
        <v>0</v>
      </c>
      <c r="AD81">
        <v>55</v>
      </c>
      <c r="AE81">
        <v>0</v>
      </c>
      <c r="AF81">
        <v>0</v>
      </c>
      <c r="AG81">
        <v>0</v>
      </c>
      <c r="AI81" t="s">
        <v>77</v>
      </c>
      <c r="AJ81">
        <v>13</v>
      </c>
      <c r="AK81">
        <v>572</v>
      </c>
      <c r="AL81">
        <v>572</v>
      </c>
      <c r="AM81">
        <v>665</v>
      </c>
      <c r="AN81">
        <v>44</v>
      </c>
      <c r="AO81" t="s">
        <v>78</v>
      </c>
      <c r="AP81">
        <v>1</v>
      </c>
      <c r="AR81" t="s">
        <v>156</v>
      </c>
      <c r="AS81" s="1">
        <v>44354.101388888892</v>
      </c>
      <c r="AT81" s="1">
        <v>44354.106770833336</v>
      </c>
      <c r="AU81" s="1">
        <v>44354.107662037037</v>
      </c>
      <c r="AV81" t="s">
        <v>71</v>
      </c>
      <c r="AW81" t="s">
        <v>72</v>
      </c>
      <c r="AX81" t="s">
        <v>73</v>
      </c>
    </row>
    <row r="82" spans="1:50" x14ac:dyDescent="0.3">
      <c r="A82" t="str">
        <f>"200139B0000"</f>
        <v>200139B0000</v>
      </c>
      <c r="B82" t="str">
        <f>"200139B00002"</f>
        <v>200139B00002</v>
      </c>
      <c r="C82" t="str">
        <f t="shared" si="2"/>
        <v>20</v>
      </c>
      <c r="D82" t="s">
        <v>67</v>
      </c>
      <c r="E82" t="str">
        <f t="shared" si="3"/>
        <v>001</v>
      </c>
      <c r="F82" t="s">
        <v>68</v>
      </c>
      <c r="G82" t="str">
        <f>"0139"</f>
        <v>0139</v>
      </c>
      <c r="H82" t="str">
        <f>"0000"</f>
        <v>0000</v>
      </c>
      <c r="I82" t="s">
        <v>69</v>
      </c>
      <c r="J82">
        <v>0</v>
      </c>
      <c r="K82">
        <v>1</v>
      </c>
      <c r="L82">
        <v>2</v>
      </c>
      <c r="M82">
        <v>53</v>
      </c>
      <c r="N82">
        <v>625</v>
      </c>
      <c r="O82">
        <v>2</v>
      </c>
      <c r="P82">
        <v>625</v>
      </c>
      <c r="Q82">
        <v>16</v>
      </c>
      <c r="R82">
        <v>460</v>
      </c>
      <c r="S82">
        <v>15</v>
      </c>
      <c r="T82">
        <v>4</v>
      </c>
      <c r="U82">
        <v>1</v>
      </c>
      <c r="V82">
        <v>3</v>
      </c>
      <c r="W82">
        <v>0</v>
      </c>
      <c r="X82">
        <v>59</v>
      </c>
      <c r="Y82">
        <v>2</v>
      </c>
      <c r="Z82">
        <v>2</v>
      </c>
      <c r="AA82">
        <v>2</v>
      </c>
      <c r="AB82">
        <v>2</v>
      </c>
      <c r="AD82">
        <v>22</v>
      </c>
      <c r="AE82">
        <v>4</v>
      </c>
      <c r="AF82">
        <v>0</v>
      </c>
      <c r="AG82">
        <v>0</v>
      </c>
      <c r="AI82">
        <v>0</v>
      </c>
      <c r="AJ82">
        <v>32</v>
      </c>
      <c r="AK82">
        <v>625</v>
      </c>
      <c r="AL82">
        <v>624</v>
      </c>
      <c r="AM82">
        <v>657</v>
      </c>
      <c r="AN82">
        <v>44</v>
      </c>
      <c r="AP82">
        <v>1</v>
      </c>
      <c r="AR82" t="s">
        <v>157</v>
      </c>
      <c r="AS82" s="1">
        <v>44354.224999999999</v>
      </c>
      <c r="AT82" s="1">
        <v>44354.235150462962</v>
      </c>
      <c r="AU82" s="1">
        <v>44354.235949074071</v>
      </c>
      <c r="AV82" t="s">
        <v>71</v>
      </c>
      <c r="AW82" t="s">
        <v>72</v>
      </c>
      <c r="AX82" t="s">
        <v>73</v>
      </c>
    </row>
    <row r="83" spans="1:50" x14ac:dyDescent="0.3">
      <c r="A83" t="str">
        <f>"200139C0100"</f>
        <v>200139C0100</v>
      </c>
      <c r="B83" t="str">
        <f>"200139C01002"</f>
        <v>200139C01002</v>
      </c>
      <c r="C83" t="str">
        <f t="shared" si="2"/>
        <v>20</v>
      </c>
      <c r="D83" t="s">
        <v>67</v>
      </c>
      <c r="E83" t="str">
        <f t="shared" si="3"/>
        <v>001</v>
      </c>
      <c r="F83" t="s">
        <v>68</v>
      </c>
      <c r="G83" t="str">
        <f>"0139"</f>
        <v>0139</v>
      </c>
      <c r="H83" t="str">
        <f>"0001"</f>
        <v>0001</v>
      </c>
      <c r="I83" t="s">
        <v>75</v>
      </c>
      <c r="J83">
        <v>0</v>
      </c>
      <c r="K83">
        <v>1</v>
      </c>
      <c r="L83">
        <v>2</v>
      </c>
      <c r="M83">
        <v>219</v>
      </c>
      <c r="N83">
        <v>482</v>
      </c>
      <c r="O83">
        <v>0</v>
      </c>
      <c r="P83">
        <v>482</v>
      </c>
      <c r="Q83">
        <v>14</v>
      </c>
      <c r="R83">
        <v>301</v>
      </c>
      <c r="S83">
        <v>8</v>
      </c>
      <c r="T83">
        <v>3</v>
      </c>
      <c r="U83">
        <v>4</v>
      </c>
      <c r="V83">
        <v>7</v>
      </c>
      <c r="W83">
        <v>0</v>
      </c>
      <c r="X83">
        <v>101</v>
      </c>
      <c r="Y83">
        <v>1</v>
      </c>
      <c r="Z83">
        <v>1</v>
      </c>
      <c r="AA83">
        <v>2</v>
      </c>
      <c r="AB83">
        <v>0</v>
      </c>
      <c r="AD83">
        <v>16</v>
      </c>
      <c r="AE83">
        <v>3</v>
      </c>
      <c r="AF83">
        <v>0</v>
      </c>
      <c r="AG83">
        <v>3</v>
      </c>
      <c r="AI83">
        <v>0</v>
      </c>
      <c r="AJ83">
        <v>18</v>
      </c>
      <c r="AK83">
        <v>482</v>
      </c>
      <c r="AL83">
        <v>482</v>
      </c>
      <c r="AM83">
        <v>657</v>
      </c>
      <c r="AN83">
        <v>44</v>
      </c>
      <c r="AP83">
        <v>1</v>
      </c>
      <c r="AR83" t="s">
        <v>158</v>
      </c>
      <c r="AS83" s="1">
        <v>44354.230555555558</v>
      </c>
      <c r="AT83" s="1">
        <v>44354.239976851852</v>
      </c>
      <c r="AU83" s="1">
        <v>44354.240578703706</v>
      </c>
      <c r="AV83" t="s">
        <v>71</v>
      </c>
      <c r="AW83" t="s">
        <v>72</v>
      </c>
      <c r="AX83" t="s">
        <v>73</v>
      </c>
    </row>
    <row r="84" spans="1:50" x14ac:dyDescent="0.3">
      <c r="A84" t="str">
        <f>"200140B0000"</f>
        <v>200140B0000</v>
      </c>
      <c r="B84" t="str">
        <f>"200140B00002"</f>
        <v>200140B00002</v>
      </c>
      <c r="C84" t="str">
        <f t="shared" si="2"/>
        <v>20</v>
      </c>
      <c r="D84" t="s">
        <v>67</v>
      </c>
      <c r="E84" t="str">
        <f t="shared" si="3"/>
        <v>001</v>
      </c>
      <c r="F84" t="s">
        <v>68</v>
      </c>
      <c r="G84" t="str">
        <f>"0140"</f>
        <v>0140</v>
      </c>
      <c r="H84" t="str">
        <f>"0000"</f>
        <v>0000</v>
      </c>
      <c r="I84" t="s">
        <v>69</v>
      </c>
      <c r="J84">
        <v>0</v>
      </c>
      <c r="K84">
        <v>1</v>
      </c>
      <c r="L84">
        <v>2</v>
      </c>
      <c r="M84">
        <v>97</v>
      </c>
      <c r="N84">
        <v>426</v>
      </c>
      <c r="O84">
        <v>2</v>
      </c>
      <c r="P84" t="s">
        <v>80</v>
      </c>
      <c r="Q84">
        <v>11</v>
      </c>
      <c r="R84">
        <v>314</v>
      </c>
      <c r="S84">
        <v>2</v>
      </c>
      <c r="T84">
        <v>3</v>
      </c>
      <c r="U84">
        <v>2</v>
      </c>
      <c r="V84">
        <v>6</v>
      </c>
      <c r="W84">
        <v>0</v>
      </c>
      <c r="X84">
        <v>7</v>
      </c>
      <c r="Y84">
        <v>0</v>
      </c>
      <c r="Z84">
        <v>3</v>
      </c>
      <c r="AA84">
        <v>2</v>
      </c>
      <c r="AB84">
        <v>1</v>
      </c>
      <c r="AD84">
        <v>12</v>
      </c>
      <c r="AE84">
        <v>1</v>
      </c>
      <c r="AF84">
        <v>0</v>
      </c>
      <c r="AG84">
        <v>1</v>
      </c>
      <c r="AI84">
        <v>0</v>
      </c>
      <c r="AJ84">
        <v>61</v>
      </c>
      <c r="AK84">
        <v>426</v>
      </c>
      <c r="AL84">
        <v>426</v>
      </c>
      <c r="AM84">
        <v>479</v>
      </c>
      <c r="AN84">
        <v>44</v>
      </c>
      <c r="AP84">
        <v>1</v>
      </c>
      <c r="AR84" t="s">
        <v>159</v>
      </c>
      <c r="AS84" s="1">
        <v>44354.011111111111</v>
      </c>
      <c r="AT84" s="1">
        <v>44354.020196759258</v>
      </c>
      <c r="AU84" s="1">
        <v>44354.020879629628</v>
      </c>
      <c r="AV84" t="s">
        <v>71</v>
      </c>
      <c r="AW84" t="s">
        <v>72</v>
      </c>
      <c r="AX84" t="s">
        <v>73</v>
      </c>
    </row>
    <row r="85" spans="1:50" x14ac:dyDescent="0.3">
      <c r="A85" t="str">
        <f>"200141B0000"</f>
        <v>200141B0000</v>
      </c>
      <c r="B85" t="str">
        <f>"200141B00002"</f>
        <v>200141B00002</v>
      </c>
      <c r="C85" t="str">
        <f t="shared" si="2"/>
        <v>20</v>
      </c>
      <c r="D85" t="s">
        <v>67</v>
      </c>
      <c r="E85" t="str">
        <f t="shared" si="3"/>
        <v>001</v>
      </c>
      <c r="F85" t="s">
        <v>68</v>
      </c>
      <c r="G85" t="str">
        <f>"0141"</f>
        <v>0141</v>
      </c>
      <c r="H85" t="str">
        <f>"0000"</f>
        <v>0000</v>
      </c>
      <c r="I85" t="s">
        <v>69</v>
      </c>
      <c r="J85">
        <v>0</v>
      </c>
      <c r="K85">
        <v>1</v>
      </c>
      <c r="L85">
        <v>2</v>
      </c>
      <c r="M85">
        <v>171</v>
      </c>
      <c r="N85">
        <v>603</v>
      </c>
      <c r="O85">
        <v>0</v>
      </c>
      <c r="P85">
        <v>603</v>
      </c>
      <c r="Q85">
        <v>16</v>
      </c>
      <c r="R85">
        <v>386</v>
      </c>
      <c r="S85">
        <v>9</v>
      </c>
      <c r="T85">
        <v>6</v>
      </c>
      <c r="U85">
        <v>10</v>
      </c>
      <c r="V85">
        <v>7</v>
      </c>
      <c r="W85">
        <v>2</v>
      </c>
      <c r="X85">
        <v>111</v>
      </c>
      <c r="Y85">
        <v>3</v>
      </c>
      <c r="Z85">
        <v>1</v>
      </c>
      <c r="AA85">
        <v>3</v>
      </c>
      <c r="AB85">
        <v>3</v>
      </c>
      <c r="AD85">
        <v>11</v>
      </c>
      <c r="AE85">
        <v>5</v>
      </c>
      <c r="AF85">
        <v>0</v>
      </c>
      <c r="AG85">
        <v>2</v>
      </c>
      <c r="AI85">
        <v>0</v>
      </c>
      <c r="AJ85">
        <v>28</v>
      </c>
      <c r="AK85">
        <v>603</v>
      </c>
      <c r="AL85">
        <v>603</v>
      </c>
      <c r="AM85">
        <v>730</v>
      </c>
      <c r="AN85">
        <v>44</v>
      </c>
      <c r="AP85">
        <v>1</v>
      </c>
      <c r="AR85" t="s">
        <v>160</v>
      </c>
      <c r="AS85" s="1">
        <v>44354.098611111112</v>
      </c>
      <c r="AT85" s="1">
        <v>44354.101469907408</v>
      </c>
      <c r="AU85" s="1">
        <v>44354.102129629631</v>
      </c>
      <c r="AV85" t="s">
        <v>71</v>
      </c>
      <c r="AW85" t="s">
        <v>72</v>
      </c>
      <c r="AX85" t="s">
        <v>73</v>
      </c>
    </row>
    <row r="86" spans="1:50" x14ac:dyDescent="0.3">
      <c r="A86" t="str">
        <f>"200142B0000"</f>
        <v>200142B0000</v>
      </c>
      <c r="B86" t="str">
        <f>"200142B00002"</f>
        <v>200142B00002</v>
      </c>
      <c r="C86" t="str">
        <f t="shared" si="2"/>
        <v>20</v>
      </c>
      <c r="D86" t="s">
        <v>67</v>
      </c>
      <c r="E86" t="str">
        <f t="shared" si="3"/>
        <v>001</v>
      </c>
      <c r="F86" t="s">
        <v>68</v>
      </c>
      <c r="G86" t="str">
        <f>"0142"</f>
        <v>0142</v>
      </c>
      <c r="H86" t="str">
        <f>"0000"</f>
        <v>0000</v>
      </c>
      <c r="I86" t="s">
        <v>69</v>
      </c>
      <c r="J86">
        <v>0</v>
      </c>
      <c r="K86">
        <v>1</v>
      </c>
      <c r="L86">
        <v>2</v>
      </c>
      <c r="M86">
        <v>181</v>
      </c>
      <c r="N86">
        <v>338</v>
      </c>
      <c r="O86">
        <v>3</v>
      </c>
      <c r="P86">
        <v>338</v>
      </c>
      <c r="Q86">
        <v>14</v>
      </c>
      <c r="R86">
        <v>247</v>
      </c>
      <c r="S86">
        <v>3</v>
      </c>
      <c r="T86">
        <v>4</v>
      </c>
      <c r="U86">
        <v>4</v>
      </c>
      <c r="V86">
        <v>3</v>
      </c>
      <c r="W86">
        <v>0</v>
      </c>
      <c r="X86">
        <v>43</v>
      </c>
      <c r="Y86">
        <v>1</v>
      </c>
      <c r="Z86">
        <v>2</v>
      </c>
      <c r="AA86">
        <v>0</v>
      </c>
      <c r="AB86">
        <v>1</v>
      </c>
      <c r="AD86">
        <v>3</v>
      </c>
      <c r="AE86">
        <v>0</v>
      </c>
      <c r="AF86">
        <v>0</v>
      </c>
      <c r="AG86">
        <v>0</v>
      </c>
      <c r="AI86">
        <v>0</v>
      </c>
      <c r="AJ86">
        <v>13</v>
      </c>
      <c r="AK86">
        <v>338</v>
      </c>
      <c r="AL86">
        <v>338</v>
      </c>
      <c r="AM86">
        <v>475</v>
      </c>
      <c r="AN86">
        <v>44</v>
      </c>
      <c r="AP86">
        <v>1</v>
      </c>
      <c r="AR86" t="s">
        <v>161</v>
      </c>
      <c r="AS86" s="1">
        <v>44354.239583333336</v>
      </c>
      <c r="AT86" s="1">
        <v>44354.243113425924</v>
      </c>
      <c r="AU86" s="1">
        <v>44354.243541666663</v>
      </c>
      <c r="AV86" t="s">
        <v>71</v>
      </c>
      <c r="AW86" t="s">
        <v>72</v>
      </c>
      <c r="AX86" t="s">
        <v>73</v>
      </c>
    </row>
    <row r="87" spans="1:50" x14ac:dyDescent="0.3">
      <c r="A87" t="str">
        <f>"200143B0000"</f>
        <v>200143B0000</v>
      </c>
      <c r="B87" t="str">
        <f>"200143B00002"</f>
        <v>200143B00002</v>
      </c>
      <c r="C87" t="str">
        <f t="shared" si="2"/>
        <v>20</v>
      </c>
      <c r="D87" t="s">
        <v>67</v>
      </c>
      <c r="E87" t="str">
        <f t="shared" si="3"/>
        <v>001</v>
      </c>
      <c r="F87" t="s">
        <v>68</v>
      </c>
      <c r="G87" t="str">
        <f>"0143"</f>
        <v>0143</v>
      </c>
      <c r="H87" t="str">
        <f>"0000"</f>
        <v>0000</v>
      </c>
      <c r="I87" t="s">
        <v>69</v>
      </c>
      <c r="J87">
        <v>0</v>
      </c>
      <c r="K87">
        <v>1</v>
      </c>
      <c r="L87">
        <v>2</v>
      </c>
      <c r="M87">
        <v>208</v>
      </c>
      <c r="N87">
        <v>405</v>
      </c>
      <c r="O87">
        <v>1</v>
      </c>
      <c r="P87">
        <v>405</v>
      </c>
      <c r="Q87">
        <v>13</v>
      </c>
      <c r="R87">
        <v>270</v>
      </c>
      <c r="S87">
        <v>3</v>
      </c>
      <c r="T87">
        <v>2</v>
      </c>
      <c r="U87">
        <v>3</v>
      </c>
      <c r="V87">
        <v>3</v>
      </c>
      <c r="W87">
        <v>0</v>
      </c>
      <c r="X87">
        <v>79</v>
      </c>
      <c r="Y87">
        <v>1</v>
      </c>
      <c r="Z87">
        <v>2</v>
      </c>
      <c r="AA87">
        <v>1</v>
      </c>
      <c r="AB87">
        <v>2</v>
      </c>
      <c r="AD87">
        <v>11</v>
      </c>
      <c r="AE87">
        <v>4</v>
      </c>
      <c r="AF87">
        <v>0</v>
      </c>
      <c r="AG87">
        <v>1</v>
      </c>
      <c r="AI87">
        <v>0</v>
      </c>
      <c r="AJ87">
        <v>10</v>
      </c>
      <c r="AK87">
        <v>405</v>
      </c>
      <c r="AL87">
        <v>405</v>
      </c>
      <c r="AM87">
        <v>569</v>
      </c>
      <c r="AN87">
        <v>44</v>
      </c>
      <c r="AP87">
        <v>1</v>
      </c>
      <c r="AR87" t="s">
        <v>162</v>
      </c>
      <c r="AS87" s="1">
        <v>44354.240277777775</v>
      </c>
      <c r="AT87" s="1">
        <v>44354.246782407405</v>
      </c>
      <c r="AU87" s="1">
        <v>44354.247581018521</v>
      </c>
      <c r="AV87" t="s">
        <v>71</v>
      </c>
      <c r="AW87" t="s">
        <v>72</v>
      </c>
      <c r="AX87" t="s">
        <v>73</v>
      </c>
    </row>
    <row r="88" spans="1:50" x14ac:dyDescent="0.3">
      <c r="A88" t="str">
        <f>"200143C0100"</f>
        <v>200143C0100</v>
      </c>
      <c r="B88" t="str">
        <f>"200143C01002"</f>
        <v>200143C01002</v>
      </c>
      <c r="C88" t="str">
        <f t="shared" si="2"/>
        <v>20</v>
      </c>
      <c r="D88" t="s">
        <v>67</v>
      </c>
      <c r="E88" t="str">
        <f t="shared" si="3"/>
        <v>001</v>
      </c>
      <c r="F88" t="s">
        <v>68</v>
      </c>
      <c r="G88" t="str">
        <f>"0143"</f>
        <v>0143</v>
      </c>
      <c r="H88" t="str">
        <f>"0001"</f>
        <v>0001</v>
      </c>
      <c r="I88" t="s">
        <v>75</v>
      </c>
      <c r="J88">
        <v>0</v>
      </c>
      <c r="K88">
        <v>1</v>
      </c>
      <c r="L88">
        <v>2</v>
      </c>
      <c r="M88">
        <v>199</v>
      </c>
      <c r="N88">
        <v>413</v>
      </c>
      <c r="O88">
        <v>2</v>
      </c>
      <c r="P88">
        <v>413</v>
      </c>
      <c r="Q88">
        <v>14</v>
      </c>
      <c r="R88">
        <v>283</v>
      </c>
      <c r="S88">
        <v>5</v>
      </c>
      <c r="T88">
        <v>2</v>
      </c>
      <c r="U88">
        <v>5</v>
      </c>
      <c r="V88">
        <v>5</v>
      </c>
      <c r="W88">
        <v>0</v>
      </c>
      <c r="X88">
        <v>76</v>
      </c>
      <c r="Y88">
        <v>1</v>
      </c>
      <c r="Z88">
        <v>3</v>
      </c>
      <c r="AA88">
        <v>1</v>
      </c>
      <c r="AB88">
        <v>1</v>
      </c>
      <c r="AD88">
        <v>11</v>
      </c>
      <c r="AE88">
        <v>0</v>
      </c>
      <c r="AF88">
        <v>1</v>
      </c>
      <c r="AG88">
        <v>0</v>
      </c>
      <c r="AI88">
        <v>0</v>
      </c>
      <c r="AJ88">
        <v>5</v>
      </c>
      <c r="AK88">
        <v>413</v>
      </c>
      <c r="AL88">
        <v>413</v>
      </c>
      <c r="AM88">
        <v>568</v>
      </c>
      <c r="AN88">
        <v>44</v>
      </c>
      <c r="AP88">
        <v>1</v>
      </c>
      <c r="AR88" t="s">
        <v>163</v>
      </c>
      <c r="AS88" s="1">
        <v>44354.240277777775</v>
      </c>
      <c r="AT88" s="1">
        <v>44354.246111111112</v>
      </c>
      <c r="AU88" s="1">
        <v>44354.246666666666</v>
      </c>
      <c r="AV88" t="s">
        <v>71</v>
      </c>
      <c r="AW88" t="s">
        <v>72</v>
      </c>
      <c r="AX88" t="s">
        <v>73</v>
      </c>
    </row>
    <row r="89" spans="1:50" x14ac:dyDescent="0.3">
      <c r="A89" t="str">
        <f>"200952B0000"</f>
        <v>200952B0000</v>
      </c>
      <c r="B89" t="str">
        <f>"200952B00002"</f>
        <v>200952B00002</v>
      </c>
      <c r="C89" t="str">
        <f t="shared" si="2"/>
        <v>20</v>
      </c>
      <c r="D89" t="s">
        <v>67</v>
      </c>
      <c r="E89" t="str">
        <f t="shared" si="3"/>
        <v>001</v>
      </c>
      <c r="F89" t="s">
        <v>68</v>
      </c>
      <c r="G89" t="str">
        <f>"0952"</f>
        <v>0952</v>
      </c>
      <c r="H89" t="str">
        <f>"0000"</f>
        <v>0000</v>
      </c>
      <c r="I89" t="s">
        <v>69</v>
      </c>
      <c r="J89">
        <v>0</v>
      </c>
      <c r="K89">
        <v>1</v>
      </c>
      <c r="L89">
        <v>2</v>
      </c>
      <c r="M89">
        <v>130</v>
      </c>
      <c r="N89">
        <v>420</v>
      </c>
      <c r="O89">
        <v>0</v>
      </c>
      <c r="P89">
        <v>420</v>
      </c>
      <c r="Q89">
        <v>4</v>
      </c>
      <c r="R89">
        <v>204</v>
      </c>
      <c r="S89">
        <v>0</v>
      </c>
      <c r="T89">
        <v>2</v>
      </c>
      <c r="U89">
        <v>2</v>
      </c>
      <c r="V89">
        <v>2</v>
      </c>
      <c r="W89">
        <v>2</v>
      </c>
      <c r="X89">
        <v>191</v>
      </c>
      <c r="Y89">
        <v>1</v>
      </c>
      <c r="Z89">
        <v>2</v>
      </c>
      <c r="AA89">
        <v>4</v>
      </c>
      <c r="AB89">
        <v>3</v>
      </c>
      <c r="AD89">
        <v>2</v>
      </c>
      <c r="AE89">
        <v>0</v>
      </c>
      <c r="AF89">
        <v>0</v>
      </c>
      <c r="AG89">
        <v>0</v>
      </c>
      <c r="AI89">
        <v>0</v>
      </c>
      <c r="AJ89">
        <v>1</v>
      </c>
      <c r="AK89">
        <v>420</v>
      </c>
      <c r="AL89">
        <v>420</v>
      </c>
      <c r="AM89">
        <v>506</v>
      </c>
      <c r="AN89">
        <v>44</v>
      </c>
      <c r="AP89">
        <v>1</v>
      </c>
      <c r="AR89" t="s">
        <v>164</v>
      </c>
      <c r="AS89" s="1">
        <v>44354.597916666666</v>
      </c>
      <c r="AT89" s="1">
        <v>44354.611076388886</v>
      </c>
      <c r="AU89" s="1">
        <v>44354.611747685187</v>
      </c>
      <c r="AV89" t="s">
        <v>71</v>
      </c>
      <c r="AW89" t="s">
        <v>72</v>
      </c>
      <c r="AX89" t="s">
        <v>73</v>
      </c>
    </row>
    <row r="90" spans="1:50" x14ac:dyDescent="0.3">
      <c r="A90" t="str">
        <f>"200952C0100"</f>
        <v>200952C0100</v>
      </c>
      <c r="B90" t="str">
        <f>"200952C01002"</f>
        <v>200952C01002</v>
      </c>
      <c r="C90" t="str">
        <f t="shared" si="2"/>
        <v>20</v>
      </c>
      <c r="D90" t="s">
        <v>67</v>
      </c>
      <c r="E90" t="str">
        <f t="shared" si="3"/>
        <v>001</v>
      </c>
      <c r="F90" t="s">
        <v>68</v>
      </c>
      <c r="G90" t="str">
        <f>"0952"</f>
        <v>0952</v>
      </c>
      <c r="H90" t="str">
        <f>"0001"</f>
        <v>0001</v>
      </c>
      <c r="I90" t="s">
        <v>75</v>
      </c>
      <c r="J90">
        <v>0</v>
      </c>
      <c r="K90">
        <v>1</v>
      </c>
      <c r="L90">
        <v>2</v>
      </c>
      <c r="M90">
        <v>132</v>
      </c>
      <c r="N90">
        <v>418</v>
      </c>
      <c r="O90">
        <v>4</v>
      </c>
      <c r="P90">
        <v>418</v>
      </c>
      <c r="Q90">
        <v>1</v>
      </c>
      <c r="R90">
        <v>205</v>
      </c>
      <c r="S90">
        <v>4</v>
      </c>
      <c r="T90">
        <v>0</v>
      </c>
      <c r="U90">
        <v>1</v>
      </c>
      <c r="V90">
        <v>0</v>
      </c>
      <c r="W90">
        <v>0</v>
      </c>
      <c r="X90">
        <v>198</v>
      </c>
      <c r="Y90">
        <v>0</v>
      </c>
      <c r="Z90">
        <v>3</v>
      </c>
      <c r="AA90">
        <v>0</v>
      </c>
      <c r="AB90">
        <v>0</v>
      </c>
      <c r="AD90">
        <v>1</v>
      </c>
      <c r="AE90">
        <v>0</v>
      </c>
      <c r="AF90">
        <v>0</v>
      </c>
      <c r="AG90">
        <v>0</v>
      </c>
      <c r="AI90">
        <v>0</v>
      </c>
      <c r="AJ90">
        <v>5</v>
      </c>
      <c r="AK90">
        <v>418</v>
      </c>
      <c r="AL90">
        <v>418</v>
      </c>
      <c r="AM90">
        <v>506</v>
      </c>
      <c r="AN90">
        <v>44</v>
      </c>
      <c r="AP90">
        <v>1</v>
      </c>
      <c r="AR90" t="s">
        <v>165</v>
      </c>
      <c r="AS90" s="1">
        <v>44354.59652777778</v>
      </c>
      <c r="AT90" s="1">
        <v>44354.605682870373</v>
      </c>
      <c r="AU90" s="1">
        <v>44354.606458333335</v>
      </c>
      <c r="AV90" t="s">
        <v>71</v>
      </c>
      <c r="AW90" t="s">
        <v>72</v>
      </c>
      <c r="AX90" t="s">
        <v>73</v>
      </c>
    </row>
    <row r="91" spans="1:50" x14ac:dyDescent="0.3">
      <c r="A91" t="str">
        <f>"200952E0100"</f>
        <v>200952E0100</v>
      </c>
      <c r="B91" t="str">
        <f>"200952E01002"</f>
        <v>200952E01002</v>
      </c>
      <c r="C91" t="str">
        <f t="shared" si="2"/>
        <v>20</v>
      </c>
      <c r="D91" t="s">
        <v>67</v>
      </c>
      <c r="E91" t="str">
        <f t="shared" si="3"/>
        <v>001</v>
      </c>
      <c r="F91" t="s">
        <v>68</v>
      </c>
      <c r="G91" t="str">
        <f>"0952"</f>
        <v>0952</v>
      </c>
      <c r="H91" t="str">
        <f>"0001"</f>
        <v>0001</v>
      </c>
      <c r="I91" t="s">
        <v>109</v>
      </c>
      <c r="J91">
        <v>0</v>
      </c>
      <c r="K91">
        <v>1</v>
      </c>
      <c r="L91">
        <v>2</v>
      </c>
      <c r="M91">
        <v>137</v>
      </c>
      <c r="N91">
        <v>358</v>
      </c>
      <c r="O91">
        <v>8</v>
      </c>
      <c r="P91">
        <v>358</v>
      </c>
      <c r="Q91">
        <v>0</v>
      </c>
      <c r="R91">
        <v>137</v>
      </c>
      <c r="S91">
        <v>5</v>
      </c>
      <c r="T91">
        <v>1</v>
      </c>
      <c r="U91">
        <v>1</v>
      </c>
      <c r="V91">
        <v>2</v>
      </c>
      <c r="W91">
        <v>0</v>
      </c>
      <c r="X91">
        <v>204</v>
      </c>
      <c r="Y91">
        <v>0</v>
      </c>
      <c r="Z91">
        <v>0</v>
      </c>
      <c r="AA91">
        <v>0</v>
      </c>
      <c r="AB91">
        <v>2</v>
      </c>
      <c r="AD91">
        <v>3</v>
      </c>
      <c r="AE91">
        <v>0</v>
      </c>
      <c r="AF91">
        <v>1</v>
      </c>
      <c r="AG91">
        <v>0</v>
      </c>
      <c r="AI91">
        <v>0</v>
      </c>
      <c r="AJ91">
        <v>2</v>
      </c>
      <c r="AK91">
        <v>358</v>
      </c>
      <c r="AL91">
        <v>358</v>
      </c>
      <c r="AM91">
        <v>451</v>
      </c>
      <c r="AN91">
        <v>44</v>
      </c>
      <c r="AP91">
        <v>1</v>
      </c>
      <c r="AR91" t="s">
        <v>166</v>
      </c>
      <c r="AS91" s="1">
        <v>44354.597222222219</v>
      </c>
      <c r="AT91" s="1">
        <v>44354.603842592594</v>
      </c>
      <c r="AU91" s="1">
        <v>44354.604363425926</v>
      </c>
      <c r="AV91" t="s">
        <v>71</v>
      </c>
      <c r="AW91" t="s">
        <v>72</v>
      </c>
      <c r="AX91" t="s">
        <v>73</v>
      </c>
    </row>
    <row r="92" spans="1:50" x14ac:dyDescent="0.3">
      <c r="A92" t="str">
        <f>"200952E0101"</f>
        <v>200952E0101</v>
      </c>
      <c r="B92" t="str">
        <f>"200952E01012"</f>
        <v>200952E01012</v>
      </c>
      <c r="C92" t="str">
        <f t="shared" si="2"/>
        <v>20</v>
      </c>
      <c r="D92" t="s">
        <v>67</v>
      </c>
      <c r="E92" t="str">
        <f t="shared" si="3"/>
        <v>001</v>
      </c>
      <c r="F92" t="s">
        <v>68</v>
      </c>
      <c r="G92" t="str">
        <f>"0952"</f>
        <v>0952</v>
      </c>
      <c r="H92" t="str">
        <f>"0001"</f>
        <v>0001</v>
      </c>
      <c r="I92" t="s">
        <v>109</v>
      </c>
      <c r="J92">
        <v>1</v>
      </c>
      <c r="K92">
        <v>1</v>
      </c>
      <c r="L92">
        <v>2</v>
      </c>
      <c r="M92">
        <v>144</v>
      </c>
      <c r="N92">
        <v>350</v>
      </c>
      <c r="O92">
        <v>8</v>
      </c>
      <c r="P92">
        <v>350</v>
      </c>
      <c r="Q92">
        <v>2</v>
      </c>
      <c r="R92">
        <v>138</v>
      </c>
      <c r="S92">
        <v>3</v>
      </c>
      <c r="T92">
        <v>1</v>
      </c>
      <c r="U92">
        <v>2</v>
      </c>
      <c r="V92">
        <v>1</v>
      </c>
      <c r="W92">
        <v>0</v>
      </c>
      <c r="X92">
        <v>198</v>
      </c>
      <c r="Y92">
        <v>0</v>
      </c>
      <c r="Z92">
        <v>2</v>
      </c>
      <c r="AA92">
        <v>0</v>
      </c>
      <c r="AB92">
        <v>0</v>
      </c>
      <c r="AD92">
        <v>1</v>
      </c>
      <c r="AE92">
        <v>0</v>
      </c>
      <c r="AF92">
        <v>0</v>
      </c>
      <c r="AG92">
        <v>0</v>
      </c>
      <c r="AI92">
        <v>0</v>
      </c>
      <c r="AJ92">
        <v>2</v>
      </c>
      <c r="AK92">
        <v>350</v>
      </c>
      <c r="AL92">
        <v>350</v>
      </c>
      <c r="AM92">
        <v>450</v>
      </c>
      <c r="AN92">
        <v>44</v>
      </c>
      <c r="AP92">
        <v>1</v>
      </c>
      <c r="AR92" t="s">
        <v>167</v>
      </c>
      <c r="AS92" s="1">
        <v>44354.679861111108</v>
      </c>
      <c r="AT92" s="1">
        <v>44354.688275462962</v>
      </c>
      <c r="AU92" s="1">
        <v>44354.689097222225</v>
      </c>
      <c r="AV92" t="s">
        <v>71</v>
      </c>
      <c r="AW92" t="s">
        <v>72</v>
      </c>
      <c r="AX92" t="s">
        <v>73</v>
      </c>
    </row>
    <row r="93" spans="1:50" x14ac:dyDescent="0.3">
      <c r="A93" t="str">
        <f>"200953B0000"</f>
        <v>200953B0000</v>
      </c>
      <c r="B93" t="str">
        <f>"200953B00002"</f>
        <v>200953B00002</v>
      </c>
      <c r="C93" t="str">
        <f t="shared" si="2"/>
        <v>20</v>
      </c>
      <c r="D93" t="s">
        <v>67</v>
      </c>
      <c r="E93" t="str">
        <f t="shared" si="3"/>
        <v>001</v>
      </c>
      <c r="F93" t="s">
        <v>68</v>
      </c>
      <c r="G93" t="str">
        <f>"0953"</f>
        <v>0953</v>
      </c>
      <c r="H93" t="str">
        <f>"0000"</f>
        <v>0000</v>
      </c>
      <c r="I93" t="s">
        <v>69</v>
      </c>
      <c r="J93">
        <v>0</v>
      </c>
      <c r="K93">
        <v>1</v>
      </c>
      <c r="L93">
        <v>2</v>
      </c>
      <c r="M93">
        <v>168</v>
      </c>
      <c r="N93">
        <v>626</v>
      </c>
      <c r="O93">
        <v>0</v>
      </c>
      <c r="P93">
        <v>458</v>
      </c>
      <c r="Q93">
        <v>1</v>
      </c>
      <c r="R93">
        <v>216</v>
      </c>
      <c r="S93">
        <v>1</v>
      </c>
      <c r="T93">
        <v>0</v>
      </c>
      <c r="U93">
        <v>0</v>
      </c>
      <c r="V93">
        <v>1</v>
      </c>
      <c r="W93">
        <v>0</v>
      </c>
      <c r="X93">
        <v>236</v>
      </c>
      <c r="Y93">
        <v>0</v>
      </c>
      <c r="Z93">
        <v>1</v>
      </c>
      <c r="AA93">
        <v>0</v>
      </c>
      <c r="AB93">
        <v>0</v>
      </c>
      <c r="AD93" t="s">
        <v>77</v>
      </c>
      <c r="AE93" t="s">
        <v>77</v>
      </c>
      <c r="AF93" t="s">
        <v>77</v>
      </c>
      <c r="AG93" t="s">
        <v>77</v>
      </c>
      <c r="AI93" t="s">
        <v>77</v>
      </c>
      <c r="AJ93">
        <v>1</v>
      </c>
      <c r="AK93">
        <v>458</v>
      </c>
      <c r="AL93">
        <v>457</v>
      </c>
      <c r="AM93">
        <v>582</v>
      </c>
      <c r="AN93">
        <v>44</v>
      </c>
      <c r="AO93" t="s">
        <v>78</v>
      </c>
      <c r="AP93">
        <v>1</v>
      </c>
      <c r="AR93" t="s">
        <v>168</v>
      </c>
      <c r="AS93" s="1">
        <v>44354.59652777778</v>
      </c>
      <c r="AT93" s="1">
        <v>44354.606493055559</v>
      </c>
      <c r="AU93" s="1">
        <v>44354.607071759259</v>
      </c>
      <c r="AV93" t="s">
        <v>71</v>
      </c>
      <c r="AW93" t="s">
        <v>72</v>
      </c>
      <c r="AX93" t="s">
        <v>73</v>
      </c>
    </row>
    <row r="94" spans="1:50" x14ac:dyDescent="0.3">
      <c r="A94" t="str">
        <f>"200954B0000"</f>
        <v>200954B0000</v>
      </c>
      <c r="B94" t="str">
        <f>"200954B00002"</f>
        <v>200954B00002</v>
      </c>
      <c r="C94" t="str">
        <f t="shared" si="2"/>
        <v>20</v>
      </c>
      <c r="D94" t="s">
        <v>67</v>
      </c>
      <c r="E94" t="str">
        <f t="shared" si="3"/>
        <v>001</v>
      </c>
      <c r="F94" t="s">
        <v>68</v>
      </c>
      <c r="G94" t="str">
        <f>"0954"</f>
        <v>0954</v>
      </c>
      <c r="H94" t="str">
        <f>"0000"</f>
        <v>0000</v>
      </c>
      <c r="I94" t="s">
        <v>69</v>
      </c>
      <c r="J94">
        <v>0</v>
      </c>
      <c r="K94">
        <v>1</v>
      </c>
      <c r="L94">
        <v>2</v>
      </c>
      <c r="M94">
        <v>235</v>
      </c>
      <c r="N94">
        <v>547</v>
      </c>
      <c r="O94">
        <v>0</v>
      </c>
      <c r="P94">
        <v>547</v>
      </c>
      <c r="Q94">
        <v>1</v>
      </c>
      <c r="R94">
        <v>263</v>
      </c>
      <c r="S94">
        <v>2</v>
      </c>
      <c r="T94">
        <v>1</v>
      </c>
      <c r="U94">
        <v>3</v>
      </c>
      <c r="V94">
        <v>1</v>
      </c>
      <c r="W94">
        <v>0</v>
      </c>
      <c r="X94">
        <v>263</v>
      </c>
      <c r="Y94">
        <v>1</v>
      </c>
      <c r="Z94">
        <v>3</v>
      </c>
      <c r="AA94">
        <v>4</v>
      </c>
      <c r="AB94">
        <v>2</v>
      </c>
      <c r="AD94" t="s">
        <v>77</v>
      </c>
      <c r="AE94" t="s">
        <v>77</v>
      </c>
      <c r="AF94" t="s">
        <v>77</v>
      </c>
      <c r="AG94" t="s">
        <v>77</v>
      </c>
      <c r="AI94" t="s">
        <v>77</v>
      </c>
      <c r="AJ94" t="s">
        <v>77</v>
      </c>
      <c r="AK94" t="s">
        <v>77</v>
      </c>
      <c r="AL94">
        <v>544</v>
      </c>
      <c r="AM94">
        <v>737</v>
      </c>
      <c r="AN94">
        <v>44</v>
      </c>
      <c r="AO94" t="s">
        <v>78</v>
      </c>
      <c r="AP94">
        <v>1</v>
      </c>
      <c r="AR94" t="s">
        <v>169</v>
      </c>
      <c r="AS94" s="1">
        <v>44354.599305555559</v>
      </c>
      <c r="AT94" s="1">
        <v>44354.609594907408</v>
      </c>
      <c r="AU94" s="1">
        <v>44354.610023148147</v>
      </c>
      <c r="AV94" t="s">
        <v>71</v>
      </c>
      <c r="AW94" t="s">
        <v>72</v>
      </c>
      <c r="AX94" t="s">
        <v>73</v>
      </c>
    </row>
    <row r="95" spans="1:50" x14ac:dyDescent="0.3">
      <c r="A95" t="str">
        <f>"200962B0000"</f>
        <v>200962B0000</v>
      </c>
      <c r="B95" t="str">
        <f>"200962B00002"</f>
        <v>200962B00002</v>
      </c>
      <c r="C95" t="str">
        <f t="shared" si="2"/>
        <v>20</v>
      </c>
      <c r="D95" t="s">
        <v>67</v>
      </c>
      <c r="E95" t="str">
        <f t="shared" si="3"/>
        <v>001</v>
      </c>
      <c r="F95" t="s">
        <v>68</v>
      </c>
      <c r="G95" t="str">
        <f>"0962"</f>
        <v>0962</v>
      </c>
      <c r="H95" t="str">
        <f>"0000"</f>
        <v>0000</v>
      </c>
      <c r="I95" t="s">
        <v>69</v>
      </c>
      <c r="J95">
        <v>0</v>
      </c>
      <c r="K95">
        <v>1</v>
      </c>
      <c r="L95">
        <v>2</v>
      </c>
      <c r="M95">
        <v>126</v>
      </c>
      <c r="N95">
        <v>494</v>
      </c>
      <c r="O95">
        <v>2</v>
      </c>
      <c r="P95">
        <v>494</v>
      </c>
      <c r="Q95">
        <v>15</v>
      </c>
      <c r="R95">
        <v>165</v>
      </c>
      <c r="S95">
        <v>21</v>
      </c>
      <c r="T95">
        <v>3</v>
      </c>
      <c r="U95">
        <v>146</v>
      </c>
      <c r="V95">
        <v>2</v>
      </c>
      <c r="W95">
        <v>25</v>
      </c>
      <c r="X95">
        <v>93</v>
      </c>
      <c r="Y95">
        <v>0</v>
      </c>
      <c r="Z95">
        <v>4</v>
      </c>
      <c r="AA95">
        <v>0</v>
      </c>
      <c r="AB95">
        <v>0</v>
      </c>
      <c r="AD95">
        <v>2</v>
      </c>
      <c r="AE95">
        <v>0</v>
      </c>
      <c r="AF95">
        <v>0</v>
      </c>
      <c r="AG95">
        <v>1</v>
      </c>
      <c r="AI95">
        <v>0</v>
      </c>
      <c r="AJ95">
        <v>18</v>
      </c>
      <c r="AK95">
        <v>494</v>
      </c>
      <c r="AL95">
        <v>495</v>
      </c>
      <c r="AM95">
        <v>577</v>
      </c>
      <c r="AN95">
        <v>44</v>
      </c>
      <c r="AP95">
        <v>1</v>
      </c>
      <c r="AR95" t="s">
        <v>170</v>
      </c>
      <c r="AS95" s="1">
        <v>44354.491666666669</v>
      </c>
      <c r="AT95" s="1">
        <v>44354.511203703703</v>
      </c>
      <c r="AU95" s="1">
        <v>44354.511620370373</v>
      </c>
      <c r="AV95" t="s">
        <v>71</v>
      </c>
      <c r="AW95" t="s">
        <v>72</v>
      </c>
      <c r="AX95" t="s">
        <v>73</v>
      </c>
    </row>
    <row r="96" spans="1:50" x14ac:dyDescent="0.3">
      <c r="A96" t="str">
        <f>"200962C0100"</f>
        <v>200962C0100</v>
      </c>
      <c r="B96" t="str">
        <f>"200962C01002"</f>
        <v>200962C01002</v>
      </c>
      <c r="C96" t="str">
        <f t="shared" si="2"/>
        <v>20</v>
      </c>
      <c r="D96" t="s">
        <v>67</v>
      </c>
      <c r="E96" t="str">
        <f t="shared" si="3"/>
        <v>001</v>
      </c>
      <c r="F96" t="s">
        <v>68</v>
      </c>
      <c r="G96" t="str">
        <f>"0962"</f>
        <v>0962</v>
      </c>
      <c r="H96" t="str">
        <f>"0001"</f>
        <v>0001</v>
      </c>
      <c r="I96" t="s">
        <v>75</v>
      </c>
      <c r="J96">
        <v>0</v>
      </c>
      <c r="K96">
        <v>1</v>
      </c>
      <c r="L96">
        <v>2</v>
      </c>
      <c r="M96">
        <v>139</v>
      </c>
      <c r="N96">
        <v>481</v>
      </c>
      <c r="O96">
        <v>10</v>
      </c>
      <c r="P96">
        <v>481</v>
      </c>
      <c r="Q96">
        <v>18</v>
      </c>
      <c r="R96">
        <v>152</v>
      </c>
      <c r="S96">
        <v>17</v>
      </c>
      <c r="T96">
        <v>7</v>
      </c>
      <c r="U96">
        <v>155</v>
      </c>
      <c r="V96">
        <v>4</v>
      </c>
      <c r="W96">
        <v>36</v>
      </c>
      <c r="X96">
        <v>68</v>
      </c>
      <c r="Y96">
        <v>0</v>
      </c>
      <c r="Z96">
        <v>1</v>
      </c>
      <c r="AA96">
        <v>1</v>
      </c>
      <c r="AB96">
        <v>3</v>
      </c>
      <c r="AD96">
        <v>1</v>
      </c>
      <c r="AE96">
        <v>1</v>
      </c>
      <c r="AF96">
        <v>0</v>
      </c>
      <c r="AG96">
        <v>0</v>
      </c>
      <c r="AI96">
        <v>0</v>
      </c>
      <c r="AJ96">
        <v>17</v>
      </c>
      <c r="AK96">
        <v>481</v>
      </c>
      <c r="AL96">
        <v>481</v>
      </c>
      <c r="AM96">
        <v>576</v>
      </c>
      <c r="AN96">
        <v>44</v>
      </c>
      <c r="AP96">
        <v>1</v>
      </c>
      <c r="AR96" t="s">
        <v>171</v>
      </c>
      <c r="AS96" s="1">
        <v>44354.494444444441</v>
      </c>
      <c r="AT96" s="1">
        <v>44354.503738425927</v>
      </c>
      <c r="AU96" s="1">
        <v>44354.504548611112</v>
      </c>
      <c r="AV96" t="s">
        <v>71</v>
      </c>
      <c r="AW96" t="s">
        <v>72</v>
      </c>
      <c r="AX96" t="s">
        <v>73</v>
      </c>
    </row>
    <row r="97" spans="1:50" x14ac:dyDescent="0.3">
      <c r="A97" t="str">
        <f>"200962C0200"</f>
        <v>200962C0200</v>
      </c>
      <c r="B97" t="str">
        <f>"200962C02002"</f>
        <v>200962C02002</v>
      </c>
      <c r="C97" t="str">
        <f t="shared" si="2"/>
        <v>20</v>
      </c>
      <c r="D97" t="s">
        <v>67</v>
      </c>
      <c r="E97" t="str">
        <f t="shared" si="3"/>
        <v>001</v>
      </c>
      <c r="F97" t="s">
        <v>68</v>
      </c>
      <c r="G97" t="str">
        <f>"0962"</f>
        <v>0962</v>
      </c>
      <c r="H97" t="str">
        <f>"0002"</f>
        <v>0002</v>
      </c>
      <c r="I97" t="s">
        <v>75</v>
      </c>
      <c r="J97">
        <v>0</v>
      </c>
      <c r="K97">
        <v>1</v>
      </c>
      <c r="L97">
        <v>2</v>
      </c>
      <c r="M97">
        <v>144</v>
      </c>
      <c r="N97">
        <v>476</v>
      </c>
      <c r="O97">
        <v>5</v>
      </c>
      <c r="P97">
        <v>476</v>
      </c>
      <c r="Q97">
        <v>25</v>
      </c>
      <c r="R97">
        <v>119</v>
      </c>
      <c r="S97">
        <v>16</v>
      </c>
      <c r="T97">
        <v>8</v>
      </c>
      <c r="U97">
        <v>152</v>
      </c>
      <c r="V97">
        <v>2</v>
      </c>
      <c r="W97">
        <v>47</v>
      </c>
      <c r="X97">
        <v>79</v>
      </c>
      <c r="Y97">
        <v>1</v>
      </c>
      <c r="Z97">
        <v>0</v>
      </c>
      <c r="AA97">
        <v>0</v>
      </c>
      <c r="AB97">
        <v>2</v>
      </c>
      <c r="AD97">
        <v>0</v>
      </c>
      <c r="AE97">
        <v>0</v>
      </c>
      <c r="AF97">
        <v>0</v>
      </c>
      <c r="AG97">
        <v>0</v>
      </c>
      <c r="AI97">
        <v>0</v>
      </c>
      <c r="AJ97">
        <v>25</v>
      </c>
      <c r="AK97">
        <v>476</v>
      </c>
      <c r="AL97">
        <v>476</v>
      </c>
      <c r="AM97">
        <v>576</v>
      </c>
      <c r="AN97">
        <v>44</v>
      </c>
      <c r="AP97">
        <v>1</v>
      </c>
      <c r="AR97" t="s">
        <v>172</v>
      </c>
      <c r="AS97" s="1">
        <v>44354.488888888889</v>
      </c>
      <c r="AT97" s="1">
        <v>44354.495856481481</v>
      </c>
      <c r="AU97" s="1">
        <v>44354.496817129628</v>
      </c>
      <c r="AV97" t="s">
        <v>71</v>
      </c>
      <c r="AW97" t="s">
        <v>72</v>
      </c>
      <c r="AX97" t="s">
        <v>73</v>
      </c>
    </row>
    <row r="98" spans="1:50" x14ac:dyDescent="0.3">
      <c r="A98" t="str">
        <f>"200962C0300"</f>
        <v>200962C0300</v>
      </c>
      <c r="B98" t="str">
        <f>"200962C03002"</f>
        <v>200962C03002</v>
      </c>
      <c r="C98" t="str">
        <f t="shared" si="2"/>
        <v>20</v>
      </c>
      <c r="D98" t="s">
        <v>67</v>
      </c>
      <c r="E98" t="str">
        <f t="shared" si="3"/>
        <v>001</v>
      </c>
      <c r="F98" t="s">
        <v>68</v>
      </c>
      <c r="G98" t="str">
        <f>"0962"</f>
        <v>0962</v>
      </c>
      <c r="H98" t="str">
        <f>"0003"</f>
        <v>0003</v>
      </c>
      <c r="I98" t="s">
        <v>75</v>
      </c>
      <c r="J98">
        <v>0</v>
      </c>
      <c r="K98">
        <v>1</v>
      </c>
      <c r="L98">
        <v>2</v>
      </c>
      <c r="M98">
        <v>154</v>
      </c>
      <c r="N98">
        <v>466</v>
      </c>
      <c r="O98">
        <v>6</v>
      </c>
      <c r="P98">
        <v>466</v>
      </c>
      <c r="Q98">
        <v>9</v>
      </c>
      <c r="R98">
        <v>120</v>
      </c>
      <c r="S98">
        <v>12</v>
      </c>
      <c r="T98">
        <v>5</v>
      </c>
      <c r="U98">
        <v>139</v>
      </c>
      <c r="V98">
        <v>4</v>
      </c>
      <c r="W98">
        <v>38</v>
      </c>
      <c r="X98">
        <v>108</v>
      </c>
      <c r="Y98">
        <v>0</v>
      </c>
      <c r="Z98">
        <v>1</v>
      </c>
      <c r="AA98">
        <v>0</v>
      </c>
      <c r="AB98">
        <v>4</v>
      </c>
      <c r="AD98">
        <v>0</v>
      </c>
      <c r="AE98">
        <v>4</v>
      </c>
      <c r="AF98">
        <v>0</v>
      </c>
      <c r="AG98">
        <v>0</v>
      </c>
      <c r="AI98">
        <v>0</v>
      </c>
      <c r="AJ98">
        <v>22</v>
      </c>
      <c r="AK98">
        <v>466</v>
      </c>
      <c r="AL98">
        <v>466</v>
      </c>
      <c r="AM98">
        <v>576</v>
      </c>
      <c r="AN98">
        <v>44</v>
      </c>
      <c r="AP98">
        <v>1</v>
      </c>
      <c r="AR98" t="s">
        <v>173</v>
      </c>
      <c r="AS98" s="1">
        <v>44354.491666666669</v>
      </c>
      <c r="AT98" s="1">
        <v>44354.498078703706</v>
      </c>
      <c r="AU98" s="1">
        <v>44354.498449074075</v>
      </c>
      <c r="AV98" t="s">
        <v>71</v>
      </c>
      <c r="AW98" t="s">
        <v>72</v>
      </c>
      <c r="AX98" t="s">
        <v>73</v>
      </c>
    </row>
    <row r="99" spans="1:50" x14ac:dyDescent="0.3">
      <c r="A99" t="str">
        <f>"200963B0000"</f>
        <v>200963B0000</v>
      </c>
      <c r="B99" t="str">
        <f>"200963B00002"</f>
        <v>200963B00002</v>
      </c>
      <c r="C99" t="str">
        <f t="shared" si="2"/>
        <v>20</v>
      </c>
      <c r="D99" t="s">
        <v>67</v>
      </c>
      <c r="E99" t="str">
        <f t="shared" si="3"/>
        <v>001</v>
      </c>
      <c r="F99" t="s">
        <v>68</v>
      </c>
      <c r="G99" t="str">
        <f>"0963"</f>
        <v>0963</v>
      </c>
      <c r="H99" t="str">
        <f>"0000"</f>
        <v>0000</v>
      </c>
      <c r="I99" t="s">
        <v>69</v>
      </c>
      <c r="J99">
        <v>0</v>
      </c>
      <c r="K99">
        <v>1</v>
      </c>
      <c r="L99">
        <v>2</v>
      </c>
      <c r="M99">
        <v>146</v>
      </c>
      <c r="N99">
        <v>396</v>
      </c>
      <c r="O99">
        <v>0</v>
      </c>
      <c r="P99" t="s">
        <v>80</v>
      </c>
      <c r="Q99">
        <v>15</v>
      </c>
      <c r="R99">
        <v>125</v>
      </c>
      <c r="S99">
        <v>3</v>
      </c>
      <c r="T99">
        <v>2</v>
      </c>
      <c r="U99">
        <v>225</v>
      </c>
      <c r="V99">
        <v>0</v>
      </c>
      <c r="W99">
        <v>0</v>
      </c>
      <c r="X99">
        <v>8</v>
      </c>
      <c r="Y99">
        <v>0</v>
      </c>
      <c r="Z99">
        <v>1</v>
      </c>
      <c r="AA99">
        <v>0</v>
      </c>
      <c r="AB99">
        <v>1</v>
      </c>
      <c r="AD99">
        <v>1</v>
      </c>
      <c r="AE99">
        <v>1</v>
      </c>
      <c r="AF99">
        <v>1</v>
      </c>
      <c r="AG99" t="s">
        <v>77</v>
      </c>
      <c r="AI99" t="s">
        <v>77</v>
      </c>
      <c r="AJ99">
        <v>13</v>
      </c>
      <c r="AK99">
        <v>396</v>
      </c>
      <c r="AL99">
        <v>396</v>
      </c>
      <c r="AM99">
        <v>498</v>
      </c>
      <c r="AN99">
        <v>44</v>
      </c>
      <c r="AO99" t="s">
        <v>78</v>
      </c>
      <c r="AP99">
        <v>1</v>
      </c>
      <c r="AR99" t="s">
        <v>174</v>
      </c>
      <c r="AS99" s="1">
        <v>44354.495833333334</v>
      </c>
      <c r="AT99" s="1">
        <v>44354.500671296293</v>
      </c>
      <c r="AU99" s="1">
        <v>44354.501527777778</v>
      </c>
      <c r="AV99" t="s">
        <v>71</v>
      </c>
      <c r="AW99" t="s">
        <v>72</v>
      </c>
      <c r="AX99" t="s">
        <v>73</v>
      </c>
    </row>
    <row r="100" spans="1:50" x14ac:dyDescent="0.3">
      <c r="A100" t="str">
        <f>"200964B0000"</f>
        <v>200964B0000</v>
      </c>
      <c r="B100" t="str">
        <f>"200964B00002"</f>
        <v>200964B00002</v>
      </c>
      <c r="C100" t="str">
        <f t="shared" si="2"/>
        <v>20</v>
      </c>
      <c r="D100" t="s">
        <v>67</v>
      </c>
      <c r="E100" t="str">
        <f t="shared" si="3"/>
        <v>001</v>
      </c>
      <c r="F100" t="s">
        <v>68</v>
      </c>
      <c r="G100" t="str">
        <f>"0964"</f>
        <v>0964</v>
      </c>
      <c r="H100" t="str">
        <f>"0000"</f>
        <v>0000</v>
      </c>
      <c r="I100" t="s">
        <v>69</v>
      </c>
      <c r="J100">
        <v>0</v>
      </c>
      <c r="K100">
        <v>1</v>
      </c>
      <c r="L100">
        <v>2</v>
      </c>
      <c r="M100">
        <v>95</v>
      </c>
      <c r="N100">
        <v>291</v>
      </c>
      <c r="O100">
        <v>2</v>
      </c>
      <c r="P100">
        <v>291</v>
      </c>
      <c r="Q100">
        <v>1</v>
      </c>
      <c r="R100">
        <v>135</v>
      </c>
      <c r="S100">
        <v>0</v>
      </c>
      <c r="T100">
        <v>1</v>
      </c>
      <c r="U100">
        <v>134</v>
      </c>
      <c r="V100">
        <v>0</v>
      </c>
      <c r="W100">
        <v>1</v>
      </c>
      <c r="X100">
        <v>11</v>
      </c>
      <c r="Y100">
        <v>0</v>
      </c>
      <c r="Z100">
        <v>0</v>
      </c>
      <c r="AA100">
        <v>0</v>
      </c>
      <c r="AB100">
        <v>0</v>
      </c>
      <c r="AD100">
        <v>3</v>
      </c>
      <c r="AE100">
        <v>0</v>
      </c>
      <c r="AF100">
        <v>0</v>
      </c>
      <c r="AG100">
        <v>0</v>
      </c>
      <c r="AI100">
        <v>0</v>
      </c>
      <c r="AJ100">
        <v>0</v>
      </c>
      <c r="AK100">
        <v>291</v>
      </c>
      <c r="AL100">
        <v>286</v>
      </c>
      <c r="AM100">
        <v>342</v>
      </c>
      <c r="AN100">
        <v>44</v>
      </c>
      <c r="AP100">
        <v>1</v>
      </c>
      <c r="AR100" t="s">
        <v>175</v>
      </c>
      <c r="AS100" s="1">
        <v>44354.490277777775</v>
      </c>
      <c r="AT100" s="1">
        <v>44354.496192129627</v>
      </c>
      <c r="AU100" s="1">
        <v>44354.496678240743</v>
      </c>
      <c r="AV100" t="s">
        <v>71</v>
      </c>
      <c r="AW100" t="s">
        <v>72</v>
      </c>
      <c r="AX100" t="s">
        <v>73</v>
      </c>
    </row>
    <row r="101" spans="1:50" x14ac:dyDescent="0.3">
      <c r="A101" t="str">
        <f>"200965B0000"</f>
        <v>200965B0000</v>
      </c>
      <c r="B101" t="str">
        <f>"200965B00002"</f>
        <v>200965B00002</v>
      </c>
      <c r="C101" t="str">
        <f t="shared" si="2"/>
        <v>20</v>
      </c>
      <c r="D101" t="s">
        <v>67</v>
      </c>
      <c r="E101" t="str">
        <f t="shared" si="3"/>
        <v>001</v>
      </c>
      <c r="F101" t="s">
        <v>68</v>
      </c>
      <c r="G101" t="str">
        <f>"0965"</f>
        <v>0965</v>
      </c>
      <c r="H101" t="str">
        <f>"0000"</f>
        <v>0000</v>
      </c>
      <c r="I101" t="s">
        <v>69</v>
      </c>
      <c r="J101">
        <v>0</v>
      </c>
      <c r="K101">
        <v>1</v>
      </c>
      <c r="L101">
        <v>2</v>
      </c>
      <c r="M101">
        <v>191</v>
      </c>
      <c r="N101">
        <v>400</v>
      </c>
      <c r="O101">
        <v>2</v>
      </c>
      <c r="P101">
        <v>400</v>
      </c>
      <c r="Q101">
        <v>32</v>
      </c>
      <c r="R101">
        <v>150</v>
      </c>
      <c r="S101">
        <v>5</v>
      </c>
      <c r="T101">
        <v>24</v>
      </c>
      <c r="U101">
        <v>159</v>
      </c>
      <c r="V101">
        <v>1</v>
      </c>
      <c r="W101">
        <v>1</v>
      </c>
      <c r="X101">
        <v>10</v>
      </c>
      <c r="Y101">
        <v>0</v>
      </c>
      <c r="Z101">
        <v>0</v>
      </c>
      <c r="AA101">
        <v>0</v>
      </c>
      <c r="AB101">
        <v>0</v>
      </c>
      <c r="AD101">
        <v>1</v>
      </c>
      <c r="AE101">
        <v>1</v>
      </c>
      <c r="AF101">
        <v>2</v>
      </c>
      <c r="AG101">
        <v>0</v>
      </c>
      <c r="AI101">
        <v>0</v>
      </c>
      <c r="AJ101">
        <v>14</v>
      </c>
      <c r="AK101">
        <v>400</v>
      </c>
      <c r="AL101">
        <v>400</v>
      </c>
      <c r="AM101">
        <v>547</v>
      </c>
      <c r="AN101">
        <v>44</v>
      </c>
      <c r="AP101">
        <v>1</v>
      </c>
      <c r="AR101" t="s">
        <v>176</v>
      </c>
      <c r="AS101" s="1">
        <v>44354.554166666669</v>
      </c>
      <c r="AT101" s="1">
        <v>44354.55909722222</v>
      </c>
      <c r="AU101" s="1">
        <v>44354.560127314813</v>
      </c>
      <c r="AV101" t="s">
        <v>71</v>
      </c>
      <c r="AW101" t="s">
        <v>72</v>
      </c>
      <c r="AX101" t="s">
        <v>73</v>
      </c>
    </row>
    <row r="102" spans="1:50" x14ac:dyDescent="0.3">
      <c r="A102" t="str">
        <f>"200966B0000"</f>
        <v>200966B0000</v>
      </c>
      <c r="B102" t="str">
        <f>"200966B00002"</f>
        <v>200966B00002</v>
      </c>
      <c r="C102" t="str">
        <f t="shared" si="2"/>
        <v>20</v>
      </c>
      <c r="D102" t="s">
        <v>67</v>
      </c>
      <c r="E102" t="str">
        <f t="shared" si="3"/>
        <v>001</v>
      </c>
      <c r="F102" t="s">
        <v>68</v>
      </c>
      <c r="G102" t="str">
        <f>"0966"</f>
        <v>0966</v>
      </c>
      <c r="H102" t="str">
        <f>"0000"</f>
        <v>0000</v>
      </c>
      <c r="I102" t="s">
        <v>69</v>
      </c>
      <c r="J102">
        <v>0</v>
      </c>
      <c r="K102">
        <v>1</v>
      </c>
      <c r="L102">
        <v>2</v>
      </c>
      <c r="M102">
        <v>143</v>
      </c>
      <c r="N102">
        <v>552</v>
      </c>
      <c r="O102">
        <v>0</v>
      </c>
      <c r="P102">
        <v>408</v>
      </c>
      <c r="Q102">
        <v>168</v>
      </c>
      <c r="R102">
        <v>46</v>
      </c>
      <c r="S102">
        <v>10</v>
      </c>
      <c r="T102">
        <v>0</v>
      </c>
      <c r="U102">
        <v>171</v>
      </c>
      <c r="V102">
        <v>0</v>
      </c>
      <c r="W102">
        <v>1</v>
      </c>
      <c r="X102">
        <v>7</v>
      </c>
      <c r="Y102">
        <v>1</v>
      </c>
      <c r="Z102">
        <v>0</v>
      </c>
      <c r="AA102">
        <v>1</v>
      </c>
      <c r="AB102" t="s">
        <v>77</v>
      </c>
      <c r="AD102" t="s">
        <v>77</v>
      </c>
      <c r="AE102" t="s">
        <v>77</v>
      </c>
      <c r="AF102" t="s">
        <v>77</v>
      </c>
      <c r="AG102" t="s">
        <v>77</v>
      </c>
      <c r="AI102" t="s">
        <v>77</v>
      </c>
      <c r="AJ102">
        <v>3</v>
      </c>
      <c r="AK102">
        <v>408</v>
      </c>
      <c r="AL102">
        <v>408</v>
      </c>
      <c r="AM102">
        <v>508</v>
      </c>
      <c r="AN102">
        <v>44</v>
      </c>
      <c r="AO102" t="s">
        <v>78</v>
      </c>
      <c r="AP102">
        <v>1</v>
      </c>
      <c r="AR102" t="s">
        <v>177</v>
      </c>
      <c r="AS102" s="1">
        <v>44354.491666666669</v>
      </c>
      <c r="AT102" s="1">
        <v>44354.51190972222</v>
      </c>
      <c r="AU102" s="1">
        <v>44354.512164351851</v>
      </c>
      <c r="AV102" t="s">
        <v>71</v>
      </c>
      <c r="AW102" t="s">
        <v>72</v>
      </c>
      <c r="AX102" t="s">
        <v>73</v>
      </c>
    </row>
    <row r="103" spans="1:50" x14ac:dyDescent="0.3">
      <c r="A103" t="str">
        <f>"200966E0100"</f>
        <v>200966E0100</v>
      </c>
      <c r="B103" t="str">
        <f>"200966E01002"</f>
        <v>200966E01002</v>
      </c>
      <c r="C103" t="str">
        <f t="shared" si="2"/>
        <v>20</v>
      </c>
      <c r="D103" t="s">
        <v>67</v>
      </c>
      <c r="E103" t="str">
        <f t="shared" si="3"/>
        <v>001</v>
      </c>
      <c r="F103" t="s">
        <v>68</v>
      </c>
      <c r="G103" t="str">
        <f>"0966"</f>
        <v>0966</v>
      </c>
      <c r="H103" t="str">
        <f>"0001"</f>
        <v>0001</v>
      </c>
      <c r="I103" t="s">
        <v>109</v>
      </c>
      <c r="J103">
        <v>0</v>
      </c>
      <c r="K103">
        <v>1</v>
      </c>
      <c r="L103">
        <v>2</v>
      </c>
      <c r="M103">
        <v>121</v>
      </c>
      <c r="N103">
        <v>311</v>
      </c>
      <c r="O103" t="s">
        <v>99</v>
      </c>
      <c r="P103">
        <v>311</v>
      </c>
      <c r="Q103">
        <v>6</v>
      </c>
      <c r="R103">
        <v>147</v>
      </c>
      <c r="S103">
        <v>11</v>
      </c>
      <c r="T103">
        <v>16</v>
      </c>
      <c r="U103">
        <v>119</v>
      </c>
      <c r="V103">
        <v>1</v>
      </c>
      <c r="W103">
        <v>1</v>
      </c>
      <c r="X103">
        <v>3</v>
      </c>
      <c r="Y103" t="s">
        <v>77</v>
      </c>
      <c r="Z103" t="s">
        <v>77</v>
      </c>
      <c r="AA103" t="s">
        <v>77</v>
      </c>
      <c r="AB103" t="s">
        <v>77</v>
      </c>
      <c r="AD103" t="s">
        <v>77</v>
      </c>
      <c r="AE103" t="s">
        <v>77</v>
      </c>
      <c r="AF103" t="s">
        <v>77</v>
      </c>
      <c r="AG103" t="s">
        <v>77</v>
      </c>
      <c r="AI103" t="s">
        <v>77</v>
      </c>
      <c r="AJ103" t="s">
        <v>77</v>
      </c>
      <c r="AK103">
        <v>7</v>
      </c>
      <c r="AL103">
        <v>304</v>
      </c>
      <c r="AM103">
        <v>388</v>
      </c>
      <c r="AN103">
        <v>44</v>
      </c>
      <c r="AO103" t="s">
        <v>78</v>
      </c>
      <c r="AP103">
        <v>1</v>
      </c>
      <c r="AR103" t="s">
        <v>178</v>
      </c>
      <c r="AS103" s="1">
        <v>44354.493055555555</v>
      </c>
      <c r="AT103" s="1">
        <v>44354.510347222225</v>
      </c>
      <c r="AU103" s="1">
        <v>44354.510659722226</v>
      </c>
      <c r="AV103" t="s">
        <v>71</v>
      </c>
      <c r="AW103" t="s">
        <v>72</v>
      </c>
      <c r="AX103" t="s">
        <v>73</v>
      </c>
    </row>
    <row r="104" spans="1:50" x14ac:dyDescent="0.3">
      <c r="A104" t="str">
        <f>"200967B0000"</f>
        <v>200967B0000</v>
      </c>
      <c r="B104" t="str">
        <f>"200967B00002"</f>
        <v>200967B00002</v>
      </c>
      <c r="C104" t="str">
        <f t="shared" si="2"/>
        <v>20</v>
      </c>
      <c r="D104" t="s">
        <v>67</v>
      </c>
      <c r="E104" t="str">
        <f t="shared" si="3"/>
        <v>001</v>
      </c>
      <c r="F104" t="s">
        <v>68</v>
      </c>
      <c r="G104" t="str">
        <f>"0967"</f>
        <v>0967</v>
      </c>
      <c r="H104" t="str">
        <f>"0000"</f>
        <v>0000</v>
      </c>
      <c r="I104" t="s">
        <v>69</v>
      </c>
      <c r="J104">
        <v>0</v>
      </c>
      <c r="K104">
        <v>1</v>
      </c>
      <c r="L104">
        <v>2</v>
      </c>
      <c r="M104">
        <v>200</v>
      </c>
      <c r="N104">
        <v>479</v>
      </c>
      <c r="O104">
        <v>9</v>
      </c>
      <c r="P104">
        <v>479</v>
      </c>
      <c r="Q104">
        <v>4</v>
      </c>
      <c r="R104">
        <v>257</v>
      </c>
      <c r="S104">
        <v>33</v>
      </c>
      <c r="T104">
        <v>0</v>
      </c>
      <c r="U104">
        <v>152</v>
      </c>
      <c r="V104">
        <v>0</v>
      </c>
      <c r="W104">
        <v>10</v>
      </c>
      <c r="X104">
        <v>6</v>
      </c>
      <c r="Y104">
        <v>0</v>
      </c>
      <c r="Z104">
        <v>0</v>
      </c>
      <c r="AA104">
        <v>0</v>
      </c>
      <c r="AB104">
        <v>2</v>
      </c>
      <c r="AD104">
        <v>2</v>
      </c>
      <c r="AE104">
        <v>1</v>
      </c>
      <c r="AF104">
        <v>0</v>
      </c>
      <c r="AG104">
        <v>1</v>
      </c>
      <c r="AI104">
        <v>0</v>
      </c>
      <c r="AJ104">
        <v>11</v>
      </c>
      <c r="AK104">
        <v>479</v>
      </c>
      <c r="AL104">
        <v>479</v>
      </c>
      <c r="AM104">
        <v>635</v>
      </c>
      <c r="AN104">
        <v>44</v>
      </c>
      <c r="AP104">
        <v>1</v>
      </c>
      <c r="AR104" t="s">
        <v>179</v>
      </c>
      <c r="AS104" s="1">
        <v>44354.495833333334</v>
      </c>
      <c r="AT104" s="1">
        <v>44354.504108796296</v>
      </c>
      <c r="AU104" s="1">
        <v>44354.50508101852</v>
      </c>
      <c r="AV104" t="s">
        <v>71</v>
      </c>
      <c r="AW104" t="s">
        <v>72</v>
      </c>
      <c r="AX104" t="s">
        <v>73</v>
      </c>
    </row>
    <row r="105" spans="1:50" x14ac:dyDescent="0.3">
      <c r="A105" t="str">
        <f>"200968B0000"</f>
        <v>200968B0000</v>
      </c>
      <c r="B105" t="str">
        <f>"200968B00002"</f>
        <v>200968B00002</v>
      </c>
      <c r="C105" t="str">
        <f t="shared" si="2"/>
        <v>20</v>
      </c>
      <c r="D105" t="s">
        <v>67</v>
      </c>
      <c r="E105" t="str">
        <f t="shared" si="3"/>
        <v>001</v>
      </c>
      <c r="F105" t="s">
        <v>68</v>
      </c>
      <c r="G105" t="str">
        <f>"0968"</f>
        <v>0968</v>
      </c>
      <c r="H105" t="str">
        <f>"0000"</f>
        <v>0000</v>
      </c>
      <c r="I105" t="s">
        <v>69</v>
      </c>
      <c r="J105">
        <v>0</v>
      </c>
      <c r="K105">
        <v>1</v>
      </c>
      <c r="L105">
        <v>2</v>
      </c>
      <c r="M105">
        <v>147</v>
      </c>
      <c r="N105">
        <v>196</v>
      </c>
      <c r="O105">
        <v>3</v>
      </c>
      <c r="P105">
        <v>196</v>
      </c>
      <c r="Q105">
        <v>0</v>
      </c>
      <c r="R105">
        <v>95</v>
      </c>
      <c r="S105">
        <v>4</v>
      </c>
      <c r="T105">
        <v>2</v>
      </c>
      <c r="U105">
        <v>79</v>
      </c>
      <c r="V105">
        <v>0</v>
      </c>
      <c r="W105">
        <v>1</v>
      </c>
      <c r="X105">
        <v>6</v>
      </c>
      <c r="Y105">
        <v>0</v>
      </c>
      <c r="Z105">
        <v>0</v>
      </c>
      <c r="AA105">
        <v>0</v>
      </c>
      <c r="AB105">
        <v>1</v>
      </c>
      <c r="AD105">
        <v>0</v>
      </c>
      <c r="AE105">
        <v>0</v>
      </c>
      <c r="AF105">
        <v>0</v>
      </c>
      <c r="AG105">
        <v>0</v>
      </c>
      <c r="AI105">
        <v>0</v>
      </c>
      <c r="AJ105">
        <v>8</v>
      </c>
      <c r="AK105">
        <v>196</v>
      </c>
      <c r="AL105">
        <v>196</v>
      </c>
      <c r="AM105">
        <v>299</v>
      </c>
      <c r="AN105">
        <v>44</v>
      </c>
      <c r="AP105">
        <v>1</v>
      </c>
      <c r="AR105" t="s">
        <v>180</v>
      </c>
      <c r="AS105" s="1">
        <v>44354.494444444441</v>
      </c>
      <c r="AT105" s="1">
        <v>44354.503993055558</v>
      </c>
      <c r="AU105" s="1">
        <v>44354.50472222222</v>
      </c>
      <c r="AV105" t="s">
        <v>71</v>
      </c>
      <c r="AW105" t="s">
        <v>72</v>
      </c>
      <c r="AX105" t="s">
        <v>73</v>
      </c>
    </row>
    <row r="106" spans="1:50" x14ac:dyDescent="0.3">
      <c r="A106" t="str">
        <f>"200969B0000"</f>
        <v>200969B0000</v>
      </c>
      <c r="B106" t="str">
        <f>"200969B00002"</f>
        <v>200969B00002</v>
      </c>
      <c r="C106" t="str">
        <f t="shared" si="2"/>
        <v>20</v>
      </c>
      <c r="D106" t="s">
        <v>67</v>
      </c>
      <c r="E106" t="str">
        <f t="shared" si="3"/>
        <v>001</v>
      </c>
      <c r="F106" t="s">
        <v>68</v>
      </c>
      <c r="G106" t="str">
        <f>"0969"</f>
        <v>0969</v>
      </c>
      <c r="H106" t="str">
        <f>"0000"</f>
        <v>0000</v>
      </c>
      <c r="I106" t="s">
        <v>69</v>
      </c>
      <c r="J106">
        <v>0</v>
      </c>
      <c r="K106">
        <v>1</v>
      </c>
      <c r="L106">
        <v>2</v>
      </c>
      <c r="M106">
        <v>142</v>
      </c>
      <c r="N106">
        <v>579</v>
      </c>
      <c r="O106">
        <v>9</v>
      </c>
      <c r="P106" t="s">
        <v>80</v>
      </c>
      <c r="Q106">
        <v>19</v>
      </c>
      <c r="R106">
        <v>231</v>
      </c>
      <c r="S106">
        <v>47</v>
      </c>
      <c r="T106">
        <v>4</v>
      </c>
      <c r="U106">
        <v>213</v>
      </c>
      <c r="V106">
        <v>1</v>
      </c>
      <c r="W106">
        <v>15</v>
      </c>
      <c r="X106">
        <v>29</v>
      </c>
      <c r="Y106">
        <v>0</v>
      </c>
      <c r="Z106">
        <v>0</v>
      </c>
      <c r="AA106">
        <v>0</v>
      </c>
      <c r="AB106">
        <v>2</v>
      </c>
      <c r="AD106">
        <v>2</v>
      </c>
      <c r="AE106">
        <v>1</v>
      </c>
      <c r="AF106">
        <v>0</v>
      </c>
      <c r="AG106">
        <v>2</v>
      </c>
      <c r="AI106">
        <v>0</v>
      </c>
      <c r="AJ106">
        <v>13</v>
      </c>
      <c r="AK106">
        <v>579</v>
      </c>
      <c r="AL106">
        <v>579</v>
      </c>
      <c r="AM106">
        <v>677</v>
      </c>
      <c r="AN106">
        <v>44</v>
      </c>
      <c r="AP106">
        <v>1</v>
      </c>
      <c r="AR106" t="s">
        <v>181</v>
      </c>
      <c r="AS106" s="1">
        <v>44354.493055555555</v>
      </c>
      <c r="AT106" s="1">
        <v>44354.513518518521</v>
      </c>
      <c r="AU106" s="1">
        <v>44354.514826388891</v>
      </c>
      <c r="AV106" t="s">
        <v>71</v>
      </c>
      <c r="AW106" t="s">
        <v>72</v>
      </c>
      <c r="AX106" t="s">
        <v>73</v>
      </c>
    </row>
    <row r="107" spans="1:50" x14ac:dyDescent="0.3">
      <c r="A107" t="str">
        <f>"200970B0000"</f>
        <v>200970B0000</v>
      </c>
      <c r="B107" t="str">
        <f>"200970B00002"</f>
        <v>200970B00002</v>
      </c>
      <c r="C107" t="str">
        <f t="shared" si="2"/>
        <v>20</v>
      </c>
      <c r="D107" t="s">
        <v>67</v>
      </c>
      <c r="E107" t="str">
        <f t="shared" si="3"/>
        <v>001</v>
      </c>
      <c r="F107" t="s">
        <v>68</v>
      </c>
      <c r="G107" t="str">
        <f>"0970"</f>
        <v>0970</v>
      </c>
      <c r="H107" t="str">
        <f>"0000"</f>
        <v>0000</v>
      </c>
      <c r="I107" t="s">
        <v>69</v>
      </c>
      <c r="J107">
        <v>0</v>
      </c>
      <c r="K107">
        <v>1</v>
      </c>
      <c r="L107">
        <v>2</v>
      </c>
      <c r="M107">
        <v>133</v>
      </c>
      <c r="N107">
        <v>403</v>
      </c>
      <c r="O107">
        <v>10</v>
      </c>
      <c r="P107">
        <v>403</v>
      </c>
      <c r="Q107">
        <v>7</v>
      </c>
      <c r="R107">
        <v>145</v>
      </c>
      <c r="S107">
        <v>10</v>
      </c>
      <c r="T107">
        <v>0</v>
      </c>
      <c r="U107">
        <v>167</v>
      </c>
      <c r="V107">
        <v>0</v>
      </c>
      <c r="W107">
        <v>24</v>
      </c>
      <c r="X107">
        <v>22</v>
      </c>
      <c r="Y107">
        <v>0</v>
      </c>
      <c r="Z107">
        <v>1</v>
      </c>
      <c r="AA107">
        <v>0</v>
      </c>
      <c r="AB107">
        <v>12</v>
      </c>
      <c r="AD107">
        <v>1</v>
      </c>
      <c r="AE107">
        <v>0</v>
      </c>
      <c r="AF107">
        <v>0</v>
      </c>
      <c r="AG107">
        <v>0</v>
      </c>
      <c r="AI107">
        <v>0</v>
      </c>
      <c r="AJ107">
        <v>14</v>
      </c>
      <c r="AK107">
        <v>403</v>
      </c>
      <c r="AL107">
        <v>403</v>
      </c>
      <c r="AM107">
        <v>492</v>
      </c>
      <c r="AN107">
        <v>44</v>
      </c>
      <c r="AP107">
        <v>1</v>
      </c>
      <c r="AR107" t="s">
        <v>182</v>
      </c>
      <c r="AS107" s="1">
        <v>44354.489583333336</v>
      </c>
      <c r="AT107" s="1">
        <v>44354.493564814817</v>
      </c>
      <c r="AU107" s="1">
        <v>44354.49423611111</v>
      </c>
      <c r="AV107" t="s">
        <v>71</v>
      </c>
      <c r="AW107" t="s">
        <v>72</v>
      </c>
      <c r="AX107" t="s">
        <v>73</v>
      </c>
    </row>
    <row r="108" spans="1:50" x14ac:dyDescent="0.3">
      <c r="A108" t="str">
        <f>"200970E0100"</f>
        <v>200970E0100</v>
      </c>
      <c r="B108" t="str">
        <f>"200970E01002"</f>
        <v>200970E01002</v>
      </c>
      <c r="C108" t="str">
        <f t="shared" si="2"/>
        <v>20</v>
      </c>
      <c r="D108" t="s">
        <v>67</v>
      </c>
      <c r="E108" t="str">
        <f t="shared" si="3"/>
        <v>001</v>
      </c>
      <c r="F108" t="s">
        <v>68</v>
      </c>
      <c r="G108" t="str">
        <f>"0970"</f>
        <v>0970</v>
      </c>
      <c r="H108" t="str">
        <f>"0001"</f>
        <v>0001</v>
      </c>
      <c r="I108" t="s">
        <v>109</v>
      </c>
      <c r="J108">
        <v>0</v>
      </c>
      <c r="K108">
        <v>1</v>
      </c>
      <c r="L108">
        <v>2</v>
      </c>
      <c r="M108">
        <v>167</v>
      </c>
      <c r="N108">
        <v>583</v>
      </c>
      <c r="O108">
        <v>8</v>
      </c>
      <c r="P108">
        <v>583</v>
      </c>
      <c r="Q108">
        <v>13</v>
      </c>
      <c r="R108">
        <v>244</v>
      </c>
      <c r="S108">
        <v>16</v>
      </c>
      <c r="T108">
        <v>1</v>
      </c>
      <c r="U108">
        <v>209</v>
      </c>
      <c r="V108">
        <v>0</v>
      </c>
      <c r="W108">
        <v>51</v>
      </c>
      <c r="X108">
        <v>27</v>
      </c>
      <c r="Y108">
        <v>0</v>
      </c>
      <c r="Z108">
        <v>1</v>
      </c>
      <c r="AA108">
        <v>1</v>
      </c>
      <c r="AB108">
        <v>3</v>
      </c>
      <c r="AD108">
        <v>2</v>
      </c>
      <c r="AE108">
        <v>1</v>
      </c>
      <c r="AF108">
        <v>0</v>
      </c>
      <c r="AG108">
        <v>0</v>
      </c>
      <c r="AI108">
        <v>0</v>
      </c>
      <c r="AJ108">
        <v>14</v>
      </c>
      <c r="AK108">
        <v>583</v>
      </c>
      <c r="AL108">
        <v>583</v>
      </c>
      <c r="AM108">
        <v>706</v>
      </c>
      <c r="AN108">
        <v>44</v>
      </c>
      <c r="AP108">
        <v>1</v>
      </c>
      <c r="AR108" t="s">
        <v>183</v>
      </c>
      <c r="AS108" s="1">
        <v>44354.490972222222</v>
      </c>
      <c r="AT108" s="1">
        <v>44354.512523148151</v>
      </c>
      <c r="AU108" s="1">
        <v>44354.516701388886</v>
      </c>
      <c r="AV108" t="s">
        <v>71</v>
      </c>
      <c r="AW108" t="s">
        <v>72</v>
      </c>
      <c r="AX108" t="s">
        <v>73</v>
      </c>
    </row>
    <row r="109" spans="1:50" x14ac:dyDescent="0.3">
      <c r="A109" t="str">
        <f>"200971B0000"</f>
        <v>200971B0000</v>
      </c>
      <c r="B109" t="str">
        <f>"200971B00002"</f>
        <v>200971B00002</v>
      </c>
      <c r="C109" t="str">
        <f t="shared" si="2"/>
        <v>20</v>
      </c>
      <c r="D109" t="s">
        <v>67</v>
      </c>
      <c r="E109" t="str">
        <f t="shared" si="3"/>
        <v>001</v>
      </c>
      <c r="F109" t="s">
        <v>68</v>
      </c>
      <c r="G109" t="str">
        <f>"0971"</f>
        <v>0971</v>
      </c>
      <c r="H109" t="str">
        <f>"0000"</f>
        <v>0000</v>
      </c>
      <c r="I109" t="s">
        <v>69</v>
      </c>
      <c r="J109">
        <v>0</v>
      </c>
      <c r="K109">
        <v>1</v>
      </c>
      <c r="L109">
        <v>2</v>
      </c>
      <c r="M109">
        <v>71</v>
      </c>
      <c r="N109">
        <v>215</v>
      </c>
      <c r="O109">
        <v>4</v>
      </c>
      <c r="P109">
        <v>215</v>
      </c>
      <c r="Q109">
        <v>17</v>
      </c>
      <c r="R109">
        <v>63</v>
      </c>
      <c r="S109">
        <v>19</v>
      </c>
      <c r="T109">
        <v>2</v>
      </c>
      <c r="U109">
        <v>104</v>
      </c>
      <c r="V109">
        <v>0</v>
      </c>
      <c r="W109">
        <v>6</v>
      </c>
      <c r="X109">
        <v>1</v>
      </c>
      <c r="Y109">
        <v>0</v>
      </c>
      <c r="Z109">
        <v>0</v>
      </c>
      <c r="AA109">
        <v>0</v>
      </c>
      <c r="AB109">
        <v>0</v>
      </c>
      <c r="AD109">
        <v>0</v>
      </c>
      <c r="AE109">
        <v>0</v>
      </c>
      <c r="AF109">
        <v>0</v>
      </c>
      <c r="AG109">
        <v>0</v>
      </c>
      <c r="AI109">
        <v>0</v>
      </c>
      <c r="AJ109">
        <v>3</v>
      </c>
      <c r="AK109">
        <v>215</v>
      </c>
      <c r="AL109">
        <v>215</v>
      </c>
      <c r="AM109">
        <v>242</v>
      </c>
      <c r="AN109">
        <v>44</v>
      </c>
      <c r="AP109">
        <v>1</v>
      </c>
      <c r="AR109" t="s">
        <v>184</v>
      </c>
      <c r="AS109" s="1">
        <v>44354.492361111108</v>
      </c>
      <c r="AT109" s="1">
        <v>44354.496180555558</v>
      </c>
      <c r="AU109" s="1">
        <v>44354.496840277781</v>
      </c>
      <c r="AV109" t="s">
        <v>71</v>
      </c>
      <c r="AW109" t="s">
        <v>72</v>
      </c>
      <c r="AX109" t="s">
        <v>73</v>
      </c>
    </row>
    <row r="110" spans="1:50" x14ac:dyDescent="0.3">
      <c r="A110" t="str">
        <f>"200972B0000"</f>
        <v>200972B0000</v>
      </c>
      <c r="B110" t="str">
        <f>"200972B00002"</f>
        <v>200972B00002</v>
      </c>
      <c r="C110" t="str">
        <f t="shared" si="2"/>
        <v>20</v>
      </c>
      <c r="D110" t="s">
        <v>67</v>
      </c>
      <c r="E110" t="str">
        <f t="shared" si="3"/>
        <v>001</v>
      </c>
      <c r="F110" t="s">
        <v>68</v>
      </c>
      <c r="G110" t="str">
        <f>"0972"</f>
        <v>0972</v>
      </c>
      <c r="H110" t="str">
        <f>"0000"</f>
        <v>0000</v>
      </c>
      <c r="I110" t="s">
        <v>69</v>
      </c>
      <c r="J110">
        <v>0</v>
      </c>
      <c r="K110">
        <v>1</v>
      </c>
      <c r="L110">
        <v>2</v>
      </c>
      <c r="M110">
        <v>194</v>
      </c>
      <c r="N110">
        <v>432</v>
      </c>
      <c r="O110">
        <v>7</v>
      </c>
      <c r="P110">
        <v>433</v>
      </c>
      <c r="Q110">
        <v>63</v>
      </c>
      <c r="R110">
        <v>170</v>
      </c>
      <c r="S110">
        <v>15</v>
      </c>
      <c r="T110">
        <v>26</v>
      </c>
      <c r="U110">
        <v>126</v>
      </c>
      <c r="V110">
        <v>0</v>
      </c>
      <c r="W110">
        <v>4</v>
      </c>
      <c r="X110">
        <v>8</v>
      </c>
      <c r="Y110">
        <v>1</v>
      </c>
      <c r="Z110">
        <v>0</v>
      </c>
      <c r="AA110">
        <v>0</v>
      </c>
      <c r="AB110">
        <v>1</v>
      </c>
      <c r="AD110">
        <v>1</v>
      </c>
      <c r="AE110">
        <v>1</v>
      </c>
      <c r="AF110">
        <v>1</v>
      </c>
      <c r="AG110">
        <v>4</v>
      </c>
      <c r="AI110">
        <v>0</v>
      </c>
      <c r="AJ110">
        <v>12</v>
      </c>
      <c r="AK110">
        <v>433</v>
      </c>
      <c r="AL110">
        <v>433</v>
      </c>
      <c r="AM110">
        <v>583</v>
      </c>
      <c r="AN110">
        <v>44</v>
      </c>
      <c r="AP110">
        <v>1</v>
      </c>
      <c r="AR110" t="s">
        <v>185</v>
      </c>
      <c r="AS110" s="1">
        <v>44354.490972222222</v>
      </c>
      <c r="AT110" s="1">
        <v>44354.495833333334</v>
      </c>
      <c r="AU110" s="1">
        <v>44354.496759259258</v>
      </c>
      <c r="AV110" t="s">
        <v>71</v>
      </c>
      <c r="AW110" t="s">
        <v>72</v>
      </c>
      <c r="AX110" t="s">
        <v>73</v>
      </c>
    </row>
    <row r="111" spans="1:50" x14ac:dyDescent="0.3">
      <c r="A111" t="str">
        <f>"200972C0100"</f>
        <v>200972C0100</v>
      </c>
      <c r="B111" t="str">
        <f>"200972C01002"</f>
        <v>200972C01002</v>
      </c>
      <c r="C111" t="str">
        <f t="shared" si="2"/>
        <v>20</v>
      </c>
      <c r="D111" t="s">
        <v>67</v>
      </c>
      <c r="E111" t="str">
        <f t="shared" si="3"/>
        <v>001</v>
      </c>
      <c r="F111" t="s">
        <v>68</v>
      </c>
      <c r="G111" t="str">
        <f>"0972"</f>
        <v>0972</v>
      </c>
      <c r="H111" t="str">
        <f>"0001"</f>
        <v>0001</v>
      </c>
      <c r="I111" t="s">
        <v>75</v>
      </c>
      <c r="J111">
        <v>0</v>
      </c>
      <c r="K111">
        <v>1</v>
      </c>
      <c r="L111">
        <v>2</v>
      </c>
      <c r="M111">
        <v>164</v>
      </c>
      <c r="N111">
        <v>463</v>
      </c>
      <c r="O111">
        <v>2</v>
      </c>
      <c r="P111">
        <v>463</v>
      </c>
      <c r="Q111">
        <v>76</v>
      </c>
      <c r="R111">
        <v>189</v>
      </c>
      <c r="S111">
        <v>10</v>
      </c>
      <c r="T111">
        <v>15</v>
      </c>
      <c r="U111">
        <v>138</v>
      </c>
      <c r="V111">
        <v>0</v>
      </c>
      <c r="W111">
        <v>0</v>
      </c>
      <c r="X111">
        <v>23</v>
      </c>
      <c r="Y111">
        <v>1</v>
      </c>
      <c r="Z111">
        <v>0</v>
      </c>
      <c r="AA111">
        <v>0</v>
      </c>
      <c r="AB111">
        <v>0</v>
      </c>
      <c r="AD111">
        <v>0</v>
      </c>
      <c r="AE111">
        <v>0</v>
      </c>
      <c r="AF111">
        <v>0</v>
      </c>
      <c r="AG111">
        <v>0</v>
      </c>
      <c r="AI111">
        <v>0</v>
      </c>
      <c r="AJ111">
        <v>0</v>
      </c>
      <c r="AK111">
        <v>463</v>
      </c>
      <c r="AL111">
        <v>452</v>
      </c>
      <c r="AM111">
        <v>583</v>
      </c>
      <c r="AN111">
        <v>44</v>
      </c>
      <c r="AP111">
        <v>1</v>
      </c>
      <c r="AR111" t="s">
        <v>186</v>
      </c>
      <c r="AS111" s="1">
        <v>44354.494444444441</v>
      </c>
      <c r="AT111" s="1">
        <v>44354.503854166665</v>
      </c>
      <c r="AU111" s="1">
        <v>44354.505231481482</v>
      </c>
      <c r="AV111" t="s">
        <v>71</v>
      </c>
      <c r="AW111" t="s">
        <v>72</v>
      </c>
      <c r="AX111" t="s">
        <v>73</v>
      </c>
    </row>
    <row r="112" spans="1:50" x14ac:dyDescent="0.3">
      <c r="A112" t="str">
        <f>"200972E0100"</f>
        <v>200972E0100</v>
      </c>
      <c r="B112" t="str">
        <f>"200972E01002"</f>
        <v>200972E01002</v>
      </c>
      <c r="C112" t="str">
        <f t="shared" si="2"/>
        <v>20</v>
      </c>
      <c r="D112" t="s">
        <v>67</v>
      </c>
      <c r="E112" t="str">
        <f t="shared" si="3"/>
        <v>001</v>
      </c>
      <c r="F112" t="s">
        <v>68</v>
      </c>
      <c r="G112" t="str">
        <f>"0972"</f>
        <v>0972</v>
      </c>
      <c r="H112" t="str">
        <f>"0001"</f>
        <v>0001</v>
      </c>
      <c r="I112" t="s">
        <v>109</v>
      </c>
      <c r="J112">
        <v>0</v>
      </c>
      <c r="K112">
        <v>1</v>
      </c>
      <c r="L112">
        <v>2</v>
      </c>
      <c r="M112">
        <v>131</v>
      </c>
      <c r="N112">
        <v>371</v>
      </c>
      <c r="O112">
        <v>8</v>
      </c>
      <c r="P112">
        <v>371</v>
      </c>
      <c r="Q112">
        <v>4</v>
      </c>
      <c r="R112">
        <v>120</v>
      </c>
      <c r="S112">
        <v>57</v>
      </c>
      <c r="T112">
        <v>20</v>
      </c>
      <c r="U112">
        <v>86</v>
      </c>
      <c r="V112">
        <v>0</v>
      </c>
      <c r="W112">
        <v>16</v>
      </c>
      <c r="X112">
        <v>32</v>
      </c>
      <c r="Y112">
        <v>1</v>
      </c>
      <c r="Z112">
        <v>0</v>
      </c>
      <c r="AA112">
        <v>0</v>
      </c>
      <c r="AB112">
        <v>10</v>
      </c>
      <c r="AD112">
        <v>0</v>
      </c>
      <c r="AE112">
        <v>0</v>
      </c>
      <c r="AF112">
        <v>0</v>
      </c>
      <c r="AG112">
        <v>1</v>
      </c>
      <c r="AI112">
        <v>0</v>
      </c>
      <c r="AJ112">
        <v>18</v>
      </c>
      <c r="AK112">
        <v>371</v>
      </c>
      <c r="AL112">
        <v>365</v>
      </c>
      <c r="AM112">
        <v>458</v>
      </c>
      <c r="AN112">
        <v>44</v>
      </c>
      <c r="AP112">
        <v>1</v>
      </c>
      <c r="AR112" t="s">
        <v>187</v>
      </c>
      <c r="AS112" s="1">
        <v>44354.493750000001</v>
      </c>
      <c r="AT112" s="1">
        <v>44354.510891203703</v>
      </c>
      <c r="AU112" s="1">
        <v>44354.512013888889</v>
      </c>
      <c r="AV112" t="s">
        <v>71</v>
      </c>
      <c r="AW112" t="s">
        <v>72</v>
      </c>
      <c r="AX112" t="s">
        <v>73</v>
      </c>
    </row>
    <row r="113" spans="1:50" x14ac:dyDescent="0.3">
      <c r="A113" t="str">
        <f>"200973B0000"</f>
        <v>200973B0000</v>
      </c>
      <c r="B113" t="str">
        <f>"200973B00002"</f>
        <v>200973B00002</v>
      </c>
      <c r="C113" t="str">
        <f t="shared" si="2"/>
        <v>20</v>
      </c>
      <c r="D113" t="s">
        <v>67</v>
      </c>
      <c r="E113" t="str">
        <f t="shared" si="3"/>
        <v>001</v>
      </c>
      <c r="F113" t="s">
        <v>68</v>
      </c>
      <c r="G113" t="str">
        <f>"0973"</f>
        <v>0973</v>
      </c>
      <c r="H113" t="str">
        <f>"0000"</f>
        <v>0000</v>
      </c>
      <c r="I113" t="s">
        <v>69</v>
      </c>
      <c r="J113">
        <v>0</v>
      </c>
      <c r="K113">
        <v>1</v>
      </c>
      <c r="L113">
        <v>2</v>
      </c>
      <c r="M113">
        <v>107</v>
      </c>
      <c r="N113">
        <v>218</v>
      </c>
      <c r="O113">
        <v>10</v>
      </c>
      <c r="P113">
        <v>218</v>
      </c>
      <c r="Q113">
        <v>1</v>
      </c>
      <c r="R113">
        <v>117</v>
      </c>
      <c r="S113">
        <v>1</v>
      </c>
      <c r="T113">
        <v>21</v>
      </c>
      <c r="U113">
        <v>54</v>
      </c>
      <c r="V113">
        <v>0</v>
      </c>
      <c r="W113">
        <v>0</v>
      </c>
      <c r="X113">
        <v>16</v>
      </c>
      <c r="Y113">
        <v>0</v>
      </c>
      <c r="Z113">
        <v>0</v>
      </c>
      <c r="AA113">
        <v>1</v>
      </c>
      <c r="AB113">
        <v>0</v>
      </c>
      <c r="AD113">
        <v>0</v>
      </c>
      <c r="AE113">
        <v>0</v>
      </c>
      <c r="AF113">
        <v>0</v>
      </c>
      <c r="AG113">
        <v>0</v>
      </c>
      <c r="AI113">
        <v>0</v>
      </c>
      <c r="AJ113">
        <v>7</v>
      </c>
      <c r="AK113">
        <v>218</v>
      </c>
      <c r="AL113">
        <v>218</v>
      </c>
      <c r="AM113">
        <v>281</v>
      </c>
      <c r="AN113">
        <v>44</v>
      </c>
      <c r="AP113">
        <v>1</v>
      </c>
      <c r="AR113" t="s">
        <v>188</v>
      </c>
      <c r="AS113" s="1">
        <v>44354.490972222222</v>
      </c>
      <c r="AT113" s="1">
        <v>44354.51158564815</v>
      </c>
      <c r="AU113" s="1">
        <v>44354.513518518521</v>
      </c>
      <c r="AV113" t="s">
        <v>71</v>
      </c>
      <c r="AW113" t="s">
        <v>72</v>
      </c>
      <c r="AX113" t="s">
        <v>73</v>
      </c>
    </row>
    <row r="114" spans="1:50" x14ac:dyDescent="0.3">
      <c r="A114" t="str">
        <f>"200974B0000"</f>
        <v>200974B0000</v>
      </c>
      <c r="B114" t="str">
        <f>"200974B00002"</f>
        <v>200974B00002</v>
      </c>
      <c r="C114" t="str">
        <f t="shared" si="2"/>
        <v>20</v>
      </c>
      <c r="D114" t="s">
        <v>67</v>
      </c>
      <c r="E114" t="str">
        <f t="shared" si="3"/>
        <v>001</v>
      </c>
      <c r="F114" t="s">
        <v>68</v>
      </c>
      <c r="G114" t="str">
        <f>"0974"</f>
        <v>0974</v>
      </c>
      <c r="H114" t="str">
        <f>"0000"</f>
        <v>0000</v>
      </c>
      <c r="I114" t="s">
        <v>69</v>
      </c>
      <c r="J114">
        <v>0</v>
      </c>
      <c r="K114">
        <v>1</v>
      </c>
      <c r="L114">
        <v>2</v>
      </c>
      <c r="M114">
        <v>73</v>
      </c>
      <c r="N114">
        <v>200</v>
      </c>
      <c r="O114">
        <v>9</v>
      </c>
      <c r="P114">
        <v>200</v>
      </c>
      <c r="Q114">
        <v>44</v>
      </c>
      <c r="R114">
        <v>51</v>
      </c>
      <c r="S114">
        <v>3</v>
      </c>
      <c r="T114">
        <v>1</v>
      </c>
      <c r="U114">
        <v>69</v>
      </c>
      <c r="V114">
        <v>0</v>
      </c>
      <c r="W114">
        <v>17</v>
      </c>
      <c r="X114">
        <v>6</v>
      </c>
      <c r="Y114">
        <v>1</v>
      </c>
      <c r="Z114">
        <v>0</v>
      </c>
      <c r="AA114">
        <v>0</v>
      </c>
      <c r="AB114">
        <v>2</v>
      </c>
      <c r="AD114">
        <v>0</v>
      </c>
      <c r="AE114">
        <v>0</v>
      </c>
      <c r="AF114">
        <v>0</v>
      </c>
      <c r="AG114">
        <v>0</v>
      </c>
      <c r="AI114">
        <v>0</v>
      </c>
      <c r="AJ114">
        <v>6</v>
      </c>
      <c r="AK114">
        <v>200</v>
      </c>
      <c r="AL114">
        <v>200</v>
      </c>
      <c r="AM114">
        <v>229</v>
      </c>
      <c r="AN114">
        <v>44</v>
      </c>
      <c r="AP114">
        <v>1</v>
      </c>
      <c r="AR114" t="s">
        <v>189</v>
      </c>
      <c r="AS114" s="1">
        <v>44354.495138888888</v>
      </c>
      <c r="AT114" s="1">
        <v>44354.499131944445</v>
      </c>
      <c r="AU114" s="1">
        <v>44354.499826388892</v>
      </c>
      <c r="AV114" t="s">
        <v>71</v>
      </c>
      <c r="AW114" t="s">
        <v>72</v>
      </c>
      <c r="AX114" t="s">
        <v>73</v>
      </c>
    </row>
    <row r="115" spans="1:50" x14ac:dyDescent="0.3">
      <c r="A115" t="str">
        <f>"200974E0100"</f>
        <v>200974E0100</v>
      </c>
      <c r="B115" t="str">
        <f>"200974E01002"</f>
        <v>200974E01002</v>
      </c>
      <c r="C115" t="str">
        <f t="shared" si="2"/>
        <v>20</v>
      </c>
      <c r="D115" t="s">
        <v>67</v>
      </c>
      <c r="E115" t="str">
        <f t="shared" si="3"/>
        <v>001</v>
      </c>
      <c r="F115" t="s">
        <v>68</v>
      </c>
      <c r="G115" t="str">
        <f>"0974"</f>
        <v>0974</v>
      </c>
      <c r="H115" t="str">
        <f>"0001"</f>
        <v>0001</v>
      </c>
      <c r="I115" t="s">
        <v>109</v>
      </c>
      <c r="J115">
        <v>0</v>
      </c>
      <c r="K115">
        <v>1</v>
      </c>
      <c r="L115">
        <v>2</v>
      </c>
      <c r="M115">
        <v>90</v>
      </c>
      <c r="N115">
        <v>293</v>
      </c>
      <c r="O115">
        <v>7</v>
      </c>
      <c r="P115">
        <v>293</v>
      </c>
      <c r="Q115">
        <v>15</v>
      </c>
      <c r="R115">
        <v>123</v>
      </c>
      <c r="S115">
        <v>1</v>
      </c>
      <c r="T115">
        <v>4</v>
      </c>
      <c r="U115">
        <v>104</v>
      </c>
      <c r="V115">
        <v>0</v>
      </c>
      <c r="W115">
        <v>9</v>
      </c>
      <c r="X115">
        <v>25</v>
      </c>
      <c r="Y115">
        <v>0</v>
      </c>
      <c r="Z115">
        <v>0</v>
      </c>
      <c r="AA115">
        <v>0</v>
      </c>
      <c r="AB115">
        <v>1</v>
      </c>
      <c r="AD115">
        <v>1</v>
      </c>
      <c r="AE115">
        <v>1</v>
      </c>
      <c r="AF115">
        <v>0</v>
      </c>
      <c r="AG115">
        <v>1</v>
      </c>
      <c r="AI115">
        <v>0</v>
      </c>
      <c r="AJ115">
        <v>8</v>
      </c>
      <c r="AK115">
        <v>293</v>
      </c>
      <c r="AL115">
        <v>293</v>
      </c>
      <c r="AM115">
        <v>339</v>
      </c>
      <c r="AN115">
        <v>44</v>
      </c>
      <c r="AP115">
        <v>1</v>
      </c>
      <c r="AR115" t="s">
        <v>190</v>
      </c>
      <c r="AS115" s="1">
        <v>44354.498611111114</v>
      </c>
      <c r="AT115" s="1">
        <v>44354.510138888887</v>
      </c>
      <c r="AU115" s="1">
        <v>44354.510659722226</v>
      </c>
      <c r="AV115" t="s">
        <v>71</v>
      </c>
      <c r="AW115" t="s">
        <v>72</v>
      </c>
      <c r="AX115" t="s">
        <v>73</v>
      </c>
    </row>
    <row r="116" spans="1:50" x14ac:dyDescent="0.3">
      <c r="A116" t="str">
        <f>"200975B0000"</f>
        <v>200975B0000</v>
      </c>
      <c r="B116" t="str">
        <f>"200975B00002"</f>
        <v>200975B00002</v>
      </c>
      <c r="C116" t="str">
        <f t="shared" si="2"/>
        <v>20</v>
      </c>
      <c r="D116" t="s">
        <v>67</v>
      </c>
      <c r="E116" t="str">
        <f t="shared" si="3"/>
        <v>001</v>
      </c>
      <c r="F116" t="s">
        <v>68</v>
      </c>
      <c r="G116" t="str">
        <f>"0975"</f>
        <v>0975</v>
      </c>
      <c r="H116" t="str">
        <f>"0000"</f>
        <v>0000</v>
      </c>
      <c r="I116" t="s">
        <v>69</v>
      </c>
      <c r="J116">
        <v>0</v>
      </c>
      <c r="K116">
        <v>1</v>
      </c>
      <c r="L116">
        <v>2</v>
      </c>
      <c r="M116">
        <v>162</v>
      </c>
      <c r="N116">
        <v>431</v>
      </c>
      <c r="O116">
        <v>8</v>
      </c>
      <c r="P116">
        <v>431</v>
      </c>
      <c r="Q116">
        <v>2</v>
      </c>
      <c r="R116">
        <v>200</v>
      </c>
      <c r="S116">
        <v>66</v>
      </c>
      <c r="T116">
        <v>9</v>
      </c>
      <c r="U116">
        <v>129</v>
      </c>
      <c r="V116">
        <v>0</v>
      </c>
      <c r="W116">
        <v>4</v>
      </c>
      <c r="X116">
        <v>13</v>
      </c>
      <c r="Y116">
        <v>2</v>
      </c>
      <c r="Z116">
        <v>1</v>
      </c>
      <c r="AA116">
        <v>0</v>
      </c>
      <c r="AB116">
        <v>0</v>
      </c>
      <c r="AD116">
        <v>0</v>
      </c>
      <c r="AE116">
        <v>0</v>
      </c>
      <c r="AF116">
        <v>0</v>
      </c>
      <c r="AG116">
        <v>0</v>
      </c>
      <c r="AI116">
        <v>0</v>
      </c>
      <c r="AJ116">
        <v>5</v>
      </c>
      <c r="AK116">
        <v>431</v>
      </c>
      <c r="AL116">
        <v>431</v>
      </c>
      <c r="AM116">
        <v>549</v>
      </c>
      <c r="AN116">
        <v>44</v>
      </c>
      <c r="AP116">
        <v>1</v>
      </c>
      <c r="AR116" t="s">
        <v>191</v>
      </c>
      <c r="AS116" s="1">
        <v>44354.496527777781</v>
      </c>
      <c r="AT116" s="1">
        <v>44354.501215277778</v>
      </c>
      <c r="AU116" s="1">
        <v>44354.502129629633</v>
      </c>
      <c r="AV116" t="s">
        <v>71</v>
      </c>
      <c r="AW116" t="s">
        <v>72</v>
      </c>
      <c r="AX116" t="s">
        <v>73</v>
      </c>
    </row>
    <row r="117" spans="1:50" x14ac:dyDescent="0.3">
      <c r="A117" t="str">
        <f>"200975E0100"</f>
        <v>200975E0100</v>
      </c>
      <c r="B117" t="str">
        <f>"200975E01002"</f>
        <v>200975E01002</v>
      </c>
      <c r="C117" t="str">
        <f t="shared" si="2"/>
        <v>20</v>
      </c>
      <c r="D117" t="s">
        <v>67</v>
      </c>
      <c r="E117" t="str">
        <f t="shared" si="3"/>
        <v>001</v>
      </c>
      <c r="F117" t="s">
        <v>68</v>
      </c>
      <c r="G117" t="str">
        <f>"0975"</f>
        <v>0975</v>
      </c>
      <c r="H117" t="str">
        <f>"0001"</f>
        <v>0001</v>
      </c>
      <c r="I117" t="s">
        <v>109</v>
      </c>
      <c r="J117">
        <v>0</v>
      </c>
      <c r="K117">
        <v>1</v>
      </c>
      <c r="L117">
        <v>2</v>
      </c>
      <c r="M117">
        <v>66</v>
      </c>
      <c r="N117">
        <v>92</v>
      </c>
      <c r="O117">
        <v>8</v>
      </c>
      <c r="P117">
        <v>92</v>
      </c>
      <c r="Q117">
        <v>12</v>
      </c>
      <c r="R117">
        <v>20</v>
      </c>
      <c r="S117">
        <v>3</v>
      </c>
      <c r="T117">
        <v>6</v>
      </c>
      <c r="U117">
        <v>30</v>
      </c>
      <c r="V117">
        <v>0</v>
      </c>
      <c r="W117">
        <v>12</v>
      </c>
      <c r="X117">
        <v>2</v>
      </c>
      <c r="Y117">
        <v>1</v>
      </c>
      <c r="Z117">
        <v>0</v>
      </c>
      <c r="AA117">
        <v>0</v>
      </c>
      <c r="AB117">
        <v>0</v>
      </c>
      <c r="AD117">
        <v>0</v>
      </c>
      <c r="AE117">
        <v>0</v>
      </c>
      <c r="AF117">
        <v>0</v>
      </c>
      <c r="AG117">
        <v>0</v>
      </c>
      <c r="AI117">
        <v>0</v>
      </c>
      <c r="AJ117">
        <v>6</v>
      </c>
      <c r="AK117">
        <v>92</v>
      </c>
      <c r="AL117">
        <v>92</v>
      </c>
      <c r="AM117">
        <v>114</v>
      </c>
      <c r="AN117">
        <v>44</v>
      </c>
      <c r="AP117">
        <v>1</v>
      </c>
      <c r="AR117" t="s">
        <v>192</v>
      </c>
      <c r="AS117" s="1">
        <v>44354.494444444441</v>
      </c>
      <c r="AT117" s="1">
        <v>44354.509988425925</v>
      </c>
      <c r="AU117" s="1">
        <v>44354.511377314811</v>
      </c>
      <c r="AV117" t="s">
        <v>71</v>
      </c>
      <c r="AW117" t="s">
        <v>72</v>
      </c>
      <c r="AX117" t="s">
        <v>73</v>
      </c>
    </row>
    <row r="118" spans="1:50" x14ac:dyDescent="0.3">
      <c r="A118" t="str">
        <f>"200976B0000"</f>
        <v>200976B0000</v>
      </c>
      <c r="B118" t="str">
        <f>"200976B00002"</f>
        <v>200976B00002</v>
      </c>
      <c r="C118" t="str">
        <f t="shared" si="2"/>
        <v>20</v>
      </c>
      <c r="D118" t="s">
        <v>67</v>
      </c>
      <c r="E118" t="str">
        <f t="shared" si="3"/>
        <v>001</v>
      </c>
      <c r="F118" t="s">
        <v>68</v>
      </c>
      <c r="G118" t="str">
        <f>"0976"</f>
        <v>0976</v>
      </c>
      <c r="H118" t="str">
        <f>"0000"</f>
        <v>0000</v>
      </c>
      <c r="I118" t="s">
        <v>69</v>
      </c>
      <c r="J118">
        <v>0</v>
      </c>
      <c r="K118">
        <v>1</v>
      </c>
      <c r="L118">
        <v>2</v>
      </c>
      <c r="M118">
        <v>179</v>
      </c>
      <c r="N118">
        <v>283</v>
      </c>
      <c r="O118">
        <v>0</v>
      </c>
      <c r="P118">
        <v>283</v>
      </c>
      <c r="Q118">
        <v>3</v>
      </c>
      <c r="R118">
        <v>127</v>
      </c>
      <c r="S118">
        <v>3</v>
      </c>
      <c r="T118">
        <v>15</v>
      </c>
      <c r="U118">
        <v>87</v>
      </c>
      <c r="V118">
        <v>0</v>
      </c>
      <c r="W118">
        <v>10</v>
      </c>
      <c r="X118">
        <v>28</v>
      </c>
      <c r="Y118">
        <v>0</v>
      </c>
      <c r="Z118">
        <v>1</v>
      </c>
      <c r="AA118">
        <v>0</v>
      </c>
      <c r="AB118">
        <v>0</v>
      </c>
      <c r="AD118">
        <v>1</v>
      </c>
      <c r="AE118">
        <v>0</v>
      </c>
      <c r="AF118">
        <v>0</v>
      </c>
      <c r="AG118">
        <v>0</v>
      </c>
      <c r="AI118">
        <v>0</v>
      </c>
      <c r="AJ118">
        <v>8</v>
      </c>
      <c r="AK118">
        <v>283</v>
      </c>
      <c r="AL118">
        <v>283</v>
      </c>
      <c r="AM118">
        <v>418</v>
      </c>
      <c r="AN118">
        <v>44</v>
      </c>
      <c r="AP118">
        <v>1</v>
      </c>
      <c r="AR118" t="s">
        <v>193</v>
      </c>
      <c r="AS118" s="1">
        <v>44354.595833333333</v>
      </c>
      <c r="AT118" s="1">
        <v>44354.606249999997</v>
      </c>
      <c r="AU118" s="1">
        <v>44354.607916666668</v>
      </c>
      <c r="AV118" t="s">
        <v>71</v>
      </c>
      <c r="AW118" t="s">
        <v>72</v>
      </c>
      <c r="AX118" t="s">
        <v>73</v>
      </c>
    </row>
    <row r="119" spans="1:50" x14ac:dyDescent="0.3">
      <c r="A119" t="str">
        <f>"200976C0100"</f>
        <v>200976C0100</v>
      </c>
      <c r="B119" t="str">
        <f>"200976C01002"</f>
        <v>200976C01002</v>
      </c>
      <c r="C119" t="str">
        <f t="shared" si="2"/>
        <v>20</v>
      </c>
      <c r="D119" t="s">
        <v>67</v>
      </c>
      <c r="E119" t="str">
        <f t="shared" si="3"/>
        <v>001</v>
      </c>
      <c r="F119" t="s">
        <v>68</v>
      </c>
      <c r="G119" t="str">
        <f>"0976"</f>
        <v>0976</v>
      </c>
      <c r="H119" t="str">
        <f>"0001"</f>
        <v>0001</v>
      </c>
      <c r="I119" t="s">
        <v>75</v>
      </c>
      <c r="J119">
        <v>0</v>
      </c>
      <c r="K119">
        <v>1</v>
      </c>
      <c r="L119">
        <v>2</v>
      </c>
      <c r="M119">
        <v>162</v>
      </c>
      <c r="N119">
        <v>300</v>
      </c>
      <c r="O119">
        <v>0</v>
      </c>
      <c r="P119">
        <v>300</v>
      </c>
      <c r="Q119">
        <v>0</v>
      </c>
      <c r="R119">
        <v>152</v>
      </c>
      <c r="S119">
        <v>2</v>
      </c>
      <c r="T119">
        <v>6</v>
      </c>
      <c r="U119">
        <v>84</v>
      </c>
      <c r="V119">
        <v>2</v>
      </c>
      <c r="W119">
        <v>10</v>
      </c>
      <c r="X119">
        <v>32</v>
      </c>
      <c r="Y119">
        <v>2</v>
      </c>
      <c r="Z119">
        <v>0</v>
      </c>
      <c r="AA119">
        <v>1</v>
      </c>
      <c r="AB119">
        <v>0</v>
      </c>
      <c r="AD119">
        <v>2</v>
      </c>
      <c r="AE119">
        <v>0</v>
      </c>
      <c r="AF119">
        <v>0</v>
      </c>
      <c r="AG119">
        <v>0</v>
      </c>
      <c r="AI119">
        <v>0</v>
      </c>
      <c r="AJ119">
        <v>7</v>
      </c>
      <c r="AK119">
        <v>300</v>
      </c>
      <c r="AL119">
        <v>300</v>
      </c>
      <c r="AM119">
        <v>418</v>
      </c>
      <c r="AN119">
        <v>44</v>
      </c>
      <c r="AP119">
        <v>1</v>
      </c>
      <c r="AR119" t="s">
        <v>194</v>
      </c>
      <c r="AS119" s="1">
        <v>44354.597222222219</v>
      </c>
      <c r="AT119" s="1">
        <v>44354.603483796294</v>
      </c>
      <c r="AU119" s="1">
        <v>44354.604074074072</v>
      </c>
      <c r="AV119" t="s">
        <v>71</v>
      </c>
      <c r="AW119" t="s">
        <v>72</v>
      </c>
      <c r="AX119" t="s">
        <v>73</v>
      </c>
    </row>
    <row r="120" spans="1:50" x14ac:dyDescent="0.3">
      <c r="A120" t="str">
        <f>"200977B0000"</f>
        <v>200977B0000</v>
      </c>
      <c r="B120" t="str">
        <f>"200977B00002"</f>
        <v>200977B00002</v>
      </c>
      <c r="C120" t="str">
        <f t="shared" si="2"/>
        <v>20</v>
      </c>
      <c r="D120" t="s">
        <v>67</v>
      </c>
      <c r="E120" t="str">
        <f t="shared" si="3"/>
        <v>001</v>
      </c>
      <c r="F120" t="s">
        <v>68</v>
      </c>
      <c r="G120" t="str">
        <f>"0977"</f>
        <v>0977</v>
      </c>
      <c r="H120" t="str">
        <f>"0000"</f>
        <v>0000</v>
      </c>
      <c r="I120" t="s">
        <v>69</v>
      </c>
      <c r="J120">
        <v>0</v>
      </c>
      <c r="K120">
        <v>1</v>
      </c>
      <c r="L120">
        <v>2</v>
      </c>
      <c r="M120">
        <v>118</v>
      </c>
      <c r="N120">
        <v>162</v>
      </c>
      <c r="O120">
        <v>1</v>
      </c>
      <c r="P120">
        <v>162</v>
      </c>
      <c r="Q120">
        <v>6</v>
      </c>
      <c r="R120">
        <v>43</v>
      </c>
      <c r="S120">
        <v>0</v>
      </c>
      <c r="T120">
        <v>43</v>
      </c>
      <c r="U120">
        <v>64</v>
      </c>
      <c r="V120">
        <v>0</v>
      </c>
      <c r="W120">
        <v>2</v>
      </c>
      <c r="X120">
        <v>1</v>
      </c>
      <c r="Y120">
        <v>0</v>
      </c>
      <c r="Z120">
        <v>0</v>
      </c>
      <c r="AA120">
        <v>0</v>
      </c>
      <c r="AB120">
        <v>0</v>
      </c>
      <c r="AD120">
        <v>0</v>
      </c>
      <c r="AE120">
        <v>0</v>
      </c>
      <c r="AF120">
        <v>0</v>
      </c>
      <c r="AG120">
        <v>0</v>
      </c>
      <c r="AI120">
        <v>0</v>
      </c>
      <c r="AJ120">
        <v>3</v>
      </c>
      <c r="AK120">
        <v>162</v>
      </c>
      <c r="AL120">
        <v>162</v>
      </c>
      <c r="AM120">
        <v>236</v>
      </c>
      <c r="AN120">
        <v>44</v>
      </c>
      <c r="AP120">
        <v>1</v>
      </c>
      <c r="AR120" t="s">
        <v>195</v>
      </c>
      <c r="AS120" s="1">
        <v>44354.597222222219</v>
      </c>
      <c r="AT120" s="1">
        <v>44354.603078703702</v>
      </c>
      <c r="AU120" s="1">
        <v>44354.603368055556</v>
      </c>
      <c r="AV120" t="s">
        <v>71</v>
      </c>
      <c r="AW120" t="s">
        <v>72</v>
      </c>
      <c r="AX120" t="s">
        <v>73</v>
      </c>
    </row>
    <row r="121" spans="1:50" x14ac:dyDescent="0.3">
      <c r="A121" t="str">
        <f>"200977E0100"</f>
        <v>200977E0100</v>
      </c>
      <c r="B121" t="str">
        <f>"200977E01002"</f>
        <v>200977E01002</v>
      </c>
      <c r="C121" t="str">
        <f t="shared" si="2"/>
        <v>20</v>
      </c>
      <c r="D121" t="s">
        <v>67</v>
      </c>
      <c r="E121" t="str">
        <f t="shared" si="3"/>
        <v>001</v>
      </c>
      <c r="F121" t="s">
        <v>68</v>
      </c>
      <c r="G121" t="str">
        <f>"0977"</f>
        <v>0977</v>
      </c>
      <c r="H121" t="str">
        <f>"0001"</f>
        <v>0001</v>
      </c>
      <c r="I121" t="s">
        <v>109</v>
      </c>
      <c r="J121">
        <v>0</v>
      </c>
      <c r="K121">
        <v>1</v>
      </c>
      <c r="L121">
        <v>2</v>
      </c>
      <c r="M121">
        <v>137</v>
      </c>
      <c r="N121">
        <v>241</v>
      </c>
      <c r="O121">
        <v>0</v>
      </c>
      <c r="P121">
        <v>241</v>
      </c>
      <c r="Q121">
        <v>0</v>
      </c>
      <c r="R121">
        <v>135</v>
      </c>
      <c r="S121">
        <v>4</v>
      </c>
      <c r="T121">
        <v>1</v>
      </c>
      <c r="U121">
        <v>70</v>
      </c>
      <c r="V121">
        <v>0</v>
      </c>
      <c r="W121">
        <v>7</v>
      </c>
      <c r="X121">
        <v>8</v>
      </c>
      <c r="Y121">
        <v>1</v>
      </c>
      <c r="Z121">
        <v>1</v>
      </c>
      <c r="AA121">
        <v>1</v>
      </c>
      <c r="AB121">
        <v>0</v>
      </c>
      <c r="AD121">
        <v>4</v>
      </c>
      <c r="AE121">
        <v>0</v>
      </c>
      <c r="AF121">
        <v>0</v>
      </c>
      <c r="AG121">
        <v>0</v>
      </c>
      <c r="AI121">
        <v>0</v>
      </c>
      <c r="AJ121">
        <v>9</v>
      </c>
      <c r="AK121">
        <v>241</v>
      </c>
      <c r="AL121">
        <v>241</v>
      </c>
      <c r="AM121">
        <v>334</v>
      </c>
      <c r="AN121">
        <v>44</v>
      </c>
      <c r="AP121">
        <v>1</v>
      </c>
      <c r="AR121" t="s">
        <v>196</v>
      </c>
      <c r="AS121" s="1">
        <v>44354.597222222219</v>
      </c>
      <c r="AT121" s="1">
        <v>44354.603148148148</v>
      </c>
      <c r="AU121" s="1">
        <v>44354.60365740741</v>
      </c>
      <c r="AV121" t="s">
        <v>71</v>
      </c>
      <c r="AW121" t="s">
        <v>72</v>
      </c>
      <c r="AX121" t="s">
        <v>73</v>
      </c>
    </row>
    <row r="122" spans="1:50" x14ac:dyDescent="0.3">
      <c r="A122" t="str">
        <f>"201057B0000"</f>
        <v>201057B0000</v>
      </c>
      <c r="B122" t="str">
        <f>"201057B00002"</f>
        <v>201057B00002</v>
      </c>
      <c r="C122" t="str">
        <f t="shared" si="2"/>
        <v>20</v>
      </c>
      <c r="D122" t="s">
        <v>67</v>
      </c>
      <c r="E122" t="str">
        <f t="shared" si="3"/>
        <v>001</v>
      </c>
      <c r="F122" t="s">
        <v>68</v>
      </c>
      <c r="G122" t="str">
        <f>"1057"</f>
        <v>1057</v>
      </c>
      <c r="H122" t="str">
        <f>"0000"</f>
        <v>0000</v>
      </c>
      <c r="I122" t="s">
        <v>69</v>
      </c>
      <c r="J122">
        <v>0</v>
      </c>
      <c r="K122">
        <v>1</v>
      </c>
      <c r="L122">
        <v>2</v>
      </c>
      <c r="M122">
        <v>165</v>
      </c>
      <c r="N122">
        <v>218</v>
      </c>
      <c r="O122">
        <v>0</v>
      </c>
      <c r="P122">
        <v>218</v>
      </c>
      <c r="Q122">
        <v>3</v>
      </c>
      <c r="R122">
        <v>33</v>
      </c>
      <c r="S122">
        <v>2</v>
      </c>
      <c r="T122">
        <v>1</v>
      </c>
      <c r="U122">
        <v>3</v>
      </c>
      <c r="V122">
        <v>27</v>
      </c>
      <c r="W122">
        <v>2</v>
      </c>
      <c r="X122">
        <v>103</v>
      </c>
      <c r="Y122">
        <v>19</v>
      </c>
      <c r="Z122">
        <v>2</v>
      </c>
      <c r="AA122">
        <v>0</v>
      </c>
      <c r="AB122">
        <v>5</v>
      </c>
      <c r="AD122">
        <v>0</v>
      </c>
      <c r="AE122">
        <v>1</v>
      </c>
      <c r="AF122">
        <v>0</v>
      </c>
      <c r="AG122">
        <v>0</v>
      </c>
      <c r="AI122">
        <v>0</v>
      </c>
      <c r="AJ122">
        <v>13</v>
      </c>
      <c r="AK122">
        <v>218</v>
      </c>
      <c r="AL122">
        <v>214</v>
      </c>
      <c r="AM122">
        <v>339</v>
      </c>
      <c r="AN122">
        <v>44</v>
      </c>
      <c r="AP122">
        <v>1</v>
      </c>
      <c r="AR122" t="s">
        <v>197</v>
      </c>
      <c r="AS122" s="1">
        <v>44354.226388888892</v>
      </c>
      <c r="AT122" s="1">
        <v>44354.239606481482</v>
      </c>
      <c r="AU122" s="1">
        <v>44354.240729166668</v>
      </c>
      <c r="AV122" t="s">
        <v>71</v>
      </c>
      <c r="AW122" t="s">
        <v>72</v>
      </c>
      <c r="AX122" t="s">
        <v>73</v>
      </c>
    </row>
    <row r="123" spans="1:50" x14ac:dyDescent="0.3">
      <c r="A123" t="str">
        <f>"201057E0100"</f>
        <v>201057E0100</v>
      </c>
      <c r="B123" t="str">
        <f>"201057E01002"</f>
        <v>201057E01002</v>
      </c>
      <c r="C123" t="str">
        <f t="shared" si="2"/>
        <v>20</v>
      </c>
      <c r="D123" t="s">
        <v>67</v>
      </c>
      <c r="E123" t="str">
        <f t="shared" si="3"/>
        <v>001</v>
      </c>
      <c r="F123" t="s">
        <v>68</v>
      </c>
      <c r="G123" t="str">
        <f>"1057"</f>
        <v>1057</v>
      </c>
      <c r="H123" t="str">
        <f>"0001"</f>
        <v>0001</v>
      </c>
      <c r="I123" t="s">
        <v>109</v>
      </c>
      <c r="J123">
        <v>0</v>
      </c>
      <c r="K123">
        <v>1</v>
      </c>
      <c r="L123">
        <v>2</v>
      </c>
      <c r="M123">
        <v>211</v>
      </c>
      <c r="N123">
        <v>339</v>
      </c>
      <c r="O123">
        <v>0</v>
      </c>
      <c r="P123">
        <v>339</v>
      </c>
      <c r="Q123">
        <v>0</v>
      </c>
      <c r="R123">
        <v>102</v>
      </c>
      <c r="S123">
        <v>0</v>
      </c>
      <c r="T123">
        <v>4</v>
      </c>
      <c r="U123">
        <v>3</v>
      </c>
      <c r="V123">
        <v>23</v>
      </c>
      <c r="W123">
        <v>0</v>
      </c>
      <c r="X123">
        <v>136</v>
      </c>
      <c r="Y123">
        <v>59</v>
      </c>
      <c r="Z123">
        <v>1</v>
      </c>
      <c r="AA123">
        <v>0</v>
      </c>
      <c r="AB123">
        <v>1</v>
      </c>
      <c r="AD123">
        <v>0</v>
      </c>
      <c r="AE123">
        <v>0</v>
      </c>
      <c r="AF123">
        <v>0</v>
      </c>
      <c r="AG123">
        <v>0</v>
      </c>
      <c r="AI123">
        <v>0</v>
      </c>
      <c r="AJ123">
        <v>10</v>
      </c>
      <c r="AK123">
        <v>339</v>
      </c>
      <c r="AL123">
        <v>339</v>
      </c>
      <c r="AM123">
        <v>506</v>
      </c>
      <c r="AN123">
        <v>44</v>
      </c>
      <c r="AP123">
        <v>1</v>
      </c>
      <c r="AR123" s="2" t="s">
        <v>198</v>
      </c>
      <c r="AS123" s="1">
        <v>44354.230555555558</v>
      </c>
      <c r="AT123" s="1">
        <v>44354.239675925928</v>
      </c>
      <c r="AU123" s="1">
        <v>44354.240208333336</v>
      </c>
      <c r="AV123" t="s">
        <v>71</v>
      </c>
      <c r="AW123" t="s">
        <v>72</v>
      </c>
      <c r="AX123" t="s">
        <v>73</v>
      </c>
    </row>
    <row r="124" spans="1:50" x14ac:dyDescent="0.3">
      <c r="A124" t="str">
        <f>"201372B0000"</f>
        <v>201372B0000</v>
      </c>
      <c r="B124" t="str">
        <f>"201372B00002"</f>
        <v>201372B00002</v>
      </c>
      <c r="C124" t="str">
        <f t="shared" si="2"/>
        <v>20</v>
      </c>
      <c r="D124" t="s">
        <v>67</v>
      </c>
      <c r="E124" t="str">
        <f t="shared" si="3"/>
        <v>001</v>
      </c>
      <c r="F124" t="s">
        <v>68</v>
      </c>
      <c r="G124" t="str">
        <f>"1372"</f>
        <v>1372</v>
      </c>
      <c r="H124" t="str">
        <f>"0000"</f>
        <v>0000</v>
      </c>
      <c r="I124" t="s">
        <v>69</v>
      </c>
      <c r="J124">
        <v>0</v>
      </c>
      <c r="K124">
        <v>1</v>
      </c>
      <c r="L124">
        <v>2</v>
      </c>
      <c r="M124">
        <v>175</v>
      </c>
      <c r="N124">
        <v>477</v>
      </c>
      <c r="O124">
        <v>0</v>
      </c>
      <c r="P124">
        <v>477</v>
      </c>
      <c r="Q124">
        <v>4</v>
      </c>
      <c r="R124">
        <v>149</v>
      </c>
      <c r="S124">
        <v>1</v>
      </c>
      <c r="T124">
        <v>1</v>
      </c>
      <c r="U124">
        <v>4</v>
      </c>
      <c r="V124">
        <v>6</v>
      </c>
      <c r="W124">
        <v>1</v>
      </c>
      <c r="X124">
        <v>276</v>
      </c>
      <c r="Y124">
        <v>0</v>
      </c>
      <c r="Z124">
        <v>4</v>
      </c>
      <c r="AA124">
        <v>10</v>
      </c>
      <c r="AB124">
        <v>4</v>
      </c>
      <c r="AD124">
        <v>5</v>
      </c>
      <c r="AE124">
        <v>0</v>
      </c>
      <c r="AF124">
        <v>0</v>
      </c>
      <c r="AG124">
        <v>1</v>
      </c>
      <c r="AI124">
        <v>0</v>
      </c>
      <c r="AJ124">
        <v>11</v>
      </c>
      <c r="AK124">
        <v>477</v>
      </c>
      <c r="AL124">
        <v>477</v>
      </c>
      <c r="AM124">
        <v>608</v>
      </c>
      <c r="AN124">
        <v>44</v>
      </c>
      <c r="AP124">
        <v>1</v>
      </c>
      <c r="AR124" t="s">
        <v>199</v>
      </c>
      <c r="AS124" s="1">
        <v>44354.224305555559</v>
      </c>
      <c r="AT124" s="1">
        <v>44354.228275462963</v>
      </c>
      <c r="AU124" s="1">
        <v>44354.229270833333</v>
      </c>
      <c r="AV124" t="s">
        <v>71</v>
      </c>
      <c r="AW124" t="s">
        <v>72</v>
      </c>
      <c r="AX124" t="s">
        <v>73</v>
      </c>
    </row>
    <row r="125" spans="1:50" x14ac:dyDescent="0.3">
      <c r="A125" t="str">
        <f>"201372C0100"</f>
        <v>201372C0100</v>
      </c>
      <c r="B125" t="str">
        <f>"201372C01002"</f>
        <v>201372C01002</v>
      </c>
      <c r="C125" t="str">
        <f t="shared" si="2"/>
        <v>20</v>
      </c>
      <c r="D125" t="s">
        <v>67</v>
      </c>
      <c r="E125" t="str">
        <f t="shared" si="3"/>
        <v>001</v>
      </c>
      <c r="F125" t="s">
        <v>68</v>
      </c>
      <c r="G125" t="str">
        <f>"1372"</f>
        <v>1372</v>
      </c>
      <c r="H125" t="str">
        <f>"0001"</f>
        <v>0001</v>
      </c>
      <c r="I125" t="s">
        <v>75</v>
      </c>
      <c r="J125">
        <v>0</v>
      </c>
      <c r="K125">
        <v>1</v>
      </c>
      <c r="L125">
        <v>2</v>
      </c>
      <c r="M125">
        <v>180</v>
      </c>
      <c r="N125">
        <v>470</v>
      </c>
      <c r="O125">
        <v>3</v>
      </c>
      <c r="P125">
        <v>469</v>
      </c>
      <c r="Q125">
        <v>6</v>
      </c>
      <c r="R125">
        <v>183</v>
      </c>
      <c r="S125">
        <v>0</v>
      </c>
      <c r="T125">
        <v>1</v>
      </c>
      <c r="U125">
        <v>4</v>
      </c>
      <c r="V125">
        <v>1</v>
      </c>
      <c r="W125">
        <v>0</v>
      </c>
      <c r="X125">
        <v>244</v>
      </c>
      <c r="Y125">
        <v>0</v>
      </c>
      <c r="Z125">
        <v>5</v>
      </c>
      <c r="AA125">
        <v>11</v>
      </c>
      <c r="AB125">
        <v>2</v>
      </c>
      <c r="AD125">
        <v>5</v>
      </c>
      <c r="AE125">
        <v>1</v>
      </c>
      <c r="AF125">
        <v>0</v>
      </c>
      <c r="AG125">
        <v>0</v>
      </c>
      <c r="AI125">
        <v>0</v>
      </c>
      <c r="AJ125">
        <v>6</v>
      </c>
      <c r="AK125">
        <v>469</v>
      </c>
      <c r="AL125">
        <v>469</v>
      </c>
      <c r="AM125">
        <v>607</v>
      </c>
      <c r="AN125">
        <v>44</v>
      </c>
      <c r="AP125">
        <v>1</v>
      </c>
      <c r="AR125" t="s">
        <v>200</v>
      </c>
      <c r="AS125" s="1">
        <v>44354.220833333333</v>
      </c>
      <c r="AT125" s="1">
        <v>44354.228194444448</v>
      </c>
      <c r="AU125" s="1">
        <v>44354.22896990741</v>
      </c>
      <c r="AV125" t="s">
        <v>71</v>
      </c>
      <c r="AW125" t="s">
        <v>72</v>
      </c>
      <c r="AX125" t="s">
        <v>73</v>
      </c>
    </row>
    <row r="126" spans="1:50" x14ac:dyDescent="0.3">
      <c r="A126" t="str">
        <f>"201372C0200"</f>
        <v>201372C0200</v>
      </c>
      <c r="B126" t="str">
        <f>"201372C02002"</f>
        <v>201372C02002</v>
      </c>
      <c r="C126" t="str">
        <f t="shared" si="2"/>
        <v>20</v>
      </c>
      <c r="D126" t="s">
        <v>67</v>
      </c>
      <c r="E126" t="str">
        <f t="shared" si="3"/>
        <v>001</v>
      </c>
      <c r="F126" t="s">
        <v>68</v>
      </c>
      <c r="G126" t="str">
        <f>"1372"</f>
        <v>1372</v>
      </c>
      <c r="H126" t="str">
        <f>"0002"</f>
        <v>0002</v>
      </c>
      <c r="I126" t="s">
        <v>75</v>
      </c>
      <c r="J126">
        <v>0</v>
      </c>
      <c r="K126">
        <v>1</v>
      </c>
      <c r="L126">
        <v>2</v>
      </c>
      <c r="AM126">
        <v>607</v>
      </c>
      <c r="AN126">
        <v>44</v>
      </c>
      <c r="AO126" t="s">
        <v>143</v>
      </c>
      <c r="AP126">
        <v>0</v>
      </c>
      <c r="AR126" t="s">
        <v>201</v>
      </c>
      <c r="AS126" s="1">
        <v>44354.724999999999</v>
      </c>
      <c r="AT126" s="1">
        <v>44354.727175925924</v>
      </c>
      <c r="AU126" s="1">
        <v>44354.727175925924</v>
      </c>
      <c r="AV126" t="s">
        <v>71</v>
      </c>
      <c r="AW126" t="s">
        <v>72</v>
      </c>
      <c r="AX126" t="s">
        <v>73</v>
      </c>
    </row>
    <row r="127" spans="1:50" x14ac:dyDescent="0.3">
      <c r="A127" t="str">
        <f>"201373B0000"</f>
        <v>201373B0000</v>
      </c>
      <c r="B127" t="str">
        <f>"201373B00002"</f>
        <v>201373B00002</v>
      </c>
      <c r="C127" t="str">
        <f t="shared" si="2"/>
        <v>20</v>
      </c>
      <c r="D127" t="s">
        <v>67</v>
      </c>
      <c r="E127" t="str">
        <f t="shared" si="3"/>
        <v>001</v>
      </c>
      <c r="F127" t="s">
        <v>68</v>
      </c>
      <c r="G127" t="str">
        <f>"1373"</f>
        <v>1373</v>
      </c>
      <c r="H127" t="str">
        <f>"0000"</f>
        <v>0000</v>
      </c>
      <c r="I127" t="s">
        <v>69</v>
      </c>
      <c r="J127">
        <v>0</v>
      </c>
      <c r="K127">
        <v>1</v>
      </c>
      <c r="L127">
        <v>2</v>
      </c>
      <c r="M127">
        <v>149</v>
      </c>
      <c r="N127">
        <v>383</v>
      </c>
      <c r="O127">
        <v>0</v>
      </c>
      <c r="P127">
        <v>383</v>
      </c>
      <c r="Q127">
        <v>5</v>
      </c>
      <c r="R127">
        <v>75</v>
      </c>
      <c r="S127">
        <v>1</v>
      </c>
      <c r="T127">
        <v>0</v>
      </c>
      <c r="U127">
        <v>3</v>
      </c>
      <c r="V127">
        <v>0</v>
      </c>
      <c r="W127">
        <v>0</v>
      </c>
      <c r="X127">
        <v>276</v>
      </c>
      <c r="Y127">
        <v>0</v>
      </c>
      <c r="Z127">
        <v>3</v>
      </c>
      <c r="AA127">
        <v>7</v>
      </c>
      <c r="AB127">
        <v>2</v>
      </c>
      <c r="AD127">
        <v>2</v>
      </c>
      <c r="AE127">
        <v>0</v>
      </c>
      <c r="AF127">
        <v>1</v>
      </c>
      <c r="AG127">
        <v>0</v>
      </c>
      <c r="AI127">
        <v>0</v>
      </c>
      <c r="AJ127">
        <v>8</v>
      </c>
      <c r="AK127">
        <v>383</v>
      </c>
      <c r="AL127">
        <v>383</v>
      </c>
      <c r="AM127">
        <v>488</v>
      </c>
      <c r="AN127">
        <v>44</v>
      </c>
      <c r="AP127">
        <v>1</v>
      </c>
      <c r="AR127" t="s">
        <v>202</v>
      </c>
      <c r="AS127" s="1">
        <v>44354.222222222219</v>
      </c>
      <c r="AT127" s="1">
        <v>44354.228437500002</v>
      </c>
      <c r="AU127" s="1">
        <v>44354.23</v>
      </c>
      <c r="AV127" t="s">
        <v>71</v>
      </c>
      <c r="AW127" t="s">
        <v>72</v>
      </c>
      <c r="AX127" t="s">
        <v>73</v>
      </c>
    </row>
    <row r="128" spans="1:50" x14ac:dyDescent="0.3">
      <c r="A128" t="str">
        <f>"201373C0100"</f>
        <v>201373C0100</v>
      </c>
      <c r="B128" t="str">
        <f>"201373C01002"</f>
        <v>201373C01002</v>
      </c>
      <c r="C128" t="str">
        <f t="shared" si="2"/>
        <v>20</v>
      </c>
      <c r="D128" t="s">
        <v>67</v>
      </c>
      <c r="E128" t="str">
        <f t="shared" si="3"/>
        <v>001</v>
      </c>
      <c r="F128" t="s">
        <v>68</v>
      </c>
      <c r="G128" t="str">
        <f>"1373"</f>
        <v>1373</v>
      </c>
      <c r="H128" t="str">
        <f>"0001"</f>
        <v>0001</v>
      </c>
      <c r="I128" t="s">
        <v>75</v>
      </c>
      <c r="J128">
        <v>0</v>
      </c>
      <c r="K128">
        <v>1</v>
      </c>
      <c r="L128">
        <v>2</v>
      </c>
      <c r="M128">
        <v>151</v>
      </c>
      <c r="N128">
        <v>380</v>
      </c>
      <c r="O128">
        <v>2</v>
      </c>
      <c r="P128">
        <v>380</v>
      </c>
      <c r="Q128">
        <v>6</v>
      </c>
      <c r="R128">
        <v>72</v>
      </c>
      <c r="S128">
        <v>0</v>
      </c>
      <c r="T128">
        <v>0</v>
      </c>
      <c r="U128">
        <v>4</v>
      </c>
      <c r="V128">
        <v>3</v>
      </c>
      <c r="W128">
        <v>1</v>
      </c>
      <c r="X128">
        <v>265</v>
      </c>
      <c r="Y128">
        <v>3</v>
      </c>
      <c r="Z128">
        <v>2</v>
      </c>
      <c r="AA128">
        <v>9</v>
      </c>
      <c r="AB128">
        <v>1</v>
      </c>
      <c r="AD128">
        <v>9</v>
      </c>
      <c r="AE128">
        <v>1</v>
      </c>
      <c r="AF128">
        <v>0</v>
      </c>
      <c r="AG128">
        <v>0</v>
      </c>
      <c r="AI128">
        <v>0</v>
      </c>
      <c r="AJ128">
        <v>4</v>
      </c>
      <c r="AK128">
        <v>380</v>
      </c>
      <c r="AL128">
        <v>380</v>
      </c>
      <c r="AM128">
        <v>487</v>
      </c>
      <c r="AN128">
        <v>44</v>
      </c>
      <c r="AP128">
        <v>1</v>
      </c>
      <c r="AR128" t="s">
        <v>203</v>
      </c>
      <c r="AS128" s="1">
        <v>44354.229166666664</v>
      </c>
      <c r="AT128" s="1">
        <v>44354.240451388891</v>
      </c>
      <c r="AU128" s="1">
        <v>44354.240833333337</v>
      </c>
      <c r="AV128" t="s">
        <v>71</v>
      </c>
      <c r="AW128" t="s">
        <v>72</v>
      </c>
      <c r="AX128" t="s">
        <v>73</v>
      </c>
    </row>
    <row r="129" spans="1:50" x14ac:dyDescent="0.3">
      <c r="A129" t="str">
        <f>"201374B0000"</f>
        <v>201374B0000</v>
      </c>
      <c r="B129" t="str">
        <f>"201374B00002"</f>
        <v>201374B00002</v>
      </c>
      <c r="C129" t="str">
        <f t="shared" si="2"/>
        <v>20</v>
      </c>
      <c r="D129" t="s">
        <v>67</v>
      </c>
      <c r="E129" t="str">
        <f t="shared" si="3"/>
        <v>001</v>
      </c>
      <c r="F129" t="s">
        <v>68</v>
      </c>
      <c r="G129" t="str">
        <f>"1374"</f>
        <v>1374</v>
      </c>
      <c r="H129" t="str">
        <f>"0000"</f>
        <v>0000</v>
      </c>
      <c r="I129" t="s">
        <v>69</v>
      </c>
      <c r="J129">
        <v>0</v>
      </c>
      <c r="K129">
        <v>1</v>
      </c>
      <c r="L129">
        <v>2</v>
      </c>
      <c r="M129">
        <v>208</v>
      </c>
      <c r="N129">
        <v>523</v>
      </c>
      <c r="O129">
        <v>1</v>
      </c>
      <c r="P129">
        <v>523</v>
      </c>
      <c r="Q129">
        <v>3</v>
      </c>
      <c r="R129">
        <v>104</v>
      </c>
      <c r="S129">
        <v>5</v>
      </c>
      <c r="T129">
        <v>0</v>
      </c>
      <c r="U129">
        <v>0</v>
      </c>
      <c r="V129">
        <v>6</v>
      </c>
      <c r="W129">
        <v>0</v>
      </c>
      <c r="X129">
        <v>366</v>
      </c>
      <c r="Y129">
        <v>5</v>
      </c>
      <c r="Z129">
        <v>4</v>
      </c>
      <c r="AA129">
        <v>4</v>
      </c>
      <c r="AB129">
        <v>5</v>
      </c>
      <c r="AD129">
        <v>10</v>
      </c>
      <c r="AE129">
        <v>0</v>
      </c>
      <c r="AF129">
        <v>1</v>
      </c>
      <c r="AG129">
        <v>0</v>
      </c>
      <c r="AI129">
        <v>0</v>
      </c>
      <c r="AJ129">
        <v>10</v>
      </c>
      <c r="AK129">
        <v>523</v>
      </c>
      <c r="AL129">
        <v>523</v>
      </c>
      <c r="AM129">
        <v>687</v>
      </c>
      <c r="AN129">
        <v>44</v>
      </c>
      <c r="AP129">
        <v>1</v>
      </c>
      <c r="AR129" t="s">
        <v>204</v>
      </c>
      <c r="AS129" s="1">
        <v>44354.228472222225</v>
      </c>
      <c r="AT129" s="1">
        <v>44354.240370370368</v>
      </c>
      <c r="AU129" s="1">
        <v>44354.240694444445</v>
      </c>
      <c r="AV129" t="s">
        <v>71</v>
      </c>
      <c r="AW129" t="s">
        <v>72</v>
      </c>
      <c r="AX129" t="s">
        <v>73</v>
      </c>
    </row>
    <row r="130" spans="1:50" x14ac:dyDescent="0.3">
      <c r="A130" t="str">
        <f>"201374C0100"</f>
        <v>201374C0100</v>
      </c>
      <c r="B130" t="str">
        <f>"201374C01002"</f>
        <v>201374C01002</v>
      </c>
      <c r="C130" t="str">
        <f t="shared" si="2"/>
        <v>20</v>
      </c>
      <c r="D130" t="s">
        <v>67</v>
      </c>
      <c r="E130" t="str">
        <f t="shared" si="3"/>
        <v>001</v>
      </c>
      <c r="F130" t="s">
        <v>68</v>
      </c>
      <c r="G130" t="str">
        <f>"1374"</f>
        <v>1374</v>
      </c>
      <c r="H130" t="str">
        <f>"0001"</f>
        <v>0001</v>
      </c>
      <c r="I130" t="s">
        <v>75</v>
      </c>
      <c r="J130">
        <v>0</v>
      </c>
      <c r="K130">
        <v>1</v>
      </c>
      <c r="L130">
        <v>2</v>
      </c>
      <c r="M130">
        <v>194</v>
      </c>
      <c r="N130">
        <v>537</v>
      </c>
      <c r="O130">
        <v>0</v>
      </c>
      <c r="P130">
        <v>537</v>
      </c>
      <c r="Q130">
        <v>3</v>
      </c>
      <c r="R130">
        <v>120</v>
      </c>
      <c r="S130">
        <v>4</v>
      </c>
      <c r="T130">
        <v>1</v>
      </c>
      <c r="U130">
        <v>0</v>
      </c>
      <c r="V130">
        <v>2</v>
      </c>
      <c r="W130">
        <v>0</v>
      </c>
      <c r="X130">
        <v>381</v>
      </c>
      <c r="Y130">
        <v>0</v>
      </c>
      <c r="Z130">
        <v>3</v>
      </c>
      <c r="AA130">
        <v>6</v>
      </c>
      <c r="AB130">
        <v>3</v>
      </c>
      <c r="AD130">
        <v>4</v>
      </c>
      <c r="AE130">
        <v>0</v>
      </c>
      <c r="AF130">
        <v>0</v>
      </c>
      <c r="AG130">
        <v>0</v>
      </c>
      <c r="AI130" t="s">
        <v>77</v>
      </c>
      <c r="AJ130">
        <v>10</v>
      </c>
      <c r="AK130">
        <v>537</v>
      </c>
      <c r="AL130">
        <v>537</v>
      </c>
      <c r="AM130">
        <v>687</v>
      </c>
      <c r="AN130">
        <v>44</v>
      </c>
      <c r="AO130" t="s">
        <v>78</v>
      </c>
      <c r="AP130">
        <v>1</v>
      </c>
      <c r="AR130" t="s">
        <v>205</v>
      </c>
      <c r="AS130" s="1">
        <v>44353.927777777775</v>
      </c>
      <c r="AT130" s="1">
        <v>44354.225115740737</v>
      </c>
      <c r="AU130" s="1">
        <v>44354.226145833331</v>
      </c>
      <c r="AV130" t="s">
        <v>71</v>
      </c>
      <c r="AW130" t="s">
        <v>72</v>
      </c>
      <c r="AX130" t="s">
        <v>73</v>
      </c>
    </row>
    <row r="131" spans="1:50" x14ac:dyDescent="0.3">
      <c r="A131" t="str">
        <f>"201375B0000"</f>
        <v>201375B0000</v>
      </c>
      <c r="B131" t="str">
        <f>"201375B00002"</f>
        <v>201375B00002</v>
      </c>
      <c r="C131" t="str">
        <f t="shared" si="2"/>
        <v>20</v>
      </c>
      <c r="D131" t="s">
        <v>67</v>
      </c>
      <c r="E131" t="str">
        <f t="shared" si="3"/>
        <v>001</v>
      </c>
      <c r="F131" t="s">
        <v>68</v>
      </c>
      <c r="G131" t="str">
        <f>"1375"</f>
        <v>1375</v>
      </c>
      <c r="H131" t="str">
        <f>"0000"</f>
        <v>0000</v>
      </c>
      <c r="I131" t="s">
        <v>69</v>
      </c>
      <c r="J131">
        <v>0</v>
      </c>
      <c r="K131">
        <v>1</v>
      </c>
      <c r="L131">
        <v>2</v>
      </c>
      <c r="M131">
        <v>161</v>
      </c>
      <c r="N131">
        <v>382</v>
      </c>
      <c r="O131">
        <v>0</v>
      </c>
      <c r="P131">
        <v>382</v>
      </c>
      <c r="Q131">
        <v>1</v>
      </c>
      <c r="R131">
        <v>104</v>
      </c>
      <c r="S131">
        <v>5</v>
      </c>
      <c r="T131">
        <v>1</v>
      </c>
      <c r="U131">
        <v>1</v>
      </c>
      <c r="V131">
        <v>1</v>
      </c>
      <c r="W131">
        <v>0</v>
      </c>
      <c r="X131">
        <v>254</v>
      </c>
      <c r="Y131">
        <v>1</v>
      </c>
      <c r="Z131">
        <v>1</v>
      </c>
      <c r="AA131">
        <v>5</v>
      </c>
      <c r="AB131">
        <v>2</v>
      </c>
      <c r="AD131">
        <v>5</v>
      </c>
      <c r="AE131">
        <v>0</v>
      </c>
      <c r="AF131">
        <v>0</v>
      </c>
      <c r="AG131">
        <v>0</v>
      </c>
      <c r="AI131">
        <v>0</v>
      </c>
      <c r="AJ131">
        <v>1</v>
      </c>
      <c r="AK131">
        <v>382</v>
      </c>
      <c r="AL131">
        <v>382</v>
      </c>
      <c r="AM131">
        <v>499</v>
      </c>
      <c r="AN131">
        <v>44</v>
      </c>
      <c r="AP131">
        <v>1</v>
      </c>
      <c r="AR131" t="s">
        <v>206</v>
      </c>
      <c r="AS131" s="1">
        <v>44353.916666666664</v>
      </c>
      <c r="AT131" s="1">
        <v>44354.240254629629</v>
      </c>
      <c r="AU131" s="1">
        <v>44354.242361111108</v>
      </c>
      <c r="AV131" t="s">
        <v>71</v>
      </c>
      <c r="AW131" t="s">
        <v>72</v>
      </c>
      <c r="AX131" t="s">
        <v>73</v>
      </c>
    </row>
    <row r="132" spans="1:50" x14ac:dyDescent="0.3">
      <c r="A132" t="str">
        <f>"201375C0100"</f>
        <v>201375C0100</v>
      </c>
      <c r="B132" t="str">
        <f>"201375C01002"</f>
        <v>201375C01002</v>
      </c>
      <c r="C132" t="str">
        <f t="shared" si="2"/>
        <v>20</v>
      </c>
      <c r="D132" t="s">
        <v>67</v>
      </c>
      <c r="E132" t="str">
        <f t="shared" si="3"/>
        <v>001</v>
      </c>
      <c r="F132" t="s">
        <v>68</v>
      </c>
      <c r="G132" t="str">
        <f>"1375"</f>
        <v>1375</v>
      </c>
      <c r="H132" t="str">
        <f>"0001"</f>
        <v>0001</v>
      </c>
      <c r="I132" t="s">
        <v>75</v>
      </c>
      <c r="J132">
        <v>0</v>
      </c>
      <c r="K132">
        <v>1</v>
      </c>
      <c r="L132">
        <v>2</v>
      </c>
      <c r="M132">
        <v>152</v>
      </c>
      <c r="N132">
        <v>391</v>
      </c>
      <c r="O132">
        <v>1</v>
      </c>
      <c r="P132" t="s">
        <v>80</v>
      </c>
      <c r="Q132">
        <v>1</v>
      </c>
      <c r="R132">
        <v>88</v>
      </c>
      <c r="S132">
        <v>1</v>
      </c>
      <c r="T132">
        <v>0</v>
      </c>
      <c r="U132">
        <v>2</v>
      </c>
      <c r="V132">
        <v>2</v>
      </c>
      <c r="W132">
        <v>0</v>
      </c>
      <c r="X132">
        <v>277</v>
      </c>
      <c r="Y132">
        <v>0</v>
      </c>
      <c r="Z132">
        <v>1</v>
      </c>
      <c r="AA132">
        <v>2</v>
      </c>
      <c r="AB132">
        <v>3</v>
      </c>
      <c r="AD132">
        <v>5</v>
      </c>
      <c r="AE132">
        <v>0</v>
      </c>
      <c r="AF132">
        <v>0</v>
      </c>
      <c r="AG132">
        <v>0</v>
      </c>
      <c r="AI132">
        <v>0</v>
      </c>
      <c r="AJ132">
        <v>9</v>
      </c>
      <c r="AK132">
        <v>391</v>
      </c>
      <c r="AL132">
        <v>391</v>
      </c>
      <c r="AM132">
        <v>499</v>
      </c>
      <c r="AN132">
        <v>44</v>
      </c>
      <c r="AP132">
        <v>1</v>
      </c>
      <c r="AR132" t="s">
        <v>207</v>
      </c>
      <c r="AS132" s="1">
        <v>44353.958333333336</v>
      </c>
      <c r="AT132" s="1">
        <v>44354.225682870368</v>
      </c>
      <c r="AU132" s="1">
        <v>44354.226134259261</v>
      </c>
      <c r="AV132" t="s">
        <v>71</v>
      </c>
      <c r="AW132" t="s">
        <v>72</v>
      </c>
      <c r="AX132" t="s">
        <v>73</v>
      </c>
    </row>
    <row r="133" spans="1:50" x14ac:dyDescent="0.3">
      <c r="A133" t="str">
        <f>"201375S0100"</f>
        <v>201375S0100</v>
      </c>
      <c r="B133" t="str">
        <f>"201375S01002EMR"</f>
        <v>201375S01002EMR</v>
      </c>
      <c r="C133" t="str">
        <f t="shared" si="2"/>
        <v>20</v>
      </c>
      <c r="D133" t="s">
        <v>67</v>
      </c>
      <c r="E133" t="str">
        <f t="shared" si="3"/>
        <v>001</v>
      </c>
      <c r="F133" t="s">
        <v>68</v>
      </c>
      <c r="G133" t="str">
        <f>"1375"</f>
        <v>1375</v>
      </c>
      <c r="H133" t="str">
        <f>"0001"</f>
        <v>0001</v>
      </c>
      <c r="I133" t="s">
        <v>85</v>
      </c>
      <c r="J133">
        <v>0</v>
      </c>
      <c r="K133">
        <v>1</v>
      </c>
      <c r="L133" t="s">
        <v>86</v>
      </c>
      <c r="M133">
        <v>907</v>
      </c>
      <c r="N133" t="s">
        <v>99</v>
      </c>
      <c r="O133">
        <v>0</v>
      </c>
      <c r="P133">
        <v>46</v>
      </c>
      <c r="Q133">
        <v>0</v>
      </c>
      <c r="R133">
        <v>18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22</v>
      </c>
      <c r="Y133">
        <v>1</v>
      </c>
      <c r="Z133">
        <v>0</v>
      </c>
      <c r="AA133">
        <v>0</v>
      </c>
      <c r="AB133">
        <v>1</v>
      </c>
      <c r="AD133">
        <v>0</v>
      </c>
      <c r="AE133">
        <v>0</v>
      </c>
      <c r="AF133">
        <v>0</v>
      </c>
      <c r="AG133">
        <v>0</v>
      </c>
      <c r="AI133">
        <v>0</v>
      </c>
      <c r="AJ133">
        <v>4</v>
      </c>
      <c r="AK133">
        <v>46</v>
      </c>
      <c r="AL133">
        <v>46</v>
      </c>
      <c r="AM133">
        <v>0</v>
      </c>
      <c r="AN133">
        <v>44</v>
      </c>
      <c r="AP133">
        <v>1</v>
      </c>
      <c r="AR133" t="s">
        <v>208</v>
      </c>
      <c r="AS133" s="1">
        <v>44354.232638888891</v>
      </c>
      <c r="AT133" s="1">
        <v>44354.726446759261</v>
      </c>
      <c r="AU133" s="1">
        <v>44354.728125000001</v>
      </c>
      <c r="AV133" t="s">
        <v>71</v>
      </c>
      <c r="AW133" t="s">
        <v>72</v>
      </c>
      <c r="AX133" t="s">
        <v>73</v>
      </c>
    </row>
    <row r="134" spans="1:50" x14ac:dyDescent="0.3">
      <c r="A134" t="str">
        <f>"201376B0000"</f>
        <v>201376B0000</v>
      </c>
      <c r="B134" t="str">
        <f>"201376B00002"</f>
        <v>201376B00002</v>
      </c>
      <c r="C134" t="str">
        <f t="shared" si="2"/>
        <v>20</v>
      </c>
      <c r="D134" t="s">
        <v>67</v>
      </c>
      <c r="E134" t="str">
        <f t="shared" si="3"/>
        <v>001</v>
      </c>
      <c r="F134" t="s">
        <v>68</v>
      </c>
      <c r="G134" t="str">
        <f>"1376"</f>
        <v>1376</v>
      </c>
      <c r="H134" t="str">
        <f>"0000"</f>
        <v>0000</v>
      </c>
      <c r="I134" t="s">
        <v>69</v>
      </c>
      <c r="J134">
        <v>0</v>
      </c>
      <c r="K134">
        <v>1</v>
      </c>
      <c r="L134">
        <v>2</v>
      </c>
      <c r="M134">
        <v>153</v>
      </c>
      <c r="N134">
        <v>390</v>
      </c>
      <c r="O134">
        <v>2</v>
      </c>
      <c r="P134">
        <v>392</v>
      </c>
      <c r="Q134">
        <v>2</v>
      </c>
      <c r="R134">
        <v>85</v>
      </c>
      <c r="S134">
        <v>1</v>
      </c>
      <c r="T134" t="s">
        <v>77</v>
      </c>
      <c r="U134">
        <v>3</v>
      </c>
      <c r="V134">
        <v>1</v>
      </c>
      <c r="W134">
        <v>1</v>
      </c>
      <c r="X134">
        <v>274</v>
      </c>
      <c r="Y134">
        <v>2</v>
      </c>
      <c r="Z134">
        <v>4</v>
      </c>
      <c r="AA134">
        <v>7</v>
      </c>
      <c r="AB134">
        <v>1</v>
      </c>
      <c r="AD134">
        <v>6</v>
      </c>
      <c r="AE134" t="s">
        <v>77</v>
      </c>
      <c r="AF134" t="s">
        <v>77</v>
      </c>
      <c r="AG134" t="s">
        <v>77</v>
      </c>
      <c r="AI134" t="s">
        <v>77</v>
      </c>
      <c r="AJ134">
        <v>5</v>
      </c>
      <c r="AK134">
        <v>392</v>
      </c>
      <c r="AL134">
        <v>392</v>
      </c>
      <c r="AM134">
        <v>501</v>
      </c>
      <c r="AN134">
        <v>44</v>
      </c>
      <c r="AO134" t="s">
        <v>78</v>
      </c>
      <c r="AP134">
        <v>1</v>
      </c>
      <c r="AR134" t="s">
        <v>209</v>
      </c>
      <c r="AS134" s="1">
        <v>44353.895833333336</v>
      </c>
      <c r="AT134" s="1">
        <v>44354.240567129629</v>
      </c>
      <c r="AU134" s="1">
        <v>44354.240798611114</v>
      </c>
      <c r="AV134" t="s">
        <v>71</v>
      </c>
      <c r="AW134" t="s">
        <v>72</v>
      </c>
      <c r="AX134" t="s">
        <v>73</v>
      </c>
    </row>
    <row r="135" spans="1:50" x14ac:dyDescent="0.3">
      <c r="A135" t="str">
        <f>"201376C0100"</f>
        <v>201376C0100</v>
      </c>
      <c r="B135" t="str">
        <f>"201376C01002"</f>
        <v>201376C01002</v>
      </c>
      <c r="C135" t="str">
        <f t="shared" ref="C135:C198" si="4">"20"</f>
        <v>20</v>
      </c>
      <c r="D135" t="s">
        <v>67</v>
      </c>
      <c r="E135" t="str">
        <f t="shared" ref="E135:E198" si="5">"001"</f>
        <v>001</v>
      </c>
      <c r="F135" t="s">
        <v>68</v>
      </c>
      <c r="G135" t="str">
        <f>"1376"</f>
        <v>1376</v>
      </c>
      <c r="H135" t="str">
        <f>"0001"</f>
        <v>0001</v>
      </c>
      <c r="I135" t="s">
        <v>75</v>
      </c>
      <c r="J135">
        <v>0</v>
      </c>
      <c r="K135">
        <v>1</v>
      </c>
      <c r="L135">
        <v>2</v>
      </c>
      <c r="M135">
        <v>143</v>
      </c>
      <c r="N135">
        <v>402</v>
      </c>
      <c r="O135">
        <v>0</v>
      </c>
      <c r="P135" t="s">
        <v>80</v>
      </c>
      <c r="Q135">
        <v>0</v>
      </c>
      <c r="R135">
        <v>95</v>
      </c>
      <c r="S135">
        <v>2</v>
      </c>
      <c r="T135">
        <v>2</v>
      </c>
      <c r="U135">
        <v>2</v>
      </c>
      <c r="V135">
        <v>4</v>
      </c>
      <c r="W135">
        <v>0</v>
      </c>
      <c r="X135">
        <v>279</v>
      </c>
      <c r="Y135">
        <v>3</v>
      </c>
      <c r="Z135">
        <v>1</v>
      </c>
      <c r="AA135">
        <v>2</v>
      </c>
      <c r="AB135">
        <v>2</v>
      </c>
      <c r="AD135">
        <v>3</v>
      </c>
      <c r="AE135">
        <v>0</v>
      </c>
      <c r="AF135">
        <v>0</v>
      </c>
      <c r="AG135">
        <v>0</v>
      </c>
      <c r="AI135">
        <v>0</v>
      </c>
      <c r="AJ135">
        <v>7</v>
      </c>
      <c r="AK135">
        <v>402</v>
      </c>
      <c r="AL135">
        <v>402</v>
      </c>
      <c r="AM135">
        <v>501</v>
      </c>
      <c r="AN135">
        <v>44</v>
      </c>
      <c r="AP135">
        <v>1</v>
      </c>
      <c r="AR135" t="s">
        <v>210</v>
      </c>
      <c r="AS135" s="1">
        <v>44354.232638888891</v>
      </c>
      <c r="AT135" s="1">
        <v>44354.240925925929</v>
      </c>
      <c r="AU135" s="1">
        <v>44354.241435185184</v>
      </c>
      <c r="AV135" t="s">
        <v>71</v>
      </c>
      <c r="AW135" t="s">
        <v>72</v>
      </c>
      <c r="AX135" t="s">
        <v>73</v>
      </c>
    </row>
    <row r="136" spans="1:50" x14ac:dyDescent="0.3">
      <c r="A136" t="str">
        <f>"201377B0000"</f>
        <v>201377B0000</v>
      </c>
      <c r="B136" t="str">
        <f>"201377B00002"</f>
        <v>201377B00002</v>
      </c>
      <c r="C136" t="str">
        <f t="shared" si="4"/>
        <v>20</v>
      </c>
      <c r="D136" t="s">
        <v>67</v>
      </c>
      <c r="E136" t="str">
        <f t="shared" si="5"/>
        <v>001</v>
      </c>
      <c r="F136" t="s">
        <v>68</v>
      </c>
      <c r="G136" t="str">
        <f>"1377"</f>
        <v>1377</v>
      </c>
      <c r="H136" t="str">
        <f>"0000"</f>
        <v>0000</v>
      </c>
      <c r="I136" t="s">
        <v>69</v>
      </c>
      <c r="J136">
        <v>0</v>
      </c>
      <c r="K136">
        <v>1</v>
      </c>
      <c r="L136">
        <v>2</v>
      </c>
      <c r="M136">
        <v>179</v>
      </c>
      <c r="N136">
        <v>520</v>
      </c>
      <c r="O136">
        <v>0</v>
      </c>
      <c r="P136">
        <v>520</v>
      </c>
      <c r="Q136">
        <v>6</v>
      </c>
      <c r="R136">
        <v>74</v>
      </c>
      <c r="S136">
        <v>5</v>
      </c>
      <c r="T136">
        <v>2</v>
      </c>
      <c r="U136">
        <v>3</v>
      </c>
      <c r="V136">
        <v>6</v>
      </c>
      <c r="W136">
        <v>1</v>
      </c>
      <c r="X136">
        <v>394</v>
      </c>
      <c r="Y136" t="s">
        <v>77</v>
      </c>
      <c r="Z136">
        <v>5</v>
      </c>
      <c r="AA136">
        <v>14</v>
      </c>
      <c r="AB136">
        <v>4</v>
      </c>
      <c r="AD136">
        <v>0</v>
      </c>
      <c r="AE136">
        <v>0</v>
      </c>
      <c r="AF136">
        <v>0</v>
      </c>
      <c r="AG136">
        <v>0</v>
      </c>
      <c r="AI136">
        <v>0</v>
      </c>
      <c r="AJ136">
        <v>6</v>
      </c>
      <c r="AK136">
        <v>520</v>
      </c>
      <c r="AL136">
        <v>520</v>
      </c>
      <c r="AM136">
        <v>655</v>
      </c>
      <c r="AN136">
        <v>44</v>
      </c>
      <c r="AO136" t="s">
        <v>78</v>
      </c>
      <c r="AP136">
        <v>1</v>
      </c>
      <c r="AR136" t="s">
        <v>211</v>
      </c>
      <c r="AS136" s="1">
        <v>44353.916666666664</v>
      </c>
      <c r="AT136" s="1">
        <v>44354.216956018521</v>
      </c>
      <c r="AU136" s="1">
        <v>44354.217442129629</v>
      </c>
      <c r="AV136" t="s">
        <v>71</v>
      </c>
      <c r="AW136" t="s">
        <v>72</v>
      </c>
      <c r="AX136" t="s">
        <v>73</v>
      </c>
    </row>
    <row r="137" spans="1:50" x14ac:dyDescent="0.3">
      <c r="A137" t="str">
        <f>"201377C0100"</f>
        <v>201377C0100</v>
      </c>
      <c r="B137" t="str">
        <f>"201377C01002"</f>
        <v>201377C01002</v>
      </c>
      <c r="C137" t="str">
        <f t="shared" si="4"/>
        <v>20</v>
      </c>
      <c r="D137" t="s">
        <v>67</v>
      </c>
      <c r="E137" t="str">
        <f t="shared" si="5"/>
        <v>001</v>
      </c>
      <c r="F137" t="s">
        <v>68</v>
      </c>
      <c r="G137" t="str">
        <f>"1377"</f>
        <v>1377</v>
      </c>
      <c r="H137" t="str">
        <f>"0001"</f>
        <v>0001</v>
      </c>
      <c r="I137" t="s">
        <v>75</v>
      </c>
      <c r="J137">
        <v>0</v>
      </c>
      <c r="K137">
        <v>1</v>
      </c>
      <c r="L137">
        <v>2</v>
      </c>
      <c r="M137">
        <v>192</v>
      </c>
      <c r="N137">
        <v>507</v>
      </c>
      <c r="O137">
        <v>0</v>
      </c>
      <c r="P137">
        <v>507</v>
      </c>
      <c r="Q137">
        <v>7</v>
      </c>
      <c r="R137">
        <v>92</v>
      </c>
      <c r="S137">
        <v>1</v>
      </c>
      <c r="T137">
        <v>2</v>
      </c>
      <c r="U137">
        <v>2</v>
      </c>
      <c r="V137">
        <v>2</v>
      </c>
      <c r="W137">
        <v>3</v>
      </c>
      <c r="X137">
        <v>372</v>
      </c>
      <c r="Y137">
        <v>2</v>
      </c>
      <c r="Z137">
        <v>2</v>
      </c>
      <c r="AA137">
        <v>7</v>
      </c>
      <c r="AB137">
        <v>3</v>
      </c>
      <c r="AD137">
        <v>0</v>
      </c>
      <c r="AE137">
        <v>0</v>
      </c>
      <c r="AF137">
        <v>0</v>
      </c>
      <c r="AG137">
        <v>0</v>
      </c>
      <c r="AI137">
        <v>0</v>
      </c>
      <c r="AJ137" t="s">
        <v>99</v>
      </c>
      <c r="AK137">
        <v>0</v>
      </c>
      <c r="AL137">
        <v>495</v>
      </c>
      <c r="AM137">
        <v>655</v>
      </c>
      <c r="AN137">
        <v>44</v>
      </c>
      <c r="AO137" t="s">
        <v>78</v>
      </c>
      <c r="AP137">
        <v>1</v>
      </c>
      <c r="AR137" t="s">
        <v>212</v>
      </c>
      <c r="AS137" s="1">
        <v>44353.958333333336</v>
      </c>
      <c r="AT137" s="1">
        <v>44354.216678240744</v>
      </c>
      <c r="AU137" s="1">
        <v>44354.217083333337</v>
      </c>
      <c r="AV137" t="s">
        <v>71</v>
      </c>
      <c r="AW137" t="s">
        <v>72</v>
      </c>
      <c r="AX137" t="s">
        <v>73</v>
      </c>
    </row>
    <row r="138" spans="1:50" x14ac:dyDescent="0.3">
      <c r="A138" t="str">
        <f>"201377E0100"</f>
        <v>201377E0100</v>
      </c>
      <c r="B138" t="str">
        <f>"201377E01002"</f>
        <v>201377E01002</v>
      </c>
      <c r="C138" t="str">
        <f t="shared" si="4"/>
        <v>20</v>
      </c>
      <c r="D138" t="s">
        <v>67</v>
      </c>
      <c r="E138" t="str">
        <f t="shared" si="5"/>
        <v>001</v>
      </c>
      <c r="F138" t="s">
        <v>68</v>
      </c>
      <c r="G138" t="str">
        <f>"1377"</f>
        <v>1377</v>
      </c>
      <c r="H138" t="str">
        <f>"0001"</f>
        <v>0001</v>
      </c>
      <c r="I138" t="s">
        <v>109</v>
      </c>
      <c r="J138">
        <v>0</v>
      </c>
      <c r="K138">
        <v>1</v>
      </c>
      <c r="L138">
        <v>2</v>
      </c>
      <c r="M138">
        <v>135</v>
      </c>
      <c r="N138">
        <v>265</v>
      </c>
      <c r="O138">
        <v>0</v>
      </c>
      <c r="P138">
        <v>265</v>
      </c>
      <c r="Q138">
        <v>8</v>
      </c>
      <c r="R138">
        <v>32</v>
      </c>
      <c r="S138">
        <v>6</v>
      </c>
      <c r="T138">
        <v>0</v>
      </c>
      <c r="U138">
        <v>4</v>
      </c>
      <c r="V138">
        <v>1</v>
      </c>
      <c r="W138">
        <v>0</v>
      </c>
      <c r="X138">
        <v>199</v>
      </c>
      <c r="Y138">
        <v>0</v>
      </c>
      <c r="Z138">
        <v>0</v>
      </c>
      <c r="AA138">
        <v>7</v>
      </c>
      <c r="AB138">
        <v>7</v>
      </c>
      <c r="AD138">
        <v>0</v>
      </c>
      <c r="AE138">
        <v>0</v>
      </c>
      <c r="AF138">
        <v>0</v>
      </c>
      <c r="AG138">
        <v>0</v>
      </c>
      <c r="AI138">
        <v>0</v>
      </c>
      <c r="AJ138">
        <v>1</v>
      </c>
      <c r="AK138">
        <v>265</v>
      </c>
      <c r="AL138">
        <v>265</v>
      </c>
      <c r="AM138">
        <v>356</v>
      </c>
      <c r="AN138">
        <v>44</v>
      </c>
      <c r="AP138">
        <v>1</v>
      </c>
      <c r="AR138" t="s">
        <v>213</v>
      </c>
      <c r="AS138" s="1">
        <v>44353.833333333336</v>
      </c>
      <c r="AT138" s="1">
        <v>44354.216979166667</v>
      </c>
      <c r="AU138" s="1">
        <v>44354.217395833337</v>
      </c>
      <c r="AV138" t="s">
        <v>71</v>
      </c>
      <c r="AW138" t="s">
        <v>72</v>
      </c>
      <c r="AX138" t="s">
        <v>73</v>
      </c>
    </row>
    <row r="139" spans="1:50" x14ac:dyDescent="0.3">
      <c r="A139" t="str">
        <f>"201378B0000"</f>
        <v>201378B0000</v>
      </c>
      <c r="B139" t="str">
        <f>"201378B00002"</f>
        <v>201378B00002</v>
      </c>
      <c r="C139" t="str">
        <f t="shared" si="4"/>
        <v>20</v>
      </c>
      <c r="D139" t="s">
        <v>67</v>
      </c>
      <c r="E139" t="str">
        <f t="shared" si="5"/>
        <v>001</v>
      </c>
      <c r="F139" t="s">
        <v>68</v>
      </c>
      <c r="G139" t="str">
        <f>"1378"</f>
        <v>1378</v>
      </c>
      <c r="H139" t="str">
        <f>"0000"</f>
        <v>0000</v>
      </c>
      <c r="I139" t="s">
        <v>69</v>
      </c>
      <c r="J139">
        <v>0</v>
      </c>
      <c r="K139">
        <v>1</v>
      </c>
      <c r="L139">
        <v>2</v>
      </c>
      <c r="M139">
        <v>69</v>
      </c>
      <c r="N139">
        <v>135</v>
      </c>
      <c r="O139">
        <v>2</v>
      </c>
      <c r="P139">
        <v>135</v>
      </c>
      <c r="Q139">
        <v>0</v>
      </c>
      <c r="R139">
        <v>29</v>
      </c>
      <c r="S139">
        <v>1</v>
      </c>
      <c r="T139">
        <v>0</v>
      </c>
      <c r="U139">
        <v>0</v>
      </c>
      <c r="V139">
        <v>0</v>
      </c>
      <c r="W139">
        <v>0</v>
      </c>
      <c r="X139">
        <v>93</v>
      </c>
      <c r="Y139">
        <v>0</v>
      </c>
      <c r="Z139">
        <v>2</v>
      </c>
      <c r="AA139">
        <v>2</v>
      </c>
      <c r="AB139">
        <v>1</v>
      </c>
      <c r="AD139">
        <v>0</v>
      </c>
      <c r="AE139">
        <v>0</v>
      </c>
      <c r="AF139">
        <v>0</v>
      </c>
      <c r="AG139">
        <v>0</v>
      </c>
      <c r="AI139">
        <v>0</v>
      </c>
      <c r="AJ139">
        <v>7</v>
      </c>
      <c r="AK139">
        <v>135</v>
      </c>
      <c r="AL139">
        <v>135</v>
      </c>
      <c r="AM139">
        <v>160</v>
      </c>
      <c r="AN139">
        <v>44</v>
      </c>
      <c r="AP139">
        <v>1</v>
      </c>
      <c r="AR139" t="s">
        <v>214</v>
      </c>
      <c r="AS139" s="1">
        <v>44354.23333333333</v>
      </c>
      <c r="AT139" s="1">
        <v>44354.240254629629</v>
      </c>
      <c r="AU139" s="1">
        <v>44354.24077546296</v>
      </c>
      <c r="AV139" t="s">
        <v>71</v>
      </c>
      <c r="AW139" t="s">
        <v>72</v>
      </c>
      <c r="AX139" t="s">
        <v>73</v>
      </c>
    </row>
    <row r="140" spans="1:50" x14ac:dyDescent="0.3">
      <c r="A140" t="str">
        <f>"201378E0100"</f>
        <v>201378E0100</v>
      </c>
      <c r="B140" t="str">
        <f>"201378E01002"</f>
        <v>201378E01002</v>
      </c>
      <c r="C140" t="str">
        <f t="shared" si="4"/>
        <v>20</v>
      </c>
      <c r="D140" t="s">
        <v>67</v>
      </c>
      <c r="E140" t="str">
        <f t="shared" si="5"/>
        <v>001</v>
      </c>
      <c r="F140" t="s">
        <v>68</v>
      </c>
      <c r="G140" t="str">
        <f>"1378"</f>
        <v>1378</v>
      </c>
      <c r="H140" t="str">
        <f>"0001"</f>
        <v>0001</v>
      </c>
      <c r="I140" t="s">
        <v>109</v>
      </c>
      <c r="J140">
        <v>0</v>
      </c>
      <c r="K140">
        <v>1</v>
      </c>
      <c r="L140">
        <v>2</v>
      </c>
      <c r="M140">
        <v>100</v>
      </c>
      <c r="N140">
        <v>244</v>
      </c>
      <c r="O140">
        <v>5</v>
      </c>
      <c r="P140">
        <v>244</v>
      </c>
      <c r="Q140">
        <v>0</v>
      </c>
      <c r="R140">
        <v>179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53</v>
      </c>
      <c r="Y140">
        <v>2</v>
      </c>
      <c r="Z140">
        <v>2</v>
      </c>
      <c r="AA140">
        <v>3</v>
      </c>
      <c r="AB140">
        <v>0</v>
      </c>
      <c r="AD140">
        <v>0</v>
      </c>
      <c r="AE140">
        <v>0</v>
      </c>
      <c r="AF140">
        <v>0</v>
      </c>
      <c r="AG140">
        <v>0</v>
      </c>
      <c r="AI140">
        <v>0</v>
      </c>
      <c r="AJ140">
        <v>5</v>
      </c>
      <c r="AK140">
        <v>244</v>
      </c>
      <c r="AL140">
        <v>244</v>
      </c>
      <c r="AM140">
        <v>300</v>
      </c>
      <c r="AN140">
        <v>44</v>
      </c>
      <c r="AP140">
        <v>1</v>
      </c>
      <c r="AR140" t="s">
        <v>215</v>
      </c>
      <c r="AS140" s="1">
        <v>44353.768055555556</v>
      </c>
      <c r="AT140" s="1">
        <v>44354.239305555559</v>
      </c>
      <c r="AU140" s="1">
        <v>44354.24009259259</v>
      </c>
      <c r="AV140" t="s">
        <v>71</v>
      </c>
      <c r="AW140" t="s">
        <v>72</v>
      </c>
      <c r="AX140" t="s">
        <v>73</v>
      </c>
    </row>
    <row r="141" spans="1:50" x14ac:dyDescent="0.3">
      <c r="A141" t="str">
        <f>"201379B0000"</f>
        <v>201379B0000</v>
      </c>
      <c r="B141" t="str">
        <f>"201379B00002"</f>
        <v>201379B00002</v>
      </c>
      <c r="C141" t="str">
        <f t="shared" si="4"/>
        <v>20</v>
      </c>
      <c r="D141" t="s">
        <v>67</v>
      </c>
      <c r="E141" t="str">
        <f t="shared" si="5"/>
        <v>001</v>
      </c>
      <c r="F141" t="s">
        <v>68</v>
      </c>
      <c r="G141" t="str">
        <f>"1379"</f>
        <v>1379</v>
      </c>
      <c r="H141" t="str">
        <f>"0000"</f>
        <v>0000</v>
      </c>
      <c r="I141" t="s">
        <v>69</v>
      </c>
      <c r="J141">
        <v>0</v>
      </c>
      <c r="K141">
        <v>1</v>
      </c>
      <c r="L141">
        <v>2</v>
      </c>
      <c r="M141">
        <v>157</v>
      </c>
      <c r="N141">
        <v>538</v>
      </c>
      <c r="O141">
        <v>0</v>
      </c>
      <c r="P141">
        <v>538</v>
      </c>
      <c r="Q141">
        <v>2</v>
      </c>
      <c r="R141">
        <v>242</v>
      </c>
      <c r="S141">
        <v>0</v>
      </c>
      <c r="T141">
        <v>1</v>
      </c>
      <c r="U141">
        <v>1</v>
      </c>
      <c r="V141">
        <v>4</v>
      </c>
      <c r="W141">
        <v>1</v>
      </c>
      <c r="X141">
        <v>251</v>
      </c>
      <c r="Y141">
        <v>2</v>
      </c>
      <c r="Z141">
        <v>4</v>
      </c>
      <c r="AA141">
        <v>12</v>
      </c>
      <c r="AB141">
        <v>6</v>
      </c>
      <c r="AD141">
        <v>8</v>
      </c>
      <c r="AE141">
        <v>2</v>
      </c>
      <c r="AF141">
        <v>0</v>
      </c>
      <c r="AG141">
        <v>0</v>
      </c>
      <c r="AI141">
        <v>0</v>
      </c>
      <c r="AJ141">
        <v>0</v>
      </c>
      <c r="AK141">
        <v>2</v>
      </c>
      <c r="AL141">
        <v>536</v>
      </c>
      <c r="AM141">
        <v>651</v>
      </c>
      <c r="AN141">
        <v>44</v>
      </c>
      <c r="AP141">
        <v>1</v>
      </c>
      <c r="AR141" t="s">
        <v>216</v>
      </c>
      <c r="AS141" s="1">
        <v>44354.231249999997</v>
      </c>
      <c r="AT141" s="1">
        <v>44354.239756944444</v>
      </c>
      <c r="AU141" s="1">
        <v>44354.240243055552</v>
      </c>
      <c r="AV141" t="s">
        <v>71</v>
      </c>
      <c r="AW141" t="s">
        <v>72</v>
      </c>
      <c r="AX141" t="s">
        <v>73</v>
      </c>
    </row>
    <row r="142" spans="1:50" x14ac:dyDescent="0.3">
      <c r="A142" t="str">
        <f>"201379E0100"</f>
        <v>201379E0100</v>
      </c>
      <c r="B142" t="str">
        <f>"201379E01002"</f>
        <v>201379E01002</v>
      </c>
      <c r="C142" t="str">
        <f t="shared" si="4"/>
        <v>20</v>
      </c>
      <c r="D142" t="s">
        <v>67</v>
      </c>
      <c r="E142" t="str">
        <f t="shared" si="5"/>
        <v>001</v>
      </c>
      <c r="F142" t="s">
        <v>68</v>
      </c>
      <c r="G142" t="str">
        <f>"1379"</f>
        <v>1379</v>
      </c>
      <c r="H142" t="str">
        <f>"0001"</f>
        <v>0001</v>
      </c>
      <c r="I142" t="s">
        <v>109</v>
      </c>
      <c r="J142">
        <v>0</v>
      </c>
      <c r="K142">
        <v>1</v>
      </c>
      <c r="L142">
        <v>2</v>
      </c>
      <c r="M142">
        <v>124</v>
      </c>
      <c r="N142">
        <v>493</v>
      </c>
      <c r="O142">
        <v>0</v>
      </c>
      <c r="P142">
        <v>493</v>
      </c>
      <c r="Q142">
        <v>7</v>
      </c>
      <c r="R142">
        <v>273</v>
      </c>
      <c r="S142">
        <v>1</v>
      </c>
      <c r="T142">
        <v>0</v>
      </c>
      <c r="U142">
        <v>4</v>
      </c>
      <c r="V142">
        <v>2</v>
      </c>
      <c r="W142">
        <v>0</v>
      </c>
      <c r="X142">
        <v>191</v>
      </c>
      <c r="Y142">
        <v>1</v>
      </c>
      <c r="Z142">
        <v>1</v>
      </c>
      <c r="AA142">
        <v>5</v>
      </c>
      <c r="AB142">
        <v>4</v>
      </c>
      <c r="AD142">
        <v>2</v>
      </c>
      <c r="AE142">
        <v>1</v>
      </c>
      <c r="AF142">
        <v>0</v>
      </c>
      <c r="AG142">
        <v>0</v>
      </c>
      <c r="AI142">
        <v>0</v>
      </c>
      <c r="AJ142">
        <v>1</v>
      </c>
      <c r="AK142">
        <v>493</v>
      </c>
      <c r="AL142">
        <v>493</v>
      </c>
      <c r="AM142">
        <v>573</v>
      </c>
      <c r="AN142">
        <v>44</v>
      </c>
      <c r="AP142">
        <v>1</v>
      </c>
      <c r="AR142" t="s">
        <v>217</v>
      </c>
      <c r="AS142" s="1">
        <v>44354.227777777778</v>
      </c>
      <c r="AT142" s="1">
        <v>44354.240115740744</v>
      </c>
      <c r="AU142" s="1">
        <v>44354.240914351853</v>
      </c>
      <c r="AV142" t="s">
        <v>71</v>
      </c>
      <c r="AW142" t="s">
        <v>72</v>
      </c>
      <c r="AX142" t="s">
        <v>73</v>
      </c>
    </row>
    <row r="143" spans="1:50" x14ac:dyDescent="0.3">
      <c r="A143" t="str">
        <f>"201379E0200"</f>
        <v>201379E0200</v>
      </c>
      <c r="B143" t="str">
        <f>"201379E02002"</f>
        <v>201379E02002</v>
      </c>
      <c r="C143" t="str">
        <f t="shared" si="4"/>
        <v>20</v>
      </c>
      <c r="D143" t="s">
        <v>67</v>
      </c>
      <c r="E143" t="str">
        <f t="shared" si="5"/>
        <v>001</v>
      </c>
      <c r="F143" t="s">
        <v>68</v>
      </c>
      <c r="G143" t="str">
        <f>"1379"</f>
        <v>1379</v>
      </c>
      <c r="H143" t="str">
        <f>"0002"</f>
        <v>0002</v>
      </c>
      <c r="I143" t="s">
        <v>109</v>
      </c>
      <c r="J143">
        <v>0</v>
      </c>
      <c r="K143">
        <v>1</v>
      </c>
      <c r="L143">
        <v>2</v>
      </c>
      <c r="M143">
        <v>66</v>
      </c>
      <c r="N143">
        <v>234</v>
      </c>
      <c r="O143">
        <v>0</v>
      </c>
      <c r="P143">
        <v>234</v>
      </c>
      <c r="Q143">
        <v>3</v>
      </c>
      <c r="R143">
        <v>142</v>
      </c>
      <c r="S143">
        <v>2</v>
      </c>
      <c r="T143">
        <v>0</v>
      </c>
      <c r="U143">
        <v>1</v>
      </c>
      <c r="V143">
        <v>2</v>
      </c>
      <c r="W143">
        <v>0</v>
      </c>
      <c r="X143">
        <v>79</v>
      </c>
      <c r="Y143">
        <v>0</v>
      </c>
      <c r="Z143">
        <v>0</v>
      </c>
      <c r="AA143">
        <v>1</v>
      </c>
      <c r="AB143">
        <v>1</v>
      </c>
      <c r="AD143">
        <v>2</v>
      </c>
      <c r="AE143">
        <v>0</v>
      </c>
      <c r="AF143">
        <v>0</v>
      </c>
      <c r="AG143">
        <v>0</v>
      </c>
      <c r="AI143">
        <v>0</v>
      </c>
      <c r="AJ143">
        <v>1</v>
      </c>
      <c r="AK143">
        <v>234</v>
      </c>
      <c r="AL143">
        <v>234</v>
      </c>
      <c r="AM143">
        <v>256</v>
      </c>
      <c r="AN143">
        <v>44</v>
      </c>
      <c r="AP143">
        <v>1</v>
      </c>
      <c r="AR143" t="s">
        <v>218</v>
      </c>
      <c r="AS143" s="1">
        <v>44354.227777777778</v>
      </c>
      <c r="AT143" s="1">
        <v>44354.239363425928</v>
      </c>
      <c r="AU143" s="1">
        <v>44354.239641203705</v>
      </c>
      <c r="AV143" t="s">
        <v>71</v>
      </c>
      <c r="AW143" t="s">
        <v>72</v>
      </c>
      <c r="AX143" t="s">
        <v>73</v>
      </c>
    </row>
    <row r="144" spans="1:50" x14ac:dyDescent="0.3">
      <c r="A144" t="str">
        <f>"201380B0000"</f>
        <v>201380B0000</v>
      </c>
      <c r="B144" t="str">
        <f>"201380B00002"</f>
        <v>201380B00002</v>
      </c>
      <c r="C144" t="str">
        <f t="shared" si="4"/>
        <v>20</v>
      </c>
      <c r="D144" t="s">
        <v>67</v>
      </c>
      <c r="E144" t="str">
        <f t="shared" si="5"/>
        <v>001</v>
      </c>
      <c r="F144" t="s">
        <v>68</v>
      </c>
      <c r="G144" t="str">
        <f>"1380"</f>
        <v>1380</v>
      </c>
      <c r="H144" t="str">
        <f>"0000"</f>
        <v>0000</v>
      </c>
      <c r="I144" t="s">
        <v>69</v>
      </c>
      <c r="J144">
        <v>0</v>
      </c>
      <c r="K144">
        <v>1</v>
      </c>
      <c r="L144">
        <v>2</v>
      </c>
      <c r="M144">
        <v>178</v>
      </c>
      <c r="N144">
        <v>467</v>
      </c>
      <c r="O144">
        <v>4</v>
      </c>
      <c r="P144" t="s">
        <v>80</v>
      </c>
      <c r="Q144">
        <v>2</v>
      </c>
      <c r="R144">
        <v>293</v>
      </c>
      <c r="S144">
        <v>2</v>
      </c>
      <c r="T144">
        <v>0</v>
      </c>
      <c r="U144">
        <v>0</v>
      </c>
      <c r="V144">
        <v>2</v>
      </c>
      <c r="W144">
        <v>1</v>
      </c>
      <c r="X144">
        <v>145</v>
      </c>
      <c r="Y144">
        <v>0</v>
      </c>
      <c r="Z144">
        <v>2</v>
      </c>
      <c r="AA144">
        <v>6</v>
      </c>
      <c r="AB144">
        <v>4</v>
      </c>
      <c r="AD144">
        <v>1</v>
      </c>
      <c r="AE144">
        <v>0</v>
      </c>
      <c r="AF144">
        <v>0</v>
      </c>
      <c r="AG144">
        <v>0</v>
      </c>
      <c r="AI144">
        <v>0</v>
      </c>
      <c r="AJ144">
        <v>6</v>
      </c>
      <c r="AK144">
        <v>467</v>
      </c>
      <c r="AL144">
        <v>464</v>
      </c>
      <c r="AM144">
        <v>601</v>
      </c>
      <c r="AN144">
        <v>44</v>
      </c>
      <c r="AP144">
        <v>1</v>
      </c>
      <c r="AR144" t="s">
        <v>219</v>
      </c>
      <c r="AS144" s="1">
        <v>44354.192361111112</v>
      </c>
      <c r="AT144" s="1">
        <v>44354.195590277777</v>
      </c>
      <c r="AU144" s="1">
        <v>44354.196527777778</v>
      </c>
      <c r="AV144" t="s">
        <v>71</v>
      </c>
      <c r="AW144" t="s">
        <v>72</v>
      </c>
      <c r="AX144" t="s">
        <v>73</v>
      </c>
    </row>
    <row r="145" spans="1:50" x14ac:dyDescent="0.3">
      <c r="A145" t="str">
        <f>"201380E0100"</f>
        <v>201380E0100</v>
      </c>
      <c r="B145" t="str">
        <f>"201380E01002"</f>
        <v>201380E01002</v>
      </c>
      <c r="C145" t="str">
        <f t="shared" si="4"/>
        <v>20</v>
      </c>
      <c r="D145" t="s">
        <v>67</v>
      </c>
      <c r="E145" t="str">
        <f t="shared" si="5"/>
        <v>001</v>
      </c>
      <c r="F145" t="s">
        <v>68</v>
      </c>
      <c r="G145" t="str">
        <f>"1380"</f>
        <v>1380</v>
      </c>
      <c r="H145" t="str">
        <f>"0001"</f>
        <v>0001</v>
      </c>
      <c r="I145" t="s">
        <v>109</v>
      </c>
      <c r="J145">
        <v>0</v>
      </c>
      <c r="K145">
        <v>1</v>
      </c>
      <c r="L145">
        <v>2</v>
      </c>
      <c r="M145">
        <v>72</v>
      </c>
      <c r="N145">
        <v>188</v>
      </c>
      <c r="O145">
        <v>2</v>
      </c>
      <c r="P145">
        <v>0</v>
      </c>
      <c r="Q145">
        <v>1</v>
      </c>
      <c r="R145">
        <v>145</v>
      </c>
      <c r="S145">
        <v>1</v>
      </c>
      <c r="T145">
        <v>0</v>
      </c>
      <c r="U145">
        <v>0</v>
      </c>
      <c r="V145">
        <v>1</v>
      </c>
      <c r="W145">
        <v>0</v>
      </c>
      <c r="X145">
        <v>38</v>
      </c>
      <c r="Y145">
        <v>0</v>
      </c>
      <c r="Z145">
        <v>0</v>
      </c>
      <c r="AA145">
        <v>1</v>
      </c>
      <c r="AB145">
        <v>0</v>
      </c>
      <c r="AD145">
        <v>0</v>
      </c>
      <c r="AE145">
        <v>0</v>
      </c>
      <c r="AF145">
        <v>0</v>
      </c>
      <c r="AG145">
        <v>0</v>
      </c>
      <c r="AI145">
        <v>0</v>
      </c>
      <c r="AJ145">
        <v>1</v>
      </c>
      <c r="AK145">
        <v>188</v>
      </c>
      <c r="AL145">
        <v>188</v>
      </c>
      <c r="AM145">
        <v>216</v>
      </c>
      <c r="AN145">
        <v>44</v>
      </c>
      <c r="AP145">
        <v>1</v>
      </c>
      <c r="AR145" t="s">
        <v>220</v>
      </c>
      <c r="AS145" s="1">
        <v>44354.192361111112</v>
      </c>
      <c r="AT145" s="1">
        <v>44354.195740740739</v>
      </c>
      <c r="AU145" s="1">
        <v>44354.196377314816</v>
      </c>
      <c r="AV145" t="s">
        <v>71</v>
      </c>
      <c r="AW145" t="s">
        <v>72</v>
      </c>
      <c r="AX145" t="s">
        <v>73</v>
      </c>
    </row>
    <row r="146" spans="1:50" x14ac:dyDescent="0.3">
      <c r="A146" t="str">
        <f>"201381B0000"</f>
        <v>201381B0000</v>
      </c>
      <c r="B146" t="str">
        <f>"201381B00002"</f>
        <v>201381B00002</v>
      </c>
      <c r="C146" t="str">
        <f t="shared" si="4"/>
        <v>20</v>
      </c>
      <c r="D146" t="s">
        <v>67</v>
      </c>
      <c r="E146" t="str">
        <f t="shared" si="5"/>
        <v>001</v>
      </c>
      <c r="F146" t="s">
        <v>68</v>
      </c>
      <c r="G146" t="str">
        <f>"1381"</f>
        <v>1381</v>
      </c>
      <c r="H146" t="str">
        <f>"0000"</f>
        <v>0000</v>
      </c>
      <c r="I146" t="s">
        <v>69</v>
      </c>
      <c r="J146">
        <v>0</v>
      </c>
      <c r="K146">
        <v>1</v>
      </c>
      <c r="L146">
        <v>2</v>
      </c>
      <c r="M146">
        <v>129</v>
      </c>
      <c r="N146">
        <v>307</v>
      </c>
      <c r="O146">
        <v>6</v>
      </c>
      <c r="P146">
        <v>307</v>
      </c>
      <c r="Q146">
        <v>1</v>
      </c>
      <c r="R146">
        <v>220</v>
      </c>
      <c r="S146">
        <v>1</v>
      </c>
      <c r="T146">
        <v>0</v>
      </c>
      <c r="U146">
        <v>0</v>
      </c>
      <c r="V146">
        <v>2</v>
      </c>
      <c r="W146">
        <v>0</v>
      </c>
      <c r="X146">
        <v>80</v>
      </c>
      <c r="Y146">
        <v>0</v>
      </c>
      <c r="Z146">
        <v>2</v>
      </c>
      <c r="AA146">
        <v>0</v>
      </c>
      <c r="AB146">
        <v>0</v>
      </c>
      <c r="AD146">
        <v>0</v>
      </c>
      <c r="AE146">
        <v>0</v>
      </c>
      <c r="AF146">
        <v>0</v>
      </c>
      <c r="AG146">
        <v>0</v>
      </c>
      <c r="AI146">
        <v>0</v>
      </c>
      <c r="AJ146">
        <v>1</v>
      </c>
      <c r="AK146">
        <v>307</v>
      </c>
      <c r="AL146">
        <v>307</v>
      </c>
      <c r="AM146">
        <v>392</v>
      </c>
      <c r="AN146">
        <v>44</v>
      </c>
      <c r="AP146">
        <v>1</v>
      </c>
      <c r="AR146" t="s">
        <v>221</v>
      </c>
      <c r="AS146" s="1">
        <v>44354.193055555559</v>
      </c>
      <c r="AT146" s="1">
        <v>44354.196319444447</v>
      </c>
      <c r="AU146" s="1">
        <v>44354.196770833332</v>
      </c>
      <c r="AV146" t="s">
        <v>71</v>
      </c>
      <c r="AW146" t="s">
        <v>72</v>
      </c>
      <c r="AX146" t="s">
        <v>73</v>
      </c>
    </row>
    <row r="147" spans="1:50" x14ac:dyDescent="0.3">
      <c r="A147" t="str">
        <f>"201381E0100"</f>
        <v>201381E0100</v>
      </c>
      <c r="B147" t="str">
        <f>"201381E01002"</f>
        <v>201381E01002</v>
      </c>
      <c r="C147" t="str">
        <f t="shared" si="4"/>
        <v>20</v>
      </c>
      <c r="D147" t="s">
        <v>67</v>
      </c>
      <c r="E147" t="str">
        <f t="shared" si="5"/>
        <v>001</v>
      </c>
      <c r="F147" t="s">
        <v>68</v>
      </c>
      <c r="G147" t="str">
        <f>"1381"</f>
        <v>1381</v>
      </c>
      <c r="H147" t="str">
        <f>"0001"</f>
        <v>0001</v>
      </c>
      <c r="I147" t="s">
        <v>109</v>
      </c>
      <c r="J147">
        <v>0</v>
      </c>
      <c r="K147">
        <v>1</v>
      </c>
      <c r="L147">
        <v>2</v>
      </c>
      <c r="M147">
        <v>169</v>
      </c>
      <c r="N147">
        <v>463</v>
      </c>
      <c r="O147">
        <v>1</v>
      </c>
      <c r="P147">
        <v>463</v>
      </c>
      <c r="Q147">
        <v>1</v>
      </c>
      <c r="R147">
        <v>198</v>
      </c>
      <c r="S147">
        <v>0</v>
      </c>
      <c r="T147">
        <v>1</v>
      </c>
      <c r="U147">
        <v>9</v>
      </c>
      <c r="V147">
        <v>0</v>
      </c>
      <c r="W147">
        <v>228</v>
      </c>
      <c r="X147">
        <v>1</v>
      </c>
      <c r="Y147">
        <v>1</v>
      </c>
      <c r="Z147">
        <v>1</v>
      </c>
      <c r="AA147">
        <v>4</v>
      </c>
      <c r="AB147">
        <v>5</v>
      </c>
      <c r="AD147">
        <v>2</v>
      </c>
      <c r="AE147">
        <v>0</v>
      </c>
      <c r="AF147">
        <v>0</v>
      </c>
      <c r="AG147">
        <v>0</v>
      </c>
      <c r="AI147">
        <v>0</v>
      </c>
      <c r="AJ147">
        <v>13</v>
      </c>
      <c r="AK147">
        <v>463</v>
      </c>
      <c r="AL147">
        <v>464</v>
      </c>
      <c r="AM147">
        <v>588</v>
      </c>
      <c r="AN147">
        <v>44</v>
      </c>
      <c r="AP147">
        <v>1</v>
      </c>
      <c r="AR147" t="s">
        <v>222</v>
      </c>
      <c r="AS147" s="1">
        <v>44354.156944444447</v>
      </c>
      <c r="AT147" s="1">
        <v>44354.160671296297</v>
      </c>
      <c r="AU147" s="1">
        <v>44354.161446759259</v>
      </c>
      <c r="AV147" t="s">
        <v>71</v>
      </c>
      <c r="AW147" t="s">
        <v>72</v>
      </c>
      <c r="AX147" t="s">
        <v>73</v>
      </c>
    </row>
    <row r="148" spans="1:50" x14ac:dyDescent="0.3">
      <c r="A148" t="str">
        <f>"201382B0000"</f>
        <v>201382B0000</v>
      </c>
      <c r="B148" t="str">
        <f>"201382B00002"</f>
        <v>201382B00002</v>
      </c>
      <c r="C148" t="str">
        <f t="shared" si="4"/>
        <v>20</v>
      </c>
      <c r="D148" t="s">
        <v>67</v>
      </c>
      <c r="E148" t="str">
        <f t="shared" si="5"/>
        <v>001</v>
      </c>
      <c r="F148" t="s">
        <v>68</v>
      </c>
      <c r="G148" t="str">
        <f>"1382"</f>
        <v>1382</v>
      </c>
      <c r="H148" t="str">
        <f>"0000"</f>
        <v>0000</v>
      </c>
      <c r="I148" t="s">
        <v>69</v>
      </c>
      <c r="J148">
        <v>0</v>
      </c>
      <c r="K148">
        <v>1</v>
      </c>
      <c r="L148">
        <v>2</v>
      </c>
      <c r="M148">
        <v>245</v>
      </c>
      <c r="N148">
        <v>549</v>
      </c>
      <c r="O148">
        <v>1</v>
      </c>
      <c r="P148">
        <v>549</v>
      </c>
      <c r="Q148">
        <v>2</v>
      </c>
      <c r="R148">
        <v>234</v>
      </c>
      <c r="S148">
        <v>5</v>
      </c>
      <c r="T148">
        <v>0</v>
      </c>
      <c r="U148">
        <v>1</v>
      </c>
      <c r="V148">
        <v>3</v>
      </c>
      <c r="W148">
        <v>1</v>
      </c>
      <c r="X148">
        <v>282</v>
      </c>
      <c r="Y148">
        <v>2</v>
      </c>
      <c r="Z148">
        <v>3</v>
      </c>
      <c r="AA148">
        <v>5</v>
      </c>
      <c r="AB148">
        <v>6</v>
      </c>
      <c r="AD148">
        <v>0</v>
      </c>
      <c r="AE148">
        <v>0</v>
      </c>
      <c r="AF148">
        <v>0</v>
      </c>
      <c r="AG148">
        <v>0</v>
      </c>
      <c r="AI148">
        <v>0</v>
      </c>
      <c r="AJ148">
        <v>5</v>
      </c>
      <c r="AK148">
        <v>549</v>
      </c>
      <c r="AL148">
        <v>549</v>
      </c>
      <c r="AM148">
        <v>750</v>
      </c>
      <c r="AN148">
        <v>44</v>
      </c>
      <c r="AP148">
        <v>1</v>
      </c>
      <c r="AR148" t="s">
        <v>223</v>
      </c>
      <c r="AS148" s="1">
        <v>44354.230555555558</v>
      </c>
      <c r="AT148" s="1">
        <v>44354.240439814814</v>
      </c>
      <c r="AU148" s="1">
        <v>44354.240972222222</v>
      </c>
      <c r="AV148" t="s">
        <v>71</v>
      </c>
      <c r="AW148" t="s">
        <v>72</v>
      </c>
      <c r="AX148" t="s">
        <v>73</v>
      </c>
    </row>
    <row r="149" spans="1:50" x14ac:dyDescent="0.3">
      <c r="A149" t="str">
        <f>"201382E0100"</f>
        <v>201382E0100</v>
      </c>
      <c r="B149" t="str">
        <f>"201382E01002"</f>
        <v>201382E01002</v>
      </c>
      <c r="C149" t="str">
        <f t="shared" si="4"/>
        <v>20</v>
      </c>
      <c r="D149" t="s">
        <v>67</v>
      </c>
      <c r="E149" t="str">
        <f t="shared" si="5"/>
        <v>001</v>
      </c>
      <c r="F149" t="s">
        <v>68</v>
      </c>
      <c r="G149" t="str">
        <f>"1382"</f>
        <v>1382</v>
      </c>
      <c r="H149" t="str">
        <f>"0001"</f>
        <v>0001</v>
      </c>
      <c r="I149" t="s">
        <v>109</v>
      </c>
      <c r="J149">
        <v>0</v>
      </c>
      <c r="K149">
        <v>1</v>
      </c>
      <c r="L149">
        <v>2</v>
      </c>
      <c r="M149">
        <v>90</v>
      </c>
      <c r="N149">
        <v>177</v>
      </c>
      <c r="O149">
        <v>2</v>
      </c>
      <c r="P149">
        <v>177</v>
      </c>
      <c r="Q149">
        <v>1</v>
      </c>
      <c r="R149">
        <v>116</v>
      </c>
      <c r="S149">
        <v>0</v>
      </c>
      <c r="T149">
        <v>0</v>
      </c>
      <c r="U149">
        <v>0</v>
      </c>
      <c r="V149">
        <v>1</v>
      </c>
      <c r="W149">
        <v>0</v>
      </c>
      <c r="X149">
        <v>56</v>
      </c>
      <c r="Y149">
        <v>0</v>
      </c>
      <c r="Z149">
        <v>2</v>
      </c>
      <c r="AA149">
        <v>0</v>
      </c>
      <c r="AB149">
        <v>0</v>
      </c>
      <c r="AD149">
        <v>0</v>
      </c>
      <c r="AE149">
        <v>0</v>
      </c>
      <c r="AF149">
        <v>0</v>
      </c>
      <c r="AG149">
        <v>0</v>
      </c>
      <c r="AI149">
        <v>0</v>
      </c>
      <c r="AJ149">
        <v>1</v>
      </c>
      <c r="AK149">
        <v>177</v>
      </c>
      <c r="AL149">
        <v>177</v>
      </c>
      <c r="AM149">
        <v>223</v>
      </c>
      <c r="AN149">
        <v>44</v>
      </c>
      <c r="AP149">
        <v>1</v>
      </c>
      <c r="AR149" t="s">
        <v>224</v>
      </c>
      <c r="AS149" s="1">
        <v>44354.226388888892</v>
      </c>
      <c r="AT149" s="1">
        <v>44354.240034722221</v>
      </c>
      <c r="AU149" s="1">
        <v>44354.240659722222</v>
      </c>
      <c r="AV149" t="s">
        <v>71</v>
      </c>
      <c r="AW149" t="s">
        <v>72</v>
      </c>
      <c r="AX149" t="s">
        <v>73</v>
      </c>
    </row>
    <row r="150" spans="1:50" x14ac:dyDescent="0.3">
      <c r="A150" t="str">
        <f>"201383B0000"</f>
        <v>201383B0000</v>
      </c>
      <c r="B150" t="str">
        <f>"201383B00002"</f>
        <v>201383B00002</v>
      </c>
      <c r="C150" t="str">
        <f t="shared" si="4"/>
        <v>20</v>
      </c>
      <c r="D150" t="s">
        <v>67</v>
      </c>
      <c r="E150" t="str">
        <f t="shared" si="5"/>
        <v>001</v>
      </c>
      <c r="F150" t="s">
        <v>68</v>
      </c>
      <c r="G150" t="str">
        <f>"1383"</f>
        <v>1383</v>
      </c>
      <c r="H150" t="str">
        <f>"0000"</f>
        <v>0000</v>
      </c>
      <c r="I150" t="s">
        <v>69</v>
      </c>
      <c r="J150">
        <v>0</v>
      </c>
      <c r="K150">
        <v>1</v>
      </c>
      <c r="L150">
        <v>2</v>
      </c>
      <c r="M150">
        <v>168</v>
      </c>
      <c r="N150">
        <v>398</v>
      </c>
      <c r="O150">
        <v>1</v>
      </c>
      <c r="P150">
        <v>398</v>
      </c>
      <c r="Q150">
        <v>3</v>
      </c>
      <c r="R150">
        <v>221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147</v>
      </c>
      <c r="Y150">
        <v>2</v>
      </c>
      <c r="Z150">
        <v>3</v>
      </c>
      <c r="AA150">
        <v>8</v>
      </c>
      <c r="AB150">
        <v>1</v>
      </c>
      <c r="AD150">
        <v>6</v>
      </c>
      <c r="AE150">
        <v>0</v>
      </c>
      <c r="AF150">
        <v>0</v>
      </c>
      <c r="AG150">
        <v>0</v>
      </c>
      <c r="AI150">
        <v>0</v>
      </c>
      <c r="AJ150">
        <v>2</v>
      </c>
      <c r="AK150">
        <v>398</v>
      </c>
      <c r="AL150">
        <v>398</v>
      </c>
      <c r="AM150">
        <v>522</v>
      </c>
      <c r="AN150">
        <v>44</v>
      </c>
      <c r="AP150">
        <v>1</v>
      </c>
      <c r="AR150" t="s">
        <v>225</v>
      </c>
      <c r="AS150" s="1">
        <v>44354.157638888886</v>
      </c>
      <c r="AT150" s="1">
        <v>44354.160243055558</v>
      </c>
      <c r="AU150" s="1">
        <v>44354.160601851851</v>
      </c>
      <c r="AV150" t="s">
        <v>71</v>
      </c>
      <c r="AW150" t="s">
        <v>72</v>
      </c>
      <c r="AX150" t="s">
        <v>73</v>
      </c>
    </row>
    <row r="151" spans="1:50" x14ac:dyDescent="0.3">
      <c r="A151" t="str">
        <f>"201383C0100"</f>
        <v>201383C0100</v>
      </c>
      <c r="B151" t="str">
        <f>"201383C01002"</f>
        <v>201383C01002</v>
      </c>
      <c r="C151" t="str">
        <f t="shared" si="4"/>
        <v>20</v>
      </c>
      <c r="D151" t="s">
        <v>67</v>
      </c>
      <c r="E151" t="str">
        <f t="shared" si="5"/>
        <v>001</v>
      </c>
      <c r="F151" t="s">
        <v>68</v>
      </c>
      <c r="G151" t="str">
        <f>"1383"</f>
        <v>1383</v>
      </c>
      <c r="H151" t="str">
        <f>"0001"</f>
        <v>0001</v>
      </c>
      <c r="I151" t="s">
        <v>75</v>
      </c>
      <c r="J151">
        <v>0</v>
      </c>
      <c r="K151">
        <v>1</v>
      </c>
      <c r="L151">
        <v>2</v>
      </c>
      <c r="M151">
        <v>166</v>
      </c>
      <c r="N151">
        <v>399</v>
      </c>
      <c r="O151">
        <v>1</v>
      </c>
      <c r="P151">
        <v>399</v>
      </c>
      <c r="Q151">
        <v>5</v>
      </c>
      <c r="R151">
        <v>243</v>
      </c>
      <c r="S151">
        <v>0</v>
      </c>
      <c r="T151">
        <v>0</v>
      </c>
      <c r="U151">
        <v>0</v>
      </c>
      <c r="V151">
        <v>1</v>
      </c>
      <c r="W151">
        <v>3</v>
      </c>
      <c r="X151">
        <v>132</v>
      </c>
      <c r="Y151">
        <v>1</v>
      </c>
      <c r="Z151">
        <v>2</v>
      </c>
      <c r="AA151">
        <v>4</v>
      </c>
      <c r="AB151">
        <v>0</v>
      </c>
      <c r="AD151">
        <v>2</v>
      </c>
      <c r="AE151">
        <v>1</v>
      </c>
      <c r="AF151">
        <v>0</v>
      </c>
      <c r="AG151">
        <v>0</v>
      </c>
      <c r="AI151">
        <v>0</v>
      </c>
      <c r="AJ151">
        <v>5</v>
      </c>
      <c r="AK151">
        <v>399</v>
      </c>
      <c r="AL151">
        <v>399</v>
      </c>
      <c r="AM151">
        <v>521</v>
      </c>
      <c r="AN151">
        <v>44</v>
      </c>
      <c r="AP151">
        <v>1</v>
      </c>
      <c r="AR151" t="s">
        <v>226</v>
      </c>
      <c r="AS151" s="1">
        <v>44354.157638888886</v>
      </c>
      <c r="AT151" s="1">
        <v>44354.162002314813</v>
      </c>
      <c r="AU151" s="1">
        <v>44354.162685185183</v>
      </c>
      <c r="AV151" t="s">
        <v>71</v>
      </c>
      <c r="AW151" t="s">
        <v>72</v>
      </c>
      <c r="AX151" t="s">
        <v>73</v>
      </c>
    </row>
    <row r="152" spans="1:50" x14ac:dyDescent="0.3">
      <c r="A152" t="str">
        <f>"201383C0200"</f>
        <v>201383C0200</v>
      </c>
      <c r="B152" t="str">
        <f>"201383C02002"</f>
        <v>201383C02002</v>
      </c>
      <c r="C152" t="str">
        <f t="shared" si="4"/>
        <v>20</v>
      </c>
      <c r="D152" t="s">
        <v>67</v>
      </c>
      <c r="E152" t="str">
        <f t="shared" si="5"/>
        <v>001</v>
      </c>
      <c r="F152" t="s">
        <v>68</v>
      </c>
      <c r="G152" t="str">
        <f>"1383"</f>
        <v>1383</v>
      </c>
      <c r="H152" t="str">
        <f>"0002"</f>
        <v>0002</v>
      </c>
      <c r="I152" t="s">
        <v>75</v>
      </c>
      <c r="J152">
        <v>0</v>
      </c>
      <c r="K152">
        <v>1</v>
      </c>
      <c r="L152">
        <v>2</v>
      </c>
      <c r="M152">
        <v>166</v>
      </c>
      <c r="N152">
        <v>399</v>
      </c>
      <c r="O152">
        <v>1</v>
      </c>
      <c r="P152">
        <v>399</v>
      </c>
      <c r="Q152">
        <v>2</v>
      </c>
      <c r="R152">
        <v>257</v>
      </c>
      <c r="S152">
        <v>1</v>
      </c>
      <c r="T152">
        <v>0</v>
      </c>
      <c r="U152">
        <v>2</v>
      </c>
      <c r="V152">
        <v>0</v>
      </c>
      <c r="W152">
        <v>0</v>
      </c>
      <c r="X152">
        <v>116</v>
      </c>
      <c r="Y152">
        <v>0</v>
      </c>
      <c r="Z152">
        <v>2</v>
      </c>
      <c r="AA152">
        <v>7</v>
      </c>
      <c r="AB152">
        <v>2</v>
      </c>
      <c r="AD152">
        <v>6</v>
      </c>
      <c r="AE152">
        <v>1</v>
      </c>
      <c r="AF152">
        <v>0</v>
      </c>
      <c r="AG152">
        <v>0</v>
      </c>
      <c r="AI152">
        <v>0</v>
      </c>
      <c r="AJ152">
        <v>3</v>
      </c>
      <c r="AK152">
        <v>399</v>
      </c>
      <c r="AL152">
        <v>399</v>
      </c>
      <c r="AM152">
        <v>521</v>
      </c>
      <c r="AN152">
        <v>44</v>
      </c>
      <c r="AP152">
        <v>1</v>
      </c>
      <c r="AR152" t="s">
        <v>227</v>
      </c>
      <c r="AS152" s="1">
        <v>44354.157638888886</v>
      </c>
      <c r="AT152" s="1">
        <v>44354.161944444444</v>
      </c>
      <c r="AU152" s="1">
        <v>44354.162372685183</v>
      </c>
      <c r="AV152" t="s">
        <v>71</v>
      </c>
      <c r="AW152" t="s">
        <v>72</v>
      </c>
      <c r="AX152" t="s">
        <v>73</v>
      </c>
    </row>
    <row r="153" spans="1:50" x14ac:dyDescent="0.3">
      <c r="A153" t="str">
        <f>"201384B0000"</f>
        <v>201384B0000</v>
      </c>
      <c r="B153" t="str">
        <f>"201384B00002"</f>
        <v>201384B00002</v>
      </c>
      <c r="C153" t="str">
        <f t="shared" si="4"/>
        <v>20</v>
      </c>
      <c r="D153" t="s">
        <v>67</v>
      </c>
      <c r="E153" t="str">
        <f t="shared" si="5"/>
        <v>001</v>
      </c>
      <c r="F153" t="s">
        <v>68</v>
      </c>
      <c r="G153" t="str">
        <f>"1384"</f>
        <v>1384</v>
      </c>
      <c r="H153" t="str">
        <f>"0000"</f>
        <v>0000</v>
      </c>
      <c r="I153" t="s">
        <v>69</v>
      </c>
      <c r="J153">
        <v>0</v>
      </c>
      <c r="K153">
        <v>1</v>
      </c>
      <c r="L153">
        <v>2</v>
      </c>
      <c r="M153">
        <v>145</v>
      </c>
      <c r="N153">
        <v>431</v>
      </c>
      <c r="O153">
        <v>2</v>
      </c>
      <c r="P153" t="s">
        <v>80</v>
      </c>
      <c r="Q153">
        <v>1</v>
      </c>
      <c r="R153">
        <v>131</v>
      </c>
      <c r="S153">
        <v>3</v>
      </c>
      <c r="T153">
        <v>1</v>
      </c>
      <c r="U153">
        <v>1</v>
      </c>
      <c r="V153">
        <v>3</v>
      </c>
      <c r="W153">
        <v>0</v>
      </c>
      <c r="X153">
        <v>264</v>
      </c>
      <c r="Y153">
        <v>0</v>
      </c>
      <c r="Z153">
        <v>6</v>
      </c>
      <c r="AA153">
        <v>4</v>
      </c>
      <c r="AB153">
        <v>3</v>
      </c>
      <c r="AD153">
        <v>6</v>
      </c>
      <c r="AE153">
        <v>0</v>
      </c>
      <c r="AF153">
        <v>0</v>
      </c>
      <c r="AG153">
        <v>0</v>
      </c>
      <c r="AI153">
        <v>0</v>
      </c>
      <c r="AJ153">
        <v>8</v>
      </c>
      <c r="AK153">
        <v>431</v>
      </c>
      <c r="AL153">
        <v>431</v>
      </c>
      <c r="AM153">
        <v>532</v>
      </c>
      <c r="AN153">
        <v>44</v>
      </c>
      <c r="AP153">
        <v>1</v>
      </c>
      <c r="AR153" t="s">
        <v>228</v>
      </c>
      <c r="AS153" s="1">
        <v>44354.227777777778</v>
      </c>
      <c r="AT153" s="1">
        <v>44354.24019675926</v>
      </c>
      <c r="AU153" s="1">
        <v>44354.241122685184</v>
      </c>
      <c r="AV153" t="s">
        <v>71</v>
      </c>
      <c r="AW153" t="s">
        <v>72</v>
      </c>
      <c r="AX153" t="s">
        <v>73</v>
      </c>
    </row>
    <row r="154" spans="1:50" x14ac:dyDescent="0.3">
      <c r="A154" t="str">
        <f>"201384E0100"</f>
        <v>201384E0100</v>
      </c>
      <c r="B154" t="str">
        <f>"201384E01002"</f>
        <v>201384E01002</v>
      </c>
      <c r="C154" t="str">
        <f t="shared" si="4"/>
        <v>20</v>
      </c>
      <c r="D154" t="s">
        <v>67</v>
      </c>
      <c r="E154" t="str">
        <f t="shared" si="5"/>
        <v>001</v>
      </c>
      <c r="F154" t="s">
        <v>68</v>
      </c>
      <c r="G154" t="str">
        <f>"1384"</f>
        <v>1384</v>
      </c>
      <c r="H154" t="str">
        <f>"0001"</f>
        <v>0001</v>
      </c>
      <c r="I154" t="s">
        <v>109</v>
      </c>
      <c r="J154">
        <v>0</v>
      </c>
      <c r="K154">
        <v>1</v>
      </c>
      <c r="L154">
        <v>2</v>
      </c>
      <c r="M154">
        <v>114</v>
      </c>
      <c r="N154">
        <v>412</v>
      </c>
      <c r="O154">
        <v>1</v>
      </c>
      <c r="P154">
        <v>412</v>
      </c>
      <c r="Q154">
        <v>1</v>
      </c>
      <c r="R154">
        <v>220</v>
      </c>
      <c r="S154">
        <v>0</v>
      </c>
      <c r="T154">
        <v>0</v>
      </c>
      <c r="U154">
        <v>2</v>
      </c>
      <c r="V154">
        <v>1</v>
      </c>
      <c r="W154">
        <v>0</v>
      </c>
      <c r="X154">
        <v>171</v>
      </c>
      <c r="Y154">
        <v>0</v>
      </c>
      <c r="Z154">
        <v>3</v>
      </c>
      <c r="AA154">
        <v>3</v>
      </c>
      <c r="AB154">
        <v>2</v>
      </c>
      <c r="AD154">
        <v>4</v>
      </c>
      <c r="AE154">
        <v>0</v>
      </c>
      <c r="AF154">
        <v>0</v>
      </c>
      <c r="AG154">
        <v>0</v>
      </c>
      <c r="AI154">
        <v>0</v>
      </c>
      <c r="AJ154">
        <v>5</v>
      </c>
      <c r="AK154">
        <v>412</v>
      </c>
      <c r="AL154">
        <v>412</v>
      </c>
      <c r="AM154">
        <v>482</v>
      </c>
      <c r="AN154">
        <v>44</v>
      </c>
      <c r="AP154">
        <v>1</v>
      </c>
      <c r="AR154" t="s">
        <v>229</v>
      </c>
      <c r="AS154" s="1">
        <v>44354.22152777778</v>
      </c>
      <c r="AT154" s="1">
        <v>44354.230740740742</v>
      </c>
      <c r="AU154" s="1">
        <v>44354.23228009259</v>
      </c>
      <c r="AV154" t="s">
        <v>71</v>
      </c>
      <c r="AW154" t="s">
        <v>72</v>
      </c>
      <c r="AX154" t="s">
        <v>73</v>
      </c>
    </row>
    <row r="155" spans="1:50" x14ac:dyDescent="0.3">
      <c r="A155" t="str">
        <f>"201385B0000"</f>
        <v>201385B0000</v>
      </c>
      <c r="B155" t="str">
        <f>"201385B00002"</f>
        <v>201385B00002</v>
      </c>
      <c r="C155" t="str">
        <f t="shared" si="4"/>
        <v>20</v>
      </c>
      <c r="D155" t="s">
        <v>67</v>
      </c>
      <c r="E155" t="str">
        <f t="shared" si="5"/>
        <v>001</v>
      </c>
      <c r="F155" t="s">
        <v>68</v>
      </c>
      <c r="G155" t="str">
        <f>"1385"</f>
        <v>1385</v>
      </c>
      <c r="H155" t="str">
        <f>"0000"</f>
        <v>0000</v>
      </c>
      <c r="I155" t="s">
        <v>69</v>
      </c>
      <c r="J155">
        <v>0</v>
      </c>
      <c r="K155">
        <v>1</v>
      </c>
      <c r="L155">
        <v>2</v>
      </c>
      <c r="M155">
        <v>89</v>
      </c>
      <c r="N155">
        <v>281</v>
      </c>
      <c r="O155">
        <v>0</v>
      </c>
      <c r="P155">
        <v>281</v>
      </c>
      <c r="Q155">
        <v>2</v>
      </c>
      <c r="R155">
        <v>107</v>
      </c>
      <c r="S155">
        <v>0</v>
      </c>
      <c r="T155">
        <v>1</v>
      </c>
      <c r="U155">
        <v>4</v>
      </c>
      <c r="V155">
        <v>4</v>
      </c>
      <c r="W155">
        <v>0</v>
      </c>
      <c r="X155">
        <v>139</v>
      </c>
      <c r="Y155">
        <v>4</v>
      </c>
      <c r="Z155">
        <v>3</v>
      </c>
      <c r="AA155">
        <v>5</v>
      </c>
      <c r="AB155">
        <v>2</v>
      </c>
      <c r="AD155">
        <v>3</v>
      </c>
      <c r="AE155">
        <v>1</v>
      </c>
      <c r="AF155">
        <v>1</v>
      </c>
      <c r="AG155">
        <v>0</v>
      </c>
      <c r="AI155">
        <v>0</v>
      </c>
      <c r="AJ155">
        <v>5</v>
      </c>
      <c r="AK155">
        <v>281</v>
      </c>
      <c r="AL155">
        <v>281</v>
      </c>
      <c r="AM155">
        <v>326</v>
      </c>
      <c r="AN155">
        <v>44</v>
      </c>
      <c r="AP155">
        <v>1</v>
      </c>
      <c r="AR155" t="s">
        <v>230</v>
      </c>
      <c r="AS155" s="1">
        <v>44354.22152777778</v>
      </c>
      <c r="AT155" s="1">
        <v>44354.230821759258</v>
      </c>
      <c r="AU155" s="1">
        <v>44354.231481481482</v>
      </c>
      <c r="AV155" t="s">
        <v>71</v>
      </c>
      <c r="AW155" t="s">
        <v>72</v>
      </c>
      <c r="AX155" t="s">
        <v>73</v>
      </c>
    </row>
    <row r="156" spans="1:50" x14ac:dyDescent="0.3">
      <c r="A156" t="str">
        <f>"201385E0100"</f>
        <v>201385E0100</v>
      </c>
      <c r="B156" t="str">
        <f>"201385E01002"</f>
        <v>201385E01002</v>
      </c>
      <c r="C156" t="str">
        <f t="shared" si="4"/>
        <v>20</v>
      </c>
      <c r="D156" t="s">
        <v>67</v>
      </c>
      <c r="E156" t="str">
        <f t="shared" si="5"/>
        <v>001</v>
      </c>
      <c r="F156" t="s">
        <v>68</v>
      </c>
      <c r="G156" t="str">
        <f>"1385"</f>
        <v>1385</v>
      </c>
      <c r="H156" t="str">
        <f>"0001"</f>
        <v>0001</v>
      </c>
      <c r="I156" t="s">
        <v>109</v>
      </c>
      <c r="J156">
        <v>0</v>
      </c>
      <c r="K156">
        <v>1</v>
      </c>
      <c r="L156">
        <v>2</v>
      </c>
      <c r="M156">
        <v>123</v>
      </c>
      <c r="N156">
        <v>386</v>
      </c>
      <c r="O156">
        <v>2</v>
      </c>
      <c r="P156">
        <v>386</v>
      </c>
      <c r="Q156">
        <v>5</v>
      </c>
      <c r="R156">
        <v>120</v>
      </c>
      <c r="S156">
        <v>2</v>
      </c>
      <c r="T156">
        <v>1</v>
      </c>
      <c r="U156">
        <v>3</v>
      </c>
      <c r="V156">
        <v>4</v>
      </c>
      <c r="W156">
        <v>0</v>
      </c>
      <c r="X156">
        <v>222</v>
      </c>
      <c r="Y156">
        <v>2</v>
      </c>
      <c r="Z156">
        <v>2</v>
      </c>
      <c r="AA156">
        <v>6</v>
      </c>
      <c r="AB156">
        <v>8</v>
      </c>
      <c r="AD156">
        <v>8</v>
      </c>
      <c r="AE156">
        <v>0</v>
      </c>
      <c r="AF156">
        <v>0</v>
      </c>
      <c r="AG156">
        <v>0</v>
      </c>
      <c r="AI156">
        <v>0</v>
      </c>
      <c r="AJ156">
        <v>3</v>
      </c>
      <c r="AK156">
        <v>386</v>
      </c>
      <c r="AL156">
        <v>386</v>
      </c>
      <c r="AM156">
        <v>465</v>
      </c>
      <c r="AN156">
        <v>44</v>
      </c>
      <c r="AP156">
        <v>1</v>
      </c>
      <c r="AR156" t="s">
        <v>231</v>
      </c>
      <c r="AS156" s="1">
        <v>44354.220833333333</v>
      </c>
      <c r="AT156" s="1">
        <v>44354.225115740737</v>
      </c>
      <c r="AU156" s="1">
        <v>44354.226030092592</v>
      </c>
      <c r="AV156" t="s">
        <v>71</v>
      </c>
      <c r="AW156" t="s">
        <v>72</v>
      </c>
      <c r="AX156" t="s">
        <v>73</v>
      </c>
    </row>
    <row r="157" spans="1:50" x14ac:dyDescent="0.3">
      <c r="A157" t="str">
        <f>"201385E0200"</f>
        <v>201385E0200</v>
      </c>
      <c r="B157" t="str">
        <f>"201385E02002"</f>
        <v>201385E02002</v>
      </c>
      <c r="C157" t="str">
        <f t="shared" si="4"/>
        <v>20</v>
      </c>
      <c r="D157" t="s">
        <v>67</v>
      </c>
      <c r="E157" t="str">
        <f t="shared" si="5"/>
        <v>001</v>
      </c>
      <c r="F157" t="s">
        <v>68</v>
      </c>
      <c r="G157" t="str">
        <f>"1385"</f>
        <v>1385</v>
      </c>
      <c r="H157" t="str">
        <f>"0002"</f>
        <v>0002</v>
      </c>
      <c r="I157" t="s">
        <v>109</v>
      </c>
      <c r="J157">
        <v>0</v>
      </c>
      <c r="K157">
        <v>1</v>
      </c>
      <c r="L157">
        <v>2</v>
      </c>
      <c r="M157">
        <v>104</v>
      </c>
      <c r="N157">
        <v>436</v>
      </c>
      <c r="O157">
        <v>0</v>
      </c>
      <c r="P157">
        <v>436</v>
      </c>
      <c r="Q157">
        <v>30</v>
      </c>
      <c r="R157">
        <v>201</v>
      </c>
      <c r="S157">
        <v>3</v>
      </c>
      <c r="T157" t="s">
        <v>77</v>
      </c>
      <c r="U157" t="s">
        <v>77</v>
      </c>
      <c r="V157">
        <v>1</v>
      </c>
      <c r="W157">
        <v>2</v>
      </c>
      <c r="X157">
        <v>172</v>
      </c>
      <c r="Y157">
        <v>4</v>
      </c>
      <c r="Z157">
        <v>4</v>
      </c>
      <c r="AA157">
        <v>4</v>
      </c>
      <c r="AB157">
        <v>4</v>
      </c>
      <c r="AD157">
        <v>9</v>
      </c>
      <c r="AE157" t="s">
        <v>77</v>
      </c>
      <c r="AF157" t="s">
        <v>77</v>
      </c>
      <c r="AG157" t="s">
        <v>77</v>
      </c>
      <c r="AI157" t="s">
        <v>77</v>
      </c>
      <c r="AJ157">
        <v>2</v>
      </c>
      <c r="AK157">
        <v>436</v>
      </c>
      <c r="AL157">
        <v>436</v>
      </c>
      <c r="AM157">
        <v>496</v>
      </c>
      <c r="AN157">
        <v>44</v>
      </c>
      <c r="AO157" t="s">
        <v>78</v>
      </c>
      <c r="AP157">
        <v>1</v>
      </c>
      <c r="AR157" t="s">
        <v>232</v>
      </c>
      <c r="AS157" s="1">
        <v>44353.847916666666</v>
      </c>
      <c r="AT157" s="1">
        <v>44354.240590277775</v>
      </c>
      <c r="AU157" s="1">
        <v>44354.241296296299</v>
      </c>
      <c r="AV157" t="s">
        <v>71</v>
      </c>
      <c r="AW157" t="s">
        <v>72</v>
      </c>
      <c r="AX157" t="s">
        <v>73</v>
      </c>
    </row>
    <row r="158" spans="1:50" x14ac:dyDescent="0.3">
      <c r="A158" t="str">
        <f>"201386B0000"</f>
        <v>201386B0000</v>
      </c>
      <c r="B158" t="str">
        <f>"201386B00002"</f>
        <v>201386B00002</v>
      </c>
      <c r="C158" t="str">
        <f t="shared" si="4"/>
        <v>20</v>
      </c>
      <c r="D158" t="s">
        <v>67</v>
      </c>
      <c r="E158" t="str">
        <f t="shared" si="5"/>
        <v>001</v>
      </c>
      <c r="F158" t="s">
        <v>68</v>
      </c>
      <c r="G158" t="str">
        <f>"1386"</f>
        <v>1386</v>
      </c>
      <c r="H158" t="str">
        <f>"0000"</f>
        <v>0000</v>
      </c>
      <c r="I158" t="s">
        <v>69</v>
      </c>
      <c r="J158">
        <v>0</v>
      </c>
      <c r="K158">
        <v>1</v>
      </c>
      <c r="L158">
        <v>2</v>
      </c>
      <c r="M158">
        <v>224</v>
      </c>
      <c r="N158">
        <v>560</v>
      </c>
      <c r="O158">
        <v>4</v>
      </c>
      <c r="P158">
        <v>556</v>
      </c>
      <c r="Q158">
        <v>34</v>
      </c>
      <c r="R158">
        <v>269</v>
      </c>
      <c r="S158">
        <v>2</v>
      </c>
      <c r="T158">
        <v>0</v>
      </c>
      <c r="U158">
        <v>2</v>
      </c>
      <c r="V158">
        <v>5</v>
      </c>
      <c r="W158">
        <v>0</v>
      </c>
      <c r="X158">
        <v>186</v>
      </c>
      <c r="Y158">
        <v>0</v>
      </c>
      <c r="Z158">
        <v>3</v>
      </c>
      <c r="AA158">
        <v>6</v>
      </c>
      <c r="AB158">
        <v>3</v>
      </c>
      <c r="AD158">
        <v>5</v>
      </c>
      <c r="AE158">
        <v>34</v>
      </c>
      <c r="AF158">
        <v>0</v>
      </c>
      <c r="AG158">
        <v>2</v>
      </c>
      <c r="AI158">
        <v>0</v>
      </c>
      <c r="AJ158">
        <v>5</v>
      </c>
      <c r="AK158">
        <v>556</v>
      </c>
      <c r="AL158">
        <v>556</v>
      </c>
      <c r="AM158">
        <v>736</v>
      </c>
      <c r="AN158">
        <v>44</v>
      </c>
      <c r="AP158">
        <v>1</v>
      </c>
      <c r="AR158" t="s">
        <v>233</v>
      </c>
      <c r="AS158" s="1">
        <v>44354.240972222222</v>
      </c>
      <c r="AT158" s="1">
        <v>44354.707326388889</v>
      </c>
      <c r="AU158" s="1">
        <v>44354.707870370374</v>
      </c>
      <c r="AV158" t="s">
        <v>71</v>
      </c>
      <c r="AW158" t="s">
        <v>72</v>
      </c>
      <c r="AX158" t="s">
        <v>73</v>
      </c>
    </row>
    <row r="159" spans="1:50" x14ac:dyDescent="0.3">
      <c r="A159" t="str">
        <f>"201386C0100"</f>
        <v>201386C0100</v>
      </c>
      <c r="B159" t="str">
        <f>"201386C01002"</f>
        <v>201386C01002</v>
      </c>
      <c r="C159" t="str">
        <f t="shared" si="4"/>
        <v>20</v>
      </c>
      <c r="D159" t="s">
        <v>67</v>
      </c>
      <c r="E159" t="str">
        <f t="shared" si="5"/>
        <v>001</v>
      </c>
      <c r="F159" t="s">
        <v>68</v>
      </c>
      <c r="G159" t="str">
        <f>"1386"</f>
        <v>1386</v>
      </c>
      <c r="H159" t="str">
        <f>"0001"</f>
        <v>0001</v>
      </c>
      <c r="I159" t="s">
        <v>75</v>
      </c>
      <c r="J159">
        <v>0</v>
      </c>
      <c r="K159">
        <v>1</v>
      </c>
      <c r="L159">
        <v>2</v>
      </c>
      <c r="M159">
        <v>198</v>
      </c>
      <c r="N159">
        <v>585</v>
      </c>
      <c r="O159">
        <v>4</v>
      </c>
      <c r="P159">
        <v>581</v>
      </c>
      <c r="Q159">
        <v>45</v>
      </c>
      <c r="R159">
        <v>296</v>
      </c>
      <c r="S159">
        <v>2</v>
      </c>
      <c r="T159">
        <v>2</v>
      </c>
      <c r="U159">
        <v>2</v>
      </c>
      <c r="V159">
        <v>6</v>
      </c>
      <c r="W159">
        <v>1</v>
      </c>
      <c r="X159">
        <v>170</v>
      </c>
      <c r="Y159">
        <v>1</v>
      </c>
      <c r="Z159">
        <v>1</v>
      </c>
      <c r="AA159">
        <v>3</v>
      </c>
      <c r="AB159">
        <v>1</v>
      </c>
      <c r="AD159">
        <v>2</v>
      </c>
      <c r="AE159">
        <v>35</v>
      </c>
      <c r="AF159" t="s">
        <v>77</v>
      </c>
      <c r="AG159">
        <v>9</v>
      </c>
      <c r="AI159" t="s">
        <v>77</v>
      </c>
      <c r="AJ159">
        <v>5</v>
      </c>
      <c r="AK159">
        <v>581</v>
      </c>
      <c r="AL159">
        <v>581</v>
      </c>
      <c r="AM159">
        <v>735</v>
      </c>
      <c r="AN159">
        <v>44</v>
      </c>
      <c r="AO159" t="s">
        <v>78</v>
      </c>
      <c r="AP159">
        <v>1</v>
      </c>
      <c r="AR159" t="s">
        <v>234</v>
      </c>
      <c r="AS159" s="1">
        <v>44354.241666666669</v>
      </c>
      <c r="AT159" s="1">
        <v>44354.249918981484</v>
      </c>
      <c r="AU159" s="1">
        <v>44354.250497685185</v>
      </c>
      <c r="AV159" t="s">
        <v>71</v>
      </c>
      <c r="AW159" t="s">
        <v>72</v>
      </c>
      <c r="AX159" t="s">
        <v>73</v>
      </c>
    </row>
    <row r="160" spans="1:50" x14ac:dyDescent="0.3">
      <c r="A160" t="str">
        <f>"201387B0000"</f>
        <v>201387B0000</v>
      </c>
      <c r="B160" t="str">
        <f>"201387B00002"</f>
        <v>201387B00002</v>
      </c>
      <c r="C160" t="str">
        <f t="shared" si="4"/>
        <v>20</v>
      </c>
      <c r="D160" t="s">
        <v>67</v>
      </c>
      <c r="E160" t="str">
        <f t="shared" si="5"/>
        <v>001</v>
      </c>
      <c r="F160" t="s">
        <v>68</v>
      </c>
      <c r="G160" t="str">
        <f>"1387"</f>
        <v>1387</v>
      </c>
      <c r="H160" t="str">
        <f>"0000"</f>
        <v>0000</v>
      </c>
      <c r="I160" t="s">
        <v>69</v>
      </c>
      <c r="J160">
        <v>0</v>
      </c>
      <c r="K160">
        <v>1</v>
      </c>
      <c r="L160">
        <v>2</v>
      </c>
      <c r="M160">
        <v>119</v>
      </c>
      <c r="N160">
        <v>319</v>
      </c>
      <c r="O160">
        <v>2</v>
      </c>
      <c r="P160">
        <v>319</v>
      </c>
      <c r="Q160">
        <v>3</v>
      </c>
      <c r="R160">
        <v>194</v>
      </c>
      <c r="S160">
        <v>1</v>
      </c>
      <c r="T160">
        <v>2</v>
      </c>
      <c r="U160">
        <v>1</v>
      </c>
      <c r="V160">
        <v>1</v>
      </c>
      <c r="W160">
        <v>0</v>
      </c>
      <c r="X160">
        <v>67</v>
      </c>
      <c r="Y160">
        <v>0</v>
      </c>
      <c r="Z160">
        <v>0</v>
      </c>
      <c r="AA160">
        <v>0</v>
      </c>
      <c r="AB160">
        <v>1</v>
      </c>
      <c r="AD160">
        <v>10</v>
      </c>
      <c r="AE160">
        <v>33</v>
      </c>
      <c r="AF160">
        <v>0</v>
      </c>
      <c r="AG160">
        <v>4</v>
      </c>
      <c r="AI160">
        <v>0</v>
      </c>
      <c r="AJ160">
        <v>2</v>
      </c>
      <c r="AK160">
        <v>319</v>
      </c>
      <c r="AL160">
        <v>319</v>
      </c>
      <c r="AM160">
        <v>394</v>
      </c>
      <c r="AN160">
        <v>44</v>
      </c>
      <c r="AP160">
        <v>1</v>
      </c>
      <c r="AR160" s="2" t="s">
        <v>235</v>
      </c>
      <c r="AS160" s="1">
        <v>44354.240972222222</v>
      </c>
      <c r="AT160" s="1">
        <v>44354.24726851852</v>
      </c>
      <c r="AU160" s="1">
        <v>44354.248738425929</v>
      </c>
      <c r="AV160" t="s">
        <v>71</v>
      </c>
      <c r="AW160" t="s">
        <v>72</v>
      </c>
      <c r="AX160" t="s">
        <v>73</v>
      </c>
    </row>
    <row r="161" spans="1:50" x14ac:dyDescent="0.3">
      <c r="A161" t="str">
        <f>"201387C0100"</f>
        <v>201387C0100</v>
      </c>
      <c r="B161" t="str">
        <f>"201387C01002"</f>
        <v>201387C01002</v>
      </c>
      <c r="C161" t="str">
        <f t="shared" si="4"/>
        <v>20</v>
      </c>
      <c r="D161" t="s">
        <v>67</v>
      </c>
      <c r="E161" t="str">
        <f t="shared" si="5"/>
        <v>001</v>
      </c>
      <c r="F161" t="s">
        <v>68</v>
      </c>
      <c r="G161" t="str">
        <f>"1387"</f>
        <v>1387</v>
      </c>
      <c r="H161" t="str">
        <f>"0001"</f>
        <v>0001</v>
      </c>
      <c r="I161" t="s">
        <v>75</v>
      </c>
      <c r="J161">
        <v>0</v>
      </c>
      <c r="K161">
        <v>1</v>
      </c>
      <c r="L161">
        <v>2</v>
      </c>
      <c r="M161">
        <v>116</v>
      </c>
      <c r="N161">
        <v>321</v>
      </c>
      <c r="O161">
        <v>0</v>
      </c>
      <c r="P161">
        <v>321</v>
      </c>
      <c r="Q161">
        <v>2</v>
      </c>
      <c r="R161">
        <v>203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70</v>
      </c>
      <c r="Y161">
        <v>0</v>
      </c>
      <c r="Z161">
        <v>0</v>
      </c>
      <c r="AA161">
        <v>2</v>
      </c>
      <c r="AB161">
        <v>3</v>
      </c>
      <c r="AD161">
        <v>4</v>
      </c>
      <c r="AE161">
        <v>23</v>
      </c>
      <c r="AF161">
        <v>0</v>
      </c>
      <c r="AG161">
        <v>11</v>
      </c>
      <c r="AI161">
        <v>0</v>
      </c>
      <c r="AJ161">
        <v>2</v>
      </c>
      <c r="AK161">
        <v>321</v>
      </c>
      <c r="AL161">
        <v>321</v>
      </c>
      <c r="AM161">
        <v>393</v>
      </c>
      <c r="AN161">
        <v>44</v>
      </c>
      <c r="AP161">
        <v>1</v>
      </c>
      <c r="AR161" t="s">
        <v>236</v>
      </c>
      <c r="AS161" s="1">
        <v>44354.243055555555</v>
      </c>
      <c r="AT161" s="1">
        <v>44354.249988425923</v>
      </c>
      <c r="AU161" s="1">
        <v>44354.250578703701</v>
      </c>
      <c r="AV161" t="s">
        <v>71</v>
      </c>
      <c r="AW161" t="s">
        <v>72</v>
      </c>
      <c r="AX161" t="s">
        <v>73</v>
      </c>
    </row>
    <row r="162" spans="1:50" x14ac:dyDescent="0.3">
      <c r="A162" t="str">
        <f>"201388B0000"</f>
        <v>201388B0000</v>
      </c>
      <c r="B162" t="str">
        <f>"201388B00002"</f>
        <v>201388B00002</v>
      </c>
      <c r="C162" t="str">
        <f t="shared" si="4"/>
        <v>20</v>
      </c>
      <c r="D162" t="s">
        <v>67</v>
      </c>
      <c r="E162" t="str">
        <f t="shared" si="5"/>
        <v>001</v>
      </c>
      <c r="F162" t="s">
        <v>68</v>
      </c>
      <c r="G162" t="str">
        <f>"1388"</f>
        <v>1388</v>
      </c>
      <c r="H162" t="str">
        <f>"0000"</f>
        <v>0000</v>
      </c>
      <c r="I162" t="s">
        <v>69</v>
      </c>
      <c r="J162">
        <v>0</v>
      </c>
      <c r="K162">
        <v>1</v>
      </c>
      <c r="L162">
        <v>2</v>
      </c>
      <c r="M162">
        <v>121</v>
      </c>
      <c r="N162">
        <v>321</v>
      </c>
      <c r="O162">
        <v>0</v>
      </c>
      <c r="P162">
        <v>321</v>
      </c>
      <c r="Q162">
        <v>7</v>
      </c>
      <c r="R162">
        <v>201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93</v>
      </c>
      <c r="Y162">
        <v>0</v>
      </c>
      <c r="Z162">
        <v>1</v>
      </c>
      <c r="AA162">
        <v>3</v>
      </c>
      <c r="AB162">
        <v>2</v>
      </c>
      <c r="AD162">
        <v>1</v>
      </c>
      <c r="AE162">
        <v>8</v>
      </c>
      <c r="AF162">
        <v>0</v>
      </c>
      <c r="AG162">
        <v>0</v>
      </c>
      <c r="AI162">
        <v>0</v>
      </c>
      <c r="AJ162">
        <v>5</v>
      </c>
      <c r="AK162">
        <v>321</v>
      </c>
      <c r="AL162">
        <v>321</v>
      </c>
      <c r="AM162">
        <v>399</v>
      </c>
      <c r="AN162">
        <v>44</v>
      </c>
      <c r="AP162">
        <v>1</v>
      </c>
      <c r="AR162" t="s">
        <v>237</v>
      </c>
      <c r="AS162" s="1">
        <v>44354.241666666669</v>
      </c>
      <c r="AT162" s="1">
        <v>44354.249594907407</v>
      </c>
      <c r="AU162" s="1">
        <v>44354.250300925924</v>
      </c>
      <c r="AV162" t="s">
        <v>71</v>
      </c>
      <c r="AW162" t="s">
        <v>72</v>
      </c>
      <c r="AX162" t="s">
        <v>73</v>
      </c>
    </row>
    <row r="163" spans="1:50" x14ac:dyDescent="0.3">
      <c r="A163" t="str">
        <f>"201388C0100"</f>
        <v>201388C0100</v>
      </c>
      <c r="B163" t="str">
        <f>"201388C01002"</f>
        <v>201388C01002</v>
      </c>
      <c r="C163" t="str">
        <f t="shared" si="4"/>
        <v>20</v>
      </c>
      <c r="D163" t="s">
        <v>67</v>
      </c>
      <c r="E163" t="str">
        <f t="shared" si="5"/>
        <v>001</v>
      </c>
      <c r="F163" t="s">
        <v>68</v>
      </c>
      <c r="G163" t="str">
        <f>"1388"</f>
        <v>1388</v>
      </c>
      <c r="H163" t="str">
        <f>"0001"</f>
        <v>0001</v>
      </c>
      <c r="I163" t="s">
        <v>75</v>
      </c>
      <c r="J163">
        <v>0</v>
      </c>
      <c r="K163">
        <v>1</v>
      </c>
      <c r="L163">
        <v>2</v>
      </c>
      <c r="M163">
        <v>376</v>
      </c>
      <c r="N163">
        <v>321</v>
      </c>
      <c r="O163">
        <v>0</v>
      </c>
      <c r="P163">
        <v>321</v>
      </c>
      <c r="Q163">
        <v>5</v>
      </c>
      <c r="R163">
        <v>223</v>
      </c>
      <c r="S163">
        <v>2</v>
      </c>
      <c r="T163">
        <v>1</v>
      </c>
      <c r="U163">
        <v>2</v>
      </c>
      <c r="V163" t="s">
        <v>99</v>
      </c>
      <c r="W163">
        <v>1</v>
      </c>
      <c r="X163">
        <v>57</v>
      </c>
      <c r="Y163">
        <v>0</v>
      </c>
      <c r="Z163">
        <v>4</v>
      </c>
      <c r="AA163">
        <v>8</v>
      </c>
      <c r="AB163">
        <v>3</v>
      </c>
      <c r="AD163">
        <v>1</v>
      </c>
      <c r="AE163">
        <v>11</v>
      </c>
      <c r="AF163">
        <v>0</v>
      </c>
      <c r="AG163">
        <v>0</v>
      </c>
      <c r="AI163">
        <v>0</v>
      </c>
      <c r="AJ163">
        <v>3</v>
      </c>
      <c r="AK163">
        <v>321</v>
      </c>
      <c r="AL163">
        <v>321</v>
      </c>
      <c r="AM163">
        <v>399</v>
      </c>
      <c r="AN163">
        <v>44</v>
      </c>
      <c r="AO163" t="s">
        <v>78</v>
      </c>
      <c r="AP163">
        <v>1</v>
      </c>
      <c r="AR163" t="s">
        <v>238</v>
      </c>
      <c r="AS163" s="1">
        <v>44354.241666666669</v>
      </c>
      <c r="AT163" s="1">
        <v>44354.249652777777</v>
      </c>
      <c r="AU163" s="1">
        <v>44354.250462962962</v>
      </c>
      <c r="AV163" t="s">
        <v>71</v>
      </c>
      <c r="AW163" t="s">
        <v>72</v>
      </c>
      <c r="AX163" t="s">
        <v>73</v>
      </c>
    </row>
    <row r="164" spans="1:50" x14ac:dyDescent="0.3">
      <c r="A164" t="str">
        <f>"201388E0100"</f>
        <v>201388E0100</v>
      </c>
      <c r="B164" t="str">
        <f>"201388E01002"</f>
        <v>201388E01002</v>
      </c>
      <c r="C164" t="str">
        <f t="shared" si="4"/>
        <v>20</v>
      </c>
      <c r="D164" t="s">
        <v>67</v>
      </c>
      <c r="E164" t="str">
        <f t="shared" si="5"/>
        <v>001</v>
      </c>
      <c r="F164" t="s">
        <v>68</v>
      </c>
      <c r="G164" t="str">
        <f>"1388"</f>
        <v>1388</v>
      </c>
      <c r="H164" t="str">
        <f>"0001"</f>
        <v>0001</v>
      </c>
      <c r="I164" t="s">
        <v>109</v>
      </c>
      <c r="J164">
        <v>0</v>
      </c>
      <c r="K164">
        <v>1</v>
      </c>
      <c r="L164">
        <v>2</v>
      </c>
      <c r="M164">
        <v>120</v>
      </c>
      <c r="N164">
        <v>372</v>
      </c>
      <c r="O164">
        <v>5</v>
      </c>
      <c r="P164">
        <v>372</v>
      </c>
      <c r="Q164">
        <v>5</v>
      </c>
      <c r="R164">
        <v>212</v>
      </c>
      <c r="S164">
        <v>19</v>
      </c>
      <c r="T164">
        <v>0</v>
      </c>
      <c r="U164">
        <v>1</v>
      </c>
      <c r="V164">
        <v>2</v>
      </c>
      <c r="W164">
        <v>1</v>
      </c>
      <c r="X164">
        <v>75</v>
      </c>
      <c r="Y164">
        <v>1</v>
      </c>
      <c r="Z164">
        <v>1</v>
      </c>
      <c r="AA164">
        <v>0</v>
      </c>
      <c r="AB164">
        <v>0</v>
      </c>
      <c r="AD164">
        <v>1</v>
      </c>
      <c r="AE164">
        <v>46</v>
      </c>
      <c r="AF164">
        <v>0</v>
      </c>
      <c r="AG164">
        <v>0</v>
      </c>
      <c r="AI164">
        <v>0</v>
      </c>
      <c r="AJ164">
        <v>8</v>
      </c>
      <c r="AK164">
        <v>372</v>
      </c>
      <c r="AL164">
        <v>372</v>
      </c>
      <c r="AM164">
        <v>448</v>
      </c>
      <c r="AN164">
        <v>44</v>
      </c>
      <c r="AP164">
        <v>1</v>
      </c>
      <c r="AR164" t="s">
        <v>239</v>
      </c>
      <c r="AS164" s="1">
        <v>44354.229861111111</v>
      </c>
      <c r="AT164" s="1">
        <v>44354.240266203706</v>
      </c>
      <c r="AU164" s="1">
        <v>44354.240555555552</v>
      </c>
      <c r="AV164" t="s">
        <v>71</v>
      </c>
      <c r="AW164" t="s">
        <v>72</v>
      </c>
      <c r="AX164" t="s">
        <v>73</v>
      </c>
    </row>
    <row r="165" spans="1:50" x14ac:dyDescent="0.3">
      <c r="A165" t="str">
        <f>"201389B0000"</f>
        <v>201389B0000</v>
      </c>
      <c r="B165" t="str">
        <f>"201389B00002"</f>
        <v>201389B00002</v>
      </c>
      <c r="C165" t="str">
        <f t="shared" si="4"/>
        <v>20</v>
      </c>
      <c r="D165" t="s">
        <v>67</v>
      </c>
      <c r="E165" t="str">
        <f t="shared" si="5"/>
        <v>001</v>
      </c>
      <c r="F165" t="s">
        <v>68</v>
      </c>
      <c r="G165" t="str">
        <f>"1389"</f>
        <v>1389</v>
      </c>
      <c r="H165" t="str">
        <f>"0000"</f>
        <v>0000</v>
      </c>
      <c r="I165" t="s">
        <v>69</v>
      </c>
      <c r="J165">
        <v>0</v>
      </c>
      <c r="K165">
        <v>1</v>
      </c>
      <c r="L165">
        <v>2</v>
      </c>
      <c r="M165">
        <v>112</v>
      </c>
      <c r="N165">
        <v>541</v>
      </c>
      <c r="O165">
        <v>0</v>
      </c>
      <c r="P165" t="s">
        <v>80</v>
      </c>
      <c r="Q165">
        <v>7</v>
      </c>
      <c r="R165">
        <v>273</v>
      </c>
      <c r="S165">
        <v>2</v>
      </c>
      <c r="T165">
        <v>1</v>
      </c>
      <c r="U165">
        <v>2</v>
      </c>
      <c r="V165">
        <v>0</v>
      </c>
      <c r="W165">
        <v>0</v>
      </c>
      <c r="X165">
        <v>117</v>
      </c>
      <c r="Y165">
        <v>0</v>
      </c>
      <c r="Z165">
        <v>2</v>
      </c>
      <c r="AA165">
        <v>2</v>
      </c>
      <c r="AB165">
        <v>8</v>
      </c>
      <c r="AD165">
        <v>9</v>
      </c>
      <c r="AE165">
        <v>1</v>
      </c>
      <c r="AF165">
        <v>0</v>
      </c>
      <c r="AG165">
        <v>1</v>
      </c>
      <c r="AI165">
        <v>0</v>
      </c>
      <c r="AJ165">
        <v>4</v>
      </c>
      <c r="AK165">
        <v>429</v>
      </c>
      <c r="AL165">
        <v>429</v>
      </c>
      <c r="AM165">
        <v>497</v>
      </c>
      <c r="AN165">
        <v>44</v>
      </c>
      <c r="AP165">
        <v>1</v>
      </c>
      <c r="AR165" t="s">
        <v>240</v>
      </c>
      <c r="AS165" s="1">
        <v>44354.189583333333</v>
      </c>
      <c r="AT165" s="1">
        <v>44354.193877314814</v>
      </c>
      <c r="AU165" s="1">
        <v>44354.194409722222</v>
      </c>
      <c r="AV165" t="s">
        <v>71</v>
      </c>
      <c r="AW165" t="s">
        <v>72</v>
      </c>
      <c r="AX165" t="s">
        <v>73</v>
      </c>
    </row>
    <row r="166" spans="1:50" x14ac:dyDescent="0.3">
      <c r="A166" t="str">
        <f>"201389C0100"</f>
        <v>201389C0100</v>
      </c>
      <c r="B166" t="str">
        <f>"201389C01002"</f>
        <v>201389C01002</v>
      </c>
      <c r="C166" t="str">
        <f t="shared" si="4"/>
        <v>20</v>
      </c>
      <c r="D166" t="s">
        <v>67</v>
      </c>
      <c r="E166" t="str">
        <f t="shared" si="5"/>
        <v>001</v>
      </c>
      <c r="F166" t="s">
        <v>68</v>
      </c>
      <c r="G166" t="str">
        <f>"1389"</f>
        <v>1389</v>
      </c>
      <c r="H166" t="str">
        <f>"0001"</f>
        <v>0001</v>
      </c>
      <c r="I166" t="s">
        <v>75</v>
      </c>
      <c r="J166">
        <v>0</v>
      </c>
      <c r="K166">
        <v>1</v>
      </c>
      <c r="L166">
        <v>2</v>
      </c>
      <c r="M166">
        <v>114</v>
      </c>
      <c r="N166">
        <v>426</v>
      </c>
      <c r="O166">
        <v>426</v>
      </c>
      <c r="P166">
        <v>426</v>
      </c>
      <c r="Q166">
        <v>4</v>
      </c>
      <c r="R166">
        <v>277</v>
      </c>
      <c r="S166">
        <v>2</v>
      </c>
      <c r="T166">
        <v>1</v>
      </c>
      <c r="U166">
        <v>0</v>
      </c>
      <c r="V166">
        <v>1</v>
      </c>
      <c r="W166">
        <v>1</v>
      </c>
      <c r="X166">
        <v>106</v>
      </c>
      <c r="Y166">
        <v>1</v>
      </c>
      <c r="Z166">
        <v>1</v>
      </c>
      <c r="AA166">
        <v>3</v>
      </c>
      <c r="AB166">
        <v>18</v>
      </c>
      <c r="AD166">
        <v>6</v>
      </c>
      <c r="AE166">
        <v>1</v>
      </c>
      <c r="AF166">
        <v>0</v>
      </c>
      <c r="AG166">
        <v>0</v>
      </c>
      <c r="AI166">
        <v>0</v>
      </c>
      <c r="AJ166">
        <v>5</v>
      </c>
      <c r="AK166">
        <v>426</v>
      </c>
      <c r="AL166">
        <v>427</v>
      </c>
      <c r="AM166">
        <v>496</v>
      </c>
      <c r="AN166">
        <v>44</v>
      </c>
      <c r="AP166">
        <v>1</v>
      </c>
      <c r="AR166" t="s">
        <v>241</v>
      </c>
      <c r="AS166" s="1">
        <v>44354.189583333333</v>
      </c>
      <c r="AT166" s="1">
        <v>44354.193819444445</v>
      </c>
      <c r="AU166" s="1">
        <v>44354.194409722222</v>
      </c>
      <c r="AV166" t="s">
        <v>71</v>
      </c>
      <c r="AW166" t="s">
        <v>72</v>
      </c>
      <c r="AX166" t="s">
        <v>73</v>
      </c>
    </row>
    <row r="167" spans="1:50" x14ac:dyDescent="0.3">
      <c r="A167" t="str">
        <f>"201390B0000"</f>
        <v>201390B0000</v>
      </c>
      <c r="B167" t="str">
        <f>"201390B00002"</f>
        <v>201390B00002</v>
      </c>
      <c r="C167" t="str">
        <f t="shared" si="4"/>
        <v>20</v>
      </c>
      <c r="D167" t="s">
        <v>67</v>
      </c>
      <c r="E167" t="str">
        <f t="shared" si="5"/>
        <v>001</v>
      </c>
      <c r="F167" t="s">
        <v>68</v>
      </c>
      <c r="G167" t="str">
        <f>"1390"</f>
        <v>1390</v>
      </c>
      <c r="H167" t="str">
        <f>"0000"</f>
        <v>0000</v>
      </c>
      <c r="I167" t="s">
        <v>69</v>
      </c>
      <c r="J167">
        <v>0</v>
      </c>
      <c r="K167">
        <v>1</v>
      </c>
      <c r="L167">
        <v>2</v>
      </c>
      <c r="M167">
        <v>111</v>
      </c>
      <c r="N167">
        <v>296</v>
      </c>
      <c r="O167">
        <v>6</v>
      </c>
      <c r="P167">
        <v>296</v>
      </c>
      <c r="Q167">
        <v>2</v>
      </c>
      <c r="R167">
        <v>93</v>
      </c>
      <c r="S167">
        <v>0</v>
      </c>
      <c r="T167">
        <v>1</v>
      </c>
      <c r="U167">
        <v>1</v>
      </c>
      <c r="V167">
        <v>0</v>
      </c>
      <c r="W167">
        <v>1</v>
      </c>
      <c r="X167">
        <v>181</v>
      </c>
      <c r="Y167">
        <v>4</v>
      </c>
      <c r="Z167">
        <v>2</v>
      </c>
      <c r="AA167">
        <v>3</v>
      </c>
      <c r="AB167">
        <v>3</v>
      </c>
      <c r="AD167">
        <v>0</v>
      </c>
      <c r="AE167">
        <v>2</v>
      </c>
      <c r="AF167">
        <v>0</v>
      </c>
      <c r="AG167">
        <v>0</v>
      </c>
      <c r="AI167">
        <v>0</v>
      </c>
      <c r="AJ167">
        <v>3</v>
      </c>
      <c r="AK167">
        <v>296</v>
      </c>
      <c r="AL167">
        <v>296</v>
      </c>
      <c r="AM167">
        <v>363</v>
      </c>
      <c r="AN167">
        <v>44</v>
      </c>
      <c r="AP167">
        <v>1</v>
      </c>
      <c r="AR167" t="s">
        <v>242</v>
      </c>
      <c r="AS167" s="1">
        <v>44354.189583333333</v>
      </c>
      <c r="AT167" s="1">
        <v>44354.195300925923</v>
      </c>
      <c r="AU167" s="1">
        <v>44354.196469907409</v>
      </c>
      <c r="AV167" t="s">
        <v>71</v>
      </c>
      <c r="AW167" t="s">
        <v>72</v>
      </c>
      <c r="AX167" t="s">
        <v>73</v>
      </c>
    </row>
    <row r="168" spans="1:50" x14ac:dyDescent="0.3">
      <c r="A168" t="str">
        <f>"201390E0100"</f>
        <v>201390E0100</v>
      </c>
      <c r="B168" t="str">
        <f>"201390E01002"</f>
        <v>201390E01002</v>
      </c>
      <c r="C168" t="str">
        <f t="shared" si="4"/>
        <v>20</v>
      </c>
      <c r="D168" t="s">
        <v>67</v>
      </c>
      <c r="E168" t="str">
        <f t="shared" si="5"/>
        <v>001</v>
      </c>
      <c r="F168" t="s">
        <v>68</v>
      </c>
      <c r="G168" t="str">
        <f>"1390"</f>
        <v>1390</v>
      </c>
      <c r="H168" t="str">
        <f>"0001"</f>
        <v>0001</v>
      </c>
      <c r="I168" t="s">
        <v>109</v>
      </c>
      <c r="J168">
        <v>0</v>
      </c>
      <c r="K168">
        <v>1</v>
      </c>
      <c r="L168">
        <v>2</v>
      </c>
      <c r="M168">
        <v>127</v>
      </c>
      <c r="N168">
        <v>545</v>
      </c>
      <c r="O168">
        <v>0</v>
      </c>
      <c r="P168">
        <v>545</v>
      </c>
      <c r="Q168">
        <v>4</v>
      </c>
      <c r="R168">
        <v>399</v>
      </c>
      <c r="S168">
        <v>3</v>
      </c>
      <c r="T168">
        <v>1</v>
      </c>
      <c r="U168">
        <v>3</v>
      </c>
      <c r="V168">
        <v>0</v>
      </c>
      <c r="W168">
        <v>1</v>
      </c>
      <c r="X168">
        <v>122</v>
      </c>
      <c r="Y168">
        <v>0</v>
      </c>
      <c r="Z168">
        <v>0</v>
      </c>
      <c r="AA168">
        <v>1</v>
      </c>
      <c r="AB168">
        <v>1</v>
      </c>
      <c r="AD168">
        <v>1</v>
      </c>
      <c r="AE168">
        <v>0</v>
      </c>
      <c r="AF168">
        <v>0</v>
      </c>
      <c r="AG168">
        <v>0</v>
      </c>
      <c r="AI168">
        <v>0</v>
      </c>
      <c r="AJ168">
        <v>9</v>
      </c>
      <c r="AK168">
        <v>545</v>
      </c>
      <c r="AL168">
        <v>545</v>
      </c>
      <c r="AM168">
        <v>628</v>
      </c>
      <c r="AN168">
        <v>44</v>
      </c>
      <c r="AP168">
        <v>1</v>
      </c>
      <c r="AR168" t="s">
        <v>243</v>
      </c>
      <c r="AS168" s="1">
        <v>44354.189583333333</v>
      </c>
      <c r="AT168" s="1">
        <v>44354.193935185183</v>
      </c>
      <c r="AU168" s="1">
        <v>44354.194386574076</v>
      </c>
      <c r="AV168" t="s">
        <v>71</v>
      </c>
      <c r="AW168" t="s">
        <v>72</v>
      </c>
      <c r="AX168" t="s">
        <v>73</v>
      </c>
    </row>
    <row r="169" spans="1:50" x14ac:dyDescent="0.3">
      <c r="A169" t="str">
        <f>"201391B0000"</f>
        <v>201391B0000</v>
      </c>
      <c r="B169" t="str">
        <f>"201391B00002"</f>
        <v>201391B00002</v>
      </c>
      <c r="C169" t="str">
        <f t="shared" si="4"/>
        <v>20</v>
      </c>
      <c r="D169" t="s">
        <v>67</v>
      </c>
      <c r="E169" t="str">
        <f t="shared" si="5"/>
        <v>001</v>
      </c>
      <c r="F169" t="s">
        <v>68</v>
      </c>
      <c r="G169" t="str">
        <f>"1391"</f>
        <v>1391</v>
      </c>
      <c r="H169" t="str">
        <f>"0000"</f>
        <v>0000</v>
      </c>
      <c r="I169" t="s">
        <v>69</v>
      </c>
      <c r="J169">
        <v>0</v>
      </c>
      <c r="K169">
        <v>1</v>
      </c>
      <c r="L169">
        <v>2</v>
      </c>
      <c r="M169">
        <v>118</v>
      </c>
      <c r="N169">
        <v>315</v>
      </c>
      <c r="O169">
        <v>0</v>
      </c>
      <c r="P169">
        <v>315</v>
      </c>
      <c r="Q169">
        <v>1</v>
      </c>
      <c r="R169">
        <v>180</v>
      </c>
      <c r="S169">
        <v>2</v>
      </c>
      <c r="T169">
        <v>1</v>
      </c>
      <c r="U169">
        <v>1</v>
      </c>
      <c r="V169">
        <v>2</v>
      </c>
      <c r="W169">
        <v>0</v>
      </c>
      <c r="X169">
        <v>99</v>
      </c>
      <c r="Y169">
        <v>3</v>
      </c>
      <c r="Z169">
        <v>3</v>
      </c>
      <c r="AA169">
        <v>9</v>
      </c>
      <c r="AB169">
        <v>7</v>
      </c>
      <c r="AD169">
        <v>4</v>
      </c>
      <c r="AE169">
        <v>1</v>
      </c>
      <c r="AF169">
        <v>0</v>
      </c>
      <c r="AG169">
        <v>0</v>
      </c>
      <c r="AI169">
        <v>0</v>
      </c>
      <c r="AJ169">
        <v>2</v>
      </c>
      <c r="AK169">
        <v>315</v>
      </c>
      <c r="AL169">
        <v>315</v>
      </c>
      <c r="AM169">
        <v>389</v>
      </c>
      <c r="AN169">
        <v>44</v>
      </c>
      <c r="AP169">
        <v>1</v>
      </c>
      <c r="AR169" t="s">
        <v>244</v>
      </c>
      <c r="AS169" s="1">
        <v>44354.21875</v>
      </c>
      <c r="AT169" s="1">
        <v>44354.221284722225</v>
      </c>
      <c r="AU169" s="1">
        <v>44354.222048611111</v>
      </c>
      <c r="AV169" t="s">
        <v>71</v>
      </c>
      <c r="AW169" t="s">
        <v>72</v>
      </c>
      <c r="AX169" t="s">
        <v>73</v>
      </c>
    </row>
    <row r="170" spans="1:50" x14ac:dyDescent="0.3">
      <c r="A170" t="str">
        <f>"201391C0100"</f>
        <v>201391C0100</v>
      </c>
      <c r="B170" t="str">
        <f>"201391C01002"</f>
        <v>201391C01002</v>
      </c>
      <c r="C170" t="str">
        <f t="shared" si="4"/>
        <v>20</v>
      </c>
      <c r="D170" t="s">
        <v>67</v>
      </c>
      <c r="E170" t="str">
        <f t="shared" si="5"/>
        <v>001</v>
      </c>
      <c r="F170" t="s">
        <v>68</v>
      </c>
      <c r="G170" t="str">
        <f>"1391"</f>
        <v>1391</v>
      </c>
      <c r="H170" t="str">
        <f>"0001"</f>
        <v>0001</v>
      </c>
      <c r="I170" t="s">
        <v>75</v>
      </c>
      <c r="J170">
        <v>0</v>
      </c>
      <c r="K170">
        <v>1</v>
      </c>
      <c r="L170">
        <v>2</v>
      </c>
      <c r="M170">
        <v>120</v>
      </c>
      <c r="N170">
        <v>312</v>
      </c>
      <c r="O170">
        <v>0</v>
      </c>
      <c r="P170">
        <v>312</v>
      </c>
      <c r="Q170">
        <v>4</v>
      </c>
      <c r="R170">
        <v>183</v>
      </c>
      <c r="S170">
        <v>2</v>
      </c>
      <c r="T170">
        <v>2</v>
      </c>
      <c r="U170">
        <v>2</v>
      </c>
      <c r="V170">
        <v>6</v>
      </c>
      <c r="W170">
        <v>1</v>
      </c>
      <c r="X170">
        <v>92</v>
      </c>
      <c r="Y170">
        <v>3</v>
      </c>
      <c r="Z170">
        <v>1</v>
      </c>
      <c r="AA170">
        <v>5</v>
      </c>
      <c r="AB170">
        <v>4</v>
      </c>
      <c r="AD170">
        <v>189</v>
      </c>
      <c r="AE170" t="s">
        <v>77</v>
      </c>
      <c r="AF170" t="s">
        <v>77</v>
      </c>
      <c r="AG170" t="s">
        <v>77</v>
      </c>
      <c r="AI170" t="s">
        <v>77</v>
      </c>
      <c r="AJ170">
        <v>7</v>
      </c>
      <c r="AK170">
        <v>312</v>
      </c>
      <c r="AL170">
        <v>501</v>
      </c>
      <c r="AM170">
        <v>388</v>
      </c>
      <c r="AN170">
        <v>44</v>
      </c>
      <c r="AO170" t="s">
        <v>245</v>
      </c>
      <c r="AP170">
        <v>0</v>
      </c>
      <c r="AR170" t="s">
        <v>246</v>
      </c>
      <c r="AS170" s="1">
        <v>44354.211111111108</v>
      </c>
      <c r="AT170" s="1">
        <v>44354.217418981483</v>
      </c>
      <c r="AU170" s="1">
        <v>44354.218599537038</v>
      </c>
      <c r="AV170" t="s">
        <v>71</v>
      </c>
      <c r="AW170" t="s">
        <v>72</v>
      </c>
      <c r="AX170" t="s">
        <v>73</v>
      </c>
    </row>
    <row r="171" spans="1:50" x14ac:dyDescent="0.3">
      <c r="A171" t="str">
        <f>"201391E0100"</f>
        <v>201391E0100</v>
      </c>
      <c r="B171" t="str">
        <f>"201391E01002"</f>
        <v>201391E01002</v>
      </c>
      <c r="C171" t="str">
        <f t="shared" si="4"/>
        <v>20</v>
      </c>
      <c r="D171" t="s">
        <v>67</v>
      </c>
      <c r="E171" t="str">
        <f t="shared" si="5"/>
        <v>001</v>
      </c>
      <c r="F171" t="s">
        <v>68</v>
      </c>
      <c r="G171" t="str">
        <f>"1391"</f>
        <v>1391</v>
      </c>
      <c r="H171" t="str">
        <f>"0001"</f>
        <v>0001</v>
      </c>
      <c r="I171" t="s">
        <v>109</v>
      </c>
      <c r="J171">
        <v>0</v>
      </c>
      <c r="K171">
        <v>1</v>
      </c>
      <c r="L171">
        <v>2</v>
      </c>
      <c r="M171">
        <v>62</v>
      </c>
      <c r="N171">
        <v>122</v>
      </c>
      <c r="O171">
        <v>2</v>
      </c>
      <c r="P171">
        <v>122</v>
      </c>
      <c r="Q171">
        <v>1</v>
      </c>
      <c r="R171">
        <v>64</v>
      </c>
      <c r="S171">
        <v>1</v>
      </c>
      <c r="T171">
        <v>0</v>
      </c>
      <c r="U171">
        <v>3</v>
      </c>
      <c r="V171">
        <v>1</v>
      </c>
      <c r="W171">
        <v>0</v>
      </c>
      <c r="X171">
        <v>45</v>
      </c>
      <c r="Y171">
        <v>1</v>
      </c>
      <c r="Z171">
        <v>0</v>
      </c>
      <c r="AA171">
        <v>1</v>
      </c>
      <c r="AB171">
        <v>1</v>
      </c>
      <c r="AD171">
        <v>1</v>
      </c>
      <c r="AE171">
        <v>0</v>
      </c>
      <c r="AF171">
        <v>0</v>
      </c>
      <c r="AG171">
        <v>0</v>
      </c>
      <c r="AI171">
        <v>0</v>
      </c>
      <c r="AJ171">
        <v>3</v>
      </c>
      <c r="AK171">
        <v>122</v>
      </c>
      <c r="AL171">
        <v>122</v>
      </c>
      <c r="AM171">
        <v>140</v>
      </c>
      <c r="AN171">
        <v>44</v>
      </c>
      <c r="AP171">
        <v>1</v>
      </c>
      <c r="AR171" t="s">
        <v>247</v>
      </c>
      <c r="AS171" s="1">
        <v>44354.211805555555</v>
      </c>
      <c r="AT171" s="1">
        <v>44354.216967592591</v>
      </c>
      <c r="AU171" s="1">
        <v>44354.217499999999</v>
      </c>
      <c r="AV171" t="s">
        <v>71</v>
      </c>
      <c r="AW171" t="s">
        <v>72</v>
      </c>
      <c r="AX171" t="s">
        <v>73</v>
      </c>
    </row>
    <row r="172" spans="1:50" x14ac:dyDescent="0.3">
      <c r="A172" t="str">
        <f>"201392B0000"</f>
        <v>201392B0000</v>
      </c>
      <c r="B172" t="str">
        <f>"201392B00002"</f>
        <v>201392B00002</v>
      </c>
      <c r="C172" t="str">
        <f t="shared" si="4"/>
        <v>20</v>
      </c>
      <c r="D172" t="s">
        <v>67</v>
      </c>
      <c r="E172" t="str">
        <f t="shared" si="5"/>
        <v>001</v>
      </c>
      <c r="F172" t="s">
        <v>68</v>
      </c>
      <c r="G172" t="str">
        <f>"1392"</f>
        <v>1392</v>
      </c>
      <c r="H172" t="str">
        <f>"0000"</f>
        <v>0000</v>
      </c>
      <c r="I172" t="s">
        <v>69</v>
      </c>
      <c r="J172">
        <v>0</v>
      </c>
      <c r="K172">
        <v>1</v>
      </c>
      <c r="L172">
        <v>2</v>
      </c>
      <c r="M172">
        <v>294</v>
      </c>
      <c r="N172">
        <v>469</v>
      </c>
      <c r="O172">
        <v>1</v>
      </c>
      <c r="P172">
        <v>469</v>
      </c>
      <c r="Q172">
        <v>2</v>
      </c>
      <c r="R172">
        <v>289</v>
      </c>
      <c r="S172">
        <v>1</v>
      </c>
      <c r="T172">
        <v>8</v>
      </c>
      <c r="U172">
        <v>1</v>
      </c>
      <c r="V172">
        <v>2</v>
      </c>
      <c r="W172">
        <v>1</v>
      </c>
      <c r="X172">
        <v>141</v>
      </c>
      <c r="Y172">
        <v>0</v>
      </c>
      <c r="Z172">
        <v>2</v>
      </c>
      <c r="AA172">
        <v>8</v>
      </c>
      <c r="AB172">
        <v>2</v>
      </c>
      <c r="AD172">
        <v>1</v>
      </c>
      <c r="AE172">
        <v>2</v>
      </c>
      <c r="AF172">
        <v>0</v>
      </c>
      <c r="AG172">
        <v>0</v>
      </c>
      <c r="AI172">
        <v>0</v>
      </c>
      <c r="AJ172">
        <v>9</v>
      </c>
      <c r="AK172">
        <v>469</v>
      </c>
      <c r="AL172">
        <v>469</v>
      </c>
      <c r="AM172">
        <v>720</v>
      </c>
      <c r="AN172">
        <v>44</v>
      </c>
      <c r="AP172">
        <v>1</v>
      </c>
      <c r="AR172" t="s">
        <v>248</v>
      </c>
      <c r="AS172" s="1">
        <v>44354.242361111108</v>
      </c>
      <c r="AT172" s="1">
        <v>44354.248831018522</v>
      </c>
      <c r="AU172" s="1">
        <v>44354.249467592592</v>
      </c>
      <c r="AV172" t="s">
        <v>71</v>
      </c>
      <c r="AW172" t="s">
        <v>72</v>
      </c>
      <c r="AX172" t="s">
        <v>73</v>
      </c>
    </row>
    <row r="173" spans="1:50" x14ac:dyDescent="0.3">
      <c r="A173" t="str">
        <f>"201392C0100"</f>
        <v>201392C0100</v>
      </c>
      <c r="B173" t="str">
        <f>"201392C01002"</f>
        <v>201392C01002</v>
      </c>
      <c r="C173" t="str">
        <f t="shared" si="4"/>
        <v>20</v>
      </c>
      <c r="D173" t="s">
        <v>67</v>
      </c>
      <c r="E173" t="str">
        <f t="shared" si="5"/>
        <v>001</v>
      </c>
      <c r="F173" t="s">
        <v>68</v>
      </c>
      <c r="G173" t="str">
        <f>"1392"</f>
        <v>1392</v>
      </c>
      <c r="H173" t="str">
        <f>"0001"</f>
        <v>0001</v>
      </c>
      <c r="I173" t="s">
        <v>75</v>
      </c>
      <c r="J173">
        <v>0</v>
      </c>
      <c r="K173">
        <v>1</v>
      </c>
      <c r="L173">
        <v>2</v>
      </c>
      <c r="M173">
        <v>322</v>
      </c>
      <c r="N173">
        <v>441</v>
      </c>
      <c r="O173">
        <v>0</v>
      </c>
      <c r="P173">
        <v>441</v>
      </c>
      <c r="Q173">
        <v>3</v>
      </c>
      <c r="R173">
        <v>249</v>
      </c>
      <c r="S173">
        <v>3</v>
      </c>
      <c r="T173">
        <v>0</v>
      </c>
      <c r="U173">
        <v>1</v>
      </c>
      <c r="V173">
        <v>1</v>
      </c>
      <c r="W173">
        <v>2</v>
      </c>
      <c r="X173">
        <v>161</v>
      </c>
      <c r="Y173">
        <v>1</v>
      </c>
      <c r="Z173">
        <v>3</v>
      </c>
      <c r="AA173">
        <v>7</v>
      </c>
      <c r="AB173">
        <v>3</v>
      </c>
      <c r="AD173">
        <v>1</v>
      </c>
      <c r="AE173">
        <v>2</v>
      </c>
      <c r="AF173">
        <v>0</v>
      </c>
      <c r="AG173">
        <v>0</v>
      </c>
      <c r="AI173">
        <v>0</v>
      </c>
      <c r="AJ173">
        <v>4</v>
      </c>
      <c r="AK173">
        <v>441</v>
      </c>
      <c r="AL173">
        <v>441</v>
      </c>
      <c r="AM173">
        <v>719</v>
      </c>
      <c r="AN173">
        <v>44</v>
      </c>
      <c r="AP173">
        <v>1</v>
      </c>
      <c r="AR173" t="s">
        <v>249</v>
      </c>
      <c r="AS173" s="1">
        <v>44354.242361111108</v>
      </c>
      <c r="AT173" s="1">
        <v>44354.250069444446</v>
      </c>
      <c r="AU173" s="1">
        <v>44354.250462962962</v>
      </c>
      <c r="AV173" t="s">
        <v>71</v>
      </c>
      <c r="AW173" t="s">
        <v>72</v>
      </c>
      <c r="AX173" t="s">
        <v>73</v>
      </c>
    </row>
    <row r="174" spans="1:50" x14ac:dyDescent="0.3">
      <c r="A174" t="str">
        <f>"201392E0100"</f>
        <v>201392E0100</v>
      </c>
      <c r="B174" t="str">
        <f>"201392E01002"</f>
        <v>201392E01002</v>
      </c>
      <c r="C174" t="str">
        <f t="shared" si="4"/>
        <v>20</v>
      </c>
      <c r="D174" t="s">
        <v>67</v>
      </c>
      <c r="E174" t="str">
        <f t="shared" si="5"/>
        <v>001</v>
      </c>
      <c r="F174" t="s">
        <v>68</v>
      </c>
      <c r="G174" t="str">
        <f>"1392"</f>
        <v>1392</v>
      </c>
      <c r="H174" t="str">
        <f>"0001"</f>
        <v>0001</v>
      </c>
      <c r="I174" t="s">
        <v>109</v>
      </c>
      <c r="J174">
        <v>0</v>
      </c>
      <c r="K174">
        <v>1</v>
      </c>
      <c r="L174">
        <v>2</v>
      </c>
      <c r="M174">
        <v>126</v>
      </c>
      <c r="N174">
        <v>259</v>
      </c>
      <c r="O174">
        <v>3</v>
      </c>
      <c r="P174">
        <v>259</v>
      </c>
      <c r="Q174">
        <v>5</v>
      </c>
      <c r="R174">
        <v>145</v>
      </c>
      <c r="S174">
        <v>2</v>
      </c>
      <c r="T174">
        <v>4</v>
      </c>
      <c r="U174">
        <v>1</v>
      </c>
      <c r="V174">
        <v>2</v>
      </c>
      <c r="W174">
        <v>0</v>
      </c>
      <c r="X174">
        <v>85</v>
      </c>
      <c r="Y174">
        <v>0</v>
      </c>
      <c r="Z174">
        <v>1</v>
      </c>
      <c r="AA174">
        <v>4</v>
      </c>
      <c r="AB174">
        <v>1</v>
      </c>
      <c r="AD174">
        <v>2</v>
      </c>
      <c r="AE174">
        <v>1</v>
      </c>
      <c r="AF174">
        <v>0</v>
      </c>
      <c r="AG174">
        <v>0</v>
      </c>
      <c r="AI174">
        <v>0</v>
      </c>
      <c r="AJ174">
        <v>6</v>
      </c>
      <c r="AK174">
        <v>259</v>
      </c>
      <c r="AL174">
        <v>259</v>
      </c>
      <c r="AM174">
        <v>342</v>
      </c>
      <c r="AN174">
        <v>44</v>
      </c>
      <c r="AP174">
        <v>1</v>
      </c>
      <c r="AR174" t="s">
        <v>250</v>
      </c>
      <c r="AS174" s="1">
        <v>44354.241666666669</v>
      </c>
      <c r="AT174" s="1">
        <v>44354.250254629631</v>
      </c>
      <c r="AU174" s="1">
        <v>44354.250717592593</v>
      </c>
      <c r="AV174" t="s">
        <v>71</v>
      </c>
      <c r="AW174" t="s">
        <v>72</v>
      </c>
      <c r="AX174" t="s">
        <v>73</v>
      </c>
    </row>
    <row r="175" spans="1:50" x14ac:dyDescent="0.3">
      <c r="A175" t="str">
        <f>"201393B0000"</f>
        <v>201393B0000</v>
      </c>
      <c r="B175" t="str">
        <f>"201393B00002"</f>
        <v>201393B00002</v>
      </c>
      <c r="C175" t="str">
        <f t="shared" si="4"/>
        <v>20</v>
      </c>
      <c r="D175" t="s">
        <v>67</v>
      </c>
      <c r="E175" t="str">
        <f t="shared" si="5"/>
        <v>001</v>
      </c>
      <c r="F175" t="s">
        <v>68</v>
      </c>
      <c r="G175" t="str">
        <f>"1393"</f>
        <v>1393</v>
      </c>
      <c r="H175" t="str">
        <f>"0000"</f>
        <v>0000</v>
      </c>
      <c r="I175" t="s">
        <v>69</v>
      </c>
      <c r="J175">
        <v>0</v>
      </c>
      <c r="K175">
        <v>1</v>
      </c>
      <c r="L175">
        <v>2</v>
      </c>
      <c r="M175">
        <v>208</v>
      </c>
      <c r="N175">
        <v>483</v>
      </c>
      <c r="O175">
        <v>4</v>
      </c>
      <c r="P175">
        <v>483</v>
      </c>
      <c r="Q175">
        <v>42</v>
      </c>
      <c r="R175">
        <v>248</v>
      </c>
      <c r="S175">
        <v>3</v>
      </c>
      <c r="T175">
        <v>2</v>
      </c>
      <c r="U175">
        <v>4</v>
      </c>
      <c r="V175">
        <v>3</v>
      </c>
      <c r="W175">
        <v>1</v>
      </c>
      <c r="X175">
        <v>162</v>
      </c>
      <c r="Y175">
        <v>1</v>
      </c>
      <c r="Z175">
        <v>3</v>
      </c>
      <c r="AA175">
        <v>8</v>
      </c>
      <c r="AB175">
        <v>0</v>
      </c>
      <c r="AD175">
        <v>1</v>
      </c>
      <c r="AE175">
        <v>0</v>
      </c>
      <c r="AF175">
        <v>0</v>
      </c>
      <c r="AG175">
        <v>0</v>
      </c>
      <c r="AI175">
        <v>0</v>
      </c>
      <c r="AJ175">
        <v>5</v>
      </c>
      <c r="AK175">
        <v>483</v>
      </c>
      <c r="AL175">
        <v>483</v>
      </c>
      <c r="AM175">
        <v>647</v>
      </c>
      <c r="AN175">
        <v>44</v>
      </c>
      <c r="AP175">
        <v>1</v>
      </c>
      <c r="AR175" t="s">
        <v>251</v>
      </c>
      <c r="AS175" s="1">
        <v>44354.231944444444</v>
      </c>
      <c r="AT175" s="1">
        <v>44354.24113425926</v>
      </c>
      <c r="AU175" s="1">
        <v>44354.241643518515</v>
      </c>
      <c r="AV175" t="s">
        <v>71</v>
      </c>
      <c r="AW175" t="s">
        <v>72</v>
      </c>
      <c r="AX175" t="s">
        <v>73</v>
      </c>
    </row>
    <row r="176" spans="1:50" x14ac:dyDescent="0.3">
      <c r="A176" t="str">
        <f>"201393C0100"</f>
        <v>201393C0100</v>
      </c>
      <c r="B176" t="str">
        <f>"201393C01002"</f>
        <v>201393C01002</v>
      </c>
      <c r="C176" t="str">
        <f t="shared" si="4"/>
        <v>20</v>
      </c>
      <c r="D176" t="s">
        <v>67</v>
      </c>
      <c r="E176" t="str">
        <f t="shared" si="5"/>
        <v>001</v>
      </c>
      <c r="F176" t="s">
        <v>68</v>
      </c>
      <c r="G176" t="str">
        <f>"1393"</f>
        <v>1393</v>
      </c>
      <c r="H176" t="str">
        <f>"0001"</f>
        <v>0001</v>
      </c>
      <c r="I176" t="s">
        <v>75</v>
      </c>
      <c r="J176">
        <v>0</v>
      </c>
      <c r="K176">
        <v>1</v>
      </c>
      <c r="L176">
        <v>2</v>
      </c>
      <c r="M176">
        <v>209</v>
      </c>
      <c r="N176">
        <v>482</v>
      </c>
      <c r="O176">
        <v>1</v>
      </c>
      <c r="P176">
        <v>482</v>
      </c>
      <c r="Q176">
        <v>40</v>
      </c>
      <c r="R176">
        <v>276</v>
      </c>
      <c r="S176">
        <v>2</v>
      </c>
      <c r="T176">
        <v>3</v>
      </c>
      <c r="U176">
        <v>4</v>
      </c>
      <c r="V176">
        <v>1</v>
      </c>
      <c r="W176">
        <v>1</v>
      </c>
      <c r="X176">
        <v>138</v>
      </c>
      <c r="Y176">
        <v>0</v>
      </c>
      <c r="Z176">
        <v>3</v>
      </c>
      <c r="AA176">
        <v>4</v>
      </c>
      <c r="AB176">
        <v>1</v>
      </c>
      <c r="AD176">
        <v>0</v>
      </c>
      <c r="AE176">
        <v>0</v>
      </c>
      <c r="AF176">
        <v>0</v>
      </c>
      <c r="AG176">
        <v>0</v>
      </c>
      <c r="AI176">
        <v>0</v>
      </c>
      <c r="AJ176">
        <v>9</v>
      </c>
      <c r="AK176">
        <v>482</v>
      </c>
      <c r="AL176">
        <v>482</v>
      </c>
      <c r="AM176">
        <v>647</v>
      </c>
      <c r="AN176">
        <v>44</v>
      </c>
      <c r="AP176">
        <v>1</v>
      </c>
      <c r="AR176" t="s">
        <v>252</v>
      </c>
      <c r="AS176" s="1">
        <v>44354.224999999999</v>
      </c>
      <c r="AT176" s="1">
        <v>44354.2341087963</v>
      </c>
      <c r="AU176" s="1">
        <v>44354.234803240739</v>
      </c>
      <c r="AV176" t="s">
        <v>71</v>
      </c>
      <c r="AW176" t="s">
        <v>72</v>
      </c>
      <c r="AX176" t="s">
        <v>73</v>
      </c>
    </row>
    <row r="177" spans="1:50" x14ac:dyDescent="0.3">
      <c r="A177" t="str">
        <f>"201394B0000"</f>
        <v>201394B0000</v>
      </c>
      <c r="B177" t="str">
        <f>"201394B00002"</f>
        <v>201394B00002</v>
      </c>
      <c r="C177" t="str">
        <f t="shared" si="4"/>
        <v>20</v>
      </c>
      <c r="D177" t="s">
        <v>67</v>
      </c>
      <c r="E177" t="str">
        <f t="shared" si="5"/>
        <v>001</v>
      </c>
      <c r="F177" t="s">
        <v>68</v>
      </c>
      <c r="G177" t="str">
        <f>"1394"</f>
        <v>1394</v>
      </c>
      <c r="H177" t="str">
        <f>"0000"</f>
        <v>0000</v>
      </c>
      <c r="I177" t="s">
        <v>69</v>
      </c>
      <c r="J177">
        <v>0</v>
      </c>
      <c r="K177">
        <v>1</v>
      </c>
      <c r="L177">
        <v>2</v>
      </c>
      <c r="M177">
        <v>142</v>
      </c>
      <c r="N177">
        <v>367</v>
      </c>
      <c r="O177">
        <v>0</v>
      </c>
      <c r="P177">
        <v>367</v>
      </c>
      <c r="Q177">
        <v>14</v>
      </c>
      <c r="R177">
        <v>226</v>
      </c>
      <c r="S177">
        <v>10</v>
      </c>
      <c r="T177">
        <v>1</v>
      </c>
      <c r="U177">
        <v>1</v>
      </c>
      <c r="V177">
        <v>1</v>
      </c>
      <c r="W177">
        <v>1</v>
      </c>
      <c r="X177">
        <v>103</v>
      </c>
      <c r="Y177">
        <v>0</v>
      </c>
      <c r="Z177">
        <v>0</v>
      </c>
      <c r="AA177">
        <v>3</v>
      </c>
      <c r="AB177">
        <v>1</v>
      </c>
      <c r="AD177">
        <v>1</v>
      </c>
      <c r="AE177">
        <v>0</v>
      </c>
      <c r="AF177">
        <v>0</v>
      </c>
      <c r="AG177">
        <v>0</v>
      </c>
      <c r="AI177">
        <v>0</v>
      </c>
      <c r="AJ177">
        <v>5</v>
      </c>
      <c r="AK177">
        <v>367</v>
      </c>
      <c r="AL177">
        <v>367</v>
      </c>
      <c r="AM177">
        <v>465</v>
      </c>
      <c r="AN177">
        <v>44</v>
      </c>
      <c r="AP177">
        <v>1</v>
      </c>
      <c r="AR177" t="s">
        <v>253</v>
      </c>
      <c r="AS177" s="1">
        <v>44354.231944444444</v>
      </c>
      <c r="AT177" s="1">
        <v>44354.239699074074</v>
      </c>
      <c r="AU177" s="1">
        <v>44354.240173611113</v>
      </c>
      <c r="AV177" t="s">
        <v>71</v>
      </c>
      <c r="AW177" t="s">
        <v>72</v>
      </c>
      <c r="AX177" t="s">
        <v>73</v>
      </c>
    </row>
    <row r="178" spans="1:50" x14ac:dyDescent="0.3">
      <c r="A178" t="str">
        <f>"201394E0100"</f>
        <v>201394E0100</v>
      </c>
      <c r="B178" t="str">
        <f>"201394E01002"</f>
        <v>201394E01002</v>
      </c>
      <c r="C178" t="str">
        <f t="shared" si="4"/>
        <v>20</v>
      </c>
      <c r="D178" t="s">
        <v>67</v>
      </c>
      <c r="E178" t="str">
        <f t="shared" si="5"/>
        <v>001</v>
      </c>
      <c r="F178" t="s">
        <v>68</v>
      </c>
      <c r="G178" t="str">
        <f>"1394"</f>
        <v>1394</v>
      </c>
      <c r="H178" t="str">
        <f>"0001"</f>
        <v>0001</v>
      </c>
      <c r="I178" t="s">
        <v>109</v>
      </c>
      <c r="J178">
        <v>0</v>
      </c>
      <c r="K178">
        <v>1</v>
      </c>
      <c r="L178">
        <v>2</v>
      </c>
      <c r="M178">
        <v>111</v>
      </c>
      <c r="N178">
        <v>220</v>
      </c>
      <c r="O178">
        <v>0</v>
      </c>
      <c r="P178">
        <v>220</v>
      </c>
      <c r="Q178">
        <v>2</v>
      </c>
      <c r="R178">
        <v>164</v>
      </c>
      <c r="S178">
        <v>1</v>
      </c>
      <c r="T178">
        <v>1</v>
      </c>
      <c r="U178">
        <v>1</v>
      </c>
      <c r="V178">
        <v>0</v>
      </c>
      <c r="W178">
        <v>1</v>
      </c>
      <c r="X178">
        <v>44</v>
      </c>
      <c r="Y178">
        <v>0</v>
      </c>
      <c r="Z178">
        <v>0</v>
      </c>
      <c r="AA178">
        <v>0</v>
      </c>
      <c r="AB178">
        <v>1</v>
      </c>
      <c r="AD178">
        <v>2</v>
      </c>
      <c r="AE178">
        <v>0</v>
      </c>
      <c r="AF178">
        <v>0</v>
      </c>
      <c r="AG178">
        <v>0</v>
      </c>
      <c r="AI178">
        <v>0</v>
      </c>
      <c r="AJ178">
        <v>3</v>
      </c>
      <c r="AK178">
        <v>220</v>
      </c>
      <c r="AL178">
        <v>220</v>
      </c>
      <c r="AM178">
        <v>287</v>
      </c>
      <c r="AN178">
        <v>44</v>
      </c>
      <c r="AP178">
        <v>1</v>
      </c>
      <c r="AR178" t="s">
        <v>254</v>
      </c>
      <c r="AS178" s="1">
        <v>44354.231249999997</v>
      </c>
      <c r="AT178" s="1">
        <v>44354.239918981482</v>
      </c>
      <c r="AU178" s="1">
        <v>44354.240729166668</v>
      </c>
      <c r="AV178" t="s">
        <v>71</v>
      </c>
      <c r="AW178" t="s">
        <v>72</v>
      </c>
      <c r="AX178" t="s">
        <v>73</v>
      </c>
    </row>
    <row r="179" spans="1:50" x14ac:dyDescent="0.3">
      <c r="A179" t="str">
        <f>"201395B0000"</f>
        <v>201395B0000</v>
      </c>
      <c r="B179" t="str">
        <f>"201395B00002"</f>
        <v>201395B00002</v>
      </c>
      <c r="C179" t="str">
        <f t="shared" si="4"/>
        <v>20</v>
      </c>
      <c r="D179" t="s">
        <v>67</v>
      </c>
      <c r="E179" t="str">
        <f t="shared" si="5"/>
        <v>001</v>
      </c>
      <c r="F179" t="s">
        <v>68</v>
      </c>
      <c r="G179" t="str">
        <f>"1395"</f>
        <v>1395</v>
      </c>
      <c r="H179" t="str">
        <f>"0000"</f>
        <v>0000</v>
      </c>
      <c r="I179" t="s">
        <v>69</v>
      </c>
      <c r="J179">
        <v>0</v>
      </c>
      <c r="K179">
        <v>1</v>
      </c>
      <c r="L179">
        <v>2</v>
      </c>
      <c r="M179">
        <v>210</v>
      </c>
      <c r="N179">
        <v>460</v>
      </c>
      <c r="O179">
        <v>0</v>
      </c>
      <c r="P179">
        <v>460</v>
      </c>
      <c r="Q179">
        <v>3</v>
      </c>
      <c r="R179">
        <v>311</v>
      </c>
      <c r="S179">
        <v>1</v>
      </c>
      <c r="T179">
        <v>0</v>
      </c>
      <c r="U179">
        <v>0</v>
      </c>
      <c r="V179">
        <v>2</v>
      </c>
      <c r="W179">
        <v>0</v>
      </c>
      <c r="X179">
        <v>127</v>
      </c>
      <c r="Y179">
        <v>0</v>
      </c>
      <c r="Z179">
        <v>2</v>
      </c>
      <c r="AA179">
        <v>3</v>
      </c>
      <c r="AB179">
        <v>2</v>
      </c>
      <c r="AD179">
        <v>0</v>
      </c>
      <c r="AE179">
        <v>0</v>
      </c>
      <c r="AF179">
        <v>0</v>
      </c>
      <c r="AG179">
        <v>0</v>
      </c>
      <c r="AI179">
        <v>0</v>
      </c>
      <c r="AJ179">
        <v>9</v>
      </c>
      <c r="AK179">
        <v>460</v>
      </c>
      <c r="AL179">
        <v>460</v>
      </c>
      <c r="AM179">
        <v>626</v>
      </c>
      <c r="AN179">
        <v>44</v>
      </c>
      <c r="AP179">
        <v>1</v>
      </c>
      <c r="AR179" t="s">
        <v>255</v>
      </c>
      <c r="AS179" s="1">
        <v>44354.223611111112</v>
      </c>
      <c r="AT179" s="1">
        <v>44354.228692129633</v>
      </c>
      <c r="AU179" s="1">
        <v>44354.22928240741</v>
      </c>
      <c r="AV179" t="s">
        <v>71</v>
      </c>
      <c r="AW179" t="s">
        <v>72</v>
      </c>
      <c r="AX179" t="s">
        <v>73</v>
      </c>
    </row>
    <row r="180" spans="1:50" x14ac:dyDescent="0.3">
      <c r="A180" t="str">
        <f>"201395E0100"</f>
        <v>201395E0100</v>
      </c>
      <c r="B180" t="str">
        <f>"201395E01002"</f>
        <v>201395E01002</v>
      </c>
      <c r="C180" t="str">
        <f t="shared" si="4"/>
        <v>20</v>
      </c>
      <c r="D180" t="s">
        <v>67</v>
      </c>
      <c r="E180" t="str">
        <f t="shared" si="5"/>
        <v>001</v>
      </c>
      <c r="F180" t="s">
        <v>68</v>
      </c>
      <c r="G180" t="str">
        <f>"1395"</f>
        <v>1395</v>
      </c>
      <c r="H180" t="str">
        <f>"0001"</f>
        <v>0001</v>
      </c>
      <c r="I180" t="s">
        <v>109</v>
      </c>
      <c r="J180">
        <v>0</v>
      </c>
      <c r="K180">
        <v>1</v>
      </c>
      <c r="L180">
        <v>2</v>
      </c>
      <c r="M180">
        <v>154</v>
      </c>
      <c r="N180">
        <v>551</v>
      </c>
      <c r="O180" t="s">
        <v>80</v>
      </c>
      <c r="P180">
        <v>551</v>
      </c>
      <c r="Q180">
        <v>88</v>
      </c>
      <c r="R180">
        <v>274</v>
      </c>
      <c r="S180">
        <v>1</v>
      </c>
      <c r="T180" t="s">
        <v>77</v>
      </c>
      <c r="U180" t="s">
        <v>99</v>
      </c>
      <c r="V180">
        <v>4</v>
      </c>
      <c r="W180">
        <v>1</v>
      </c>
      <c r="X180">
        <v>166</v>
      </c>
      <c r="Y180">
        <v>1</v>
      </c>
      <c r="Z180">
        <v>1</v>
      </c>
      <c r="AA180">
        <v>4</v>
      </c>
      <c r="AB180">
        <v>2</v>
      </c>
      <c r="AD180">
        <v>3</v>
      </c>
      <c r="AE180" t="s">
        <v>77</v>
      </c>
      <c r="AF180" t="s">
        <v>77</v>
      </c>
      <c r="AG180" t="s">
        <v>77</v>
      </c>
      <c r="AI180" t="s">
        <v>77</v>
      </c>
      <c r="AJ180">
        <v>7</v>
      </c>
      <c r="AK180">
        <v>551</v>
      </c>
      <c r="AL180">
        <v>552</v>
      </c>
      <c r="AM180">
        <v>661</v>
      </c>
      <c r="AN180">
        <v>44</v>
      </c>
      <c r="AO180" t="s">
        <v>78</v>
      </c>
      <c r="AP180">
        <v>1</v>
      </c>
      <c r="AR180" t="s">
        <v>256</v>
      </c>
      <c r="AS180" s="1">
        <v>44354.077777777777</v>
      </c>
      <c r="AT180" s="1">
        <v>44354.119710648149</v>
      </c>
      <c r="AU180" s="1">
        <v>44354.12060185185</v>
      </c>
      <c r="AV180" t="s">
        <v>71</v>
      </c>
      <c r="AW180" t="s">
        <v>72</v>
      </c>
      <c r="AX180" t="s">
        <v>73</v>
      </c>
    </row>
    <row r="181" spans="1:50" x14ac:dyDescent="0.3">
      <c r="A181" t="str">
        <f>"201473B0000"</f>
        <v>201473B0000</v>
      </c>
      <c r="B181" t="str">
        <f>"201473B00002"</f>
        <v>201473B00002</v>
      </c>
      <c r="C181" t="str">
        <f t="shared" si="4"/>
        <v>20</v>
      </c>
      <c r="D181" t="s">
        <v>67</v>
      </c>
      <c r="E181" t="str">
        <f t="shared" si="5"/>
        <v>001</v>
      </c>
      <c r="F181" t="s">
        <v>68</v>
      </c>
      <c r="G181" t="str">
        <f>"1473"</f>
        <v>1473</v>
      </c>
      <c r="H181" t="str">
        <f>"0000"</f>
        <v>0000</v>
      </c>
      <c r="I181" t="s">
        <v>69</v>
      </c>
      <c r="J181">
        <v>0</v>
      </c>
      <c r="K181">
        <v>1</v>
      </c>
      <c r="L181">
        <v>2</v>
      </c>
      <c r="M181">
        <v>131</v>
      </c>
      <c r="N181">
        <v>438</v>
      </c>
      <c r="O181">
        <v>1</v>
      </c>
      <c r="P181" t="s">
        <v>80</v>
      </c>
      <c r="Q181">
        <v>5</v>
      </c>
      <c r="R181">
        <v>151</v>
      </c>
      <c r="S181">
        <v>4</v>
      </c>
      <c r="T181">
        <v>2</v>
      </c>
      <c r="U181">
        <v>0</v>
      </c>
      <c r="V181">
        <v>1</v>
      </c>
      <c r="W181">
        <v>168</v>
      </c>
      <c r="X181">
        <v>173</v>
      </c>
      <c r="Y181">
        <v>0</v>
      </c>
      <c r="Z181">
        <v>1</v>
      </c>
      <c r="AA181">
        <v>0</v>
      </c>
      <c r="AB181">
        <v>0</v>
      </c>
      <c r="AD181">
        <v>0</v>
      </c>
      <c r="AE181">
        <v>0</v>
      </c>
      <c r="AF181">
        <v>0</v>
      </c>
      <c r="AG181">
        <v>0</v>
      </c>
      <c r="AI181">
        <v>0</v>
      </c>
      <c r="AJ181">
        <v>0</v>
      </c>
      <c r="AK181">
        <v>437</v>
      </c>
      <c r="AL181">
        <v>505</v>
      </c>
      <c r="AM181">
        <v>524</v>
      </c>
      <c r="AN181">
        <v>44</v>
      </c>
      <c r="AP181">
        <v>1</v>
      </c>
      <c r="AR181" t="s">
        <v>257</v>
      </c>
      <c r="AS181" s="1">
        <v>44354.595833333333</v>
      </c>
      <c r="AT181" s="1">
        <v>44354.603113425925</v>
      </c>
      <c r="AU181" s="1">
        <v>44354.603715277779</v>
      </c>
      <c r="AV181" t="s">
        <v>71</v>
      </c>
      <c r="AW181" t="s">
        <v>72</v>
      </c>
      <c r="AX181" t="s">
        <v>73</v>
      </c>
    </row>
    <row r="182" spans="1:50" x14ac:dyDescent="0.3">
      <c r="A182" t="str">
        <f>"201473C0100"</f>
        <v>201473C0100</v>
      </c>
      <c r="B182" t="str">
        <f>"201473C01002"</f>
        <v>201473C01002</v>
      </c>
      <c r="C182" t="str">
        <f t="shared" si="4"/>
        <v>20</v>
      </c>
      <c r="D182" t="s">
        <v>67</v>
      </c>
      <c r="E182" t="str">
        <f t="shared" si="5"/>
        <v>001</v>
      </c>
      <c r="F182" t="s">
        <v>68</v>
      </c>
      <c r="G182" t="str">
        <f>"1473"</f>
        <v>1473</v>
      </c>
      <c r="H182" t="str">
        <f>"0001"</f>
        <v>0001</v>
      </c>
      <c r="I182" t="s">
        <v>75</v>
      </c>
      <c r="J182">
        <v>0</v>
      </c>
      <c r="K182">
        <v>1</v>
      </c>
      <c r="L182">
        <v>2</v>
      </c>
      <c r="M182">
        <v>122</v>
      </c>
      <c r="N182">
        <v>445</v>
      </c>
      <c r="O182">
        <v>3</v>
      </c>
      <c r="P182">
        <v>445</v>
      </c>
      <c r="Q182">
        <v>2</v>
      </c>
      <c r="R182">
        <v>129</v>
      </c>
      <c r="S182">
        <v>0</v>
      </c>
      <c r="T182">
        <v>1</v>
      </c>
      <c r="U182">
        <v>1</v>
      </c>
      <c r="V182">
        <v>1</v>
      </c>
      <c r="W182">
        <v>85</v>
      </c>
      <c r="X182">
        <v>203</v>
      </c>
      <c r="Y182">
        <v>1</v>
      </c>
      <c r="Z182">
        <v>3</v>
      </c>
      <c r="AA182">
        <v>3</v>
      </c>
      <c r="AB182">
        <v>1</v>
      </c>
      <c r="AD182">
        <v>6</v>
      </c>
      <c r="AE182">
        <v>0</v>
      </c>
      <c r="AF182">
        <v>0</v>
      </c>
      <c r="AG182">
        <v>0</v>
      </c>
      <c r="AI182">
        <v>0</v>
      </c>
      <c r="AJ182">
        <v>10</v>
      </c>
      <c r="AK182">
        <v>445</v>
      </c>
      <c r="AL182">
        <v>446</v>
      </c>
      <c r="AM182">
        <v>524</v>
      </c>
      <c r="AN182">
        <v>44</v>
      </c>
      <c r="AP182">
        <v>1</v>
      </c>
      <c r="AR182" t="s">
        <v>258</v>
      </c>
      <c r="AS182" s="1">
        <v>44354.595833333333</v>
      </c>
      <c r="AT182" s="1">
        <v>44354.602951388886</v>
      </c>
      <c r="AU182" s="1">
        <v>44354.603587962964</v>
      </c>
      <c r="AV182" t="s">
        <v>71</v>
      </c>
      <c r="AW182" t="s">
        <v>72</v>
      </c>
      <c r="AX182" t="s">
        <v>73</v>
      </c>
    </row>
    <row r="183" spans="1:50" x14ac:dyDescent="0.3">
      <c r="A183" t="str">
        <f>"201473C0200"</f>
        <v>201473C0200</v>
      </c>
      <c r="B183" t="str">
        <f>"201473C02002"</f>
        <v>201473C02002</v>
      </c>
      <c r="C183" t="str">
        <f t="shared" si="4"/>
        <v>20</v>
      </c>
      <c r="D183" t="s">
        <v>67</v>
      </c>
      <c r="E183" t="str">
        <f t="shared" si="5"/>
        <v>001</v>
      </c>
      <c r="F183" t="s">
        <v>68</v>
      </c>
      <c r="G183" t="str">
        <f>"1473"</f>
        <v>1473</v>
      </c>
      <c r="H183" t="str">
        <f>"0002"</f>
        <v>0002</v>
      </c>
      <c r="I183" t="s">
        <v>75</v>
      </c>
      <c r="J183">
        <v>0</v>
      </c>
      <c r="K183">
        <v>1</v>
      </c>
      <c r="L183">
        <v>2</v>
      </c>
      <c r="M183">
        <v>131</v>
      </c>
      <c r="N183">
        <v>437</v>
      </c>
      <c r="O183">
        <v>2</v>
      </c>
      <c r="P183">
        <v>437</v>
      </c>
      <c r="Q183">
        <v>9</v>
      </c>
      <c r="R183">
        <v>133</v>
      </c>
      <c r="S183">
        <v>1</v>
      </c>
      <c r="T183">
        <v>0</v>
      </c>
      <c r="U183">
        <v>1</v>
      </c>
      <c r="V183">
        <v>4</v>
      </c>
      <c r="W183">
        <v>48</v>
      </c>
      <c r="X183">
        <v>206</v>
      </c>
      <c r="Y183">
        <v>0</v>
      </c>
      <c r="Z183">
        <v>0</v>
      </c>
      <c r="AA183">
        <v>17</v>
      </c>
      <c r="AB183">
        <v>1</v>
      </c>
      <c r="AD183">
        <v>4</v>
      </c>
      <c r="AE183">
        <v>0</v>
      </c>
      <c r="AF183">
        <v>0</v>
      </c>
      <c r="AG183">
        <v>0</v>
      </c>
      <c r="AI183">
        <v>0</v>
      </c>
      <c r="AJ183">
        <v>0</v>
      </c>
      <c r="AK183">
        <v>0</v>
      </c>
      <c r="AL183">
        <v>424</v>
      </c>
      <c r="AM183">
        <v>524</v>
      </c>
      <c r="AN183">
        <v>44</v>
      </c>
      <c r="AP183">
        <v>1</v>
      </c>
      <c r="AR183" t="s">
        <v>259</v>
      </c>
      <c r="AS183" s="1">
        <v>44354.597916666666</v>
      </c>
      <c r="AT183" s="1">
        <v>44354.611678240741</v>
      </c>
      <c r="AU183" s="1">
        <v>44354.612685185188</v>
      </c>
      <c r="AV183" t="s">
        <v>71</v>
      </c>
      <c r="AW183" t="s">
        <v>72</v>
      </c>
      <c r="AX183" t="s">
        <v>73</v>
      </c>
    </row>
    <row r="184" spans="1:50" x14ac:dyDescent="0.3">
      <c r="A184" t="str">
        <f>"201474B0000"</f>
        <v>201474B0000</v>
      </c>
      <c r="B184" t="str">
        <f>"201474B00002"</f>
        <v>201474B00002</v>
      </c>
      <c r="C184" t="str">
        <f t="shared" si="4"/>
        <v>20</v>
      </c>
      <c r="D184" t="s">
        <v>67</v>
      </c>
      <c r="E184" t="str">
        <f t="shared" si="5"/>
        <v>001</v>
      </c>
      <c r="F184" t="s">
        <v>68</v>
      </c>
      <c r="G184" t="str">
        <f>"1474"</f>
        <v>1474</v>
      </c>
      <c r="H184" t="str">
        <f>"0000"</f>
        <v>0000</v>
      </c>
      <c r="I184" t="s">
        <v>69</v>
      </c>
      <c r="J184">
        <v>0</v>
      </c>
      <c r="K184">
        <v>1</v>
      </c>
      <c r="L184">
        <v>2</v>
      </c>
      <c r="M184">
        <v>145</v>
      </c>
      <c r="N184">
        <v>408</v>
      </c>
      <c r="O184">
        <v>0</v>
      </c>
      <c r="P184">
        <v>408</v>
      </c>
      <c r="Q184">
        <v>5</v>
      </c>
      <c r="R184">
        <v>155</v>
      </c>
      <c r="S184">
        <v>1</v>
      </c>
      <c r="T184">
        <v>2</v>
      </c>
      <c r="U184">
        <v>1</v>
      </c>
      <c r="V184">
        <v>2</v>
      </c>
      <c r="W184">
        <v>64</v>
      </c>
      <c r="X184">
        <v>153</v>
      </c>
      <c r="Y184">
        <v>1</v>
      </c>
      <c r="Z184">
        <v>3</v>
      </c>
      <c r="AA184">
        <v>3</v>
      </c>
      <c r="AB184">
        <v>2</v>
      </c>
      <c r="AD184">
        <v>4</v>
      </c>
      <c r="AE184">
        <v>0</v>
      </c>
      <c r="AF184">
        <v>0</v>
      </c>
      <c r="AG184">
        <v>0</v>
      </c>
      <c r="AI184">
        <v>0</v>
      </c>
      <c r="AJ184">
        <v>12</v>
      </c>
      <c r="AK184">
        <v>408</v>
      </c>
      <c r="AL184">
        <v>408</v>
      </c>
      <c r="AM184">
        <v>509</v>
      </c>
      <c r="AN184">
        <v>44</v>
      </c>
      <c r="AP184">
        <v>1</v>
      </c>
      <c r="AR184" t="s">
        <v>260</v>
      </c>
      <c r="AS184" s="1">
        <v>44354.598611111112</v>
      </c>
      <c r="AT184" s="1">
        <v>44354.611157407409</v>
      </c>
      <c r="AU184" s="1">
        <v>44354.611770833333</v>
      </c>
      <c r="AV184" t="s">
        <v>71</v>
      </c>
      <c r="AW184" t="s">
        <v>72</v>
      </c>
      <c r="AX184" t="s">
        <v>73</v>
      </c>
    </row>
    <row r="185" spans="1:50" x14ac:dyDescent="0.3">
      <c r="A185" t="str">
        <f>"201474C0100"</f>
        <v>201474C0100</v>
      </c>
      <c r="B185" t="str">
        <f>"201474C01002"</f>
        <v>201474C01002</v>
      </c>
      <c r="C185" t="str">
        <f t="shared" si="4"/>
        <v>20</v>
      </c>
      <c r="D185" t="s">
        <v>67</v>
      </c>
      <c r="E185" t="str">
        <f t="shared" si="5"/>
        <v>001</v>
      </c>
      <c r="F185" t="s">
        <v>68</v>
      </c>
      <c r="G185" t="str">
        <f>"1474"</f>
        <v>1474</v>
      </c>
      <c r="H185" t="str">
        <f>"0001"</f>
        <v>0001</v>
      </c>
      <c r="I185" t="s">
        <v>75</v>
      </c>
      <c r="J185">
        <v>0</v>
      </c>
      <c r="K185">
        <v>1</v>
      </c>
      <c r="L185">
        <v>2</v>
      </c>
      <c r="M185">
        <v>145</v>
      </c>
      <c r="N185">
        <v>408</v>
      </c>
      <c r="O185">
        <v>2</v>
      </c>
      <c r="P185">
        <v>408</v>
      </c>
      <c r="Q185">
        <v>4</v>
      </c>
      <c r="R185">
        <v>143</v>
      </c>
      <c r="S185">
        <v>1</v>
      </c>
      <c r="T185">
        <v>1</v>
      </c>
      <c r="U185">
        <v>1</v>
      </c>
      <c r="V185">
        <v>8</v>
      </c>
      <c r="W185">
        <v>51</v>
      </c>
      <c r="X185">
        <v>177</v>
      </c>
      <c r="Y185">
        <v>1</v>
      </c>
      <c r="Z185">
        <v>2</v>
      </c>
      <c r="AA185">
        <v>8</v>
      </c>
      <c r="AB185">
        <v>1</v>
      </c>
      <c r="AD185">
        <v>2</v>
      </c>
      <c r="AE185">
        <v>0</v>
      </c>
      <c r="AF185">
        <v>0</v>
      </c>
      <c r="AG185">
        <v>0</v>
      </c>
      <c r="AI185">
        <v>0</v>
      </c>
      <c r="AJ185">
        <v>8</v>
      </c>
      <c r="AK185">
        <v>408</v>
      </c>
      <c r="AL185">
        <v>408</v>
      </c>
      <c r="AM185">
        <v>509</v>
      </c>
      <c r="AN185">
        <v>44</v>
      </c>
      <c r="AP185">
        <v>1</v>
      </c>
      <c r="AR185" t="s">
        <v>261</v>
      </c>
      <c r="AS185" s="1">
        <v>44354.597916666666</v>
      </c>
      <c r="AT185" s="1">
        <v>44354.611574074072</v>
      </c>
      <c r="AU185" s="1">
        <v>44354.611932870372</v>
      </c>
      <c r="AV185" t="s">
        <v>71</v>
      </c>
      <c r="AW185" t="s">
        <v>72</v>
      </c>
      <c r="AX185" t="s">
        <v>73</v>
      </c>
    </row>
    <row r="186" spans="1:50" x14ac:dyDescent="0.3">
      <c r="A186" t="str">
        <f>"201474C0200"</f>
        <v>201474C0200</v>
      </c>
      <c r="B186" t="str">
        <f>"201474C02002"</f>
        <v>201474C02002</v>
      </c>
      <c r="C186" t="str">
        <f t="shared" si="4"/>
        <v>20</v>
      </c>
      <c r="D186" t="s">
        <v>67</v>
      </c>
      <c r="E186" t="str">
        <f t="shared" si="5"/>
        <v>001</v>
      </c>
      <c r="F186" t="s">
        <v>68</v>
      </c>
      <c r="G186" t="str">
        <f>"1474"</f>
        <v>1474</v>
      </c>
      <c r="H186" t="str">
        <f>"0002"</f>
        <v>0002</v>
      </c>
      <c r="I186" t="s">
        <v>75</v>
      </c>
      <c r="J186">
        <v>0</v>
      </c>
      <c r="K186">
        <v>1</v>
      </c>
      <c r="L186">
        <v>2</v>
      </c>
      <c r="M186">
        <v>145</v>
      </c>
      <c r="N186">
        <v>407</v>
      </c>
      <c r="O186">
        <v>2</v>
      </c>
      <c r="P186">
        <v>407</v>
      </c>
      <c r="Q186">
        <v>11</v>
      </c>
      <c r="R186">
        <v>145</v>
      </c>
      <c r="S186">
        <v>0</v>
      </c>
      <c r="T186">
        <v>3</v>
      </c>
      <c r="U186">
        <v>1</v>
      </c>
      <c r="V186">
        <v>3</v>
      </c>
      <c r="W186">
        <v>36</v>
      </c>
      <c r="X186">
        <v>180</v>
      </c>
      <c r="Y186">
        <v>0</v>
      </c>
      <c r="Z186">
        <v>2</v>
      </c>
      <c r="AA186">
        <v>4</v>
      </c>
      <c r="AB186">
        <v>1</v>
      </c>
      <c r="AD186">
        <v>2</v>
      </c>
      <c r="AE186">
        <v>0</v>
      </c>
      <c r="AF186">
        <v>0</v>
      </c>
      <c r="AG186">
        <v>0</v>
      </c>
      <c r="AI186">
        <v>0</v>
      </c>
      <c r="AJ186">
        <v>19</v>
      </c>
      <c r="AK186">
        <v>407</v>
      </c>
      <c r="AL186">
        <v>407</v>
      </c>
      <c r="AM186">
        <v>508</v>
      </c>
      <c r="AN186">
        <v>44</v>
      </c>
      <c r="AP186">
        <v>1</v>
      </c>
      <c r="AR186" t="s">
        <v>262</v>
      </c>
      <c r="AS186" s="1">
        <v>44354.598611111112</v>
      </c>
      <c r="AT186" s="1">
        <v>44354.610439814816</v>
      </c>
      <c r="AU186" s="1">
        <v>44354.610844907409</v>
      </c>
      <c r="AV186" t="s">
        <v>71</v>
      </c>
      <c r="AW186" t="s">
        <v>72</v>
      </c>
      <c r="AX186" t="s">
        <v>73</v>
      </c>
    </row>
    <row r="187" spans="1:50" x14ac:dyDescent="0.3">
      <c r="A187" t="str">
        <f>"201475B0000"</f>
        <v>201475B0000</v>
      </c>
      <c r="B187" t="str">
        <f>"201475B00002"</f>
        <v>201475B00002</v>
      </c>
      <c r="C187" t="str">
        <f t="shared" si="4"/>
        <v>20</v>
      </c>
      <c r="D187" t="s">
        <v>67</v>
      </c>
      <c r="E187" t="str">
        <f t="shared" si="5"/>
        <v>001</v>
      </c>
      <c r="F187" t="s">
        <v>68</v>
      </c>
      <c r="G187" t="str">
        <f>"1475"</f>
        <v>1475</v>
      </c>
      <c r="H187" t="str">
        <f>"0000"</f>
        <v>0000</v>
      </c>
      <c r="I187" t="s">
        <v>69</v>
      </c>
      <c r="J187">
        <v>0</v>
      </c>
      <c r="K187">
        <v>1</v>
      </c>
      <c r="L187">
        <v>2</v>
      </c>
      <c r="M187">
        <v>79</v>
      </c>
      <c r="N187">
        <v>48</v>
      </c>
      <c r="O187">
        <v>2</v>
      </c>
      <c r="P187" t="s">
        <v>80</v>
      </c>
      <c r="Q187">
        <v>3</v>
      </c>
      <c r="R187">
        <v>98</v>
      </c>
      <c r="S187">
        <v>1</v>
      </c>
      <c r="T187">
        <v>0</v>
      </c>
      <c r="U187">
        <v>0</v>
      </c>
      <c r="V187">
        <v>1</v>
      </c>
      <c r="W187">
        <v>7</v>
      </c>
      <c r="X187">
        <v>91</v>
      </c>
      <c r="Y187">
        <v>0</v>
      </c>
      <c r="Z187">
        <v>2</v>
      </c>
      <c r="AA187">
        <v>1</v>
      </c>
      <c r="AB187">
        <v>0</v>
      </c>
      <c r="AD187">
        <v>9</v>
      </c>
      <c r="AE187">
        <v>0</v>
      </c>
      <c r="AF187">
        <v>0</v>
      </c>
      <c r="AG187">
        <v>0</v>
      </c>
      <c r="AI187">
        <v>0</v>
      </c>
      <c r="AJ187">
        <v>5</v>
      </c>
      <c r="AK187">
        <v>218</v>
      </c>
      <c r="AL187">
        <v>218</v>
      </c>
      <c r="AM187">
        <v>253</v>
      </c>
      <c r="AN187">
        <v>44</v>
      </c>
      <c r="AP187">
        <v>1</v>
      </c>
      <c r="AR187" t="s">
        <v>263</v>
      </c>
      <c r="AS187" s="1">
        <v>44354.598611111112</v>
      </c>
      <c r="AT187" s="1">
        <v>44354.613738425927</v>
      </c>
      <c r="AU187" s="1">
        <v>44354.614131944443</v>
      </c>
      <c r="AV187" t="s">
        <v>71</v>
      </c>
      <c r="AW187" t="s">
        <v>72</v>
      </c>
      <c r="AX187" t="s">
        <v>73</v>
      </c>
    </row>
    <row r="188" spans="1:50" x14ac:dyDescent="0.3">
      <c r="A188" t="str">
        <f>"201475E0100"</f>
        <v>201475E0100</v>
      </c>
      <c r="B188" t="str">
        <f>"201475E01002"</f>
        <v>201475E01002</v>
      </c>
      <c r="C188" t="str">
        <f t="shared" si="4"/>
        <v>20</v>
      </c>
      <c r="D188" t="s">
        <v>67</v>
      </c>
      <c r="E188" t="str">
        <f t="shared" si="5"/>
        <v>001</v>
      </c>
      <c r="F188" t="s">
        <v>68</v>
      </c>
      <c r="G188" t="str">
        <f>"1475"</f>
        <v>1475</v>
      </c>
      <c r="H188" t="str">
        <f>"0001"</f>
        <v>0001</v>
      </c>
      <c r="I188" t="s">
        <v>109</v>
      </c>
      <c r="J188">
        <v>0</v>
      </c>
      <c r="K188">
        <v>1</v>
      </c>
      <c r="L188">
        <v>2</v>
      </c>
      <c r="M188">
        <v>66</v>
      </c>
      <c r="N188">
        <v>158</v>
      </c>
      <c r="O188">
        <v>10</v>
      </c>
      <c r="P188">
        <v>158</v>
      </c>
      <c r="Q188">
        <v>2</v>
      </c>
      <c r="R188">
        <v>72</v>
      </c>
      <c r="S188">
        <v>1</v>
      </c>
      <c r="T188">
        <v>1</v>
      </c>
      <c r="U188">
        <v>3</v>
      </c>
      <c r="V188">
        <v>0</v>
      </c>
      <c r="W188">
        <v>11</v>
      </c>
      <c r="X188">
        <v>60</v>
      </c>
      <c r="Y188">
        <v>0</v>
      </c>
      <c r="Z188">
        <v>0</v>
      </c>
      <c r="AA188">
        <v>1</v>
      </c>
      <c r="AB188">
        <v>0</v>
      </c>
      <c r="AD188">
        <v>2</v>
      </c>
      <c r="AE188">
        <v>0</v>
      </c>
      <c r="AF188">
        <v>0</v>
      </c>
      <c r="AG188">
        <v>0</v>
      </c>
      <c r="AI188">
        <v>0</v>
      </c>
      <c r="AJ188">
        <v>5</v>
      </c>
      <c r="AK188">
        <v>158</v>
      </c>
      <c r="AL188">
        <v>158</v>
      </c>
      <c r="AM188">
        <v>180</v>
      </c>
      <c r="AN188">
        <v>44</v>
      </c>
      <c r="AP188">
        <v>1</v>
      </c>
      <c r="AR188" t="s">
        <v>264</v>
      </c>
      <c r="AS188" s="1">
        <v>44354.600694444445</v>
      </c>
      <c r="AT188" s="1">
        <v>44354.610972222225</v>
      </c>
      <c r="AU188" s="1">
        <v>44354.611770833333</v>
      </c>
      <c r="AV188" t="s">
        <v>71</v>
      </c>
      <c r="AW188" t="s">
        <v>72</v>
      </c>
      <c r="AX188" t="s">
        <v>73</v>
      </c>
    </row>
    <row r="189" spans="1:50" x14ac:dyDescent="0.3">
      <c r="A189" t="str">
        <f>"201476B0000"</f>
        <v>201476B0000</v>
      </c>
      <c r="B189" t="str">
        <f>"201476B00002"</f>
        <v>201476B00002</v>
      </c>
      <c r="C189" t="str">
        <f t="shared" si="4"/>
        <v>20</v>
      </c>
      <c r="D189" t="s">
        <v>67</v>
      </c>
      <c r="E189" t="str">
        <f t="shared" si="5"/>
        <v>001</v>
      </c>
      <c r="F189" t="s">
        <v>68</v>
      </c>
      <c r="G189" t="str">
        <f>"1476"</f>
        <v>1476</v>
      </c>
      <c r="H189" t="str">
        <f>"0000"</f>
        <v>0000</v>
      </c>
      <c r="I189" t="s">
        <v>69</v>
      </c>
      <c r="J189">
        <v>0</v>
      </c>
      <c r="K189">
        <v>1</v>
      </c>
      <c r="L189">
        <v>2</v>
      </c>
      <c r="M189">
        <v>147</v>
      </c>
      <c r="N189">
        <v>385</v>
      </c>
      <c r="O189">
        <v>3</v>
      </c>
      <c r="P189">
        <v>385</v>
      </c>
      <c r="Q189">
        <v>7</v>
      </c>
      <c r="R189">
        <v>133</v>
      </c>
      <c r="S189">
        <v>8</v>
      </c>
      <c r="T189">
        <v>3</v>
      </c>
      <c r="U189">
        <v>1</v>
      </c>
      <c r="V189">
        <v>2</v>
      </c>
      <c r="W189">
        <v>13</v>
      </c>
      <c r="X189">
        <v>187</v>
      </c>
      <c r="Y189">
        <v>0</v>
      </c>
      <c r="Z189">
        <v>3</v>
      </c>
      <c r="AA189">
        <v>15</v>
      </c>
      <c r="AB189">
        <v>2</v>
      </c>
      <c r="AD189">
        <v>3</v>
      </c>
      <c r="AE189">
        <v>1</v>
      </c>
      <c r="AF189">
        <v>0</v>
      </c>
      <c r="AG189">
        <v>0</v>
      </c>
      <c r="AI189">
        <v>0</v>
      </c>
      <c r="AJ189">
        <v>8</v>
      </c>
      <c r="AK189">
        <v>385</v>
      </c>
      <c r="AL189">
        <v>386</v>
      </c>
      <c r="AM189">
        <v>488</v>
      </c>
      <c r="AN189">
        <v>44</v>
      </c>
      <c r="AP189">
        <v>1</v>
      </c>
      <c r="AR189" t="s">
        <v>265</v>
      </c>
      <c r="AS189" s="1">
        <v>44354.6</v>
      </c>
      <c r="AT189" s="1">
        <v>44354.609432870369</v>
      </c>
      <c r="AU189" s="1">
        <v>44354.609918981485</v>
      </c>
      <c r="AV189" t="s">
        <v>71</v>
      </c>
      <c r="AW189" t="s">
        <v>72</v>
      </c>
      <c r="AX189" t="s">
        <v>73</v>
      </c>
    </row>
    <row r="190" spans="1:50" x14ac:dyDescent="0.3">
      <c r="A190" t="str">
        <f>"201476C0100"</f>
        <v>201476C0100</v>
      </c>
      <c r="B190" t="str">
        <f>"201476C01002"</f>
        <v>201476C01002</v>
      </c>
      <c r="C190" t="str">
        <f t="shared" si="4"/>
        <v>20</v>
      </c>
      <c r="D190" t="s">
        <v>67</v>
      </c>
      <c r="E190" t="str">
        <f t="shared" si="5"/>
        <v>001</v>
      </c>
      <c r="F190" t="s">
        <v>68</v>
      </c>
      <c r="G190" t="str">
        <f>"1476"</f>
        <v>1476</v>
      </c>
      <c r="H190" t="str">
        <f>"0001"</f>
        <v>0001</v>
      </c>
      <c r="I190" t="s">
        <v>75</v>
      </c>
      <c r="J190">
        <v>0</v>
      </c>
      <c r="K190">
        <v>1</v>
      </c>
      <c r="L190">
        <v>2</v>
      </c>
      <c r="M190">
        <v>143</v>
      </c>
      <c r="N190">
        <v>388</v>
      </c>
      <c r="O190">
        <v>7</v>
      </c>
      <c r="P190">
        <v>388</v>
      </c>
      <c r="Q190">
        <v>13</v>
      </c>
      <c r="R190">
        <v>149</v>
      </c>
      <c r="S190">
        <v>6</v>
      </c>
      <c r="T190">
        <v>2</v>
      </c>
      <c r="U190">
        <v>2</v>
      </c>
      <c r="V190">
        <v>5</v>
      </c>
      <c r="W190">
        <v>12</v>
      </c>
      <c r="X190">
        <v>165</v>
      </c>
      <c r="Y190">
        <v>0</v>
      </c>
      <c r="Z190">
        <v>1</v>
      </c>
      <c r="AA190">
        <v>16</v>
      </c>
      <c r="AB190">
        <v>1</v>
      </c>
      <c r="AD190">
        <v>3</v>
      </c>
      <c r="AE190">
        <v>0</v>
      </c>
      <c r="AF190">
        <v>0</v>
      </c>
      <c r="AG190">
        <v>0</v>
      </c>
      <c r="AI190">
        <v>0</v>
      </c>
      <c r="AJ190">
        <v>13</v>
      </c>
      <c r="AK190">
        <v>388</v>
      </c>
      <c r="AL190">
        <v>388</v>
      </c>
      <c r="AM190">
        <v>487</v>
      </c>
      <c r="AN190">
        <v>44</v>
      </c>
      <c r="AP190">
        <v>1</v>
      </c>
      <c r="AR190" t="s">
        <v>266</v>
      </c>
      <c r="AS190" s="1">
        <v>44354.6</v>
      </c>
      <c r="AT190" s="1">
        <v>44354.607037037036</v>
      </c>
      <c r="AU190" s="1">
        <v>44354.607731481483</v>
      </c>
      <c r="AV190" t="s">
        <v>71</v>
      </c>
      <c r="AW190" t="s">
        <v>72</v>
      </c>
      <c r="AX190" t="s">
        <v>73</v>
      </c>
    </row>
    <row r="191" spans="1:50" x14ac:dyDescent="0.3">
      <c r="A191" t="str">
        <f>"201477B0000"</f>
        <v>201477B0000</v>
      </c>
      <c r="B191" t="str">
        <f>"201477B00002"</f>
        <v>201477B00002</v>
      </c>
      <c r="C191" t="str">
        <f t="shared" si="4"/>
        <v>20</v>
      </c>
      <c r="D191" t="s">
        <v>67</v>
      </c>
      <c r="E191" t="str">
        <f t="shared" si="5"/>
        <v>001</v>
      </c>
      <c r="F191" t="s">
        <v>68</v>
      </c>
      <c r="G191" t="str">
        <f>"1477"</f>
        <v>1477</v>
      </c>
      <c r="H191" t="str">
        <f>"0000"</f>
        <v>0000</v>
      </c>
      <c r="I191" t="s">
        <v>69</v>
      </c>
      <c r="J191">
        <v>0</v>
      </c>
      <c r="K191">
        <v>1</v>
      </c>
      <c r="L191">
        <v>2</v>
      </c>
      <c r="M191">
        <v>83</v>
      </c>
      <c r="N191">
        <v>181</v>
      </c>
      <c r="O191">
        <v>2</v>
      </c>
      <c r="P191">
        <v>181</v>
      </c>
      <c r="Q191">
        <v>0</v>
      </c>
      <c r="R191">
        <v>55</v>
      </c>
      <c r="S191">
        <v>1</v>
      </c>
      <c r="T191">
        <v>1</v>
      </c>
      <c r="U191">
        <v>2</v>
      </c>
      <c r="V191">
        <v>4</v>
      </c>
      <c r="W191">
        <v>7</v>
      </c>
      <c r="X191">
        <v>99</v>
      </c>
      <c r="Y191">
        <v>1</v>
      </c>
      <c r="Z191">
        <v>1</v>
      </c>
      <c r="AA191">
        <v>6</v>
      </c>
      <c r="AB191">
        <v>0</v>
      </c>
      <c r="AD191">
        <v>1</v>
      </c>
      <c r="AE191">
        <v>1</v>
      </c>
      <c r="AF191">
        <v>0</v>
      </c>
      <c r="AG191">
        <v>0</v>
      </c>
      <c r="AI191">
        <v>0</v>
      </c>
      <c r="AJ191">
        <v>2</v>
      </c>
      <c r="AK191">
        <v>181</v>
      </c>
      <c r="AL191">
        <v>181</v>
      </c>
      <c r="AM191">
        <v>220</v>
      </c>
      <c r="AN191">
        <v>44</v>
      </c>
      <c r="AP191">
        <v>1</v>
      </c>
      <c r="AR191" t="s">
        <v>267</v>
      </c>
      <c r="AS191" s="1">
        <v>44354.600694444445</v>
      </c>
      <c r="AT191" s="1">
        <v>44354.60701388889</v>
      </c>
      <c r="AU191" s="1">
        <v>44354.607743055552</v>
      </c>
      <c r="AV191" t="s">
        <v>71</v>
      </c>
      <c r="AW191" t="s">
        <v>72</v>
      </c>
      <c r="AX191" t="s">
        <v>73</v>
      </c>
    </row>
    <row r="192" spans="1:50" x14ac:dyDescent="0.3">
      <c r="A192" t="str">
        <f>"201478B0000"</f>
        <v>201478B0000</v>
      </c>
      <c r="B192" t="str">
        <f>"201478B00002"</f>
        <v>201478B00002</v>
      </c>
      <c r="C192" t="str">
        <f t="shared" si="4"/>
        <v>20</v>
      </c>
      <c r="D192" t="s">
        <v>67</v>
      </c>
      <c r="E192" t="str">
        <f t="shared" si="5"/>
        <v>001</v>
      </c>
      <c r="F192" t="s">
        <v>68</v>
      </c>
      <c r="G192" t="str">
        <f>"1478"</f>
        <v>1478</v>
      </c>
      <c r="H192" t="str">
        <f>"0000"</f>
        <v>0000</v>
      </c>
      <c r="I192" t="s">
        <v>69</v>
      </c>
      <c r="J192">
        <v>0</v>
      </c>
      <c r="K192">
        <v>1</v>
      </c>
      <c r="L192">
        <v>2</v>
      </c>
      <c r="M192">
        <v>150</v>
      </c>
      <c r="N192">
        <v>436</v>
      </c>
      <c r="O192" t="s">
        <v>80</v>
      </c>
      <c r="P192">
        <v>436</v>
      </c>
      <c r="Q192">
        <v>1</v>
      </c>
      <c r="R192">
        <v>77</v>
      </c>
      <c r="S192">
        <v>22</v>
      </c>
      <c r="T192" t="s">
        <v>77</v>
      </c>
      <c r="U192" t="s">
        <v>77</v>
      </c>
      <c r="V192">
        <v>3</v>
      </c>
      <c r="W192">
        <v>15</v>
      </c>
      <c r="X192">
        <v>280</v>
      </c>
      <c r="Y192">
        <v>2</v>
      </c>
      <c r="Z192">
        <v>4</v>
      </c>
      <c r="AA192">
        <v>21</v>
      </c>
      <c r="AB192">
        <v>2</v>
      </c>
      <c r="AD192">
        <v>1</v>
      </c>
      <c r="AE192" t="s">
        <v>77</v>
      </c>
      <c r="AF192" t="s">
        <v>77</v>
      </c>
      <c r="AG192" t="s">
        <v>77</v>
      </c>
      <c r="AI192" t="s">
        <v>77</v>
      </c>
      <c r="AJ192">
        <v>8</v>
      </c>
      <c r="AK192">
        <v>436</v>
      </c>
      <c r="AL192">
        <v>436</v>
      </c>
      <c r="AM192">
        <v>542</v>
      </c>
      <c r="AN192">
        <v>44</v>
      </c>
      <c r="AO192" t="s">
        <v>78</v>
      </c>
      <c r="AP192">
        <v>1</v>
      </c>
      <c r="AR192" t="s">
        <v>268</v>
      </c>
      <c r="AS192" s="1">
        <v>44354.177511574075</v>
      </c>
      <c r="AT192" s="1">
        <v>44354.179548611108</v>
      </c>
      <c r="AU192" s="1">
        <v>44354.179988425924</v>
      </c>
      <c r="AV192" t="s">
        <v>269</v>
      </c>
      <c r="AW192" t="s">
        <v>270</v>
      </c>
      <c r="AX192" t="s">
        <v>73</v>
      </c>
    </row>
    <row r="193" spans="1:50" x14ac:dyDescent="0.3">
      <c r="A193" t="str">
        <f>"201478C0100"</f>
        <v>201478C0100</v>
      </c>
      <c r="B193" t="str">
        <f>"201478C01002"</f>
        <v>201478C01002</v>
      </c>
      <c r="C193" t="str">
        <f t="shared" si="4"/>
        <v>20</v>
      </c>
      <c r="D193" t="s">
        <v>67</v>
      </c>
      <c r="E193" t="str">
        <f t="shared" si="5"/>
        <v>001</v>
      </c>
      <c r="F193" t="s">
        <v>68</v>
      </c>
      <c r="G193" t="str">
        <f>"1478"</f>
        <v>1478</v>
      </c>
      <c r="H193" t="str">
        <f>"0001"</f>
        <v>0001</v>
      </c>
      <c r="I193" t="s">
        <v>75</v>
      </c>
      <c r="J193">
        <v>0</v>
      </c>
      <c r="K193">
        <v>1</v>
      </c>
      <c r="L193">
        <v>2</v>
      </c>
      <c r="M193">
        <v>142</v>
      </c>
      <c r="N193">
        <v>443</v>
      </c>
      <c r="O193" t="s">
        <v>80</v>
      </c>
      <c r="P193">
        <v>443</v>
      </c>
      <c r="Q193">
        <v>3</v>
      </c>
      <c r="R193">
        <v>83</v>
      </c>
      <c r="S193">
        <v>34</v>
      </c>
      <c r="T193">
        <v>1</v>
      </c>
      <c r="U193">
        <v>2</v>
      </c>
      <c r="V193">
        <v>2</v>
      </c>
      <c r="W193">
        <v>13</v>
      </c>
      <c r="X193">
        <v>274</v>
      </c>
      <c r="Y193">
        <v>0</v>
      </c>
      <c r="Z193">
        <v>3</v>
      </c>
      <c r="AA193">
        <v>17</v>
      </c>
      <c r="AB193">
        <v>2</v>
      </c>
      <c r="AD193">
        <v>2</v>
      </c>
      <c r="AE193">
        <v>0</v>
      </c>
      <c r="AF193">
        <v>0</v>
      </c>
      <c r="AG193">
        <v>0</v>
      </c>
      <c r="AI193">
        <v>0</v>
      </c>
      <c r="AJ193">
        <v>7</v>
      </c>
      <c r="AK193">
        <v>443</v>
      </c>
      <c r="AL193">
        <v>443</v>
      </c>
      <c r="AM193">
        <v>541</v>
      </c>
      <c r="AN193">
        <v>44</v>
      </c>
      <c r="AP193">
        <v>1</v>
      </c>
      <c r="AR193" t="s">
        <v>271</v>
      </c>
      <c r="AS193" s="1">
        <v>44354.178819444445</v>
      </c>
      <c r="AT193" s="1">
        <v>44354.1799537037</v>
      </c>
      <c r="AU193" s="1">
        <v>44354.180601851855</v>
      </c>
      <c r="AV193" t="s">
        <v>269</v>
      </c>
      <c r="AW193" t="s">
        <v>270</v>
      </c>
      <c r="AX193" t="s">
        <v>73</v>
      </c>
    </row>
    <row r="194" spans="1:50" x14ac:dyDescent="0.3">
      <c r="A194" t="str">
        <f>"201479B0000"</f>
        <v>201479B0000</v>
      </c>
      <c r="B194" t="str">
        <f>"201479B00002"</f>
        <v>201479B00002</v>
      </c>
      <c r="C194" t="str">
        <f t="shared" si="4"/>
        <v>20</v>
      </c>
      <c r="D194" t="s">
        <v>67</v>
      </c>
      <c r="E194" t="str">
        <f t="shared" si="5"/>
        <v>001</v>
      </c>
      <c r="F194" t="s">
        <v>68</v>
      </c>
      <c r="G194" t="str">
        <f>"1479"</f>
        <v>1479</v>
      </c>
      <c r="H194" t="str">
        <f>"0000"</f>
        <v>0000</v>
      </c>
      <c r="I194" t="s">
        <v>69</v>
      </c>
      <c r="J194">
        <v>0</v>
      </c>
      <c r="K194">
        <v>1</v>
      </c>
      <c r="L194">
        <v>2</v>
      </c>
      <c r="M194">
        <v>215</v>
      </c>
      <c r="N194">
        <v>542</v>
      </c>
      <c r="O194">
        <v>9</v>
      </c>
      <c r="P194">
        <v>542</v>
      </c>
      <c r="Q194">
        <v>21</v>
      </c>
      <c r="R194">
        <v>132</v>
      </c>
      <c r="S194">
        <v>2</v>
      </c>
      <c r="T194">
        <v>2</v>
      </c>
      <c r="U194">
        <v>2</v>
      </c>
      <c r="V194">
        <v>8</v>
      </c>
      <c r="W194">
        <v>27</v>
      </c>
      <c r="X194">
        <v>307</v>
      </c>
      <c r="Y194">
        <v>3</v>
      </c>
      <c r="Z194">
        <v>4</v>
      </c>
      <c r="AA194">
        <v>21</v>
      </c>
      <c r="AB194">
        <v>2</v>
      </c>
      <c r="AD194">
        <v>0</v>
      </c>
      <c r="AE194">
        <v>0</v>
      </c>
      <c r="AF194">
        <v>0</v>
      </c>
      <c r="AG194">
        <v>0</v>
      </c>
      <c r="AI194">
        <v>0</v>
      </c>
      <c r="AJ194">
        <v>11</v>
      </c>
      <c r="AK194">
        <v>542</v>
      </c>
      <c r="AL194">
        <v>542</v>
      </c>
      <c r="AM194">
        <v>713</v>
      </c>
      <c r="AN194">
        <v>44</v>
      </c>
      <c r="AP194">
        <v>1</v>
      </c>
      <c r="AR194" t="s">
        <v>272</v>
      </c>
      <c r="AS194" s="1">
        <v>44354.599305555559</v>
      </c>
      <c r="AT194" s="1">
        <v>44354.609560185185</v>
      </c>
      <c r="AU194" s="1">
        <v>44354.610173611109</v>
      </c>
      <c r="AV194" t="s">
        <v>71</v>
      </c>
      <c r="AW194" t="s">
        <v>72</v>
      </c>
      <c r="AX194" t="s">
        <v>73</v>
      </c>
    </row>
    <row r="195" spans="1:50" x14ac:dyDescent="0.3">
      <c r="A195" t="str">
        <f>"201480B0000"</f>
        <v>201480B0000</v>
      </c>
      <c r="B195" t="str">
        <f>"201480B00002"</f>
        <v>201480B00002</v>
      </c>
      <c r="C195" t="str">
        <f t="shared" si="4"/>
        <v>20</v>
      </c>
      <c r="D195" t="s">
        <v>67</v>
      </c>
      <c r="E195" t="str">
        <f t="shared" si="5"/>
        <v>001</v>
      </c>
      <c r="F195" t="s">
        <v>68</v>
      </c>
      <c r="G195" t="str">
        <f>"1480"</f>
        <v>1480</v>
      </c>
      <c r="H195" t="str">
        <f>"0000"</f>
        <v>0000</v>
      </c>
      <c r="I195" t="s">
        <v>69</v>
      </c>
      <c r="J195">
        <v>0</v>
      </c>
      <c r="K195">
        <v>1</v>
      </c>
      <c r="L195">
        <v>2</v>
      </c>
      <c r="M195">
        <v>163</v>
      </c>
      <c r="N195">
        <v>539</v>
      </c>
      <c r="O195">
        <v>10</v>
      </c>
      <c r="P195">
        <v>539</v>
      </c>
      <c r="Q195">
        <v>3</v>
      </c>
      <c r="R195">
        <v>143</v>
      </c>
      <c r="S195">
        <v>1</v>
      </c>
      <c r="T195">
        <v>4</v>
      </c>
      <c r="U195">
        <v>1</v>
      </c>
      <c r="V195">
        <v>11</v>
      </c>
      <c r="W195">
        <v>46</v>
      </c>
      <c r="X195">
        <v>298</v>
      </c>
      <c r="Y195">
        <v>0</v>
      </c>
      <c r="Z195">
        <v>7</v>
      </c>
      <c r="AA195">
        <v>11</v>
      </c>
      <c r="AB195">
        <v>1</v>
      </c>
      <c r="AD195">
        <v>2</v>
      </c>
      <c r="AE195">
        <v>0</v>
      </c>
      <c r="AF195">
        <v>0</v>
      </c>
      <c r="AG195">
        <v>0</v>
      </c>
      <c r="AI195">
        <v>0</v>
      </c>
      <c r="AJ195">
        <v>11</v>
      </c>
      <c r="AK195">
        <v>539</v>
      </c>
      <c r="AL195">
        <v>539</v>
      </c>
      <c r="AM195">
        <v>658</v>
      </c>
      <c r="AN195">
        <v>44</v>
      </c>
      <c r="AP195">
        <v>1</v>
      </c>
      <c r="AR195" t="s">
        <v>273</v>
      </c>
      <c r="AS195" s="1">
        <v>44354.599305555559</v>
      </c>
      <c r="AT195" s="1">
        <v>44354.608668981484</v>
      </c>
      <c r="AU195" s="1">
        <v>44354.609386574077</v>
      </c>
      <c r="AV195" t="s">
        <v>71</v>
      </c>
      <c r="AW195" t="s">
        <v>72</v>
      </c>
      <c r="AX195" t="s">
        <v>73</v>
      </c>
    </row>
    <row r="196" spans="1:50" x14ac:dyDescent="0.3">
      <c r="A196" t="str">
        <f>"201481B0000"</f>
        <v>201481B0000</v>
      </c>
      <c r="B196" t="str">
        <f>"201481B00002"</f>
        <v>201481B00002</v>
      </c>
      <c r="C196" t="str">
        <f t="shared" si="4"/>
        <v>20</v>
      </c>
      <c r="D196" t="s">
        <v>67</v>
      </c>
      <c r="E196" t="str">
        <f t="shared" si="5"/>
        <v>001</v>
      </c>
      <c r="F196" t="s">
        <v>68</v>
      </c>
      <c r="G196" t="str">
        <f>"1481"</f>
        <v>1481</v>
      </c>
      <c r="H196" t="str">
        <f>"0000"</f>
        <v>0000</v>
      </c>
      <c r="I196" t="s">
        <v>69</v>
      </c>
      <c r="J196">
        <v>0</v>
      </c>
      <c r="K196">
        <v>1</v>
      </c>
      <c r="L196">
        <v>2</v>
      </c>
      <c r="M196">
        <v>92</v>
      </c>
      <c r="N196">
        <v>309</v>
      </c>
      <c r="O196">
        <v>8</v>
      </c>
      <c r="P196" t="s">
        <v>80</v>
      </c>
      <c r="Q196">
        <v>0</v>
      </c>
      <c r="R196">
        <v>64</v>
      </c>
      <c r="S196">
        <v>2</v>
      </c>
      <c r="T196">
        <v>3</v>
      </c>
      <c r="U196">
        <v>1</v>
      </c>
      <c r="V196">
        <v>4</v>
      </c>
      <c r="W196">
        <v>35</v>
      </c>
      <c r="X196">
        <v>178</v>
      </c>
      <c r="Y196">
        <v>1</v>
      </c>
      <c r="Z196">
        <v>0</v>
      </c>
      <c r="AA196">
        <v>4</v>
      </c>
      <c r="AB196">
        <v>2</v>
      </c>
      <c r="AD196">
        <v>2</v>
      </c>
      <c r="AE196">
        <v>0</v>
      </c>
      <c r="AF196">
        <v>0</v>
      </c>
      <c r="AG196">
        <v>0</v>
      </c>
      <c r="AI196">
        <v>0</v>
      </c>
      <c r="AJ196">
        <v>13</v>
      </c>
      <c r="AK196">
        <v>309</v>
      </c>
      <c r="AL196">
        <v>309</v>
      </c>
      <c r="AM196">
        <v>357</v>
      </c>
      <c r="AN196">
        <v>44</v>
      </c>
      <c r="AP196">
        <v>1</v>
      </c>
      <c r="AR196" t="s">
        <v>274</v>
      </c>
      <c r="AS196" s="1">
        <v>44353.927337962959</v>
      </c>
      <c r="AT196" s="1">
        <v>44353.9294212963</v>
      </c>
      <c r="AU196" s="1">
        <v>44353.930127314816</v>
      </c>
      <c r="AV196" t="s">
        <v>269</v>
      </c>
      <c r="AW196" t="s">
        <v>270</v>
      </c>
      <c r="AX196" t="s">
        <v>73</v>
      </c>
    </row>
    <row r="197" spans="1:50" x14ac:dyDescent="0.3">
      <c r="A197" t="str">
        <f>"201481E0100"</f>
        <v>201481E0100</v>
      </c>
      <c r="B197" t="str">
        <f>"201481E01002"</f>
        <v>201481E01002</v>
      </c>
      <c r="C197" t="str">
        <f t="shared" si="4"/>
        <v>20</v>
      </c>
      <c r="D197" t="s">
        <v>67</v>
      </c>
      <c r="E197" t="str">
        <f t="shared" si="5"/>
        <v>001</v>
      </c>
      <c r="F197" t="s">
        <v>68</v>
      </c>
      <c r="G197" t="str">
        <f>"1481"</f>
        <v>1481</v>
      </c>
      <c r="H197" t="str">
        <f>"0001"</f>
        <v>0001</v>
      </c>
      <c r="I197" t="s">
        <v>109</v>
      </c>
      <c r="J197">
        <v>0</v>
      </c>
      <c r="K197">
        <v>1</v>
      </c>
      <c r="L197">
        <v>2</v>
      </c>
      <c r="M197">
        <v>76</v>
      </c>
      <c r="N197">
        <v>239</v>
      </c>
      <c r="O197">
        <v>9</v>
      </c>
      <c r="P197">
        <v>239</v>
      </c>
      <c r="Q197">
        <v>3</v>
      </c>
      <c r="R197">
        <v>55</v>
      </c>
      <c r="S197">
        <v>6</v>
      </c>
      <c r="T197">
        <v>3</v>
      </c>
      <c r="U197">
        <v>0</v>
      </c>
      <c r="V197">
        <v>0</v>
      </c>
      <c r="W197">
        <v>15</v>
      </c>
      <c r="X197">
        <v>137</v>
      </c>
      <c r="Y197">
        <v>0</v>
      </c>
      <c r="Z197">
        <v>1</v>
      </c>
      <c r="AA197">
        <v>9</v>
      </c>
      <c r="AB197">
        <v>0</v>
      </c>
      <c r="AD197">
        <v>2</v>
      </c>
      <c r="AE197">
        <v>0</v>
      </c>
      <c r="AF197">
        <v>0</v>
      </c>
      <c r="AG197">
        <v>1</v>
      </c>
      <c r="AI197">
        <v>0</v>
      </c>
      <c r="AJ197">
        <v>7</v>
      </c>
      <c r="AK197">
        <v>239</v>
      </c>
      <c r="AL197">
        <v>239</v>
      </c>
      <c r="AM197">
        <v>271</v>
      </c>
      <c r="AN197">
        <v>44</v>
      </c>
      <c r="AP197">
        <v>1</v>
      </c>
      <c r="AR197" t="s">
        <v>275</v>
      </c>
      <c r="AS197" s="1">
        <v>44354.597916666666</v>
      </c>
      <c r="AT197" s="1">
        <v>44354.611898148149</v>
      </c>
      <c r="AU197" s="1">
        <v>44354.612962962965</v>
      </c>
      <c r="AV197" t="s">
        <v>71</v>
      </c>
      <c r="AW197" t="s">
        <v>72</v>
      </c>
      <c r="AX197" t="s">
        <v>73</v>
      </c>
    </row>
    <row r="198" spans="1:50" x14ac:dyDescent="0.3">
      <c r="A198" t="str">
        <f>"201793B0000"</f>
        <v>201793B0000</v>
      </c>
      <c r="B198" t="str">
        <f>"201793B00002"</f>
        <v>201793B00002</v>
      </c>
      <c r="C198" t="str">
        <f t="shared" si="4"/>
        <v>20</v>
      </c>
      <c r="D198" t="s">
        <v>67</v>
      </c>
      <c r="E198" t="str">
        <f t="shared" si="5"/>
        <v>001</v>
      </c>
      <c r="F198" t="s">
        <v>68</v>
      </c>
      <c r="G198" t="str">
        <f>"1793"</f>
        <v>1793</v>
      </c>
      <c r="H198" t="str">
        <f>"0000"</f>
        <v>0000</v>
      </c>
      <c r="I198" t="s">
        <v>69</v>
      </c>
      <c r="J198">
        <v>0</v>
      </c>
      <c r="K198">
        <v>1</v>
      </c>
      <c r="L198">
        <v>2</v>
      </c>
      <c r="M198">
        <v>280</v>
      </c>
      <c r="N198">
        <v>405</v>
      </c>
      <c r="O198">
        <v>5</v>
      </c>
      <c r="P198">
        <v>405</v>
      </c>
      <c r="Q198">
        <v>14</v>
      </c>
      <c r="R198">
        <v>161</v>
      </c>
      <c r="S198">
        <v>35</v>
      </c>
      <c r="T198">
        <v>0</v>
      </c>
      <c r="U198">
        <v>3</v>
      </c>
      <c r="V198">
        <v>3</v>
      </c>
      <c r="W198">
        <v>0</v>
      </c>
      <c r="X198">
        <v>167</v>
      </c>
      <c r="Y198">
        <v>0</v>
      </c>
      <c r="Z198">
        <v>1</v>
      </c>
      <c r="AA198">
        <v>3</v>
      </c>
      <c r="AB198">
        <v>4</v>
      </c>
      <c r="AD198">
        <v>6</v>
      </c>
      <c r="AE198">
        <v>1</v>
      </c>
      <c r="AF198">
        <v>0</v>
      </c>
      <c r="AG198">
        <v>2</v>
      </c>
      <c r="AI198">
        <v>0</v>
      </c>
      <c r="AJ198">
        <v>5</v>
      </c>
      <c r="AK198">
        <v>405</v>
      </c>
      <c r="AL198">
        <v>405</v>
      </c>
      <c r="AM198">
        <v>641</v>
      </c>
      <c r="AN198">
        <v>44</v>
      </c>
      <c r="AP198">
        <v>1</v>
      </c>
      <c r="AR198" t="s">
        <v>276</v>
      </c>
      <c r="AS198" s="1">
        <v>44354.495138888888</v>
      </c>
      <c r="AT198" s="1">
        <v>44354.498900462961</v>
      </c>
      <c r="AU198" s="1">
        <v>44354.499560185184</v>
      </c>
      <c r="AV198" t="s">
        <v>71</v>
      </c>
      <c r="AW198" t="s">
        <v>72</v>
      </c>
      <c r="AX198" t="s">
        <v>73</v>
      </c>
    </row>
    <row r="199" spans="1:50" x14ac:dyDescent="0.3">
      <c r="A199" t="str">
        <f>"201793C0100"</f>
        <v>201793C0100</v>
      </c>
      <c r="B199" t="str">
        <f>"201793C01002"</f>
        <v>201793C01002</v>
      </c>
      <c r="C199" t="str">
        <f t="shared" ref="C199:C262" si="6">"20"</f>
        <v>20</v>
      </c>
      <c r="D199" t="s">
        <v>67</v>
      </c>
      <c r="E199" t="str">
        <f t="shared" ref="E199:E232" si="7">"001"</f>
        <v>001</v>
      </c>
      <c r="F199" t="s">
        <v>68</v>
      </c>
      <c r="G199" t="str">
        <f>"1793"</f>
        <v>1793</v>
      </c>
      <c r="H199" t="str">
        <f>"0001"</f>
        <v>0001</v>
      </c>
      <c r="I199" t="s">
        <v>75</v>
      </c>
      <c r="J199">
        <v>0</v>
      </c>
      <c r="K199">
        <v>1</v>
      </c>
      <c r="L199">
        <v>2</v>
      </c>
      <c r="M199">
        <v>296</v>
      </c>
      <c r="N199">
        <v>388</v>
      </c>
      <c r="O199">
        <v>3</v>
      </c>
      <c r="P199">
        <v>388</v>
      </c>
      <c r="Q199">
        <v>24</v>
      </c>
      <c r="R199">
        <v>127</v>
      </c>
      <c r="S199">
        <v>39</v>
      </c>
      <c r="T199">
        <v>1</v>
      </c>
      <c r="U199">
        <v>4</v>
      </c>
      <c r="V199">
        <v>4</v>
      </c>
      <c r="W199">
        <v>1</v>
      </c>
      <c r="X199">
        <v>149</v>
      </c>
      <c r="Y199">
        <v>0</v>
      </c>
      <c r="Z199">
        <v>3</v>
      </c>
      <c r="AA199">
        <v>6</v>
      </c>
      <c r="AB199">
        <v>7</v>
      </c>
      <c r="AD199">
        <v>4</v>
      </c>
      <c r="AE199">
        <v>1</v>
      </c>
      <c r="AF199">
        <v>1</v>
      </c>
      <c r="AG199">
        <v>5</v>
      </c>
      <c r="AI199">
        <v>0</v>
      </c>
      <c r="AJ199">
        <v>12</v>
      </c>
      <c r="AK199">
        <v>388</v>
      </c>
      <c r="AL199">
        <v>388</v>
      </c>
      <c r="AM199">
        <v>640</v>
      </c>
      <c r="AN199">
        <v>44</v>
      </c>
      <c r="AP199">
        <v>1</v>
      </c>
      <c r="AR199" t="s">
        <v>277</v>
      </c>
      <c r="AS199" s="1">
        <v>44354.500694444447</v>
      </c>
      <c r="AT199" s="1">
        <v>44354.505208333336</v>
      </c>
      <c r="AU199" s="1">
        <v>44354.506550925929</v>
      </c>
      <c r="AV199" t="s">
        <v>71</v>
      </c>
      <c r="AW199" t="s">
        <v>72</v>
      </c>
      <c r="AX199" t="s">
        <v>73</v>
      </c>
    </row>
    <row r="200" spans="1:50" x14ac:dyDescent="0.3">
      <c r="A200" t="str">
        <f>"201793C0200"</f>
        <v>201793C0200</v>
      </c>
      <c r="B200" t="str">
        <f>"201793C02002"</f>
        <v>201793C02002</v>
      </c>
      <c r="C200" t="str">
        <f t="shared" si="6"/>
        <v>20</v>
      </c>
      <c r="D200" t="s">
        <v>67</v>
      </c>
      <c r="E200" t="str">
        <f t="shared" si="7"/>
        <v>001</v>
      </c>
      <c r="F200" t="s">
        <v>68</v>
      </c>
      <c r="G200" t="str">
        <f>"1793"</f>
        <v>1793</v>
      </c>
      <c r="H200" t="str">
        <f>"0002"</f>
        <v>0002</v>
      </c>
      <c r="I200" t="s">
        <v>75</v>
      </c>
      <c r="J200">
        <v>0</v>
      </c>
      <c r="K200">
        <v>1</v>
      </c>
      <c r="L200">
        <v>2</v>
      </c>
      <c r="M200">
        <v>289</v>
      </c>
      <c r="N200">
        <v>395</v>
      </c>
      <c r="O200">
        <v>2</v>
      </c>
      <c r="P200" t="s">
        <v>80</v>
      </c>
      <c r="Q200">
        <v>21</v>
      </c>
      <c r="R200">
        <v>157</v>
      </c>
      <c r="S200">
        <v>24</v>
      </c>
      <c r="T200">
        <v>4</v>
      </c>
      <c r="U200">
        <v>4</v>
      </c>
      <c r="V200">
        <v>0</v>
      </c>
      <c r="W200">
        <v>2</v>
      </c>
      <c r="X200">
        <v>156</v>
      </c>
      <c r="Y200">
        <v>0</v>
      </c>
      <c r="Z200">
        <v>3</v>
      </c>
      <c r="AA200">
        <v>6</v>
      </c>
      <c r="AB200">
        <v>3</v>
      </c>
      <c r="AD200">
        <v>9</v>
      </c>
      <c r="AE200">
        <v>1</v>
      </c>
      <c r="AF200">
        <v>0</v>
      </c>
      <c r="AG200">
        <v>0</v>
      </c>
      <c r="AI200">
        <v>0</v>
      </c>
      <c r="AJ200">
        <v>5</v>
      </c>
      <c r="AK200">
        <v>395</v>
      </c>
      <c r="AL200">
        <v>395</v>
      </c>
      <c r="AM200">
        <v>640</v>
      </c>
      <c r="AN200">
        <v>44</v>
      </c>
      <c r="AP200">
        <v>1</v>
      </c>
      <c r="AR200" t="s">
        <v>278</v>
      </c>
      <c r="AS200" s="1">
        <v>44354.500694444447</v>
      </c>
      <c r="AT200" s="1">
        <v>44354.506689814814</v>
      </c>
      <c r="AU200" s="1">
        <v>44354.50708333333</v>
      </c>
      <c r="AV200" t="s">
        <v>71</v>
      </c>
      <c r="AW200" t="s">
        <v>72</v>
      </c>
      <c r="AX200" t="s">
        <v>73</v>
      </c>
    </row>
    <row r="201" spans="1:50" x14ac:dyDescent="0.3">
      <c r="A201" t="str">
        <f>"201794B0000"</f>
        <v>201794B0000</v>
      </c>
      <c r="B201" t="str">
        <f>"201794B00002"</f>
        <v>201794B00002</v>
      </c>
      <c r="C201" t="str">
        <f t="shared" si="6"/>
        <v>20</v>
      </c>
      <c r="D201" t="s">
        <v>67</v>
      </c>
      <c r="E201" t="str">
        <f t="shared" si="7"/>
        <v>001</v>
      </c>
      <c r="F201" t="s">
        <v>68</v>
      </c>
      <c r="G201" t="str">
        <f>"1794"</f>
        <v>1794</v>
      </c>
      <c r="H201" t="str">
        <f>"0000"</f>
        <v>0000</v>
      </c>
      <c r="I201" t="s">
        <v>69</v>
      </c>
      <c r="J201">
        <v>0</v>
      </c>
      <c r="K201">
        <v>1</v>
      </c>
      <c r="L201">
        <v>2</v>
      </c>
      <c r="M201">
        <v>97</v>
      </c>
      <c r="N201">
        <v>176</v>
      </c>
      <c r="O201">
        <v>1</v>
      </c>
      <c r="P201">
        <v>176</v>
      </c>
      <c r="Q201">
        <v>6</v>
      </c>
      <c r="R201">
        <v>76</v>
      </c>
      <c r="S201">
        <v>37</v>
      </c>
      <c r="T201">
        <v>0</v>
      </c>
      <c r="U201">
        <v>0</v>
      </c>
      <c r="V201">
        <v>2</v>
      </c>
      <c r="W201">
        <v>1</v>
      </c>
      <c r="X201">
        <v>36</v>
      </c>
      <c r="Y201">
        <v>0</v>
      </c>
      <c r="Z201">
        <v>1</v>
      </c>
      <c r="AA201">
        <v>1</v>
      </c>
      <c r="AB201">
        <v>7</v>
      </c>
      <c r="AD201">
        <v>0</v>
      </c>
      <c r="AE201">
        <v>0</v>
      </c>
      <c r="AF201">
        <v>0</v>
      </c>
      <c r="AG201">
        <v>0</v>
      </c>
      <c r="AI201">
        <v>0</v>
      </c>
      <c r="AJ201">
        <v>9</v>
      </c>
      <c r="AK201">
        <v>176</v>
      </c>
      <c r="AL201">
        <v>176</v>
      </c>
      <c r="AM201">
        <v>229</v>
      </c>
      <c r="AN201">
        <v>44</v>
      </c>
      <c r="AP201">
        <v>1</v>
      </c>
      <c r="AR201" t="s">
        <v>279</v>
      </c>
      <c r="AS201" s="1">
        <v>44354.486111111109</v>
      </c>
      <c r="AT201" s="1">
        <v>44354.513611111113</v>
      </c>
      <c r="AU201" s="1">
        <v>44354.515081018515</v>
      </c>
      <c r="AV201" t="s">
        <v>71</v>
      </c>
      <c r="AW201" t="s">
        <v>72</v>
      </c>
      <c r="AX201" t="s">
        <v>73</v>
      </c>
    </row>
    <row r="202" spans="1:50" x14ac:dyDescent="0.3">
      <c r="A202" t="str">
        <f>"201794E0100"</f>
        <v>201794E0100</v>
      </c>
      <c r="B202" t="str">
        <f>"201794E01002"</f>
        <v>201794E01002</v>
      </c>
      <c r="C202" t="str">
        <f t="shared" si="6"/>
        <v>20</v>
      </c>
      <c r="D202" t="s">
        <v>67</v>
      </c>
      <c r="E202" t="str">
        <f t="shared" si="7"/>
        <v>001</v>
      </c>
      <c r="F202" t="s">
        <v>68</v>
      </c>
      <c r="G202" t="str">
        <f>"1794"</f>
        <v>1794</v>
      </c>
      <c r="H202" t="str">
        <f>"0001"</f>
        <v>0001</v>
      </c>
      <c r="I202" t="s">
        <v>109</v>
      </c>
      <c r="J202">
        <v>0</v>
      </c>
      <c r="K202">
        <v>1</v>
      </c>
      <c r="L202">
        <v>2</v>
      </c>
      <c r="M202">
        <v>244</v>
      </c>
      <c r="N202">
        <v>530</v>
      </c>
      <c r="O202">
        <v>0</v>
      </c>
      <c r="P202">
        <v>530</v>
      </c>
      <c r="Q202">
        <v>16</v>
      </c>
      <c r="R202">
        <v>240</v>
      </c>
      <c r="S202">
        <v>75</v>
      </c>
      <c r="T202">
        <v>10</v>
      </c>
      <c r="U202">
        <v>8</v>
      </c>
      <c r="V202">
        <v>4</v>
      </c>
      <c r="W202">
        <v>6</v>
      </c>
      <c r="X202">
        <v>130</v>
      </c>
      <c r="Y202">
        <v>1</v>
      </c>
      <c r="Z202">
        <v>3</v>
      </c>
      <c r="AA202">
        <v>3</v>
      </c>
      <c r="AB202">
        <v>9</v>
      </c>
      <c r="AD202">
        <v>3</v>
      </c>
      <c r="AE202">
        <v>1</v>
      </c>
      <c r="AF202">
        <v>0</v>
      </c>
      <c r="AG202">
        <v>2</v>
      </c>
      <c r="AI202">
        <v>0</v>
      </c>
      <c r="AJ202">
        <v>19</v>
      </c>
      <c r="AK202">
        <v>530</v>
      </c>
      <c r="AL202">
        <v>530</v>
      </c>
      <c r="AM202">
        <v>730</v>
      </c>
      <c r="AN202">
        <v>44</v>
      </c>
      <c r="AP202">
        <v>1</v>
      </c>
      <c r="AR202" t="s">
        <v>280</v>
      </c>
      <c r="AS202" s="1">
        <v>44354.491666666669</v>
      </c>
      <c r="AT202" s="1">
        <v>44354.698067129626</v>
      </c>
      <c r="AU202" s="1">
        <v>44354.698530092595</v>
      </c>
      <c r="AV202" t="s">
        <v>71</v>
      </c>
      <c r="AW202" t="s">
        <v>72</v>
      </c>
      <c r="AX202" t="s">
        <v>73</v>
      </c>
    </row>
    <row r="203" spans="1:50" x14ac:dyDescent="0.3">
      <c r="A203" t="str">
        <f>"201794E0200"</f>
        <v>201794E0200</v>
      </c>
      <c r="B203" t="str">
        <f>"201794E02002"</f>
        <v>201794E02002</v>
      </c>
      <c r="C203" t="str">
        <f t="shared" si="6"/>
        <v>20</v>
      </c>
      <c r="D203" t="s">
        <v>67</v>
      </c>
      <c r="E203" t="str">
        <f t="shared" si="7"/>
        <v>001</v>
      </c>
      <c r="F203" t="s">
        <v>68</v>
      </c>
      <c r="G203" t="str">
        <f>"1794"</f>
        <v>1794</v>
      </c>
      <c r="H203" t="str">
        <f>"0002"</f>
        <v>0002</v>
      </c>
      <c r="I203" t="s">
        <v>109</v>
      </c>
      <c r="J203">
        <v>0</v>
      </c>
      <c r="K203">
        <v>1</v>
      </c>
      <c r="L203">
        <v>2</v>
      </c>
      <c r="M203">
        <v>238</v>
      </c>
      <c r="N203">
        <v>256</v>
      </c>
      <c r="O203">
        <v>3</v>
      </c>
      <c r="P203">
        <v>256</v>
      </c>
      <c r="Q203">
        <v>10</v>
      </c>
      <c r="R203">
        <v>114</v>
      </c>
      <c r="S203">
        <v>53</v>
      </c>
      <c r="T203">
        <v>4</v>
      </c>
      <c r="U203">
        <v>2</v>
      </c>
      <c r="V203">
        <v>3</v>
      </c>
      <c r="W203">
        <v>0</v>
      </c>
      <c r="X203">
        <v>57</v>
      </c>
      <c r="Y203">
        <v>1</v>
      </c>
      <c r="Z203">
        <v>0</v>
      </c>
      <c r="AA203">
        <v>2</v>
      </c>
      <c r="AB203">
        <v>0</v>
      </c>
      <c r="AD203">
        <v>3</v>
      </c>
      <c r="AE203">
        <v>0</v>
      </c>
      <c r="AF203">
        <v>0</v>
      </c>
      <c r="AG203">
        <v>0</v>
      </c>
      <c r="AI203">
        <v>0</v>
      </c>
      <c r="AJ203">
        <v>7</v>
      </c>
      <c r="AK203">
        <v>256</v>
      </c>
      <c r="AL203">
        <v>256</v>
      </c>
      <c r="AM203">
        <v>450</v>
      </c>
      <c r="AN203">
        <v>44</v>
      </c>
      <c r="AP203">
        <v>1</v>
      </c>
      <c r="AR203" t="s">
        <v>281</v>
      </c>
      <c r="AS203" s="1">
        <v>44354.49722222222</v>
      </c>
      <c r="AT203" s="1">
        <v>44354.501273148147</v>
      </c>
      <c r="AU203" s="1">
        <v>44354.501736111109</v>
      </c>
      <c r="AV203" t="s">
        <v>71</v>
      </c>
      <c r="AW203" t="s">
        <v>72</v>
      </c>
      <c r="AX203" t="s">
        <v>73</v>
      </c>
    </row>
    <row r="204" spans="1:50" x14ac:dyDescent="0.3">
      <c r="A204" t="str">
        <f>"201795B0000"</f>
        <v>201795B0000</v>
      </c>
      <c r="B204" t="str">
        <f>"201795B00002"</f>
        <v>201795B00002</v>
      </c>
      <c r="C204" t="str">
        <f t="shared" si="6"/>
        <v>20</v>
      </c>
      <c r="D204" t="s">
        <v>67</v>
      </c>
      <c r="E204" t="str">
        <f t="shared" si="7"/>
        <v>001</v>
      </c>
      <c r="F204" t="s">
        <v>68</v>
      </c>
      <c r="G204" t="str">
        <f>"1795"</f>
        <v>1795</v>
      </c>
      <c r="H204" t="str">
        <f>"0000"</f>
        <v>0000</v>
      </c>
      <c r="I204" t="s">
        <v>69</v>
      </c>
      <c r="J204">
        <v>0</v>
      </c>
      <c r="K204">
        <v>1</v>
      </c>
      <c r="L204">
        <v>2</v>
      </c>
      <c r="M204">
        <v>108</v>
      </c>
      <c r="N204">
        <v>173</v>
      </c>
      <c r="O204">
        <v>2</v>
      </c>
      <c r="P204">
        <v>173</v>
      </c>
      <c r="Q204">
        <v>5</v>
      </c>
      <c r="R204">
        <v>39</v>
      </c>
      <c r="S204">
        <v>2</v>
      </c>
      <c r="T204">
        <v>3</v>
      </c>
      <c r="U204">
        <v>5</v>
      </c>
      <c r="V204">
        <v>6</v>
      </c>
      <c r="W204">
        <v>0</v>
      </c>
      <c r="X204">
        <v>101</v>
      </c>
      <c r="Y204">
        <v>0</v>
      </c>
      <c r="Z204">
        <v>1</v>
      </c>
      <c r="AA204">
        <v>4</v>
      </c>
      <c r="AB204">
        <v>1</v>
      </c>
      <c r="AD204">
        <v>0</v>
      </c>
      <c r="AE204">
        <v>2</v>
      </c>
      <c r="AF204">
        <v>0</v>
      </c>
      <c r="AG204">
        <v>0</v>
      </c>
      <c r="AI204">
        <v>0</v>
      </c>
      <c r="AJ204">
        <v>4</v>
      </c>
      <c r="AK204">
        <v>173</v>
      </c>
      <c r="AL204">
        <v>173</v>
      </c>
      <c r="AM204">
        <v>237</v>
      </c>
      <c r="AN204">
        <v>44</v>
      </c>
      <c r="AP204">
        <v>1</v>
      </c>
      <c r="AR204" t="s">
        <v>282</v>
      </c>
      <c r="AS204" s="1">
        <v>44354.500694444447</v>
      </c>
      <c r="AT204" s="1">
        <v>44354.506921296299</v>
      </c>
      <c r="AU204" s="1">
        <v>44354.507592592592</v>
      </c>
      <c r="AV204" t="s">
        <v>71</v>
      </c>
      <c r="AW204" t="s">
        <v>72</v>
      </c>
      <c r="AX204" t="s">
        <v>73</v>
      </c>
    </row>
    <row r="205" spans="1:50" x14ac:dyDescent="0.3">
      <c r="A205" t="str">
        <f>"201795E0100"</f>
        <v>201795E0100</v>
      </c>
      <c r="B205" t="str">
        <f>"201795E01002"</f>
        <v>201795E01002</v>
      </c>
      <c r="C205" t="str">
        <f t="shared" si="6"/>
        <v>20</v>
      </c>
      <c r="D205" t="s">
        <v>67</v>
      </c>
      <c r="E205" t="str">
        <f t="shared" si="7"/>
        <v>001</v>
      </c>
      <c r="F205" t="s">
        <v>68</v>
      </c>
      <c r="G205" t="str">
        <f>"1795"</f>
        <v>1795</v>
      </c>
      <c r="H205" t="str">
        <f>"0001"</f>
        <v>0001</v>
      </c>
      <c r="I205" t="s">
        <v>109</v>
      </c>
      <c r="J205">
        <v>0</v>
      </c>
      <c r="K205">
        <v>1</v>
      </c>
      <c r="L205">
        <v>2</v>
      </c>
      <c r="M205">
        <v>256</v>
      </c>
      <c r="N205">
        <v>221</v>
      </c>
      <c r="O205">
        <v>0</v>
      </c>
      <c r="P205">
        <v>221</v>
      </c>
      <c r="Q205">
        <v>3</v>
      </c>
      <c r="R205">
        <v>120</v>
      </c>
      <c r="S205">
        <v>15</v>
      </c>
      <c r="T205">
        <v>1</v>
      </c>
      <c r="U205">
        <v>5</v>
      </c>
      <c r="V205">
        <v>2</v>
      </c>
      <c r="W205">
        <v>2</v>
      </c>
      <c r="X205">
        <v>55</v>
      </c>
      <c r="Y205">
        <v>0</v>
      </c>
      <c r="Z205">
        <v>0</v>
      </c>
      <c r="AA205">
        <v>1</v>
      </c>
      <c r="AB205">
        <v>3</v>
      </c>
      <c r="AD205">
        <v>1</v>
      </c>
      <c r="AE205">
        <v>3</v>
      </c>
      <c r="AF205">
        <v>0</v>
      </c>
      <c r="AG205">
        <v>2</v>
      </c>
      <c r="AI205" t="s">
        <v>77</v>
      </c>
      <c r="AJ205">
        <v>10</v>
      </c>
      <c r="AK205">
        <v>221</v>
      </c>
      <c r="AL205">
        <v>223</v>
      </c>
      <c r="AM205">
        <v>433</v>
      </c>
      <c r="AN205">
        <v>44</v>
      </c>
      <c r="AO205" t="s">
        <v>78</v>
      </c>
      <c r="AP205">
        <v>1</v>
      </c>
      <c r="AR205" t="s">
        <v>283</v>
      </c>
      <c r="AS205" s="1">
        <v>44354.493055555555</v>
      </c>
      <c r="AT205" s="1">
        <v>44354.510648148149</v>
      </c>
      <c r="AU205" s="1">
        <v>44354.51222222222</v>
      </c>
      <c r="AV205" t="s">
        <v>71</v>
      </c>
      <c r="AW205" t="s">
        <v>72</v>
      </c>
      <c r="AX205" t="s">
        <v>73</v>
      </c>
    </row>
    <row r="206" spans="1:50" x14ac:dyDescent="0.3">
      <c r="A206" t="str">
        <f>"201795E0101"</f>
        <v>201795E0101</v>
      </c>
      <c r="B206" t="str">
        <f>"201795E01012"</f>
        <v>201795E01012</v>
      </c>
      <c r="C206" t="str">
        <f t="shared" si="6"/>
        <v>20</v>
      </c>
      <c r="D206" t="s">
        <v>67</v>
      </c>
      <c r="E206" t="str">
        <f t="shared" si="7"/>
        <v>001</v>
      </c>
      <c r="F206" t="s">
        <v>68</v>
      </c>
      <c r="G206" t="str">
        <f>"1795"</f>
        <v>1795</v>
      </c>
      <c r="H206" t="str">
        <f>"0001"</f>
        <v>0001</v>
      </c>
      <c r="I206" t="s">
        <v>109</v>
      </c>
      <c r="J206">
        <v>1</v>
      </c>
      <c r="K206">
        <v>1</v>
      </c>
      <c r="L206">
        <v>2</v>
      </c>
      <c r="M206">
        <v>255</v>
      </c>
      <c r="N206">
        <v>221</v>
      </c>
      <c r="O206">
        <v>0</v>
      </c>
      <c r="P206">
        <v>221</v>
      </c>
      <c r="Q206">
        <v>9</v>
      </c>
      <c r="R206">
        <v>111</v>
      </c>
      <c r="S206">
        <v>14</v>
      </c>
      <c r="T206">
        <v>2</v>
      </c>
      <c r="U206">
        <v>9</v>
      </c>
      <c r="V206">
        <v>1</v>
      </c>
      <c r="W206">
        <v>1</v>
      </c>
      <c r="X206">
        <v>51</v>
      </c>
      <c r="Y206">
        <v>0</v>
      </c>
      <c r="Z206">
        <v>2</v>
      </c>
      <c r="AA206">
        <v>4</v>
      </c>
      <c r="AB206">
        <v>0</v>
      </c>
      <c r="AD206">
        <v>4</v>
      </c>
      <c r="AE206">
        <v>1</v>
      </c>
      <c r="AF206">
        <v>1</v>
      </c>
      <c r="AG206">
        <v>1</v>
      </c>
      <c r="AI206">
        <v>0</v>
      </c>
      <c r="AJ206">
        <v>10</v>
      </c>
      <c r="AK206">
        <v>221</v>
      </c>
      <c r="AL206">
        <v>221</v>
      </c>
      <c r="AM206">
        <v>432</v>
      </c>
      <c r="AN206">
        <v>44</v>
      </c>
      <c r="AP206">
        <v>1</v>
      </c>
      <c r="AR206" t="s">
        <v>284</v>
      </c>
      <c r="AS206" s="1">
        <v>44354.5</v>
      </c>
      <c r="AT206" s="1">
        <v>44354.507268518515</v>
      </c>
      <c r="AU206" s="1">
        <v>44354.507928240739</v>
      </c>
      <c r="AV206" t="s">
        <v>71</v>
      </c>
      <c r="AW206" t="s">
        <v>72</v>
      </c>
      <c r="AX206" t="s">
        <v>73</v>
      </c>
    </row>
    <row r="207" spans="1:50" x14ac:dyDescent="0.3">
      <c r="A207" t="str">
        <f>"201795E0200"</f>
        <v>201795E0200</v>
      </c>
      <c r="B207" t="str">
        <f>"201795E02002"</f>
        <v>201795E02002</v>
      </c>
      <c r="C207" t="str">
        <f t="shared" si="6"/>
        <v>20</v>
      </c>
      <c r="D207" t="s">
        <v>67</v>
      </c>
      <c r="E207" t="str">
        <f t="shared" si="7"/>
        <v>001</v>
      </c>
      <c r="F207" t="s">
        <v>68</v>
      </c>
      <c r="G207" t="str">
        <f>"1795"</f>
        <v>1795</v>
      </c>
      <c r="H207" t="str">
        <f>"0002"</f>
        <v>0002</v>
      </c>
      <c r="I207" t="s">
        <v>109</v>
      </c>
      <c r="J207">
        <v>0</v>
      </c>
      <c r="K207">
        <v>1</v>
      </c>
      <c r="L207">
        <v>2</v>
      </c>
      <c r="M207">
        <v>224</v>
      </c>
      <c r="N207">
        <v>215</v>
      </c>
      <c r="O207">
        <v>2</v>
      </c>
      <c r="P207">
        <v>215</v>
      </c>
      <c r="Q207">
        <v>6</v>
      </c>
      <c r="R207">
        <v>85</v>
      </c>
      <c r="S207">
        <v>4</v>
      </c>
      <c r="T207">
        <v>8</v>
      </c>
      <c r="U207">
        <v>2</v>
      </c>
      <c r="V207">
        <v>5</v>
      </c>
      <c r="W207">
        <v>3</v>
      </c>
      <c r="X207">
        <v>78</v>
      </c>
      <c r="Y207">
        <v>0</v>
      </c>
      <c r="Z207">
        <v>2</v>
      </c>
      <c r="AA207">
        <v>4</v>
      </c>
      <c r="AB207">
        <v>0</v>
      </c>
      <c r="AD207">
        <v>0</v>
      </c>
      <c r="AE207">
        <v>0</v>
      </c>
      <c r="AF207">
        <v>0</v>
      </c>
      <c r="AG207">
        <v>0</v>
      </c>
      <c r="AI207">
        <v>0</v>
      </c>
      <c r="AJ207">
        <v>17</v>
      </c>
      <c r="AK207">
        <v>215</v>
      </c>
      <c r="AL207">
        <v>214</v>
      </c>
      <c r="AM207">
        <v>395</v>
      </c>
      <c r="AN207">
        <v>44</v>
      </c>
      <c r="AP207">
        <v>1</v>
      </c>
      <c r="AR207" t="s">
        <v>285</v>
      </c>
      <c r="AS207" s="1">
        <v>44354.495138888888</v>
      </c>
      <c r="AT207" s="1">
        <v>44354.50540509259</v>
      </c>
      <c r="AU207" s="1">
        <v>44354.506469907406</v>
      </c>
      <c r="AV207" t="s">
        <v>71</v>
      </c>
      <c r="AW207" t="s">
        <v>72</v>
      </c>
      <c r="AX207" t="s">
        <v>73</v>
      </c>
    </row>
    <row r="208" spans="1:50" x14ac:dyDescent="0.3">
      <c r="A208" t="str">
        <f>"201795E0300"</f>
        <v>201795E0300</v>
      </c>
      <c r="B208" t="str">
        <f>"201795E03002"</f>
        <v>201795E03002</v>
      </c>
      <c r="C208" t="str">
        <f t="shared" si="6"/>
        <v>20</v>
      </c>
      <c r="D208" t="s">
        <v>67</v>
      </c>
      <c r="E208" t="str">
        <f t="shared" si="7"/>
        <v>001</v>
      </c>
      <c r="F208" t="s">
        <v>68</v>
      </c>
      <c r="G208" t="str">
        <f>"1795"</f>
        <v>1795</v>
      </c>
      <c r="H208" t="str">
        <f>"0003"</f>
        <v>0003</v>
      </c>
      <c r="I208" t="s">
        <v>109</v>
      </c>
      <c r="J208">
        <v>0</v>
      </c>
      <c r="K208">
        <v>1</v>
      </c>
      <c r="L208">
        <v>2</v>
      </c>
      <c r="M208">
        <v>107</v>
      </c>
      <c r="N208">
        <v>92</v>
      </c>
      <c r="O208">
        <v>4</v>
      </c>
      <c r="P208">
        <v>92</v>
      </c>
      <c r="Q208">
        <v>7</v>
      </c>
      <c r="R208">
        <v>30</v>
      </c>
      <c r="S208">
        <v>0</v>
      </c>
      <c r="T208">
        <v>2</v>
      </c>
      <c r="U208">
        <v>11</v>
      </c>
      <c r="V208">
        <v>2</v>
      </c>
      <c r="W208">
        <v>0</v>
      </c>
      <c r="X208">
        <v>27</v>
      </c>
      <c r="Y208">
        <v>0</v>
      </c>
      <c r="Z208">
        <v>2</v>
      </c>
      <c r="AA208">
        <v>3</v>
      </c>
      <c r="AB208">
        <v>0</v>
      </c>
      <c r="AD208">
        <v>3</v>
      </c>
      <c r="AE208">
        <v>1</v>
      </c>
      <c r="AF208">
        <v>0</v>
      </c>
      <c r="AG208">
        <v>1</v>
      </c>
      <c r="AI208">
        <v>0</v>
      </c>
      <c r="AJ208">
        <v>3</v>
      </c>
      <c r="AK208">
        <v>92</v>
      </c>
      <c r="AL208">
        <v>92</v>
      </c>
      <c r="AM208">
        <v>155</v>
      </c>
      <c r="AN208">
        <v>44</v>
      </c>
      <c r="AP208">
        <v>1</v>
      </c>
      <c r="AR208" t="s">
        <v>286</v>
      </c>
      <c r="AS208" s="1">
        <v>44354.488888888889</v>
      </c>
      <c r="AT208" s="1">
        <v>44354.512858796297</v>
      </c>
      <c r="AU208" s="1">
        <v>44354.513148148151</v>
      </c>
      <c r="AV208" t="s">
        <v>71</v>
      </c>
      <c r="AW208" t="s">
        <v>72</v>
      </c>
      <c r="AX208" t="s">
        <v>73</v>
      </c>
    </row>
    <row r="209" spans="1:50" x14ac:dyDescent="0.3">
      <c r="A209" t="str">
        <f>"201796B0000"</f>
        <v>201796B0000</v>
      </c>
      <c r="B209" t="str">
        <f>"201796B00002"</f>
        <v>201796B00002</v>
      </c>
      <c r="C209" t="str">
        <f t="shared" si="6"/>
        <v>20</v>
      </c>
      <c r="D209" t="s">
        <v>67</v>
      </c>
      <c r="E209" t="str">
        <f t="shared" si="7"/>
        <v>001</v>
      </c>
      <c r="F209" t="s">
        <v>68</v>
      </c>
      <c r="G209" t="str">
        <f>"1796"</f>
        <v>1796</v>
      </c>
      <c r="H209" t="str">
        <f>"0000"</f>
        <v>0000</v>
      </c>
      <c r="I209" t="s">
        <v>69</v>
      </c>
      <c r="J209">
        <v>0</v>
      </c>
      <c r="K209">
        <v>1</v>
      </c>
      <c r="L209">
        <v>2</v>
      </c>
      <c r="M209">
        <v>241</v>
      </c>
      <c r="N209">
        <v>238</v>
      </c>
      <c r="O209">
        <v>0</v>
      </c>
      <c r="P209">
        <v>238</v>
      </c>
      <c r="Q209">
        <v>6</v>
      </c>
      <c r="R209">
        <v>80</v>
      </c>
      <c r="S209">
        <v>12</v>
      </c>
      <c r="T209">
        <v>7</v>
      </c>
      <c r="U209">
        <v>15</v>
      </c>
      <c r="V209">
        <v>7</v>
      </c>
      <c r="W209">
        <v>3</v>
      </c>
      <c r="X209">
        <v>79</v>
      </c>
      <c r="Y209">
        <v>2</v>
      </c>
      <c r="Z209">
        <v>8</v>
      </c>
      <c r="AA209">
        <v>2</v>
      </c>
      <c r="AB209">
        <v>3</v>
      </c>
      <c r="AD209">
        <v>2</v>
      </c>
      <c r="AE209">
        <v>0</v>
      </c>
      <c r="AF209">
        <v>0</v>
      </c>
      <c r="AG209">
        <v>1</v>
      </c>
      <c r="AI209">
        <v>0</v>
      </c>
      <c r="AJ209">
        <v>11</v>
      </c>
      <c r="AK209">
        <v>238</v>
      </c>
      <c r="AL209">
        <v>238</v>
      </c>
      <c r="AM209">
        <v>435</v>
      </c>
      <c r="AN209">
        <v>44</v>
      </c>
      <c r="AP209">
        <v>1</v>
      </c>
      <c r="AR209" t="s">
        <v>287</v>
      </c>
      <c r="AS209" s="1">
        <v>44354.494444444441</v>
      </c>
      <c r="AT209" s="1">
        <v>44354.497615740744</v>
      </c>
      <c r="AU209" s="1">
        <v>44354.498298611114</v>
      </c>
      <c r="AV209" t="s">
        <v>71</v>
      </c>
      <c r="AW209" t="s">
        <v>72</v>
      </c>
      <c r="AX209" t="s">
        <v>73</v>
      </c>
    </row>
    <row r="210" spans="1:50" x14ac:dyDescent="0.3">
      <c r="A210" t="str">
        <f>"201796C0100"</f>
        <v>201796C0100</v>
      </c>
      <c r="B210" t="str">
        <f>"201796C01002"</f>
        <v>201796C01002</v>
      </c>
      <c r="C210" t="str">
        <f t="shared" si="6"/>
        <v>20</v>
      </c>
      <c r="D210" t="s">
        <v>67</v>
      </c>
      <c r="E210" t="str">
        <f t="shared" si="7"/>
        <v>001</v>
      </c>
      <c r="F210" t="s">
        <v>68</v>
      </c>
      <c r="G210" t="str">
        <f>"1796"</f>
        <v>1796</v>
      </c>
      <c r="H210" t="str">
        <f>"0001"</f>
        <v>0001</v>
      </c>
      <c r="I210" t="s">
        <v>75</v>
      </c>
      <c r="J210">
        <v>0</v>
      </c>
      <c r="K210">
        <v>1</v>
      </c>
      <c r="L210">
        <v>2</v>
      </c>
      <c r="M210">
        <v>222</v>
      </c>
      <c r="N210">
        <v>256</v>
      </c>
      <c r="O210">
        <v>2</v>
      </c>
      <c r="P210">
        <v>256</v>
      </c>
      <c r="Q210">
        <v>8</v>
      </c>
      <c r="R210">
        <v>85</v>
      </c>
      <c r="S210">
        <v>11</v>
      </c>
      <c r="T210">
        <v>9</v>
      </c>
      <c r="U210">
        <v>12</v>
      </c>
      <c r="V210">
        <v>9</v>
      </c>
      <c r="W210">
        <v>4</v>
      </c>
      <c r="X210">
        <v>88</v>
      </c>
      <c r="Y210">
        <v>1</v>
      </c>
      <c r="Z210">
        <v>7</v>
      </c>
      <c r="AA210">
        <v>6</v>
      </c>
      <c r="AB210">
        <v>3</v>
      </c>
      <c r="AD210">
        <v>0</v>
      </c>
      <c r="AE210">
        <v>0</v>
      </c>
      <c r="AF210">
        <v>0</v>
      </c>
      <c r="AG210">
        <v>1</v>
      </c>
      <c r="AI210" t="s">
        <v>77</v>
      </c>
      <c r="AJ210">
        <v>12</v>
      </c>
      <c r="AK210">
        <v>256</v>
      </c>
      <c r="AL210">
        <v>256</v>
      </c>
      <c r="AM210">
        <v>434</v>
      </c>
      <c r="AN210">
        <v>44</v>
      </c>
      <c r="AO210" t="s">
        <v>78</v>
      </c>
      <c r="AP210">
        <v>1</v>
      </c>
      <c r="AR210" t="s">
        <v>288</v>
      </c>
      <c r="AS210" s="1">
        <v>44354.487500000003</v>
      </c>
      <c r="AT210" s="1">
        <v>44354.515162037038</v>
      </c>
      <c r="AU210" s="1">
        <v>44354.515706018516</v>
      </c>
      <c r="AV210" t="s">
        <v>71</v>
      </c>
      <c r="AW210" t="s">
        <v>72</v>
      </c>
      <c r="AX210" t="s">
        <v>73</v>
      </c>
    </row>
    <row r="211" spans="1:50" x14ac:dyDescent="0.3">
      <c r="A211" t="str">
        <f>"201796E0100"</f>
        <v>201796E0100</v>
      </c>
      <c r="B211" t="str">
        <f>"201796E01002"</f>
        <v>201796E01002</v>
      </c>
      <c r="C211" t="str">
        <f t="shared" si="6"/>
        <v>20</v>
      </c>
      <c r="D211" t="s">
        <v>67</v>
      </c>
      <c r="E211" t="str">
        <f t="shared" si="7"/>
        <v>001</v>
      </c>
      <c r="F211" t="s">
        <v>68</v>
      </c>
      <c r="G211" t="str">
        <f>"1796"</f>
        <v>1796</v>
      </c>
      <c r="H211" t="str">
        <f>"0001"</f>
        <v>0001</v>
      </c>
      <c r="I211" t="s">
        <v>109</v>
      </c>
      <c r="J211">
        <v>0</v>
      </c>
      <c r="K211">
        <v>1</v>
      </c>
      <c r="L211">
        <v>2</v>
      </c>
      <c r="M211" t="s">
        <v>99</v>
      </c>
      <c r="N211">
        <v>229</v>
      </c>
      <c r="O211">
        <v>5</v>
      </c>
      <c r="P211">
        <v>229</v>
      </c>
      <c r="Q211">
        <v>16</v>
      </c>
      <c r="R211">
        <v>102</v>
      </c>
      <c r="S211">
        <v>4</v>
      </c>
      <c r="T211">
        <v>0</v>
      </c>
      <c r="U211">
        <v>10</v>
      </c>
      <c r="V211">
        <v>2</v>
      </c>
      <c r="W211">
        <v>1</v>
      </c>
      <c r="X211">
        <v>60</v>
      </c>
      <c r="Y211">
        <v>2</v>
      </c>
      <c r="Z211">
        <v>1</v>
      </c>
      <c r="AA211">
        <v>6</v>
      </c>
      <c r="AB211">
        <v>2</v>
      </c>
      <c r="AD211">
        <v>4</v>
      </c>
      <c r="AE211">
        <v>8</v>
      </c>
      <c r="AF211">
        <v>0</v>
      </c>
      <c r="AG211">
        <v>1</v>
      </c>
      <c r="AI211">
        <v>0</v>
      </c>
      <c r="AJ211">
        <v>10</v>
      </c>
      <c r="AK211">
        <v>229</v>
      </c>
      <c r="AL211">
        <v>229</v>
      </c>
      <c r="AM211">
        <v>472</v>
      </c>
      <c r="AN211">
        <v>44</v>
      </c>
      <c r="AP211">
        <v>1</v>
      </c>
      <c r="AR211" t="s">
        <v>289</v>
      </c>
      <c r="AS211" s="1">
        <v>44354.488194444442</v>
      </c>
      <c r="AT211" s="1">
        <v>44354.670810185184</v>
      </c>
      <c r="AU211" s="1">
        <v>44354.671840277777</v>
      </c>
      <c r="AV211" t="s">
        <v>71</v>
      </c>
      <c r="AW211" t="s">
        <v>72</v>
      </c>
      <c r="AX211" t="s">
        <v>73</v>
      </c>
    </row>
    <row r="212" spans="1:50" x14ac:dyDescent="0.3">
      <c r="A212" t="str">
        <f>"201797B0000"</f>
        <v>201797B0000</v>
      </c>
      <c r="B212" t="str">
        <f>"201797B00002"</f>
        <v>201797B00002</v>
      </c>
      <c r="C212" t="str">
        <f t="shared" si="6"/>
        <v>20</v>
      </c>
      <c r="D212" t="s">
        <v>67</v>
      </c>
      <c r="E212" t="str">
        <f t="shared" si="7"/>
        <v>001</v>
      </c>
      <c r="F212" t="s">
        <v>68</v>
      </c>
      <c r="G212" t="str">
        <f>"1797"</f>
        <v>1797</v>
      </c>
      <c r="H212" t="str">
        <f>"0000"</f>
        <v>0000</v>
      </c>
      <c r="I212" t="s">
        <v>69</v>
      </c>
      <c r="J212">
        <v>0</v>
      </c>
      <c r="K212">
        <v>1</v>
      </c>
      <c r="L212">
        <v>2</v>
      </c>
      <c r="M212">
        <v>244</v>
      </c>
      <c r="N212">
        <v>357</v>
      </c>
      <c r="O212">
        <v>1</v>
      </c>
      <c r="P212">
        <v>357</v>
      </c>
      <c r="Q212">
        <v>8</v>
      </c>
      <c r="R212">
        <v>118</v>
      </c>
      <c r="S212">
        <v>5</v>
      </c>
      <c r="T212">
        <v>3</v>
      </c>
      <c r="U212">
        <v>4</v>
      </c>
      <c r="V212">
        <v>7</v>
      </c>
      <c r="W212">
        <v>6</v>
      </c>
      <c r="X212">
        <v>148</v>
      </c>
      <c r="Y212">
        <v>2</v>
      </c>
      <c r="Z212">
        <v>3</v>
      </c>
      <c r="AA212">
        <v>16</v>
      </c>
      <c r="AB212">
        <v>12</v>
      </c>
      <c r="AD212">
        <v>5</v>
      </c>
      <c r="AE212">
        <v>0</v>
      </c>
      <c r="AF212">
        <v>0</v>
      </c>
      <c r="AG212">
        <v>0</v>
      </c>
      <c r="AI212">
        <v>0</v>
      </c>
      <c r="AJ212">
        <v>20</v>
      </c>
      <c r="AK212">
        <v>357</v>
      </c>
      <c r="AL212">
        <v>357</v>
      </c>
      <c r="AM212">
        <v>557</v>
      </c>
      <c r="AN212">
        <v>44</v>
      </c>
      <c r="AP212">
        <v>1</v>
      </c>
      <c r="AR212" t="s">
        <v>290</v>
      </c>
      <c r="AS212" s="1">
        <v>44354.493055555555</v>
      </c>
      <c r="AT212" s="1">
        <v>44354.509872685187</v>
      </c>
      <c r="AU212" s="1">
        <v>44354.51059027778</v>
      </c>
      <c r="AV212" t="s">
        <v>71</v>
      </c>
      <c r="AW212" t="s">
        <v>72</v>
      </c>
      <c r="AX212" t="s">
        <v>73</v>
      </c>
    </row>
    <row r="213" spans="1:50" x14ac:dyDescent="0.3">
      <c r="A213" t="str">
        <f>"201797E0100"</f>
        <v>201797E0100</v>
      </c>
      <c r="B213" t="str">
        <f>"201797E01002"</f>
        <v>201797E01002</v>
      </c>
      <c r="C213" t="str">
        <f t="shared" si="6"/>
        <v>20</v>
      </c>
      <c r="D213" t="s">
        <v>67</v>
      </c>
      <c r="E213" t="str">
        <f t="shared" si="7"/>
        <v>001</v>
      </c>
      <c r="F213" t="s">
        <v>68</v>
      </c>
      <c r="G213" t="str">
        <f>"1797"</f>
        <v>1797</v>
      </c>
      <c r="H213" t="str">
        <f>"0001"</f>
        <v>0001</v>
      </c>
      <c r="I213" t="s">
        <v>109</v>
      </c>
      <c r="J213">
        <v>0</v>
      </c>
      <c r="K213">
        <v>1</v>
      </c>
      <c r="L213">
        <v>2</v>
      </c>
      <c r="M213">
        <v>104</v>
      </c>
      <c r="N213">
        <v>112</v>
      </c>
      <c r="O213">
        <v>4</v>
      </c>
      <c r="P213">
        <v>112</v>
      </c>
      <c r="Q213">
        <v>1</v>
      </c>
      <c r="R213">
        <v>55</v>
      </c>
      <c r="S213">
        <v>3</v>
      </c>
      <c r="T213">
        <v>0</v>
      </c>
      <c r="U213">
        <v>2</v>
      </c>
      <c r="V213">
        <v>2</v>
      </c>
      <c r="W213">
        <v>0</v>
      </c>
      <c r="X213">
        <v>35</v>
      </c>
      <c r="Y213">
        <v>1</v>
      </c>
      <c r="Z213">
        <v>1</v>
      </c>
      <c r="AA213">
        <v>4</v>
      </c>
      <c r="AB213">
        <v>5</v>
      </c>
      <c r="AD213">
        <v>1</v>
      </c>
      <c r="AE213">
        <v>0</v>
      </c>
      <c r="AF213">
        <v>0</v>
      </c>
      <c r="AG213">
        <v>0</v>
      </c>
      <c r="AI213">
        <v>0</v>
      </c>
      <c r="AJ213">
        <v>2</v>
      </c>
      <c r="AK213">
        <v>112</v>
      </c>
      <c r="AL213">
        <v>112</v>
      </c>
      <c r="AM213">
        <v>172</v>
      </c>
      <c r="AN213">
        <v>44</v>
      </c>
      <c r="AP213">
        <v>1</v>
      </c>
      <c r="AR213" t="s">
        <v>291</v>
      </c>
      <c r="AS213" s="1">
        <v>44354.497916666667</v>
      </c>
      <c r="AT213" s="1">
        <v>44354.502800925926</v>
      </c>
      <c r="AU213" s="1">
        <v>44354.503310185188</v>
      </c>
      <c r="AV213" t="s">
        <v>71</v>
      </c>
      <c r="AW213" t="s">
        <v>72</v>
      </c>
      <c r="AX213" t="s">
        <v>73</v>
      </c>
    </row>
    <row r="214" spans="1:50" x14ac:dyDescent="0.3">
      <c r="A214" t="str">
        <f>"201798B0000"</f>
        <v>201798B0000</v>
      </c>
      <c r="B214" t="str">
        <f>"201798B00002"</f>
        <v>201798B00002</v>
      </c>
      <c r="C214" t="str">
        <f t="shared" si="6"/>
        <v>20</v>
      </c>
      <c r="D214" t="s">
        <v>67</v>
      </c>
      <c r="E214" t="str">
        <f t="shared" si="7"/>
        <v>001</v>
      </c>
      <c r="F214" t="s">
        <v>68</v>
      </c>
      <c r="G214" t="str">
        <f>"1798"</f>
        <v>1798</v>
      </c>
      <c r="H214" t="str">
        <f>"0000"</f>
        <v>0000</v>
      </c>
      <c r="I214" t="s">
        <v>69</v>
      </c>
      <c r="J214">
        <v>0</v>
      </c>
      <c r="K214">
        <v>1</v>
      </c>
      <c r="L214">
        <v>2</v>
      </c>
      <c r="M214">
        <v>327</v>
      </c>
      <c r="N214">
        <v>357</v>
      </c>
      <c r="O214">
        <v>0</v>
      </c>
      <c r="P214">
        <v>357</v>
      </c>
      <c r="Q214">
        <v>15</v>
      </c>
      <c r="R214">
        <v>181</v>
      </c>
      <c r="S214">
        <v>41</v>
      </c>
      <c r="T214">
        <v>3</v>
      </c>
      <c r="U214">
        <v>4</v>
      </c>
      <c r="V214">
        <v>7</v>
      </c>
      <c r="W214">
        <v>2</v>
      </c>
      <c r="X214">
        <v>63</v>
      </c>
      <c r="Y214">
        <v>2</v>
      </c>
      <c r="Z214">
        <v>10</v>
      </c>
      <c r="AA214">
        <v>9</v>
      </c>
      <c r="AB214">
        <v>5</v>
      </c>
      <c r="AD214">
        <v>4</v>
      </c>
      <c r="AE214">
        <v>0</v>
      </c>
      <c r="AF214">
        <v>0</v>
      </c>
      <c r="AG214">
        <v>1</v>
      </c>
      <c r="AI214">
        <v>0</v>
      </c>
      <c r="AJ214">
        <v>10</v>
      </c>
      <c r="AK214">
        <v>357</v>
      </c>
      <c r="AL214">
        <v>357</v>
      </c>
      <c r="AM214">
        <v>640</v>
      </c>
      <c r="AN214">
        <v>44</v>
      </c>
      <c r="AP214">
        <v>1</v>
      </c>
      <c r="AR214" t="s">
        <v>292</v>
      </c>
      <c r="AS214" s="1">
        <v>44354.500694444447</v>
      </c>
      <c r="AT214" s="1">
        <v>44354.506122685183</v>
      </c>
      <c r="AU214" s="1">
        <v>44354.506793981483</v>
      </c>
      <c r="AV214" t="s">
        <v>71</v>
      </c>
      <c r="AW214" t="s">
        <v>72</v>
      </c>
      <c r="AX214" t="s">
        <v>73</v>
      </c>
    </row>
    <row r="215" spans="1:50" x14ac:dyDescent="0.3">
      <c r="A215" t="str">
        <f>"201798C0100"</f>
        <v>201798C0100</v>
      </c>
      <c r="B215" t="str">
        <f>"201798C01002"</f>
        <v>201798C01002</v>
      </c>
      <c r="C215" t="str">
        <f t="shared" si="6"/>
        <v>20</v>
      </c>
      <c r="D215" t="s">
        <v>67</v>
      </c>
      <c r="E215" t="str">
        <f t="shared" si="7"/>
        <v>001</v>
      </c>
      <c r="F215" t="s">
        <v>68</v>
      </c>
      <c r="G215" t="str">
        <f>"1798"</f>
        <v>1798</v>
      </c>
      <c r="H215" t="str">
        <f>"0001"</f>
        <v>0001</v>
      </c>
      <c r="I215" t="s">
        <v>75</v>
      </c>
      <c r="J215">
        <v>0</v>
      </c>
      <c r="K215">
        <v>1</v>
      </c>
      <c r="L215">
        <v>2</v>
      </c>
      <c r="M215">
        <v>306</v>
      </c>
      <c r="N215">
        <v>377</v>
      </c>
      <c r="O215">
        <v>3</v>
      </c>
      <c r="P215">
        <v>377</v>
      </c>
      <c r="Q215">
        <v>11</v>
      </c>
      <c r="R215">
        <v>200</v>
      </c>
      <c r="S215">
        <v>44</v>
      </c>
      <c r="T215">
        <v>5</v>
      </c>
      <c r="U215">
        <v>1</v>
      </c>
      <c r="V215">
        <v>4</v>
      </c>
      <c r="W215">
        <v>0</v>
      </c>
      <c r="X215">
        <v>87</v>
      </c>
      <c r="Y215">
        <v>2</v>
      </c>
      <c r="Z215">
        <v>4</v>
      </c>
      <c r="AA215">
        <v>8</v>
      </c>
      <c r="AB215">
        <v>7</v>
      </c>
      <c r="AD215">
        <v>0</v>
      </c>
      <c r="AE215">
        <v>0</v>
      </c>
      <c r="AF215">
        <v>0</v>
      </c>
      <c r="AG215">
        <v>2</v>
      </c>
      <c r="AI215">
        <v>0</v>
      </c>
      <c r="AJ215">
        <v>2</v>
      </c>
      <c r="AK215">
        <v>377</v>
      </c>
      <c r="AL215">
        <v>377</v>
      </c>
      <c r="AM215">
        <v>639</v>
      </c>
      <c r="AN215">
        <v>44</v>
      </c>
      <c r="AP215">
        <v>1</v>
      </c>
      <c r="AR215" t="s">
        <v>293</v>
      </c>
      <c r="AS215" s="1">
        <v>44353.816666666666</v>
      </c>
      <c r="AT215" s="1">
        <v>44354.487210648149</v>
      </c>
      <c r="AU215" s="1">
        <v>44354.488275462965</v>
      </c>
      <c r="AV215" t="s">
        <v>71</v>
      </c>
      <c r="AW215" t="s">
        <v>72</v>
      </c>
      <c r="AX215" t="s">
        <v>73</v>
      </c>
    </row>
    <row r="216" spans="1:50" x14ac:dyDescent="0.3">
      <c r="A216" t="str">
        <f>"201799B0000"</f>
        <v>201799B0000</v>
      </c>
      <c r="B216" t="str">
        <f>"201799B00002"</f>
        <v>201799B00002</v>
      </c>
      <c r="C216" t="str">
        <f t="shared" si="6"/>
        <v>20</v>
      </c>
      <c r="D216" t="s">
        <v>67</v>
      </c>
      <c r="E216" t="str">
        <f t="shared" si="7"/>
        <v>001</v>
      </c>
      <c r="F216" t="s">
        <v>68</v>
      </c>
      <c r="G216" t="str">
        <f>"1799"</f>
        <v>1799</v>
      </c>
      <c r="H216" t="str">
        <f>"0000"</f>
        <v>0000</v>
      </c>
      <c r="I216" t="s">
        <v>69</v>
      </c>
      <c r="J216">
        <v>0</v>
      </c>
      <c r="K216">
        <v>1</v>
      </c>
      <c r="L216">
        <v>2</v>
      </c>
      <c r="M216">
        <v>299</v>
      </c>
      <c r="N216">
        <v>271</v>
      </c>
      <c r="O216">
        <v>3</v>
      </c>
      <c r="P216">
        <v>271</v>
      </c>
      <c r="Q216">
        <v>11</v>
      </c>
      <c r="R216">
        <v>107</v>
      </c>
      <c r="S216">
        <v>23</v>
      </c>
      <c r="T216">
        <v>4</v>
      </c>
      <c r="U216">
        <v>3</v>
      </c>
      <c r="V216">
        <v>2</v>
      </c>
      <c r="W216">
        <v>1</v>
      </c>
      <c r="X216">
        <v>98</v>
      </c>
      <c r="Y216">
        <v>1</v>
      </c>
      <c r="Z216">
        <v>1</v>
      </c>
      <c r="AA216">
        <v>10</v>
      </c>
      <c r="AB216">
        <v>1</v>
      </c>
      <c r="AD216">
        <v>2</v>
      </c>
      <c r="AE216">
        <v>2</v>
      </c>
      <c r="AF216" t="s">
        <v>77</v>
      </c>
      <c r="AG216" t="s">
        <v>77</v>
      </c>
      <c r="AI216" t="s">
        <v>77</v>
      </c>
      <c r="AJ216">
        <v>5</v>
      </c>
      <c r="AK216">
        <v>271</v>
      </c>
      <c r="AL216">
        <v>271</v>
      </c>
      <c r="AM216">
        <v>526</v>
      </c>
      <c r="AN216">
        <v>44</v>
      </c>
      <c r="AO216" t="s">
        <v>78</v>
      </c>
      <c r="AP216">
        <v>1</v>
      </c>
      <c r="AR216" s="2" t="s">
        <v>294</v>
      </c>
      <c r="AS216" s="1">
        <v>44354.499305555553</v>
      </c>
      <c r="AT216" s="1">
        <v>44354.504803240743</v>
      </c>
      <c r="AU216" s="1">
        <v>44354.505439814813</v>
      </c>
      <c r="AV216" t="s">
        <v>71</v>
      </c>
      <c r="AW216" t="s">
        <v>72</v>
      </c>
      <c r="AX216" t="s">
        <v>73</v>
      </c>
    </row>
    <row r="217" spans="1:50" x14ac:dyDescent="0.3">
      <c r="A217" t="str">
        <f>"201800B0000"</f>
        <v>201800B0000</v>
      </c>
      <c r="B217" t="str">
        <f>"201800B00002"</f>
        <v>201800B00002</v>
      </c>
      <c r="C217" t="str">
        <f t="shared" si="6"/>
        <v>20</v>
      </c>
      <c r="D217" t="s">
        <v>67</v>
      </c>
      <c r="E217" t="str">
        <f t="shared" si="7"/>
        <v>001</v>
      </c>
      <c r="F217" t="s">
        <v>68</v>
      </c>
      <c r="G217" t="str">
        <f>"1800"</f>
        <v>1800</v>
      </c>
      <c r="H217" t="str">
        <f>"0000"</f>
        <v>0000</v>
      </c>
      <c r="I217" t="s">
        <v>69</v>
      </c>
      <c r="J217">
        <v>0</v>
      </c>
      <c r="K217">
        <v>1</v>
      </c>
      <c r="L217">
        <v>2</v>
      </c>
      <c r="M217">
        <v>274</v>
      </c>
      <c r="N217">
        <v>234</v>
      </c>
      <c r="O217">
        <v>0</v>
      </c>
      <c r="P217">
        <v>234</v>
      </c>
      <c r="Q217">
        <v>5</v>
      </c>
      <c r="R217">
        <v>104</v>
      </c>
      <c r="S217">
        <v>15</v>
      </c>
      <c r="T217">
        <v>6</v>
      </c>
      <c r="U217">
        <v>6</v>
      </c>
      <c r="V217">
        <v>2</v>
      </c>
      <c r="W217">
        <v>6</v>
      </c>
      <c r="X217">
        <v>62</v>
      </c>
      <c r="Y217">
        <v>0</v>
      </c>
      <c r="Z217">
        <v>6</v>
      </c>
      <c r="AA217">
        <v>6</v>
      </c>
      <c r="AB217">
        <v>0</v>
      </c>
      <c r="AD217">
        <v>3</v>
      </c>
      <c r="AE217">
        <v>1</v>
      </c>
      <c r="AF217">
        <v>0</v>
      </c>
      <c r="AG217">
        <v>4</v>
      </c>
      <c r="AI217">
        <v>0</v>
      </c>
      <c r="AJ217">
        <v>12</v>
      </c>
      <c r="AK217">
        <v>234</v>
      </c>
      <c r="AL217">
        <v>238</v>
      </c>
      <c r="AM217">
        <v>464</v>
      </c>
      <c r="AN217">
        <v>44</v>
      </c>
      <c r="AP217">
        <v>1</v>
      </c>
      <c r="AR217" t="s">
        <v>295</v>
      </c>
      <c r="AS217" s="1">
        <v>44354.487500000003</v>
      </c>
      <c r="AT217" s="1">
        <v>44354.512523148151</v>
      </c>
      <c r="AU217" s="1">
        <v>44354.513206018521</v>
      </c>
      <c r="AV217" t="s">
        <v>71</v>
      </c>
      <c r="AW217" t="s">
        <v>72</v>
      </c>
      <c r="AX217" t="s">
        <v>73</v>
      </c>
    </row>
    <row r="218" spans="1:50" x14ac:dyDescent="0.3">
      <c r="A218" t="str">
        <f>"201800C0100"</f>
        <v>201800C0100</v>
      </c>
      <c r="B218" t="str">
        <f>"201800C01002"</f>
        <v>201800C01002</v>
      </c>
      <c r="C218" t="str">
        <f t="shared" si="6"/>
        <v>20</v>
      </c>
      <c r="D218" t="s">
        <v>67</v>
      </c>
      <c r="E218" t="str">
        <f t="shared" si="7"/>
        <v>001</v>
      </c>
      <c r="F218" t="s">
        <v>68</v>
      </c>
      <c r="G218" t="str">
        <f>"1800"</f>
        <v>1800</v>
      </c>
      <c r="H218" t="str">
        <f>"0001"</f>
        <v>0001</v>
      </c>
      <c r="I218" t="s">
        <v>75</v>
      </c>
      <c r="J218">
        <v>0</v>
      </c>
      <c r="K218">
        <v>1</v>
      </c>
      <c r="L218">
        <v>2</v>
      </c>
      <c r="M218">
        <v>267</v>
      </c>
      <c r="N218">
        <v>240</v>
      </c>
      <c r="O218">
        <v>2</v>
      </c>
      <c r="P218">
        <v>240</v>
      </c>
      <c r="Q218">
        <v>12</v>
      </c>
      <c r="R218">
        <v>90</v>
      </c>
      <c r="S218">
        <v>16</v>
      </c>
      <c r="T218">
        <v>1</v>
      </c>
      <c r="U218">
        <v>12</v>
      </c>
      <c r="V218">
        <v>1</v>
      </c>
      <c r="W218">
        <v>1</v>
      </c>
      <c r="X218">
        <v>79</v>
      </c>
      <c r="Y218">
        <v>3</v>
      </c>
      <c r="Z218">
        <v>3</v>
      </c>
      <c r="AA218">
        <v>1</v>
      </c>
      <c r="AB218">
        <v>3</v>
      </c>
      <c r="AD218">
        <v>5</v>
      </c>
      <c r="AE218">
        <v>2</v>
      </c>
      <c r="AF218">
        <v>0</v>
      </c>
      <c r="AG218">
        <v>3</v>
      </c>
      <c r="AI218">
        <v>0</v>
      </c>
      <c r="AJ218">
        <v>8</v>
      </c>
      <c r="AK218">
        <v>240</v>
      </c>
      <c r="AL218">
        <v>240</v>
      </c>
      <c r="AM218">
        <v>463</v>
      </c>
      <c r="AN218">
        <v>44</v>
      </c>
      <c r="AP218">
        <v>1</v>
      </c>
      <c r="AR218" t="s">
        <v>296</v>
      </c>
      <c r="AS218" s="1">
        <v>44354.497916666667</v>
      </c>
      <c r="AT218" s="1">
        <v>44354.503946759258</v>
      </c>
      <c r="AU218" s="1">
        <v>44354.504629629628</v>
      </c>
      <c r="AV218" t="s">
        <v>71</v>
      </c>
      <c r="AW218" t="s">
        <v>72</v>
      </c>
      <c r="AX218" t="s">
        <v>73</v>
      </c>
    </row>
    <row r="219" spans="1:50" x14ac:dyDescent="0.3">
      <c r="A219" t="str">
        <f>"201801B0000"</f>
        <v>201801B0000</v>
      </c>
      <c r="B219" t="str">
        <f>"201801B00002"</f>
        <v>201801B00002</v>
      </c>
      <c r="C219" t="str">
        <f t="shared" si="6"/>
        <v>20</v>
      </c>
      <c r="D219" t="s">
        <v>67</v>
      </c>
      <c r="E219" t="str">
        <f t="shared" si="7"/>
        <v>001</v>
      </c>
      <c r="F219" t="s">
        <v>68</v>
      </c>
      <c r="G219" t="str">
        <f>"1801"</f>
        <v>1801</v>
      </c>
      <c r="H219" t="str">
        <f>"0000"</f>
        <v>0000</v>
      </c>
      <c r="I219" t="s">
        <v>69</v>
      </c>
      <c r="J219">
        <v>0</v>
      </c>
      <c r="K219">
        <v>1</v>
      </c>
      <c r="L219">
        <v>2</v>
      </c>
      <c r="M219">
        <v>94</v>
      </c>
      <c r="N219">
        <v>54</v>
      </c>
      <c r="O219">
        <v>6</v>
      </c>
      <c r="P219">
        <v>54</v>
      </c>
      <c r="Q219">
        <v>4</v>
      </c>
      <c r="R219">
        <v>16</v>
      </c>
      <c r="S219">
        <v>4</v>
      </c>
      <c r="T219">
        <v>0</v>
      </c>
      <c r="U219">
        <v>4</v>
      </c>
      <c r="V219">
        <v>1</v>
      </c>
      <c r="W219">
        <v>1</v>
      </c>
      <c r="X219">
        <v>20</v>
      </c>
      <c r="Y219">
        <v>0</v>
      </c>
      <c r="Z219">
        <v>0</v>
      </c>
      <c r="AA219">
        <v>1</v>
      </c>
      <c r="AB219">
        <v>0</v>
      </c>
      <c r="AD219">
        <v>2</v>
      </c>
      <c r="AE219">
        <v>0</v>
      </c>
      <c r="AF219">
        <v>0</v>
      </c>
      <c r="AG219">
        <v>1</v>
      </c>
      <c r="AI219">
        <v>0</v>
      </c>
      <c r="AJ219">
        <v>0</v>
      </c>
      <c r="AK219">
        <v>54</v>
      </c>
      <c r="AL219">
        <v>54</v>
      </c>
      <c r="AM219">
        <v>104</v>
      </c>
      <c r="AN219">
        <v>44</v>
      </c>
      <c r="AP219">
        <v>1</v>
      </c>
      <c r="AR219" t="s">
        <v>297</v>
      </c>
      <c r="AS219" s="1">
        <v>44354.488194444442</v>
      </c>
      <c r="AT219" s="1">
        <v>44354.493425925924</v>
      </c>
      <c r="AU219" s="1">
        <v>44354.494409722225</v>
      </c>
      <c r="AV219" t="s">
        <v>71</v>
      </c>
      <c r="AW219" t="s">
        <v>72</v>
      </c>
      <c r="AX219" t="s">
        <v>73</v>
      </c>
    </row>
    <row r="220" spans="1:50" x14ac:dyDescent="0.3">
      <c r="A220" t="str">
        <f>"201802B0000"</f>
        <v>201802B0000</v>
      </c>
      <c r="B220" t="str">
        <f>"201802B00002"</f>
        <v>201802B00002</v>
      </c>
      <c r="C220" t="str">
        <f t="shared" si="6"/>
        <v>20</v>
      </c>
      <c r="D220" t="s">
        <v>67</v>
      </c>
      <c r="E220" t="str">
        <f t="shared" si="7"/>
        <v>001</v>
      </c>
      <c r="F220" t="s">
        <v>68</v>
      </c>
      <c r="G220" t="str">
        <f>"1802"</f>
        <v>1802</v>
      </c>
      <c r="H220" t="str">
        <f>"0000"</f>
        <v>0000</v>
      </c>
      <c r="I220" t="s">
        <v>69</v>
      </c>
      <c r="J220">
        <v>0</v>
      </c>
      <c r="K220">
        <v>1</v>
      </c>
      <c r="L220">
        <v>2</v>
      </c>
      <c r="M220">
        <v>363</v>
      </c>
      <c r="N220">
        <v>415</v>
      </c>
      <c r="O220">
        <v>0</v>
      </c>
      <c r="P220">
        <v>415</v>
      </c>
      <c r="Q220">
        <v>21</v>
      </c>
      <c r="R220">
        <v>117</v>
      </c>
      <c r="S220">
        <v>87</v>
      </c>
      <c r="T220">
        <v>7</v>
      </c>
      <c r="U220">
        <v>4</v>
      </c>
      <c r="V220">
        <v>1</v>
      </c>
      <c r="W220">
        <v>3</v>
      </c>
      <c r="X220">
        <v>134</v>
      </c>
      <c r="Y220">
        <v>1</v>
      </c>
      <c r="Z220">
        <v>4</v>
      </c>
      <c r="AA220">
        <v>9</v>
      </c>
      <c r="AB220">
        <v>3</v>
      </c>
      <c r="AD220">
        <v>3</v>
      </c>
      <c r="AE220">
        <v>4</v>
      </c>
      <c r="AF220">
        <v>1</v>
      </c>
      <c r="AG220">
        <v>2</v>
      </c>
      <c r="AI220">
        <v>1</v>
      </c>
      <c r="AJ220">
        <v>13</v>
      </c>
      <c r="AK220">
        <v>415</v>
      </c>
      <c r="AL220">
        <v>415</v>
      </c>
      <c r="AM220">
        <v>734</v>
      </c>
      <c r="AN220">
        <v>44</v>
      </c>
      <c r="AP220">
        <v>1</v>
      </c>
      <c r="AR220" t="s">
        <v>298</v>
      </c>
      <c r="AS220" s="1">
        <v>44354.486111111109</v>
      </c>
      <c r="AT220" s="1">
        <v>44354.517824074072</v>
      </c>
      <c r="AU220" s="1">
        <v>44354.518182870372</v>
      </c>
      <c r="AV220" t="s">
        <v>71</v>
      </c>
      <c r="AW220" t="s">
        <v>72</v>
      </c>
      <c r="AX220" t="s">
        <v>73</v>
      </c>
    </row>
    <row r="221" spans="1:50" x14ac:dyDescent="0.3">
      <c r="A221" t="str">
        <f>"201802E0100"</f>
        <v>201802E0100</v>
      </c>
      <c r="B221" t="str">
        <f>"201802E01002"</f>
        <v>201802E01002</v>
      </c>
      <c r="C221" t="str">
        <f t="shared" si="6"/>
        <v>20</v>
      </c>
      <c r="D221" t="s">
        <v>67</v>
      </c>
      <c r="E221" t="str">
        <f t="shared" si="7"/>
        <v>001</v>
      </c>
      <c r="F221" t="s">
        <v>68</v>
      </c>
      <c r="G221" t="str">
        <f>"1802"</f>
        <v>1802</v>
      </c>
      <c r="H221" t="str">
        <f>"0001"</f>
        <v>0001</v>
      </c>
      <c r="I221" t="s">
        <v>109</v>
      </c>
      <c r="J221">
        <v>0</v>
      </c>
      <c r="K221">
        <v>1</v>
      </c>
      <c r="L221">
        <v>2</v>
      </c>
      <c r="M221">
        <v>91</v>
      </c>
      <c r="N221">
        <v>104</v>
      </c>
      <c r="O221">
        <v>6</v>
      </c>
      <c r="P221">
        <v>104</v>
      </c>
      <c r="Q221">
        <v>1</v>
      </c>
      <c r="R221">
        <v>37</v>
      </c>
      <c r="S221">
        <v>0</v>
      </c>
      <c r="T221">
        <v>2</v>
      </c>
      <c r="U221">
        <v>2</v>
      </c>
      <c r="V221">
        <v>1</v>
      </c>
      <c r="W221">
        <v>1</v>
      </c>
      <c r="X221">
        <v>50</v>
      </c>
      <c r="Y221">
        <v>1</v>
      </c>
      <c r="Z221">
        <v>5</v>
      </c>
      <c r="AA221">
        <v>0</v>
      </c>
      <c r="AB221">
        <v>2</v>
      </c>
      <c r="AD221" t="s">
        <v>77</v>
      </c>
      <c r="AE221" t="s">
        <v>77</v>
      </c>
      <c r="AF221" t="s">
        <v>77</v>
      </c>
      <c r="AG221" t="s">
        <v>77</v>
      </c>
      <c r="AI221" t="s">
        <v>77</v>
      </c>
      <c r="AJ221">
        <v>2</v>
      </c>
      <c r="AK221">
        <v>104</v>
      </c>
      <c r="AL221">
        <v>104</v>
      </c>
      <c r="AM221">
        <v>151</v>
      </c>
      <c r="AN221">
        <v>44</v>
      </c>
      <c r="AO221" t="s">
        <v>78</v>
      </c>
      <c r="AP221">
        <v>1</v>
      </c>
      <c r="AR221" t="s">
        <v>299</v>
      </c>
      <c r="AS221" s="1">
        <v>44354.5</v>
      </c>
      <c r="AT221" s="1">
        <v>44354.510069444441</v>
      </c>
      <c r="AU221" s="1">
        <v>44354.510949074072</v>
      </c>
      <c r="AV221" t="s">
        <v>71</v>
      </c>
      <c r="AW221" t="s">
        <v>72</v>
      </c>
      <c r="AX221" t="s">
        <v>73</v>
      </c>
    </row>
    <row r="222" spans="1:50" x14ac:dyDescent="0.3">
      <c r="A222" t="str">
        <f>"201803B0000"</f>
        <v>201803B0000</v>
      </c>
      <c r="B222" t="str">
        <f>"201803B00002"</f>
        <v>201803B00002</v>
      </c>
      <c r="C222" t="str">
        <f t="shared" si="6"/>
        <v>20</v>
      </c>
      <c r="D222" t="s">
        <v>67</v>
      </c>
      <c r="E222" t="str">
        <f t="shared" si="7"/>
        <v>001</v>
      </c>
      <c r="F222" t="s">
        <v>68</v>
      </c>
      <c r="G222" t="str">
        <f>"1803"</f>
        <v>1803</v>
      </c>
      <c r="H222" t="str">
        <f>"0000"</f>
        <v>0000</v>
      </c>
      <c r="I222" t="s">
        <v>69</v>
      </c>
      <c r="J222">
        <v>0</v>
      </c>
      <c r="K222">
        <v>1</v>
      </c>
      <c r="L222">
        <v>2</v>
      </c>
      <c r="M222">
        <v>347</v>
      </c>
      <c r="N222">
        <v>243</v>
      </c>
      <c r="O222">
        <v>6</v>
      </c>
      <c r="P222">
        <v>239</v>
      </c>
      <c r="Q222">
        <v>6</v>
      </c>
      <c r="R222">
        <v>95</v>
      </c>
      <c r="S222">
        <v>2</v>
      </c>
      <c r="T222">
        <v>1</v>
      </c>
      <c r="U222">
        <v>2</v>
      </c>
      <c r="V222">
        <v>2</v>
      </c>
      <c r="W222">
        <v>2</v>
      </c>
      <c r="X222">
        <v>98</v>
      </c>
      <c r="Y222">
        <v>1</v>
      </c>
      <c r="Z222">
        <v>6</v>
      </c>
      <c r="AA222">
        <v>6</v>
      </c>
      <c r="AB222">
        <v>3</v>
      </c>
      <c r="AD222">
        <v>2</v>
      </c>
      <c r="AE222">
        <v>3</v>
      </c>
      <c r="AF222">
        <v>1</v>
      </c>
      <c r="AG222">
        <v>6</v>
      </c>
      <c r="AI222">
        <v>0</v>
      </c>
      <c r="AJ222">
        <v>3</v>
      </c>
      <c r="AK222">
        <v>239</v>
      </c>
      <c r="AL222">
        <v>239</v>
      </c>
      <c r="AM222">
        <v>532</v>
      </c>
      <c r="AN222">
        <v>44</v>
      </c>
      <c r="AP222">
        <v>1</v>
      </c>
      <c r="AR222" t="s">
        <v>300</v>
      </c>
      <c r="AS222" s="1">
        <v>44354.491666666669</v>
      </c>
      <c r="AT222" s="1">
        <v>44354.670613425929</v>
      </c>
      <c r="AU222" s="1">
        <v>44354.672152777777</v>
      </c>
      <c r="AV222" t="s">
        <v>71</v>
      </c>
      <c r="AW222" t="s">
        <v>72</v>
      </c>
      <c r="AX222" t="s">
        <v>73</v>
      </c>
    </row>
    <row r="223" spans="1:50" x14ac:dyDescent="0.3">
      <c r="A223" t="str">
        <f>"201803E0100"</f>
        <v>201803E0100</v>
      </c>
      <c r="B223" t="str">
        <f>"201803E01002"</f>
        <v>201803E01002</v>
      </c>
      <c r="C223" t="str">
        <f t="shared" si="6"/>
        <v>20</v>
      </c>
      <c r="D223" t="s">
        <v>67</v>
      </c>
      <c r="E223" t="str">
        <f t="shared" si="7"/>
        <v>001</v>
      </c>
      <c r="F223" t="s">
        <v>68</v>
      </c>
      <c r="G223" t="str">
        <f>"1803"</f>
        <v>1803</v>
      </c>
      <c r="H223" t="str">
        <f>"0001"</f>
        <v>0001</v>
      </c>
      <c r="I223" t="s">
        <v>109</v>
      </c>
      <c r="J223">
        <v>0</v>
      </c>
      <c r="K223">
        <v>1</v>
      </c>
      <c r="L223">
        <v>2</v>
      </c>
      <c r="M223">
        <v>96</v>
      </c>
      <c r="N223">
        <v>65</v>
      </c>
      <c r="O223">
        <v>6</v>
      </c>
      <c r="P223">
        <v>65</v>
      </c>
      <c r="Q223">
        <v>0</v>
      </c>
      <c r="R223">
        <v>34</v>
      </c>
      <c r="S223">
        <v>2</v>
      </c>
      <c r="T223">
        <v>0</v>
      </c>
      <c r="U223">
        <v>1</v>
      </c>
      <c r="V223">
        <v>0</v>
      </c>
      <c r="W223">
        <v>2</v>
      </c>
      <c r="X223">
        <v>19</v>
      </c>
      <c r="Y223">
        <v>0</v>
      </c>
      <c r="Z223">
        <v>0</v>
      </c>
      <c r="AA223">
        <v>0</v>
      </c>
      <c r="AB223">
        <v>1</v>
      </c>
      <c r="AD223">
        <v>3</v>
      </c>
      <c r="AE223">
        <v>0</v>
      </c>
      <c r="AF223">
        <v>0</v>
      </c>
      <c r="AG223">
        <v>0</v>
      </c>
      <c r="AI223">
        <v>0</v>
      </c>
      <c r="AJ223">
        <v>3</v>
      </c>
      <c r="AK223">
        <v>65</v>
      </c>
      <c r="AL223">
        <v>65</v>
      </c>
      <c r="AM223">
        <v>117</v>
      </c>
      <c r="AN223">
        <v>44</v>
      </c>
      <c r="AP223">
        <v>1</v>
      </c>
      <c r="AR223" t="s">
        <v>301</v>
      </c>
      <c r="AS223" s="1">
        <v>44354.501388888886</v>
      </c>
      <c r="AT223" s="1">
        <v>44354.506180555552</v>
      </c>
      <c r="AU223" s="1">
        <v>44354.50675925926</v>
      </c>
      <c r="AV223" t="s">
        <v>71</v>
      </c>
      <c r="AW223" t="s">
        <v>72</v>
      </c>
      <c r="AX223" t="s">
        <v>73</v>
      </c>
    </row>
    <row r="224" spans="1:50" x14ac:dyDescent="0.3">
      <c r="A224" t="str">
        <f>"201804B0000"</f>
        <v>201804B0000</v>
      </c>
      <c r="B224" t="str">
        <f>"201804B00002"</f>
        <v>201804B00002</v>
      </c>
      <c r="C224" t="str">
        <f t="shared" si="6"/>
        <v>20</v>
      </c>
      <c r="D224" t="s">
        <v>67</v>
      </c>
      <c r="E224" t="str">
        <f t="shared" si="7"/>
        <v>001</v>
      </c>
      <c r="F224" t="s">
        <v>68</v>
      </c>
      <c r="G224" t="str">
        <f>"1804"</f>
        <v>1804</v>
      </c>
      <c r="H224" t="str">
        <f>"0000"</f>
        <v>0000</v>
      </c>
      <c r="I224" t="s">
        <v>69</v>
      </c>
      <c r="J224">
        <v>0</v>
      </c>
      <c r="K224">
        <v>1</v>
      </c>
      <c r="L224">
        <v>2</v>
      </c>
      <c r="M224">
        <v>121</v>
      </c>
      <c r="N224">
        <v>132</v>
      </c>
      <c r="O224">
        <v>3</v>
      </c>
      <c r="P224">
        <v>132</v>
      </c>
      <c r="Q224">
        <v>0</v>
      </c>
      <c r="R224">
        <v>63</v>
      </c>
      <c r="S224">
        <v>4</v>
      </c>
      <c r="T224">
        <v>0</v>
      </c>
      <c r="U224">
        <v>2</v>
      </c>
      <c r="V224">
        <v>2</v>
      </c>
      <c r="W224">
        <v>0</v>
      </c>
      <c r="X224">
        <v>44</v>
      </c>
      <c r="Y224">
        <v>0</v>
      </c>
      <c r="Z224">
        <v>0</v>
      </c>
      <c r="AA224">
        <v>7</v>
      </c>
      <c r="AB224">
        <v>3</v>
      </c>
      <c r="AD224">
        <v>0</v>
      </c>
      <c r="AE224">
        <v>0</v>
      </c>
      <c r="AF224">
        <v>0</v>
      </c>
      <c r="AG224">
        <v>1</v>
      </c>
      <c r="AI224">
        <v>0</v>
      </c>
      <c r="AJ224">
        <v>8</v>
      </c>
      <c r="AK224">
        <v>134</v>
      </c>
      <c r="AL224">
        <v>134</v>
      </c>
      <c r="AM224">
        <v>209</v>
      </c>
      <c r="AN224">
        <v>44</v>
      </c>
      <c r="AP224">
        <v>1</v>
      </c>
      <c r="AR224" t="s">
        <v>302</v>
      </c>
      <c r="AS224" s="1">
        <v>44354.495833333334</v>
      </c>
      <c r="AT224" s="1">
        <v>44354.5003125</v>
      </c>
      <c r="AU224" s="1">
        <v>44354.50104166667</v>
      </c>
      <c r="AV224" t="s">
        <v>71</v>
      </c>
      <c r="AW224" t="s">
        <v>72</v>
      </c>
      <c r="AX224" t="s">
        <v>73</v>
      </c>
    </row>
    <row r="225" spans="1:50" x14ac:dyDescent="0.3">
      <c r="A225" t="str">
        <f>"201805B0000"</f>
        <v>201805B0000</v>
      </c>
      <c r="B225" t="str">
        <f>"201805B00002"</f>
        <v>201805B00002</v>
      </c>
      <c r="C225" t="str">
        <f t="shared" si="6"/>
        <v>20</v>
      </c>
      <c r="D225" t="s">
        <v>67</v>
      </c>
      <c r="E225" t="str">
        <f t="shared" si="7"/>
        <v>001</v>
      </c>
      <c r="F225" t="s">
        <v>68</v>
      </c>
      <c r="G225" t="str">
        <f>"1805"</f>
        <v>1805</v>
      </c>
      <c r="H225" t="str">
        <f>"0000"</f>
        <v>0000</v>
      </c>
      <c r="I225" t="s">
        <v>69</v>
      </c>
      <c r="J225">
        <v>0</v>
      </c>
      <c r="K225">
        <v>1</v>
      </c>
      <c r="L225">
        <v>2</v>
      </c>
      <c r="M225">
        <v>246</v>
      </c>
      <c r="N225">
        <v>347</v>
      </c>
      <c r="O225">
        <v>0</v>
      </c>
      <c r="P225">
        <v>351</v>
      </c>
      <c r="Q225">
        <v>8</v>
      </c>
      <c r="R225">
        <v>120</v>
      </c>
      <c r="S225">
        <v>30</v>
      </c>
      <c r="T225">
        <v>3</v>
      </c>
      <c r="U225">
        <v>11</v>
      </c>
      <c r="V225">
        <v>6</v>
      </c>
      <c r="W225">
        <v>1</v>
      </c>
      <c r="X225">
        <v>132</v>
      </c>
      <c r="Y225">
        <v>1</v>
      </c>
      <c r="Z225">
        <v>2</v>
      </c>
      <c r="AA225">
        <v>8</v>
      </c>
      <c r="AB225">
        <v>8</v>
      </c>
      <c r="AD225">
        <v>3</v>
      </c>
      <c r="AE225">
        <v>0</v>
      </c>
      <c r="AF225">
        <v>0</v>
      </c>
      <c r="AG225">
        <v>1</v>
      </c>
      <c r="AI225">
        <v>0</v>
      </c>
      <c r="AJ225">
        <v>0</v>
      </c>
      <c r="AK225">
        <v>351</v>
      </c>
      <c r="AL225">
        <v>334</v>
      </c>
      <c r="AM225">
        <v>553</v>
      </c>
      <c r="AN225">
        <v>44</v>
      </c>
      <c r="AP225">
        <v>1</v>
      </c>
      <c r="AR225" s="2" t="s">
        <v>303</v>
      </c>
      <c r="AS225" s="1">
        <v>44354.486805555556</v>
      </c>
      <c r="AT225" s="1">
        <v>44354.496041666665</v>
      </c>
      <c r="AU225" s="1">
        <v>44354.496655092589</v>
      </c>
      <c r="AV225" t="s">
        <v>71</v>
      </c>
      <c r="AW225" t="s">
        <v>72</v>
      </c>
      <c r="AX225" t="s">
        <v>73</v>
      </c>
    </row>
    <row r="226" spans="1:50" x14ac:dyDescent="0.3">
      <c r="A226" t="str">
        <f>"201805E0100"</f>
        <v>201805E0100</v>
      </c>
      <c r="B226" t="str">
        <f>"201805E01002"</f>
        <v>201805E01002</v>
      </c>
      <c r="C226" t="str">
        <f t="shared" si="6"/>
        <v>20</v>
      </c>
      <c r="D226" t="s">
        <v>67</v>
      </c>
      <c r="E226" t="str">
        <f t="shared" si="7"/>
        <v>001</v>
      </c>
      <c r="F226" t="s">
        <v>68</v>
      </c>
      <c r="G226" t="str">
        <f>"1805"</f>
        <v>1805</v>
      </c>
      <c r="H226" t="str">
        <f>"0001"</f>
        <v>0001</v>
      </c>
      <c r="I226" t="s">
        <v>109</v>
      </c>
      <c r="J226">
        <v>0</v>
      </c>
      <c r="K226">
        <v>1</v>
      </c>
      <c r="L226">
        <v>2</v>
      </c>
      <c r="M226">
        <v>339</v>
      </c>
      <c r="N226">
        <v>354</v>
      </c>
      <c r="O226">
        <v>1</v>
      </c>
      <c r="P226">
        <v>354</v>
      </c>
      <c r="Q226">
        <v>13</v>
      </c>
      <c r="R226">
        <v>147</v>
      </c>
      <c r="S226">
        <v>10</v>
      </c>
      <c r="T226">
        <v>1</v>
      </c>
      <c r="U226">
        <v>4</v>
      </c>
      <c r="V226">
        <v>5</v>
      </c>
      <c r="W226">
        <v>1</v>
      </c>
      <c r="X226">
        <v>125</v>
      </c>
      <c r="Y226">
        <v>0</v>
      </c>
      <c r="Z226">
        <v>9</v>
      </c>
      <c r="AA226">
        <v>13</v>
      </c>
      <c r="AB226">
        <v>5</v>
      </c>
      <c r="AD226">
        <v>7</v>
      </c>
      <c r="AE226">
        <v>0</v>
      </c>
      <c r="AF226">
        <v>0</v>
      </c>
      <c r="AG226">
        <v>0</v>
      </c>
      <c r="AI226">
        <v>0</v>
      </c>
      <c r="AJ226">
        <v>14</v>
      </c>
      <c r="AK226">
        <v>354</v>
      </c>
      <c r="AL226">
        <v>354</v>
      </c>
      <c r="AM226">
        <v>649</v>
      </c>
      <c r="AN226">
        <v>44</v>
      </c>
      <c r="AP226">
        <v>1</v>
      </c>
      <c r="AR226" t="s">
        <v>304</v>
      </c>
      <c r="AS226" s="1">
        <v>44354.487500000003</v>
      </c>
      <c r="AT226" s="1">
        <v>44354.495081018518</v>
      </c>
      <c r="AU226" s="1">
        <v>44354.49590277778</v>
      </c>
      <c r="AV226" t="s">
        <v>71</v>
      </c>
      <c r="AW226" t="s">
        <v>72</v>
      </c>
      <c r="AX226" t="s">
        <v>73</v>
      </c>
    </row>
    <row r="227" spans="1:50" x14ac:dyDescent="0.3">
      <c r="A227" t="str">
        <f>"201806B0000"</f>
        <v>201806B0000</v>
      </c>
      <c r="B227" t="str">
        <f>"201806B00002"</f>
        <v>201806B00002</v>
      </c>
      <c r="C227" t="str">
        <f t="shared" si="6"/>
        <v>20</v>
      </c>
      <c r="D227" t="s">
        <v>67</v>
      </c>
      <c r="E227" t="str">
        <f t="shared" si="7"/>
        <v>001</v>
      </c>
      <c r="F227" t="s">
        <v>68</v>
      </c>
      <c r="G227" t="str">
        <f>"1806"</f>
        <v>1806</v>
      </c>
      <c r="H227" t="str">
        <f>"0000"</f>
        <v>0000</v>
      </c>
      <c r="I227" t="s">
        <v>69</v>
      </c>
      <c r="J227">
        <v>0</v>
      </c>
      <c r="K227">
        <v>1</v>
      </c>
      <c r="L227">
        <v>2</v>
      </c>
      <c r="M227">
        <v>262</v>
      </c>
      <c r="N227">
        <v>120</v>
      </c>
      <c r="O227">
        <v>4</v>
      </c>
      <c r="P227">
        <v>120</v>
      </c>
      <c r="Q227">
        <v>7</v>
      </c>
      <c r="R227">
        <v>58</v>
      </c>
      <c r="S227">
        <v>5</v>
      </c>
      <c r="T227">
        <v>0</v>
      </c>
      <c r="U227">
        <v>1</v>
      </c>
      <c r="V227">
        <v>1</v>
      </c>
      <c r="W227">
        <v>2</v>
      </c>
      <c r="X227">
        <v>31</v>
      </c>
      <c r="Y227">
        <v>0</v>
      </c>
      <c r="Z227">
        <v>1</v>
      </c>
      <c r="AA227">
        <v>1</v>
      </c>
      <c r="AB227">
        <v>2</v>
      </c>
      <c r="AD227">
        <v>5</v>
      </c>
      <c r="AE227">
        <v>1</v>
      </c>
      <c r="AF227">
        <v>0</v>
      </c>
      <c r="AG227">
        <v>0</v>
      </c>
      <c r="AI227">
        <v>0</v>
      </c>
      <c r="AJ227">
        <v>5</v>
      </c>
      <c r="AK227">
        <v>120</v>
      </c>
      <c r="AL227">
        <v>120</v>
      </c>
      <c r="AM227">
        <v>338</v>
      </c>
      <c r="AN227">
        <v>44</v>
      </c>
      <c r="AP227">
        <v>1</v>
      </c>
      <c r="AR227" t="s">
        <v>305</v>
      </c>
      <c r="AS227" s="1">
        <v>44354.498611111114</v>
      </c>
      <c r="AT227" s="1">
        <v>44354.507789351854</v>
      </c>
      <c r="AU227" s="1">
        <v>44354.508333333331</v>
      </c>
      <c r="AV227" t="s">
        <v>71</v>
      </c>
      <c r="AW227" t="s">
        <v>72</v>
      </c>
      <c r="AX227" t="s">
        <v>73</v>
      </c>
    </row>
    <row r="228" spans="1:50" x14ac:dyDescent="0.3">
      <c r="A228" t="str">
        <f>"201807B0000"</f>
        <v>201807B0000</v>
      </c>
      <c r="B228" t="str">
        <f>"201807B00002"</f>
        <v>201807B00002</v>
      </c>
      <c r="C228" t="str">
        <f t="shared" si="6"/>
        <v>20</v>
      </c>
      <c r="D228" t="s">
        <v>67</v>
      </c>
      <c r="E228" t="str">
        <f t="shared" si="7"/>
        <v>001</v>
      </c>
      <c r="F228" t="s">
        <v>68</v>
      </c>
      <c r="G228" t="str">
        <f>"1807"</f>
        <v>1807</v>
      </c>
      <c r="H228" t="str">
        <f>"0000"</f>
        <v>0000</v>
      </c>
      <c r="I228" t="s">
        <v>69</v>
      </c>
      <c r="J228">
        <v>0</v>
      </c>
      <c r="K228">
        <v>1</v>
      </c>
      <c r="L228">
        <v>2</v>
      </c>
      <c r="M228">
        <v>173</v>
      </c>
      <c r="N228">
        <v>199</v>
      </c>
      <c r="O228">
        <v>8</v>
      </c>
      <c r="P228">
        <v>199</v>
      </c>
      <c r="Q228">
        <v>2</v>
      </c>
      <c r="R228">
        <v>102</v>
      </c>
      <c r="S228">
        <v>7</v>
      </c>
      <c r="T228">
        <v>1</v>
      </c>
      <c r="U228">
        <v>8</v>
      </c>
      <c r="V228">
        <v>1</v>
      </c>
      <c r="W228">
        <v>1</v>
      </c>
      <c r="X228">
        <v>61</v>
      </c>
      <c r="Y228">
        <v>0</v>
      </c>
      <c r="Z228">
        <v>4</v>
      </c>
      <c r="AA228">
        <v>5</v>
      </c>
      <c r="AB228">
        <v>2</v>
      </c>
      <c r="AD228">
        <v>0</v>
      </c>
      <c r="AE228">
        <v>1</v>
      </c>
      <c r="AF228">
        <v>0</v>
      </c>
      <c r="AG228">
        <v>1</v>
      </c>
      <c r="AI228">
        <v>0</v>
      </c>
      <c r="AJ228">
        <v>3</v>
      </c>
      <c r="AK228">
        <v>199</v>
      </c>
      <c r="AL228">
        <v>199</v>
      </c>
      <c r="AM228">
        <v>328</v>
      </c>
      <c r="AN228">
        <v>44</v>
      </c>
      <c r="AP228">
        <v>1</v>
      </c>
      <c r="AR228" t="s">
        <v>306</v>
      </c>
      <c r="AS228" s="1">
        <v>44354.5</v>
      </c>
      <c r="AT228" s="1">
        <v>44354.511412037034</v>
      </c>
      <c r="AU228" s="1">
        <v>44354.511701388888</v>
      </c>
      <c r="AV228" t="s">
        <v>71</v>
      </c>
      <c r="AW228" t="s">
        <v>72</v>
      </c>
      <c r="AX228" t="s">
        <v>73</v>
      </c>
    </row>
    <row r="229" spans="1:50" x14ac:dyDescent="0.3">
      <c r="A229" t="str">
        <f>"201808B0000"</f>
        <v>201808B0000</v>
      </c>
      <c r="B229" t="str">
        <f>"201808B00002"</f>
        <v>201808B00002</v>
      </c>
      <c r="C229" t="str">
        <f t="shared" si="6"/>
        <v>20</v>
      </c>
      <c r="D229" t="s">
        <v>67</v>
      </c>
      <c r="E229" t="str">
        <f t="shared" si="7"/>
        <v>001</v>
      </c>
      <c r="F229" t="s">
        <v>68</v>
      </c>
      <c r="G229" t="str">
        <f>"1808"</f>
        <v>1808</v>
      </c>
      <c r="H229" t="str">
        <f>"0000"</f>
        <v>0000</v>
      </c>
      <c r="I229" t="s">
        <v>69</v>
      </c>
      <c r="J229">
        <v>0</v>
      </c>
      <c r="K229">
        <v>1</v>
      </c>
      <c r="L229">
        <v>2</v>
      </c>
      <c r="M229">
        <v>239</v>
      </c>
      <c r="N229">
        <v>185</v>
      </c>
      <c r="O229">
        <v>6</v>
      </c>
      <c r="P229">
        <v>185</v>
      </c>
      <c r="Q229">
        <v>3</v>
      </c>
      <c r="R229">
        <v>66</v>
      </c>
      <c r="S229">
        <v>16</v>
      </c>
      <c r="T229">
        <v>1</v>
      </c>
      <c r="U229">
        <v>8</v>
      </c>
      <c r="V229">
        <v>3</v>
      </c>
      <c r="W229">
        <v>1</v>
      </c>
      <c r="X229">
        <v>66</v>
      </c>
      <c r="Y229">
        <v>0</v>
      </c>
      <c r="Z229">
        <v>1</v>
      </c>
      <c r="AA229">
        <v>3</v>
      </c>
      <c r="AB229">
        <v>5</v>
      </c>
      <c r="AD229">
        <v>0</v>
      </c>
      <c r="AE229">
        <v>0</v>
      </c>
      <c r="AF229">
        <v>0</v>
      </c>
      <c r="AG229">
        <v>0</v>
      </c>
      <c r="AI229">
        <v>0</v>
      </c>
      <c r="AJ229">
        <v>7</v>
      </c>
      <c r="AK229">
        <v>180</v>
      </c>
      <c r="AL229">
        <v>180</v>
      </c>
      <c r="AM229">
        <v>375</v>
      </c>
      <c r="AN229">
        <v>44</v>
      </c>
      <c r="AP229">
        <v>1</v>
      </c>
      <c r="AR229" t="s">
        <v>307</v>
      </c>
      <c r="AS229" s="1">
        <v>44354.482638888891</v>
      </c>
      <c r="AT229" s="1">
        <v>44354.48704861111</v>
      </c>
      <c r="AU229" s="1">
        <v>44354.487361111111</v>
      </c>
      <c r="AV229" t="s">
        <v>71</v>
      </c>
      <c r="AW229" t="s">
        <v>72</v>
      </c>
      <c r="AX229" t="s">
        <v>73</v>
      </c>
    </row>
    <row r="230" spans="1:50" x14ac:dyDescent="0.3">
      <c r="A230" t="str">
        <f>"201808E0100"</f>
        <v>201808E0100</v>
      </c>
      <c r="B230" t="str">
        <f>"201808E01002"</f>
        <v>201808E01002</v>
      </c>
      <c r="C230" t="str">
        <f t="shared" si="6"/>
        <v>20</v>
      </c>
      <c r="D230" t="s">
        <v>67</v>
      </c>
      <c r="E230" t="str">
        <f t="shared" si="7"/>
        <v>001</v>
      </c>
      <c r="F230" t="s">
        <v>68</v>
      </c>
      <c r="G230" t="str">
        <f>"1808"</f>
        <v>1808</v>
      </c>
      <c r="H230" t="str">
        <f>"0001"</f>
        <v>0001</v>
      </c>
      <c r="I230" t="s">
        <v>109</v>
      </c>
      <c r="J230">
        <v>0</v>
      </c>
      <c r="K230">
        <v>1</v>
      </c>
      <c r="L230">
        <v>2</v>
      </c>
      <c r="M230">
        <v>103</v>
      </c>
      <c r="N230">
        <v>92</v>
      </c>
      <c r="O230">
        <v>5</v>
      </c>
      <c r="P230">
        <v>92</v>
      </c>
      <c r="Q230">
        <v>1</v>
      </c>
      <c r="R230">
        <v>44</v>
      </c>
      <c r="S230">
        <v>4</v>
      </c>
      <c r="T230">
        <v>2</v>
      </c>
      <c r="U230">
        <v>2</v>
      </c>
      <c r="V230">
        <v>0</v>
      </c>
      <c r="W230">
        <v>0</v>
      </c>
      <c r="X230">
        <v>34</v>
      </c>
      <c r="Y230">
        <v>0</v>
      </c>
      <c r="Z230">
        <v>0</v>
      </c>
      <c r="AA230">
        <v>1</v>
      </c>
      <c r="AB230">
        <v>2</v>
      </c>
      <c r="AD230">
        <v>0</v>
      </c>
      <c r="AE230">
        <v>1</v>
      </c>
      <c r="AF230">
        <v>0</v>
      </c>
      <c r="AG230">
        <v>0</v>
      </c>
      <c r="AI230">
        <v>0</v>
      </c>
      <c r="AJ230">
        <v>1</v>
      </c>
      <c r="AK230">
        <v>92</v>
      </c>
      <c r="AL230">
        <v>92</v>
      </c>
      <c r="AM230">
        <v>151</v>
      </c>
      <c r="AN230">
        <v>44</v>
      </c>
      <c r="AP230">
        <v>1</v>
      </c>
      <c r="AR230" t="s">
        <v>308</v>
      </c>
      <c r="AS230" s="1">
        <v>44354.488194444442</v>
      </c>
      <c r="AT230" s="1">
        <v>44354.49391203704</v>
      </c>
      <c r="AU230" s="1">
        <v>44354.498124999998</v>
      </c>
      <c r="AV230" t="s">
        <v>71</v>
      </c>
      <c r="AW230" t="s">
        <v>72</v>
      </c>
      <c r="AX230" t="s">
        <v>73</v>
      </c>
    </row>
    <row r="231" spans="1:50" x14ac:dyDescent="0.3">
      <c r="A231" t="str">
        <f>"201809B0000"</f>
        <v>201809B0000</v>
      </c>
      <c r="B231" t="str">
        <f>"201809B00002"</f>
        <v>201809B00002</v>
      </c>
      <c r="C231" t="str">
        <f t="shared" si="6"/>
        <v>20</v>
      </c>
      <c r="D231" t="s">
        <v>67</v>
      </c>
      <c r="E231" t="str">
        <f t="shared" si="7"/>
        <v>001</v>
      </c>
      <c r="F231" t="s">
        <v>68</v>
      </c>
      <c r="G231" t="str">
        <f>"1809"</f>
        <v>1809</v>
      </c>
      <c r="H231" t="str">
        <f>"0000"</f>
        <v>0000</v>
      </c>
      <c r="I231" t="s">
        <v>69</v>
      </c>
      <c r="J231">
        <v>0</v>
      </c>
      <c r="K231">
        <v>1</v>
      </c>
      <c r="L231">
        <v>2</v>
      </c>
      <c r="M231">
        <v>379</v>
      </c>
      <c r="N231">
        <v>306</v>
      </c>
      <c r="O231">
        <v>6</v>
      </c>
      <c r="P231">
        <v>306</v>
      </c>
      <c r="Q231">
        <v>25</v>
      </c>
      <c r="R231">
        <v>114</v>
      </c>
      <c r="S231">
        <v>36</v>
      </c>
      <c r="T231">
        <v>3</v>
      </c>
      <c r="U231">
        <v>3</v>
      </c>
      <c r="V231">
        <v>1</v>
      </c>
      <c r="W231">
        <v>0</v>
      </c>
      <c r="X231">
        <v>94</v>
      </c>
      <c r="Y231">
        <v>3</v>
      </c>
      <c r="Z231">
        <v>5</v>
      </c>
      <c r="AA231">
        <v>5</v>
      </c>
      <c r="AB231">
        <v>4</v>
      </c>
      <c r="AD231">
        <v>1</v>
      </c>
      <c r="AE231">
        <v>1</v>
      </c>
      <c r="AF231">
        <v>0</v>
      </c>
      <c r="AG231">
        <v>0</v>
      </c>
      <c r="AI231">
        <v>0</v>
      </c>
      <c r="AJ231">
        <v>11</v>
      </c>
      <c r="AK231">
        <v>306</v>
      </c>
      <c r="AL231">
        <v>306</v>
      </c>
      <c r="AM231">
        <v>641</v>
      </c>
      <c r="AN231">
        <v>44</v>
      </c>
      <c r="AP231">
        <v>1</v>
      </c>
      <c r="AR231" t="s">
        <v>309</v>
      </c>
      <c r="AS231" s="1">
        <v>44354.486805555556</v>
      </c>
      <c r="AT231" s="1">
        <v>44354.513541666667</v>
      </c>
      <c r="AU231" s="1">
        <v>44354.514270833337</v>
      </c>
      <c r="AV231" t="s">
        <v>71</v>
      </c>
      <c r="AW231" t="s">
        <v>72</v>
      </c>
      <c r="AX231" t="s">
        <v>73</v>
      </c>
    </row>
    <row r="232" spans="1:50" x14ac:dyDescent="0.3">
      <c r="A232" t="str">
        <f>"201809E0100"</f>
        <v>201809E0100</v>
      </c>
      <c r="B232" t="str">
        <f>"201809E01002"</f>
        <v>201809E01002</v>
      </c>
      <c r="C232" t="str">
        <f t="shared" si="6"/>
        <v>20</v>
      </c>
      <c r="D232" t="s">
        <v>67</v>
      </c>
      <c r="E232" t="str">
        <f t="shared" si="7"/>
        <v>001</v>
      </c>
      <c r="F232" t="s">
        <v>68</v>
      </c>
      <c r="G232" t="str">
        <f>"1809"</f>
        <v>1809</v>
      </c>
      <c r="H232" t="str">
        <f>"0001"</f>
        <v>0001</v>
      </c>
      <c r="I232" t="s">
        <v>109</v>
      </c>
      <c r="J232">
        <v>0</v>
      </c>
      <c r="K232">
        <v>1</v>
      </c>
      <c r="L232">
        <v>2</v>
      </c>
      <c r="M232">
        <v>98</v>
      </c>
      <c r="N232">
        <v>198</v>
      </c>
      <c r="O232">
        <v>5</v>
      </c>
      <c r="P232">
        <v>198</v>
      </c>
      <c r="Q232">
        <v>2</v>
      </c>
      <c r="R232">
        <v>23</v>
      </c>
      <c r="S232">
        <v>147</v>
      </c>
      <c r="T232">
        <v>5</v>
      </c>
      <c r="U232">
        <v>2</v>
      </c>
      <c r="V232">
        <v>2</v>
      </c>
      <c r="W232">
        <v>1</v>
      </c>
      <c r="X232">
        <v>8</v>
      </c>
      <c r="Y232">
        <v>0</v>
      </c>
      <c r="Z232">
        <v>0</v>
      </c>
      <c r="AA232">
        <v>0</v>
      </c>
      <c r="AB232">
        <v>0</v>
      </c>
      <c r="AD232">
        <v>0</v>
      </c>
      <c r="AE232">
        <v>0</v>
      </c>
      <c r="AF232">
        <v>0</v>
      </c>
      <c r="AG232">
        <v>0</v>
      </c>
      <c r="AI232">
        <v>0</v>
      </c>
      <c r="AJ232">
        <v>8</v>
      </c>
      <c r="AK232">
        <v>198</v>
      </c>
      <c r="AL232">
        <v>198</v>
      </c>
      <c r="AM232">
        <v>252</v>
      </c>
      <c r="AN232">
        <v>44</v>
      </c>
      <c r="AP232">
        <v>1</v>
      </c>
      <c r="AR232" t="s">
        <v>310</v>
      </c>
      <c r="AS232" s="1">
        <v>44354.491666666669</v>
      </c>
      <c r="AT232" s="1">
        <v>44354.496192129627</v>
      </c>
      <c r="AU232" s="1">
        <v>44354.496631944443</v>
      </c>
      <c r="AV232" t="s">
        <v>71</v>
      </c>
      <c r="AW232" t="s">
        <v>72</v>
      </c>
      <c r="AX232" t="s">
        <v>73</v>
      </c>
    </row>
    <row r="233" spans="1:50" x14ac:dyDescent="0.3">
      <c r="A233" t="str">
        <f>"201010B0000"</f>
        <v>201010B0000</v>
      </c>
      <c r="B233" t="str">
        <f>"201010B00002"</f>
        <v>201010B00002</v>
      </c>
      <c r="C233" t="str">
        <f t="shared" si="6"/>
        <v>20</v>
      </c>
      <c r="D233" t="s">
        <v>67</v>
      </c>
      <c r="E233" t="str">
        <f t="shared" ref="E233:E264" si="8">"002"</f>
        <v>002</v>
      </c>
      <c r="F233" t="s">
        <v>311</v>
      </c>
      <c r="G233" t="str">
        <f t="shared" ref="G233:G240" si="9">"1010"</f>
        <v>1010</v>
      </c>
      <c r="H233" t="str">
        <f>"0000"</f>
        <v>0000</v>
      </c>
      <c r="I233" t="s">
        <v>69</v>
      </c>
      <c r="J233">
        <v>0</v>
      </c>
      <c r="K233">
        <v>1</v>
      </c>
      <c r="L233">
        <v>2</v>
      </c>
      <c r="M233">
        <v>333</v>
      </c>
      <c r="N233">
        <v>383</v>
      </c>
      <c r="O233">
        <v>6</v>
      </c>
      <c r="P233">
        <v>383</v>
      </c>
      <c r="Q233">
        <v>13</v>
      </c>
      <c r="R233">
        <v>39</v>
      </c>
      <c r="S233">
        <v>1</v>
      </c>
      <c r="T233">
        <v>17</v>
      </c>
      <c r="U233">
        <v>6</v>
      </c>
      <c r="V233">
        <v>22</v>
      </c>
      <c r="W233">
        <v>5</v>
      </c>
      <c r="X233">
        <v>199</v>
      </c>
      <c r="Y233">
        <v>48</v>
      </c>
      <c r="Z233">
        <v>9</v>
      </c>
      <c r="AA233">
        <v>4</v>
      </c>
      <c r="AB233">
        <v>11</v>
      </c>
      <c r="AD233">
        <v>1</v>
      </c>
      <c r="AE233">
        <v>1</v>
      </c>
      <c r="AF233">
        <v>0</v>
      </c>
      <c r="AG233">
        <v>0</v>
      </c>
      <c r="AI233">
        <v>0</v>
      </c>
      <c r="AJ233">
        <v>7</v>
      </c>
      <c r="AK233">
        <v>383</v>
      </c>
      <c r="AL233">
        <v>383</v>
      </c>
      <c r="AM233">
        <v>672</v>
      </c>
      <c r="AN233">
        <v>44</v>
      </c>
      <c r="AP233">
        <v>1</v>
      </c>
      <c r="AR233" t="s">
        <v>312</v>
      </c>
      <c r="AS233" s="1">
        <v>44353.991666666669</v>
      </c>
      <c r="AT233" s="1">
        <v>44354.000393518516</v>
      </c>
      <c r="AU233" s="1">
        <v>44354.001331018517</v>
      </c>
      <c r="AV233" t="s">
        <v>71</v>
      </c>
      <c r="AW233" t="s">
        <v>72</v>
      </c>
      <c r="AX233" t="s">
        <v>73</v>
      </c>
    </row>
    <row r="234" spans="1:50" x14ac:dyDescent="0.3">
      <c r="A234" t="str">
        <f>"201010C0100"</f>
        <v>201010C0100</v>
      </c>
      <c r="B234" t="str">
        <f>"201010C01002"</f>
        <v>201010C01002</v>
      </c>
      <c r="C234" t="str">
        <f t="shared" si="6"/>
        <v>20</v>
      </c>
      <c r="D234" t="s">
        <v>67</v>
      </c>
      <c r="E234" t="str">
        <f t="shared" si="8"/>
        <v>002</v>
      </c>
      <c r="F234" t="s">
        <v>311</v>
      </c>
      <c r="G234" t="str">
        <f t="shared" si="9"/>
        <v>1010</v>
      </c>
      <c r="H234" t="str">
        <f>"0001"</f>
        <v>0001</v>
      </c>
      <c r="I234" t="s">
        <v>75</v>
      </c>
      <c r="J234">
        <v>0</v>
      </c>
      <c r="K234">
        <v>1</v>
      </c>
      <c r="L234">
        <v>2</v>
      </c>
      <c r="M234">
        <v>335</v>
      </c>
      <c r="N234">
        <v>381</v>
      </c>
      <c r="O234">
        <v>7</v>
      </c>
      <c r="P234">
        <v>381</v>
      </c>
      <c r="Q234">
        <v>13</v>
      </c>
      <c r="R234">
        <v>59</v>
      </c>
      <c r="S234">
        <v>0</v>
      </c>
      <c r="T234">
        <v>19</v>
      </c>
      <c r="U234">
        <v>5</v>
      </c>
      <c r="V234">
        <v>26</v>
      </c>
      <c r="W234">
        <v>3</v>
      </c>
      <c r="X234">
        <v>168</v>
      </c>
      <c r="Y234">
        <v>49</v>
      </c>
      <c r="Z234">
        <v>5</v>
      </c>
      <c r="AA234">
        <v>0</v>
      </c>
      <c r="AB234">
        <v>25</v>
      </c>
      <c r="AD234">
        <v>1</v>
      </c>
      <c r="AE234">
        <v>1</v>
      </c>
      <c r="AF234">
        <v>0</v>
      </c>
      <c r="AG234">
        <v>0</v>
      </c>
      <c r="AI234">
        <v>0</v>
      </c>
      <c r="AJ234">
        <v>7</v>
      </c>
      <c r="AK234">
        <v>381</v>
      </c>
      <c r="AL234">
        <v>381</v>
      </c>
      <c r="AM234">
        <v>672</v>
      </c>
      <c r="AN234">
        <v>44</v>
      </c>
      <c r="AP234">
        <v>1</v>
      </c>
      <c r="AR234" t="s">
        <v>313</v>
      </c>
      <c r="AS234" s="1">
        <v>44353.992361111108</v>
      </c>
      <c r="AT234" s="1">
        <v>44354.00068287037</v>
      </c>
      <c r="AU234" s="1">
        <v>44354.001307870371</v>
      </c>
      <c r="AV234" t="s">
        <v>71</v>
      </c>
      <c r="AW234" t="s">
        <v>72</v>
      </c>
      <c r="AX234" t="s">
        <v>73</v>
      </c>
    </row>
    <row r="235" spans="1:50" x14ac:dyDescent="0.3">
      <c r="A235" t="str">
        <f>"201010C0200"</f>
        <v>201010C0200</v>
      </c>
      <c r="B235" t="str">
        <f>"201010C02002"</f>
        <v>201010C02002</v>
      </c>
      <c r="C235" t="str">
        <f t="shared" si="6"/>
        <v>20</v>
      </c>
      <c r="D235" t="s">
        <v>67</v>
      </c>
      <c r="E235" t="str">
        <f t="shared" si="8"/>
        <v>002</v>
      </c>
      <c r="F235" t="s">
        <v>311</v>
      </c>
      <c r="G235" t="str">
        <f t="shared" si="9"/>
        <v>1010</v>
      </c>
      <c r="H235" t="str">
        <f>"0002"</f>
        <v>0002</v>
      </c>
      <c r="I235" t="s">
        <v>75</v>
      </c>
      <c r="J235">
        <v>0</v>
      </c>
      <c r="K235">
        <v>1</v>
      </c>
      <c r="L235">
        <v>2</v>
      </c>
      <c r="M235">
        <v>311</v>
      </c>
      <c r="N235">
        <v>405</v>
      </c>
      <c r="O235">
        <v>5</v>
      </c>
      <c r="P235">
        <v>405</v>
      </c>
      <c r="Q235">
        <v>8</v>
      </c>
      <c r="R235">
        <v>49</v>
      </c>
      <c r="S235">
        <v>4</v>
      </c>
      <c r="T235">
        <v>14</v>
      </c>
      <c r="U235">
        <v>8</v>
      </c>
      <c r="V235">
        <v>20</v>
      </c>
      <c r="W235">
        <v>3</v>
      </c>
      <c r="X235">
        <v>190</v>
      </c>
      <c r="Y235">
        <v>54</v>
      </c>
      <c r="Z235">
        <v>16</v>
      </c>
      <c r="AA235">
        <v>2</v>
      </c>
      <c r="AB235">
        <v>23</v>
      </c>
      <c r="AD235">
        <v>1</v>
      </c>
      <c r="AE235">
        <v>2</v>
      </c>
      <c r="AF235">
        <v>0</v>
      </c>
      <c r="AG235">
        <v>0</v>
      </c>
      <c r="AI235">
        <v>1</v>
      </c>
      <c r="AJ235">
        <v>10</v>
      </c>
      <c r="AK235">
        <v>405</v>
      </c>
      <c r="AL235">
        <v>405</v>
      </c>
      <c r="AM235">
        <v>672</v>
      </c>
      <c r="AN235">
        <v>44</v>
      </c>
      <c r="AP235">
        <v>1</v>
      </c>
      <c r="AR235" t="s">
        <v>314</v>
      </c>
      <c r="AS235" s="1">
        <v>44353.993055555555</v>
      </c>
      <c r="AT235" s="1">
        <v>44354.001805555556</v>
      </c>
      <c r="AU235" s="1">
        <v>44354.002511574072</v>
      </c>
      <c r="AV235" t="s">
        <v>71</v>
      </c>
      <c r="AW235" t="s">
        <v>72</v>
      </c>
      <c r="AX235" t="s">
        <v>73</v>
      </c>
    </row>
    <row r="236" spans="1:50" x14ac:dyDescent="0.3">
      <c r="A236" t="str">
        <f>"201010E0100"</f>
        <v>201010E0100</v>
      </c>
      <c r="B236" t="str">
        <f>"201010E01002"</f>
        <v>201010E01002</v>
      </c>
      <c r="C236" t="str">
        <f t="shared" si="6"/>
        <v>20</v>
      </c>
      <c r="D236" t="s">
        <v>67</v>
      </c>
      <c r="E236" t="str">
        <f t="shared" si="8"/>
        <v>002</v>
      </c>
      <c r="F236" t="s">
        <v>311</v>
      </c>
      <c r="G236" t="str">
        <f t="shared" si="9"/>
        <v>1010</v>
      </c>
      <c r="H236" t="str">
        <f>"0001"</f>
        <v>0001</v>
      </c>
      <c r="I236" t="s">
        <v>109</v>
      </c>
      <c r="J236">
        <v>0</v>
      </c>
      <c r="K236">
        <v>1</v>
      </c>
      <c r="L236">
        <v>2</v>
      </c>
      <c r="M236">
        <v>385</v>
      </c>
      <c r="N236">
        <v>395</v>
      </c>
      <c r="O236">
        <v>13</v>
      </c>
      <c r="P236">
        <v>395</v>
      </c>
      <c r="Q236">
        <v>8</v>
      </c>
      <c r="R236">
        <v>37</v>
      </c>
      <c r="S236">
        <v>1</v>
      </c>
      <c r="T236">
        <v>14</v>
      </c>
      <c r="U236">
        <v>7</v>
      </c>
      <c r="V236">
        <v>10</v>
      </c>
      <c r="W236">
        <v>8</v>
      </c>
      <c r="X236">
        <v>25</v>
      </c>
      <c r="Y236">
        <v>45</v>
      </c>
      <c r="Z236">
        <v>12</v>
      </c>
      <c r="AA236">
        <v>1</v>
      </c>
      <c r="AB236">
        <v>15</v>
      </c>
      <c r="AD236">
        <v>0</v>
      </c>
      <c r="AE236">
        <v>2</v>
      </c>
      <c r="AF236">
        <v>0</v>
      </c>
      <c r="AG236">
        <v>0</v>
      </c>
      <c r="AI236">
        <v>0</v>
      </c>
      <c r="AJ236">
        <v>10</v>
      </c>
      <c r="AK236">
        <v>395</v>
      </c>
      <c r="AL236">
        <v>195</v>
      </c>
      <c r="AM236">
        <v>737</v>
      </c>
      <c r="AN236">
        <v>44</v>
      </c>
      <c r="AP236">
        <v>1</v>
      </c>
      <c r="AR236" t="s">
        <v>315</v>
      </c>
      <c r="AS236" s="1">
        <v>44354.1</v>
      </c>
      <c r="AT236" s="1">
        <v>44354.113206018519</v>
      </c>
      <c r="AU236" s="1">
        <v>44354.114131944443</v>
      </c>
      <c r="AV236" t="s">
        <v>71</v>
      </c>
      <c r="AW236" t="s">
        <v>72</v>
      </c>
      <c r="AX236" t="s">
        <v>73</v>
      </c>
    </row>
    <row r="237" spans="1:50" x14ac:dyDescent="0.3">
      <c r="A237" t="str">
        <f>"201010E0101"</f>
        <v>201010E0101</v>
      </c>
      <c r="B237" t="str">
        <f>"201010E01012"</f>
        <v>201010E01012</v>
      </c>
      <c r="C237" t="str">
        <f t="shared" si="6"/>
        <v>20</v>
      </c>
      <c r="D237" t="s">
        <v>67</v>
      </c>
      <c r="E237" t="str">
        <f t="shared" si="8"/>
        <v>002</v>
      </c>
      <c r="F237" t="s">
        <v>311</v>
      </c>
      <c r="G237" t="str">
        <f t="shared" si="9"/>
        <v>1010</v>
      </c>
      <c r="H237" t="str">
        <f>"0001"</f>
        <v>0001</v>
      </c>
      <c r="I237" t="s">
        <v>109</v>
      </c>
      <c r="J237">
        <v>1</v>
      </c>
      <c r="K237">
        <v>1</v>
      </c>
      <c r="L237">
        <v>2</v>
      </c>
      <c r="M237">
        <v>385</v>
      </c>
      <c r="N237">
        <v>396</v>
      </c>
      <c r="O237">
        <v>7</v>
      </c>
      <c r="P237">
        <v>397</v>
      </c>
      <c r="Q237">
        <v>10</v>
      </c>
      <c r="R237">
        <v>31</v>
      </c>
      <c r="S237">
        <v>1</v>
      </c>
      <c r="T237">
        <v>10</v>
      </c>
      <c r="U237">
        <v>6</v>
      </c>
      <c r="V237">
        <v>26</v>
      </c>
      <c r="W237">
        <v>2</v>
      </c>
      <c r="X237">
        <v>238</v>
      </c>
      <c r="Y237">
        <v>43</v>
      </c>
      <c r="Z237">
        <v>6</v>
      </c>
      <c r="AA237">
        <v>1</v>
      </c>
      <c r="AB237">
        <v>9</v>
      </c>
      <c r="AD237">
        <v>0</v>
      </c>
      <c r="AE237">
        <v>3</v>
      </c>
      <c r="AF237">
        <v>0</v>
      </c>
      <c r="AG237">
        <v>0</v>
      </c>
      <c r="AI237">
        <v>0</v>
      </c>
      <c r="AJ237">
        <v>11</v>
      </c>
      <c r="AK237">
        <v>397</v>
      </c>
      <c r="AL237">
        <v>397</v>
      </c>
      <c r="AM237">
        <v>737</v>
      </c>
      <c r="AN237">
        <v>44</v>
      </c>
      <c r="AP237">
        <v>1</v>
      </c>
      <c r="AR237" t="s">
        <v>316</v>
      </c>
      <c r="AS237" s="1">
        <v>44354.098611111112</v>
      </c>
      <c r="AT237" s="1">
        <v>44354.110925925925</v>
      </c>
      <c r="AU237" s="1">
        <v>44354.111527777779</v>
      </c>
      <c r="AV237" t="s">
        <v>71</v>
      </c>
      <c r="AW237" t="s">
        <v>72</v>
      </c>
      <c r="AX237" t="s">
        <v>73</v>
      </c>
    </row>
    <row r="238" spans="1:50" x14ac:dyDescent="0.3">
      <c r="A238" t="str">
        <f>"201010E0102"</f>
        <v>201010E0102</v>
      </c>
      <c r="B238" t="str">
        <f>"201010E01022"</f>
        <v>201010E01022</v>
      </c>
      <c r="C238" t="str">
        <f t="shared" si="6"/>
        <v>20</v>
      </c>
      <c r="D238" t="s">
        <v>67</v>
      </c>
      <c r="E238" t="str">
        <f t="shared" si="8"/>
        <v>002</v>
      </c>
      <c r="F238" t="s">
        <v>311</v>
      </c>
      <c r="G238" t="str">
        <f t="shared" si="9"/>
        <v>1010</v>
      </c>
      <c r="H238" t="str">
        <f>"0001"</f>
        <v>0001</v>
      </c>
      <c r="I238" t="s">
        <v>109</v>
      </c>
      <c r="J238">
        <v>2</v>
      </c>
      <c r="K238">
        <v>1</v>
      </c>
      <c r="L238">
        <v>2</v>
      </c>
      <c r="M238">
        <v>382</v>
      </c>
      <c r="N238">
        <v>399</v>
      </c>
      <c r="O238">
        <v>11</v>
      </c>
      <c r="P238">
        <v>399</v>
      </c>
      <c r="Q238">
        <v>15</v>
      </c>
      <c r="R238">
        <v>41</v>
      </c>
      <c r="S238">
        <v>2</v>
      </c>
      <c r="T238">
        <v>15</v>
      </c>
      <c r="U238">
        <v>10</v>
      </c>
      <c r="V238">
        <v>22</v>
      </c>
      <c r="W238">
        <v>6</v>
      </c>
      <c r="X238">
        <v>221</v>
      </c>
      <c r="Y238">
        <v>39</v>
      </c>
      <c r="Z238">
        <v>7</v>
      </c>
      <c r="AA238">
        <v>1</v>
      </c>
      <c r="AB238">
        <v>8</v>
      </c>
      <c r="AD238">
        <v>1</v>
      </c>
      <c r="AE238">
        <v>0</v>
      </c>
      <c r="AF238">
        <v>0</v>
      </c>
      <c r="AG238">
        <v>0</v>
      </c>
      <c r="AI238">
        <v>0</v>
      </c>
      <c r="AJ238">
        <v>11</v>
      </c>
      <c r="AK238">
        <v>399</v>
      </c>
      <c r="AL238">
        <v>399</v>
      </c>
      <c r="AM238">
        <v>737</v>
      </c>
      <c r="AN238">
        <v>44</v>
      </c>
      <c r="AP238">
        <v>1</v>
      </c>
      <c r="AR238" t="s">
        <v>317</v>
      </c>
      <c r="AS238" s="1">
        <v>44354.099305555559</v>
      </c>
      <c r="AT238" s="1">
        <v>44354.111979166664</v>
      </c>
      <c r="AU238" s="1">
        <v>44354.112858796296</v>
      </c>
      <c r="AV238" t="s">
        <v>71</v>
      </c>
      <c r="AW238" t="s">
        <v>72</v>
      </c>
      <c r="AX238" t="s">
        <v>73</v>
      </c>
    </row>
    <row r="239" spans="1:50" x14ac:dyDescent="0.3">
      <c r="A239" t="str">
        <f>"201010E0103"</f>
        <v>201010E0103</v>
      </c>
      <c r="B239" t="str">
        <f>"201010E01032"</f>
        <v>201010E01032</v>
      </c>
      <c r="C239" t="str">
        <f t="shared" si="6"/>
        <v>20</v>
      </c>
      <c r="D239" t="s">
        <v>67</v>
      </c>
      <c r="E239" t="str">
        <f t="shared" si="8"/>
        <v>002</v>
      </c>
      <c r="F239" t="s">
        <v>311</v>
      </c>
      <c r="G239" t="str">
        <f t="shared" si="9"/>
        <v>1010</v>
      </c>
      <c r="H239" t="str">
        <f>"0001"</f>
        <v>0001</v>
      </c>
      <c r="I239" t="s">
        <v>109</v>
      </c>
      <c r="J239">
        <v>3</v>
      </c>
      <c r="K239">
        <v>1</v>
      </c>
      <c r="L239">
        <v>2</v>
      </c>
      <c r="M239">
        <v>369</v>
      </c>
      <c r="N239">
        <v>412</v>
      </c>
      <c r="O239">
        <v>410</v>
      </c>
      <c r="P239">
        <v>411</v>
      </c>
      <c r="Q239">
        <v>12</v>
      </c>
      <c r="R239">
        <v>32</v>
      </c>
      <c r="S239">
        <v>1</v>
      </c>
      <c r="T239">
        <v>15</v>
      </c>
      <c r="U239">
        <v>8</v>
      </c>
      <c r="V239">
        <v>19</v>
      </c>
      <c r="W239">
        <v>6</v>
      </c>
      <c r="X239">
        <v>226</v>
      </c>
      <c r="Y239">
        <v>62</v>
      </c>
      <c r="Z239">
        <v>8</v>
      </c>
      <c r="AA239">
        <v>0</v>
      </c>
      <c r="AB239">
        <v>16</v>
      </c>
      <c r="AD239">
        <v>1</v>
      </c>
      <c r="AE239">
        <v>0</v>
      </c>
      <c r="AF239">
        <v>0</v>
      </c>
      <c r="AG239">
        <v>0</v>
      </c>
      <c r="AI239">
        <v>0</v>
      </c>
      <c r="AJ239">
        <v>5</v>
      </c>
      <c r="AK239">
        <v>411</v>
      </c>
      <c r="AL239">
        <v>411</v>
      </c>
      <c r="AM239">
        <v>737</v>
      </c>
      <c r="AN239">
        <v>44</v>
      </c>
      <c r="AP239">
        <v>1</v>
      </c>
      <c r="AR239" t="s">
        <v>318</v>
      </c>
      <c r="AS239" s="1">
        <v>44354.09652777778</v>
      </c>
      <c r="AT239" s="1">
        <v>44354.1090625</v>
      </c>
      <c r="AU239" s="1">
        <v>44354.112268518518</v>
      </c>
      <c r="AV239" t="s">
        <v>71</v>
      </c>
      <c r="AW239" t="s">
        <v>72</v>
      </c>
      <c r="AX239" t="s">
        <v>73</v>
      </c>
    </row>
    <row r="240" spans="1:50" x14ac:dyDescent="0.3">
      <c r="A240" t="str">
        <f>"201010E0104"</f>
        <v>201010E0104</v>
      </c>
      <c r="B240" t="str">
        <f>"201010E01042"</f>
        <v>201010E01042</v>
      </c>
      <c r="C240" t="str">
        <f t="shared" si="6"/>
        <v>20</v>
      </c>
      <c r="D240" t="s">
        <v>67</v>
      </c>
      <c r="E240" t="str">
        <f t="shared" si="8"/>
        <v>002</v>
      </c>
      <c r="F240" t="s">
        <v>311</v>
      </c>
      <c r="G240" t="str">
        <f t="shared" si="9"/>
        <v>1010</v>
      </c>
      <c r="H240" t="str">
        <f>"0001"</f>
        <v>0001</v>
      </c>
      <c r="I240" t="s">
        <v>109</v>
      </c>
      <c r="J240">
        <v>4</v>
      </c>
      <c r="K240">
        <v>1</v>
      </c>
      <c r="L240">
        <v>2</v>
      </c>
      <c r="M240">
        <v>344</v>
      </c>
      <c r="N240">
        <v>434</v>
      </c>
      <c r="O240">
        <v>10</v>
      </c>
      <c r="P240">
        <v>436</v>
      </c>
      <c r="Q240">
        <v>14</v>
      </c>
      <c r="R240">
        <v>34</v>
      </c>
      <c r="S240">
        <v>1</v>
      </c>
      <c r="T240">
        <v>7</v>
      </c>
      <c r="U240">
        <v>7</v>
      </c>
      <c r="V240">
        <v>18</v>
      </c>
      <c r="W240">
        <v>2</v>
      </c>
      <c r="X240">
        <v>239</v>
      </c>
      <c r="Y240">
        <v>71</v>
      </c>
      <c r="Z240">
        <v>10</v>
      </c>
      <c r="AA240">
        <v>3</v>
      </c>
      <c r="AB240">
        <v>19</v>
      </c>
      <c r="AD240">
        <v>0</v>
      </c>
      <c r="AE240">
        <v>2</v>
      </c>
      <c r="AF240">
        <v>0</v>
      </c>
      <c r="AG240">
        <v>0</v>
      </c>
      <c r="AI240">
        <v>0</v>
      </c>
      <c r="AJ240">
        <v>9</v>
      </c>
      <c r="AK240">
        <v>436</v>
      </c>
      <c r="AL240">
        <v>436</v>
      </c>
      <c r="AM240">
        <v>737</v>
      </c>
      <c r="AN240">
        <v>44</v>
      </c>
      <c r="AP240">
        <v>1</v>
      </c>
      <c r="AR240" s="2" t="s">
        <v>319</v>
      </c>
      <c r="AS240" s="1">
        <v>44354.098611111112</v>
      </c>
      <c r="AT240" s="1">
        <v>44354.109756944446</v>
      </c>
      <c r="AU240" s="1">
        <v>44354.110347222224</v>
      </c>
      <c r="AV240" t="s">
        <v>71</v>
      </c>
      <c r="AW240" t="s">
        <v>72</v>
      </c>
      <c r="AX240" t="s">
        <v>73</v>
      </c>
    </row>
    <row r="241" spans="1:50" x14ac:dyDescent="0.3">
      <c r="A241" t="str">
        <f>"201011B0000"</f>
        <v>201011B0000</v>
      </c>
      <c r="B241" t="str">
        <f>"201011B00002"</f>
        <v>201011B00002</v>
      </c>
      <c r="C241" t="str">
        <f t="shared" si="6"/>
        <v>20</v>
      </c>
      <c r="D241" t="s">
        <v>67</v>
      </c>
      <c r="E241" t="str">
        <f t="shared" si="8"/>
        <v>002</v>
      </c>
      <c r="F241" t="s">
        <v>311</v>
      </c>
      <c r="G241" t="str">
        <f>"1011"</f>
        <v>1011</v>
      </c>
      <c r="H241" t="str">
        <f>"0000"</f>
        <v>0000</v>
      </c>
      <c r="I241" t="s">
        <v>69</v>
      </c>
      <c r="J241">
        <v>0</v>
      </c>
      <c r="K241">
        <v>1</v>
      </c>
      <c r="L241">
        <v>2</v>
      </c>
      <c r="M241">
        <v>281</v>
      </c>
      <c r="N241">
        <v>319</v>
      </c>
      <c r="O241">
        <v>3</v>
      </c>
      <c r="P241">
        <v>319</v>
      </c>
      <c r="Q241">
        <v>8</v>
      </c>
      <c r="R241">
        <v>23</v>
      </c>
      <c r="S241">
        <v>0</v>
      </c>
      <c r="T241">
        <v>10</v>
      </c>
      <c r="U241">
        <v>2</v>
      </c>
      <c r="V241">
        <v>34</v>
      </c>
      <c r="W241">
        <v>7</v>
      </c>
      <c r="X241">
        <v>142</v>
      </c>
      <c r="Y241">
        <v>55</v>
      </c>
      <c r="Z241">
        <v>13</v>
      </c>
      <c r="AA241">
        <v>3</v>
      </c>
      <c r="AB241">
        <v>12</v>
      </c>
      <c r="AD241">
        <v>1</v>
      </c>
      <c r="AE241">
        <v>0</v>
      </c>
      <c r="AF241">
        <v>0</v>
      </c>
      <c r="AG241">
        <v>0</v>
      </c>
      <c r="AI241">
        <v>0</v>
      </c>
      <c r="AJ241">
        <v>9</v>
      </c>
      <c r="AK241">
        <v>319</v>
      </c>
      <c r="AL241">
        <v>319</v>
      </c>
      <c r="AM241">
        <v>556</v>
      </c>
      <c r="AN241">
        <v>44</v>
      </c>
      <c r="AP241">
        <v>1</v>
      </c>
      <c r="AR241" t="s">
        <v>320</v>
      </c>
      <c r="AS241" s="1">
        <v>44354.013888888891</v>
      </c>
      <c r="AT241" s="1">
        <v>44354.04010416667</v>
      </c>
      <c r="AU241" s="1">
        <v>44354.040601851855</v>
      </c>
      <c r="AV241" t="s">
        <v>71</v>
      </c>
      <c r="AW241" t="s">
        <v>72</v>
      </c>
      <c r="AX241" t="s">
        <v>73</v>
      </c>
    </row>
    <row r="242" spans="1:50" x14ac:dyDescent="0.3">
      <c r="A242" t="str">
        <f>"201011C0100"</f>
        <v>201011C0100</v>
      </c>
      <c r="B242" t="str">
        <f>"201011C01002"</f>
        <v>201011C01002</v>
      </c>
      <c r="C242" t="str">
        <f t="shared" si="6"/>
        <v>20</v>
      </c>
      <c r="D242" t="s">
        <v>67</v>
      </c>
      <c r="E242" t="str">
        <f t="shared" si="8"/>
        <v>002</v>
      </c>
      <c r="F242" t="s">
        <v>311</v>
      </c>
      <c r="G242" t="str">
        <f>"1011"</f>
        <v>1011</v>
      </c>
      <c r="H242" t="str">
        <f>"0001"</f>
        <v>0001</v>
      </c>
      <c r="I242" t="s">
        <v>75</v>
      </c>
      <c r="J242">
        <v>0</v>
      </c>
      <c r="K242">
        <v>1</v>
      </c>
      <c r="L242">
        <v>2</v>
      </c>
      <c r="M242">
        <v>276</v>
      </c>
      <c r="N242">
        <v>324</v>
      </c>
      <c r="O242">
        <v>7</v>
      </c>
      <c r="P242">
        <v>324</v>
      </c>
      <c r="Q242">
        <v>8</v>
      </c>
      <c r="R242">
        <v>20</v>
      </c>
      <c r="S242">
        <v>1</v>
      </c>
      <c r="T242">
        <v>13</v>
      </c>
      <c r="U242">
        <v>4</v>
      </c>
      <c r="V242">
        <v>27</v>
      </c>
      <c r="W242">
        <v>2</v>
      </c>
      <c r="X242">
        <v>164</v>
      </c>
      <c r="Y242">
        <v>41</v>
      </c>
      <c r="Z242">
        <v>6</v>
      </c>
      <c r="AA242">
        <v>4</v>
      </c>
      <c r="AB242">
        <v>20</v>
      </c>
      <c r="AD242" t="s">
        <v>77</v>
      </c>
      <c r="AE242">
        <v>5</v>
      </c>
      <c r="AF242" t="s">
        <v>77</v>
      </c>
      <c r="AG242" t="s">
        <v>77</v>
      </c>
      <c r="AI242" t="s">
        <v>77</v>
      </c>
      <c r="AJ242">
        <v>9</v>
      </c>
      <c r="AK242">
        <v>324</v>
      </c>
      <c r="AL242">
        <v>324</v>
      </c>
      <c r="AM242">
        <v>556</v>
      </c>
      <c r="AN242">
        <v>44</v>
      </c>
      <c r="AO242" t="s">
        <v>78</v>
      </c>
      <c r="AP242">
        <v>1</v>
      </c>
      <c r="AR242" s="2" t="s">
        <v>321</v>
      </c>
      <c r="AS242" s="1">
        <v>44354.012499999997</v>
      </c>
      <c r="AT242" s="1">
        <v>44354.02244212963</v>
      </c>
      <c r="AU242" s="1">
        <v>44354.023113425923</v>
      </c>
      <c r="AV242" t="s">
        <v>71</v>
      </c>
      <c r="AW242" t="s">
        <v>72</v>
      </c>
      <c r="AX242" t="s">
        <v>73</v>
      </c>
    </row>
    <row r="243" spans="1:50" x14ac:dyDescent="0.3">
      <c r="A243" t="str">
        <f>"201012B0000"</f>
        <v>201012B0000</v>
      </c>
      <c r="B243" t="str">
        <f>"201012B00002"</f>
        <v>201012B00002</v>
      </c>
      <c r="C243" t="str">
        <f t="shared" si="6"/>
        <v>20</v>
      </c>
      <c r="D243" t="s">
        <v>67</v>
      </c>
      <c r="E243" t="str">
        <f t="shared" si="8"/>
        <v>002</v>
      </c>
      <c r="F243" t="s">
        <v>311</v>
      </c>
      <c r="G243" t="str">
        <f>"1012"</f>
        <v>1012</v>
      </c>
      <c r="H243" t="str">
        <f>"0000"</f>
        <v>0000</v>
      </c>
      <c r="I243" t="s">
        <v>69</v>
      </c>
      <c r="J243">
        <v>0</v>
      </c>
      <c r="K243">
        <v>1</v>
      </c>
      <c r="L243">
        <v>2</v>
      </c>
      <c r="M243">
        <v>285</v>
      </c>
      <c r="N243">
        <v>310</v>
      </c>
      <c r="O243">
        <v>10</v>
      </c>
      <c r="P243">
        <v>310</v>
      </c>
      <c r="Q243">
        <v>7</v>
      </c>
      <c r="R243">
        <v>29</v>
      </c>
      <c r="S243">
        <v>2</v>
      </c>
      <c r="T243">
        <v>19</v>
      </c>
      <c r="U243">
        <v>3</v>
      </c>
      <c r="V243">
        <v>19</v>
      </c>
      <c r="W243">
        <v>1</v>
      </c>
      <c r="X243">
        <v>142</v>
      </c>
      <c r="Y243">
        <v>60</v>
      </c>
      <c r="Z243">
        <v>5</v>
      </c>
      <c r="AA243">
        <v>2</v>
      </c>
      <c r="AB243">
        <v>10</v>
      </c>
      <c r="AD243">
        <v>0</v>
      </c>
      <c r="AE243">
        <v>0</v>
      </c>
      <c r="AF243">
        <v>0</v>
      </c>
      <c r="AG243">
        <v>0</v>
      </c>
      <c r="AI243">
        <v>0</v>
      </c>
      <c r="AJ243">
        <v>11</v>
      </c>
      <c r="AK243">
        <v>310</v>
      </c>
      <c r="AL243">
        <v>310</v>
      </c>
      <c r="AM243">
        <v>551</v>
      </c>
      <c r="AN243">
        <v>44</v>
      </c>
      <c r="AP243">
        <v>1</v>
      </c>
      <c r="AR243" t="s">
        <v>322</v>
      </c>
      <c r="AS243" s="1">
        <v>44354.011805555558</v>
      </c>
      <c r="AT243" s="1">
        <v>44354.039131944446</v>
      </c>
      <c r="AU243" s="1">
        <v>44354.039837962962</v>
      </c>
      <c r="AV243" t="s">
        <v>71</v>
      </c>
      <c r="AW243" t="s">
        <v>72</v>
      </c>
      <c r="AX243" t="s">
        <v>73</v>
      </c>
    </row>
    <row r="244" spans="1:50" x14ac:dyDescent="0.3">
      <c r="A244" t="str">
        <f>"201012C0100"</f>
        <v>201012C0100</v>
      </c>
      <c r="B244" t="str">
        <f>"201012C01002"</f>
        <v>201012C01002</v>
      </c>
      <c r="C244" t="str">
        <f t="shared" si="6"/>
        <v>20</v>
      </c>
      <c r="D244" t="s">
        <v>67</v>
      </c>
      <c r="E244" t="str">
        <f t="shared" si="8"/>
        <v>002</v>
      </c>
      <c r="F244" t="s">
        <v>311</v>
      </c>
      <c r="G244" t="str">
        <f>"1012"</f>
        <v>1012</v>
      </c>
      <c r="H244" t="str">
        <f>"0001"</f>
        <v>0001</v>
      </c>
      <c r="I244" t="s">
        <v>75</v>
      </c>
      <c r="J244">
        <v>0</v>
      </c>
      <c r="K244">
        <v>1</v>
      </c>
      <c r="L244">
        <v>2</v>
      </c>
      <c r="M244">
        <v>291</v>
      </c>
      <c r="N244">
        <v>303</v>
      </c>
      <c r="O244">
        <v>8</v>
      </c>
      <c r="P244">
        <v>303</v>
      </c>
      <c r="Q244">
        <v>6</v>
      </c>
      <c r="R244">
        <v>27</v>
      </c>
      <c r="S244">
        <v>2</v>
      </c>
      <c r="T244">
        <v>15</v>
      </c>
      <c r="U244">
        <v>5</v>
      </c>
      <c r="V244">
        <v>23</v>
      </c>
      <c r="W244">
        <v>3</v>
      </c>
      <c r="X244">
        <v>129</v>
      </c>
      <c r="Y244">
        <v>66</v>
      </c>
      <c r="Z244">
        <v>11</v>
      </c>
      <c r="AA244">
        <v>1</v>
      </c>
      <c r="AB244">
        <v>10</v>
      </c>
      <c r="AD244">
        <v>0</v>
      </c>
      <c r="AE244">
        <v>1</v>
      </c>
      <c r="AF244">
        <v>0</v>
      </c>
      <c r="AG244">
        <v>1</v>
      </c>
      <c r="AI244">
        <v>0</v>
      </c>
      <c r="AJ244">
        <v>3</v>
      </c>
      <c r="AK244">
        <v>303</v>
      </c>
      <c r="AL244">
        <v>303</v>
      </c>
      <c r="AM244">
        <v>550</v>
      </c>
      <c r="AN244">
        <v>44</v>
      </c>
      <c r="AP244">
        <v>1</v>
      </c>
      <c r="AR244" t="s">
        <v>323</v>
      </c>
      <c r="AS244" s="1">
        <v>44354.01458333333</v>
      </c>
      <c r="AT244" s="1">
        <v>44354.042719907404</v>
      </c>
      <c r="AU244" s="1">
        <v>44354.04314814815</v>
      </c>
      <c r="AV244" t="s">
        <v>71</v>
      </c>
      <c r="AW244" t="s">
        <v>72</v>
      </c>
      <c r="AX244" t="s">
        <v>73</v>
      </c>
    </row>
    <row r="245" spans="1:50" x14ac:dyDescent="0.3">
      <c r="A245" t="str">
        <f>"201013B0000"</f>
        <v>201013B0000</v>
      </c>
      <c r="B245" t="str">
        <f>"201013B00002"</f>
        <v>201013B00002</v>
      </c>
      <c r="C245" t="str">
        <f t="shared" si="6"/>
        <v>20</v>
      </c>
      <c r="D245" t="s">
        <v>67</v>
      </c>
      <c r="E245" t="str">
        <f t="shared" si="8"/>
        <v>002</v>
      </c>
      <c r="F245" t="s">
        <v>311</v>
      </c>
      <c r="G245" t="str">
        <f>"1013"</f>
        <v>1013</v>
      </c>
      <c r="H245" t="str">
        <f>"0000"</f>
        <v>0000</v>
      </c>
      <c r="I245" t="s">
        <v>69</v>
      </c>
      <c r="J245">
        <v>0</v>
      </c>
      <c r="K245">
        <v>1</v>
      </c>
      <c r="L245">
        <v>2</v>
      </c>
      <c r="M245">
        <v>280</v>
      </c>
      <c r="N245">
        <v>590</v>
      </c>
      <c r="O245">
        <v>2</v>
      </c>
      <c r="P245">
        <v>310</v>
      </c>
      <c r="Q245">
        <v>0</v>
      </c>
      <c r="R245">
        <v>0</v>
      </c>
      <c r="S245">
        <v>0</v>
      </c>
      <c r="T245">
        <v>13</v>
      </c>
      <c r="U245">
        <v>8</v>
      </c>
      <c r="V245">
        <v>20</v>
      </c>
      <c r="W245">
        <v>1</v>
      </c>
      <c r="X245">
        <v>160</v>
      </c>
      <c r="Y245">
        <v>37</v>
      </c>
      <c r="Z245">
        <v>6</v>
      </c>
      <c r="AA245">
        <v>2</v>
      </c>
      <c r="AB245">
        <v>17</v>
      </c>
      <c r="AD245">
        <v>38</v>
      </c>
      <c r="AE245">
        <v>0</v>
      </c>
      <c r="AF245">
        <v>0</v>
      </c>
      <c r="AG245">
        <v>0</v>
      </c>
      <c r="AI245">
        <v>0</v>
      </c>
      <c r="AJ245">
        <v>0</v>
      </c>
      <c r="AK245">
        <v>310</v>
      </c>
      <c r="AL245">
        <v>302</v>
      </c>
      <c r="AM245">
        <v>546</v>
      </c>
      <c r="AN245">
        <v>44</v>
      </c>
      <c r="AP245">
        <v>1</v>
      </c>
      <c r="AR245" t="s">
        <v>324</v>
      </c>
      <c r="AS245" s="1">
        <v>44354.14166666667</v>
      </c>
      <c r="AT245" s="1">
        <v>44354.162673611114</v>
      </c>
      <c r="AU245" s="1">
        <v>44354.163368055553</v>
      </c>
      <c r="AV245" t="s">
        <v>71</v>
      </c>
      <c r="AW245" t="s">
        <v>72</v>
      </c>
      <c r="AX245" t="s">
        <v>73</v>
      </c>
    </row>
    <row r="246" spans="1:50" x14ac:dyDescent="0.3">
      <c r="A246" t="str">
        <f>"201013C0100"</f>
        <v>201013C0100</v>
      </c>
      <c r="B246" t="str">
        <f>"201013C01002"</f>
        <v>201013C01002</v>
      </c>
      <c r="C246" t="str">
        <f t="shared" si="6"/>
        <v>20</v>
      </c>
      <c r="D246" t="s">
        <v>67</v>
      </c>
      <c r="E246" t="str">
        <f t="shared" si="8"/>
        <v>002</v>
      </c>
      <c r="F246" t="s">
        <v>311</v>
      </c>
      <c r="G246" t="str">
        <f>"1013"</f>
        <v>1013</v>
      </c>
      <c r="H246" t="str">
        <f>"0001"</f>
        <v>0001</v>
      </c>
      <c r="I246" t="s">
        <v>75</v>
      </c>
      <c r="J246">
        <v>0</v>
      </c>
      <c r="K246">
        <v>1</v>
      </c>
      <c r="L246">
        <v>2</v>
      </c>
      <c r="M246">
        <v>299</v>
      </c>
      <c r="N246">
        <v>290</v>
      </c>
      <c r="O246">
        <v>3</v>
      </c>
      <c r="P246">
        <v>290</v>
      </c>
      <c r="Q246">
        <v>4</v>
      </c>
      <c r="R246">
        <v>30</v>
      </c>
      <c r="S246">
        <v>0</v>
      </c>
      <c r="T246">
        <v>5</v>
      </c>
      <c r="U246">
        <v>7</v>
      </c>
      <c r="V246">
        <v>16</v>
      </c>
      <c r="W246">
        <v>3</v>
      </c>
      <c r="X246">
        <v>153</v>
      </c>
      <c r="Y246">
        <v>33</v>
      </c>
      <c r="Z246">
        <v>11</v>
      </c>
      <c r="AA246">
        <v>2</v>
      </c>
      <c r="AB246">
        <v>14</v>
      </c>
      <c r="AD246">
        <v>1</v>
      </c>
      <c r="AE246">
        <v>0</v>
      </c>
      <c r="AF246">
        <v>0</v>
      </c>
      <c r="AG246">
        <v>0</v>
      </c>
      <c r="AI246">
        <v>0</v>
      </c>
      <c r="AJ246">
        <v>11</v>
      </c>
      <c r="AK246">
        <v>211</v>
      </c>
      <c r="AL246">
        <v>290</v>
      </c>
      <c r="AM246">
        <v>545</v>
      </c>
      <c r="AN246">
        <v>44</v>
      </c>
      <c r="AP246">
        <v>1</v>
      </c>
      <c r="AR246" t="s">
        <v>325</v>
      </c>
      <c r="AS246" s="1">
        <v>44354.142361111109</v>
      </c>
      <c r="AT246" s="1">
        <v>44354.169386574074</v>
      </c>
      <c r="AU246" s="1">
        <v>44354.17459490741</v>
      </c>
      <c r="AV246" t="s">
        <v>71</v>
      </c>
      <c r="AW246" t="s">
        <v>72</v>
      </c>
      <c r="AX246" t="s">
        <v>73</v>
      </c>
    </row>
    <row r="247" spans="1:50" x14ac:dyDescent="0.3">
      <c r="A247" t="str">
        <f>"201014B0000"</f>
        <v>201014B0000</v>
      </c>
      <c r="B247" t="str">
        <f>"201014B00002"</f>
        <v>201014B00002</v>
      </c>
      <c r="C247" t="str">
        <f t="shared" si="6"/>
        <v>20</v>
      </c>
      <c r="D247" t="s">
        <v>67</v>
      </c>
      <c r="E247" t="str">
        <f t="shared" si="8"/>
        <v>002</v>
      </c>
      <c r="F247" t="s">
        <v>311</v>
      </c>
      <c r="G247" t="str">
        <f>"1014"</f>
        <v>1014</v>
      </c>
      <c r="H247" t="str">
        <f>"0000"</f>
        <v>0000</v>
      </c>
      <c r="I247" t="s">
        <v>69</v>
      </c>
      <c r="J247">
        <v>0</v>
      </c>
      <c r="K247">
        <v>1</v>
      </c>
      <c r="L247">
        <v>2</v>
      </c>
      <c r="M247">
        <v>323</v>
      </c>
      <c r="N247">
        <v>380</v>
      </c>
      <c r="O247">
        <v>4</v>
      </c>
      <c r="P247">
        <v>379</v>
      </c>
      <c r="Q247">
        <v>12</v>
      </c>
      <c r="R247">
        <v>46</v>
      </c>
      <c r="S247">
        <v>3</v>
      </c>
      <c r="T247">
        <v>14</v>
      </c>
      <c r="U247">
        <v>3</v>
      </c>
      <c r="V247">
        <v>17</v>
      </c>
      <c r="W247">
        <v>8</v>
      </c>
      <c r="X247">
        <v>193</v>
      </c>
      <c r="Y247">
        <v>44</v>
      </c>
      <c r="Z247">
        <v>15</v>
      </c>
      <c r="AA247">
        <v>0</v>
      </c>
      <c r="AB247">
        <v>13</v>
      </c>
      <c r="AD247">
        <v>0</v>
      </c>
      <c r="AE247">
        <v>1</v>
      </c>
      <c r="AF247">
        <v>0</v>
      </c>
      <c r="AG247">
        <v>0</v>
      </c>
      <c r="AI247">
        <v>0</v>
      </c>
      <c r="AJ247">
        <v>10</v>
      </c>
      <c r="AK247">
        <v>379</v>
      </c>
      <c r="AL247">
        <v>379</v>
      </c>
      <c r="AM247">
        <v>659</v>
      </c>
      <c r="AN247">
        <v>44</v>
      </c>
      <c r="AP247">
        <v>1</v>
      </c>
      <c r="AR247" t="s">
        <v>326</v>
      </c>
      <c r="AS247" s="1">
        <v>44354.118055555555</v>
      </c>
      <c r="AT247" s="1">
        <v>44354.132337962961</v>
      </c>
      <c r="AU247" s="1">
        <v>44354.133055555554</v>
      </c>
      <c r="AV247" t="s">
        <v>71</v>
      </c>
      <c r="AW247" t="s">
        <v>72</v>
      </c>
      <c r="AX247" t="s">
        <v>73</v>
      </c>
    </row>
    <row r="248" spans="1:50" x14ac:dyDescent="0.3">
      <c r="A248" t="str">
        <f>"201014C0100"</f>
        <v>201014C0100</v>
      </c>
      <c r="B248" t="str">
        <f>"201014C01002"</f>
        <v>201014C01002</v>
      </c>
      <c r="C248" t="str">
        <f t="shared" si="6"/>
        <v>20</v>
      </c>
      <c r="D248" t="s">
        <v>67</v>
      </c>
      <c r="E248" t="str">
        <f t="shared" si="8"/>
        <v>002</v>
      </c>
      <c r="F248" t="s">
        <v>311</v>
      </c>
      <c r="G248" t="str">
        <f>"1014"</f>
        <v>1014</v>
      </c>
      <c r="H248" t="str">
        <f>"0001"</f>
        <v>0001</v>
      </c>
      <c r="I248" t="s">
        <v>75</v>
      </c>
      <c r="J248">
        <v>0</v>
      </c>
      <c r="K248">
        <v>1</v>
      </c>
      <c r="L248">
        <v>2</v>
      </c>
      <c r="M248">
        <v>340</v>
      </c>
      <c r="N248">
        <v>362</v>
      </c>
      <c r="O248">
        <v>2</v>
      </c>
      <c r="P248">
        <v>362</v>
      </c>
      <c r="Q248">
        <v>12</v>
      </c>
      <c r="R248">
        <v>42</v>
      </c>
      <c r="S248">
        <v>2</v>
      </c>
      <c r="T248">
        <v>16</v>
      </c>
      <c r="U248">
        <v>8</v>
      </c>
      <c r="V248">
        <v>14</v>
      </c>
      <c r="W248">
        <v>9</v>
      </c>
      <c r="X248">
        <v>183</v>
      </c>
      <c r="Y248">
        <v>42</v>
      </c>
      <c r="Z248">
        <v>15</v>
      </c>
      <c r="AA248">
        <v>3</v>
      </c>
      <c r="AB248">
        <v>7</v>
      </c>
      <c r="AD248">
        <v>0</v>
      </c>
      <c r="AE248">
        <v>0</v>
      </c>
      <c r="AF248">
        <v>0</v>
      </c>
      <c r="AG248">
        <v>0</v>
      </c>
      <c r="AI248">
        <v>0</v>
      </c>
      <c r="AJ248">
        <v>9</v>
      </c>
      <c r="AK248">
        <v>362</v>
      </c>
      <c r="AL248">
        <v>362</v>
      </c>
      <c r="AM248">
        <v>658</v>
      </c>
      <c r="AN248">
        <v>44</v>
      </c>
      <c r="AP248">
        <v>1</v>
      </c>
      <c r="AR248" t="s">
        <v>327</v>
      </c>
      <c r="AS248" s="1">
        <v>44354.121527777781</v>
      </c>
      <c r="AT248" s="1">
        <v>44354.135208333333</v>
      </c>
      <c r="AU248" s="1">
        <v>44354.135844907411</v>
      </c>
      <c r="AV248" t="s">
        <v>71</v>
      </c>
      <c r="AW248" t="s">
        <v>72</v>
      </c>
      <c r="AX248" t="s">
        <v>73</v>
      </c>
    </row>
    <row r="249" spans="1:50" x14ac:dyDescent="0.3">
      <c r="A249" t="str">
        <f>"201015B0000"</f>
        <v>201015B0000</v>
      </c>
      <c r="B249" t="str">
        <f>"201015B00002"</f>
        <v>201015B00002</v>
      </c>
      <c r="C249" t="str">
        <f t="shared" si="6"/>
        <v>20</v>
      </c>
      <c r="D249" t="s">
        <v>67</v>
      </c>
      <c r="E249" t="str">
        <f t="shared" si="8"/>
        <v>002</v>
      </c>
      <c r="F249" t="s">
        <v>311</v>
      </c>
      <c r="G249" t="str">
        <f>"1015"</f>
        <v>1015</v>
      </c>
      <c r="H249" t="str">
        <f>"0000"</f>
        <v>0000</v>
      </c>
      <c r="I249" t="s">
        <v>69</v>
      </c>
      <c r="J249">
        <v>0</v>
      </c>
      <c r="K249">
        <v>1</v>
      </c>
      <c r="L249">
        <v>2</v>
      </c>
      <c r="M249">
        <v>354</v>
      </c>
      <c r="N249">
        <v>397</v>
      </c>
      <c r="O249">
        <v>7</v>
      </c>
      <c r="P249">
        <v>397</v>
      </c>
      <c r="Q249">
        <v>20</v>
      </c>
      <c r="R249">
        <v>50</v>
      </c>
      <c r="S249">
        <v>1</v>
      </c>
      <c r="T249">
        <v>14</v>
      </c>
      <c r="U249">
        <v>4</v>
      </c>
      <c r="V249">
        <v>22</v>
      </c>
      <c r="W249">
        <v>5</v>
      </c>
      <c r="X249">
        <v>185</v>
      </c>
      <c r="Y249">
        <v>45</v>
      </c>
      <c r="Z249">
        <v>24</v>
      </c>
      <c r="AA249">
        <v>3</v>
      </c>
      <c r="AB249">
        <v>13</v>
      </c>
      <c r="AD249">
        <v>1</v>
      </c>
      <c r="AE249">
        <v>1</v>
      </c>
      <c r="AF249">
        <v>0</v>
      </c>
      <c r="AG249">
        <v>0</v>
      </c>
      <c r="AI249">
        <v>0</v>
      </c>
      <c r="AJ249">
        <v>9</v>
      </c>
      <c r="AK249">
        <v>397</v>
      </c>
      <c r="AL249">
        <v>397</v>
      </c>
      <c r="AM249">
        <v>709</v>
      </c>
      <c r="AN249">
        <v>44</v>
      </c>
      <c r="AP249">
        <v>1</v>
      </c>
      <c r="AR249" t="s">
        <v>328</v>
      </c>
      <c r="AS249" s="1">
        <v>44354.154166666667</v>
      </c>
      <c r="AT249" s="1">
        <v>44354.176203703704</v>
      </c>
      <c r="AU249" s="1">
        <v>44354.176747685182</v>
      </c>
      <c r="AV249" t="s">
        <v>71</v>
      </c>
      <c r="AW249" t="s">
        <v>72</v>
      </c>
      <c r="AX249" t="s">
        <v>73</v>
      </c>
    </row>
    <row r="250" spans="1:50" x14ac:dyDescent="0.3">
      <c r="A250" t="str">
        <f>"201015C0100"</f>
        <v>201015C0100</v>
      </c>
      <c r="B250" t="str">
        <f>"201015C01002"</f>
        <v>201015C01002</v>
      </c>
      <c r="C250" t="str">
        <f t="shared" si="6"/>
        <v>20</v>
      </c>
      <c r="D250" t="s">
        <v>67</v>
      </c>
      <c r="E250" t="str">
        <f t="shared" si="8"/>
        <v>002</v>
      </c>
      <c r="F250" t="s">
        <v>311</v>
      </c>
      <c r="G250" t="str">
        <f>"1015"</f>
        <v>1015</v>
      </c>
      <c r="H250" t="str">
        <f>"0001"</f>
        <v>0001</v>
      </c>
      <c r="I250" t="s">
        <v>75</v>
      </c>
      <c r="J250">
        <v>0</v>
      </c>
      <c r="K250">
        <v>1</v>
      </c>
      <c r="L250">
        <v>2</v>
      </c>
      <c r="M250">
        <v>330</v>
      </c>
      <c r="N250">
        <v>422</v>
      </c>
      <c r="O250">
        <v>6</v>
      </c>
      <c r="P250" t="s">
        <v>80</v>
      </c>
      <c r="Q250">
        <v>9</v>
      </c>
      <c r="R250">
        <v>44</v>
      </c>
      <c r="S250">
        <v>5</v>
      </c>
      <c r="T250">
        <v>17</v>
      </c>
      <c r="U250">
        <v>6</v>
      </c>
      <c r="V250">
        <v>28</v>
      </c>
      <c r="W250">
        <v>6</v>
      </c>
      <c r="X250">
        <v>175</v>
      </c>
      <c r="Y250">
        <v>6</v>
      </c>
      <c r="Z250">
        <v>30</v>
      </c>
      <c r="AA250">
        <v>2</v>
      </c>
      <c r="AB250">
        <v>22</v>
      </c>
      <c r="AD250" t="s">
        <v>77</v>
      </c>
      <c r="AE250" t="s">
        <v>77</v>
      </c>
      <c r="AF250" t="s">
        <v>77</v>
      </c>
      <c r="AG250" t="s">
        <v>77</v>
      </c>
      <c r="AI250">
        <v>6</v>
      </c>
      <c r="AJ250">
        <v>13</v>
      </c>
      <c r="AK250">
        <v>422</v>
      </c>
      <c r="AL250">
        <v>369</v>
      </c>
      <c r="AM250">
        <v>709</v>
      </c>
      <c r="AN250">
        <v>44</v>
      </c>
      <c r="AO250" t="s">
        <v>78</v>
      </c>
      <c r="AP250">
        <v>1</v>
      </c>
      <c r="AR250" s="2" t="s">
        <v>329</v>
      </c>
      <c r="AS250" s="1">
        <v>44354.154166666667</v>
      </c>
      <c r="AT250" s="1">
        <v>44354.177766203706</v>
      </c>
      <c r="AU250" s="1">
        <v>44354.179594907408</v>
      </c>
      <c r="AV250" t="s">
        <v>71</v>
      </c>
      <c r="AW250" t="s">
        <v>72</v>
      </c>
      <c r="AX250" t="s">
        <v>73</v>
      </c>
    </row>
    <row r="251" spans="1:50" x14ac:dyDescent="0.3">
      <c r="A251" t="str">
        <f>"201016B0000"</f>
        <v>201016B0000</v>
      </c>
      <c r="B251" t="str">
        <f>"201016B00002"</f>
        <v>201016B00002</v>
      </c>
      <c r="C251" t="str">
        <f t="shared" si="6"/>
        <v>20</v>
      </c>
      <c r="D251" t="s">
        <v>67</v>
      </c>
      <c r="E251" t="str">
        <f t="shared" si="8"/>
        <v>002</v>
      </c>
      <c r="F251" t="s">
        <v>311</v>
      </c>
      <c r="G251" t="str">
        <f>"1016"</f>
        <v>1016</v>
      </c>
      <c r="H251" t="str">
        <f>"0000"</f>
        <v>0000</v>
      </c>
      <c r="I251" t="s">
        <v>69</v>
      </c>
      <c r="J251">
        <v>0</v>
      </c>
      <c r="K251">
        <v>1</v>
      </c>
      <c r="L251">
        <v>2</v>
      </c>
      <c r="M251">
        <v>252</v>
      </c>
      <c r="N251">
        <v>327</v>
      </c>
      <c r="O251">
        <v>5</v>
      </c>
      <c r="P251">
        <v>327</v>
      </c>
      <c r="Q251">
        <v>11</v>
      </c>
      <c r="R251">
        <v>35</v>
      </c>
      <c r="S251">
        <v>1</v>
      </c>
      <c r="T251">
        <v>0</v>
      </c>
      <c r="U251">
        <v>2</v>
      </c>
      <c r="V251">
        <v>11</v>
      </c>
      <c r="W251">
        <v>6</v>
      </c>
      <c r="X251">
        <v>155</v>
      </c>
      <c r="Y251">
        <v>57</v>
      </c>
      <c r="Z251">
        <v>15</v>
      </c>
      <c r="AA251">
        <v>1</v>
      </c>
      <c r="AB251">
        <v>7</v>
      </c>
      <c r="AD251">
        <v>0</v>
      </c>
      <c r="AE251">
        <v>0</v>
      </c>
      <c r="AF251">
        <v>0</v>
      </c>
      <c r="AG251">
        <v>0</v>
      </c>
      <c r="AI251">
        <v>0</v>
      </c>
      <c r="AJ251">
        <v>12</v>
      </c>
      <c r="AK251">
        <v>327</v>
      </c>
      <c r="AL251">
        <v>313</v>
      </c>
      <c r="AM251">
        <v>535</v>
      </c>
      <c r="AN251">
        <v>44</v>
      </c>
      <c r="AP251">
        <v>1</v>
      </c>
      <c r="AR251" t="s">
        <v>330</v>
      </c>
      <c r="AS251" s="1">
        <v>44354.120138888888</v>
      </c>
      <c r="AT251" s="1">
        <v>44354.134432870371</v>
      </c>
      <c r="AU251" s="1">
        <v>44354.134722222225</v>
      </c>
      <c r="AV251" t="s">
        <v>71</v>
      </c>
      <c r="AW251" t="s">
        <v>72</v>
      </c>
      <c r="AX251" t="s">
        <v>73</v>
      </c>
    </row>
    <row r="252" spans="1:50" x14ac:dyDescent="0.3">
      <c r="A252" t="str">
        <f>"201016C0100"</f>
        <v>201016C0100</v>
      </c>
      <c r="B252" t="str">
        <f>"201016C01002"</f>
        <v>201016C01002</v>
      </c>
      <c r="C252" t="str">
        <f t="shared" si="6"/>
        <v>20</v>
      </c>
      <c r="D252" t="s">
        <v>67</v>
      </c>
      <c r="E252" t="str">
        <f t="shared" si="8"/>
        <v>002</v>
      </c>
      <c r="F252" t="s">
        <v>311</v>
      </c>
      <c r="G252" t="str">
        <f>"1016"</f>
        <v>1016</v>
      </c>
      <c r="H252" t="str">
        <f>"0001"</f>
        <v>0001</v>
      </c>
      <c r="I252" t="s">
        <v>75</v>
      </c>
      <c r="J252">
        <v>0</v>
      </c>
      <c r="K252">
        <v>1</v>
      </c>
      <c r="L252">
        <v>2</v>
      </c>
      <c r="M252" t="s">
        <v>99</v>
      </c>
      <c r="N252" t="s">
        <v>99</v>
      </c>
      <c r="O252">
        <v>4</v>
      </c>
      <c r="P252" t="s">
        <v>99</v>
      </c>
      <c r="Q252">
        <v>15</v>
      </c>
      <c r="R252">
        <v>31</v>
      </c>
      <c r="S252">
        <v>0</v>
      </c>
      <c r="T252">
        <v>14</v>
      </c>
      <c r="U252" t="s">
        <v>99</v>
      </c>
      <c r="V252" t="s">
        <v>99</v>
      </c>
      <c r="W252" t="s">
        <v>99</v>
      </c>
      <c r="X252">
        <v>120</v>
      </c>
      <c r="Y252">
        <v>62</v>
      </c>
      <c r="Z252">
        <v>13</v>
      </c>
      <c r="AA252">
        <v>1</v>
      </c>
      <c r="AB252">
        <v>13</v>
      </c>
      <c r="AD252" t="s">
        <v>99</v>
      </c>
      <c r="AE252">
        <v>0</v>
      </c>
      <c r="AF252">
        <v>0</v>
      </c>
      <c r="AG252">
        <v>0</v>
      </c>
      <c r="AI252">
        <v>0</v>
      </c>
      <c r="AJ252" t="s">
        <v>99</v>
      </c>
      <c r="AK252">
        <v>303</v>
      </c>
      <c r="AL252">
        <v>269</v>
      </c>
      <c r="AM252">
        <v>534</v>
      </c>
      <c r="AN252">
        <v>44</v>
      </c>
      <c r="AO252" t="s">
        <v>78</v>
      </c>
      <c r="AP252">
        <v>1</v>
      </c>
      <c r="AR252" t="s">
        <v>331</v>
      </c>
      <c r="AS252" s="1">
        <v>44354.258333333331</v>
      </c>
      <c r="AT252" s="1">
        <v>44354.296180555553</v>
      </c>
      <c r="AU252" s="1">
        <v>44354.296527777777</v>
      </c>
      <c r="AV252" t="s">
        <v>71</v>
      </c>
      <c r="AW252" t="s">
        <v>72</v>
      </c>
      <c r="AX252" t="s">
        <v>73</v>
      </c>
    </row>
    <row r="253" spans="1:50" x14ac:dyDescent="0.3">
      <c r="A253" t="str">
        <f>"201017B0000"</f>
        <v>201017B0000</v>
      </c>
      <c r="B253" t="str">
        <f>"201017B00002"</f>
        <v>201017B00002</v>
      </c>
      <c r="C253" t="str">
        <f t="shared" si="6"/>
        <v>20</v>
      </c>
      <c r="D253" t="s">
        <v>67</v>
      </c>
      <c r="E253" t="str">
        <f t="shared" si="8"/>
        <v>002</v>
      </c>
      <c r="F253" t="s">
        <v>311</v>
      </c>
      <c r="G253" t="str">
        <f>"1017"</f>
        <v>1017</v>
      </c>
      <c r="H253" t="str">
        <f>"0000"</f>
        <v>0000</v>
      </c>
      <c r="I253" t="s">
        <v>69</v>
      </c>
      <c r="J253">
        <v>0</v>
      </c>
      <c r="K253">
        <v>1</v>
      </c>
      <c r="L253">
        <v>2</v>
      </c>
      <c r="M253">
        <v>326</v>
      </c>
      <c r="N253">
        <v>407</v>
      </c>
      <c r="O253">
        <v>4</v>
      </c>
      <c r="P253">
        <v>404</v>
      </c>
      <c r="Q253">
        <v>18</v>
      </c>
      <c r="R253">
        <v>37</v>
      </c>
      <c r="S253" t="s">
        <v>77</v>
      </c>
      <c r="T253">
        <v>10</v>
      </c>
      <c r="U253">
        <v>3</v>
      </c>
      <c r="V253">
        <v>17</v>
      </c>
      <c r="W253">
        <v>3</v>
      </c>
      <c r="X253">
        <v>214</v>
      </c>
      <c r="Y253">
        <v>64</v>
      </c>
      <c r="Z253">
        <v>6</v>
      </c>
      <c r="AA253" t="s">
        <v>77</v>
      </c>
      <c r="AB253">
        <v>18</v>
      </c>
      <c r="AD253">
        <v>1</v>
      </c>
      <c r="AE253">
        <v>1</v>
      </c>
      <c r="AF253" t="s">
        <v>77</v>
      </c>
      <c r="AG253" t="s">
        <v>77</v>
      </c>
      <c r="AI253" t="s">
        <v>77</v>
      </c>
      <c r="AJ253">
        <v>12</v>
      </c>
      <c r="AK253">
        <v>404</v>
      </c>
      <c r="AL253">
        <v>404</v>
      </c>
      <c r="AM253">
        <v>689</v>
      </c>
      <c r="AN253">
        <v>44</v>
      </c>
      <c r="AO253" t="s">
        <v>78</v>
      </c>
      <c r="AP253">
        <v>1</v>
      </c>
      <c r="AR253" t="s">
        <v>332</v>
      </c>
      <c r="AS253" s="1">
        <v>44354.12222222222</v>
      </c>
      <c r="AT253" s="1">
        <v>44354.137777777774</v>
      </c>
      <c r="AU253" s="1">
        <v>44354.138194444444</v>
      </c>
      <c r="AV253" t="s">
        <v>71</v>
      </c>
      <c r="AW253" t="s">
        <v>72</v>
      </c>
      <c r="AX253" t="s">
        <v>73</v>
      </c>
    </row>
    <row r="254" spans="1:50" x14ac:dyDescent="0.3">
      <c r="A254" t="str">
        <f>"201017C0100"</f>
        <v>201017C0100</v>
      </c>
      <c r="B254" t="str">
        <f>"201017C01002"</f>
        <v>201017C01002</v>
      </c>
      <c r="C254" t="str">
        <f t="shared" si="6"/>
        <v>20</v>
      </c>
      <c r="D254" t="s">
        <v>67</v>
      </c>
      <c r="E254" t="str">
        <f t="shared" si="8"/>
        <v>002</v>
      </c>
      <c r="F254" t="s">
        <v>311</v>
      </c>
      <c r="G254" t="str">
        <f>"1017"</f>
        <v>1017</v>
      </c>
      <c r="H254" t="str">
        <f>"0001"</f>
        <v>0001</v>
      </c>
      <c r="I254" t="s">
        <v>75</v>
      </c>
      <c r="J254">
        <v>0</v>
      </c>
      <c r="K254">
        <v>1</v>
      </c>
      <c r="L254">
        <v>2</v>
      </c>
      <c r="M254">
        <v>347</v>
      </c>
      <c r="N254">
        <v>386</v>
      </c>
      <c r="O254">
        <v>5</v>
      </c>
      <c r="P254">
        <v>385</v>
      </c>
      <c r="Q254">
        <v>17</v>
      </c>
      <c r="R254">
        <v>39</v>
      </c>
      <c r="S254">
        <v>1</v>
      </c>
      <c r="T254">
        <v>12</v>
      </c>
      <c r="U254">
        <v>3</v>
      </c>
      <c r="V254">
        <v>24</v>
      </c>
      <c r="W254">
        <v>3</v>
      </c>
      <c r="X254">
        <v>194</v>
      </c>
      <c r="Y254">
        <v>52</v>
      </c>
      <c r="Z254">
        <v>5</v>
      </c>
      <c r="AA254">
        <v>1</v>
      </c>
      <c r="AB254">
        <v>17</v>
      </c>
      <c r="AD254">
        <v>1</v>
      </c>
      <c r="AE254">
        <v>2</v>
      </c>
      <c r="AF254">
        <v>0</v>
      </c>
      <c r="AG254">
        <v>0</v>
      </c>
      <c r="AI254">
        <v>0</v>
      </c>
      <c r="AJ254">
        <v>14</v>
      </c>
      <c r="AK254">
        <v>385</v>
      </c>
      <c r="AL254">
        <v>385</v>
      </c>
      <c r="AM254">
        <v>689</v>
      </c>
      <c r="AN254">
        <v>44</v>
      </c>
      <c r="AP254">
        <v>1</v>
      </c>
      <c r="AR254" t="s">
        <v>333</v>
      </c>
      <c r="AS254" s="1">
        <v>44354.121527777781</v>
      </c>
      <c r="AT254" s="1">
        <v>44354.136307870373</v>
      </c>
      <c r="AU254" s="1">
        <v>44354.136944444443</v>
      </c>
      <c r="AV254" t="s">
        <v>71</v>
      </c>
      <c r="AW254" t="s">
        <v>72</v>
      </c>
      <c r="AX254" t="s">
        <v>73</v>
      </c>
    </row>
    <row r="255" spans="1:50" x14ac:dyDescent="0.3">
      <c r="A255" t="str">
        <f>"201018B0000"</f>
        <v>201018B0000</v>
      </c>
      <c r="B255" t="str">
        <f>"201018B00002"</f>
        <v>201018B00002</v>
      </c>
      <c r="C255" t="str">
        <f t="shared" si="6"/>
        <v>20</v>
      </c>
      <c r="D255" t="s">
        <v>67</v>
      </c>
      <c r="E255" t="str">
        <f t="shared" si="8"/>
        <v>002</v>
      </c>
      <c r="F255" t="s">
        <v>311</v>
      </c>
      <c r="G255" t="str">
        <f t="shared" ref="G255:G261" si="10">"1018"</f>
        <v>1018</v>
      </c>
      <c r="H255" t="str">
        <f>"0000"</f>
        <v>0000</v>
      </c>
      <c r="I255" t="s">
        <v>69</v>
      </c>
      <c r="J255">
        <v>0</v>
      </c>
      <c r="K255">
        <v>1</v>
      </c>
      <c r="L255">
        <v>2</v>
      </c>
      <c r="M255">
        <v>311</v>
      </c>
      <c r="N255">
        <v>686</v>
      </c>
      <c r="O255">
        <v>8</v>
      </c>
      <c r="P255" t="s">
        <v>80</v>
      </c>
      <c r="Q255">
        <v>11</v>
      </c>
      <c r="R255">
        <v>29</v>
      </c>
      <c r="S255">
        <v>1</v>
      </c>
      <c r="T255">
        <v>28</v>
      </c>
      <c r="U255">
        <v>7</v>
      </c>
      <c r="V255">
        <v>26</v>
      </c>
      <c r="W255">
        <v>6</v>
      </c>
      <c r="X255">
        <v>188</v>
      </c>
      <c r="Y255">
        <v>28</v>
      </c>
      <c r="Z255">
        <v>2</v>
      </c>
      <c r="AA255">
        <v>0</v>
      </c>
      <c r="AB255">
        <v>28</v>
      </c>
      <c r="AD255">
        <v>0</v>
      </c>
      <c r="AE255">
        <v>2</v>
      </c>
      <c r="AF255">
        <v>0</v>
      </c>
      <c r="AG255">
        <v>0</v>
      </c>
      <c r="AI255">
        <v>0</v>
      </c>
      <c r="AJ255">
        <v>16</v>
      </c>
      <c r="AK255">
        <v>372</v>
      </c>
      <c r="AL255">
        <v>372</v>
      </c>
      <c r="AM255">
        <v>642</v>
      </c>
      <c r="AN255">
        <v>44</v>
      </c>
      <c r="AP255">
        <v>1</v>
      </c>
      <c r="AR255" t="s">
        <v>334</v>
      </c>
      <c r="AS255" s="1">
        <v>44354.038888888892</v>
      </c>
      <c r="AT255" s="1">
        <v>44354.069351851853</v>
      </c>
      <c r="AU255" s="1">
        <v>44354.070231481484</v>
      </c>
      <c r="AV255" t="s">
        <v>71</v>
      </c>
      <c r="AW255" t="s">
        <v>72</v>
      </c>
      <c r="AX255" t="s">
        <v>73</v>
      </c>
    </row>
    <row r="256" spans="1:50" x14ac:dyDescent="0.3">
      <c r="A256" t="str">
        <f>"201018C0100"</f>
        <v>201018C0100</v>
      </c>
      <c r="B256" t="str">
        <f>"201018C01002"</f>
        <v>201018C01002</v>
      </c>
      <c r="C256" t="str">
        <f t="shared" si="6"/>
        <v>20</v>
      </c>
      <c r="D256" t="s">
        <v>67</v>
      </c>
      <c r="E256" t="str">
        <f t="shared" si="8"/>
        <v>002</v>
      </c>
      <c r="F256" t="s">
        <v>311</v>
      </c>
      <c r="G256" t="str">
        <f t="shared" si="10"/>
        <v>1018</v>
      </c>
      <c r="H256" t="str">
        <f>"0001"</f>
        <v>0001</v>
      </c>
      <c r="I256" t="s">
        <v>75</v>
      </c>
      <c r="J256">
        <v>0</v>
      </c>
      <c r="K256">
        <v>1</v>
      </c>
      <c r="L256">
        <v>2</v>
      </c>
      <c r="M256">
        <v>301</v>
      </c>
      <c r="N256">
        <v>386</v>
      </c>
      <c r="O256">
        <v>5</v>
      </c>
      <c r="P256">
        <v>384</v>
      </c>
      <c r="Q256">
        <v>5</v>
      </c>
      <c r="R256">
        <v>32</v>
      </c>
      <c r="S256">
        <v>3</v>
      </c>
      <c r="T256">
        <v>32</v>
      </c>
      <c r="U256">
        <v>11</v>
      </c>
      <c r="V256">
        <v>33</v>
      </c>
      <c r="W256">
        <v>5</v>
      </c>
      <c r="X256">
        <v>191</v>
      </c>
      <c r="Y256">
        <v>34</v>
      </c>
      <c r="Z256">
        <v>10</v>
      </c>
      <c r="AA256">
        <v>1</v>
      </c>
      <c r="AB256">
        <v>18</v>
      </c>
      <c r="AD256">
        <v>0</v>
      </c>
      <c r="AE256">
        <v>0</v>
      </c>
      <c r="AF256">
        <v>0</v>
      </c>
      <c r="AG256">
        <v>0</v>
      </c>
      <c r="AI256">
        <v>0</v>
      </c>
      <c r="AJ256">
        <v>9</v>
      </c>
      <c r="AK256">
        <v>384</v>
      </c>
      <c r="AL256">
        <v>384</v>
      </c>
      <c r="AM256">
        <v>642</v>
      </c>
      <c r="AN256">
        <v>44</v>
      </c>
      <c r="AP256">
        <v>1</v>
      </c>
      <c r="AR256" t="s">
        <v>335</v>
      </c>
      <c r="AS256" s="1">
        <v>44354.038194444445</v>
      </c>
      <c r="AT256" s="1">
        <v>44354.067199074074</v>
      </c>
      <c r="AU256" s="1">
        <v>44354.06790509259</v>
      </c>
      <c r="AV256" t="s">
        <v>71</v>
      </c>
      <c r="AW256" t="s">
        <v>72</v>
      </c>
      <c r="AX256" t="s">
        <v>73</v>
      </c>
    </row>
    <row r="257" spans="1:50" x14ac:dyDescent="0.3">
      <c r="A257" t="str">
        <f>"201018C0200"</f>
        <v>201018C0200</v>
      </c>
      <c r="B257" t="str">
        <f>"201018C02002"</f>
        <v>201018C02002</v>
      </c>
      <c r="C257" t="str">
        <f t="shared" si="6"/>
        <v>20</v>
      </c>
      <c r="D257" t="s">
        <v>67</v>
      </c>
      <c r="E257" t="str">
        <f t="shared" si="8"/>
        <v>002</v>
      </c>
      <c r="F257" t="s">
        <v>311</v>
      </c>
      <c r="G257" t="str">
        <f t="shared" si="10"/>
        <v>1018</v>
      </c>
      <c r="H257" t="str">
        <f>"0002"</f>
        <v>0002</v>
      </c>
      <c r="I257" t="s">
        <v>75</v>
      </c>
      <c r="J257">
        <v>0</v>
      </c>
      <c r="K257">
        <v>1</v>
      </c>
      <c r="L257">
        <v>2</v>
      </c>
      <c r="M257">
        <v>311</v>
      </c>
      <c r="N257">
        <v>400</v>
      </c>
      <c r="O257">
        <v>3</v>
      </c>
      <c r="P257">
        <v>371</v>
      </c>
      <c r="Q257">
        <v>8</v>
      </c>
      <c r="R257">
        <v>18</v>
      </c>
      <c r="S257">
        <v>1</v>
      </c>
      <c r="T257">
        <v>35</v>
      </c>
      <c r="U257">
        <v>10</v>
      </c>
      <c r="V257">
        <v>32</v>
      </c>
      <c r="W257">
        <v>5</v>
      </c>
      <c r="X257">
        <v>187</v>
      </c>
      <c r="Y257">
        <v>36</v>
      </c>
      <c r="Z257">
        <v>5</v>
      </c>
      <c r="AA257">
        <v>3</v>
      </c>
      <c r="AB257">
        <v>14</v>
      </c>
      <c r="AD257">
        <v>1</v>
      </c>
      <c r="AE257">
        <v>2</v>
      </c>
      <c r="AF257">
        <v>0</v>
      </c>
      <c r="AG257">
        <v>0</v>
      </c>
      <c r="AI257">
        <v>0</v>
      </c>
      <c r="AJ257">
        <v>14</v>
      </c>
      <c r="AK257">
        <v>371</v>
      </c>
      <c r="AL257">
        <v>371</v>
      </c>
      <c r="AM257">
        <v>641</v>
      </c>
      <c r="AN257">
        <v>44</v>
      </c>
      <c r="AP257">
        <v>1</v>
      </c>
      <c r="AR257" t="s">
        <v>336</v>
      </c>
      <c r="AS257" s="1">
        <v>44354.036111111112</v>
      </c>
      <c r="AT257" s="1">
        <v>44354.065567129626</v>
      </c>
      <c r="AU257" s="1">
        <v>44354.066134259258</v>
      </c>
      <c r="AV257" t="s">
        <v>71</v>
      </c>
      <c r="AW257" t="s">
        <v>72</v>
      </c>
      <c r="AX257" t="s">
        <v>73</v>
      </c>
    </row>
    <row r="258" spans="1:50" x14ac:dyDescent="0.3">
      <c r="A258" t="str">
        <f>"201018C0300"</f>
        <v>201018C0300</v>
      </c>
      <c r="B258" t="str">
        <f>"201018C03002"</f>
        <v>201018C03002</v>
      </c>
      <c r="C258" t="str">
        <f t="shared" si="6"/>
        <v>20</v>
      </c>
      <c r="D258" t="s">
        <v>67</v>
      </c>
      <c r="E258" t="str">
        <f t="shared" si="8"/>
        <v>002</v>
      </c>
      <c r="F258" t="s">
        <v>311</v>
      </c>
      <c r="G258" t="str">
        <f t="shared" si="10"/>
        <v>1018</v>
      </c>
      <c r="H258" t="str">
        <f>"0003"</f>
        <v>0003</v>
      </c>
      <c r="I258" t="s">
        <v>75</v>
      </c>
      <c r="J258">
        <v>0</v>
      </c>
      <c r="K258">
        <v>1</v>
      </c>
      <c r="L258">
        <v>2</v>
      </c>
      <c r="M258">
        <v>308</v>
      </c>
      <c r="N258">
        <v>377</v>
      </c>
      <c r="O258">
        <v>5</v>
      </c>
      <c r="P258">
        <v>382</v>
      </c>
      <c r="Q258">
        <v>6</v>
      </c>
      <c r="R258">
        <v>18</v>
      </c>
      <c r="S258">
        <v>1</v>
      </c>
      <c r="T258">
        <v>24</v>
      </c>
      <c r="U258">
        <v>8</v>
      </c>
      <c r="V258">
        <v>36</v>
      </c>
      <c r="W258">
        <v>2</v>
      </c>
      <c r="X258">
        <v>208</v>
      </c>
      <c r="Y258">
        <v>39</v>
      </c>
      <c r="Z258">
        <v>9</v>
      </c>
      <c r="AA258">
        <v>4</v>
      </c>
      <c r="AB258">
        <v>22</v>
      </c>
      <c r="AD258">
        <v>0</v>
      </c>
      <c r="AE258">
        <v>0</v>
      </c>
      <c r="AF258">
        <v>0</v>
      </c>
      <c r="AG258">
        <v>0</v>
      </c>
      <c r="AI258">
        <v>0</v>
      </c>
      <c r="AJ258">
        <v>5</v>
      </c>
      <c r="AK258">
        <v>382</v>
      </c>
      <c r="AL258">
        <v>382</v>
      </c>
      <c r="AM258">
        <v>641</v>
      </c>
      <c r="AN258">
        <v>44</v>
      </c>
      <c r="AP258">
        <v>1</v>
      </c>
      <c r="AR258" t="s">
        <v>337</v>
      </c>
      <c r="AS258" s="1">
        <v>44354.038888888892</v>
      </c>
      <c r="AT258" s="1">
        <v>44354.068611111114</v>
      </c>
      <c r="AU258" s="1">
        <v>44354.069340277776</v>
      </c>
      <c r="AV258" t="s">
        <v>71</v>
      </c>
      <c r="AW258" t="s">
        <v>72</v>
      </c>
      <c r="AX258" t="s">
        <v>73</v>
      </c>
    </row>
    <row r="259" spans="1:50" x14ac:dyDescent="0.3">
      <c r="A259" t="str">
        <f>"201018C0400"</f>
        <v>201018C0400</v>
      </c>
      <c r="B259" t="str">
        <f>"201018C04002"</f>
        <v>201018C04002</v>
      </c>
      <c r="C259" t="str">
        <f t="shared" si="6"/>
        <v>20</v>
      </c>
      <c r="D259" t="s">
        <v>67</v>
      </c>
      <c r="E259" t="str">
        <f t="shared" si="8"/>
        <v>002</v>
      </c>
      <c r="F259" t="s">
        <v>311</v>
      </c>
      <c r="G259" t="str">
        <f t="shared" si="10"/>
        <v>1018</v>
      </c>
      <c r="H259" t="str">
        <f>"0004"</f>
        <v>0004</v>
      </c>
      <c r="I259" t="s">
        <v>75</v>
      </c>
      <c r="J259">
        <v>0</v>
      </c>
      <c r="K259">
        <v>1</v>
      </c>
      <c r="L259">
        <v>2</v>
      </c>
      <c r="M259">
        <v>334</v>
      </c>
      <c r="N259">
        <v>350</v>
      </c>
      <c r="O259">
        <v>5</v>
      </c>
      <c r="P259">
        <v>350</v>
      </c>
      <c r="Q259">
        <v>5</v>
      </c>
      <c r="R259">
        <v>33</v>
      </c>
      <c r="S259">
        <v>1</v>
      </c>
      <c r="T259">
        <v>15</v>
      </c>
      <c r="U259">
        <v>5</v>
      </c>
      <c r="V259">
        <v>31</v>
      </c>
      <c r="W259">
        <v>4</v>
      </c>
      <c r="X259">
        <v>203</v>
      </c>
      <c r="Y259">
        <v>19</v>
      </c>
      <c r="Z259">
        <v>7</v>
      </c>
      <c r="AA259">
        <v>3</v>
      </c>
      <c r="AB259">
        <v>17</v>
      </c>
      <c r="AD259">
        <v>0</v>
      </c>
      <c r="AE259">
        <v>2</v>
      </c>
      <c r="AF259">
        <v>1</v>
      </c>
      <c r="AG259">
        <v>0</v>
      </c>
      <c r="AI259">
        <v>0</v>
      </c>
      <c r="AJ259">
        <v>4</v>
      </c>
      <c r="AK259">
        <v>350</v>
      </c>
      <c r="AL259">
        <v>350</v>
      </c>
      <c r="AM259">
        <v>641</v>
      </c>
      <c r="AN259">
        <v>44</v>
      </c>
      <c r="AP259">
        <v>1</v>
      </c>
      <c r="AR259" t="s">
        <v>338</v>
      </c>
      <c r="AS259" s="1">
        <v>44354.038194444445</v>
      </c>
      <c r="AT259" s="1">
        <v>44354.067731481482</v>
      </c>
      <c r="AU259" s="1">
        <v>44354.068935185183</v>
      </c>
      <c r="AV259" t="s">
        <v>71</v>
      </c>
      <c r="AW259" t="s">
        <v>72</v>
      </c>
      <c r="AX259" t="s">
        <v>73</v>
      </c>
    </row>
    <row r="260" spans="1:50" x14ac:dyDescent="0.3">
      <c r="A260" t="str">
        <f>"201018E0100"</f>
        <v>201018E0100</v>
      </c>
      <c r="B260" t="str">
        <f>"201018E01002"</f>
        <v>201018E01002</v>
      </c>
      <c r="C260" t="str">
        <f t="shared" si="6"/>
        <v>20</v>
      </c>
      <c r="D260" t="s">
        <v>67</v>
      </c>
      <c r="E260" t="str">
        <f t="shared" si="8"/>
        <v>002</v>
      </c>
      <c r="F260" t="s">
        <v>311</v>
      </c>
      <c r="G260" t="str">
        <f t="shared" si="10"/>
        <v>1018</v>
      </c>
      <c r="H260" t="str">
        <f>"0001"</f>
        <v>0001</v>
      </c>
      <c r="I260" t="s">
        <v>109</v>
      </c>
      <c r="J260">
        <v>0</v>
      </c>
      <c r="K260">
        <v>1</v>
      </c>
      <c r="L260">
        <v>2</v>
      </c>
      <c r="M260">
        <v>217</v>
      </c>
      <c r="N260">
        <v>254</v>
      </c>
      <c r="O260">
        <v>2</v>
      </c>
      <c r="P260">
        <v>254</v>
      </c>
      <c r="Q260">
        <v>2</v>
      </c>
      <c r="R260">
        <v>15</v>
      </c>
      <c r="S260">
        <v>1</v>
      </c>
      <c r="T260">
        <v>3</v>
      </c>
      <c r="U260">
        <v>3</v>
      </c>
      <c r="V260">
        <v>23</v>
      </c>
      <c r="W260">
        <v>5</v>
      </c>
      <c r="X260">
        <v>143</v>
      </c>
      <c r="Y260">
        <v>33</v>
      </c>
      <c r="Z260">
        <v>7</v>
      </c>
      <c r="AA260">
        <v>2</v>
      </c>
      <c r="AB260">
        <v>10</v>
      </c>
      <c r="AD260">
        <v>0</v>
      </c>
      <c r="AE260">
        <v>2</v>
      </c>
      <c r="AF260">
        <v>0</v>
      </c>
      <c r="AG260">
        <v>0</v>
      </c>
      <c r="AI260">
        <v>0</v>
      </c>
      <c r="AJ260">
        <v>5</v>
      </c>
      <c r="AK260">
        <v>254</v>
      </c>
      <c r="AL260">
        <v>254</v>
      </c>
      <c r="AM260">
        <v>428</v>
      </c>
      <c r="AN260">
        <v>44</v>
      </c>
      <c r="AP260">
        <v>1</v>
      </c>
      <c r="AR260" t="s">
        <v>339</v>
      </c>
      <c r="AS260" s="1">
        <v>44354.169444444444</v>
      </c>
      <c r="AT260" s="1">
        <v>44354.203182870369</v>
      </c>
      <c r="AU260" s="1">
        <v>44354.203668981485</v>
      </c>
      <c r="AV260" t="s">
        <v>71</v>
      </c>
      <c r="AW260" t="s">
        <v>72</v>
      </c>
      <c r="AX260" t="s">
        <v>73</v>
      </c>
    </row>
    <row r="261" spans="1:50" x14ac:dyDescent="0.3">
      <c r="A261" t="str">
        <f>"201018E0101"</f>
        <v>201018E0101</v>
      </c>
      <c r="B261" t="str">
        <f>"201018E01012"</f>
        <v>201018E01012</v>
      </c>
      <c r="C261" t="str">
        <f t="shared" si="6"/>
        <v>20</v>
      </c>
      <c r="D261" t="s">
        <v>67</v>
      </c>
      <c r="E261" t="str">
        <f t="shared" si="8"/>
        <v>002</v>
      </c>
      <c r="F261" t="s">
        <v>311</v>
      </c>
      <c r="G261" t="str">
        <f t="shared" si="10"/>
        <v>1018</v>
      </c>
      <c r="H261" t="str">
        <f>"0001"</f>
        <v>0001</v>
      </c>
      <c r="I261" t="s">
        <v>109</v>
      </c>
      <c r="J261">
        <v>1</v>
      </c>
      <c r="K261">
        <v>1</v>
      </c>
      <c r="L261">
        <v>2</v>
      </c>
      <c r="M261">
        <v>211</v>
      </c>
      <c r="N261">
        <v>260</v>
      </c>
      <c r="O261">
        <v>3</v>
      </c>
      <c r="P261">
        <v>260</v>
      </c>
      <c r="Q261">
        <v>10</v>
      </c>
      <c r="R261">
        <v>16</v>
      </c>
      <c r="S261">
        <v>1</v>
      </c>
      <c r="T261">
        <v>8</v>
      </c>
      <c r="U261">
        <v>6</v>
      </c>
      <c r="V261">
        <v>21</v>
      </c>
      <c r="W261">
        <v>7</v>
      </c>
      <c r="X261">
        <v>158</v>
      </c>
      <c r="Y261">
        <v>18</v>
      </c>
      <c r="Z261">
        <v>3</v>
      </c>
      <c r="AA261">
        <v>1</v>
      </c>
      <c r="AB261">
        <v>8</v>
      </c>
      <c r="AD261">
        <v>0</v>
      </c>
      <c r="AE261">
        <v>1</v>
      </c>
      <c r="AF261">
        <v>0</v>
      </c>
      <c r="AG261">
        <v>0</v>
      </c>
      <c r="AI261">
        <v>0</v>
      </c>
      <c r="AJ261">
        <v>0</v>
      </c>
      <c r="AK261">
        <v>260</v>
      </c>
      <c r="AL261">
        <v>258</v>
      </c>
      <c r="AM261">
        <v>427</v>
      </c>
      <c r="AN261">
        <v>44</v>
      </c>
      <c r="AP261">
        <v>1</v>
      </c>
      <c r="AR261" t="s">
        <v>340</v>
      </c>
      <c r="AS261" s="1">
        <v>44354.169444444444</v>
      </c>
      <c r="AT261" s="1">
        <v>44354.401203703703</v>
      </c>
      <c r="AU261" s="1">
        <v>44354.401990740742</v>
      </c>
      <c r="AV261" t="s">
        <v>71</v>
      </c>
      <c r="AW261" t="s">
        <v>72</v>
      </c>
      <c r="AX261" t="s">
        <v>73</v>
      </c>
    </row>
    <row r="262" spans="1:50" x14ac:dyDescent="0.3">
      <c r="A262" t="str">
        <f>"201019B0000"</f>
        <v>201019B0000</v>
      </c>
      <c r="B262" t="str">
        <f>"201019B00002"</f>
        <v>201019B00002</v>
      </c>
      <c r="C262" t="str">
        <f t="shared" si="6"/>
        <v>20</v>
      </c>
      <c r="D262" t="s">
        <v>67</v>
      </c>
      <c r="E262" t="str">
        <f t="shared" si="8"/>
        <v>002</v>
      </c>
      <c r="F262" t="s">
        <v>311</v>
      </c>
      <c r="G262" t="str">
        <f>"1019"</f>
        <v>1019</v>
      </c>
      <c r="H262" t="str">
        <f>"0000"</f>
        <v>0000</v>
      </c>
      <c r="I262" t="s">
        <v>69</v>
      </c>
      <c r="J262">
        <v>0</v>
      </c>
      <c r="K262">
        <v>1</v>
      </c>
      <c r="L262">
        <v>2</v>
      </c>
      <c r="M262">
        <v>276</v>
      </c>
      <c r="N262">
        <v>356</v>
      </c>
      <c r="O262">
        <v>7</v>
      </c>
      <c r="P262">
        <v>356</v>
      </c>
      <c r="Q262">
        <v>8</v>
      </c>
      <c r="R262">
        <v>21</v>
      </c>
      <c r="S262">
        <v>1</v>
      </c>
      <c r="T262">
        <v>19</v>
      </c>
      <c r="U262">
        <v>17</v>
      </c>
      <c r="V262">
        <v>41</v>
      </c>
      <c r="W262">
        <v>1</v>
      </c>
      <c r="X262">
        <v>176</v>
      </c>
      <c r="Y262">
        <v>31</v>
      </c>
      <c r="Z262">
        <v>14</v>
      </c>
      <c r="AA262">
        <v>1</v>
      </c>
      <c r="AB262">
        <v>12</v>
      </c>
      <c r="AD262">
        <v>1</v>
      </c>
      <c r="AE262">
        <v>2</v>
      </c>
      <c r="AF262">
        <v>0</v>
      </c>
      <c r="AG262">
        <v>1</v>
      </c>
      <c r="AI262">
        <v>1</v>
      </c>
      <c r="AJ262">
        <v>10</v>
      </c>
      <c r="AK262">
        <v>356</v>
      </c>
      <c r="AL262">
        <v>357</v>
      </c>
      <c r="AM262">
        <v>588</v>
      </c>
      <c r="AN262">
        <v>44</v>
      </c>
      <c r="AP262">
        <v>1</v>
      </c>
      <c r="AR262" t="s">
        <v>341</v>
      </c>
      <c r="AS262" s="1">
        <v>44353.970138888886</v>
      </c>
      <c r="AT262" s="1">
        <v>44353.974722222221</v>
      </c>
      <c r="AU262" s="1">
        <v>44353.975717592592</v>
      </c>
      <c r="AV262" t="s">
        <v>71</v>
      </c>
      <c r="AW262" t="s">
        <v>72</v>
      </c>
      <c r="AX262" t="s">
        <v>73</v>
      </c>
    </row>
    <row r="263" spans="1:50" x14ac:dyDescent="0.3">
      <c r="A263" t="str">
        <f>"201019C0100"</f>
        <v>201019C0100</v>
      </c>
      <c r="B263" t="str">
        <f>"201019C01002"</f>
        <v>201019C01002</v>
      </c>
      <c r="C263" t="str">
        <f t="shared" ref="C263:C326" si="11">"20"</f>
        <v>20</v>
      </c>
      <c r="D263" t="s">
        <v>67</v>
      </c>
      <c r="E263" t="str">
        <f t="shared" si="8"/>
        <v>002</v>
      </c>
      <c r="F263" t="s">
        <v>311</v>
      </c>
      <c r="G263" t="str">
        <f>"1019"</f>
        <v>1019</v>
      </c>
      <c r="H263" t="str">
        <f>"0001"</f>
        <v>0001</v>
      </c>
      <c r="I263" t="s">
        <v>75</v>
      </c>
      <c r="J263">
        <v>0</v>
      </c>
      <c r="K263">
        <v>1</v>
      </c>
      <c r="L263">
        <v>2</v>
      </c>
      <c r="M263">
        <v>289</v>
      </c>
      <c r="N263">
        <v>344</v>
      </c>
      <c r="O263">
        <v>6</v>
      </c>
      <c r="P263">
        <v>344</v>
      </c>
      <c r="Q263">
        <v>13</v>
      </c>
      <c r="R263">
        <v>18</v>
      </c>
      <c r="S263">
        <v>1</v>
      </c>
      <c r="T263">
        <v>5</v>
      </c>
      <c r="U263">
        <v>4</v>
      </c>
      <c r="V263">
        <v>31</v>
      </c>
      <c r="W263">
        <v>3</v>
      </c>
      <c r="X263">
        <v>183</v>
      </c>
      <c r="Y263">
        <v>43</v>
      </c>
      <c r="Z263">
        <v>13</v>
      </c>
      <c r="AA263">
        <v>3</v>
      </c>
      <c r="AB263">
        <v>13</v>
      </c>
      <c r="AD263">
        <v>2</v>
      </c>
      <c r="AE263">
        <v>0</v>
      </c>
      <c r="AF263">
        <v>0</v>
      </c>
      <c r="AG263">
        <v>0</v>
      </c>
      <c r="AI263">
        <v>0</v>
      </c>
      <c r="AJ263">
        <v>9</v>
      </c>
      <c r="AK263">
        <v>341</v>
      </c>
      <c r="AL263">
        <v>341</v>
      </c>
      <c r="AM263">
        <v>588</v>
      </c>
      <c r="AN263">
        <v>44</v>
      </c>
      <c r="AP263">
        <v>1</v>
      </c>
      <c r="AR263" t="s">
        <v>342</v>
      </c>
      <c r="AS263" s="1">
        <v>44353.97152777778</v>
      </c>
      <c r="AT263" s="1">
        <v>44353.975856481484</v>
      </c>
      <c r="AU263" s="1">
        <v>44353.976423611108</v>
      </c>
      <c r="AV263" t="s">
        <v>71</v>
      </c>
      <c r="AW263" t="s">
        <v>72</v>
      </c>
      <c r="AX263" t="s">
        <v>73</v>
      </c>
    </row>
    <row r="264" spans="1:50" x14ac:dyDescent="0.3">
      <c r="A264" t="str">
        <f>"201019C0200"</f>
        <v>201019C0200</v>
      </c>
      <c r="B264" t="str">
        <f>"201019C02002"</f>
        <v>201019C02002</v>
      </c>
      <c r="C264" t="str">
        <f t="shared" si="11"/>
        <v>20</v>
      </c>
      <c r="D264" t="s">
        <v>67</v>
      </c>
      <c r="E264" t="str">
        <f t="shared" si="8"/>
        <v>002</v>
      </c>
      <c r="F264" t="s">
        <v>311</v>
      </c>
      <c r="G264" t="str">
        <f>"1019"</f>
        <v>1019</v>
      </c>
      <c r="H264" t="str">
        <f>"0002"</f>
        <v>0002</v>
      </c>
      <c r="I264" t="s">
        <v>75</v>
      </c>
      <c r="J264">
        <v>0</v>
      </c>
      <c r="K264">
        <v>1</v>
      </c>
      <c r="L264">
        <v>2</v>
      </c>
      <c r="M264">
        <v>297</v>
      </c>
      <c r="N264">
        <v>632</v>
      </c>
      <c r="O264">
        <v>3</v>
      </c>
      <c r="P264">
        <v>335</v>
      </c>
      <c r="Q264">
        <v>10</v>
      </c>
      <c r="R264">
        <v>23</v>
      </c>
      <c r="S264">
        <v>2</v>
      </c>
      <c r="T264">
        <v>12</v>
      </c>
      <c r="U264">
        <v>7</v>
      </c>
      <c r="V264">
        <v>31</v>
      </c>
      <c r="W264">
        <v>2</v>
      </c>
      <c r="X264">
        <v>170</v>
      </c>
      <c r="Y264">
        <v>48</v>
      </c>
      <c r="Z264">
        <v>8</v>
      </c>
      <c r="AA264">
        <v>0</v>
      </c>
      <c r="AB264">
        <v>13</v>
      </c>
      <c r="AD264">
        <v>0</v>
      </c>
      <c r="AE264">
        <v>0</v>
      </c>
      <c r="AF264">
        <v>0</v>
      </c>
      <c r="AG264">
        <v>0</v>
      </c>
      <c r="AI264">
        <v>0</v>
      </c>
      <c r="AJ264">
        <v>9</v>
      </c>
      <c r="AK264">
        <v>335</v>
      </c>
      <c r="AL264">
        <v>335</v>
      </c>
      <c r="AM264">
        <v>588</v>
      </c>
      <c r="AN264">
        <v>44</v>
      </c>
      <c r="AP264">
        <v>1</v>
      </c>
      <c r="AR264" t="s">
        <v>343</v>
      </c>
      <c r="AS264" s="1">
        <v>44354.009027777778</v>
      </c>
      <c r="AT264" s="1">
        <v>44354.026122685187</v>
      </c>
      <c r="AU264" s="1">
        <v>44354.026886574073</v>
      </c>
      <c r="AV264" t="s">
        <v>71</v>
      </c>
      <c r="AW264" t="s">
        <v>72</v>
      </c>
      <c r="AX264" t="s">
        <v>73</v>
      </c>
    </row>
    <row r="265" spans="1:50" x14ac:dyDescent="0.3">
      <c r="A265" t="str">
        <f>"201020B0000"</f>
        <v>201020B0000</v>
      </c>
      <c r="B265" t="str">
        <f>"201020B00002"</f>
        <v>201020B00002</v>
      </c>
      <c r="C265" t="str">
        <f t="shared" si="11"/>
        <v>20</v>
      </c>
      <c r="D265" t="s">
        <v>67</v>
      </c>
      <c r="E265" t="str">
        <f t="shared" ref="E265:E296" si="12">"002"</f>
        <v>002</v>
      </c>
      <c r="F265" t="s">
        <v>311</v>
      </c>
      <c r="G265" t="str">
        <f>"1020"</f>
        <v>1020</v>
      </c>
      <c r="H265" t="str">
        <f>"0000"</f>
        <v>0000</v>
      </c>
      <c r="I265" t="s">
        <v>69</v>
      </c>
      <c r="J265">
        <v>0</v>
      </c>
      <c r="K265">
        <v>1</v>
      </c>
      <c r="L265">
        <v>2</v>
      </c>
      <c r="M265">
        <v>309</v>
      </c>
      <c r="N265">
        <v>333</v>
      </c>
      <c r="O265">
        <v>10</v>
      </c>
      <c r="P265">
        <v>333</v>
      </c>
      <c r="Q265">
        <v>16</v>
      </c>
      <c r="R265">
        <v>36</v>
      </c>
      <c r="S265">
        <v>1</v>
      </c>
      <c r="T265">
        <v>25</v>
      </c>
      <c r="U265">
        <v>13</v>
      </c>
      <c r="V265">
        <v>10</v>
      </c>
      <c r="W265">
        <v>4</v>
      </c>
      <c r="X265" t="s">
        <v>99</v>
      </c>
      <c r="Y265">
        <v>37</v>
      </c>
      <c r="Z265">
        <v>8</v>
      </c>
      <c r="AA265">
        <v>0</v>
      </c>
      <c r="AB265">
        <v>9</v>
      </c>
      <c r="AD265">
        <v>2</v>
      </c>
      <c r="AE265" t="s">
        <v>77</v>
      </c>
      <c r="AF265" t="s">
        <v>77</v>
      </c>
      <c r="AG265" t="s">
        <v>77</v>
      </c>
      <c r="AI265" t="s">
        <v>77</v>
      </c>
      <c r="AJ265">
        <v>8</v>
      </c>
      <c r="AK265">
        <v>333</v>
      </c>
      <c r="AL265">
        <v>169</v>
      </c>
      <c r="AM265">
        <v>598</v>
      </c>
      <c r="AN265">
        <v>44</v>
      </c>
      <c r="AO265" t="s">
        <v>78</v>
      </c>
      <c r="AP265">
        <v>1</v>
      </c>
      <c r="AR265" t="s">
        <v>344</v>
      </c>
      <c r="AS265" s="1">
        <v>44354.100694444445</v>
      </c>
      <c r="AT265" s="1">
        <v>44354.115300925929</v>
      </c>
      <c r="AU265" s="1">
        <v>44354.117314814815</v>
      </c>
      <c r="AV265" t="s">
        <v>71</v>
      </c>
      <c r="AW265" t="s">
        <v>72</v>
      </c>
      <c r="AX265" t="s">
        <v>73</v>
      </c>
    </row>
    <row r="266" spans="1:50" x14ac:dyDescent="0.3">
      <c r="A266" t="str">
        <f>"201020C0100"</f>
        <v>201020C0100</v>
      </c>
      <c r="B266" t="str">
        <f>"201020C01002"</f>
        <v>201020C01002</v>
      </c>
      <c r="C266" t="str">
        <f t="shared" si="11"/>
        <v>20</v>
      </c>
      <c r="D266" t="s">
        <v>67</v>
      </c>
      <c r="E266" t="str">
        <f t="shared" si="12"/>
        <v>002</v>
      </c>
      <c r="F266" t="s">
        <v>311</v>
      </c>
      <c r="G266" t="str">
        <f>"1020"</f>
        <v>1020</v>
      </c>
      <c r="H266" t="str">
        <f>"0001"</f>
        <v>0001</v>
      </c>
      <c r="I266" t="s">
        <v>75</v>
      </c>
      <c r="J266">
        <v>0</v>
      </c>
      <c r="K266">
        <v>1</v>
      </c>
      <c r="L266">
        <v>2</v>
      </c>
      <c r="M266">
        <v>326</v>
      </c>
      <c r="N266">
        <v>314</v>
      </c>
      <c r="O266">
        <v>11</v>
      </c>
      <c r="P266">
        <v>316</v>
      </c>
      <c r="Q266">
        <v>23</v>
      </c>
      <c r="R266">
        <v>32</v>
      </c>
      <c r="S266">
        <v>1</v>
      </c>
      <c r="T266">
        <v>19</v>
      </c>
      <c r="U266">
        <v>3</v>
      </c>
      <c r="V266">
        <v>11</v>
      </c>
      <c r="W266">
        <v>2</v>
      </c>
      <c r="X266">
        <v>165</v>
      </c>
      <c r="Y266">
        <v>40</v>
      </c>
      <c r="Z266">
        <v>4</v>
      </c>
      <c r="AA266">
        <v>2</v>
      </c>
      <c r="AB266">
        <v>4</v>
      </c>
      <c r="AD266">
        <v>1</v>
      </c>
      <c r="AE266">
        <v>3</v>
      </c>
      <c r="AF266">
        <v>0</v>
      </c>
      <c r="AG266">
        <v>0</v>
      </c>
      <c r="AI266">
        <v>0</v>
      </c>
      <c r="AJ266">
        <v>5</v>
      </c>
      <c r="AK266">
        <v>316</v>
      </c>
      <c r="AL266">
        <v>315</v>
      </c>
      <c r="AM266">
        <v>598</v>
      </c>
      <c r="AN266">
        <v>44</v>
      </c>
      <c r="AP266">
        <v>1</v>
      </c>
      <c r="AR266" t="s">
        <v>345</v>
      </c>
      <c r="AS266" s="1">
        <v>44354.101388888892</v>
      </c>
      <c r="AT266" s="1">
        <v>44354.116157407407</v>
      </c>
      <c r="AU266" s="1">
        <v>44354.117129629631</v>
      </c>
      <c r="AV266" t="s">
        <v>71</v>
      </c>
      <c r="AW266" t="s">
        <v>72</v>
      </c>
      <c r="AX266" t="s">
        <v>73</v>
      </c>
    </row>
    <row r="267" spans="1:50" x14ac:dyDescent="0.3">
      <c r="A267" t="str">
        <f>"201020C0200"</f>
        <v>201020C0200</v>
      </c>
      <c r="B267" t="str">
        <f>"201020C02002"</f>
        <v>201020C02002</v>
      </c>
      <c r="C267" t="str">
        <f t="shared" si="11"/>
        <v>20</v>
      </c>
      <c r="D267" t="s">
        <v>67</v>
      </c>
      <c r="E267" t="str">
        <f t="shared" si="12"/>
        <v>002</v>
      </c>
      <c r="F267" t="s">
        <v>311</v>
      </c>
      <c r="G267" t="str">
        <f>"1020"</f>
        <v>1020</v>
      </c>
      <c r="H267" t="str">
        <f>"0002"</f>
        <v>0002</v>
      </c>
      <c r="I267" t="s">
        <v>75</v>
      </c>
      <c r="J267">
        <v>0</v>
      </c>
      <c r="K267">
        <v>1</v>
      </c>
      <c r="L267">
        <v>2</v>
      </c>
      <c r="M267">
        <v>300</v>
      </c>
      <c r="N267">
        <v>342</v>
      </c>
      <c r="O267">
        <v>7</v>
      </c>
      <c r="P267" t="s">
        <v>80</v>
      </c>
      <c r="Q267">
        <v>24</v>
      </c>
      <c r="R267">
        <v>47</v>
      </c>
      <c r="S267">
        <v>0</v>
      </c>
      <c r="T267">
        <v>14</v>
      </c>
      <c r="U267">
        <v>6</v>
      </c>
      <c r="V267">
        <v>16</v>
      </c>
      <c r="W267">
        <v>2</v>
      </c>
      <c r="X267">
        <v>172</v>
      </c>
      <c r="Y267">
        <v>42</v>
      </c>
      <c r="Z267">
        <v>3</v>
      </c>
      <c r="AA267">
        <v>2</v>
      </c>
      <c r="AB267">
        <v>10</v>
      </c>
      <c r="AD267">
        <v>1</v>
      </c>
      <c r="AE267">
        <v>1</v>
      </c>
      <c r="AF267">
        <v>0</v>
      </c>
      <c r="AG267">
        <v>0</v>
      </c>
      <c r="AI267">
        <v>0</v>
      </c>
      <c r="AJ267">
        <v>3</v>
      </c>
      <c r="AK267">
        <v>342</v>
      </c>
      <c r="AL267">
        <v>343</v>
      </c>
      <c r="AM267">
        <v>598</v>
      </c>
      <c r="AN267">
        <v>44</v>
      </c>
      <c r="AP267">
        <v>1</v>
      </c>
      <c r="AR267" t="s">
        <v>346</v>
      </c>
      <c r="AS267" s="1">
        <v>44354.240277777775</v>
      </c>
      <c r="AT267" s="1">
        <v>44354.251493055555</v>
      </c>
      <c r="AU267" s="1">
        <v>44354.284513888888</v>
      </c>
      <c r="AV267" t="s">
        <v>71</v>
      </c>
      <c r="AW267" t="s">
        <v>72</v>
      </c>
      <c r="AX267" t="s">
        <v>347</v>
      </c>
    </row>
    <row r="268" spans="1:50" x14ac:dyDescent="0.3">
      <c r="A268" t="str">
        <f>"201020S0100"</f>
        <v>201020S0100</v>
      </c>
      <c r="B268" t="str">
        <f>"201020S01002EMR"</f>
        <v>201020S01002EMR</v>
      </c>
      <c r="C268" t="str">
        <f t="shared" si="11"/>
        <v>20</v>
      </c>
      <c r="D268" t="s">
        <v>67</v>
      </c>
      <c r="E268" t="str">
        <f t="shared" si="12"/>
        <v>002</v>
      </c>
      <c r="F268" t="s">
        <v>311</v>
      </c>
      <c r="G268" t="str">
        <f>"1020"</f>
        <v>1020</v>
      </c>
      <c r="H268" t="str">
        <f>"0001"</f>
        <v>0001</v>
      </c>
      <c r="I268" t="s">
        <v>85</v>
      </c>
      <c r="J268">
        <v>0</v>
      </c>
      <c r="K268">
        <v>1</v>
      </c>
      <c r="L268" t="s">
        <v>86</v>
      </c>
      <c r="M268">
        <v>551</v>
      </c>
      <c r="N268">
        <v>164</v>
      </c>
      <c r="O268">
        <v>0</v>
      </c>
      <c r="P268">
        <v>164</v>
      </c>
      <c r="Q268">
        <v>6</v>
      </c>
      <c r="R268">
        <v>11</v>
      </c>
      <c r="S268">
        <v>1</v>
      </c>
      <c r="T268">
        <v>8</v>
      </c>
      <c r="U268">
        <v>2</v>
      </c>
      <c r="V268">
        <v>6</v>
      </c>
      <c r="W268">
        <v>2</v>
      </c>
      <c r="X268">
        <v>96</v>
      </c>
      <c r="Y268">
        <v>14</v>
      </c>
      <c r="Z268">
        <v>3</v>
      </c>
      <c r="AA268">
        <v>0</v>
      </c>
      <c r="AB268">
        <v>10</v>
      </c>
      <c r="AD268">
        <v>0</v>
      </c>
      <c r="AE268">
        <v>1</v>
      </c>
      <c r="AF268">
        <v>0</v>
      </c>
      <c r="AG268">
        <v>0</v>
      </c>
      <c r="AI268">
        <v>0</v>
      </c>
      <c r="AJ268">
        <v>4</v>
      </c>
      <c r="AK268">
        <v>164</v>
      </c>
      <c r="AL268">
        <v>164</v>
      </c>
      <c r="AM268">
        <v>0</v>
      </c>
      <c r="AN268">
        <v>44</v>
      </c>
      <c r="AP268">
        <v>1</v>
      </c>
      <c r="AR268" t="s">
        <v>348</v>
      </c>
      <c r="AS268" s="1">
        <v>44354.102083333331</v>
      </c>
      <c r="AT268" s="1">
        <v>44354.125104166669</v>
      </c>
      <c r="AU268" s="1">
        <v>44354.126400462963</v>
      </c>
      <c r="AV268" t="s">
        <v>71</v>
      </c>
      <c r="AW268" t="s">
        <v>72</v>
      </c>
      <c r="AX268" t="s">
        <v>73</v>
      </c>
    </row>
    <row r="269" spans="1:50" x14ac:dyDescent="0.3">
      <c r="A269" t="str">
        <f>"201021B0000"</f>
        <v>201021B0000</v>
      </c>
      <c r="B269" t="str">
        <f>"201021B00002"</f>
        <v>201021B00002</v>
      </c>
      <c r="C269" t="str">
        <f t="shared" si="11"/>
        <v>20</v>
      </c>
      <c r="D269" t="s">
        <v>67</v>
      </c>
      <c r="E269" t="str">
        <f t="shared" si="12"/>
        <v>002</v>
      </c>
      <c r="F269" t="s">
        <v>311</v>
      </c>
      <c r="G269" t="str">
        <f>"1021"</f>
        <v>1021</v>
      </c>
      <c r="H269" t="str">
        <f>"0000"</f>
        <v>0000</v>
      </c>
      <c r="I269" t="s">
        <v>69</v>
      </c>
      <c r="J269">
        <v>0</v>
      </c>
      <c r="K269">
        <v>1</v>
      </c>
      <c r="L269">
        <v>2</v>
      </c>
      <c r="M269">
        <v>270</v>
      </c>
      <c r="N269">
        <v>278</v>
      </c>
      <c r="O269">
        <v>6</v>
      </c>
      <c r="P269">
        <v>0</v>
      </c>
      <c r="Q269">
        <v>13</v>
      </c>
      <c r="R269">
        <v>35</v>
      </c>
      <c r="S269">
        <v>3</v>
      </c>
      <c r="T269">
        <v>22</v>
      </c>
      <c r="U269">
        <v>4</v>
      </c>
      <c r="V269">
        <v>16</v>
      </c>
      <c r="W269">
        <v>4</v>
      </c>
      <c r="X269">
        <v>107</v>
      </c>
      <c r="Y269">
        <v>40</v>
      </c>
      <c r="Z269">
        <v>8</v>
      </c>
      <c r="AA269">
        <v>0</v>
      </c>
      <c r="AB269">
        <v>18</v>
      </c>
      <c r="AD269">
        <v>0</v>
      </c>
      <c r="AE269">
        <v>1</v>
      </c>
      <c r="AF269">
        <v>0</v>
      </c>
      <c r="AG269">
        <v>0</v>
      </c>
      <c r="AI269">
        <v>0</v>
      </c>
      <c r="AJ269">
        <v>7</v>
      </c>
      <c r="AK269">
        <v>278</v>
      </c>
      <c r="AL269">
        <v>278</v>
      </c>
      <c r="AM269">
        <v>504</v>
      </c>
      <c r="AN269">
        <v>44</v>
      </c>
      <c r="AP269">
        <v>1</v>
      </c>
      <c r="AR269" t="s">
        <v>349</v>
      </c>
      <c r="AS269" s="1">
        <v>44353.988194444442</v>
      </c>
      <c r="AT269" s="1">
        <v>44353.994004629632</v>
      </c>
      <c r="AU269" s="1">
        <v>44353.994988425926</v>
      </c>
      <c r="AV269" t="s">
        <v>71</v>
      </c>
      <c r="AW269" t="s">
        <v>72</v>
      </c>
      <c r="AX269" t="s">
        <v>73</v>
      </c>
    </row>
    <row r="270" spans="1:50" x14ac:dyDescent="0.3">
      <c r="A270" t="str">
        <f>"201021C0100"</f>
        <v>201021C0100</v>
      </c>
      <c r="B270" t="str">
        <f>"201021C01002"</f>
        <v>201021C01002</v>
      </c>
      <c r="C270" t="str">
        <f t="shared" si="11"/>
        <v>20</v>
      </c>
      <c r="D270" t="s">
        <v>67</v>
      </c>
      <c r="E270" t="str">
        <f t="shared" si="12"/>
        <v>002</v>
      </c>
      <c r="F270" t="s">
        <v>311</v>
      </c>
      <c r="G270" t="str">
        <f>"1021"</f>
        <v>1021</v>
      </c>
      <c r="H270" t="str">
        <f>"0001"</f>
        <v>0001</v>
      </c>
      <c r="I270" t="s">
        <v>75</v>
      </c>
      <c r="J270">
        <v>0</v>
      </c>
      <c r="K270">
        <v>1</v>
      </c>
      <c r="L270">
        <v>2</v>
      </c>
      <c r="M270">
        <v>261</v>
      </c>
      <c r="N270">
        <v>286</v>
      </c>
      <c r="O270">
        <v>5</v>
      </c>
      <c r="P270">
        <v>286</v>
      </c>
      <c r="Q270">
        <v>8</v>
      </c>
      <c r="R270">
        <v>33</v>
      </c>
      <c r="S270">
        <v>2</v>
      </c>
      <c r="T270">
        <v>18</v>
      </c>
      <c r="U270">
        <v>8</v>
      </c>
      <c r="V270">
        <v>16</v>
      </c>
      <c r="W270">
        <v>10</v>
      </c>
      <c r="X270">
        <v>112</v>
      </c>
      <c r="Y270">
        <v>40</v>
      </c>
      <c r="Z270">
        <v>13</v>
      </c>
      <c r="AA270">
        <v>0</v>
      </c>
      <c r="AB270">
        <v>18</v>
      </c>
      <c r="AD270">
        <v>0</v>
      </c>
      <c r="AE270">
        <v>0</v>
      </c>
      <c r="AF270">
        <v>0</v>
      </c>
      <c r="AG270">
        <v>0</v>
      </c>
      <c r="AI270">
        <v>0</v>
      </c>
      <c r="AJ270">
        <v>8</v>
      </c>
      <c r="AK270">
        <v>286</v>
      </c>
      <c r="AL270">
        <v>286</v>
      </c>
      <c r="AM270">
        <v>503</v>
      </c>
      <c r="AN270">
        <v>44</v>
      </c>
      <c r="AP270">
        <v>1</v>
      </c>
      <c r="AR270" t="s">
        <v>350</v>
      </c>
      <c r="AS270" s="1">
        <v>44353.989583333336</v>
      </c>
      <c r="AT270" s="1">
        <v>44353.996249999997</v>
      </c>
      <c r="AU270" s="1">
        <v>44353.997048611112</v>
      </c>
      <c r="AV270" t="s">
        <v>71</v>
      </c>
      <c r="AW270" t="s">
        <v>72</v>
      </c>
      <c r="AX270" t="s">
        <v>73</v>
      </c>
    </row>
    <row r="271" spans="1:50" x14ac:dyDescent="0.3">
      <c r="A271" t="str">
        <f>"201022B0000"</f>
        <v>201022B0000</v>
      </c>
      <c r="B271" t="str">
        <f>"201022B00002"</f>
        <v>201022B00002</v>
      </c>
      <c r="C271" t="str">
        <f t="shared" si="11"/>
        <v>20</v>
      </c>
      <c r="D271" t="s">
        <v>67</v>
      </c>
      <c r="E271" t="str">
        <f t="shared" si="12"/>
        <v>002</v>
      </c>
      <c r="F271" t="s">
        <v>311</v>
      </c>
      <c r="G271" t="str">
        <f>"1022"</f>
        <v>1022</v>
      </c>
      <c r="H271" t="str">
        <f>"0000"</f>
        <v>0000</v>
      </c>
      <c r="I271" t="s">
        <v>69</v>
      </c>
      <c r="J271">
        <v>0</v>
      </c>
      <c r="K271">
        <v>1</v>
      </c>
      <c r="L271">
        <v>2</v>
      </c>
      <c r="M271">
        <v>304</v>
      </c>
      <c r="N271" t="s">
        <v>99</v>
      </c>
      <c r="O271">
        <v>9</v>
      </c>
      <c r="P271">
        <v>325</v>
      </c>
      <c r="Q271">
        <v>10</v>
      </c>
      <c r="R271">
        <v>24</v>
      </c>
      <c r="S271">
        <v>0</v>
      </c>
      <c r="T271">
        <v>21</v>
      </c>
      <c r="U271">
        <v>2</v>
      </c>
      <c r="V271">
        <v>16</v>
      </c>
      <c r="W271">
        <v>5</v>
      </c>
      <c r="X271">
        <v>148</v>
      </c>
      <c r="Y271">
        <v>21</v>
      </c>
      <c r="Z271">
        <v>20</v>
      </c>
      <c r="AA271">
        <v>2</v>
      </c>
      <c r="AB271">
        <v>8</v>
      </c>
      <c r="AD271">
        <v>0</v>
      </c>
      <c r="AE271">
        <v>3</v>
      </c>
      <c r="AF271">
        <v>0</v>
      </c>
      <c r="AG271">
        <v>0</v>
      </c>
      <c r="AI271">
        <v>1</v>
      </c>
      <c r="AJ271">
        <v>12</v>
      </c>
      <c r="AK271">
        <v>325</v>
      </c>
      <c r="AL271">
        <v>293</v>
      </c>
      <c r="AM271">
        <v>585</v>
      </c>
      <c r="AN271">
        <v>44</v>
      </c>
      <c r="AP271">
        <v>1</v>
      </c>
      <c r="AR271" t="s">
        <v>351</v>
      </c>
      <c r="AS271" s="1">
        <v>44353.989583333336</v>
      </c>
      <c r="AT271" s="1">
        <v>44354.017314814817</v>
      </c>
      <c r="AU271" s="1">
        <v>44354.018182870372</v>
      </c>
      <c r="AV271" t="s">
        <v>71</v>
      </c>
      <c r="AW271" t="s">
        <v>72</v>
      </c>
      <c r="AX271" t="s">
        <v>73</v>
      </c>
    </row>
    <row r="272" spans="1:50" x14ac:dyDescent="0.3">
      <c r="A272" t="str">
        <f>"201022C0100"</f>
        <v>201022C0100</v>
      </c>
      <c r="B272" t="str">
        <f>"201022C01002"</f>
        <v>201022C01002</v>
      </c>
      <c r="C272" t="str">
        <f t="shared" si="11"/>
        <v>20</v>
      </c>
      <c r="D272" t="s">
        <v>67</v>
      </c>
      <c r="E272" t="str">
        <f t="shared" si="12"/>
        <v>002</v>
      </c>
      <c r="F272" t="s">
        <v>311</v>
      </c>
      <c r="G272" t="str">
        <f>"1022"</f>
        <v>1022</v>
      </c>
      <c r="H272" t="str">
        <f>"0001"</f>
        <v>0001</v>
      </c>
      <c r="I272" t="s">
        <v>75</v>
      </c>
      <c r="J272">
        <v>0</v>
      </c>
      <c r="K272">
        <v>1</v>
      </c>
      <c r="L272">
        <v>2</v>
      </c>
      <c r="AM272">
        <v>584</v>
      </c>
      <c r="AN272">
        <v>44</v>
      </c>
      <c r="AO272" t="s">
        <v>352</v>
      </c>
      <c r="AP272">
        <v>0</v>
      </c>
      <c r="AR272" t="s">
        <v>353</v>
      </c>
      <c r="AS272" s="1">
        <v>44354.392361111109</v>
      </c>
      <c r="AT272" s="1">
        <v>44354.399594907409</v>
      </c>
      <c r="AU272" s="1">
        <v>44354.399594907409</v>
      </c>
      <c r="AV272" t="s">
        <v>71</v>
      </c>
      <c r="AW272" t="s">
        <v>72</v>
      </c>
      <c r="AX272" t="s">
        <v>73</v>
      </c>
    </row>
    <row r="273" spans="1:50" x14ac:dyDescent="0.3">
      <c r="A273" t="str">
        <f>"201022C0200"</f>
        <v>201022C0200</v>
      </c>
      <c r="B273" t="str">
        <f>"201022C02002"</f>
        <v>201022C02002</v>
      </c>
      <c r="C273" t="str">
        <f t="shared" si="11"/>
        <v>20</v>
      </c>
      <c r="D273" t="s">
        <v>67</v>
      </c>
      <c r="E273" t="str">
        <f t="shared" si="12"/>
        <v>002</v>
      </c>
      <c r="F273" t="s">
        <v>311</v>
      </c>
      <c r="G273" t="str">
        <f>"1022"</f>
        <v>1022</v>
      </c>
      <c r="H273" t="str">
        <f>"0002"</f>
        <v>0002</v>
      </c>
      <c r="I273" t="s">
        <v>75</v>
      </c>
      <c r="J273">
        <v>0</v>
      </c>
      <c r="K273">
        <v>1</v>
      </c>
      <c r="L273">
        <v>2</v>
      </c>
      <c r="M273">
        <v>296</v>
      </c>
      <c r="N273">
        <v>333</v>
      </c>
      <c r="O273">
        <v>9</v>
      </c>
      <c r="P273">
        <v>332</v>
      </c>
      <c r="Q273">
        <v>5</v>
      </c>
      <c r="R273">
        <v>35</v>
      </c>
      <c r="S273">
        <v>0</v>
      </c>
      <c r="T273">
        <v>6</v>
      </c>
      <c r="U273">
        <v>9</v>
      </c>
      <c r="V273">
        <v>25</v>
      </c>
      <c r="W273">
        <v>3</v>
      </c>
      <c r="X273">
        <v>171</v>
      </c>
      <c r="Y273">
        <v>46</v>
      </c>
      <c r="Z273">
        <v>12</v>
      </c>
      <c r="AA273" t="s">
        <v>77</v>
      </c>
      <c r="AB273">
        <v>11</v>
      </c>
      <c r="AD273" t="s">
        <v>77</v>
      </c>
      <c r="AE273" t="s">
        <v>77</v>
      </c>
      <c r="AF273" t="s">
        <v>77</v>
      </c>
      <c r="AG273" t="s">
        <v>77</v>
      </c>
      <c r="AI273" t="s">
        <v>77</v>
      </c>
      <c r="AJ273">
        <v>9</v>
      </c>
      <c r="AK273">
        <v>332</v>
      </c>
      <c r="AL273">
        <v>332</v>
      </c>
      <c r="AM273">
        <v>584</v>
      </c>
      <c r="AN273">
        <v>44</v>
      </c>
      <c r="AO273" t="s">
        <v>78</v>
      </c>
      <c r="AP273">
        <v>1</v>
      </c>
      <c r="AR273" t="s">
        <v>354</v>
      </c>
      <c r="AS273" s="1">
        <v>44353.98541666667</v>
      </c>
      <c r="AT273" s="1">
        <v>44353.990185185183</v>
      </c>
      <c r="AU273" s="1">
        <v>44353.991087962961</v>
      </c>
      <c r="AV273" t="s">
        <v>71</v>
      </c>
      <c r="AW273" t="s">
        <v>72</v>
      </c>
      <c r="AX273" t="s">
        <v>73</v>
      </c>
    </row>
    <row r="274" spans="1:50" x14ac:dyDescent="0.3">
      <c r="A274" t="str">
        <f>"201023B0000"</f>
        <v>201023B0000</v>
      </c>
      <c r="B274" t="str">
        <f>"201023B00002"</f>
        <v>201023B00002</v>
      </c>
      <c r="C274" t="str">
        <f t="shared" si="11"/>
        <v>20</v>
      </c>
      <c r="D274" t="s">
        <v>67</v>
      </c>
      <c r="E274" t="str">
        <f t="shared" si="12"/>
        <v>002</v>
      </c>
      <c r="F274" t="s">
        <v>311</v>
      </c>
      <c r="G274" t="str">
        <f>"1023"</f>
        <v>1023</v>
      </c>
      <c r="H274" t="str">
        <f>"0000"</f>
        <v>0000</v>
      </c>
      <c r="I274" t="s">
        <v>69</v>
      </c>
      <c r="J274">
        <v>0</v>
      </c>
      <c r="K274">
        <v>1</v>
      </c>
      <c r="L274">
        <v>2</v>
      </c>
      <c r="M274">
        <v>374</v>
      </c>
      <c r="N274">
        <v>388</v>
      </c>
      <c r="O274">
        <v>11</v>
      </c>
      <c r="P274">
        <v>388</v>
      </c>
      <c r="Q274">
        <v>19</v>
      </c>
      <c r="R274">
        <v>41</v>
      </c>
      <c r="S274">
        <v>1</v>
      </c>
      <c r="T274">
        <v>21</v>
      </c>
      <c r="U274">
        <v>5</v>
      </c>
      <c r="V274">
        <v>22</v>
      </c>
      <c r="W274">
        <v>18</v>
      </c>
      <c r="X274">
        <v>158</v>
      </c>
      <c r="Y274">
        <v>55</v>
      </c>
      <c r="Z274">
        <v>13</v>
      </c>
      <c r="AA274">
        <v>2</v>
      </c>
      <c r="AB274">
        <v>26</v>
      </c>
      <c r="AD274">
        <v>1</v>
      </c>
      <c r="AE274">
        <v>0</v>
      </c>
      <c r="AF274">
        <v>0</v>
      </c>
      <c r="AG274">
        <v>0</v>
      </c>
      <c r="AI274">
        <v>0</v>
      </c>
      <c r="AJ274">
        <v>5</v>
      </c>
      <c r="AK274">
        <v>387</v>
      </c>
      <c r="AL274">
        <v>387</v>
      </c>
      <c r="AM274">
        <v>717</v>
      </c>
      <c r="AN274">
        <v>44</v>
      </c>
      <c r="AP274">
        <v>1</v>
      </c>
      <c r="AR274" t="s">
        <v>355</v>
      </c>
      <c r="AS274" s="1">
        <v>44354.152777777781</v>
      </c>
      <c r="AT274" s="1">
        <v>44354.17328703704</v>
      </c>
      <c r="AU274" s="1">
        <v>44354.173738425925</v>
      </c>
      <c r="AV274" t="s">
        <v>71</v>
      </c>
      <c r="AW274" t="s">
        <v>72</v>
      </c>
      <c r="AX274" t="s">
        <v>73</v>
      </c>
    </row>
    <row r="275" spans="1:50" x14ac:dyDescent="0.3">
      <c r="A275" t="str">
        <f>"201023C0100"</f>
        <v>201023C0100</v>
      </c>
      <c r="B275" t="str">
        <f>"201023C01002"</f>
        <v>201023C01002</v>
      </c>
      <c r="C275" t="str">
        <f t="shared" si="11"/>
        <v>20</v>
      </c>
      <c r="D275" t="s">
        <v>67</v>
      </c>
      <c r="E275" t="str">
        <f t="shared" si="12"/>
        <v>002</v>
      </c>
      <c r="F275" t="s">
        <v>311</v>
      </c>
      <c r="G275" t="str">
        <f>"1023"</f>
        <v>1023</v>
      </c>
      <c r="H275" t="str">
        <f>"0001"</f>
        <v>0001</v>
      </c>
      <c r="I275" t="s">
        <v>75</v>
      </c>
      <c r="J275">
        <v>0</v>
      </c>
      <c r="K275">
        <v>1</v>
      </c>
      <c r="L275">
        <v>2</v>
      </c>
      <c r="M275">
        <v>343</v>
      </c>
      <c r="N275">
        <v>417</v>
      </c>
      <c r="O275">
        <v>4</v>
      </c>
      <c r="P275">
        <v>417</v>
      </c>
      <c r="Q275">
        <v>19</v>
      </c>
      <c r="R275">
        <v>39</v>
      </c>
      <c r="S275">
        <v>2</v>
      </c>
      <c r="T275">
        <v>20</v>
      </c>
      <c r="U275">
        <v>8</v>
      </c>
      <c r="V275">
        <v>22</v>
      </c>
      <c r="W275">
        <v>7</v>
      </c>
      <c r="X275">
        <v>206</v>
      </c>
      <c r="Y275">
        <v>44</v>
      </c>
      <c r="Z275">
        <v>20</v>
      </c>
      <c r="AA275">
        <v>1</v>
      </c>
      <c r="AB275">
        <v>13</v>
      </c>
      <c r="AD275">
        <v>1</v>
      </c>
      <c r="AE275">
        <v>0</v>
      </c>
      <c r="AF275">
        <v>0</v>
      </c>
      <c r="AG275">
        <v>0</v>
      </c>
      <c r="AI275">
        <v>0</v>
      </c>
      <c r="AJ275">
        <v>15</v>
      </c>
      <c r="AK275">
        <v>417</v>
      </c>
      <c r="AL275">
        <v>417</v>
      </c>
      <c r="AM275">
        <v>716</v>
      </c>
      <c r="AN275">
        <v>44</v>
      </c>
      <c r="AP275">
        <v>1</v>
      </c>
      <c r="AR275" t="s">
        <v>356</v>
      </c>
      <c r="AS275" s="1">
        <v>44354.154861111114</v>
      </c>
      <c r="AT275" s="1">
        <v>44354.17863425926</v>
      </c>
      <c r="AU275" s="1">
        <v>44354.179386574076</v>
      </c>
      <c r="AV275" t="s">
        <v>71</v>
      </c>
      <c r="AW275" t="s">
        <v>72</v>
      </c>
      <c r="AX275" t="s">
        <v>73</v>
      </c>
    </row>
    <row r="276" spans="1:50" x14ac:dyDescent="0.3">
      <c r="A276" t="str">
        <f>"201024B0000"</f>
        <v>201024B0000</v>
      </c>
      <c r="B276" t="str">
        <f>"201024B00002"</f>
        <v>201024B00002</v>
      </c>
      <c r="C276" t="str">
        <f t="shared" si="11"/>
        <v>20</v>
      </c>
      <c r="D276" t="s">
        <v>67</v>
      </c>
      <c r="E276" t="str">
        <f t="shared" si="12"/>
        <v>002</v>
      </c>
      <c r="F276" t="s">
        <v>311</v>
      </c>
      <c r="G276" t="str">
        <f>"1024"</f>
        <v>1024</v>
      </c>
      <c r="H276" t="str">
        <f>"0000"</f>
        <v>0000</v>
      </c>
      <c r="I276" t="s">
        <v>69</v>
      </c>
      <c r="J276">
        <v>0</v>
      </c>
      <c r="K276">
        <v>1</v>
      </c>
      <c r="L276">
        <v>2</v>
      </c>
      <c r="M276">
        <v>322</v>
      </c>
      <c r="N276">
        <v>414</v>
      </c>
      <c r="O276">
        <v>8</v>
      </c>
      <c r="P276">
        <v>414</v>
      </c>
      <c r="Q276">
        <v>20</v>
      </c>
      <c r="R276">
        <v>38</v>
      </c>
      <c r="S276">
        <v>3</v>
      </c>
      <c r="T276">
        <v>16</v>
      </c>
      <c r="U276">
        <v>11</v>
      </c>
      <c r="V276">
        <v>30</v>
      </c>
      <c r="W276">
        <v>16</v>
      </c>
      <c r="X276">
        <v>184</v>
      </c>
      <c r="Y276">
        <v>48</v>
      </c>
      <c r="Z276">
        <v>6</v>
      </c>
      <c r="AA276">
        <v>3</v>
      </c>
      <c r="AB276">
        <v>26</v>
      </c>
      <c r="AD276">
        <v>1</v>
      </c>
      <c r="AE276">
        <v>0</v>
      </c>
      <c r="AF276">
        <v>0</v>
      </c>
      <c r="AG276">
        <v>0</v>
      </c>
      <c r="AI276">
        <v>0</v>
      </c>
      <c r="AJ276">
        <v>12</v>
      </c>
      <c r="AK276">
        <v>414</v>
      </c>
      <c r="AL276">
        <v>414</v>
      </c>
      <c r="AM276">
        <v>692</v>
      </c>
      <c r="AN276">
        <v>44</v>
      </c>
      <c r="AP276">
        <v>1</v>
      </c>
      <c r="AR276" t="s">
        <v>357</v>
      </c>
      <c r="AS276" s="1">
        <v>44354.150694444441</v>
      </c>
      <c r="AT276" s="1">
        <v>44354.170011574075</v>
      </c>
      <c r="AU276" s="1">
        <v>44354.170405092591</v>
      </c>
      <c r="AV276" t="s">
        <v>71</v>
      </c>
      <c r="AW276" t="s">
        <v>72</v>
      </c>
      <c r="AX276" t="s">
        <v>73</v>
      </c>
    </row>
    <row r="277" spans="1:50" x14ac:dyDescent="0.3">
      <c r="A277" t="str">
        <f>"201024C0100"</f>
        <v>201024C0100</v>
      </c>
      <c r="B277" t="str">
        <f>"201024C01002"</f>
        <v>201024C01002</v>
      </c>
      <c r="C277" t="str">
        <f t="shared" si="11"/>
        <v>20</v>
      </c>
      <c r="D277" t="s">
        <v>67</v>
      </c>
      <c r="E277" t="str">
        <f t="shared" si="12"/>
        <v>002</v>
      </c>
      <c r="F277" t="s">
        <v>311</v>
      </c>
      <c r="G277" t="str">
        <f>"1024"</f>
        <v>1024</v>
      </c>
      <c r="H277" t="str">
        <f>"0001"</f>
        <v>0001</v>
      </c>
      <c r="I277" t="s">
        <v>75</v>
      </c>
      <c r="J277">
        <v>0</v>
      </c>
      <c r="K277">
        <v>1</v>
      </c>
      <c r="L277">
        <v>2</v>
      </c>
      <c r="M277">
        <v>331</v>
      </c>
      <c r="N277">
        <v>404</v>
      </c>
      <c r="O277">
        <v>12</v>
      </c>
      <c r="P277" t="s">
        <v>80</v>
      </c>
      <c r="Q277">
        <v>19</v>
      </c>
      <c r="R277">
        <v>50</v>
      </c>
      <c r="S277">
        <v>0</v>
      </c>
      <c r="T277">
        <v>11</v>
      </c>
      <c r="U277">
        <v>17</v>
      </c>
      <c r="V277">
        <v>17</v>
      </c>
      <c r="W277">
        <v>11</v>
      </c>
      <c r="X277">
        <v>187</v>
      </c>
      <c r="Y277">
        <v>62</v>
      </c>
      <c r="Z277">
        <v>7</v>
      </c>
      <c r="AA277">
        <v>1</v>
      </c>
      <c r="AB277">
        <v>22</v>
      </c>
      <c r="AD277">
        <v>0</v>
      </c>
      <c r="AE277">
        <v>2</v>
      </c>
      <c r="AF277">
        <v>0</v>
      </c>
      <c r="AG277">
        <v>0</v>
      </c>
      <c r="AI277">
        <v>0</v>
      </c>
      <c r="AJ277">
        <v>5</v>
      </c>
      <c r="AK277">
        <v>404</v>
      </c>
      <c r="AL277">
        <v>411</v>
      </c>
      <c r="AM277">
        <v>691</v>
      </c>
      <c r="AN277">
        <v>44</v>
      </c>
      <c r="AP277">
        <v>1</v>
      </c>
      <c r="AR277" t="s">
        <v>358</v>
      </c>
      <c r="AS277" s="1">
        <v>44354.149305555555</v>
      </c>
      <c r="AT277" s="1">
        <v>44354.169791666667</v>
      </c>
      <c r="AU277" s="1">
        <v>44354.170532407406</v>
      </c>
      <c r="AV277" t="s">
        <v>71</v>
      </c>
      <c r="AW277" t="s">
        <v>72</v>
      </c>
      <c r="AX277" t="s">
        <v>73</v>
      </c>
    </row>
    <row r="278" spans="1:50" x14ac:dyDescent="0.3">
      <c r="A278" t="str">
        <f>"201025B0000"</f>
        <v>201025B0000</v>
      </c>
      <c r="B278" t="str">
        <f>"201025B00002"</f>
        <v>201025B00002</v>
      </c>
      <c r="C278" t="str">
        <f t="shared" si="11"/>
        <v>20</v>
      </c>
      <c r="D278" t="s">
        <v>67</v>
      </c>
      <c r="E278" t="str">
        <f t="shared" si="12"/>
        <v>002</v>
      </c>
      <c r="F278" t="s">
        <v>311</v>
      </c>
      <c r="G278" t="str">
        <f>"1025"</f>
        <v>1025</v>
      </c>
      <c r="H278" t="str">
        <f>"0000"</f>
        <v>0000</v>
      </c>
      <c r="I278" t="s">
        <v>69</v>
      </c>
      <c r="J278">
        <v>0</v>
      </c>
      <c r="K278">
        <v>1</v>
      </c>
      <c r="L278">
        <v>2</v>
      </c>
      <c r="M278" t="s">
        <v>80</v>
      </c>
      <c r="N278" t="s">
        <v>80</v>
      </c>
      <c r="O278" t="s">
        <v>80</v>
      </c>
      <c r="P278" t="s">
        <v>80</v>
      </c>
      <c r="Q278">
        <v>11</v>
      </c>
      <c r="R278">
        <v>31</v>
      </c>
      <c r="S278">
        <v>1</v>
      </c>
      <c r="T278">
        <v>9</v>
      </c>
      <c r="U278">
        <v>7</v>
      </c>
      <c r="V278">
        <v>27</v>
      </c>
      <c r="W278">
        <v>4</v>
      </c>
      <c r="X278">
        <v>140</v>
      </c>
      <c r="Y278">
        <v>55</v>
      </c>
      <c r="Z278">
        <v>4</v>
      </c>
      <c r="AA278">
        <v>0</v>
      </c>
      <c r="AB278">
        <v>21</v>
      </c>
      <c r="AD278" t="s">
        <v>77</v>
      </c>
      <c r="AE278">
        <v>1</v>
      </c>
      <c r="AF278" t="s">
        <v>77</v>
      </c>
      <c r="AG278" t="s">
        <v>77</v>
      </c>
      <c r="AI278" t="s">
        <v>77</v>
      </c>
      <c r="AJ278">
        <v>7</v>
      </c>
      <c r="AK278" t="s">
        <v>77</v>
      </c>
      <c r="AL278">
        <v>318</v>
      </c>
      <c r="AM278">
        <v>585</v>
      </c>
      <c r="AN278">
        <v>44</v>
      </c>
      <c r="AO278" t="s">
        <v>78</v>
      </c>
      <c r="AP278">
        <v>1</v>
      </c>
      <c r="AR278" t="s">
        <v>359</v>
      </c>
      <c r="AS278" s="1">
        <v>44354.119444444441</v>
      </c>
      <c r="AT278" s="1">
        <v>44354.133657407408</v>
      </c>
      <c r="AU278" s="1">
        <v>44354.134166666663</v>
      </c>
      <c r="AV278" t="s">
        <v>71</v>
      </c>
      <c r="AW278" t="s">
        <v>72</v>
      </c>
      <c r="AX278" t="s">
        <v>73</v>
      </c>
    </row>
    <row r="279" spans="1:50" x14ac:dyDescent="0.3">
      <c r="A279" t="str">
        <f>"201025C0100"</f>
        <v>201025C0100</v>
      </c>
      <c r="B279" t="str">
        <f>"201025C01002"</f>
        <v>201025C01002</v>
      </c>
      <c r="C279" t="str">
        <f t="shared" si="11"/>
        <v>20</v>
      </c>
      <c r="D279" t="s">
        <v>67</v>
      </c>
      <c r="E279" t="str">
        <f t="shared" si="12"/>
        <v>002</v>
      </c>
      <c r="F279" t="s">
        <v>311</v>
      </c>
      <c r="G279" t="str">
        <f>"1025"</f>
        <v>1025</v>
      </c>
      <c r="H279" t="str">
        <f>"0001"</f>
        <v>0001</v>
      </c>
      <c r="I279" t="s">
        <v>75</v>
      </c>
      <c r="J279">
        <v>0</v>
      </c>
      <c r="K279">
        <v>1</v>
      </c>
      <c r="L279">
        <v>2</v>
      </c>
      <c r="M279">
        <v>265</v>
      </c>
      <c r="N279">
        <v>370</v>
      </c>
      <c r="O279">
        <v>7</v>
      </c>
      <c r="P279">
        <v>370</v>
      </c>
      <c r="Q279">
        <v>7</v>
      </c>
      <c r="R279">
        <v>27</v>
      </c>
      <c r="S279">
        <v>2</v>
      </c>
      <c r="T279">
        <v>15</v>
      </c>
      <c r="U279">
        <v>10</v>
      </c>
      <c r="V279">
        <v>28</v>
      </c>
      <c r="W279">
        <v>6</v>
      </c>
      <c r="X279">
        <v>178</v>
      </c>
      <c r="Y279">
        <v>58</v>
      </c>
      <c r="Z279">
        <v>6</v>
      </c>
      <c r="AA279">
        <v>1</v>
      </c>
      <c r="AB279">
        <v>18</v>
      </c>
      <c r="AD279">
        <v>2</v>
      </c>
      <c r="AE279">
        <v>1</v>
      </c>
      <c r="AF279" t="s">
        <v>77</v>
      </c>
      <c r="AG279" t="s">
        <v>77</v>
      </c>
      <c r="AI279" t="s">
        <v>77</v>
      </c>
      <c r="AJ279">
        <v>11</v>
      </c>
      <c r="AK279" t="s">
        <v>77</v>
      </c>
      <c r="AL279">
        <v>370</v>
      </c>
      <c r="AM279">
        <v>584</v>
      </c>
      <c r="AN279">
        <v>44</v>
      </c>
      <c r="AO279" t="s">
        <v>78</v>
      </c>
      <c r="AP279">
        <v>1</v>
      </c>
      <c r="AR279" t="s">
        <v>360</v>
      </c>
      <c r="AS279" s="1">
        <v>44354.115972222222</v>
      </c>
      <c r="AT279" s="1">
        <v>44354.118831018517</v>
      </c>
      <c r="AU279" s="1">
        <v>44354.119756944441</v>
      </c>
      <c r="AV279" t="s">
        <v>71</v>
      </c>
      <c r="AW279" t="s">
        <v>72</v>
      </c>
      <c r="AX279" t="s">
        <v>347</v>
      </c>
    </row>
    <row r="280" spans="1:50" x14ac:dyDescent="0.3">
      <c r="A280" t="str">
        <f>"201026B0000"</f>
        <v>201026B0000</v>
      </c>
      <c r="B280" t="str">
        <f>"201026B00002"</f>
        <v>201026B00002</v>
      </c>
      <c r="C280" t="str">
        <f t="shared" si="11"/>
        <v>20</v>
      </c>
      <c r="D280" t="s">
        <v>67</v>
      </c>
      <c r="E280" t="str">
        <f t="shared" si="12"/>
        <v>002</v>
      </c>
      <c r="F280" t="s">
        <v>311</v>
      </c>
      <c r="G280" t="str">
        <f>"1026"</f>
        <v>1026</v>
      </c>
      <c r="H280" t="str">
        <f>"0000"</f>
        <v>0000</v>
      </c>
      <c r="I280" t="s">
        <v>69</v>
      </c>
      <c r="J280">
        <v>0</v>
      </c>
      <c r="K280">
        <v>1</v>
      </c>
      <c r="L280">
        <v>2</v>
      </c>
      <c r="M280">
        <v>333</v>
      </c>
      <c r="N280">
        <v>436</v>
      </c>
      <c r="O280">
        <v>10</v>
      </c>
      <c r="P280">
        <v>436</v>
      </c>
      <c r="Q280">
        <v>7</v>
      </c>
      <c r="R280">
        <v>49</v>
      </c>
      <c r="S280">
        <v>2</v>
      </c>
      <c r="T280">
        <v>16</v>
      </c>
      <c r="U280">
        <v>4</v>
      </c>
      <c r="V280">
        <v>21</v>
      </c>
      <c r="W280">
        <v>3</v>
      </c>
      <c r="X280">
        <v>184</v>
      </c>
      <c r="Y280">
        <v>106</v>
      </c>
      <c r="Z280">
        <v>8</v>
      </c>
      <c r="AA280">
        <v>3</v>
      </c>
      <c r="AB280">
        <v>21</v>
      </c>
      <c r="AD280">
        <v>0</v>
      </c>
      <c r="AE280">
        <v>1</v>
      </c>
      <c r="AF280">
        <v>0</v>
      </c>
      <c r="AG280">
        <v>0</v>
      </c>
      <c r="AI280">
        <v>0</v>
      </c>
      <c r="AJ280">
        <v>11</v>
      </c>
      <c r="AK280">
        <v>436</v>
      </c>
      <c r="AL280">
        <v>436</v>
      </c>
      <c r="AM280">
        <v>725</v>
      </c>
      <c r="AN280">
        <v>44</v>
      </c>
      <c r="AP280">
        <v>1</v>
      </c>
      <c r="AR280" t="s">
        <v>361</v>
      </c>
      <c r="AS280" s="1">
        <v>44354.304166666669</v>
      </c>
      <c r="AT280" s="1">
        <v>44354.308703703704</v>
      </c>
      <c r="AU280" s="1">
        <v>44354.309583333335</v>
      </c>
      <c r="AV280" t="s">
        <v>71</v>
      </c>
      <c r="AW280" t="s">
        <v>72</v>
      </c>
      <c r="AX280" t="s">
        <v>73</v>
      </c>
    </row>
    <row r="281" spans="1:50" x14ac:dyDescent="0.3">
      <c r="A281" t="str">
        <f>"201027B0000"</f>
        <v>201027B0000</v>
      </c>
      <c r="B281" t="str">
        <f>"201027B00002"</f>
        <v>201027B00002</v>
      </c>
      <c r="C281" t="str">
        <f t="shared" si="11"/>
        <v>20</v>
      </c>
      <c r="D281" t="s">
        <v>67</v>
      </c>
      <c r="E281" t="str">
        <f t="shared" si="12"/>
        <v>002</v>
      </c>
      <c r="F281" t="s">
        <v>311</v>
      </c>
      <c r="G281" t="str">
        <f>"1027"</f>
        <v>1027</v>
      </c>
      <c r="H281" t="str">
        <f>"0000"</f>
        <v>0000</v>
      </c>
      <c r="I281" t="s">
        <v>69</v>
      </c>
      <c r="J281">
        <v>0</v>
      </c>
      <c r="K281">
        <v>1</v>
      </c>
      <c r="L281">
        <v>2</v>
      </c>
      <c r="M281">
        <v>237</v>
      </c>
      <c r="N281">
        <v>258</v>
      </c>
      <c r="O281">
        <v>5</v>
      </c>
      <c r="P281">
        <v>258</v>
      </c>
      <c r="Q281">
        <v>6</v>
      </c>
      <c r="R281">
        <v>45</v>
      </c>
      <c r="S281">
        <v>0</v>
      </c>
      <c r="T281">
        <v>10</v>
      </c>
      <c r="U281">
        <v>3</v>
      </c>
      <c r="V281">
        <v>17</v>
      </c>
      <c r="W281">
        <v>3</v>
      </c>
      <c r="X281">
        <v>82</v>
      </c>
      <c r="Y281">
        <v>59</v>
      </c>
      <c r="Z281">
        <v>5</v>
      </c>
      <c r="AA281">
        <v>1</v>
      </c>
      <c r="AB281">
        <v>15</v>
      </c>
      <c r="AD281">
        <v>0</v>
      </c>
      <c r="AE281">
        <v>0</v>
      </c>
      <c r="AF281">
        <v>0</v>
      </c>
      <c r="AG281">
        <v>0</v>
      </c>
      <c r="AI281" t="s">
        <v>77</v>
      </c>
      <c r="AJ281">
        <v>12</v>
      </c>
      <c r="AK281">
        <v>258</v>
      </c>
      <c r="AL281">
        <v>258</v>
      </c>
      <c r="AM281">
        <v>451</v>
      </c>
      <c r="AN281">
        <v>44</v>
      </c>
      <c r="AO281" t="s">
        <v>78</v>
      </c>
      <c r="AP281">
        <v>1</v>
      </c>
      <c r="AR281" t="s">
        <v>362</v>
      </c>
      <c r="AS281" s="1">
        <v>44354.032638888886</v>
      </c>
      <c r="AT281" s="1">
        <v>44354.062407407408</v>
      </c>
      <c r="AU281" s="1">
        <v>44354.063298611109</v>
      </c>
      <c r="AV281" t="s">
        <v>71</v>
      </c>
      <c r="AW281" t="s">
        <v>72</v>
      </c>
      <c r="AX281" t="s">
        <v>73</v>
      </c>
    </row>
    <row r="282" spans="1:50" x14ac:dyDescent="0.3">
      <c r="A282" t="str">
        <f>"201027C0100"</f>
        <v>201027C0100</v>
      </c>
      <c r="B282" t="str">
        <f>"201027C01002"</f>
        <v>201027C01002</v>
      </c>
      <c r="C282" t="str">
        <f t="shared" si="11"/>
        <v>20</v>
      </c>
      <c r="D282" t="s">
        <v>67</v>
      </c>
      <c r="E282" t="str">
        <f t="shared" si="12"/>
        <v>002</v>
      </c>
      <c r="F282" t="s">
        <v>311</v>
      </c>
      <c r="G282" t="str">
        <f>"1027"</f>
        <v>1027</v>
      </c>
      <c r="H282" t="str">
        <f>"0001"</f>
        <v>0001</v>
      </c>
      <c r="I282" t="s">
        <v>75</v>
      </c>
      <c r="J282">
        <v>0</v>
      </c>
      <c r="K282">
        <v>1</v>
      </c>
      <c r="L282">
        <v>2</v>
      </c>
      <c r="M282">
        <v>224</v>
      </c>
      <c r="N282">
        <v>271</v>
      </c>
      <c r="O282">
        <v>10</v>
      </c>
      <c r="P282" t="s">
        <v>99</v>
      </c>
      <c r="Q282">
        <v>9</v>
      </c>
      <c r="R282">
        <v>28</v>
      </c>
      <c r="S282">
        <v>2</v>
      </c>
      <c r="T282">
        <v>11</v>
      </c>
      <c r="U282">
        <v>3</v>
      </c>
      <c r="V282">
        <v>14</v>
      </c>
      <c r="W282">
        <v>5</v>
      </c>
      <c r="X282">
        <v>102</v>
      </c>
      <c r="Y282">
        <v>74</v>
      </c>
      <c r="Z282">
        <v>5</v>
      </c>
      <c r="AA282">
        <v>2</v>
      </c>
      <c r="AB282">
        <v>11</v>
      </c>
      <c r="AD282">
        <v>0</v>
      </c>
      <c r="AE282">
        <v>0</v>
      </c>
      <c r="AF282">
        <v>0</v>
      </c>
      <c r="AG282">
        <v>0</v>
      </c>
      <c r="AI282">
        <v>1</v>
      </c>
      <c r="AJ282">
        <v>4</v>
      </c>
      <c r="AK282" t="s">
        <v>99</v>
      </c>
      <c r="AL282">
        <v>271</v>
      </c>
      <c r="AM282">
        <v>451</v>
      </c>
      <c r="AN282">
        <v>44</v>
      </c>
      <c r="AP282">
        <v>1</v>
      </c>
      <c r="AR282" t="s">
        <v>363</v>
      </c>
      <c r="AS282" s="1">
        <v>44354.024305555555</v>
      </c>
      <c r="AT282" s="1">
        <v>44354.054849537039</v>
      </c>
      <c r="AU282" s="1">
        <v>44354.05541666667</v>
      </c>
      <c r="AV282" t="s">
        <v>71</v>
      </c>
      <c r="AW282" t="s">
        <v>72</v>
      </c>
      <c r="AX282" t="s">
        <v>73</v>
      </c>
    </row>
    <row r="283" spans="1:50" x14ac:dyDescent="0.3">
      <c r="A283" t="str">
        <f>"201028B0000"</f>
        <v>201028B0000</v>
      </c>
      <c r="B283" t="str">
        <f>"201028B00002"</f>
        <v>201028B00002</v>
      </c>
      <c r="C283" t="str">
        <f t="shared" si="11"/>
        <v>20</v>
      </c>
      <c r="D283" t="s">
        <v>67</v>
      </c>
      <c r="E283" t="str">
        <f t="shared" si="12"/>
        <v>002</v>
      </c>
      <c r="F283" t="s">
        <v>311</v>
      </c>
      <c r="G283" t="str">
        <f>"1028"</f>
        <v>1028</v>
      </c>
      <c r="H283" t="str">
        <f>"0000"</f>
        <v>0000</v>
      </c>
      <c r="I283" t="s">
        <v>69</v>
      </c>
      <c r="J283">
        <v>0</v>
      </c>
      <c r="K283">
        <v>1</v>
      </c>
      <c r="L283">
        <v>2</v>
      </c>
      <c r="M283">
        <v>299</v>
      </c>
      <c r="N283">
        <v>287</v>
      </c>
      <c r="O283">
        <v>9</v>
      </c>
      <c r="P283">
        <v>287</v>
      </c>
      <c r="Q283">
        <v>11</v>
      </c>
      <c r="R283">
        <v>41</v>
      </c>
      <c r="S283">
        <v>2</v>
      </c>
      <c r="T283">
        <v>12</v>
      </c>
      <c r="U283">
        <v>1</v>
      </c>
      <c r="V283">
        <v>18</v>
      </c>
      <c r="W283">
        <v>5</v>
      </c>
      <c r="X283">
        <v>109</v>
      </c>
      <c r="Y283">
        <v>51</v>
      </c>
      <c r="Z283">
        <v>7</v>
      </c>
      <c r="AA283">
        <v>4</v>
      </c>
      <c r="AB283">
        <v>17</v>
      </c>
      <c r="AD283">
        <v>0</v>
      </c>
      <c r="AE283">
        <v>0</v>
      </c>
      <c r="AF283">
        <v>0</v>
      </c>
      <c r="AG283">
        <v>0</v>
      </c>
      <c r="AI283">
        <v>0</v>
      </c>
      <c r="AJ283">
        <v>9</v>
      </c>
      <c r="AK283">
        <v>287</v>
      </c>
      <c r="AL283">
        <v>287</v>
      </c>
      <c r="AM283">
        <v>543</v>
      </c>
      <c r="AN283">
        <v>44</v>
      </c>
      <c r="AP283">
        <v>1</v>
      </c>
      <c r="AR283" t="s">
        <v>364</v>
      </c>
      <c r="AS283" s="1">
        <v>44354.039583333331</v>
      </c>
      <c r="AT283" s="1">
        <v>44354.070057870369</v>
      </c>
      <c r="AU283" s="1">
        <v>44354.070590277777</v>
      </c>
      <c r="AV283" t="s">
        <v>71</v>
      </c>
      <c r="AW283" t="s">
        <v>72</v>
      </c>
      <c r="AX283" t="s">
        <v>73</v>
      </c>
    </row>
    <row r="284" spans="1:50" x14ac:dyDescent="0.3">
      <c r="A284" t="str">
        <f>"201028C0100"</f>
        <v>201028C0100</v>
      </c>
      <c r="B284" t="str">
        <f>"201028C01002"</f>
        <v>201028C01002</v>
      </c>
      <c r="C284" t="str">
        <f t="shared" si="11"/>
        <v>20</v>
      </c>
      <c r="D284" t="s">
        <v>67</v>
      </c>
      <c r="E284" t="str">
        <f t="shared" si="12"/>
        <v>002</v>
      </c>
      <c r="F284" t="s">
        <v>311</v>
      </c>
      <c r="G284" t="str">
        <f>"1028"</f>
        <v>1028</v>
      </c>
      <c r="H284" t="str">
        <f>"0001"</f>
        <v>0001</v>
      </c>
      <c r="I284" t="s">
        <v>75</v>
      </c>
      <c r="J284">
        <v>0</v>
      </c>
      <c r="K284">
        <v>1</v>
      </c>
      <c r="L284">
        <v>2</v>
      </c>
      <c r="M284">
        <v>260</v>
      </c>
      <c r="N284">
        <v>328</v>
      </c>
      <c r="O284">
        <v>15</v>
      </c>
      <c r="P284">
        <v>328</v>
      </c>
      <c r="Q284">
        <v>18</v>
      </c>
      <c r="R284">
        <v>39</v>
      </c>
      <c r="S284">
        <v>2</v>
      </c>
      <c r="T284">
        <v>10</v>
      </c>
      <c r="U284">
        <v>3</v>
      </c>
      <c r="V284">
        <v>23</v>
      </c>
      <c r="W284">
        <v>7</v>
      </c>
      <c r="X284">
        <v>115</v>
      </c>
      <c r="Y284">
        <v>77</v>
      </c>
      <c r="Z284">
        <v>5</v>
      </c>
      <c r="AA284">
        <v>0</v>
      </c>
      <c r="AB284">
        <v>24</v>
      </c>
      <c r="AD284">
        <v>0</v>
      </c>
      <c r="AE284">
        <v>5</v>
      </c>
      <c r="AF284">
        <v>0</v>
      </c>
      <c r="AG284">
        <v>0</v>
      </c>
      <c r="AI284">
        <v>0</v>
      </c>
      <c r="AJ284">
        <v>2</v>
      </c>
      <c r="AK284">
        <v>328</v>
      </c>
      <c r="AL284">
        <v>330</v>
      </c>
      <c r="AM284">
        <v>543</v>
      </c>
      <c r="AN284">
        <v>44</v>
      </c>
      <c r="AP284">
        <v>1</v>
      </c>
      <c r="AR284" t="s">
        <v>365</v>
      </c>
      <c r="AS284" s="1">
        <v>44354.040277777778</v>
      </c>
      <c r="AT284" s="1">
        <v>44354.069930555554</v>
      </c>
      <c r="AU284" s="1">
        <v>44354.070439814815</v>
      </c>
      <c r="AV284" t="s">
        <v>71</v>
      </c>
      <c r="AW284" t="s">
        <v>72</v>
      </c>
      <c r="AX284" t="s">
        <v>73</v>
      </c>
    </row>
    <row r="285" spans="1:50" x14ac:dyDescent="0.3">
      <c r="A285" t="str">
        <f>"201028S0100"</f>
        <v>201028S0100</v>
      </c>
      <c r="B285" t="str">
        <f>"201028S01002EMR"</f>
        <v>201028S01002EMR</v>
      </c>
      <c r="C285" t="str">
        <f t="shared" si="11"/>
        <v>20</v>
      </c>
      <c r="D285" t="s">
        <v>67</v>
      </c>
      <c r="E285" t="str">
        <f t="shared" si="12"/>
        <v>002</v>
      </c>
      <c r="F285" t="s">
        <v>311</v>
      </c>
      <c r="G285" t="str">
        <f>"1028"</f>
        <v>1028</v>
      </c>
      <c r="H285" t="str">
        <f>"0001"</f>
        <v>0001</v>
      </c>
      <c r="I285" t="s">
        <v>85</v>
      </c>
      <c r="J285">
        <v>0</v>
      </c>
      <c r="K285">
        <v>1</v>
      </c>
      <c r="L285" t="s">
        <v>86</v>
      </c>
      <c r="AM285">
        <v>0</v>
      </c>
      <c r="AN285">
        <v>44</v>
      </c>
      <c r="AO285" t="s">
        <v>352</v>
      </c>
      <c r="AP285">
        <v>0</v>
      </c>
      <c r="AR285" t="s">
        <v>366</v>
      </c>
      <c r="AS285" s="1">
        <v>44354.356944444444</v>
      </c>
      <c r="AT285" s="1">
        <v>44354.363055555557</v>
      </c>
      <c r="AU285" s="1">
        <v>44354.363055555557</v>
      </c>
      <c r="AV285" t="s">
        <v>71</v>
      </c>
      <c r="AW285" t="s">
        <v>72</v>
      </c>
      <c r="AX285" t="s">
        <v>73</v>
      </c>
    </row>
    <row r="286" spans="1:50" x14ac:dyDescent="0.3">
      <c r="A286" t="str">
        <f>"201029B0000"</f>
        <v>201029B0000</v>
      </c>
      <c r="B286" t="str">
        <f>"201029B00002"</f>
        <v>201029B00002</v>
      </c>
      <c r="C286" t="str">
        <f t="shared" si="11"/>
        <v>20</v>
      </c>
      <c r="D286" t="s">
        <v>67</v>
      </c>
      <c r="E286" t="str">
        <f t="shared" si="12"/>
        <v>002</v>
      </c>
      <c r="F286" t="s">
        <v>311</v>
      </c>
      <c r="G286" t="str">
        <f>"1029"</f>
        <v>1029</v>
      </c>
      <c r="H286" t="str">
        <f>"0000"</f>
        <v>0000</v>
      </c>
      <c r="I286" t="s">
        <v>69</v>
      </c>
      <c r="J286">
        <v>0</v>
      </c>
      <c r="K286">
        <v>1</v>
      </c>
      <c r="L286">
        <v>2</v>
      </c>
      <c r="M286">
        <v>261</v>
      </c>
      <c r="N286">
        <v>302</v>
      </c>
      <c r="O286">
        <v>13</v>
      </c>
      <c r="P286">
        <v>302</v>
      </c>
      <c r="Q286">
        <v>19</v>
      </c>
      <c r="R286">
        <v>57</v>
      </c>
      <c r="S286" t="s">
        <v>77</v>
      </c>
      <c r="T286">
        <v>14</v>
      </c>
      <c r="U286">
        <v>9</v>
      </c>
      <c r="V286">
        <v>8</v>
      </c>
      <c r="W286">
        <v>6</v>
      </c>
      <c r="X286">
        <v>118</v>
      </c>
      <c r="Y286">
        <v>51</v>
      </c>
      <c r="Z286">
        <v>4</v>
      </c>
      <c r="AA286">
        <v>1</v>
      </c>
      <c r="AB286">
        <v>9</v>
      </c>
      <c r="AD286" t="s">
        <v>77</v>
      </c>
      <c r="AE286" t="s">
        <v>77</v>
      </c>
      <c r="AF286" t="s">
        <v>77</v>
      </c>
      <c r="AG286" t="s">
        <v>77</v>
      </c>
      <c r="AI286" t="s">
        <v>77</v>
      </c>
      <c r="AJ286">
        <v>6</v>
      </c>
      <c r="AK286">
        <v>302</v>
      </c>
      <c r="AL286">
        <v>302</v>
      </c>
      <c r="AM286">
        <v>519</v>
      </c>
      <c r="AN286">
        <v>44</v>
      </c>
      <c r="AO286" t="s">
        <v>78</v>
      </c>
      <c r="AP286">
        <v>1</v>
      </c>
      <c r="AR286" t="s">
        <v>367</v>
      </c>
      <c r="AS286" s="1">
        <v>44354.022222222222</v>
      </c>
      <c r="AT286" s="1">
        <v>44354.054594907408</v>
      </c>
      <c r="AU286" s="1">
        <v>44354.055185185185</v>
      </c>
      <c r="AV286" t="s">
        <v>71</v>
      </c>
      <c r="AW286" t="s">
        <v>72</v>
      </c>
      <c r="AX286" t="s">
        <v>73</v>
      </c>
    </row>
    <row r="287" spans="1:50" x14ac:dyDescent="0.3">
      <c r="A287" t="str">
        <f>"201029C0100"</f>
        <v>201029C0100</v>
      </c>
      <c r="B287" t="str">
        <f>"201029C01002"</f>
        <v>201029C01002</v>
      </c>
      <c r="C287" t="str">
        <f t="shared" si="11"/>
        <v>20</v>
      </c>
      <c r="D287" t="s">
        <v>67</v>
      </c>
      <c r="E287" t="str">
        <f t="shared" si="12"/>
        <v>002</v>
      </c>
      <c r="F287" t="s">
        <v>311</v>
      </c>
      <c r="G287" t="str">
        <f>"1029"</f>
        <v>1029</v>
      </c>
      <c r="H287" t="str">
        <f>"0001"</f>
        <v>0001</v>
      </c>
      <c r="I287" t="s">
        <v>75</v>
      </c>
      <c r="J287">
        <v>0</v>
      </c>
      <c r="K287">
        <v>1</v>
      </c>
      <c r="L287">
        <v>2</v>
      </c>
      <c r="M287">
        <v>276</v>
      </c>
      <c r="N287">
        <v>287</v>
      </c>
      <c r="O287">
        <v>9</v>
      </c>
      <c r="P287">
        <v>287</v>
      </c>
      <c r="Q287">
        <v>10</v>
      </c>
      <c r="R287">
        <v>48</v>
      </c>
      <c r="S287">
        <v>1</v>
      </c>
      <c r="T287">
        <v>13</v>
      </c>
      <c r="U287">
        <v>4</v>
      </c>
      <c r="V287">
        <v>8</v>
      </c>
      <c r="W287">
        <v>7</v>
      </c>
      <c r="X287">
        <v>105</v>
      </c>
      <c r="Y287">
        <v>45</v>
      </c>
      <c r="Z287">
        <v>11</v>
      </c>
      <c r="AA287">
        <v>2</v>
      </c>
      <c r="AB287">
        <v>25</v>
      </c>
      <c r="AD287">
        <v>1</v>
      </c>
      <c r="AE287">
        <v>2</v>
      </c>
      <c r="AF287">
        <v>0</v>
      </c>
      <c r="AG287">
        <v>0</v>
      </c>
      <c r="AI287">
        <v>1</v>
      </c>
      <c r="AJ287">
        <v>4</v>
      </c>
      <c r="AK287">
        <v>287</v>
      </c>
      <c r="AL287">
        <v>287</v>
      </c>
      <c r="AM287">
        <v>519</v>
      </c>
      <c r="AN287">
        <v>44</v>
      </c>
      <c r="AP287">
        <v>1</v>
      </c>
      <c r="AR287" t="s">
        <v>368</v>
      </c>
      <c r="AS287" s="1">
        <v>44354.023611111108</v>
      </c>
      <c r="AT287" s="1">
        <v>44354.053483796299</v>
      </c>
      <c r="AU287" s="1">
        <v>44354.054074074076</v>
      </c>
      <c r="AV287" t="s">
        <v>71</v>
      </c>
      <c r="AW287" t="s">
        <v>72</v>
      </c>
      <c r="AX287" t="s">
        <v>73</v>
      </c>
    </row>
    <row r="288" spans="1:50" x14ac:dyDescent="0.3">
      <c r="A288" t="str">
        <f>"201030B0000"</f>
        <v>201030B0000</v>
      </c>
      <c r="B288" t="str">
        <f>"201030B00002"</f>
        <v>201030B00002</v>
      </c>
      <c r="C288" t="str">
        <f t="shared" si="11"/>
        <v>20</v>
      </c>
      <c r="D288" t="s">
        <v>67</v>
      </c>
      <c r="E288" t="str">
        <f t="shared" si="12"/>
        <v>002</v>
      </c>
      <c r="F288" t="s">
        <v>311</v>
      </c>
      <c r="G288" t="str">
        <f>"1030"</f>
        <v>1030</v>
      </c>
      <c r="H288" t="str">
        <f>"0000"</f>
        <v>0000</v>
      </c>
      <c r="I288" t="s">
        <v>69</v>
      </c>
      <c r="J288">
        <v>0</v>
      </c>
      <c r="K288">
        <v>1</v>
      </c>
      <c r="L288">
        <v>2</v>
      </c>
      <c r="M288">
        <v>228</v>
      </c>
      <c r="N288">
        <v>240</v>
      </c>
      <c r="O288">
        <v>9</v>
      </c>
      <c r="P288">
        <v>240</v>
      </c>
      <c r="Q288">
        <v>13</v>
      </c>
      <c r="R288">
        <v>29</v>
      </c>
      <c r="S288">
        <v>0</v>
      </c>
      <c r="T288">
        <v>12</v>
      </c>
      <c r="U288">
        <v>4</v>
      </c>
      <c r="V288">
        <v>5</v>
      </c>
      <c r="W288">
        <v>3</v>
      </c>
      <c r="X288">
        <v>111</v>
      </c>
      <c r="Y288">
        <v>34</v>
      </c>
      <c r="Z288">
        <v>7</v>
      </c>
      <c r="AA288">
        <v>1</v>
      </c>
      <c r="AB288">
        <v>15</v>
      </c>
      <c r="AD288">
        <v>0</v>
      </c>
      <c r="AE288">
        <v>0</v>
      </c>
      <c r="AF288">
        <v>0</v>
      </c>
      <c r="AG288">
        <v>0</v>
      </c>
      <c r="AI288">
        <v>1</v>
      </c>
      <c r="AJ288">
        <v>5</v>
      </c>
      <c r="AK288">
        <v>240</v>
      </c>
      <c r="AL288">
        <v>240</v>
      </c>
      <c r="AM288">
        <v>424</v>
      </c>
      <c r="AN288">
        <v>44</v>
      </c>
      <c r="AP288">
        <v>1</v>
      </c>
      <c r="AR288" t="s">
        <v>369</v>
      </c>
      <c r="AS288" s="1">
        <v>44354.036805555559</v>
      </c>
      <c r="AT288" s="1">
        <v>44354.066481481481</v>
      </c>
      <c r="AU288" s="1">
        <v>44354.06690972222</v>
      </c>
      <c r="AV288" t="s">
        <v>71</v>
      </c>
      <c r="AW288" t="s">
        <v>72</v>
      </c>
      <c r="AX288" t="s">
        <v>73</v>
      </c>
    </row>
    <row r="289" spans="1:50" x14ac:dyDescent="0.3">
      <c r="A289" t="str">
        <f>"201030C0100"</f>
        <v>201030C0100</v>
      </c>
      <c r="B289" t="str">
        <f>"201030C01002"</f>
        <v>201030C01002</v>
      </c>
      <c r="C289" t="str">
        <f t="shared" si="11"/>
        <v>20</v>
      </c>
      <c r="D289" t="s">
        <v>67</v>
      </c>
      <c r="E289" t="str">
        <f t="shared" si="12"/>
        <v>002</v>
      </c>
      <c r="F289" t="s">
        <v>311</v>
      </c>
      <c r="G289" t="str">
        <f>"1030"</f>
        <v>1030</v>
      </c>
      <c r="H289" t="str">
        <f>"0001"</f>
        <v>0001</v>
      </c>
      <c r="I289" t="s">
        <v>75</v>
      </c>
      <c r="J289">
        <v>0</v>
      </c>
      <c r="K289">
        <v>1</v>
      </c>
      <c r="L289">
        <v>2</v>
      </c>
      <c r="M289">
        <v>228</v>
      </c>
      <c r="N289">
        <v>239</v>
      </c>
      <c r="O289">
        <v>8</v>
      </c>
      <c r="P289">
        <v>239</v>
      </c>
      <c r="Q289">
        <v>20</v>
      </c>
      <c r="R289">
        <v>38</v>
      </c>
      <c r="S289">
        <v>0</v>
      </c>
      <c r="T289">
        <v>8</v>
      </c>
      <c r="U289">
        <v>6</v>
      </c>
      <c r="V289">
        <v>6</v>
      </c>
      <c r="W289">
        <v>5</v>
      </c>
      <c r="X289">
        <v>96</v>
      </c>
      <c r="Y289">
        <v>34</v>
      </c>
      <c r="Z289">
        <v>4</v>
      </c>
      <c r="AA289">
        <v>2</v>
      </c>
      <c r="AB289">
        <v>14</v>
      </c>
      <c r="AD289">
        <v>0</v>
      </c>
      <c r="AE289">
        <v>0</v>
      </c>
      <c r="AF289">
        <v>0</v>
      </c>
      <c r="AG289">
        <v>0</v>
      </c>
      <c r="AI289">
        <v>0</v>
      </c>
      <c r="AJ289">
        <v>6</v>
      </c>
      <c r="AK289">
        <v>239</v>
      </c>
      <c r="AL289">
        <v>239</v>
      </c>
      <c r="AM289">
        <v>423</v>
      </c>
      <c r="AN289">
        <v>44</v>
      </c>
      <c r="AP289">
        <v>1</v>
      </c>
      <c r="AR289" t="s">
        <v>370</v>
      </c>
      <c r="AS289" s="1">
        <v>44354.036111111112</v>
      </c>
      <c r="AT289" s="1">
        <v>44354.064270833333</v>
      </c>
      <c r="AU289" s="1">
        <v>44354.064826388887</v>
      </c>
      <c r="AV289" t="s">
        <v>71</v>
      </c>
      <c r="AW289" t="s">
        <v>72</v>
      </c>
      <c r="AX289" t="s">
        <v>73</v>
      </c>
    </row>
    <row r="290" spans="1:50" x14ac:dyDescent="0.3">
      <c r="A290" t="str">
        <f>"201031B0000"</f>
        <v>201031B0000</v>
      </c>
      <c r="B290" t="str">
        <f>"201031B00002"</f>
        <v>201031B00002</v>
      </c>
      <c r="C290" t="str">
        <f t="shared" si="11"/>
        <v>20</v>
      </c>
      <c r="D290" t="s">
        <v>67</v>
      </c>
      <c r="E290" t="str">
        <f t="shared" si="12"/>
        <v>002</v>
      </c>
      <c r="F290" t="s">
        <v>311</v>
      </c>
      <c r="G290" t="str">
        <f>"1031"</f>
        <v>1031</v>
      </c>
      <c r="H290" t="str">
        <f>"0000"</f>
        <v>0000</v>
      </c>
      <c r="I290" t="s">
        <v>69</v>
      </c>
      <c r="J290">
        <v>0</v>
      </c>
      <c r="K290">
        <v>1</v>
      </c>
      <c r="L290">
        <v>2</v>
      </c>
      <c r="M290">
        <v>309</v>
      </c>
      <c r="N290">
        <v>319</v>
      </c>
      <c r="O290">
        <v>4</v>
      </c>
      <c r="P290">
        <v>319</v>
      </c>
      <c r="Q290">
        <v>17</v>
      </c>
      <c r="R290">
        <v>40</v>
      </c>
      <c r="S290">
        <v>0</v>
      </c>
      <c r="T290">
        <v>17</v>
      </c>
      <c r="U290">
        <v>1</v>
      </c>
      <c r="V290">
        <v>16</v>
      </c>
      <c r="W290">
        <v>10</v>
      </c>
      <c r="X290">
        <v>147</v>
      </c>
      <c r="Y290">
        <v>38</v>
      </c>
      <c r="Z290">
        <v>7</v>
      </c>
      <c r="AA290">
        <v>1</v>
      </c>
      <c r="AB290">
        <v>17</v>
      </c>
      <c r="AD290">
        <v>0</v>
      </c>
      <c r="AE290">
        <v>0</v>
      </c>
      <c r="AF290">
        <v>0</v>
      </c>
      <c r="AG290">
        <v>0</v>
      </c>
      <c r="AI290">
        <v>0</v>
      </c>
      <c r="AJ290">
        <v>8</v>
      </c>
      <c r="AK290">
        <v>319</v>
      </c>
      <c r="AL290">
        <v>319</v>
      </c>
      <c r="AM290">
        <v>584</v>
      </c>
      <c r="AN290">
        <v>44</v>
      </c>
      <c r="AP290">
        <v>1</v>
      </c>
      <c r="AR290" t="s">
        <v>371</v>
      </c>
      <c r="AS290" s="1">
        <v>44354.04583333333</v>
      </c>
      <c r="AT290" s="1">
        <v>44354.074293981481</v>
      </c>
      <c r="AU290" s="1">
        <v>44354.074976851851</v>
      </c>
      <c r="AV290" t="s">
        <v>71</v>
      </c>
      <c r="AW290" t="s">
        <v>72</v>
      </c>
      <c r="AX290" t="s">
        <v>73</v>
      </c>
    </row>
    <row r="291" spans="1:50" x14ac:dyDescent="0.3">
      <c r="A291" t="str">
        <f>"201031C0100"</f>
        <v>201031C0100</v>
      </c>
      <c r="B291" t="str">
        <f>"201031C01002"</f>
        <v>201031C01002</v>
      </c>
      <c r="C291" t="str">
        <f t="shared" si="11"/>
        <v>20</v>
      </c>
      <c r="D291" t="s">
        <v>67</v>
      </c>
      <c r="E291" t="str">
        <f t="shared" si="12"/>
        <v>002</v>
      </c>
      <c r="F291" t="s">
        <v>311</v>
      </c>
      <c r="G291" t="str">
        <f>"1031"</f>
        <v>1031</v>
      </c>
      <c r="H291" t="str">
        <f>"0001"</f>
        <v>0001</v>
      </c>
      <c r="I291" t="s">
        <v>75</v>
      </c>
      <c r="J291">
        <v>0</v>
      </c>
      <c r="K291">
        <v>1</v>
      </c>
      <c r="L291">
        <v>2</v>
      </c>
      <c r="M291">
        <v>282</v>
      </c>
      <c r="N291">
        <v>345</v>
      </c>
      <c r="O291">
        <v>3</v>
      </c>
      <c r="P291">
        <v>345</v>
      </c>
      <c r="Q291">
        <v>15</v>
      </c>
      <c r="R291">
        <v>49</v>
      </c>
      <c r="S291">
        <v>1</v>
      </c>
      <c r="T291">
        <v>24</v>
      </c>
      <c r="U291">
        <v>4</v>
      </c>
      <c r="V291">
        <v>13</v>
      </c>
      <c r="W291">
        <v>3</v>
      </c>
      <c r="X291">
        <v>154</v>
      </c>
      <c r="Y291">
        <v>46</v>
      </c>
      <c r="Z291">
        <v>7</v>
      </c>
      <c r="AA291">
        <v>4</v>
      </c>
      <c r="AB291">
        <v>16</v>
      </c>
      <c r="AD291">
        <v>1</v>
      </c>
      <c r="AE291">
        <v>2</v>
      </c>
      <c r="AF291">
        <v>0</v>
      </c>
      <c r="AG291">
        <v>1</v>
      </c>
      <c r="AI291">
        <v>0</v>
      </c>
      <c r="AJ291">
        <v>5</v>
      </c>
      <c r="AK291">
        <v>345</v>
      </c>
      <c r="AL291">
        <v>345</v>
      </c>
      <c r="AM291">
        <v>583</v>
      </c>
      <c r="AN291">
        <v>44</v>
      </c>
      <c r="AP291">
        <v>1</v>
      </c>
      <c r="AR291" t="s">
        <v>372</v>
      </c>
      <c r="AS291" s="1">
        <v>44354.040972222225</v>
      </c>
      <c r="AT291" s="1">
        <v>44354.071226851855</v>
      </c>
      <c r="AU291" s="1">
        <v>44354.071770833332</v>
      </c>
      <c r="AV291" t="s">
        <v>71</v>
      </c>
      <c r="AW291" t="s">
        <v>72</v>
      </c>
      <c r="AX291" t="s">
        <v>73</v>
      </c>
    </row>
    <row r="292" spans="1:50" x14ac:dyDescent="0.3">
      <c r="A292" t="str">
        <f>"201032B0000"</f>
        <v>201032B0000</v>
      </c>
      <c r="B292" t="str">
        <f>"201032B00002"</f>
        <v>201032B00002</v>
      </c>
      <c r="C292" t="str">
        <f t="shared" si="11"/>
        <v>20</v>
      </c>
      <c r="D292" t="s">
        <v>67</v>
      </c>
      <c r="E292" t="str">
        <f t="shared" si="12"/>
        <v>002</v>
      </c>
      <c r="F292" t="s">
        <v>311</v>
      </c>
      <c r="G292" t="str">
        <f>"1032"</f>
        <v>1032</v>
      </c>
      <c r="H292" t="str">
        <f>"0000"</f>
        <v>0000</v>
      </c>
      <c r="I292" t="s">
        <v>69</v>
      </c>
      <c r="J292">
        <v>0</v>
      </c>
      <c r="K292">
        <v>1</v>
      </c>
      <c r="L292">
        <v>2</v>
      </c>
      <c r="M292">
        <v>227</v>
      </c>
      <c r="N292">
        <v>227</v>
      </c>
      <c r="O292">
        <v>3</v>
      </c>
      <c r="P292">
        <v>212</v>
      </c>
      <c r="Q292">
        <v>16</v>
      </c>
      <c r="R292">
        <v>19</v>
      </c>
      <c r="S292">
        <v>4</v>
      </c>
      <c r="T292">
        <v>10</v>
      </c>
      <c r="U292">
        <v>5</v>
      </c>
      <c r="V292">
        <v>17</v>
      </c>
      <c r="W292">
        <v>1</v>
      </c>
      <c r="X292">
        <v>87</v>
      </c>
      <c r="Y292">
        <v>41</v>
      </c>
      <c r="Z292">
        <v>2</v>
      </c>
      <c r="AA292">
        <v>1</v>
      </c>
      <c r="AB292">
        <v>5</v>
      </c>
      <c r="AD292">
        <v>1</v>
      </c>
      <c r="AE292">
        <v>0</v>
      </c>
      <c r="AF292">
        <v>0</v>
      </c>
      <c r="AG292">
        <v>0</v>
      </c>
      <c r="AI292">
        <v>0</v>
      </c>
      <c r="AJ292">
        <v>3</v>
      </c>
      <c r="AK292">
        <v>212</v>
      </c>
      <c r="AL292">
        <v>212</v>
      </c>
      <c r="AM292">
        <v>395</v>
      </c>
      <c r="AN292">
        <v>44</v>
      </c>
      <c r="AP292">
        <v>1</v>
      </c>
      <c r="AR292" t="s">
        <v>373</v>
      </c>
      <c r="AS292" s="1">
        <v>44353.944444444445</v>
      </c>
      <c r="AT292" s="1">
        <v>44353.952557870369</v>
      </c>
      <c r="AU292" s="1">
        <v>44353.953321759262</v>
      </c>
      <c r="AV292" t="s">
        <v>71</v>
      </c>
      <c r="AW292" t="s">
        <v>72</v>
      </c>
      <c r="AX292" t="s">
        <v>73</v>
      </c>
    </row>
    <row r="293" spans="1:50" x14ac:dyDescent="0.3">
      <c r="A293" t="str">
        <f>"201032C0100"</f>
        <v>201032C0100</v>
      </c>
      <c r="B293" t="str">
        <f>"201032C01002"</f>
        <v>201032C01002</v>
      </c>
      <c r="C293" t="str">
        <f t="shared" si="11"/>
        <v>20</v>
      </c>
      <c r="D293" t="s">
        <v>67</v>
      </c>
      <c r="E293" t="str">
        <f t="shared" si="12"/>
        <v>002</v>
      </c>
      <c r="F293" t="s">
        <v>311</v>
      </c>
      <c r="G293" t="str">
        <f>"1032"</f>
        <v>1032</v>
      </c>
      <c r="H293" t="str">
        <f>"0001"</f>
        <v>0001</v>
      </c>
      <c r="I293" t="s">
        <v>75</v>
      </c>
      <c r="J293">
        <v>0</v>
      </c>
      <c r="K293">
        <v>1</v>
      </c>
      <c r="L293">
        <v>2</v>
      </c>
      <c r="M293">
        <v>191</v>
      </c>
      <c r="N293">
        <v>248</v>
      </c>
      <c r="O293">
        <v>7</v>
      </c>
      <c r="P293" t="s">
        <v>80</v>
      </c>
      <c r="Q293">
        <v>18</v>
      </c>
      <c r="R293">
        <v>35</v>
      </c>
      <c r="S293">
        <v>0</v>
      </c>
      <c r="T293">
        <v>9</v>
      </c>
      <c r="U293">
        <v>3</v>
      </c>
      <c r="V293">
        <v>12</v>
      </c>
      <c r="W293">
        <v>4</v>
      </c>
      <c r="X293">
        <v>110</v>
      </c>
      <c r="Y293">
        <v>40</v>
      </c>
      <c r="Z293">
        <v>4</v>
      </c>
      <c r="AA293">
        <v>0</v>
      </c>
      <c r="AB293">
        <v>10</v>
      </c>
      <c r="AD293">
        <v>0</v>
      </c>
      <c r="AE293">
        <v>1</v>
      </c>
      <c r="AF293">
        <v>0</v>
      </c>
      <c r="AG293">
        <v>0</v>
      </c>
      <c r="AI293">
        <v>0</v>
      </c>
      <c r="AJ293">
        <v>2</v>
      </c>
      <c r="AK293">
        <v>248</v>
      </c>
      <c r="AL293">
        <v>248</v>
      </c>
      <c r="AM293">
        <v>395</v>
      </c>
      <c r="AN293">
        <v>44</v>
      </c>
      <c r="AP293">
        <v>1</v>
      </c>
      <c r="AR293" t="s">
        <v>374</v>
      </c>
      <c r="AS293" s="1">
        <v>44353.943749999999</v>
      </c>
      <c r="AT293" s="1">
        <v>44353.95039351852</v>
      </c>
      <c r="AU293" s="1">
        <v>44353.951064814813</v>
      </c>
      <c r="AV293" t="s">
        <v>71</v>
      </c>
      <c r="AW293" t="s">
        <v>72</v>
      </c>
      <c r="AX293" t="s">
        <v>73</v>
      </c>
    </row>
    <row r="294" spans="1:50" x14ac:dyDescent="0.3">
      <c r="A294" t="str">
        <f>"201033B0000"</f>
        <v>201033B0000</v>
      </c>
      <c r="B294" t="str">
        <f>"201033B00002"</f>
        <v>201033B00002</v>
      </c>
      <c r="C294" t="str">
        <f t="shared" si="11"/>
        <v>20</v>
      </c>
      <c r="D294" t="s">
        <v>67</v>
      </c>
      <c r="E294" t="str">
        <f t="shared" si="12"/>
        <v>002</v>
      </c>
      <c r="F294" t="s">
        <v>311</v>
      </c>
      <c r="G294" t="str">
        <f>"1033"</f>
        <v>1033</v>
      </c>
      <c r="H294" t="str">
        <f>"0000"</f>
        <v>0000</v>
      </c>
      <c r="I294" t="s">
        <v>69</v>
      </c>
      <c r="J294">
        <v>0</v>
      </c>
      <c r="K294">
        <v>1</v>
      </c>
      <c r="L294">
        <v>2</v>
      </c>
      <c r="M294">
        <v>356</v>
      </c>
      <c r="N294">
        <v>359</v>
      </c>
      <c r="O294">
        <v>10</v>
      </c>
      <c r="P294">
        <v>357</v>
      </c>
      <c r="Q294">
        <v>4</v>
      </c>
      <c r="R294">
        <v>20</v>
      </c>
      <c r="S294">
        <v>1</v>
      </c>
      <c r="T294">
        <v>8</v>
      </c>
      <c r="U294">
        <v>6</v>
      </c>
      <c r="V294">
        <v>31</v>
      </c>
      <c r="W294">
        <v>3</v>
      </c>
      <c r="X294">
        <v>181</v>
      </c>
      <c r="Y294">
        <v>44</v>
      </c>
      <c r="Z294">
        <v>7</v>
      </c>
      <c r="AA294">
        <v>3</v>
      </c>
      <c r="AB294">
        <v>24</v>
      </c>
      <c r="AD294">
        <v>0</v>
      </c>
      <c r="AE294">
        <v>0</v>
      </c>
      <c r="AF294">
        <v>0</v>
      </c>
      <c r="AG294">
        <v>0</v>
      </c>
      <c r="AI294">
        <v>0</v>
      </c>
      <c r="AJ294">
        <v>25</v>
      </c>
      <c r="AK294">
        <v>357</v>
      </c>
      <c r="AL294">
        <v>357</v>
      </c>
      <c r="AM294">
        <v>671</v>
      </c>
      <c r="AN294">
        <v>44</v>
      </c>
      <c r="AP294">
        <v>1</v>
      </c>
      <c r="AR294" t="s">
        <v>375</v>
      </c>
      <c r="AS294" s="1">
        <v>44354.146527777775</v>
      </c>
      <c r="AT294" s="1">
        <v>44354.167060185187</v>
      </c>
      <c r="AU294" s="1">
        <v>44354.168020833335</v>
      </c>
      <c r="AV294" t="s">
        <v>71</v>
      </c>
      <c r="AW294" t="s">
        <v>72</v>
      </c>
      <c r="AX294" t="s">
        <v>73</v>
      </c>
    </row>
    <row r="295" spans="1:50" x14ac:dyDescent="0.3">
      <c r="A295" t="str">
        <f>"201033C0100"</f>
        <v>201033C0100</v>
      </c>
      <c r="B295" t="str">
        <f>"201033C01002"</f>
        <v>201033C01002</v>
      </c>
      <c r="C295" t="str">
        <f t="shared" si="11"/>
        <v>20</v>
      </c>
      <c r="D295" t="s">
        <v>67</v>
      </c>
      <c r="E295" t="str">
        <f t="shared" si="12"/>
        <v>002</v>
      </c>
      <c r="F295" t="s">
        <v>311</v>
      </c>
      <c r="G295" t="str">
        <f>"1033"</f>
        <v>1033</v>
      </c>
      <c r="H295" t="str">
        <f>"0001"</f>
        <v>0001</v>
      </c>
      <c r="I295" t="s">
        <v>75</v>
      </c>
      <c r="J295">
        <v>0</v>
      </c>
      <c r="K295">
        <v>1</v>
      </c>
      <c r="L295">
        <v>2</v>
      </c>
      <c r="M295">
        <v>324</v>
      </c>
      <c r="N295">
        <v>714</v>
      </c>
      <c r="O295">
        <v>6</v>
      </c>
      <c r="P295">
        <v>391</v>
      </c>
      <c r="Q295">
        <v>11</v>
      </c>
      <c r="R295">
        <v>21</v>
      </c>
      <c r="S295">
        <v>4</v>
      </c>
      <c r="T295">
        <v>19</v>
      </c>
      <c r="U295">
        <v>5</v>
      </c>
      <c r="V295">
        <v>25</v>
      </c>
      <c r="W295">
        <v>4</v>
      </c>
      <c r="X295">
        <v>211</v>
      </c>
      <c r="Y295">
        <v>60</v>
      </c>
      <c r="Z295">
        <v>6</v>
      </c>
      <c r="AA295">
        <v>1</v>
      </c>
      <c r="AB295">
        <v>15</v>
      </c>
      <c r="AD295">
        <v>1</v>
      </c>
      <c r="AE295">
        <v>0</v>
      </c>
      <c r="AF295">
        <v>0</v>
      </c>
      <c r="AG295">
        <v>1</v>
      </c>
      <c r="AI295">
        <v>0</v>
      </c>
      <c r="AJ295">
        <v>7</v>
      </c>
      <c r="AK295">
        <v>391</v>
      </c>
      <c r="AL295">
        <v>391</v>
      </c>
      <c r="AM295">
        <v>670</v>
      </c>
      <c r="AN295">
        <v>44</v>
      </c>
      <c r="AP295">
        <v>1</v>
      </c>
      <c r="AR295" t="s">
        <v>376</v>
      </c>
      <c r="AS295" s="1">
        <v>44354.145833333336</v>
      </c>
      <c r="AT295" s="1">
        <v>44354.165347222224</v>
      </c>
      <c r="AU295" s="1">
        <v>44354.16615740741</v>
      </c>
      <c r="AV295" t="s">
        <v>71</v>
      </c>
      <c r="AW295" t="s">
        <v>72</v>
      </c>
      <c r="AX295" t="s">
        <v>73</v>
      </c>
    </row>
    <row r="296" spans="1:50" x14ac:dyDescent="0.3">
      <c r="A296" t="str">
        <f>"201034B0000"</f>
        <v>201034B0000</v>
      </c>
      <c r="B296" t="str">
        <f>"201034B00002"</f>
        <v>201034B00002</v>
      </c>
      <c r="C296" t="str">
        <f t="shared" si="11"/>
        <v>20</v>
      </c>
      <c r="D296" t="s">
        <v>67</v>
      </c>
      <c r="E296" t="str">
        <f t="shared" si="12"/>
        <v>002</v>
      </c>
      <c r="F296" t="s">
        <v>311</v>
      </c>
      <c r="G296" t="str">
        <f t="shared" ref="G296:G302" si="13">"1034"</f>
        <v>1034</v>
      </c>
      <c r="H296" t="str">
        <f>"0000"</f>
        <v>0000</v>
      </c>
      <c r="I296" t="s">
        <v>69</v>
      </c>
      <c r="J296">
        <v>0</v>
      </c>
      <c r="K296">
        <v>1</v>
      </c>
      <c r="L296">
        <v>2</v>
      </c>
      <c r="M296">
        <v>271</v>
      </c>
      <c r="N296">
        <v>369</v>
      </c>
      <c r="O296">
        <v>12</v>
      </c>
      <c r="P296">
        <v>372</v>
      </c>
      <c r="Q296">
        <v>6</v>
      </c>
      <c r="R296">
        <v>23</v>
      </c>
      <c r="S296">
        <v>0</v>
      </c>
      <c r="T296">
        <v>17</v>
      </c>
      <c r="U296">
        <v>6</v>
      </c>
      <c r="V296">
        <v>29</v>
      </c>
      <c r="W296">
        <v>5</v>
      </c>
      <c r="X296">
        <v>223</v>
      </c>
      <c r="Y296">
        <v>31</v>
      </c>
      <c r="Z296">
        <v>6</v>
      </c>
      <c r="AA296">
        <v>1</v>
      </c>
      <c r="AB296">
        <v>11</v>
      </c>
      <c r="AD296">
        <v>0</v>
      </c>
      <c r="AE296">
        <v>4</v>
      </c>
      <c r="AF296">
        <v>0</v>
      </c>
      <c r="AG296">
        <v>0</v>
      </c>
      <c r="AI296">
        <v>0</v>
      </c>
      <c r="AJ296">
        <v>10</v>
      </c>
      <c r="AK296">
        <v>372</v>
      </c>
      <c r="AL296">
        <v>372</v>
      </c>
      <c r="AM296">
        <v>603</v>
      </c>
      <c r="AN296">
        <v>44</v>
      </c>
      <c r="AP296">
        <v>1</v>
      </c>
      <c r="AR296" t="s">
        <v>377</v>
      </c>
      <c r="AS296" s="1">
        <v>44354.144444444442</v>
      </c>
      <c r="AT296" s="1">
        <v>44354.164525462962</v>
      </c>
      <c r="AU296" s="1">
        <v>44354.165300925924</v>
      </c>
      <c r="AV296" t="s">
        <v>71</v>
      </c>
      <c r="AW296" t="s">
        <v>72</v>
      </c>
      <c r="AX296" t="s">
        <v>73</v>
      </c>
    </row>
    <row r="297" spans="1:50" x14ac:dyDescent="0.3">
      <c r="A297" t="str">
        <f>"201034C0100"</f>
        <v>201034C0100</v>
      </c>
      <c r="B297" t="str">
        <f>"201034C01002"</f>
        <v>201034C01002</v>
      </c>
      <c r="C297" t="str">
        <f t="shared" si="11"/>
        <v>20</v>
      </c>
      <c r="D297" t="s">
        <v>67</v>
      </c>
      <c r="E297" t="str">
        <f t="shared" ref="E297:E328" si="14">"002"</f>
        <v>002</v>
      </c>
      <c r="F297" t="s">
        <v>311</v>
      </c>
      <c r="G297" t="str">
        <f t="shared" si="13"/>
        <v>1034</v>
      </c>
      <c r="H297" t="str">
        <f>"0001"</f>
        <v>0001</v>
      </c>
      <c r="I297" t="s">
        <v>75</v>
      </c>
      <c r="J297">
        <v>0</v>
      </c>
      <c r="K297">
        <v>1</v>
      </c>
      <c r="L297">
        <v>2</v>
      </c>
      <c r="M297">
        <v>264</v>
      </c>
      <c r="N297">
        <v>379</v>
      </c>
      <c r="O297">
        <v>11</v>
      </c>
      <c r="P297">
        <v>389</v>
      </c>
      <c r="Q297">
        <v>13</v>
      </c>
      <c r="R297">
        <v>41</v>
      </c>
      <c r="S297">
        <v>1</v>
      </c>
      <c r="T297">
        <v>13</v>
      </c>
      <c r="U297">
        <v>7</v>
      </c>
      <c r="V297">
        <v>25</v>
      </c>
      <c r="W297">
        <v>3</v>
      </c>
      <c r="X297">
        <v>200</v>
      </c>
      <c r="Y297">
        <v>58</v>
      </c>
      <c r="Z297">
        <v>7</v>
      </c>
      <c r="AA297">
        <v>3</v>
      </c>
      <c r="AB297">
        <v>10</v>
      </c>
      <c r="AD297">
        <v>2</v>
      </c>
      <c r="AE297">
        <v>1</v>
      </c>
      <c r="AF297">
        <v>0</v>
      </c>
      <c r="AG297">
        <v>0</v>
      </c>
      <c r="AI297">
        <v>0</v>
      </c>
      <c r="AJ297">
        <v>5</v>
      </c>
      <c r="AK297">
        <v>389</v>
      </c>
      <c r="AL297">
        <v>389</v>
      </c>
      <c r="AM297">
        <v>602</v>
      </c>
      <c r="AN297">
        <v>44</v>
      </c>
      <c r="AP297">
        <v>1</v>
      </c>
      <c r="AR297" t="s">
        <v>378</v>
      </c>
      <c r="AS297" s="1">
        <v>44354.131249999999</v>
      </c>
      <c r="AT297" s="1">
        <v>44354.150578703702</v>
      </c>
      <c r="AU297" s="1">
        <v>44354.151099537034</v>
      </c>
      <c r="AV297" t="s">
        <v>71</v>
      </c>
      <c r="AW297" t="s">
        <v>72</v>
      </c>
      <c r="AX297" t="s">
        <v>73</v>
      </c>
    </row>
    <row r="298" spans="1:50" x14ac:dyDescent="0.3">
      <c r="A298" t="str">
        <f>"201034C0200"</f>
        <v>201034C0200</v>
      </c>
      <c r="B298" t="str">
        <f>"201034C02002"</f>
        <v>201034C02002</v>
      </c>
      <c r="C298" t="str">
        <f t="shared" si="11"/>
        <v>20</v>
      </c>
      <c r="D298" t="s">
        <v>67</v>
      </c>
      <c r="E298" t="str">
        <f t="shared" si="14"/>
        <v>002</v>
      </c>
      <c r="F298" t="s">
        <v>311</v>
      </c>
      <c r="G298" t="str">
        <f t="shared" si="13"/>
        <v>1034</v>
      </c>
      <c r="H298" t="str">
        <f>"0002"</f>
        <v>0002</v>
      </c>
      <c r="I298" t="s">
        <v>75</v>
      </c>
      <c r="J298">
        <v>0</v>
      </c>
      <c r="K298">
        <v>1</v>
      </c>
      <c r="L298">
        <v>2</v>
      </c>
      <c r="M298">
        <v>318</v>
      </c>
      <c r="N298">
        <v>330</v>
      </c>
      <c r="O298">
        <v>15</v>
      </c>
      <c r="P298">
        <v>326</v>
      </c>
      <c r="Q298">
        <v>9</v>
      </c>
      <c r="R298">
        <v>19</v>
      </c>
      <c r="S298">
        <v>0</v>
      </c>
      <c r="T298">
        <v>13</v>
      </c>
      <c r="U298">
        <v>4</v>
      </c>
      <c r="V298">
        <v>20</v>
      </c>
      <c r="W298">
        <v>1</v>
      </c>
      <c r="X298">
        <v>186</v>
      </c>
      <c r="Y298">
        <v>49</v>
      </c>
      <c r="Z298">
        <v>5</v>
      </c>
      <c r="AA298">
        <v>1</v>
      </c>
      <c r="AB298">
        <v>10</v>
      </c>
      <c r="AD298">
        <v>0</v>
      </c>
      <c r="AE298">
        <v>2</v>
      </c>
      <c r="AF298">
        <v>0</v>
      </c>
      <c r="AG298">
        <v>0</v>
      </c>
      <c r="AI298">
        <v>0</v>
      </c>
      <c r="AJ298">
        <v>7</v>
      </c>
      <c r="AK298">
        <v>326</v>
      </c>
      <c r="AL298">
        <v>326</v>
      </c>
      <c r="AM298">
        <v>602</v>
      </c>
      <c r="AN298">
        <v>44</v>
      </c>
      <c r="AP298">
        <v>1</v>
      </c>
      <c r="AR298" t="s">
        <v>379</v>
      </c>
      <c r="AS298" s="1">
        <v>44354.009027777778</v>
      </c>
      <c r="AT298" s="1">
        <v>44354.024097222224</v>
      </c>
      <c r="AU298" s="1">
        <v>44354.024756944447</v>
      </c>
      <c r="AV298" t="s">
        <v>71</v>
      </c>
      <c r="AW298" t="s">
        <v>72</v>
      </c>
      <c r="AX298" t="s">
        <v>73</v>
      </c>
    </row>
    <row r="299" spans="1:50" x14ac:dyDescent="0.3">
      <c r="A299" t="str">
        <f>"201034E0100"</f>
        <v>201034E0100</v>
      </c>
      <c r="B299" t="str">
        <f>"201034E01002"</f>
        <v>201034E01002</v>
      </c>
      <c r="C299" t="str">
        <f t="shared" si="11"/>
        <v>20</v>
      </c>
      <c r="D299" t="s">
        <v>67</v>
      </c>
      <c r="E299" t="str">
        <f t="shared" si="14"/>
        <v>002</v>
      </c>
      <c r="F299" t="s">
        <v>311</v>
      </c>
      <c r="G299" t="str">
        <f t="shared" si="13"/>
        <v>1034</v>
      </c>
      <c r="H299" t="str">
        <f>"0001"</f>
        <v>0001</v>
      </c>
      <c r="I299" t="s">
        <v>109</v>
      </c>
      <c r="J299">
        <v>0</v>
      </c>
      <c r="K299">
        <v>1</v>
      </c>
      <c r="L299">
        <v>2</v>
      </c>
      <c r="M299">
        <v>364</v>
      </c>
      <c r="N299">
        <v>382</v>
      </c>
      <c r="O299">
        <v>13</v>
      </c>
      <c r="P299">
        <v>378</v>
      </c>
      <c r="Q299">
        <v>9</v>
      </c>
      <c r="R299">
        <v>18</v>
      </c>
      <c r="S299">
        <v>1</v>
      </c>
      <c r="T299">
        <v>19</v>
      </c>
      <c r="U299">
        <v>13</v>
      </c>
      <c r="V299">
        <v>41</v>
      </c>
      <c r="W299">
        <v>2</v>
      </c>
      <c r="X299">
        <v>182</v>
      </c>
      <c r="Y299">
        <v>47</v>
      </c>
      <c r="Z299">
        <v>7</v>
      </c>
      <c r="AA299">
        <v>2</v>
      </c>
      <c r="AB299">
        <v>28</v>
      </c>
      <c r="AD299">
        <v>0</v>
      </c>
      <c r="AE299">
        <v>0</v>
      </c>
      <c r="AF299">
        <v>0</v>
      </c>
      <c r="AG299" t="s">
        <v>77</v>
      </c>
      <c r="AI299" t="s">
        <v>77</v>
      </c>
      <c r="AJ299">
        <v>9</v>
      </c>
      <c r="AK299">
        <v>378</v>
      </c>
      <c r="AL299">
        <v>378</v>
      </c>
      <c r="AM299">
        <v>699</v>
      </c>
      <c r="AN299">
        <v>44</v>
      </c>
      <c r="AO299" t="s">
        <v>78</v>
      </c>
      <c r="AP299">
        <v>1</v>
      </c>
      <c r="AR299" t="s">
        <v>380</v>
      </c>
      <c r="AS299" s="1">
        <v>44354.006944444445</v>
      </c>
      <c r="AT299" s="1">
        <v>44354.016145833331</v>
      </c>
      <c r="AU299" s="1">
        <v>44354.01699074074</v>
      </c>
      <c r="AV299" t="s">
        <v>71</v>
      </c>
      <c r="AW299" t="s">
        <v>72</v>
      </c>
      <c r="AX299" t="s">
        <v>73</v>
      </c>
    </row>
    <row r="300" spans="1:50" x14ac:dyDescent="0.3">
      <c r="A300" t="str">
        <f>"201034E0101"</f>
        <v>201034E0101</v>
      </c>
      <c r="B300" t="str">
        <f>"201034E01012"</f>
        <v>201034E01012</v>
      </c>
      <c r="C300" t="str">
        <f t="shared" si="11"/>
        <v>20</v>
      </c>
      <c r="D300" t="s">
        <v>67</v>
      </c>
      <c r="E300" t="str">
        <f t="shared" si="14"/>
        <v>002</v>
      </c>
      <c r="F300" t="s">
        <v>311</v>
      </c>
      <c r="G300" t="str">
        <f t="shared" si="13"/>
        <v>1034</v>
      </c>
      <c r="H300" t="str">
        <f>"0001"</f>
        <v>0001</v>
      </c>
      <c r="I300" t="s">
        <v>109</v>
      </c>
      <c r="J300">
        <v>1</v>
      </c>
      <c r="K300">
        <v>1</v>
      </c>
      <c r="L300">
        <v>2</v>
      </c>
      <c r="M300">
        <v>383</v>
      </c>
      <c r="N300">
        <v>359</v>
      </c>
      <c r="O300">
        <v>11</v>
      </c>
      <c r="P300" t="s">
        <v>99</v>
      </c>
      <c r="Q300">
        <v>7</v>
      </c>
      <c r="R300">
        <v>16</v>
      </c>
      <c r="S300">
        <v>1</v>
      </c>
      <c r="T300">
        <v>15</v>
      </c>
      <c r="U300">
        <v>11</v>
      </c>
      <c r="V300">
        <v>25</v>
      </c>
      <c r="W300">
        <v>4</v>
      </c>
      <c r="X300">
        <v>185</v>
      </c>
      <c r="Y300">
        <v>61</v>
      </c>
      <c r="Z300">
        <v>5</v>
      </c>
      <c r="AA300">
        <v>3</v>
      </c>
      <c r="AB300">
        <v>16</v>
      </c>
      <c r="AD300">
        <v>0</v>
      </c>
      <c r="AE300">
        <v>1</v>
      </c>
      <c r="AF300">
        <v>0</v>
      </c>
      <c r="AG300">
        <v>0</v>
      </c>
      <c r="AI300">
        <v>0</v>
      </c>
      <c r="AJ300">
        <v>9</v>
      </c>
      <c r="AK300">
        <v>359</v>
      </c>
      <c r="AL300">
        <v>359</v>
      </c>
      <c r="AM300">
        <v>699</v>
      </c>
      <c r="AN300">
        <v>44</v>
      </c>
      <c r="AP300">
        <v>1</v>
      </c>
      <c r="AR300" t="s">
        <v>381</v>
      </c>
      <c r="AS300" s="1">
        <v>44354.007638888892</v>
      </c>
      <c r="AT300" s="1">
        <v>44354.035104166665</v>
      </c>
      <c r="AU300" s="1">
        <v>44354.036736111113</v>
      </c>
      <c r="AV300" t="s">
        <v>71</v>
      </c>
      <c r="AW300" t="s">
        <v>72</v>
      </c>
      <c r="AX300" t="s">
        <v>73</v>
      </c>
    </row>
    <row r="301" spans="1:50" x14ac:dyDescent="0.3">
      <c r="A301" t="str">
        <f>"201034E0102"</f>
        <v>201034E0102</v>
      </c>
      <c r="B301" t="str">
        <f>"201034E01022"</f>
        <v>201034E01022</v>
      </c>
      <c r="C301" t="str">
        <f t="shared" si="11"/>
        <v>20</v>
      </c>
      <c r="D301" t="s">
        <v>67</v>
      </c>
      <c r="E301" t="str">
        <f t="shared" si="14"/>
        <v>002</v>
      </c>
      <c r="F301" t="s">
        <v>311</v>
      </c>
      <c r="G301" t="str">
        <f t="shared" si="13"/>
        <v>1034</v>
      </c>
      <c r="H301" t="str">
        <f>"0001"</f>
        <v>0001</v>
      </c>
      <c r="I301" t="s">
        <v>109</v>
      </c>
      <c r="J301">
        <v>2</v>
      </c>
      <c r="K301">
        <v>1</v>
      </c>
      <c r="L301">
        <v>2</v>
      </c>
      <c r="M301">
        <v>391</v>
      </c>
      <c r="N301">
        <v>351</v>
      </c>
      <c r="O301">
        <v>8</v>
      </c>
      <c r="P301">
        <v>351</v>
      </c>
      <c r="Q301">
        <v>4</v>
      </c>
      <c r="R301">
        <v>26</v>
      </c>
      <c r="S301">
        <v>1</v>
      </c>
      <c r="T301">
        <v>8</v>
      </c>
      <c r="U301">
        <v>20</v>
      </c>
      <c r="V301">
        <v>32</v>
      </c>
      <c r="W301">
        <v>1</v>
      </c>
      <c r="X301">
        <v>173</v>
      </c>
      <c r="Y301">
        <v>50</v>
      </c>
      <c r="Z301">
        <v>5</v>
      </c>
      <c r="AA301">
        <v>2</v>
      </c>
      <c r="AB301">
        <v>19</v>
      </c>
      <c r="AD301">
        <v>0</v>
      </c>
      <c r="AE301">
        <v>0</v>
      </c>
      <c r="AF301">
        <v>0</v>
      </c>
      <c r="AG301">
        <v>0</v>
      </c>
      <c r="AI301">
        <v>0</v>
      </c>
      <c r="AJ301">
        <v>11</v>
      </c>
      <c r="AK301">
        <v>351</v>
      </c>
      <c r="AL301">
        <v>352</v>
      </c>
      <c r="AM301">
        <v>698</v>
      </c>
      <c r="AN301">
        <v>44</v>
      </c>
      <c r="AP301">
        <v>1</v>
      </c>
      <c r="AR301" t="s">
        <v>382</v>
      </c>
      <c r="AS301" s="1">
        <v>44354.006249999999</v>
      </c>
      <c r="AT301" s="1">
        <v>44354.013888888891</v>
      </c>
      <c r="AU301" s="1">
        <v>44354.014386574076</v>
      </c>
      <c r="AV301" t="s">
        <v>71</v>
      </c>
      <c r="AW301" t="s">
        <v>72</v>
      </c>
      <c r="AX301" t="s">
        <v>73</v>
      </c>
    </row>
    <row r="302" spans="1:50" x14ac:dyDescent="0.3">
      <c r="A302" t="str">
        <f>"201034E0200"</f>
        <v>201034E0200</v>
      </c>
      <c r="B302" t="str">
        <f>"201034E02002"</f>
        <v>201034E02002</v>
      </c>
      <c r="C302" t="str">
        <f t="shared" si="11"/>
        <v>20</v>
      </c>
      <c r="D302" t="s">
        <v>67</v>
      </c>
      <c r="E302" t="str">
        <f t="shared" si="14"/>
        <v>002</v>
      </c>
      <c r="F302" t="s">
        <v>311</v>
      </c>
      <c r="G302" t="str">
        <f t="shared" si="13"/>
        <v>1034</v>
      </c>
      <c r="H302" t="str">
        <f>"0002"</f>
        <v>0002</v>
      </c>
      <c r="I302" t="s">
        <v>109</v>
      </c>
      <c r="J302">
        <v>0</v>
      </c>
      <c r="K302">
        <v>1</v>
      </c>
      <c r="L302">
        <v>2</v>
      </c>
      <c r="M302">
        <v>178</v>
      </c>
      <c r="N302">
        <v>222</v>
      </c>
      <c r="O302">
        <v>11</v>
      </c>
      <c r="P302">
        <v>222</v>
      </c>
      <c r="Q302">
        <v>3</v>
      </c>
      <c r="R302">
        <v>38</v>
      </c>
      <c r="S302">
        <v>2</v>
      </c>
      <c r="T302">
        <v>3</v>
      </c>
      <c r="U302">
        <v>5</v>
      </c>
      <c r="V302">
        <v>26</v>
      </c>
      <c r="W302">
        <v>1</v>
      </c>
      <c r="X302">
        <v>109</v>
      </c>
      <c r="Y302">
        <v>26</v>
      </c>
      <c r="Z302">
        <v>2</v>
      </c>
      <c r="AA302">
        <v>1</v>
      </c>
      <c r="AB302">
        <v>4</v>
      </c>
      <c r="AD302">
        <v>0</v>
      </c>
      <c r="AE302">
        <v>1</v>
      </c>
      <c r="AF302">
        <v>0</v>
      </c>
      <c r="AG302">
        <v>0</v>
      </c>
      <c r="AI302">
        <v>0</v>
      </c>
      <c r="AJ302">
        <v>1</v>
      </c>
      <c r="AK302">
        <v>222</v>
      </c>
      <c r="AL302">
        <v>222</v>
      </c>
      <c r="AM302">
        <v>356</v>
      </c>
      <c r="AN302">
        <v>44</v>
      </c>
      <c r="AP302">
        <v>1</v>
      </c>
      <c r="AR302" t="s">
        <v>383</v>
      </c>
      <c r="AS302" s="1">
        <v>44353.994444444441</v>
      </c>
      <c r="AT302" s="1">
        <v>44354.00271990741</v>
      </c>
      <c r="AU302" s="1">
        <v>44354.003437500003</v>
      </c>
      <c r="AV302" t="s">
        <v>71</v>
      </c>
      <c r="AW302" t="s">
        <v>72</v>
      </c>
      <c r="AX302" t="s">
        <v>73</v>
      </c>
    </row>
    <row r="303" spans="1:50" x14ac:dyDescent="0.3">
      <c r="A303" t="str">
        <f>"201035B0000"</f>
        <v>201035B0000</v>
      </c>
      <c r="B303" t="str">
        <f>"201035B00002"</f>
        <v>201035B00002</v>
      </c>
      <c r="C303" t="str">
        <f t="shared" si="11"/>
        <v>20</v>
      </c>
      <c r="D303" t="s">
        <v>67</v>
      </c>
      <c r="E303" t="str">
        <f t="shared" si="14"/>
        <v>002</v>
      </c>
      <c r="F303" t="s">
        <v>311</v>
      </c>
      <c r="G303" t="str">
        <f>"1035"</f>
        <v>1035</v>
      </c>
      <c r="H303" t="str">
        <f>"0000"</f>
        <v>0000</v>
      </c>
      <c r="I303" t="s">
        <v>69</v>
      </c>
      <c r="J303">
        <v>0</v>
      </c>
      <c r="K303">
        <v>1</v>
      </c>
      <c r="L303">
        <v>2</v>
      </c>
      <c r="M303">
        <v>331</v>
      </c>
      <c r="N303">
        <v>463</v>
      </c>
      <c r="O303">
        <v>8</v>
      </c>
      <c r="P303">
        <v>463</v>
      </c>
      <c r="Q303">
        <v>21</v>
      </c>
      <c r="R303">
        <v>39</v>
      </c>
      <c r="S303">
        <v>1</v>
      </c>
      <c r="T303">
        <v>26</v>
      </c>
      <c r="U303">
        <v>14</v>
      </c>
      <c r="V303">
        <v>25</v>
      </c>
      <c r="W303">
        <v>6</v>
      </c>
      <c r="X303">
        <v>264</v>
      </c>
      <c r="Y303">
        <v>41</v>
      </c>
      <c r="Z303">
        <v>4</v>
      </c>
      <c r="AA303">
        <v>0</v>
      </c>
      <c r="AB303">
        <v>9</v>
      </c>
      <c r="AD303">
        <v>2</v>
      </c>
      <c r="AE303">
        <v>2</v>
      </c>
      <c r="AF303">
        <v>0</v>
      </c>
      <c r="AG303">
        <v>0</v>
      </c>
      <c r="AI303">
        <v>0</v>
      </c>
      <c r="AJ303">
        <v>9</v>
      </c>
      <c r="AK303">
        <v>463</v>
      </c>
      <c r="AL303">
        <v>463</v>
      </c>
      <c r="AM303">
        <v>750</v>
      </c>
      <c r="AN303">
        <v>44</v>
      </c>
      <c r="AP303">
        <v>1</v>
      </c>
      <c r="AR303" t="s">
        <v>384</v>
      </c>
      <c r="AS303" s="1">
        <v>44354.083333333336</v>
      </c>
      <c r="AT303" s="1">
        <v>44354.115474537037</v>
      </c>
      <c r="AU303" s="1">
        <v>44354.116261574076</v>
      </c>
      <c r="AV303" t="s">
        <v>71</v>
      </c>
      <c r="AW303" t="s">
        <v>72</v>
      </c>
      <c r="AX303" t="s">
        <v>73</v>
      </c>
    </row>
    <row r="304" spans="1:50" x14ac:dyDescent="0.3">
      <c r="A304" t="str">
        <f>"201035C0100"</f>
        <v>201035C0100</v>
      </c>
      <c r="B304" t="str">
        <f>"201035C01002"</f>
        <v>201035C01002</v>
      </c>
      <c r="C304" t="str">
        <f t="shared" si="11"/>
        <v>20</v>
      </c>
      <c r="D304" t="s">
        <v>67</v>
      </c>
      <c r="E304" t="str">
        <f t="shared" si="14"/>
        <v>002</v>
      </c>
      <c r="F304" t="s">
        <v>311</v>
      </c>
      <c r="G304" t="str">
        <f>"1035"</f>
        <v>1035</v>
      </c>
      <c r="H304" t="str">
        <f>"0001"</f>
        <v>0001</v>
      </c>
      <c r="I304" t="s">
        <v>75</v>
      </c>
      <c r="J304">
        <v>0</v>
      </c>
      <c r="K304">
        <v>1</v>
      </c>
      <c r="L304">
        <v>2</v>
      </c>
      <c r="M304">
        <v>331</v>
      </c>
      <c r="N304">
        <v>463</v>
      </c>
      <c r="O304">
        <v>8</v>
      </c>
      <c r="P304">
        <v>463</v>
      </c>
      <c r="Q304">
        <v>21</v>
      </c>
      <c r="R304">
        <v>39</v>
      </c>
      <c r="S304">
        <v>1</v>
      </c>
      <c r="T304">
        <v>26</v>
      </c>
      <c r="U304">
        <v>14</v>
      </c>
      <c r="V304">
        <v>25</v>
      </c>
      <c r="W304">
        <v>6</v>
      </c>
      <c r="X304">
        <v>264</v>
      </c>
      <c r="Y304">
        <v>41</v>
      </c>
      <c r="Z304">
        <v>4</v>
      </c>
      <c r="AA304">
        <v>0</v>
      </c>
      <c r="AB304">
        <v>9</v>
      </c>
      <c r="AD304">
        <v>2</v>
      </c>
      <c r="AE304">
        <v>2</v>
      </c>
      <c r="AF304">
        <v>0</v>
      </c>
      <c r="AG304">
        <v>0</v>
      </c>
      <c r="AI304">
        <v>0</v>
      </c>
      <c r="AJ304">
        <v>9</v>
      </c>
      <c r="AK304">
        <v>463</v>
      </c>
      <c r="AL304">
        <v>463</v>
      </c>
      <c r="AM304">
        <v>749</v>
      </c>
      <c r="AN304">
        <v>44</v>
      </c>
      <c r="AP304">
        <v>1</v>
      </c>
      <c r="AR304" t="s">
        <v>385</v>
      </c>
      <c r="AS304" s="1">
        <v>44354.425000000003</v>
      </c>
      <c r="AT304" s="1">
        <v>44354.428229166668</v>
      </c>
      <c r="AU304" s="1">
        <v>44354.42900462963</v>
      </c>
      <c r="AV304" t="s">
        <v>71</v>
      </c>
      <c r="AW304" t="s">
        <v>72</v>
      </c>
      <c r="AX304" t="s">
        <v>73</v>
      </c>
    </row>
    <row r="305" spans="1:50" x14ac:dyDescent="0.3">
      <c r="A305" t="str">
        <f>"201036B0000"</f>
        <v>201036B0000</v>
      </c>
      <c r="B305" t="str">
        <f>"201036B00002"</f>
        <v>201036B00002</v>
      </c>
      <c r="C305" t="str">
        <f t="shared" si="11"/>
        <v>20</v>
      </c>
      <c r="D305" t="s">
        <v>67</v>
      </c>
      <c r="E305" t="str">
        <f t="shared" si="14"/>
        <v>002</v>
      </c>
      <c r="F305" t="s">
        <v>311</v>
      </c>
      <c r="G305" t="str">
        <f>"1036"</f>
        <v>1036</v>
      </c>
      <c r="H305" t="str">
        <f>"0000"</f>
        <v>0000</v>
      </c>
      <c r="I305" t="s">
        <v>69</v>
      </c>
      <c r="J305">
        <v>0</v>
      </c>
      <c r="K305">
        <v>1</v>
      </c>
      <c r="L305">
        <v>2</v>
      </c>
      <c r="AM305">
        <v>733</v>
      </c>
      <c r="AN305">
        <v>44</v>
      </c>
      <c r="AO305" t="s">
        <v>352</v>
      </c>
      <c r="AP305">
        <v>0</v>
      </c>
      <c r="AR305" t="s">
        <v>386</v>
      </c>
      <c r="AS305" s="1">
        <v>44354.357638888891</v>
      </c>
      <c r="AT305" s="1">
        <v>44354.363634259258</v>
      </c>
      <c r="AU305" s="1">
        <v>44354.363634259258</v>
      </c>
      <c r="AV305" t="s">
        <v>71</v>
      </c>
      <c r="AW305" t="s">
        <v>72</v>
      </c>
      <c r="AX305" t="s">
        <v>73</v>
      </c>
    </row>
    <row r="306" spans="1:50" x14ac:dyDescent="0.3">
      <c r="A306" t="str">
        <f>"201036C0100"</f>
        <v>201036C0100</v>
      </c>
      <c r="B306" t="str">
        <f>"201036C01002"</f>
        <v>201036C01002</v>
      </c>
      <c r="C306" t="str">
        <f t="shared" si="11"/>
        <v>20</v>
      </c>
      <c r="D306" t="s">
        <v>67</v>
      </c>
      <c r="E306" t="str">
        <f t="shared" si="14"/>
        <v>002</v>
      </c>
      <c r="F306" t="s">
        <v>311</v>
      </c>
      <c r="G306" t="str">
        <f>"1036"</f>
        <v>1036</v>
      </c>
      <c r="H306" t="str">
        <f>"0001"</f>
        <v>0001</v>
      </c>
      <c r="I306" t="s">
        <v>75</v>
      </c>
      <c r="J306">
        <v>0</v>
      </c>
      <c r="K306">
        <v>1</v>
      </c>
      <c r="L306">
        <v>2</v>
      </c>
      <c r="M306">
        <v>386</v>
      </c>
      <c r="N306">
        <v>777</v>
      </c>
      <c r="O306">
        <v>10</v>
      </c>
      <c r="P306">
        <v>391</v>
      </c>
      <c r="Q306">
        <v>18</v>
      </c>
      <c r="R306">
        <v>54</v>
      </c>
      <c r="S306">
        <v>1</v>
      </c>
      <c r="T306">
        <v>10</v>
      </c>
      <c r="U306">
        <v>5</v>
      </c>
      <c r="V306">
        <v>23</v>
      </c>
      <c r="W306">
        <v>1</v>
      </c>
      <c r="X306">
        <v>188</v>
      </c>
      <c r="Y306">
        <v>50</v>
      </c>
      <c r="Z306">
        <v>5</v>
      </c>
      <c r="AA306">
        <v>5</v>
      </c>
      <c r="AB306">
        <v>16</v>
      </c>
      <c r="AD306">
        <v>1</v>
      </c>
      <c r="AE306">
        <v>0</v>
      </c>
      <c r="AF306">
        <v>1</v>
      </c>
      <c r="AG306">
        <v>1</v>
      </c>
      <c r="AI306">
        <v>0</v>
      </c>
      <c r="AJ306">
        <v>12</v>
      </c>
      <c r="AK306">
        <v>391</v>
      </c>
      <c r="AL306">
        <v>391</v>
      </c>
      <c r="AM306">
        <v>733</v>
      </c>
      <c r="AN306">
        <v>44</v>
      </c>
      <c r="AP306">
        <v>1</v>
      </c>
      <c r="AR306" t="s">
        <v>387</v>
      </c>
      <c r="AS306" s="1">
        <v>44354.095833333333</v>
      </c>
      <c r="AT306" s="1">
        <v>44354.107187499998</v>
      </c>
      <c r="AU306" s="1">
        <v>44354.107777777775</v>
      </c>
      <c r="AV306" t="s">
        <v>71</v>
      </c>
      <c r="AW306" t="s">
        <v>72</v>
      </c>
      <c r="AX306" t="s">
        <v>73</v>
      </c>
    </row>
    <row r="307" spans="1:50" x14ac:dyDescent="0.3">
      <c r="A307" t="str">
        <f>"201037B0000"</f>
        <v>201037B0000</v>
      </c>
      <c r="B307" t="str">
        <f>"201037B00002"</f>
        <v>201037B00002</v>
      </c>
      <c r="C307" t="str">
        <f t="shared" si="11"/>
        <v>20</v>
      </c>
      <c r="D307" t="s">
        <v>67</v>
      </c>
      <c r="E307" t="str">
        <f t="shared" si="14"/>
        <v>002</v>
      </c>
      <c r="F307" t="s">
        <v>311</v>
      </c>
      <c r="G307" t="str">
        <f>"1037"</f>
        <v>1037</v>
      </c>
      <c r="H307" t="str">
        <f>"0000"</f>
        <v>0000</v>
      </c>
      <c r="I307" t="s">
        <v>69</v>
      </c>
      <c r="J307">
        <v>0</v>
      </c>
      <c r="K307">
        <v>1</v>
      </c>
      <c r="L307">
        <v>2</v>
      </c>
      <c r="M307">
        <v>251</v>
      </c>
      <c r="N307">
        <v>308</v>
      </c>
      <c r="O307">
        <v>14</v>
      </c>
      <c r="P307">
        <v>308</v>
      </c>
      <c r="Q307">
        <v>11</v>
      </c>
      <c r="R307">
        <v>32</v>
      </c>
      <c r="S307">
        <v>2</v>
      </c>
      <c r="T307">
        <v>8</v>
      </c>
      <c r="U307">
        <v>7</v>
      </c>
      <c r="V307">
        <v>23</v>
      </c>
      <c r="W307">
        <v>1</v>
      </c>
      <c r="X307">
        <v>146</v>
      </c>
      <c r="Y307">
        <v>43</v>
      </c>
      <c r="Z307">
        <v>2</v>
      </c>
      <c r="AA307">
        <v>2</v>
      </c>
      <c r="AB307">
        <v>18</v>
      </c>
      <c r="AD307">
        <v>1</v>
      </c>
      <c r="AE307">
        <v>0</v>
      </c>
      <c r="AF307">
        <v>0</v>
      </c>
      <c r="AG307">
        <v>1</v>
      </c>
      <c r="AI307">
        <v>0</v>
      </c>
      <c r="AJ307">
        <v>11</v>
      </c>
      <c r="AK307">
        <v>308</v>
      </c>
      <c r="AL307">
        <v>308</v>
      </c>
      <c r="AM307">
        <v>515</v>
      </c>
      <c r="AN307">
        <v>44</v>
      </c>
      <c r="AP307">
        <v>1</v>
      </c>
      <c r="AR307" t="s">
        <v>388</v>
      </c>
      <c r="AS307" s="1">
        <v>44353.930555555555</v>
      </c>
      <c r="AT307" s="1">
        <v>44353.93954861111</v>
      </c>
      <c r="AU307" s="1">
        <v>44353.940393518518</v>
      </c>
      <c r="AV307" t="s">
        <v>71</v>
      </c>
      <c r="AW307" t="s">
        <v>72</v>
      </c>
      <c r="AX307" t="s">
        <v>73</v>
      </c>
    </row>
    <row r="308" spans="1:50" x14ac:dyDescent="0.3">
      <c r="A308" t="str">
        <f>"201037C0100"</f>
        <v>201037C0100</v>
      </c>
      <c r="B308" t="str">
        <f>"201037C01002"</f>
        <v>201037C01002</v>
      </c>
      <c r="C308" t="str">
        <f t="shared" si="11"/>
        <v>20</v>
      </c>
      <c r="D308" t="s">
        <v>67</v>
      </c>
      <c r="E308" t="str">
        <f t="shared" si="14"/>
        <v>002</v>
      </c>
      <c r="F308" t="s">
        <v>311</v>
      </c>
      <c r="G308" t="str">
        <f>"1037"</f>
        <v>1037</v>
      </c>
      <c r="H308" t="str">
        <f>"0001"</f>
        <v>0001</v>
      </c>
      <c r="I308" t="s">
        <v>75</v>
      </c>
      <c r="J308">
        <v>0</v>
      </c>
      <c r="K308">
        <v>1</v>
      </c>
      <c r="L308">
        <v>2</v>
      </c>
      <c r="AM308">
        <v>515</v>
      </c>
      <c r="AN308">
        <v>44</v>
      </c>
      <c r="AO308" t="s">
        <v>352</v>
      </c>
      <c r="AP308">
        <v>0</v>
      </c>
      <c r="AR308" t="s">
        <v>389</v>
      </c>
      <c r="AS308" s="1">
        <v>44354.35833333333</v>
      </c>
      <c r="AT308" s="1">
        <v>44354.363854166666</v>
      </c>
      <c r="AU308" s="1">
        <v>44354.363854166666</v>
      </c>
      <c r="AV308" t="s">
        <v>71</v>
      </c>
      <c r="AW308" t="s">
        <v>72</v>
      </c>
      <c r="AX308" t="s">
        <v>73</v>
      </c>
    </row>
    <row r="309" spans="1:50" x14ac:dyDescent="0.3">
      <c r="A309" t="str">
        <f>"201037C0200"</f>
        <v>201037C0200</v>
      </c>
      <c r="B309" t="str">
        <f>"201037C02002"</f>
        <v>201037C02002</v>
      </c>
      <c r="C309" t="str">
        <f t="shared" si="11"/>
        <v>20</v>
      </c>
      <c r="D309" t="s">
        <v>67</v>
      </c>
      <c r="E309" t="str">
        <f t="shared" si="14"/>
        <v>002</v>
      </c>
      <c r="F309" t="s">
        <v>311</v>
      </c>
      <c r="G309" t="str">
        <f>"1037"</f>
        <v>1037</v>
      </c>
      <c r="H309" t="str">
        <f>"0002"</f>
        <v>0002</v>
      </c>
      <c r="I309" t="s">
        <v>75</v>
      </c>
      <c r="J309">
        <v>0</v>
      </c>
      <c r="K309">
        <v>1</v>
      </c>
      <c r="L309">
        <v>2</v>
      </c>
      <c r="M309">
        <v>260</v>
      </c>
      <c r="N309">
        <v>298</v>
      </c>
      <c r="O309">
        <v>11</v>
      </c>
      <c r="P309">
        <v>298</v>
      </c>
      <c r="Q309">
        <v>16</v>
      </c>
      <c r="R309">
        <v>26</v>
      </c>
      <c r="S309">
        <v>1</v>
      </c>
      <c r="T309">
        <v>9</v>
      </c>
      <c r="U309">
        <v>7</v>
      </c>
      <c r="V309">
        <v>26</v>
      </c>
      <c r="W309">
        <v>3</v>
      </c>
      <c r="X309">
        <v>155</v>
      </c>
      <c r="Y309">
        <v>27</v>
      </c>
      <c r="Z309">
        <v>5</v>
      </c>
      <c r="AA309">
        <v>1</v>
      </c>
      <c r="AB309">
        <v>10</v>
      </c>
      <c r="AD309">
        <v>0</v>
      </c>
      <c r="AE309">
        <v>1</v>
      </c>
      <c r="AF309">
        <v>0</v>
      </c>
      <c r="AG309">
        <v>1</v>
      </c>
      <c r="AI309">
        <v>0</v>
      </c>
      <c r="AJ309">
        <v>10</v>
      </c>
      <c r="AK309">
        <v>298</v>
      </c>
      <c r="AL309">
        <v>298</v>
      </c>
      <c r="AM309">
        <v>514</v>
      </c>
      <c r="AN309">
        <v>44</v>
      </c>
      <c r="AP309">
        <v>1</v>
      </c>
      <c r="AR309" t="s">
        <v>390</v>
      </c>
      <c r="AS309" s="1">
        <v>44353.931250000001</v>
      </c>
      <c r="AT309" s="1">
        <v>44353.94121527778</v>
      </c>
      <c r="AU309" s="1">
        <v>44353.942002314812</v>
      </c>
      <c r="AV309" t="s">
        <v>71</v>
      </c>
      <c r="AW309" t="s">
        <v>72</v>
      </c>
      <c r="AX309" t="s">
        <v>73</v>
      </c>
    </row>
    <row r="310" spans="1:50" x14ac:dyDescent="0.3">
      <c r="A310" t="str">
        <f>"201038B0000"</f>
        <v>201038B0000</v>
      </c>
      <c r="B310" t="str">
        <f>"201038B00002"</f>
        <v>201038B00002</v>
      </c>
      <c r="C310" t="str">
        <f t="shared" si="11"/>
        <v>20</v>
      </c>
      <c r="D310" t="s">
        <v>67</v>
      </c>
      <c r="E310" t="str">
        <f t="shared" si="14"/>
        <v>002</v>
      </c>
      <c r="F310" t="s">
        <v>311</v>
      </c>
      <c r="G310" t="str">
        <f>"1038"</f>
        <v>1038</v>
      </c>
      <c r="H310" t="str">
        <f>"0000"</f>
        <v>0000</v>
      </c>
      <c r="I310" t="s">
        <v>69</v>
      </c>
      <c r="J310">
        <v>0</v>
      </c>
      <c r="K310">
        <v>1</v>
      </c>
      <c r="L310">
        <v>2</v>
      </c>
      <c r="M310">
        <v>257</v>
      </c>
      <c r="N310">
        <v>345</v>
      </c>
      <c r="O310">
        <v>13</v>
      </c>
      <c r="P310">
        <v>345</v>
      </c>
      <c r="Q310">
        <v>9</v>
      </c>
      <c r="R310">
        <v>27</v>
      </c>
      <c r="S310">
        <v>1</v>
      </c>
      <c r="T310">
        <v>23</v>
      </c>
      <c r="U310">
        <v>10</v>
      </c>
      <c r="V310">
        <v>19</v>
      </c>
      <c r="W310">
        <v>1</v>
      </c>
      <c r="X310">
        <v>174</v>
      </c>
      <c r="Y310">
        <v>61</v>
      </c>
      <c r="Z310">
        <v>5</v>
      </c>
      <c r="AA310">
        <v>0</v>
      </c>
      <c r="AB310">
        <v>9</v>
      </c>
      <c r="AD310">
        <v>9</v>
      </c>
      <c r="AE310">
        <v>0</v>
      </c>
      <c r="AF310">
        <v>0</v>
      </c>
      <c r="AG310">
        <v>0</v>
      </c>
      <c r="AI310">
        <v>0</v>
      </c>
      <c r="AJ310">
        <v>5</v>
      </c>
      <c r="AK310">
        <v>345</v>
      </c>
      <c r="AL310">
        <v>353</v>
      </c>
      <c r="AM310">
        <v>558</v>
      </c>
      <c r="AN310">
        <v>44</v>
      </c>
      <c r="AP310">
        <v>1</v>
      </c>
      <c r="AR310" t="s">
        <v>391</v>
      </c>
      <c r="AS310" s="1">
        <v>44354.015277777777</v>
      </c>
      <c r="AT310" s="1">
        <v>44354.047106481485</v>
      </c>
      <c r="AU310" s="1">
        <v>44354.047743055555</v>
      </c>
      <c r="AV310" t="s">
        <v>71</v>
      </c>
      <c r="AW310" t="s">
        <v>72</v>
      </c>
      <c r="AX310" t="s">
        <v>73</v>
      </c>
    </row>
    <row r="311" spans="1:50" x14ac:dyDescent="0.3">
      <c r="A311" t="str">
        <f>"201038C0100"</f>
        <v>201038C0100</v>
      </c>
      <c r="B311" t="str">
        <f>"201038C01002"</f>
        <v>201038C01002</v>
      </c>
      <c r="C311" t="str">
        <f t="shared" si="11"/>
        <v>20</v>
      </c>
      <c r="D311" t="s">
        <v>67</v>
      </c>
      <c r="E311" t="str">
        <f t="shared" si="14"/>
        <v>002</v>
      </c>
      <c r="F311" t="s">
        <v>311</v>
      </c>
      <c r="G311" t="str">
        <f>"1038"</f>
        <v>1038</v>
      </c>
      <c r="H311" t="str">
        <f>"0001"</f>
        <v>0001</v>
      </c>
      <c r="I311" t="s">
        <v>75</v>
      </c>
      <c r="J311">
        <v>0</v>
      </c>
      <c r="K311">
        <v>1</v>
      </c>
      <c r="L311">
        <v>2</v>
      </c>
      <c r="M311" t="s">
        <v>80</v>
      </c>
      <c r="N311" t="s">
        <v>80</v>
      </c>
      <c r="O311" t="s">
        <v>80</v>
      </c>
      <c r="P311" t="s">
        <v>80</v>
      </c>
      <c r="Q311" t="s">
        <v>77</v>
      </c>
      <c r="R311" t="s">
        <v>77</v>
      </c>
      <c r="S311" t="s">
        <v>77</v>
      </c>
      <c r="T311" t="s">
        <v>77</v>
      </c>
      <c r="U311" t="s">
        <v>77</v>
      </c>
      <c r="V311" t="s">
        <v>77</v>
      </c>
      <c r="W311" t="s">
        <v>77</v>
      </c>
      <c r="X311" t="s">
        <v>77</v>
      </c>
      <c r="Y311" t="s">
        <v>77</v>
      </c>
      <c r="Z311" t="s">
        <v>77</v>
      </c>
      <c r="AA311" t="s">
        <v>77</v>
      </c>
      <c r="AB311" t="s">
        <v>77</v>
      </c>
      <c r="AD311" t="s">
        <v>77</v>
      </c>
      <c r="AE311" t="s">
        <v>77</v>
      </c>
      <c r="AF311" t="s">
        <v>77</v>
      </c>
      <c r="AG311" t="s">
        <v>77</v>
      </c>
      <c r="AI311" t="s">
        <v>77</v>
      </c>
      <c r="AJ311" t="s">
        <v>77</v>
      </c>
      <c r="AM311">
        <v>558</v>
      </c>
      <c r="AN311">
        <v>44</v>
      </c>
      <c r="AO311" t="s">
        <v>392</v>
      </c>
      <c r="AP311">
        <v>0</v>
      </c>
      <c r="AR311" t="s">
        <v>393</v>
      </c>
      <c r="AS311" s="1">
        <v>44354.268750000003</v>
      </c>
      <c r="AT311" s="1">
        <v>44354.273506944446</v>
      </c>
      <c r="AU311" s="1">
        <v>44354.297592592593</v>
      </c>
      <c r="AV311" t="s">
        <v>71</v>
      </c>
      <c r="AW311" t="s">
        <v>72</v>
      </c>
      <c r="AX311" t="s">
        <v>73</v>
      </c>
    </row>
    <row r="312" spans="1:50" x14ac:dyDescent="0.3">
      <c r="A312" t="str">
        <f>"201038C0200"</f>
        <v>201038C0200</v>
      </c>
      <c r="B312" t="str">
        <f>"201038C02002"</f>
        <v>201038C02002</v>
      </c>
      <c r="C312" t="str">
        <f t="shared" si="11"/>
        <v>20</v>
      </c>
      <c r="D312" t="s">
        <v>67</v>
      </c>
      <c r="E312" t="str">
        <f t="shared" si="14"/>
        <v>002</v>
      </c>
      <c r="F312" t="s">
        <v>311</v>
      </c>
      <c r="G312" t="str">
        <f>"1038"</f>
        <v>1038</v>
      </c>
      <c r="H312" t="str">
        <f>"0002"</f>
        <v>0002</v>
      </c>
      <c r="I312" t="s">
        <v>75</v>
      </c>
      <c r="J312">
        <v>0</v>
      </c>
      <c r="K312">
        <v>1</v>
      </c>
      <c r="L312">
        <v>2</v>
      </c>
      <c r="M312">
        <v>260</v>
      </c>
      <c r="N312">
        <v>341</v>
      </c>
      <c r="O312">
        <v>13</v>
      </c>
      <c r="P312">
        <v>341</v>
      </c>
      <c r="Q312">
        <v>9</v>
      </c>
      <c r="R312">
        <v>28</v>
      </c>
      <c r="S312">
        <v>8</v>
      </c>
      <c r="T312">
        <v>12</v>
      </c>
      <c r="U312">
        <v>7</v>
      </c>
      <c r="V312">
        <v>34</v>
      </c>
      <c r="W312">
        <v>5</v>
      </c>
      <c r="X312">
        <v>160</v>
      </c>
      <c r="Y312">
        <v>57</v>
      </c>
      <c r="Z312">
        <v>7</v>
      </c>
      <c r="AA312">
        <v>0</v>
      </c>
      <c r="AB312">
        <v>4</v>
      </c>
      <c r="AD312">
        <v>1</v>
      </c>
      <c r="AE312">
        <v>2</v>
      </c>
      <c r="AF312">
        <v>0</v>
      </c>
      <c r="AG312">
        <v>0</v>
      </c>
      <c r="AI312">
        <v>0</v>
      </c>
      <c r="AJ312">
        <v>7</v>
      </c>
      <c r="AK312">
        <v>341</v>
      </c>
      <c r="AL312">
        <v>341</v>
      </c>
      <c r="AM312">
        <v>557</v>
      </c>
      <c r="AN312">
        <v>44</v>
      </c>
      <c r="AP312">
        <v>1</v>
      </c>
      <c r="AR312" t="s">
        <v>394</v>
      </c>
      <c r="AS312" s="1">
        <v>44354.01458333333</v>
      </c>
      <c r="AT312" s="1">
        <v>44354.045659722222</v>
      </c>
      <c r="AU312" s="1">
        <v>44354.046412037038</v>
      </c>
      <c r="AV312" t="s">
        <v>71</v>
      </c>
      <c r="AW312" t="s">
        <v>72</v>
      </c>
      <c r="AX312" t="s">
        <v>73</v>
      </c>
    </row>
    <row r="313" spans="1:50" x14ac:dyDescent="0.3">
      <c r="A313" t="str">
        <f>"201039B0000"</f>
        <v>201039B0000</v>
      </c>
      <c r="B313" t="str">
        <f>"201039B00002"</f>
        <v>201039B00002</v>
      </c>
      <c r="C313" t="str">
        <f t="shared" si="11"/>
        <v>20</v>
      </c>
      <c r="D313" t="s">
        <v>67</v>
      </c>
      <c r="E313" t="str">
        <f t="shared" si="14"/>
        <v>002</v>
      </c>
      <c r="F313" t="s">
        <v>311</v>
      </c>
      <c r="G313" t="str">
        <f>"1039"</f>
        <v>1039</v>
      </c>
      <c r="H313" t="str">
        <f>"0000"</f>
        <v>0000</v>
      </c>
      <c r="I313" t="s">
        <v>69</v>
      </c>
      <c r="J313">
        <v>0</v>
      </c>
      <c r="K313">
        <v>1</v>
      </c>
      <c r="L313">
        <v>2</v>
      </c>
      <c r="M313">
        <v>284</v>
      </c>
      <c r="N313">
        <v>288</v>
      </c>
      <c r="O313">
        <v>9</v>
      </c>
      <c r="P313">
        <v>290</v>
      </c>
      <c r="Q313">
        <v>6</v>
      </c>
      <c r="R313">
        <v>30</v>
      </c>
      <c r="S313">
        <v>2</v>
      </c>
      <c r="T313">
        <v>15</v>
      </c>
      <c r="U313">
        <v>4</v>
      </c>
      <c r="V313">
        <v>23</v>
      </c>
      <c r="W313">
        <v>0</v>
      </c>
      <c r="X313">
        <v>158</v>
      </c>
      <c r="Y313">
        <v>25</v>
      </c>
      <c r="Z313">
        <v>3</v>
      </c>
      <c r="AA313">
        <v>2</v>
      </c>
      <c r="AB313">
        <v>9</v>
      </c>
      <c r="AD313">
        <v>0</v>
      </c>
      <c r="AE313">
        <v>5</v>
      </c>
      <c r="AF313">
        <v>0</v>
      </c>
      <c r="AG313">
        <v>0</v>
      </c>
      <c r="AI313">
        <v>0</v>
      </c>
      <c r="AJ313">
        <v>8</v>
      </c>
      <c r="AK313">
        <v>290</v>
      </c>
      <c r="AL313">
        <v>290</v>
      </c>
      <c r="AM313">
        <v>529</v>
      </c>
      <c r="AN313">
        <v>44</v>
      </c>
      <c r="AP313">
        <v>1</v>
      </c>
      <c r="AR313" t="s">
        <v>395</v>
      </c>
      <c r="AS313" s="1">
        <v>44354.027777777781</v>
      </c>
      <c r="AT313" s="1">
        <v>44354.058923611112</v>
      </c>
      <c r="AU313" s="1">
        <v>44354.061249999999</v>
      </c>
      <c r="AV313" t="s">
        <v>71</v>
      </c>
      <c r="AW313" t="s">
        <v>72</v>
      </c>
      <c r="AX313" t="s">
        <v>73</v>
      </c>
    </row>
    <row r="314" spans="1:50" x14ac:dyDescent="0.3">
      <c r="A314" t="str">
        <f>"201039C0100"</f>
        <v>201039C0100</v>
      </c>
      <c r="B314" t="str">
        <f>"201039C01002"</f>
        <v>201039C01002</v>
      </c>
      <c r="C314" t="str">
        <f t="shared" si="11"/>
        <v>20</v>
      </c>
      <c r="D314" t="s">
        <v>67</v>
      </c>
      <c r="E314" t="str">
        <f t="shared" si="14"/>
        <v>002</v>
      </c>
      <c r="F314" t="s">
        <v>311</v>
      </c>
      <c r="G314" t="str">
        <f>"1039"</f>
        <v>1039</v>
      </c>
      <c r="H314" t="str">
        <f>"0001"</f>
        <v>0001</v>
      </c>
      <c r="I314" t="s">
        <v>75</v>
      </c>
      <c r="J314">
        <v>0</v>
      </c>
      <c r="K314">
        <v>1</v>
      </c>
      <c r="L314">
        <v>2</v>
      </c>
      <c r="M314">
        <v>271</v>
      </c>
      <c r="N314">
        <v>303</v>
      </c>
      <c r="O314">
        <v>7</v>
      </c>
      <c r="P314">
        <v>301</v>
      </c>
      <c r="Q314">
        <v>5</v>
      </c>
      <c r="R314">
        <v>32</v>
      </c>
      <c r="S314">
        <v>3</v>
      </c>
      <c r="T314">
        <v>13</v>
      </c>
      <c r="U314">
        <v>2</v>
      </c>
      <c r="V314">
        <v>22</v>
      </c>
      <c r="W314">
        <v>2</v>
      </c>
      <c r="X314">
        <v>186</v>
      </c>
      <c r="Y314">
        <v>27</v>
      </c>
      <c r="Z314">
        <v>3</v>
      </c>
      <c r="AA314">
        <v>0</v>
      </c>
      <c r="AB314">
        <v>3</v>
      </c>
      <c r="AD314">
        <v>0</v>
      </c>
      <c r="AE314">
        <v>1</v>
      </c>
      <c r="AF314">
        <v>0</v>
      </c>
      <c r="AG314">
        <v>0</v>
      </c>
      <c r="AI314">
        <v>0</v>
      </c>
      <c r="AJ314">
        <v>2</v>
      </c>
      <c r="AK314">
        <v>301</v>
      </c>
      <c r="AL314">
        <v>301</v>
      </c>
      <c r="AM314">
        <v>528</v>
      </c>
      <c r="AN314">
        <v>44</v>
      </c>
      <c r="AP314">
        <v>1</v>
      </c>
      <c r="AR314" t="s">
        <v>396</v>
      </c>
      <c r="AS314" s="1">
        <v>44354.031944444447</v>
      </c>
      <c r="AT314" s="1">
        <v>44354.06077546296</v>
      </c>
      <c r="AU314" s="1">
        <v>44354.061319444445</v>
      </c>
      <c r="AV314" t="s">
        <v>71</v>
      </c>
      <c r="AW314" t="s">
        <v>72</v>
      </c>
      <c r="AX314" t="s">
        <v>73</v>
      </c>
    </row>
    <row r="315" spans="1:50" x14ac:dyDescent="0.3">
      <c r="A315" t="str">
        <f>"201039C0200"</f>
        <v>201039C0200</v>
      </c>
      <c r="B315" t="str">
        <f>"201039C02002"</f>
        <v>201039C02002</v>
      </c>
      <c r="C315" t="str">
        <f t="shared" si="11"/>
        <v>20</v>
      </c>
      <c r="D315" t="s">
        <v>67</v>
      </c>
      <c r="E315" t="str">
        <f t="shared" si="14"/>
        <v>002</v>
      </c>
      <c r="F315" t="s">
        <v>311</v>
      </c>
      <c r="G315" t="str">
        <f>"1039"</f>
        <v>1039</v>
      </c>
      <c r="H315" t="str">
        <f>"0002"</f>
        <v>0002</v>
      </c>
      <c r="I315" t="s">
        <v>75</v>
      </c>
      <c r="J315">
        <v>0</v>
      </c>
      <c r="K315">
        <v>1</v>
      </c>
      <c r="L315">
        <v>2</v>
      </c>
      <c r="M315">
        <v>298</v>
      </c>
      <c r="N315">
        <v>277</v>
      </c>
      <c r="O315">
        <v>9</v>
      </c>
      <c r="P315">
        <v>269</v>
      </c>
      <c r="Q315">
        <v>10</v>
      </c>
      <c r="R315">
        <v>37</v>
      </c>
      <c r="S315">
        <v>1</v>
      </c>
      <c r="T315">
        <v>10</v>
      </c>
      <c r="U315">
        <v>5</v>
      </c>
      <c r="V315">
        <v>15</v>
      </c>
      <c r="W315">
        <v>3</v>
      </c>
      <c r="X315">
        <v>134</v>
      </c>
      <c r="Y315">
        <v>31</v>
      </c>
      <c r="Z315">
        <v>2</v>
      </c>
      <c r="AA315">
        <v>2</v>
      </c>
      <c r="AB315">
        <v>13</v>
      </c>
      <c r="AD315">
        <v>1</v>
      </c>
      <c r="AE315">
        <v>3</v>
      </c>
      <c r="AF315">
        <v>0</v>
      </c>
      <c r="AG315">
        <v>0</v>
      </c>
      <c r="AI315">
        <v>0</v>
      </c>
      <c r="AJ315">
        <v>4</v>
      </c>
      <c r="AK315">
        <v>269</v>
      </c>
      <c r="AL315">
        <v>271</v>
      </c>
      <c r="AM315">
        <v>528</v>
      </c>
      <c r="AN315">
        <v>44</v>
      </c>
      <c r="AP315">
        <v>1</v>
      </c>
      <c r="AR315" t="s">
        <v>397</v>
      </c>
      <c r="AS315" s="1">
        <v>44354.031944444447</v>
      </c>
      <c r="AT315" s="1">
        <v>44354.059629629628</v>
      </c>
      <c r="AU315" s="1">
        <v>44354.060324074075</v>
      </c>
      <c r="AV315" t="s">
        <v>71</v>
      </c>
      <c r="AW315" t="s">
        <v>72</v>
      </c>
      <c r="AX315" t="s">
        <v>73</v>
      </c>
    </row>
    <row r="316" spans="1:50" x14ac:dyDescent="0.3">
      <c r="A316" t="str">
        <f>"201040B0000"</f>
        <v>201040B0000</v>
      </c>
      <c r="B316" t="str">
        <f>"201040B00002"</f>
        <v>201040B00002</v>
      </c>
      <c r="C316" t="str">
        <f t="shared" si="11"/>
        <v>20</v>
      </c>
      <c r="D316" t="s">
        <v>67</v>
      </c>
      <c r="E316" t="str">
        <f t="shared" si="14"/>
        <v>002</v>
      </c>
      <c r="F316" t="s">
        <v>311</v>
      </c>
      <c r="G316" t="str">
        <f>"1040"</f>
        <v>1040</v>
      </c>
      <c r="H316" t="str">
        <f>"0000"</f>
        <v>0000</v>
      </c>
      <c r="I316" t="s">
        <v>69</v>
      </c>
      <c r="J316">
        <v>0</v>
      </c>
      <c r="K316">
        <v>1</v>
      </c>
      <c r="L316">
        <v>2</v>
      </c>
      <c r="M316">
        <v>302</v>
      </c>
      <c r="N316">
        <v>377</v>
      </c>
      <c r="O316">
        <v>12</v>
      </c>
      <c r="P316" t="s">
        <v>80</v>
      </c>
      <c r="Q316">
        <v>12</v>
      </c>
      <c r="R316">
        <v>29</v>
      </c>
      <c r="S316">
        <v>4</v>
      </c>
      <c r="T316">
        <v>11</v>
      </c>
      <c r="U316">
        <v>7</v>
      </c>
      <c r="V316">
        <v>36</v>
      </c>
      <c r="W316">
        <v>3</v>
      </c>
      <c r="X316">
        <v>219</v>
      </c>
      <c r="Y316">
        <v>28</v>
      </c>
      <c r="Z316">
        <v>5</v>
      </c>
      <c r="AA316">
        <v>2</v>
      </c>
      <c r="AB316">
        <v>12</v>
      </c>
      <c r="AD316">
        <v>0</v>
      </c>
      <c r="AE316">
        <v>1</v>
      </c>
      <c r="AF316">
        <v>0</v>
      </c>
      <c r="AG316">
        <v>0</v>
      </c>
      <c r="AI316">
        <v>0</v>
      </c>
      <c r="AJ316">
        <v>8</v>
      </c>
      <c r="AK316">
        <v>377</v>
      </c>
      <c r="AL316">
        <v>377</v>
      </c>
      <c r="AM316">
        <v>635</v>
      </c>
      <c r="AN316">
        <v>44</v>
      </c>
      <c r="AP316">
        <v>1</v>
      </c>
      <c r="AR316" t="s">
        <v>398</v>
      </c>
      <c r="AS316" s="1">
        <v>44353.953472222223</v>
      </c>
      <c r="AT316" s="1">
        <v>44353.957094907404</v>
      </c>
      <c r="AU316" s="1">
        <v>44353.958090277774</v>
      </c>
      <c r="AV316" t="s">
        <v>71</v>
      </c>
      <c r="AW316" t="s">
        <v>72</v>
      </c>
      <c r="AX316" t="s">
        <v>73</v>
      </c>
    </row>
    <row r="317" spans="1:50" x14ac:dyDescent="0.3">
      <c r="A317" t="str">
        <f>"201041B0000"</f>
        <v>201041B0000</v>
      </c>
      <c r="B317" t="str">
        <f>"201041B00002"</f>
        <v>201041B00002</v>
      </c>
      <c r="C317" t="str">
        <f t="shared" si="11"/>
        <v>20</v>
      </c>
      <c r="D317" t="s">
        <v>67</v>
      </c>
      <c r="E317" t="str">
        <f t="shared" si="14"/>
        <v>002</v>
      </c>
      <c r="F317" t="s">
        <v>311</v>
      </c>
      <c r="G317" t="str">
        <f>"1041"</f>
        <v>1041</v>
      </c>
      <c r="H317" t="str">
        <f>"0000"</f>
        <v>0000</v>
      </c>
      <c r="I317" t="s">
        <v>69</v>
      </c>
      <c r="J317">
        <v>0</v>
      </c>
      <c r="K317">
        <v>1</v>
      </c>
      <c r="L317">
        <v>2</v>
      </c>
      <c r="M317">
        <v>325</v>
      </c>
      <c r="N317">
        <v>322</v>
      </c>
      <c r="O317">
        <v>3</v>
      </c>
      <c r="P317">
        <v>322</v>
      </c>
      <c r="Q317">
        <v>8</v>
      </c>
      <c r="R317">
        <v>37</v>
      </c>
      <c r="S317">
        <v>0</v>
      </c>
      <c r="T317">
        <v>19</v>
      </c>
      <c r="U317">
        <v>8</v>
      </c>
      <c r="V317">
        <v>34</v>
      </c>
      <c r="W317">
        <v>10</v>
      </c>
      <c r="X317">
        <v>150</v>
      </c>
      <c r="Y317">
        <v>22</v>
      </c>
      <c r="Z317">
        <v>5</v>
      </c>
      <c r="AA317">
        <v>4</v>
      </c>
      <c r="AB317">
        <v>16</v>
      </c>
      <c r="AD317" t="s">
        <v>77</v>
      </c>
      <c r="AE317" t="s">
        <v>77</v>
      </c>
      <c r="AF317" t="s">
        <v>77</v>
      </c>
      <c r="AG317" t="s">
        <v>77</v>
      </c>
      <c r="AI317" t="s">
        <v>77</v>
      </c>
      <c r="AJ317">
        <v>9</v>
      </c>
      <c r="AK317">
        <v>313</v>
      </c>
      <c r="AL317">
        <v>322</v>
      </c>
      <c r="AM317">
        <v>603</v>
      </c>
      <c r="AN317">
        <v>44</v>
      </c>
      <c r="AO317" t="s">
        <v>78</v>
      </c>
      <c r="AP317">
        <v>1</v>
      </c>
      <c r="AR317" t="s">
        <v>399</v>
      </c>
      <c r="AS317" s="1">
        <v>44354.09097222222</v>
      </c>
      <c r="AT317" s="1">
        <v>44354.099849537037</v>
      </c>
      <c r="AU317" s="1">
        <v>44354.100324074076</v>
      </c>
      <c r="AV317" t="s">
        <v>71</v>
      </c>
      <c r="AW317" t="s">
        <v>72</v>
      </c>
      <c r="AX317" t="s">
        <v>73</v>
      </c>
    </row>
    <row r="318" spans="1:50" x14ac:dyDescent="0.3">
      <c r="A318" t="str">
        <f>"201042B0000"</f>
        <v>201042B0000</v>
      </c>
      <c r="B318" t="str">
        <f>"201042B00002"</f>
        <v>201042B00002</v>
      </c>
      <c r="C318" t="str">
        <f t="shared" si="11"/>
        <v>20</v>
      </c>
      <c r="D318" t="s">
        <v>67</v>
      </c>
      <c r="E318" t="str">
        <f t="shared" si="14"/>
        <v>002</v>
      </c>
      <c r="F318" t="s">
        <v>311</v>
      </c>
      <c r="G318" t="str">
        <f t="shared" ref="G318:G327" si="15">"1042"</f>
        <v>1042</v>
      </c>
      <c r="H318" t="str">
        <f>"0000"</f>
        <v>0000</v>
      </c>
      <c r="I318" t="s">
        <v>69</v>
      </c>
      <c r="J318">
        <v>0</v>
      </c>
      <c r="K318">
        <v>1</v>
      </c>
      <c r="L318">
        <v>2</v>
      </c>
      <c r="M318">
        <v>338</v>
      </c>
      <c r="N318">
        <v>390</v>
      </c>
      <c r="O318">
        <v>5</v>
      </c>
      <c r="P318">
        <v>390</v>
      </c>
      <c r="Q318">
        <v>10</v>
      </c>
      <c r="R318">
        <v>30</v>
      </c>
      <c r="S318">
        <v>2</v>
      </c>
      <c r="T318">
        <v>20</v>
      </c>
      <c r="U318">
        <v>9</v>
      </c>
      <c r="V318">
        <v>26</v>
      </c>
      <c r="W318">
        <v>7</v>
      </c>
      <c r="X318">
        <v>192</v>
      </c>
      <c r="Y318">
        <v>56</v>
      </c>
      <c r="Z318">
        <v>9</v>
      </c>
      <c r="AA318">
        <v>1</v>
      </c>
      <c r="AB318">
        <v>14</v>
      </c>
      <c r="AD318">
        <v>2</v>
      </c>
      <c r="AE318">
        <v>1</v>
      </c>
      <c r="AF318">
        <v>0</v>
      </c>
      <c r="AG318">
        <v>0</v>
      </c>
      <c r="AI318">
        <v>0</v>
      </c>
      <c r="AJ318">
        <v>11</v>
      </c>
      <c r="AK318">
        <v>390</v>
      </c>
      <c r="AL318">
        <v>390</v>
      </c>
      <c r="AM318">
        <v>684</v>
      </c>
      <c r="AN318">
        <v>44</v>
      </c>
      <c r="AP318">
        <v>1</v>
      </c>
      <c r="AR318" t="s">
        <v>400</v>
      </c>
      <c r="AS318" s="1">
        <v>44354.129861111112</v>
      </c>
      <c r="AT318" s="1">
        <v>44354.170694444445</v>
      </c>
      <c r="AU318" s="1">
        <v>44354.171493055554</v>
      </c>
      <c r="AV318" t="s">
        <v>71</v>
      </c>
      <c r="AW318" t="s">
        <v>72</v>
      </c>
      <c r="AX318" t="s">
        <v>73</v>
      </c>
    </row>
    <row r="319" spans="1:50" x14ac:dyDescent="0.3">
      <c r="A319" t="str">
        <f>"201042C0100"</f>
        <v>201042C0100</v>
      </c>
      <c r="B319" t="str">
        <f>"201042C01002"</f>
        <v>201042C01002</v>
      </c>
      <c r="C319" t="str">
        <f t="shared" si="11"/>
        <v>20</v>
      </c>
      <c r="D319" t="s">
        <v>67</v>
      </c>
      <c r="E319" t="str">
        <f t="shared" si="14"/>
        <v>002</v>
      </c>
      <c r="F319" t="s">
        <v>311</v>
      </c>
      <c r="G319" t="str">
        <f t="shared" si="15"/>
        <v>1042</v>
      </c>
      <c r="H319" t="str">
        <f>"0001"</f>
        <v>0001</v>
      </c>
      <c r="I319" t="s">
        <v>75</v>
      </c>
      <c r="J319">
        <v>0</v>
      </c>
      <c r="K319">
        <v>1</v>
      </c>
      <c r="L319">
        <v>2</v>
      </c>
      <c r="M319">
        <v>333</v>
      </c>
      <c r="N319">
        <v>395</v>
      </c>
      <c r="O319">
        <v>6</v>
      </c>
      <c r="P319">
        <v>395</v>
      </c>
      <c r="Q319">
        <v>12</v>
      </c>
      <c r="R319">
        <v>25</v>
      </c>
      <c r="S319">
        <v>2</v>
      </c>
      <c r="T319">
        <v>15</v>
      </c>
      <c r="U319">
        <v>17</v>
      </c>
      <c r="V319">
        <v>36</v>
      </c>
      <c r="W319">
        <v>4</v>
      </c>
      <c r="X319">
        <v>200</v>
      </c>
      <c r="Y319">
        <v>51</v>
      </c>
      <c r="Z319">
        <v>5</v>
      </c>
      <c r="AA319">
        <v>1</v>
      </c>
      <c r="AB319">
        <v>10</v>
      </c>
      <c r="AD319">
        <v>1</v>
      </c>
      <c r="AE319">
        <v>0</v>
      </c>
      <c r="AF319">
        <v>0</v>
      </c>
      <c r="AG319">
        <v>0</v>
      </c>
      <c r="AI319">
        <v>1</v>
      </c>
      <c r="AJ319">
        <v>15</v>
      </c>
      <c r="AK319">
        <v>395</v>
      </c>
      <c r="AL319">
        <v>395</v>
      </c>
      <c r="AM319">
        <v>684</v>
      </c>
      <c r="AN319">
        <v>44</v>
      </c>
      <c r="AP319">
        <v>1</v>
      </c>
      <c r="AR319" t="s">
        <v>401</v>
      </c>
      <c r="AS319" s="1">
        <v>44354.129166666666</v>
      </c>
      <c r="AT319" s="1">
        <v>44354.402696759258</v>
      </c>
      <c r="AU319" s="1">
        <v>44354.403414351851</v>
      </c>
      <c r="AV319" t="s">
        <v>71</v>
      </c>
      <c r="AW319" t="s">
        <v>72</v>
      </c>
      <c r="AX319" t="s">
        <v>73</v>
      </c>
    </row>
    <row r="320" spans="1:50" x14ac:dyDescent="0.3">
      <c r="A320" t="str">
        <f>"201042C0200"</f>
        <v>201042C0200</v>
      </c>
      <c r="B320" t="str">
        <f>"201042C02002"</f>
        <v>201042C02002</v>
      </c>
      <c r="C320" t="str">
        <f t="shared" si="11"/>
        <v>20</v>
      </c>
      <c r="D320" t="s">
        <v>67</v>
      </c>
      <c r="E320" t="str">
        <f t="shared" si="14"/>
        <v>002</v>
      </c>
      <c r="F320" t="s">
        <v>311</v>
      </c>
      <c r="G320" t="str">
        <f t="shared" si="15"/>
        <v>1042</v>
      </c>
      <c r="H320" t="str">
        <f>"0002"</f>
        <v>0002</v>
      </c>
      <c r="I320" t="s">
        <v>75</v>
      </c>
      <c r="J320">
        <v>0</v>
      </c>
      <c r="K320">
        <v>1</v>
      </c>
      <c r="L320">
        <v>2</v>
      </c>
      <c r="M320">
        <v>327</v>
      </c>
      <c r="N320">
        <v>400</v>
      </c>
      <c r="O320">
        <v>9</v>
      </c>
      <c r="P320">
        <v>400</v>
      </c>
      <c r="Q320">
        <v>10</v>
      </c>
      <c r="R320">
        <v>42</v>
      </c>
      <c r="S320">
        <v>0</v>
      </c>
      <c r="T320">
        <v>12</v>
      </c>
      <c r="U320">
        <v>9</v>
      </c>
      <c r="V320">
        <v>31</v>
      </c>
      <c r="W320">
        <v>4</v>
      </c>
      <c r="X320">
        <v>200</v>
      </c>
      <c r="Y320">
        <v>53</v>
      </c>
      <c r="Z320">
        <v>6</v>
      </c>
      <c r="AA320">
        <v>2</v>
      </c>
      <c r="AB320">
        <v>15</v>
      </c>
      <c r="AD320">
        <v>1</v>
      </c>
      <c r="AE320">
        <v>1</v>
      </c>
      <c r="AF320">
        <v>0</v>
      </c>
      <c r="AG320">
        <v>0</v>
      </c>
      <c r="AI320">
        <v>0</v>
      </c>
      <c r="AJ320">
        <v>14</v>
      </c>
      <c r="AK320">
        <v>400</v>
      </c>
      <c r="AL320">
        <v>400</v>
      </c>
      <c r="AM320">
        <v>683</v>
      </c>
      <c r="AN320">
        <v>44</v>
      </c>
      <c r="AP320">
        <v>1</v>
      </c>
      <c r="AR320" t="s">
        <v>402</v>
      </c>
      <c r="AS320" s="1">
        <v>44354.131944444445</v>
      </c>
      <c r="AT320" s="1">
        <v>44354.153564814813</v>
      </c>
      <c r="AU320" s="1">
        <v>44354.154016203705</v>
      </c>
      <c r="AV320" t="s">
        <v>71</v>
      </c>
      <c r="AW320" t="s">
        <v>72</v>
      </c>
      <c r="AX320" t="s">
        <v>73</v>
      </c>
    </row>
    <row r="321" spans="1:50" x14ac:dyDescent="0.3">
      <c r="A321" t="str">
        <f>"201042C0300"</f>
        <v>201042C0300</v>
      </c>
      <c r="B321" t="str">
        <f>"201042C03002"</f>
        <v>201042C03002</v>
      </c>
      <c r="C321" t="str">
        <f t="shared" si="11"/>
        <v>20</v>
      </c>
      <c r="D321" t="s">
        <v>67</v>
      </c>
      <c r="E321" t="str">
        <f t="shared" si="14"/>
        <v>002</v>
      </c>
      <c r="F321" t="s">
        <v>311</v>
      </c>
      <c r="G321" t="str">
        <f t="shared" si="15"/>
        <v>1042</v>
      </c>
      <c r="H321" t="str">
        <f>"0003"</f>
        <v>0003</v>
      </c>
      <c r="I321" t="s">
        <v>75</v>
      </c>
      <c r="J321">
        <v>0</v>
      </c>
      <c r="K321">
        <v>1</v>
      </c>
      <c r="L321">
        <v>2</v>
      </c>
      <c r="M321">
        <v>349</v>
      </c>
      <c r="N321">
        <v>378</v>
      </c>
      <c r="O321">
        <v>5</v>
      </c>
      <c r="P321">
        <v>378</v>
      </c>
      <c r="Q321">
        <v>4</v>
      </c>
      <c r="R321">
        <v>28</v>
      </c>
      <c r="S321">
        <v>2</v>
      </c>
      <c r="T321">
        <v>13</v>
      </c>
      <c r="U321">
        <v>9</v>
      </c>
      <c r="V321">
        <v>32</v>
      </c>
      <c r="W321">
        <v>3</v>
      </c>
      <c r="X321">
        <v>203</v>
      </c>
      <c r="Y321">
        <v>56</v>
      </c>
      <c r="Z321">
        <v>6</v>
      </c>
      <c r="AA321">
        <v>1</v>
      </c>
      <c r="AB321">
        <v>12</v>
      </c>
      <c r="AD321">
        <v>0</v>
      </c>
      <c r="AE321">
        <v>2</v>
      </c>
      <c r="AF321">
        <v>0</v>
      </c>
      <c r="AG321">
        <v>0</v>
      </c>
      <c r="AI321">
        <v>0</v>
      </c>
      <c r="AJ321">
        <v>7</v>
      </c>
      <c r="AK321" t="s">
        <v>77</v>
      </c>
      <c r="AL321">
        <v>378</v>
      </c>
      <c r="AM321">
        <v>683</v>
      </c>
      <c r="AN321">
        <v>44</v>
      </c>
      <c r="AP321">
        <v>1</v>
      </c>
      <c r="AR321" t="s">
        <v>403</v>
      </c>
      <c r="AS321" s="1">
        <v>44354.133333333331</v>
      </c>
      <c r="AT321" s="1">
        <v>44354.153194444443</v>
      </c>
      <c r="AU321" s="1">
        <v>44354.153657407405</v>
      </c>
      <c r="AV321" t="s">
        <v>71</v>
      </c>
      <c r="AW321" t="s">
        <v>72</v>
      </c>
      <c r="AX321" t="s">
        <v>73</v>
      </c>
    </row>
    <row r="322" spans="1:50" x14ac:dyDescent="0.3">
      <c r="A322" t="str">
        <f>"201042C0400"</f>
        <v>201042C0400</v>
      </c>
      <c r="B322" t="str">
        <f>"201042C04002"</f>
        <v>201042C04002</v>
      </c>
      <c r="C322" t="str">
        <f t="shared" si="11"/>
        <v>20</v>
      </c>
      <c r="D322" t="s">
        <v>67</v>
      </c>
      <c r="E322" t="str">
        <f t="shared" si="14"/>
        <v>002</v>
      </c>
      <c r="F322" t="s">
        <v>311</v>
      </c>
      <c r="G322" t="str">
        <f t="shared" si="15"/>
        <v>1042</v>
      </c>
      <c r="H322" t="str">
        <f>"0004"</f>
        <v>0004</v>
      </c>
      <c r="I322" t="s">
        <v>75</v>
      </c>
      <c r="J322">
        <v>0</v>
      </c>
      <c r="K322">
        <v>1</v>
      </c>
      <c r="L322">
        <v>2</v>
      </c>
      <c r="M322">
        <v>320</v>
      </c>
      <c r="N322">
        <v>407</v>
      </c>
      <c r="O322">
        <v>2</v>
      </c>
      <c r="P322" t="s">
        <v>80</v>
      </c>
      <c r="Q322">
        <v>14</v>
      </c>
      <c r="R322">
        <v>24</v>
      </c>
      <c r="S322">
        <v>2</v>
      </c>
      <c r="T322">
        <v>16</v>
      </c>
      <c r="U322">
        <v>9</v>
      </c>
      <c r="V322">
        <v>33</v>
      </c>
      <c r="W322">
        <v>6</v>
      </c>
      <c r="X322">
        <v>196</v>
      </c>
      <c r="Y322">
        <v>55</v>
      </c>
      <c r="Z322">
        <v>9</v>
      </c>
      <c r="AA322">
        <v>2</v>
      </c>
      <c r="AB322">
        <v>25</v>
      </c>
      <c r="AD322">
        <v>2</v>
      </c>
      <c r="AE322">
        <v>0</v>
      </c>
      <c r="AF322">
        <v>0</v>
      </c>
      <c r="AG322">
        <v>0</v>
      </c>
      <c r="AI322">
        <v>0</v>
      </c>
      <c r="AJ322">
        <v>14</v>
      </c>
      <c r="AK322">
        <v>407</v>
      </c>
      <c r="AL322">
        <v>407</v>
      </c>
      <c r="AM322">
        <v>683</v>
      </c>
      <c r="AN322">
        <v>44</v>
      </c>
      <c r="AP322">
        <v>1</v>
      </c>
      <c r="AR322" t="s">
        <v>404</v>
      </c>
      <c r="AS322" s="1">
        <v>44354.131944444445</v>
      </c>
      <c r="AT322" s="1">
        <v>44354.150949074072</v>
      </c>
      <c r="AU322" s="1">
        <v>44354.151319444441</v>
      </c>
      <c r="AV322" t="s">
        <v>71</v>
      </c>
      <c r="AW322" t="s">
        <v>72</v>
      </c>
      <c r="AX322" t="s">
        <v>73</v>
      </c>
    </row>
    <row r="323" spans="1:50" x14ac:dyDescent="0.3">
      <c r="A323" t="str">
        <f>"201042C0500"</f>
        <v>201042C0500</v>
      </c>
      <c r="B323" t="str">
        <f>"201042C05002"</f>
        <v>201042C05002</v>
      </c>
      <c r="C323" t="str">
        <f t="shared" si="11"/>
        <v>20</v>
      </c>
      <c r="D323" t="s">
        <v>67</v>
      </c>
      <c r="E323" t="str">
        <f t="shared" si="14"/>
        <v>002</v>
      </c>
      <c r="F323" t="s">
        <v>311</v>
      </c>
      <c r="G323" t="str">
        <f t="shared" si="15"/>
        <v>1042</v>
      </c>
      <c r="H323" t="str">
        <f>"0005"</f>
        <v>0005</v>
      </c>
      <c r="I323" t="s">
        <v>75</v>
      </c>
      <c r="J323">
        <v>0</v>
      </c>
      <c r="K323">
        <v>1</v>
      </c>
      <c r="L323">
        <v>2</v>
      </c>
      <c r="M323">
        <v>340</v>
      </c>
      <c r="N323">
        <v>387</v>
      </c>
      <c r="O323">
        <v>3</v>
      </c>
      <c r="P323">
        <v>387</v>
      </c>
      <c r="Q323">
        <v>6</v>
      </c>
      <c r="R323">
        <v>29</v>
      </c>
      <c r="S323">
        <v>2</v>
      </c>
      <c r="T323">
        <v>20</v>
      </c>
      <c r="U323">
        <v>15</v>
      </c>
      <c r="V323">
        <v>41</v>
      </c>
      <c r="W323">
        <v>1</v>
      </c>
      <c r="X323">
        <v>186</v>
      </c>
      <c r="Y323">
        <v>62</v>
      </c>
      <c r="Z323">
        <v>6</v>
      </c>
      <c r="AA323">
        <v>2</v>
      </c>
      <c r="AB323">
        <v>9</v>
      </c>
      <c r="AD323">
        <v>0</v>
      </c>
      <c r="AE323">
        <v>1</v>
      </c>
      <c r="AF323">
        <v>0</v>
      </c>
      <c r="AG323">
        <v>0</v>
      </c>
      <c r="AI323">
        <v>0</v>
      </c>
      <c r="AJ323">
        <v>7</v>
      </c>
      <c r="AK323">
        <v>387</v>
      </c>
      <c r="AL323">
        <v>387</v>
      </c>
      <c r="AM323">
        <v>683</v>
      </c>
      <c r="AN323">
        <v>44</v>
      </c>
      <c r="AP323">
        <v>1</v>
      </c>
      <c r="AR323" t="s">
        <v>405</v>
      </c>
      <c r="AS323" s="1">
        <v>44354.134027777778</v>
      </c>
      <c r="AT323" s="1">
        <v>44354.155277777776</v>
      </c>
      <c r="AU323" s="1">
        <v>44354.155706018515</v>
      </c>
      <c r="AV323" t="s">
        <v>71</v>
      </c>
      <c r="AW323" t="s">
        <v>72</v>
      </c>
      <c r="AX323" t="s">
        <v>73</v>
      </c>
    </row>
    <row r="324" spans="1:50" x14ac:dyDescent="0.3">
      <c r="A324" t="str">
        <f>"201042C0600"</f>
        <v>201042C0600</v>
      </c>
      <c r="B324" t="str">
        <f>"201042C06002"</f>
        <v>201042C06002</v>
      </c>
      <c r="C324" t="str">
        <f t="shared" si="11"/>
        <v>20</v>
      </c>
      <c r="D324" t="s">
        <v>67</v>
      </c>
      <c r="E324" t="str">
        <f t="shared" si="14"/>
        <v>002</v>
      </c>
      <c r="F324" t="s">
        <v>311</v>
      </c>
      <c r="G324" t="str">
        <f t="shared" si="15"/>
        <v>1042</v>
      </c>
      <c r="H324" t="str">
        <f>"0006"</f>
        <v>0006</v>
      </c>
      <c r="I324" t="s">
        <v>75</v>
      </c>
      <c r="J324">
        <v>0</v>
      </c>
      <c r="K324">
        <v>1</v>
      </c>
      <c r="L324">
        <v>2</v>
      </c>
      <c r="M324">
        <v>335</v>
      </c>
      <c r="N324">
        <v>393</v>
      </c>
      <c r="O324">
        <v>8</v>
      </c>
      <c r="P324">
        <v>393</v>
      </c>
      <c r="Q324">
        <v>4</v>
      </c>
      <c r="R324">
        <v>33</v>
      </c>
      <c r="S324">
        <v>3</v>
      </c>
      <c r="T324">
        <v>23</v>
      </c>
      <c r="U324">
        <v>14</v>
      </c>
      <c r="V324">
        <v>33</v>
      </c>
      <c r="W324" t="s">
        <v>77</v>
      </c>
      <c r="X324">
        <v>193</v>
      </c>
      <c r="Y324">
        <v>54</v>
      </c>
      <c r="Z324">
        <v>7</v>
      </c>
      <c r="AA324">
        <v>2</v>
      </c>
      <c r="AB324">
        <v>13</v>
      </c>
      <c r="AD324" t="s">
        <v>77</v>
      </c>
      <c r="AE324">
        <v>1</v>
      </c>
      <c r="AF324" t="s">
        <v>77</v>
      </c>
      <c r="AG324" t="s">
        <v>77</v>
      </c>
      <c r="AI324" t="s">
        <v>77</v>
      </c>
      <c r="AJ324">
        <v>13</v>
      </c>
      <c r="AK324">
        <v>393</v>
      </c>
      <c r="AL324">
        <v>393</v>
      </c>
      <c r="AM324">
        <v>683</v>
      </c>
      <c r="AN324">
        <v>44</v>
      </c>
      <c r="AO324" t="s">
        <v>78</v>
      </c>
      <c r="AP324">
        <v>1</v>
      </c>
      <c r="AR324" t="s">
        <v>406</v>
      </c>
      <c r="AS324" s="1">
        <v>44354.132638888892</v>
      </c>
      <c r="AT324" s="1">
        <v>44354.156493055554</v>
      </c>
      <c r="AU324" s="1">
        <v>44354.157870370371</v>
      </c>
      <c r="AV324" t="s">
        <v>71</v>
      </c>
      <c r="AW324" t="s">
        <v>72</v>
      </c>
      <c r="AX324" t="s">
        <v>73</v>
      </c>
    </row>
    <row r="325" spans="1:50" x14ac:dyDescent="0.3">
      <c r="A325" t="str">
        <f>"201042E0100"</f>
        <v>201042E0100</v>
      </c>
      <c r="B325" t="str">
        <f>"201042E01002"</f>
        <v>201042E01002</v>
      </c>
      <c r="C325" t="str">
        <f t="shared" si="11"/>
        <v>20</v>
      </c>
      <c r="D325" t="s">
        <v>67</v>
      </c>
      <c r="E325" t="str">
        <f t="shared" si="14"/>
        <v>002</v>
      </c>
      <c r="F325" t="s">
        <v>311</v>
      </c>
      <c r="G325" t="str">
        <f t="shared" si="15"/>
        <v>1042</v>
      </c>
      <c r="H325" t="str">
        <f>"0001"</f>
        <v>0001</v>
      </c>
      <c r="I325" t="s">
        <v>109</v>
      </c>
      <c r="J325">
        <v>0</v>
      </c>
      <c r="K325">
        <v>1</v>
      </c>
      <c r="L325">
        <v>2</v>
      </c>
      <c r="M325">
        <v>307</v>
      </c>
      <c r="N325">
        <v>366</v>
      </c>
      <c r="O325">
        <v>5</v>
      </c>
      <c r="P325">
        <v>366</v>
      </c>
      <c r="Q325">
        <v>9</v>
      </c>
      <c r="R325">
        <v>40</v>
      </c>
      <c r="S325">
        <v>2</v>
      </c>
      <c r="T325">
        <v>24</v>
      </c>
      <c r="U325">
        <v>13</v>
      </c>
      <c r="V325">
        <v>42</v>
      </c>
      <c r="W325">
        <v>3</v>
      </c>
      <c r="X325">
        <v>132</v>
      </c>
      <c r="Y325">
        <v>48</v>
      </c>
      <c r="Z325">
        <v>18</v>
      </c>
      <c r="AA325">
        <v>2</v>
      </c>
      <c r="AB325">
        <v>20</v>
      </c>
      <c r="AD325">
        <v>0</v>
      </c>
      <c r="AE325">
        <v>1</v>
      </c>
      <c r="AF325">
        <v>0</v>
      </c>
      <c r="AG325">
        <v>0</v>
      </c>
      <c r="AI325">
        <v>0</v>
      </c>
      <c r="AJ325">
        <v>12</v>
      </c>
      <c r="AK325">
        <v>366</v>
      </c>
      <c r="AL325">
        <v>366</v>
      </c>
      <c r="AM325">
        <v>629</v>
      </c>
      <c r="AN325">
        <v>44</v>
      </c>
      <c r="AP325">
        <v>1</v>
      </c>
      <c r="AR325" t="s">
        <v>407</v>
      </c>
      <c r="AS325" s="1">
        <v>44354.162499999999</v>
      </c>
      <c r="AT325" s="1">
        <v>44354.187997685185</v>
      </c>
      <c r="AU325" s="1">
        <v>44354.188680555555</v>
      </c>
      <c r="AV325" t="s">
        <v>71</v>
      </c>
      <c r="AW325" t="s">
        <v>72</v>
      </c>
      <c r="AX325" t="s">
        <v>73</v>
      </c>
    </row>
    <row r="326" spans="1:50" x14ac:dyDescent="0.3">
      <c r="A326" t="str">
        <f>"201042E0101"</f>
        <v>201042E0101</v>
      </c>
      <c r="B326" t="str">
        <f>"201042E01012"</f>
        <v>201042E01012</v>
      </c>
      <c r="C326" t="str">
        <f t="shared" si="11"/>
        <v>20</v>
      </c>
      <c r="D326" t="s">
        <v>67</v>
      </c>
      <c r="E326" t="str">
        <f t="shared" si="14"/>
        <v>002</v>
      </c>
      <c r="F326" t="s">
        <v>311</v>
      </c>
      <c r="G326" t="str">
        <f t="shared" si="15"/>
        <v>1042</v>
      </c>
      <c r="H326" t="str">
        <f>"0001"</f>
        <v>0001</v>
      </c>
      <c r="I326" t="s">
        <v>109</v>
      </c>
      <c r="J326">
        <v>1</v>
      </c>
      <c r="K326">
        <v>1</v>
      </c>
      <c r="L326">
        <v>2</v>
      </c>
      <c r="M326">
        <v>337</v>
      </c>
      <c r="N326">
        <v>335</v>
      </c>
      <c r="O326">
        <v>8</v>
      </c>
      <c r="P326">
        <v>335</v>
      </c>
      <c r="Q326">
        <v>7</v>
      </c>
      <c r="R326">
        <v>35</v>
      </c>
      <c r="S326">
        <v>2</v>
      </c>
      <c r="T326">
        <v>9</v>
      </c>
      <c r="U326">
        <v>6</v>
      </c>
      <c r="V326">
        <v>22</v>
      </c>
      <c r="W326">
        <v>3</v>
      </c>
      <c r="X326">
        <v>146</v>
      </c>
      <c r="Y326">
        <v>50</v>
      </c>
      <c r="Z326">
        <v>20</v>
      </c>
      <c r="AA326">
        <v>1</v>
      </c>
      <c r="AB326">
        <v>19</v>
      </c>
      <c r="AD326">
        <v>0</v>
      </c>
      <c r="AE326">
        <v>1</v>
      </c>
      <c r="AF326">
        <v>0</v>
      </c>
      <c r="AG326">
        <v>0</v>
      </c>
      <c r="AI326">
        <v>0</v>
      </c>
      <c r="AJ326">
        <v>14</v>
      </c>
      <c r="AK326">
        <v>335</v>
      </c>
      <c r="AL326">
        <v>335</v>
      </c>
      <c r="AM326">
        <v>628</v>
      </c>
      <c r="AN326">
        <v>44</v>
      </c>
      <c r="AP326">
        <v>1</v>
      </c>
      <c r="AR326" t="s">
        <v>408</v>
      </c>
      <c r="AS326" s="1">
        <v>44354.161805555559</v>
      </c>
      <c r="AT326" s="1">
        <v>44354.186666666668</v>
      </c>
      <c r="AU326" s="1">
        <v>44354.187106481484</v>
      </c>
      <c r="AV326" t="s">
        <v>71</v>
      </c>
      <c r="AW326" t="s">
        <v>72</v>
      </c>
      <c r="AX326" t="s">
        <v>73</v>
      </c>
    </row>
    <row r="327" spans="1:50" x14ac:dyDescent="0.3">
      <c r="A327" t="str">
        <f>"201042E0102"</f>
        <v>201042E0102</v>
      </c>
      <c r="B327" t="str">
        <f>"201042E01022"</f>
        <v>201042E01022</v>
      </c>
      <c r="C327" t="str">
        <f t="shared" ref="C327:C390" si="16">"20"</f>
        <v>20</v>
      </c>
      <c r="D327" t="s">
        <v>67</v>
      </c>
      <c r="E327" t="str">
        <f t="shared" si="14"/>
        <v>002</v>
      </c>
      <c r="F327" t="s">
        <v>311</v>
      </c>
      <c r="G327" t="str">
        <f t="shared" si="15"/>
        <v>1042</v>
      </c>
      <c r="H327" t="str">
        <f>"0001"</f>
        <v>0001</v>
      </c>
      <c r="I327" t="s">
        <v>109</v>
      </c>
      <c r="J327">
        <v>2</v>
      </c>
      <c r="K327">
        <v>1</v>
      </c>
      <c r="L327">
        <v>2</v>
      </c>
      <c r="M327">
        <v>318</v>
      </c>
      <c r="N327">
        <v>354</v>
      </c>
      <c r="O327">
        <v>6</v>
      </c>
      <c r="P327">
        <v>354</v>
      </c>
      <c r="Q327">
        <v>7</v>
      </c>
      <c r="R327">
        <v>34</v>
      </c>
      <c r="S327">
        <v>0</v>
      </c>
      <c r="T327">
        <v>21</v>
      </c>
      <c r="U327">
        <v>10</v>
      </c>
      <c r="V327">
        <v>42</v>
      </c>
      <c r="W327">
        <v>3</v>
      </c>
      <c r="X327">
        <v>130</v>
      </c>
      <c r="Y327">
        <v>54</v>
      </c>
      <c r="Z327">
        <v>19</v>
      </c>
      <c r="AA327">
        <v>3</v>
      </c>
      <c r="AB327">
        <v>21</v>
      </c>
      <c r="AD327">
        <v>0</v>
      </c>
      <c r="AE327">
        <v>3</v>
      </c>
      <c r="AF327">
        <v>0</v>
      </c>
      <c r="AG327">
        <v>0</v>
      </c>
      <c r="AI327">
        <v>0</v>
      </c>
      <c r="AJ327">
        <v>7</v>
      </c>
      <c r="AK327">
        <v>354</v>
      </c>
      <c r="AL327">
        <v>354</v>
      </c>
      <c r="AM327">
        <v>628</v>
      </c>
      <c r="AN327">
        <v>44</v>
      </c>
      <c r="AP327">
        <v>1</v>
      </c>
      <c r="AR327" t="s">
        <v>409</v>
      </c>
      <c r="AS327" s="1">
        <v>44354.161805555559</v>
      </c>
      <c r="AT327" s="1">
        <v>44354.185648148145</v>
      </c>
      <c r="AU327" s="1">
        <v>44354.186226851853</v>
      </c>
      <c r="AV327" t="s">
        <v>71</v>
      </c>
      <c r="AW327" t="s">
        <v>72</v>
      </c>
      <c r="AX327" t="s">
        <v>73</v>
      </c>
    </row>
    <row r="328" spans="1:50" x14ac:dyDescent="0.3">
      <c r="A328" t="str">
        <f>"201043B0000"</f>
        <v>201043B0000</v>
      </c>
      <c r="B328" t="str">
        <f>"201043B00002"</f>
        <v>201043B00002</v>
      </c>
      <c r="C328" t="str">
        <f t="shared" si="16"/>
        <v>20</v>
      </c>
      <c r="D328" t="s">
        <v>67</v>
      </c>
      <c r="E328" t="str">
        <f t="shared" si="14"/>
        <v>002</v>
      </c>
      <c r="F328" t="s">
        <v>311</v>
      </c>
      <c r="G328" t="str">
        <f>"1043"</f>
        <v>1043</v>
      </c>
      <c r="H328" t="str">
        <f>"0000"</f>
        <v>0000</v>
      </c>
      <c r="I328" t="s">
        <v>69</v>
      </c>
      <c r="J328">
        <v>0</v>
      </c>
      <c r="K328">
        <v>1</v>
      </c>
      <c r="L328">
        <v>2</v>
      </c>
      <c r="M328">
        <v>248</v>
      </c>
      <c r="N328">
        <v>325</v>
      </c>
      <c r="O328">
        <v>5</v>
      </c>
      <c r="P328">
        <v>317</v>
      </c>
      <c r="Q328">
        <v>6</v>
      </c>
      <c r="R328">
        <v>30</v>
      </c>
      <c r="S328">
        <v>0</v>
      </c>
      <c r="T328">
        <v>20</v>
      </c>
      <c r="U328">
        <v>9</v>
      </c>
      <c r="V328">
        <v>20</v>
      </c>
      <c r="W328">
        <v>3</v>
      </c>
      <c r="X328">
        <v>162</v>
      </c>
      <c r="Y328">
        <v>43</v>
      </c>
      <c r="Z328">
        <v>5</v>
      </c>
      <c r="AA328">
        <v>3</v>
      </c>
      <c r="AB328">
        <v>12</v>
      </c>
      <c r="AD328">
        <v>0</v>
      </c>
      <c r="AE328">
        <v>1</v>
      </c>
      <c r="AF328">
        <v>0</v>
      </c>
      <c r="AG328">
        <v>0</v>
      </c>
      <c r="AI328">
        <v>0</v>
      </c>
      <c r="AJ328">
        <v>3</v>
      </c>
      <c r="AK328">
        <v>317</v>
      </c>
      <c r="AL328">
        <v>317</v>
      </c>
      <c r="AM328">
        <v>525</v>
      </c>
      <c r="AN328">
        <v>44</v>
      </c>
      <c r="AP328">
        <v>1</v>
      </c>
      <c r="AR328" t="s">
        <v>410</v>
      </c>
      <c r="AS328" s="1">
        <v>44354.011111111111</v>
      </c>
      <c r="AT328" s="1">
        <v>44354.03800925926</v>
      </c>
      <c r="AU328" s="1">
        <v>44354.038483796299</v>
      </c>
      <c r="AV328" t="s">
        <v>71</v>
      </c>
      <c r="AW328" t="s">
        <v>72</v>
      </c>
      <c r="AX328" t="s">
        <v>73</v>
      </c>
    </row>
    <row r="329" spans="1:50" x14ac:dyDescent="0.3">
      <c r="A329" t="str">
        <f>"201043C0100"</f>
        <v>201043C0100</v>
      </c>
      <c r="B329" t="str">
        <f>"201043C01002"</f>
        <v>201043C01002</v>
      </c>
      <c r="C329" t="str">
        <f t="shared" si="16"/>
        <v>20</v>
      </c>
      <c r="D329" t="s">
        <v>67</v>
      </c>
      <c r="E329" t="str">
        <f t="shared" ref="E329:E360" si="17">"002"</f>
        <v>002</v>
      </c>
      <c r="F329" t="s">
        <v>311</v>
      </c>
      <c r="G329" t="str">
        <f>"1043"</f>
        <v>1043</v>
      </c>
      <c r="H329" t="str">
        <f>"0001"</f>
        <v>0001</v>
      </c>
      <c r="I329" t="s">
        <v>75</v>
      </c>
      <c r="J329">
        <v>0</v>
      </c>
      <c r="K329">
        <v>1</v>
      </c>
      <c r="L329">
        <v>2</v>
      </c>
      <c r="M329">
        <v>226</v>
      </c>
      <c r="N329">
        <v>342</v>
      </c>
      <c r="O329" t="s">
        <v>80</v>
      </c>
      <c r="P329">
        <v>342</v>
      </c>
      <c r="Q329">
        <v>14</v>
      </c>
      <c r="R329">
        <v>23</v>
      </c>
      <c r="S329">
        <v>0</v>
      </c>
      <c r="T329">
        <v>8</v>
      </c>
      <c r="U329">
        <v>4</v>
      </c>
      <c r="V329">
        <v>23</v>
      </c>
      <c r="W329">
        <v>2</v>
      </c>
      <c r="X329">
        <v>192</v>
      </c>
      <c r="Y329">
        <v>39</v>
      </c>
      <c r="Z329">
        <v>7</v>
      </c>
      <c r="AA329">
        <v>0</v>
      </c>
      <c r="AB329">
        <v>14</v>
      </c>
      <c r="AD329">
        <v>2</v>
      </c>
      <c r="AE329">
        <v>2</v>
      </c>
      <c r="AF329">
        <v>0</v>
      </c>
      <c r="AG329">
        <v>0</v>
      </c>
      <c r="AI329">
        <v>0</v>
      </c>
      <c r="AJ329">
        <v>7</v>
      </c>
      <c r="AK329">
        <v>342</v>
      </c>
      <c r="AL329">
        <v>337</v>
      </c>
      <c r="AM329">
        <v>524</v>
      </c>
      <c r="AN329">
        <v>44</v>
      </c>
      <c r="AP329">
        <v>1</v>
      </c>
      <c r="AR329" t="s">
        <v>411</v>
      </c>
      <c r="AS329" s="1">
        <v>44354.010416666664</v>
      </c>
      <c r="AT329" s="1">
        <v>44354.035717592589</v>
      </c>
      <c r="AU329" s="1">
        <v>44354.036087962966</v>
      </c>
      <c r="AV329" t="s">
        <v>71</v>
      </c>
      <c r="AW329" t="s">
        <v>72</v>
      </c>
      <c r="AX329" t="s">
        <v>73</v>
      </c>
    </row>
    <row r="330" spans="1:50" x14ac:dyDescent="0.3">
      <c r="A330" t="str">
        <f>"201043C0200"</f>
        <v>201043C0200</v>
      </c>
      <c r="B330" t="str">
        <f>"201043C02002"</f>
        <v>201043C02002</v>
      </c>
      <c r="C330" t="str">
        <f t="shared" si="16"/>
        <v>20</v>
      </c>
      <c r="D330" t="s">
        <v>67</v>
      </c>
      <c r="E330" t="str">
        <f t="shared" si="17"/>
        <v>002</v>
      </c>
      <c r="F330" t="s">
        <v>311</v>
      </c>
      <c r="G330" t="str">
        <f>"1043"</f>
        <v>1043</v>
      </c>
      <c r="H330" t="str">
        <f>"0002"</f>
        <v>0002</v>
      </c>
      <c r="I330" t="s">
        <v>75</v>
      </c>
      <c r="J330">
        <v>0</v>
      </c>
      <c r="K330">
        <v>1</v>
      </c>
      <c r="L330">
        <v>2</v>
      </c>
      <c r="M330">
        <v>254</v>
      </c>
      <c r="N330">
        <v>314</v>
      </c>
      <c r="O330">
        <v>11</v>
      </c>
      <c r="P330">
        <v>315</v>
      </c>
      <c r="Q330">
        <v>14</v>
      </c>
      <c r="R330">
        <v>31</v>
      </c>
      <c r="S330">
        <v>2</v>
      </c>
      <c r="T330">
        <v>16</v>
      </c>
      <c r="U330">
        <v>3</v>
      </c>
      <c r="V330">
        <v>22</v>
      </c>
      <c r="W330">
        <v>4</v>
      </c>
      <c r="X330">
        <v>171</v>
      </c>
      <c r="Y330">
        <v>30</v>
      </c>
      <c r="Z330">
        <v>3</v>
      </c>
      <c r="AA330">
        <v>0</v>
      </c>
      <c r="AB330">
        <v>14</v>
      </c>
      <c r="AD330">
        <v>0</v>
      </c>
      <c r="AE330">
        <v>0</v>
      </c>
      <c r="AF330">
        <v>0</v>
      </c>
      <c r="AG330">
        <v>0</v>
      </c>
      <c r="AI330">
        <v>0</v>
      </c>
      <c r="AJ330">
        <v>5</v>
      </c>
      <c r="AK330">
        <v>315</v>
      </c>
      <c r="AL330">
        <v>315</v>
      </c>
      <c r="AM330">
        <v>524</v>
      </c>
      <c r="AN330">
        <v>44</v>
      </c>
      <c r="AP330">
        <v>1</v>
      </c>
      <c r="AR330" t="s">
        <v>412</v>
      </c>
      <c r="AS330" s="1">
        <v>44354.010416666664</v>
      </c>
      <c r="AT330" s="1">
        <v>44354.033773148149</v>
      </c>
      <c r="AU330" s="1">
        <v>44354.034780092596</v>
      </c>
      <c r="AV330" t="s">
        <v>71</v>
      </c>
      <c r="AW330" t="s">
        <v>72</v>
      </c>
      <c r="AX330" t="s">
        <v>73</v>
      </c>
    </row>
    <row r="331" spans="1:50" x14ac:dyDescent="0.3">
      <c r="A331" t="str">
        <f>"201044B0000"</f>
        <v>201044B0000</v>
      </c>
      <c r="B331" t="str">
        <f>"201044B00002"</f>
        <v>201044B00002</v>
      </c>
      <c r="C331" t="str">
        <f t="shared" si="16"/>
        <v>20</v>
      </c>
      <c r="D331" t="s">
        <v>67</v>
      </c>
      <c r="E331" t="str">
        <f t="shared" si="17"/>
        <v>002</v>
      </c>
      <c r="F331" t="s">
        <v>311</v>
      </c>
      <c r="G331" t="str">
        <f>"1044"</f>
        <v>1044</v>
      </c>
      <c r="H331" t="str">
        <f>"0000"</f>
        <v>0000</v>
      </c>
      <c r="I331" t="s">
        <v>69</v>
      </c>
      <c r="J331">
        <v>0</v>
      </c>
      <c r="K331">
        <v>1</v>
      </c>
      <c r="L331">
        <v>2</v>
      </c>
      <c r="M331" t="s">
        <v>80</v>
      </c>
      <c r="N331" t="s">
        <v>80</v>
      </c>
      <c r="O331" t="s">
        <v>80</v>
      </c>
      <c r="P331" t="s">
        <v>80</v>
      </c>
      <c r="Q331" t="s">
        <v>77</v>
      </c>
      <c r="R331" t="s">
        <v>77</v>
      </c>
      <c r="S331" t="s">
        <v>77</v>
      </c>
      <c r="T331" t="s">
        <v>77</v>
      </c>
      <c r="U331" t="s">
        <v>77</v>
      </c>
      <c r="V331" t="s">
        <v>77</v>
      </c>
      <c r="W331" t="s">
        <v>77</v>
      </c>
      <c r="X331" t="s">
        <v>77</v>
      </c>
      <c r="Y331" t="s">
        <v>77</v>
      </c>
      <c r="Z331" t="s">
        <v>77</v>
      </c>
      <c r="AA331" t="s">
        <v>77</v>
      </c>
      <c r="AB331" t="s">
        <v>77</v>
      </c>
      <c r="AD331" t="s">
        <v>77</v>
      </c>
      <c r="AE331" t="s">
        <v>77</v>
      </c>
      <c r="AF331" t="s">
        <v>77</v>
      </c>
      <c r="AG331" t="s">
        <v>77</v>
      </c>
      <c r="AI331" t="s">
        <v>77</v>
      </c>
      <c r="AJ331" t="s">
        <v>77</v>
      </c>
      <c r="AM331">
        <v>724</v>
      </c>
      <c r="AN331">
        <v>44</v>
      </c>
      <c r="AO331" t="s">
        <v>392</v>
      </c>
      <c r="AP331">
        <v>0</v>
      </c>
      <c r="AR331" t="s">
        <v>413</v>
      </c>
      <c r="AS331" s="1">
        <v>44354.258333333331</v>
      </c>
      <c r="AT331" s="1">
        <v>44354.297013888892</v>
      </c>
      <c r="AU331" s="1">
        <v>44354.297013888892</v>
      </c>
      <c r="AV331" t="s">
        <v>71</v>
      </c>
      <c r="AW331" t="s">
        <v>72</v>
      </c>
      <c r="AX331" t="s">
        <v>73</v>
      </c>
    </row>
    <row r="332" spans="1:50" x14ac:dyDescent="0.3">
      <c r="A332" t="str">
        <f>"201044C0100"</f>
        <v>201044C0100</v>
      </c>
      <c r="B332" t="str">
        <f>"201044C01002"</f>
        <v>201044C01002</v>
      </c>
      <c r="C332" t="str">
        <f t="shared" si="16"/>
        <v>20</v>
      </c>
      <c r="D332" t="s">
        <v>67</v>
      </c>
      <c r="E332" t="str">
        <f t="shared" si="17"/>
        <v>002</v>
      </c>
      <c r="F332" t="s">
        <v>311</v>
      </c>
      <c r="G332" t="str">
        <f>"1044"</f>
        <v>1044</v>
      </c>
      <c r="H332" t="str">
        <f>"0001"</f>
        <v>0001</v>
      </c>
      <c r="I332" t="s">
        <v>75</v>
      </c>
      <c r="J332">
        <v>0</v>
      </c>
      <c r="K332">
        <v>1</v>
      </c>
      <c r="L332">
        <v>2</v>
      </c>
      <c r="M332" t="s">
        <v>80</v>
      </c>
      <c r="N332" t="s">
        <v>80</v>
      </c>
      <c r="O332" t="s">
        <v>80</v>
      </c>
      <c r="P332">
        <v>410</v>
      </c>
      <c r="Q332">
        <v>8</v>
      </c>
      <c r="R332">
        <v>39</v>
      </c>
      <c r="S332">
        <v>3</v>
      </c>
      <c r="T332">
        <v>11</v>
      </c>
      <c r="U332">
        <v>3</v>
      </c>
      <c r="V332">
        <v>39</v>
      </c>
      <c r="W332">
        <v>2</v>
      </c>
      <c r="X332">
        <v>222</v>
      </c>
      <c r="Y332">
        <v>49</v>
      </c>
      <c r="Z332">
        <v>6</v>
      </c>
      <c r="AA332">
        <v>2</v>
      </c>
      <c r="AB332">
        <v>15</v>
      </c>
      <c r="AD332">
        <v>0</v>
      </c>
      <c r="AE332">
        <v>1</v>
      </c>
      <c r="AF332">
        <v>0</v>
      </c>
      <c r="AG332">
        <v>0</v>
      </c>
      <c r="AI332" t="s">
        <v>77</v>
      </c>
      <c r="AJ332">
        <v>11</v>
      </c>
      <c r="AK332">
        <v>410</v>
      </c>
      <c r="AL332">
        <v>411</v>
      </c>
      <c r="AM332">
        <v>724</v>
      </c>
      <c r="AN332">
        <v>44</v>
      </c>
      <c r="AO332" t="s">
        <v>78</v>
      </c>
      <c r="AP332">
        <v>1</v>
      </c>
      <c r="AR332" t="s">
        <v>414</v>
      </c>
      <c r="AS332" s="1">
        <v>44354.094444444447</v>
      </c>
      <c r="AT332" s="1">
        <v>44354.10601851852</v>
      </c>
      <c r="AU332" s="1">
        <v>44354.106469907405</v>
      </c>
      <c r="AV332" t="s">
        <v>71</v>
      </c>
      <c r="AW332" t="s">
        <v>72</v>
      </c>
      <c r="AX332" t="s">
        <v>73</v>
      </c>
    </row>
    <row r="333" spans="1:50" x14ac:dyDescent="0.3">
      <c r="A333" t="str">
        <f>"201045B0000"</f>
        <v>201045B0000</v>
      </c>
      <c r="B333" t="str">
        <f>"201045B00002"</f>
        <v>201045B00002</v>
      </c>
      <c r="C333" t="str">
        <f t="shared" si="16"/>
        <v>20</v>
      </c>
      <c r="D333" t="s">
        <v>67</v>
      </c>
      <c r="E333" t="str">
        <f t="shared" si="17"/>
        <v>002</v>
      </c>
      <c r="F333" t="s">
        <v>311</v>
      </c>
      <c r="G333" t="str">
        <f>"1045"</f>
        <v>1045</v>
      </c>
      <c r="H333" t="str">
        <f>"0000"</f>
        <v>0000</v>
      </c>
      <c r="I333" t="s">
        <v>69</v>
      </c>
      <c r="J333">
        <v>0</v>
      </c>
      <c r="K333">
        <v>1</v>
      </c>
      <c r="L333">
        <v>2</v>
      </c>
      <c r="M333">
        <v>287</v>
      </c>
      <c r="N333">
        <v>430</v>
      </c>
      <c r="O333">
        <v>9</v>
      </c>
      <c r="P333">
        <v>421</v>
      </c>
      <c r="Q333">
        <v>12</v>
      </c>
      <c r="R333">
        <v>41</v>
      </c>
      <c r="S333">
        <v>1</v>
      </c>
      <c r="T333">
        <v>9</v>
      </c>
      <c r="U333">
        <v>3</v>
      </c>
      <c r="V333">
        <v>22</v>
      </c>
      <c r="W333">
        <v>8</v>
      </c>
      <c r="X333">
        <v>241</v>
      </c>
      <c r="Y333">
        <v>58</v>
      </c>
      <c r="Z333">
        <v>4</v>
      </c>
      <c r="AA333">
        <v>1</v>
      </c>
      <c r="AB333">
        <v>9</v>
      </c>
      <c r="AD333" t="s">
        <v>77</v>
      </c>
      <c r="AE333">
        <v>1</v>
      </c>
      <c r="AF333" t="s">
        <v>77</v>
      </c>
      <c r="AG333" t="s">
        <v>77</v>
      </c>
      <c r="AI333" t="s">
        <v>77</v>
      </c>
      <c r="AJ333">
        <v>8</v>
      </c>
      <c r="AK333">
        <v>421</v>
      </c>
      <c r="AL333">
        <v>418</v>
      </c>
      <c r="AM333">
        <v>661</v>
      </c>
      <c r="AN333">
        <v>44</v>
      </c>
      <c r="AO333" t="s">
        <v>78</v>
      </c>
      <c r="AP333">
        <v>1</v>
      </c>
      <c r="AR333" t="s">
        <v>415</v>
      </c>
      <c r="AS333" s="1">
        <v>44354.091666666667</v>
      </c>
      <c r="AT333" s="1">
        <v>44354.101689814815</v>
      </c>
      <c r="AU333" s="1">
        <v>44354.10229166667</v>
      </c>
      <c r="AV333" t="s">
        <v>71</v>
      </c>
      <c r="AW333" t="s">
        <v>72</v>
      </c>
      <c r="AX333" t="s">
        <v>73</v>
      </c>
    </row>
    <row r="334" spans="1:50" x14ac:dyDescent="0.3">
      <c r="A334" t="str">
        <f>"201045C0100"</f>
        <v>201045C0100</v>
      </c>
      <c r="B334" t="str">
        <f>"201045C01002"</f>
        <v>201045C01002</v>
      </c>
      <c r="C334" t="str">
        <f t="shared" si="16"/>
        <v>20</v>
      </c>
      <c r="D334" t="s">
        <v>67</v>
      </c>
      <c r="E334" t="str">
        <f t="shared" si="17"/>
        <v>002</v>
      </c>
      <c r="F334" t="s">
        <v>311</v>
      </c>
      <c r="G334" t="str">
        <f>"1045"</f>
        <v>1045</v>
      </c>
      <c r="H334" t="str">
        <f>"0001"</f>
        <v>0001</v>
      </c>
      <c r="I334" t="s">
        <v>75</v>
      </c>
      <c r="J334">
        <v>0</v>
      </c>
      <c r="K334">
        <v>1</v>
      </c>
      <c r="L334">
        <v>2</v>
      </c>
      <c r="M334">
        <v>317</v>
      </c>
      <c r="N334">
        <v>3</v>
      </c>
      <c r="O334">
        <v>0</v>
      </c>
      <c r="P334" t="s">
        <v>80</v>
      </c>
      <c r="Q334">
        <v>1</v>
      </c>
      <c r="R334" t="s">
        <v>77</v>
      </c>
      <c r="S334">
        <v>2</v>
      </c>
      <c r="T334">
        <v>10</v>
      </c>
      <c r="U334">
        <v>2</v>
      </c>
      <c r="V334">
        <v>18</v>
      </c>
      <c r="W334">
        <v>9</v>
      </c>
      <c r="X334">
        <v>230</v>
      </c>
      <c r="Y334">
        <v>64</v>
      </c>
      <c r="Z334">
        <v>0</v>
      </c>
      <c r="AA334">
        <v>2</v>
      </c>
      <c r="AB334">
        <v>5</v>
      </c>
      <c r="AD334">
        <v>0</v>
      </c>
      <c r="AE334">
        <v>1</v>
      </c>
      <c r="AF334">
        <v>0</v>
      </c>
      <c r="AG334">
        <v>0</v>
      </c>
      <c r="AI334">
        <v>0</v>
      </c>
      <c r="AJ334">
        <v>13</v>
      </c>
      <c r="AK334">
        <v>357</v>
      </c>
      <c r="AL334">
        <v>357</v>
      </c>
      <c r="AM334">
        <v>660</v>
      </c>
      <c r="AN334">
        <v>44</v>
      </c>
      <c r="AO334" t="s">
        <v>78</v>
      </c>
      <c r="AP334">
        <v>1</v>
      </c>
      <c r="AR334" t="s">
        <v>416</v>
      </c>
      <c r="AS334" s="1">
        <v>44354.093055555553</v>
      </c>
      <c r="AT334" s="1">
        <v>44354.107523148145</v>
      </c>
      <c r="AU334" s="1">
        <v>44354.108993055554</v>
      </c>
      <c r="AV334" t="s">
        <v>71</v>
      </c>
      <c r="AW334" t="s">
        <v>72</v>
      </c>
      <c r="AX334" t="s">
        <v>73</v>
      </c>
    </row>
    <row r="335" spans="1:50" x14ac:dyDescent="0.3">
      <c r="A335" t="str">
        <f>"201046B0000"</f>
        <v>201046B0000</v>
      </c>
      <c r="B335" t="str">
        <f>"201046B00002"</f>
        <v>201046B00002</v>
      </c>
      <c r="C335" t="str">
        <f t="shared" si="16"/>
        <v>20</v>
      </c>
      <c r="D335" t="s">
        <v>67</v>
      </c>
      <c r="E335" t="str">
        <f t="shared" si="17"/>
        <v>002</v>
      </c>
      <c r="F335" t="s">
        <v>311</v>
      </c>
      <c r="G335" t="str">
        <f>"1046"</f>
        <v>1046</v>
      </c>
      <c r="H335" t="str">
        <f>"0000"</f>
        <v>0000</v>
      </c>
      <c r="I335" t="s">
        <v>69</v>
      </c>
      <c r="J335">
        <v>0</v>
      </c>
      <c r="K335">
        <v>1</v>
      </c>
      <c r="L335">
        <v>2</v>
      </c>
      <c r="M335">
        <v>201</v>
      </c>
      <c r="N335">
        <v>260</v>
      </c>
      <c r="O335">
        <v>11</v>
      </c>
      <c r="P335">
        <v>260</v>
      </c>
      <c r="Q335">
        <v>6</v>
      </c>
      <c r="R335">
        <v>43</v>
      </c>
      <c r="S335">
        <v>0</v>
      </c>
      <c r="T335">
        <v>16</v>
      </c>
      <c r="U335">
        <v>4</v>
      </c>
      <c r="V335">
        <v>26</v>
      </c>
      <c r="W335">
        <v>1</v>
      </c>
      <c r="X335">
        <v>140</v>
      </c>
      <c r="Y335">
        <v>7</v>
      </c>
      <c r="Z335">
        <v>1</v>
      </c>
      <c r="AA335">
        <v>0</v>
      </c>
      <c r="AB335">
        <v>10</v>
      </c>
      <c r="AD335">
        <v>0</v>
      </c>
      <c r="AE335">
        <v>0</v>
      </c>
      <c r="AF335">
        <v>0</v>
      </c>
      <c r="AG335">
        <v>0</v>
      </c>
      <c r="AI335">
        <v>0</v>
      </c>
      <c r="AJ335">
        <v>4</v>
      </c>
      <c r="AK335">
        <v>260</v>
      </c>
      <c r="AL335">
        <v>258</v>
      </c>
      <c r="AM335">
        <v>417</v>
      </c>
      <c r="AN335">
        <v>44</v>
      </c>
      <c r="AP335">
        <v>1</v>
      </c>
      <c r="AR335" t="s">
        <v>417</v>
      </c>
      <c r="AS335" s="1">
        <v>44354.088194444441</v>
      </c>
      <c r="AT335" s="1">
        <v>44354.096990740742</v>
      </c>
      <c r="AU335" s="1">
        <v>44354.097881944443</v>
      </c>
      <c r="AV335" t="s">
        <v>71</v>
      </c>
      <c r="AW335" t="s">
        <v>72</v>
      </c>
      <c r="AX335" t="s">
        <v>73</v>
      </c>
    </row>
    <row r="336" spans="1:50" x14ac:dyDescent="0.3">
      <c r="A336" t="str">
        <f>"201046C0100"</f>
        <v>201046C0100</v>
      </c>
      <c r="B336" t="str">
        <f>"201046C01002"</f>
        <v>201046C01002</v>
      </c>
      <c r="C336" t="str">
        <f t="shared" si="16"/>
        <v>20</v>
      </c>
      <c r="D336" t="s">
        <v>67</v>
      </c>
      <c r="E336" t="str">
        <f t="shared" si="17"/>
        <v>002</v>
      </c>
      <c r="F336" t="s">
        <v>311</v>
      </c>
      <c r="G336" t="str">
        <f>"1046"</f>
        <v>1046</v>
      </c>
      <c r="H336" t="str">
        <f>"0001"</f>
        <v>0001</v>
      </c>
      <c r="I336" t="s">
        <v>75</v>
      </c>
      <c r="J336">
        <v>0</v>
      </c>
      <c r="K336">
        <v>1</v>
      </c>
      <c r="L336">
        <v>2</v>
      </c>
      <c r="M336">
        <v>201</v>
      </c>
      <c r="N336">
        <v>259</v>
      </c>
      <c r="O336">
        <v>10</v>
      </c>
      <c r="P336">
        <v>259</v>
      </c>
      <c r="Q336">
        <v>5</v>
      </c>
      <c r="R336">
        <v>35</v>
      </c>
      <c r="S336">
        <v>1</v>
      </c>
      <c r="T336">
        <v>11</v>
      </c>
      <c r="U336">
        <v>4</v>
      </c>
      <c r="V336">
        <v>30</v>
      </c>
      <c r="W336">
        <v>4</v>
      </c>
      <c r="X336">
        <v>138</v>
      </c>
      <c r="Y336">
        <v>12</v>
      </c>
      <c r="Z336">
        <v>2</v>
      </c>
      <c r="AA336">
        <v>0</v>
      </c>
      <c r="AB336">
        <v>8</v>
      </c>
      <c r="AD336">
        <v>0</v>
      </c>
      <c r="AE336">
        <v>1</v>
      </c>
      <c r="AF336">
        <v>0</v>
      </c>
      <c r="AG336">
        <v>0</v>
      </c>
      <c r="AI336">
        <v>0</v>
      </c>
      <c r="AJ336">
        <v>8</v>
      </c>
      <c r="AK336">
        <v>259</v>
      </c>
      <c r="AL336">
        <v>259</v>
      </c>
      <c r="AM336">
        <v>416</v>
      </c>
      <c r="AN336">
        <v>44</v>
      </c>
      <c r="AP336">
        <v>1</v>
      </c>
      <c r="AR336" t="s">
        <v>418</v>
      </c>
      <c r="AS336" s="1">
        <v>44354.084027777775</v>
      </c>
      <c r="AT336" s="1">
        <v>44354.095578703702</v>
      </c>
      <c r="AU336" s="1">
        <v>44354.096562500003</v>
      </c>
      <c r="AV336" t="s">
        <v>71</v>
      </c>
      <c r="AW336" t="s">
        <v>72</v>
      </c>
      <c r="AX336" t="s">
        <v>73</v>
      </c>
    </row>
    <row r="337" spans="1:50" x14ac:dyDescent="0.3">
      <c r="A337" t="str">
        <f>"201047B0000"</f>
        <v>201047B0000</v>
      </c>
      <c r="B337" t="str">
        <f>"201047B00002"</f>
        <v>201047B00002</v>
      </c>
      <c r="C337" t="str">
        <f t="shared" si="16"/>
        <v>20</v>
      </c>
      <c r="D337" t="s">
        <v>67</v>
      </c>
      <c r="E337" t="str">
        <f t="shared" si="17"/>
        <v>002</v>
      </c>
      <c r="F337" t="s">
        <v>311</v>
      </c>
      <c r="G337" t="str">
        <f>"1047"</f>
        <v>1047</v>
      </c>
      <c r="H337" t="str">
        <f>"0000"</f>
        <v>0000</v>
      </c>
      <c r="I337" t="s">
        <v>69</v>
      </c>
      <c r="J337">
        <v>0</v>
      </c>
      <c r="K337">
        <v>1</v>
      </c>
      <c r="L337">
        <v>2</v>
      </c>
      <c r="M337">
        <v>310</v>
      </c>
      <c r="N337">
        <v>472</v>
      </c>
      <c r="O337">
        <v>4</v>
      </c>
      <c r="P337">
        <v>472</v>
      </c>
      <c r="Q337">
        <v>14</v>
      </c>
      <c r="R337">
        <v>58</v>
      </c>
      <c r="S337">
        <v>1</v>
      </c>
      <c r="T337">
        <v>44</v>
      </c>
      <c r="U337">
        <v>6</v>
      </c>
      <c r="V337">
        <v>43</v>
      </c>
      <c r="W337">
        <v>1</v>
      </c>
      <c r="X337">
        <v>235</v>
      </c>
      <c r="Y337">
        <v>29</v>
      </c>
      <c r="Z337">
        <v>10</v>
      </c>
      <c r="AA337">
        <v>0</v>
      </c>
      <c r="AB337">
        <v>14</v>
      </c>
      <c r="AD337">
        <v>0</v>
      </c>
      <c r="AE337">
        <v>0</v>
      </c>
      <c r="AF337">
        <v>0</v>
      </c>
      <c r="AG337">
        <v>0</v>
      </c>
      <c r="AI337">
        <v>1</v>
      </c>
      <c r="AJ337">
        <v>16</v>
      </c>
      <c r="AK337">
        <v>472</v>
      </c>
      <c r="AL337">
        <v>472</v>
      </c>
      <c r="AM337">
        <v>738</v>
      </c>
      <c r="AN337">
        <v>44</v>
      </c>
      <c r="AP337">
        <v>1</v>
      </c>
      <c r="AR337" t="s">
        <v>419</v>
      </c>
      <c r="AS337" s="1">
        <v>44354.087500000001</v>
      </c>
      <c r="AT337" s="1">
        <v>44354.09579861111</v>
      </c>
      <c r="AU337" s="1">
        <v>44354.09710648148</v>
      </c>
      <c r="AV337" t="s">
        <v>71</v>
      </c>
      <c r="AW337" t="s">
        <v>72</v>
      </c>
      <c r="AX337" t="s">
        <v>73</v>
      </c>
    </row>
    <row r="338" spans="1:50" x14ac:dyDescent="0.3">
      <c r="A338" t="str">
        <f>"201048B0000"</f>
        <v>201048B0000</v>
      </c>
      <c r="B338" t="str">
        <f>"201048B00002"</f>
        <v>201048B00002</v>
      </c>
      <c r="C338" t="str">
        <f t="shared" si="16"/>
        <v>20</v>
      </c>
      <c r="D338" t="s">
        <v>67</v>
      </c>
      <c r="E338" t="str">
        <f t="shared" si="17"/>
        <v>002</v>
      </c>
      <c r="F338" t="s">
        <v>311</v>
      </c>
      <c r="G338" t="str">
        <f>"1048"</f>
        <v>1048</v>
      </c>
      <c r="H338" t="str">
        <f>"0000"</f>
        <v>0000</v>
      </c>
      <c r="I338" t="s">
        <v>69</v>
      </c>
      <c r="J338">
        <v>0</v>
      </c>
      <c r="K338">
        <v>1</v>
      </c>
      <c r="L338">
        <v>2</v>
      </c>
      <c r="M338">
        <v>392</v>
      </c>
      <c r="N338">
        <v>392</v>
      </c>
      <c r="O338">
        <v>0</v>
      </c>
      <c r="P338">
        <v>393</v>
      </c>
      <c r="Q338">
        <v>3</v>
      </c>
      <c r="R338">
        <v>58</v>
      </c>
      <c r="S338">
        <v>1</v>
      </c>
      <c r="T338">
        <v>16</v>
      </c>
      <c r="U338">
        <v>4</v>
      </c>
      <c r="V338">
        <v>11</v>
      </c>
      <c r="W338">
        <v>1</v>
      </c>
      <c r="X338">
        <v>237</v>
      </c>
      <c r="Y338">
        <v>38</v>
      </c>
      <c r="Z338">
        <v>3</v>
      </c>
      <c r="AA338">
        <v>3</v>
      </c>
      <c r="AB338">
        <v>10</v>
      </c>
      <c r="AD338">
        <v>1</v>
      </c>
      <c r="AE338" t="s">
        <v>77</v>
      </c>
      <c r="AF338" t="s">
        <v>77</v>
      </c>
      <c r="AG338" t="s">
        <v>77</v>
      </c>
      <c r="AI338" t="s">
        <v>77</v>
      </c>
      <c r="AJ338">
        <v>10</v>
      </c>
      <c r="AK338" t="s">
        <v>99</v>
      </c>
      <c r="AL338">
        <v>396</v>
      </c>
      <c r="AM338">
        <v>662</v>
      </c>
      <c r="AN338">
        <v>44</v>
      </c>
      <c r="AO338" t="s">
        <v>78</v>
      </c>
      <c r="AP338">
        <v>1</v>
      </c>
      <c r="AR338" s="2" t="s">
        <v>420</v>
      </c>
      <c r="AS338" s="1">
        <v>44354.304166666669</v>
      </c>
      <c r="AT338" s="1">
        <v>44354.310624999998</v>
      </c>
      <c r="AU338" s="1">
        <v>44354.311643518522</v>
      </c>
      <c r="AV338" t="s">
        <v>71</v>
      </c>
      <c r="AW338" t="s">
        <v>72</v>
      </c>
      <c r="AX338" t="s">
        <v>73</v>
      </c>
    </row>
    <row r="339" spans="1:50" x14ac:dyDescent="0.3">
      <c r="A339" t="str">
        <f>"201048C0100"</f>
        <v>201048C0100</v>
      </c>
      <c r="B339" t="str">
        <f>"201048C01002"</f>
        <v>201048C01002</v>
      </c>
      <c r="C339" t="str">
        <f t="shared" si="16"/>
        <v>20</v>
      </c>
      <c r="D339" t="s">
        <v>67</v>
      </c>
      <c r="E339" t="str">
        <f t="shared" si="17"/>
        <v>002</v>
      </c>
      <c r="F339" t="s">
        <v>311</v>
      </c>
      <c r="G339" t="str">
        <f>"1048"</f>
        <v>1048</v>
      </c>
      <c r="H339" t="str">
        <f>"0001"</f>
        <v>0001</v>
      </c>
      <c r="I339" t="s">
        <v>75</v>
      </c>
      <c r="J339">
        <v>0</v>
      </c>
      <c r="K339">
        <v>1</v>
      </c>
      <c r="L339">
        <v>2</v>
      </c>
      <c r="M339">
        <v>281</v>
      </c>
      <c r="N339">
        <v>421</v>
      </c>
      <c r="O339" t="s">
        <v>80</v>
      </c>
      <c r="P339">
        <v>421</v>
      </c>
      <c r="Q339">
        <v>10</v>
      </c>
      <c r="R339">
        <v>51</v>
      </c>
      <c r="S339">
        <v>1</v>
      </c>
      <c r="T339">
        <v>8</v>
      </c>
      <c r="U339">
        <v>4</v>
      </c>
      <c r="V339">
        <v>24</v>
      </c>
      <c r="W339">
        <v>2</v>
      </c>
      <c r="X339">
        <v>258</v>
      </c>
      <c r="Y339">
        <v>40</v>
      </c>
      <c r="Z339">
        <v>5</v>
      </c>
      <c r="AA339">
        <v>1</v>
      </c>
      <c r="AB339">
        <v>10</v>
      </c>
      <c r="AD339" t="s">
        <v>77</v>
      </c>
      <c r="AE339" t="s">
        <v>77</v>
      </c>
      <c r="AF339" t="s">
        <v>77</v>
      </c>
      <c r="AG339" t="s">
        <v>77</v>
      </c>
      <c r="AI339" t="s">
        <v>77</v>
      </c>
      <c r="AJ339">
        <v>7</v>
      </c>
      <c r="AK339">
        <v>421</v>
      </c>
      <c r="AL339">
        <v>421</v>
      </c>
      <c r="AM339">
        <v>661</v>
      </c>
      <c r="AN339">
        <v>44</v>
      </c>
      <c r="AO339" t="s">
        <v>78</v>
      </c>
      <c r="AP339">
        <v>1</v>
      </c>
      <c r="AR339" t="s">
        <v>421</v>
      </c>
      <c r="AS339" s="1">
        <v>44354.138888888891</v>
      </c>
      <c r="AT339" s="1">
        <v>44354.158645833333</v>
      </c>
      <c r="AU339" s="1">
        <v>44354.159155092595</v>
      </c>
      <c r="AV339" t="s">
        <v>71</v>
      </c>
      <c r="AW339" t="s">
        <v>72</v>
      </c>
      <c r="AX339" t="s">
        <v>73</v>
      </c>
    </row>
    <row r="340" spans="1:50" x14ac:dyDescent="0.3">
      <c r="A340" t="str">
        <f>"201048E0100"</f>
        <v>201048E0100</v>
      </c>
      <c r="B340" t="str">
        <f>"201048E01002"</f>
        <v>201048E01002</v>
      </c>
      <c r="C340" t="str">
        <f t="shared" si="16"/>
        <v>20</v>
      </c>
      <c r="D340" t="s">
        <v>67</v>
      </c>
      <c r="E340" t="str">
        <f t="shared" si="17"/>
        <v>002</v>
      </c>
      <c r="F340" t="s">
        <v>311</v>
      </c>
      <c r="G340" t="str">
        <f>"1048"</f>
        <v>1048</v>
      </c>
      <c r="H340" t="str">
        <f>"0001"</f>
        <v>0001</v>
      </c>
      <c r="I340" t="s">
        <v>109</v>
      </c>
      <c r="J340">
        <v>0</v>
      </c>
      <c r="K340">
        <v>1</v>
      </c>
      <c r="L340">
        <v>2</v>
      </c>
      <c r="M340">
        <v>175</v>
      </c>
      <c r="N340">
        <v>221</v>
      </c>
      <c r="O340">
        <v>8</v>
      </c>
      <c r="P340">
        <v>213</v>
      </c>
      <c r="Q340">
        <v>5</v>
      </c>
      <c r="R340">
        <v>34</v>
      </c>
      <c r="S340">
        <v>0</v>
      </c>
      <c r="T340">
        <v>7</v>
      </c>
      <c r="U340">
        <v>36</v>
      </c>
      <c r="V340">
        <v>10</v>
      </c>
      <c r="W340">
        <v>0</v>
      </c>
      <c r="X340">
        <v>90</v>
      </c>
      <c r="Y340">
        <v>22</v>
      </c>
      <c r="Z340">
        <v>1</v>
      </c>
      <c r="AA340">
        <v>0</v>
      </c>
      <c r="AB340">
        <v>3</v>
      </c>
      <c r="AD340">
        <v>0</v>
      </c>
      <c r="AE340">
        <v>1</v>
      </c>
      <c r="AF340">
        <v>0</v>
      </c>
      <c r="AG340">
        <v>1</v>
      </c>
      <c r="AI340">
        <v>0</v>
      </c>
      <c r="AJ340">
        <v>0</v>
      </c>
      <c r="AK340">
        <v>213</v>
      </c>
      <c r="AL340">
        <v>210</v>
      </c>
      <c r="AM340">
        <v>352</v>
      </c>
      <c r="AN340">
        <v>44</v>
      </c>
      <c r="AP340">
        <v>1</v>
      </c>
      <c r="AR340" t="s">
        <v>422</v>
      </c>
      <c r="AS340" s="1">
        <v>44354.092361111114</v>
      </c>
      <c r="AT340" s="1">
        <v>44354.103680555556</v>
      </c>
      <c r="AU340" s="1">
        <v>44354.104768518519</v>
      </c>
      <c r="AV340" t="s">
        <v>71</v>
      </c>
      <c r="AW340" t="s">
        <v>72</v>
      </c>
      <c r="AX340" t="s">
        <v>73</v>
      </c>
    </row>
    <row r="341" spans="1:50" x14ac:dyDescent="0.3">
      <c r="A341" t="str">
        <f>"201048E0200"</f>
        <v>201048E0200</v>
      </c>
      <c r="B341" t="str">
        <f>"201048E02002"</f>
        <v>201048E02002</v>
      </c>
      <c r="C341" t="str">
        <f t="shared" si="16"/>
        <v>20</v>
      </c>
      <c r="D341" t="s">
        <v>67</v>
      </c>
      <c r="E341" t="str">
        <f t="shared" si="17"/>
        <v>002</v>
      </c>
      <c r="F341" t="s">
        <v>311</v>
      </c>
      <c r="G341" t="str">
        <f>"1048"</f>
        <v>1048</v>
      </c>
      <c r="H341" t="str">
        <f>"0002"</f>
        <v>0002</v>
      </c>
      <c r="I341" t="s">
        <v>109</v>
      </c>
      <c r="J341">
        <v>0</v>
      </c>
      <c r="K341">
        <v>1</v>
      </c>
      <c r="L341">
        <v>2</v>
      </c>
      <c r="M341">
        <v>234</v>
      </c>
      <c r="N341">
        <v>299</v>
      </c>
      <c r="O341">
        <v>13</v>
      </c>
      <c r="P341">
        <v>299</v>
      </c>
      <c r="Q341">
        <v>7</v>
      </c>
      <c r="R341">
        <v>26</v>
      </c>
      <c r="S341">
        <v>1</v>
      </c>
      <c r="T341">
        <v>10</v>
      </c>
      <c r="U341">
        <v>3</v>
      </c>
      <c r="V341">
        <v>18</v>
      </c>
      <c r="W341">
        <v>1</v>
      </c>
      <c r="X341">
        <v>167</v>
      </c>
      <c r="Y341">
        <v>40</v>
      </c>
      <c r="Z341">
        <v>12</v>
      </c>
      <c r="AA341">
        <v>2</v>
      </c>
      <c r="AB341">
        <v>3</v>
      </c>
      <c r="AD341">
        <v>0</v>
      </c>
      <c r="AE341">
        <v>0</v>
      </c>
      <c r="AF341">
        <v>0</v>
      </c>
      <c r="AG341">
        <v>0</v>
      </c>
      <c r="AI341">
        <v>0</v>
      </c>
      <c r="AJ341">
        <v>9</v>
      </c>
      <c r="AK341">
        <v>299</v>
      </c>
      <c r="AL341">
        <v>299</v>
      </c>
      <c r="AM341">
        <v>489</v>
      </c>
      <c r="AN341">
        <v>44</v>
      </c>
      <c r="AP341">
        <v>1</v>
      </c>
      <c r="AR341" t="s">
        <v>423</v>
      </c>
      <c r="AS341" s="1">
        <v>44354.103472222225</v>
      </c>
      <c r="AT341" s="1">
        <v>44354.117349537039</v>
      </c>
      <c r="AU341" s="1">
        <v>44354.117974537039</v>
      </c>
      <c r="AV341" t="s">
        <v>71</v>
      </c>
      <c r="AW341" t="s">
        <v>72</v>
      </c>
      <c r="AX341" t="s">
        <v>73</v>
      </c>
    </row>
    <row r="342" spans="1:50" x14ac:dyDescent="0.3">
      <c r="A342" t="str">
        <f>"201048E0300"</f>
        <v>201048E0300</v>
      </c>
      <c r="B342" t="str">
        <f>"201048E03002"</f>
        <v>201048E03002</v>
      </c>
      <c r="C342" t="str">
        <f t="shared" si="16"/>
        <v>20</v>
      </c>
      <c r="D342" t="s">
        <v>67</v>
      </c>
      <c r="E342" t="str">
        <f t="shared" si="17"/>
        <v>002</v>
      </c>
      <c r="F342" t="s">
        <v>311</v>
      </c>
      <c r="G342" t="str">
        <f>"1048"</f>
        <v>1048</v>
      </c>
      <c r="H342" t="str">
        <f>"0003"</f>
        <v>0003</v>
      </c>
      <c r="I342" t="s">
        <v>109</v>
      </c>
      <c r="J342">
        <v>0</v>
      </c>
      <c r="K342">
        <v>1</v>
      </c>
      <c r="L342">
        <v>2</v>
      </c>
      <c r="M342">
        <v>192</v>
      </c>
      <c r="N342">
        <v>388</v>
      </c>
      <c r="O342">
        <v>10</v>
      </c>
      <c r="P342">
        <v>388</v>
      </c>
      <c r="Q342">
        <v>10</v>
      </c>
      <c r="R342">
        <v>97</v>
      </c>
      <c r="S342">
        <v>1</v>
      </c>
      <c r="T342">
        <v>6</v>
      </c>
      <c r="U342">
        <v>23</v>
      </c>
      <c r="V342">
        <v>45</v>
      </c>
      <c r="W342">
        <v>0</v>
      </c>
      <c r="X342">
        <v>143</v>
      </c>
      <c r="Y342">
        <v>43</v>
      </c>
      <c r="Z342">
        <v>3</v>
      </c>
      <c r="AA342">
        <v>1</v>
      </c>
      <c r="AB342">
        <v>3</v>
      </c>
      <c r="AD342">
        <v>3</v>
      </c>
      <c r="AE342">
        <v>1</v>
      </c>
      <c r="AF342">
        <v>0</v>
      </c>
      <c r="AG342">
        <v>0</v>
      </c>
      <c r="AI342">
        <v>0</v>
      </c>
      <c r="AJ342">
        <v>9</v>
      </c>
      <c r="AK342">
        <v>388</v>
      </c>
      <c r="AL342">
        <v>388</v>
      </c>
      <c r="AM342">
        <v>536</v>
      </c>
      <c r="AN342">
        <v>44</v>
      </c>
      <c r="AP342">
        <v>1</v>
      </c>
      <c r="AR342" t="s">
        <v>424</v>
      </c>
      <c r="AS342" s="1">
        <v>44354.091666666667</v>
      </c>
      <c r="AT342" s="1">
        <v>44354.100775462961</v>
      </c>
      <c r="AU342" s="1">
        <v>44354.101388888892</v>
      </c>
      <c r="AV342" t="s">
        <v>71</v>
      </c>
      <c r="AW342" t="s">
        <v>72</v>
      </c>
      <c r="AX342" t="s">
        <v>73</v>
      </c>
    </row>
    <row r="343" spans="1:50" x14ac:dyDescent="0.3">
      <c r="A343" t="str">
        <f>"201049B0000"</f>
        <v>201049B0000</v>
      </c>
      <c r="B343" t="str">
        <f>"201049B00002"</f>
        <v>201049B00002</v>
      </c>
      <c r="C343" t="str">
        <f t="shared" si="16"/>
        <v>20</v>
      </c>
      <c r="D343" t="s">
        <v>67</v>
      </c>
      <c r="E343" t="str">
        <f t="shared" si="17"/>
        <v>002</v>
      </c>
      <c r="F343" t="s">
        <v>311</v>
      </c>
      <c r="G343" t="str">
        <f>"1049"</f>
        <v>1049</v>
      </c>
      <c r="H343" t="str">
        <f>"0000"</f>
        <v>0000</v>
      </c>
      <c r="I343" t="s">
        <v>69</v>
      </c>
      <c r="J343">
        <v>0</v>
      </c>
      <c r="K343">
        <v>1</v>
      </c>
      <c r="L343">
        <v>2</v>
      </c>
      <c r="M343">
        <v>297</v>
      </c>
      <c r="N343">
        <v>297</v>
      </c>
      <c r="O343">
        <v>7</v>
      </c>
      <c r="P343">
        <v>297</v>
      </c>
      <c r="Q343">
        <v>7</v>
      </c>
      <c r="R343">
        <v>60</v>
      </c>
      <c r="S343">
        <v>3</v>
      </c>
      <c r="T343">
        <v>9</v>
      </c>
      <c r="U343">
        <v>7</v>
      </c>
      <c r="V343">
        <v>51</v>
      </c>
      <c r="W343">
        <v>0</v>
      </c>
      <c r="X343">
        <v>110</v>
      </c>
      <c r="Y343">
        <v>19</v>
      </c>
      <c r="Z343">
        <v>2</v>
      </c>
      <c r="AA343">
        <v>6</v>
      </c>
      <c r="AB343">
        <v>7</v>
      </c>
      <c r="AD343">
        <v>0</v>
      </c>
      <c r="AE343">
        <v>1</v>
      </c>
      <c r="AF343">
        <v>0</v>
      </c>
      <c r="AG343">
        <v>0</v>
      </c>
      <c r="AI343">
        <v>0</v>
      </c>
      <c r="AJ343">
        <v>15</v>
      </c>
      <c r="AK343">
        <v>297</v>
      </c>
      <c r="AL343">
        <v>297</v>
      </c>
      <c r="AM343">
        <v>502</v>
      </c>
      <c r="AN343">
        <v>44</v>
      </c>
      <c r="AP343">
        <v>1</v>
      </c>
      <c r="AR343" t="s">
        <v>425</v>
      </c>
      <c r="AS343" s="1">
        <v>44354.12222222222</v>
      </c>
      <c r="AT343" s="1">
        <v>44354.138460648152</v>
      </c>
      <c r="AU343" s="1">
        <v>44354.138969907406</v>
      </c>
      <c r="AV343" t="s">
        <v>71</v>
      </c>
      <c r="AW343" t="s">
        <v>72</v>
      </c>
      <c r="AX343" t="s">
        <v>73</v>
      </c>
    </row>
    <row r="344" spans="1:50" x14ac:dyDescent="0.3">
      <c r="A344" t="str">
        <f>"201051B0000"</f>
        <v>201051B0000</v>
      </c>
      <c r="B344" t="str">
        <f>"201051B00002"</f>
        <v>201051B00002</v>
      </c>
      <c r="C344" t="str">
        <f t="shared" si="16"/>
        <v>20</v>
      </c>
      <c r="D344" t="s">
        <v>67</v>
      </c>
      <c r="E344" t="str">
        <f t="shared" si="17"/>
        <v>002</v>
      </c>
      <c r="F344" t="s">
        <v>311</v>
      </c>
      <c r="G344" t="str">
        <f>"1051"</f>
        <v>1051</v>
      </c>
      <c r="H344" t="str">
        <f>"0000"</f>
        <v>0000</v>
      </c>
      <c r="I344" t="s">
        <v>69</v>
      </c>
      <c r="J344">
        <v>0</v>
      </c>
      <c r="K344">
        <v>1</v>
      </c>
      <c r="L344">
        <v>2</v>
      </c>
      <c r="M344">
        <v>226</v>
      </c>
      <c r="N344">
        <v>255</v>
      </c>
      <c r="O344">
        <v>6</v>
      </c>
      <c r="P344">
        <v>253</v>
      </c>
      <c r="Q344">
        <v>2</v>
      </c>
      <c r="R344">
        <v>33</v>
      </c>
      <c r="S344">
        <v>3</v>
      </c>
      <c r="T344">
        <v>7</v>
      </c>
      <c r="U344">
        <v>4</v>
      </c>
      <c r="V344">
        <v>14</v>
      </c>
      <c r="W344">
        <v>4</v>
      </c>
      <c r="X344">
        <v>144</v>
      </c>
      <c r="Y344">
        <v>21</v>
      </c>
      <c r="Z344">
        <v>7</v>
      </c>
      <c r="AA344">
        <v>1</v>
      </c>
      <c r="AB344">
        <v>5</v>
      </c>
      <c r="AD344">
        <v>0</v>
      </c>
      <c r="AE344">
        <v>0</v>
      </c>
      <c r="AF344">
        <v>0</v>
      </c>
      <c r="AG344">
        <v>0</v>
      </c>
      <c r="AI344">
        <v>0</v>
      </c>
      <c r="AJ344">
        <v>8</v>
      </c>
      <c r="AK344">
        <v>253</v>
      </c>
      <c r="AL344">
        <v>253</v>
      </c>
      <c r="AM344">
        <v>437</v>
      </c>
      <c r="AN344">
        <v>44</v>
      </c>
      <c r="AP344">
        <v>1</v>
      </c>
      <c r="AR344" t="s">
        <v>426</v>
      </c>
      <c r="AS344" s="1">
        <v>44354.125</v>
      </c>
      <c r="AT344" s="1">
        <v>44354.140381944446</v>
      </c>
      <c r="AU344" s="1">
        <v>44354.141238425924</v>
      </c>
      <c r="AV344" t="s">
        <v>71</v>
      </c>
      <c r="AW344" t="s">
        <v>72</v>
      </c>
      <c r="AX344" t="s">
        <v>73</v>
      </c>
    </row>
    <row r="345" spans="1:50" x14ac:dyDescent="0.3">
      <c r="A345" t="str">
        <f>"201051C0100"</f>
        <v>201051C0100</v>
      </c>
      <c r="B345" t="str">
        <f>"201051C01002"</f>
        <v>201051C01002</v>
      </c>
      <c r="C345" t="str">
        <f t="shared" si="16"/>
        <v>20</v>
      </c>
      <c r="D345" t="s">
        <v>67</v>
      </c>
      <c r="E345" t="str">
        <f t="shared" si="17"/>
        <v>002</v>
      </c>
      <c r="F345" t="s">
        <v>311</v>
      </c>
      <c r="G345" t="str">
        <f>"1051"</f>
        <v>1051</v>
      </c>
      <c r="H345" t="str">
        <f>"0001"</f>
        <v>0001</v>
      </c>
      <c r="I345" t="s">
        <v>75</v>
      </c>
      <c r="J345">
        <v>0</v>
      </c>
      <c r="K345">
        <v>1</v>
      </c>
      <c r="L345">
        <v>2</v>
      </c>
      <c r="M345">
        <v>236</v>
      </c>
      <c r="N345">
        <v>245</v>
      </c>
      <c r="O345">
        <v>5</v>
      </c>
      <c r="P345">
        <v>246</v>
      </c>
      <c r="Q345">
        <v>4</v>
      </c>
      <c r="R345">
        <v>35</v>
      </c>
      <c r="S345">
        <v>1</v>
      </c>
      <c r="T345">
        <v>8</v>
      </c>
      <c r="U345">
        <v>6</v>
      </c>
      <c r="V345">
        <v>17</v>
      </c>
      <c r="W345">
        <v>1</v>
      </c>
      <c r="X345">
        <v>135</v>
      </c>
      <c r="Y345">
        <v>20</v>
      </c>
      <c r="Z345">
        <v>0</v>
      </c>
      <c r="AA345">
        <v>1</v>
      </c>
      <c r="AB345">
        <v>6</v>
      </c>
      <c r="AD345">
        <v>0</v>
      </c>
      <c r="AE345">
        <v>1</v>
      </c>
      <c r="AF345">
        <v>0</v>
      </c>
      <c r="AG345">
        <v>0</v>
      </c>
      <c r="AI345">
        <v>0</v>
      </c>
      <c r="AJ345">
        <v>10</v>
      </c>
      <c r="AK345">
        <v>246</v>
      </c>
      <c r="AL345">
        <v>245</v>
      </c>
      <c r="AM345">
        <v>436</v>
      </c>
      <c r="AN345">
        <v>44</v>
      </c>
      <c r="AP345">
        <v>1</v>
      </c>
      <c r="AR345" t="s">
        <v>427</v>
      </c>
      <c r="AS345" s="1">
        <v>44354.125</v>
      </c>
      <c r="AT345" s="1">
        <v>44354.140486111108</v>
      </c>
      <c r="AU345" s="1">
        <v>44354.141099537039</v>
      </c>
      <c r="AV345" t="s">
        <v>71</v>
      </c>
      <c r="AW345" t="s">
        <v>72</v>
      </c>
      <c r="AX345" t="s">
        <v>73</v>
      </c>
    </row>
    <row r="346" spans="1:50" x14ac:dyDescent="0.3">
      <c r="A346" t="str">
        <f>"201051E0100"</f>
        <v>201051E0100</v>
      </c>
      <c r="B346" t="str">
        <f>"201051E01002"</f>
        <v>201051E01002</v>
      </c>
      <c r="C346" t="str">
        <f t="shared" si="16"/>
        <v>20</v>
      </c>
      <c r="D346" t="s">
        <v>67</v>
      </c>
      <c r="E346" t="str">
        <f t="shared" si="17"/>
        <v>002</v>
      </c>
      <c r="F346" t="s">
        <v>311</v>
      </c>
      <c r="G346" t="str">
        <f>"1051"</f>
        <v>1051</v>
      </c>
      <c r="H346" t="str">
        <f>"0001"</f>
        <v>0001</v>
      </c>
      <c r="I346" t="s">
        <v>109</v>
      </c>
      <c r="J346">
        <v>0</v>
      </c>
      <c r="K346">
        <v>1</v>
      </c>
      <c r="L346">
        <v>2</v>
      </c>
      <c r="M346">
        <v>104</v>
      </c>
      <c r="N346">
        <v>158</v>
      </c>
      <c r="O346">
        <v>0</v>
      </c>
      <c r="P346">
        <v>158</v>
      </c>
      <c r="Q346">
        <v>5</v>
      </c>
      <c r="R346">
        <v>17</v>
      </c>
      <c r="S346">
        <v>0</v>
      </c>
      <c r="T346">
        <v>2</v>
      </c>
      <c r="U346">
        <v>7</v>
      </c>
      <c r="V346">
        <v>30</v>
      </c>
      <c r="W346">
        <v>0</v>
      </c>
      <c r="X346">
        <v>54</v>
      </c>
      <c r="Y346">
        <v>23</v>
      </c>
      <c r="Z346">
        <v>11</v>
      </c>
      <c r="AA346">
        <v>0</v>
      </c>
      <c r="AB346">
        <v>6</v>
      </c>
      <c r="AD346">
        <v>1</v>
      </c>
      <c r="AE346">
        <v>1</v>
      </c>
      <c r="AF346">
        <v>0</v>
      </c>
      <c r="AG346">
        <v>0</v>
      </c>
      <c r="AI346">
        <v>0</v>
      </c>
      <c r="AJ346">
        <v>1</v>
      </c>
      <c r="AK346">
        <v>158</v>
      </c>
      <c r="AL346">
        <v>158</v>
      </c>
      <c r="AM346">
        <v>218</v>
      </c>
      <c r="AN346">
        <v>44</v>
      </c>
      <c r="AP346">
        <v>1</v>
      </c>
      <c r="AR346" t="s">
        <v>428</v>
      </c>
      <c r="AS346" s="1">
        <v>44354.155555555553</v>
      </c>
      <c r="AT346" s="1">
        <v>44354.180266203701</v>
      </c>
      <c r="AU346" s="1">
        <v>44354.181898148148</v>
      </c>
      <c r="AV346" t="s">
        <v>71</v>
      </c>
      <c r="AW346" t="s">
        <v>72</v>
      </c>
      <c r="AX346" t="s">
        <v>73</v>
      </c>
    </row>
    <row r="347" spans="1:50" x14ac:dyDescent="0.3">
      <c r="A347" t="str">
        <f>"201051E0200"</f>
        <v>201051E0200</v>
      </c>
      <c r="B347" t="str">
        <f>"201051E02002"</f>
        <v>201051E02002</v>
      </c>
      <c r="C347" t="str">
        <f t="shared" si="16"/>
        <v>20</v>
      </c>
      <c r="D347" t="s">
        <v>67</v>
      </c>
      <c r="E347" t="str">
        <f t="shared" si="17"/>
        <v>002</v>
      </c>
      <c r="F347" t="s">
        <v>311</v>
      </c>
      <c r="G347" t="str">
        <f>"1051"</f>
        <v>1051</v>
      </c>
      <c r="H347" t="str">
        <f>"0002"</f>
        <v>0002</v>
      </c>
      <c r="I347" t="s">
        <v>109</v>
      </c>
      <c r="J347">
        <v>0</v>
      </c>
      <c r="K347">
        <v>1</v>
      </c>
      <c r="L347">
        <v>2</v>
      </c>
      <c r="M347">
        <v>148</v>
      </c>
      <c r="N347">
        <v>194</v>
      </c>
      <c r="O347">
        <v>9</v>
      </c>
      <c r="P347">
        <v>198</v>
      </c>
      <c r="Q347">
        <v>3</v>
      </c>
      <c r="R347">
        <v>23</v>
      </c>
      <c r="S347">
        <v>1</v>
      </c>
      <c r="T347">
        <v>5</v>
      </c>
      <c r="U347">
        <v>4</v>
      </c>
      <c r="V347">
        <v>21</v>
      </c>
      <c r="W347">
        <v>1</v>
      </c>
      <c r="X347">
        <v>114</v>
      </c>
      <c r="Y347">
        <v>10</v>
      </c>
      <c r="Z347">
        <v>1</v>
      </c>
      <c r="AA347">
        <v>0</v>
      </c>
      <c r="AB347">
        <v>6</v>
      </c>
      <c r="AD347">
        <v>0</v>
      </c>
      <c r="AE347">
        <v>0</v>
      </c>
      <c r="AF347">
        <v>0</v>
      </c>
      <c r="AG347">
        <v>0</v>
      </c>
      <c r="AI347">
        <v>0</v>
      </c>
      <c r="AJ347">
        <v>0</v>
      </c>
      <c r="AK347">
        <v>197</v>
      </c>
      <c r="AL347">
        <v>189</v>
      </c>
      <c r="AM347">
        <v>302</v>
      </c>
      <c r="AN347">
        <v>44</v>
      </c>
      <c r="AP347">
        <v>1</v>
      </c>
      <c r="AR347" t="s">
        <v>429</v>
      </c>
      <c r="AS347" s="1">
        <v>44354.123611111114</v>
      </c>
      <c r="AT347" s="1">
        <v>44354.139745370368</v>
      </c>
      <c r="AU347" s="1">
        <v>44354.140092592592</v>
      </c>
      <c r="AV347" t="s">
        <v>71</v>
      </c>
      <c r="AW347" t="s">
        <v>72</v>
      </c>
      <c r="AX347" t="s">
        <v>73</v>
      </c>
    </row>
    <row r="348" spans="1:50" x14ac:dyDescent="0.3">
      <c r="A348" t="str">
        <f>"201052B0000"</f>
        <v>201052B0000</v>
      </c>
      <c r="B348" t="str">
        <f>"201052B00002"</f>
        <v>201052B00002</v>
      </c>
      <c r="C348" t="str">
        <f t="shared" si="16"/>
        <v>20</v>
      </c>
      <c r="D348" t="s">
        <v>67</v>
      </c>
      <c r="E348" t="str">
        <f t="shared" si="17"/>
        <v>002</v>
      </c>
      <c r="F348" t="s">
        <v>311</v>
      </c>
      <c r="G348" t="str">
        <f>"1052"</f>
        <v>1052</v>
      </c>
      <c r="H348" t="str">
        <f>"0000"</f>
        <v>0000</v>
      </c>
      <c r="I348" t="s">
        <v>69</v>
      </c>
      <c r="J348">
        <v>0</v>
      </c>
      <c r="K348">
        <v>1</v>
      </c>
      <c r="L348">
        <v>2</v>
      </c>
      <c r="AM348">
        <v>621</v>
      </c>
      <c r="AN348">
        <v>44</v>
      </c>
      <c r="AO348" t="s">
        <v>352</v>
      </c>
      <c r="AP348">
        <v>0</v>
      </c>
      <c r="AR348" t="s">
        <v>430</v>
      </c>
      <c r="AS348" s="1">
        <v>44354.35833333333</v>
      </c>
      <c r="AT348" s="1">
        <v>44354.364027777781</v>
      </c>
      <c r="AU348" s="1">
        <v>44354.364027777781</v>
      </c>
      <c r="AV348" t="s">
        <v>71</v>
      </c>
      <c r="AW348" t="s">
        <v>72</v>
      </c>
      <c r="AX348" t="s">
        <v>73</v>
      </c>
    </row>
    <row r="349" spans="1:50" x14ac:dyDescent="0.3">
      <c r="A349" t="str">
        <f>"201052C0100"</f>
        <v>201052C0100</v>
      </c>
      <c r="B349" t="str">
        <f>"201052C01002"</f>
        <v>201052C01002</v>
      </c>
      <c r="C349" t="str">
        <f t="shared" si="16"/>
        <v>20</v>
      </c>
      <c r="D349" t="s">
        <v>67</v>
      </c>
      <c r="E349" t="str">
        <f t="shared" si="17"/>
        <v>002</v>
      </c>
      <c r="F349" t="s">
        <v>311</v>
      </c>
      <c r="G349" t="str">
        <f>"1052"</f>
        <v>1052</v>
      </c>
      <c r="H349" t="str">
        <f>"0001"</f>
        <v>0001</v>
      </c>
      <c r="I349" t="s">
        <v>75</v>
      </c>
      <c r="J349">
        <v>0</v>
      </c>
      <c r="K349">
        <v>1</v>
      </c>
      <c r="L349">
        <v>2</v>
      </c>
      <c r="M349">
        <v>359</v>
      </c>
      <c r="N349">
        <v>304</v>
      </c>
      <c r="O349">
        <v>3</v>
      </c>
      <c r="P349">
        <v>305</v>
      </c>
      <c r="Q349">
        <v>11</v>
      </c>
      <c r="R349">
        <v>25</v>
      </c>
      <c r="S349">
        <v>1</v>
      </c>
      <c r="T349">
        <v>14</v>
      </c>
      <c r="U349">
        <v>3</v>
      </c>
      <c r="V349">
        <v>12</v>
      </c>
      <c r="W349">
        <v>2</v>
      </c>
      <c r="X349">
        <v>160</v>
      </c>
      <c r="Y349">
        <v>52</v>
      </c>
      <c r="Z349">
        <v>4</v>
      </c>
      <c r="AA349">
        <v>1</v>
      </c>
      <c r="AB349">
        <v>11</v>
      </c>
      <c r="AD349">
        <v>2</v>
      </c>
      <c r="AE349">
        <v>0</v>
      </c>
      <c r="AF349">
        <v>0</v>
      </c>
      <c r="AG349">
        <v>0</v>
      </c>
      <c r="AI349">
        <v>0</v>
      </c>
      <c r="AJ349">
        <v>7</v>
      </c>
      <c r="AK349">
        <v>305</v>
      </c>
      <c r="AL349">
        <v>305</v>
      </c>
      <c r="AM349">
        <v>621</v>
      </c>
      <c r="AN349">
        <v>44</v>
      </c>
      <c r="AP349">
        <v>1</v>
      </c>
      <c r="AR349" t="s">
        <v>431</v>
      </c>
      <c r="AS349" s="1">
        <v>44354.05</v>
      </c>
      <c r="AT349" s="1">
        <v>44354.076111111113</v>
      </c>
      <c r="AU349" s="1">
        <v>44354.076736111114</v>
      </c>
      <c r="AV349" t="s">
        <v>71</v>
      </c>
      <c r="AW349" t="s">
        <v>72</v>
      </c>
      <c r="AX349" t="s">
        <v>73</v>
      </c>
    </row>
    <row r="350" spans="1:50" x14ac:dyDescent="0.3">
      <c r="A350" t="str">
        <f>"201052C0200"</f>
        <v>201052C0200</v>
      </c>
      <c r="B350" t="str">
        <f>"201052C02002"</f>
        <v>201052C02002</v>
      </c>
      <c r="C350" t="str">
        <f t="shared" si="16"/>
        <v>20</v>
      </c>
      <c r="D350" t="s">
        <v>67</v>
      </c>
      <c r="E350" t="str">
        <f t="shared" si="17"/>
        <v>002</v>
      </c>
      <c r="F350" t="s">
        <v>311</v>
      </c>
      <c r="G350" t="str">
        <f>"1052"</f>
        <v>1052</v>
      </c>
      <c r="H350" t="str">
        <f>"0002"</f>
        <v>0002</v>
      </c>
      <c r="I350" t="s">
        <v>75</v>
      </c>
      <c r="J350">
        <v>0</v>
      </c>
      <c r="K350">
        <v>1</v>
      </c>
      <c r="L350">
        <v>2</v>
      </c>
      <c r="M350">
        <v>339</v>
      </c>
      <c r="N350">
        <v>326</v>
      </c>
      <c r="O350">
        <v>4</v>
      </c>
      <c r="P350">
        <v>0</v>
      </c>
      <c r="Q350">
        <v>6</v>
      </c>
      <c r="R350">
        <v>42</v>
      </c>
      <c r="S350">
        <v>3</v>
      </c>
      <c r="T350">
        <v>19</v>
      </c>
      <c r="U350">
        <v>5</v>
      </c>
      <c r="V350">
        <v>27</v>
      </c>
      <c r="W350">
        <v>1</v>
      </c>
      <c r="X350">
        <v>157</v>
      </c>
      <c r="Y350">
        <v>35</v>
      </c>
      <c r="Z350">
        <v>2</v>
      </c>
      <c r="AA350">
        <v>0</v>
      </c>
      <c r="AB350">
        <v>17</v>
      </c>
      <c r="AD350">
        <v>0</v>
      </c>
      <c r="AE350">
        <v>3</v>
      </c>
      <c r="AF350">
        <v>0</v>
      </c>
      <c r="AG350">
        <v>0</v>
      </c>
      <c r="AI350">
        <v>0</v>
      </c>
      <c r="AJ350">
        <v>9</v>
      </c>
      <c r="AK350">
        <v>326</v>
      </c>
      <c r="AL350">
        <v>326</v>
      </c>
      <c r="AM350">
        <v>621</v>
      </c>
      <c r="AN350">
        <v>44</v>
      </c>
      <c r="AP350">
        <v>1</v>
      </c>
      <c r="AR350" t="s">
        <v>432</v>
      </c>
      <c r="AS350" s="1">
        <v>44354.050694444442</v>
      </c>
      <c r="AT350" s="1">
        <v>44354.077962962961</v>
      </c>
      <c r="AU350" s="1">
        <v>44354.078611111108</v>
      </c>
      <c r="AV350" t="s">
        <v>71</v>
      </c>
      <c r="AW350" t="s">
        <v>72</v>
      </c>
      <c r="AX350" t="s">
        <v>73</v>
      </c>
    </row>
    <row r="351" spans="1:50" x14ac:dyDescent="0.3">
      <c r="A351" t="str">
        <f>"201052C0300"</f>
        <v>201052C0300</v>
      </c>
      <c r="B351" t="str">
        <f>"201052C03002"</f>
        <v>201052C03002</v>
      </c>
      <c r="C351" t="str">
        <f t="shared" si="16"/>
        <v>20</v>
      </c>
      <c r="D351" t="s">
        <v>67</v>
      </c>
      <c r="E351" t="str">
        <f t="shared" si="17"/>
        <v>002</v>
      </c>
      <c r="F351" t="s">
        <v>311</v>
      </c>
      <c r="G351" t="str">
        <f>"1052"</f>
        <v>1052</v>
      </c>
      <c r="H351" t="str">
        <f>"0003"</f>
        <v>0003</v>
      </c>
      <c r="I351" t="s">
        <v>75</v>
      </c>
      <c r="J351">
        <v>0</v>
      </c>
      <c r="K351">
        <v>1</v>
      </c>
      <c r="L351">
        <v>2</v>
      </c>
      <c r="M351">
        <v>352</v>
      </c>
      <c r="N351">
        <v>312</v>
      </c>
      <c r="O351">
        <v>5</v>
      </c>
      <c r="P351">
        <v>313</v>
      </c>
      <c r="Q351">
        <v>5</v>
      </c>
      <c r="R351">
        <v>25</v>
      </c>
      <c r="S351">
        <v>0</v>
      </c>
      <c r="T351">
        <v>21</v>
      </c>
      <c r="U351">
        <v>2</v>
      </c>
      <c r="V351">
        <v>31</v>
      </c>
      <c r="W351">
        <v>1</v>
      </c>
      <c r="X351">
        <v>158</v>
      </c>
      <c r="Y351">
        <v>49</v>
      </c>
      <c r="Z351">
        <v>4</v>
      </c>
      <c r="AA351">
        <v>2</v>
      </c>
      <c r="AB351">
        <v>5</v>
      </c>
      <c r="AD351">
        <v>0</v>
      </c>
      <c r="AE351">
        <v>0</v>
      </c>
      <c r="AF351">
        <v>0</v>
      </c>
      <c r="AG351">
        <v>0</v>
      </c>
      <c r="AI351">
        <v>0</v>
      </c>
      <c r="AJ351">
        <v>10</v>
      </c>
      <c r="AK351">
        <v>313</v>
      </c>
      <c r="AL351">
        <v>313</v>
      </c>
      <c r="AM351">
        <v>621</v>
      </c>
      <c r="AN351">
        <v>44</v>
      </c>
      <c r="AP351">
        <v>1</v>
      </c>
      <c r="AR351" t="s">
        <v>433</v>
      </c>
      <c r="AS351" s="1">
        <v>44354.051388888889</v>
      </c>
      <c r="AT351" s="1">
        <v>44354.079606481479</v>
      </c>
      <c r="AU351" s="1">
        <v>44354.080289351848</v>
      </c>
      <c r="AV351" t="s">
        <v>71</v>
      </c>
      <c r="AW351" t="s">
        <v>72</v>
      </c>
      <c r="AX351" t="s">
        <v>73</v>
      </c>
    </row>
    <row r="352" spans="1:50" x14ac:dyDescent="0.3">
      <c r="A352" t="str">
        <f>"201052C0400"</f>
        <v>201052C0400</v>
      </c>
      <c r="B352" t="str">
        <f>"201052C04002"</f>
        <v>201052C04002</v>
      </c>
      <c r="C352" t="str">
        <f t="shared" si="16"/>
        <v>20</v>
      </c>
      <c r="D352" t="s">
        <v>67</v>
      </c>
      <c r="E352" t="str">
        <f t="shared" si="17"/>
        <v>002</v>
      </c>
      <c r="F352" t="s">
        <v>311</v>
      </c>
      <c r="G352" t="str">
        <f>"1052"</f>
        <v>1052</v>
      </c>
      <c r="H352" t="str">
        <f>"0004"</f>
        <v>0004</v>
      </c>
      <c r="I352" t="s">
        <v>75</v>
      </c>
      <c r="J352">
        <v>0</v>
      </c>
      <c r="K352">
        <v>1</v>
      </c>
      <c r="L352">
        <v>2</v>
      </c>
      <c r="M352">
        <v>329</v>
      </c>
      <c r="N352">
        <v>337</v>
      </c>
      <c r="O352">
        <v>8</v>
      </c>
      <c r="P352">
        <v>336</v>
      </c>
      <c r="Q352">
        <v>12</v>
      </c>
      <c r="R352">
        <v>29</v>
      </c>
      <c r="S352">
        <v>1</v>
      </c>
      <c r="T352">
        <v>19</v>
      </c>
      <c r="U352">
        <v>3</v>
      </c>
      <c r="V352">
        <v>23</v>
      </c>
      <c r="W352">
        <v>2</v>
      </c>
      <c r="X352">
        <v>179</v>
      </c>
      <c r="Y352">
        <v>37</v>
      </c>
      <c r="Z352">
        <v>4</v>
      </c>
      <c r="AA352">
        <v>4</v>
      </c>
      <c r="AB352">
        <v>15</v>
      </c>
      <c r="AD352">
        <v>1</v>
      </c>
      <c r="AE352">
        <v>2</v>
      </c>
      <c r="AF352" t="s">
        <v>77</v>
      </c>
      <c r="AG352" t="s">
        <v>77</v>
      </c>
      <c r="AI352" t="s">
        <v>77</v>
      </c>
      <c r="AJ352">
        <v>5</v>
      </c>
      <c r="AK352">
        <v>336</v>
      </c>
      <c r="AL352">
        <v>336</v>
      </c>
      <c r="AM352">
        <v>621</v>
      </c>
      <c r="AN352">
        <v>44</v>
      </c>
      <c r="AO352" t="s">
        <v>78</v>
      </c>
      <c r="AP352">
        <v>1</v>
      </c>
      <c r="AR352" t="s">
        <v>434</v>
      </c>
      <c r="AS352" s="1">
        <v>44354.048611111109</v>
      </c>
      <c r="AT352" s="1">
        <v>44354.07472222222</v>
      </c>
      <c r="AU352" s="1">
        <v>44354.075555555559</v>
      </c>
      <c r="AV352" t="s">
        <v>71</v>
      </c>
      <c r="AW352" t="s">
        <v>72</v>
      </c>
      <c r="AX352" t="s">
        <v>73</v>
      </c>
    </row>
    <row r="353" spans="1:50" x14ac:dyDescent="0.3">
      <c r="A353" t="str">
        <f>"201053B0000"</f>
        <v>201053B0000</v>
      </c>
      <c r="B353" t="str">
        <f>"201053B00002"</f>
        <v>201053B00002</v>
      </c>
      <c r="C353" t="str">
        <f t="shared" si="16"/>
        <v>20</v>
      </c>
      <c r="D353" t="s">
        <v>67</v>
      </c>
      <c r="E353" t="str">
        <f t="shared" si="17"/>
        <v>002</v>
      </c>
      <c r="F353" t="s">
        <v>311</v>
      </c>
      <c r="G353" t="str">
        <f t="shared" ref="G353:G358" si="18">"1053"</f>
        <v>1053</v>
      </c>
      <c r="H353" t="str">
        <f>"0000"</f>
        <v>0000</v>
      </c>
      <c r="I353" t="s">
        <v>69</v>
      </c>
      <c r="J353">
        <v>0</v>
      </c>
      <c r="K353">
        <v>1</v>
      </c>
      <c r="L353">
        <v>2</v>
      </c>
      <c r="M353">
        <v>361</v>
      </c>
      <c r="N353">
        <v>403</v>
      </c>
      <c r="O353">
        <v>8</v>
      </c>
      <c r="P353">
        <v>403</v>
      </c>
      <c r="Q353">
        <v>4</v>
      </c>
      <c r="R353">
        <v>25</v>
      </c>
      <c r="S353">
        <v>0</v>
      </c>
      <c r="T353">
        <v>8</v>
      </c>
      <c r="U353">
        <v>5</v>
      </c>
      <c r="V353">
        <v>50</v>
      </c>
      <c r="W353">
        <v>3</v>
      </c>
      <c r="X353">
        <v>202</v>
      </c>
      <c r="Y353">
        <v>64</v>
      </c>
      <c r="Z353">
        <v>7</v>
      </c>
      <c r="AA353">
        <v>1</v>
      </c>
      <c r="AB353">
        <v>14</v>
      </c>
      <c r="AD353">
        <v>0</v>
      </c>
      <c r="AE353">
        <v>2</v>
      </c>
      <c r="AF353">
        <v>0</v>
      </c>
      <c r="AG353">
        <v>0</v>
      </c>
      <c r="AI353">
        <v>0</v>
      </c>
      <c r="AJ353">
        <v>18</v>
      </c>
      <c r="AK353">
        <v>403</v>
      </c>
      <c r="AL353">
        <v>403</v>
      </c>
      <c r="AM353">
        <v>720</v>
      </c>
      <c r="AN353">
        <v>44</v>
      </c>
      <c r="AP353">
        <v>1</v>
      </c>
      <c r="AR353" t="s">
        <v>435</v>
      </c>
      <c r="AS353" s="1">
        <v>44354.117361111108</v>
      </c>
      <c r="AT353" s="1">
        <v>44354.130578703705</v>
      </c>
      <c r="AU353" s="1">
        <v>44354.13140046296</v>
      </c>
      <c r="AV353" t="s">
        <v>71</v>
      </c>
      <c r="AW353" t="s">
        <v>72</v>
      </c>
      <c r="AX353" t="s">
        <v>73</v>
      </c>
    </row>
    <row r="354" spans="1:50" x14ac:dyDescent="0.3">
      <c r="A354" t="str">
        <f>"201053C0100"</f>
        <v>201053C0100</v>
      </c>
      <c r="B354" t="str">
        <f>"201053C01002"</f>
        <v>201053C01002</v>
      </c>
      <c r="C354" t="str">
        <f t="shared" si="16"/>
        <v>20</v>
      </c>
      <c r="D354" t="s">
        <v>67</v>
      </c>
      <c r="E354" t="str">
        <f t="shared" si="17"/>
        <v>002</v>
      </c>
      <c r="F354" t="s">
        <v>311</v>
      </c>
      <c r="G354" t="str">
        <f t="shared" si="18"/>
        <v>1053</v>
      </c>
      <c r="H354" t="str">
        <f>"0001"</f>
        <v>0001</v>
      </c>
      <c r="I354" t="s">
        <v>75</v>
      </c>
      <c r="J354">
        <v>0</v>
      </c>
      <c r="K354">
        <v>1</v>
      </c>
      <c r="L354">
        <v>2</v>
      </c>
      <c r="M354">
        <v>390</v>
      </c>
      <c r="N354">
        <v>375</v>
      </c>
      <c r="O354">
        <v>7</v>
      </c>
      <c r="P354">
        <v>375</v>
      </c>
      <c r="Q354">
        <v>5</v>
      </c>
      <c r="R354">
        <v>28</v>
      </c>
      <c r="S354">
        <v>3</v>
      </c>
      <c r="T354">
        <v>7</v>
      </c>
      <c r="U354">
        <v>5</v>
      </c>
      <c r="V354">
        <v>36</v>
      </c>
      <c r="W354">
        <v>6</v>
      </c>
      <c r="X354">
        <v>179</v>
      </c>
      <c r="Y354">
        <v>76</v>
      </c>
      <c r="Z354">
        <v>5</v>
      </c>
      <c r="AA354">
        <v>4</v>
      </c>
      <c r="AB354">
        <v>11</v>
      </c>
      <c r="AD354">
        <v>1</v>
      </c>
      <c r="AE354">
        <v>0</v>
      </c>
      <c r="AF354">
        <v>0</v>
      </c>
      <c r="AG354">
        <v>0</v>
      </c>
      <c r="AI354">
        <v>0</v>
      </c>
      <c r="AJ354">
        <v>0</v>
      </c>
      <c r="AK354">
        <v>375</v>
      </c>
      <c r="AL354">
        <v>366</v>
      </c>
      <c r="AM354">
        <v>720</v>
      </c>
      <c r="AN354">
        <v>44</v>
      </c>
      <c r="AP354">
        <v>1</v>
      </c>
      <c r="AR354" t="s">
        <v>436</v>
      </c>
      <c r="AS354" s="1">
        <v>44354.11041666667</v>
      </c>
      <c r="AT354" s="1">
        <v>44354.12945601852</v>
      </c>
      <c r="AU354" s="1">
        <v>44354.129837962966</v>
      </c>
      <c r="AV354" t="s">
        <v>71</v>
      </c>
      <c r="AW354" t="s">
        <v>72</v>
      </c>
      <c r="AX354" t="s">
        <v>73</v>
      </c>
    </row>
    <row r="355" spans="1:50" x14ac:dyDescent="0.3">
      <c r="A355" t="str">
        <f>"201053C0200"</f>
        <v>201053C0200</v>
      </c>
      <c r="B355" t="str">
        <f>"201053C02002"</f>
        <v>201053C02002</v>
      </c>
      <c r="C355" t="str">
        <f t="shared" si="16"/>
        <v>20</v>
      </c>
      <c r="D355" t="s">
        <v>67</v>
      </c>
      <c r="E355" t="str">
        <f t="shared" si="17"/>
        <v>002</v>
      </c>
      <c r="F355" t="s">
        <v>311</v>
      </c>
      <c r="G355" t="str">
        <f t="shared" si="18"/>
        <v>1053</v>
      </c>
      <c r="H355" t="str">
        <f>"0002"</f>
        <v>0002</v>
      </c>
      <c r="I355" t="s">
        <v>75</v>
      </c>
      <c r="J355">
        <v>0</v>
      </c>
      <c r="K355">
        <v>1</v>
      </c>
      <c r="L355">
        <v>2</v>
      </c>
      <c r="M355">
        <v>362</v>
      </c>
      <c r="N355">
        <v>402</v>
      </c>
      <c r="O355">
        <v>6</v>
      </c>
      <c r="P355">
        <v>402</v>
      </c>
      <c r="Q355">
        <v>7</v>
      </c>
      <c r="R355">
        <v>36</v>
      </c>
      <c r="S355">
        <v>0</v>
      </c>
      <c r="T355">
        <v>2</v>
      </c>
      <c r="U355">
        <v>2</v>
      </c>
      <c r="V355">
        <v>62</v>
      </c>
      <c r="W355">
        <v>8</v>
      </c>
      <c r="X355">
        <v>164</v>
      </c>
      <c r="Y355">
        <v>78</v>
      </c>
      <c r="Z355">
        <v>4</v>
      </c>
      <c r="AA355" t="s">
        <v>77</v>
      </c>
      <c r="AB355">
        <v>26</v>
      </c>
      <c r="AD355" t="s">
        <v>77</v>
      </c>
      <c r="AE355">
        <v>1</v>
      </c>
      <c r="AF355" t="s">
        <v>77</v>
      </c>
      <c r="AG355" t="s">
        <v>77</v>
      </c>
      <c r="AI355" t="s">
        <v>77</v>
      </c>
      <c r="AJ355">
        <v>12</v>
      </c>
      <c r="AK355">
        <v>402</v>
      </c>
      <c r="AL355">
        <v>402</v>
      </c>
      <c r="AM355">
        <v>720</v>
      </c>
      <c r="AN355">
        <v>44</v>
      </c>
      <c r="AO355" t="s">
        <v>78</v>
      </c>
      <c r="AP355">
        <v>1</v>
      </c>
      <c r="AR355" t="s">
        <v>437</v>
      </c>
      <c r="AS355" s="1">
        <v>44354.165972222225</v>
      </c>
      <c r="AT355" s="1">
        <v>44354.192789351851</v>
      </c>
      <c r="AU355" s="1">
        <v>44354.19363425926</v>
      </c>
      <c r="AV355" t="s">
        <v>71</v>
      </c>
      <c r="AW355" t="s">
        <v>72</v>
      </c>
      <c r="AX355" t="s">
        <v>73</v>
      </c>
    </row>
    <row r="356" spans="1:50" x14ac:dyDescent="0.3">
      <c r="A356" t="str">
        <f>"201053C0300"</f>
        <v>201053C0300</v>
      </c>
      <c r="B356" t="str">
        <f>"201053C03002"</f>
        <v>201053C03002</v>
      </c>
      <c r="C356" t="str">
        <f t="shared" si="16"/>
        <v>20</v>
      </c>
      <c r="D356" t="s">
        <v>67</v>
      </c>
      <c r="E356" t="str">
        <f t="shared" si="17"/>
        <v>002</v>
      </c>
      <c r="F356" t="s">
        <v>311</v>
      </c>
      <c r="G356" t="str">
        <f t="shared" si="18"/>
        <v>1053</v>
      </c>
      <c r="H356" t="str">
        <f>"0003"</f>
        <v>0003</v>
      </c>
      <c r="I356" t="s">
        <v>75</v>
      </c>
      <c r="J356">
        <v>0</v>
      </c>
      <c r="K356">
        <v>1</v>
      </c>
      <c r="L356">
        <v>2</v>
      </c>
      <c r="M356">
        <v>383</v>
      </c>
      <c r="N356">
        <v>379</v>
      </c>
      <c r="O356">
        <v>9</v>
      </c>
      <c r="P356">
        <v>0</v>
      </c>
      <c r="Q356">
        <v>8</v>
      </c>
      <c r="R356">
        <v>29</v>
      </c>
      <c r="S356">
        <v>4</v>
      </c>
      <c r="T356">
        <v>12</v>
      </c>
      <c r="U356">
        <v>11</v>
      </c>
      <c r="V356">
        <v>46</v>
      </c>
      <c r="W356">
        <v>4</v>
      </c>
      <c r="X356">
        <v>179</v>
      </c>
      <c r="Y356">
        <v>54</v>
      </c>
      <c r="Z356">
        <v>7</v>
      </c>
      <c r="AA356">
        <v>2</v>
      </c>
      <c r="AB356">
        <v>10</v>
      </c>
      <c r="AD356">
        <v>1</v>
      </c>
      <c r="AE356">
        <v>0</v>
      </c>
      <c r="AF356">
        <v>0</v>
      </c>
      <c r="AG356">
        <v>0</v>
      </c>
      <c r="AI356">
        <v>0</v>
      </c>
      <c r="AJ356">
        <v>13</v>
      </c>
      <c r="AK356" t="s">
        <v>99</v>
      </c>
      <c r="AL356">
        <v>380</v>
      </c>
      <c r="AM356">
        <v>719</v>
      </c>
      <c r="AN356">
        <v>44</v>
      </c>
      <c r="AP356">
        <v>1</v>
      </c>
      <c r="AR356" t="s">
        <v>438</v>
      </c>
      <c r="AS356" s="1">
        <v>44354.166666666664</v>
      </c>
      <c r="AT356" s="1">
        <v>44354.193518518521</v>
      </c>
      <c r="AU356" s="1">
        <v>44354.1950462963</v>
      </c>
      <c r="AV356" t="s">
        <v>71</v>
      </c>
      <c r="AW356" t="s">
        <v>72</v>
      </c>
      <c r="AX356" t="s">
        <v>73</v>
      </c>
    </row>
    <row r="357" spans="1:50" x14ac:dyDescent="0.3">
      <c r="A357" t="str">
        <f>"201053E0100"</f>
        <v>201053E0100</v>
      </c>
      <c r="B357" t="str">
        <f>"201053E01002"</f>
        <v>201053E01002</v>
      </c>
      <c r="C357" t="str">
        <f t="shared" si="16"/>
        <v>20</v>
      </c>
      <c r="D357" t="s">
        <v>67</v>
      </c>
      <c r="E357" t="str">
        <f t="shared" si="17"/>
        <v>002</v>
      </c>
      <c r="F357" t="s">
        <v>311</v>
      </c>
      <c r="G357" t="str">
        <f t="shared" si="18"/>
        <v>1053</v>
      </c>
      <c r="H357" t="str">
        <f>"0001"</f>
        <v>0001</v>
      </c>
      <c r="I357" t="s">
        <v>109</v>
      </c>
      <c r="J357">
        <v>0</v>
      </c>
      <c r="K357">
        <v>1</v>
      </c>
      <c r="L357">
        <v>2</v>
      </c>
      <c r="M357">
        <v>384</v>
      </c>
      <c r="N357">
        <v>333</v>
      </c>
      <c r="O357">
        <v>7</v>
      </c>
      <c r="P357">
        <v>333</v>
      </c>
      <c r="Q357">
        <v>11</v>
      </c>
      <c r="R357">
        <v>21</v>
      </c>
      <c r="S357">
        <v>4</v>
      </c>
      <c r="T357">
        <v>16</v>
      </c>
      <c r="U357">
        <v>5</v>
      </c>
      <c r="V357">
        <v>9</v>
      </c>
      <c r="W357">
        <v>5</v>
      </c>
      <c r="X357">
        <v>181</v>
      </c>
      <c r="Y357">
        <v>153</v>
      </c>
      <c r="Z357">
        <v>4</v>
      </c>
      <c r="AA357">
        <v>1</v>
      </c>
      <c r="AB357">
        <v>12</v>
      </c>
      <c r="AD357">
        <v>0</v>
      </c>
      <c r="AE357">
        <v>0</v>
      </c>
      <c r="AF357">
        <v>0</v>
      </c>
      <c r="AG357">
        <v>0</v>
      </c>
      <c r="AI357">
        <v>0</v>
      </c>
      <c r="AJ357">
        <v>11</v>
      </c>
      <c r="AK357">
        <v>333</v>
      </c>
      <c r="AL357">
        <v>433</v>
      </c>
      <c r="AM357">
        <v>673</v>
      </c>
      <c r="AN357">
        <v>44</v>
      </c>
      <c r="AP357">
        <v>1</v>
      </c>
      <c r="AR357" t="s">
        <v>439</v>
      </c>
      <c r="AS357" s="1">
        <v>44354.166666666664</v>
      </c>
      <c r="AT357" s="1">
        <v>44354.192280092589</v>
      </c>
      <c r="AU357" s="1">
        <v>44354.192627314813</v>
      </c>
      <c r="AV357" t="s">
        <v>71</v>
      </c>
      <c r="AW357" t="s">
        <v>72</v>
      </c>
      <c r="AX357" t="s">
        <v>73</v>
      </c>
    </row>
    <row r="358" spans="1:50" x14ac:dyDescent="0.3">
      <c r="A358" t="str">
        <f>"201053E0101"</f>
        <v>201053E0101</v>
      </c>
      <c r="B358" t="str">
        <f>"201053E01012"</f>
        <v>201053E01012</v>
      </c>
      <c r="C358" t="str">
        <f t="shared" si="16"/>
        <v>20</v>
      </c>
      <c r="D358" t="s">
        <v>67</v>
      </c>
      <c r="E358" t="str">
        <f t="shared" si="17"/>
        <v>002</v>
      </c>
      <c r="F358" t="s">
        <v>311</v>
      </c>
      <c r="G358" t="str">
        <f t="shared" si="18"/>
        <v>1053</v>
      </c>
      <c r="H358" t="str">
        <f>"0001"</f>
        <v>0001</v>
      </c>
      <c r="I358" t="s">
        <v>109</v>
      </c>
      <c r="J358">
        <v>1</v>
      </c>
      <c r="K358">
        <v>1</v>
      </c>
      <c r="L358">
        <v>2</v>
      </c>
      <c r="M358">
        <v>367</v>
      </c>
      <c r="N358">
        <v>349</v>
      </c>
      <c r="O358">
        <v>9</v>
      </c>
      <c r="P358">
        <v>350</v>
      </c>
      <c r="Q358">
        <v>4</v>
      </c>
      <c r="R358">
        <v>25</v>
      </c>
      <c r="S358">
        <v>0</v>
      </c>
      <c r="T358">
        <v>17</v>
      </c>
      <c r="U358">
        <v>6</v>
      </c>
      <c r="V358">
        <v>20</v>
      </c>
      <c r="W358">
        <v>3</v>
      </c>
      <c r="X358">
        <v>185</v>
      </c>
      <c r="Y358">
        <v>62</v>
      </c>
      <c r="Z358">
        <v>8</v>
      </c>
      <c r="AA358">
        <v>2</v>
      </c>
      <c r="AB358">
        <v>14</v>
      </c>
      <c r="AD358">
        <v>1</v>
      </c>
      <c r="AE358">
        <v>0</v>
      </c>
      <c r="AF358">
        <v>0</v>
      </c>
      <c r="AG358">
        <v>0</v>
      </c>
      <c r="AI358">
        <v>0</v>
      </c>
      <c r="AJ358">
        <v>3</v>
      </c>
      <c r="AK358">
        <v>350</v>
      </c>
      <c r="AL358">
        <v>350</v>
      </c>
      <c r="AM358">
        <v>673</v>
      </c>
      <c r="AN358">
        <v>44</v>
      </c>
      <c r="AP358">
        <v>1</v>
      </c>
      <c r="AR358" t="s">
        <v>440</v>
      </c>
      <c r="AS358" s="1">
        <v>44354.165972222225</v>
      </c>
      <c r="AT358" s="1">
        <v>44354.194849537038</v>
      </c>
      <c r="AU358" s="1">
        <v>44354.195543981485</v>
      </c>
      <c r="AV358" t="s">
        <v>71</v>
      </c>
      <c r="AW358" t="s">
        <v>72</v>
      </c>
      <c r="AX358" t="s">
        <v>73</v>
      </c>
    </row>
    <row r="359" spans="1:50" x14ac:dyDescent="0.3">
      <c r="A359" t="str">
        <f>"201055B0000"</f>
        <v>201055B0000</v>
      </c>
      <c r="B359" t="str">
        <f>"201055B00002"</f>
        <v>201055B00002</v>
      </c>
      <c r="C359" t="str">
        <f t="shared" si="16"/>
        <v>20</v>
      </c>
      <c r="D359" t="s">
        <v>67</v>
      </c>
      <c r="E359" t="str">
        <f t="shared" si="17"/>
        <v>002</v>
      </c>
      <c r="F359" t="s">
        <v>311</v>
      </c>
      <c r="G359" t="str">
        <f>"1055"</f>
        <v>1055</v>
      </c>
      <c r="H359" t="str">
        <f>"0000"</f>
        <v>0000</v>
      </c>
      <c r="I359" t="s">
        <v>69</v>
      </c>
      <c r="J359">
        <v>0</v>
      </c>
      <c r="K359">
        <v>1</v>
      </c>
      <c r="L359">
        <v>2</v>
      </c>
      <c r="M359">
        <v>283</v>
      </c>
      <c r="N359">
        <v>330</v>
      </c>
      <c r="O359">
        <v>9</v>
      </c>
      <c r="P359">
        <v>330</v>
      </c>
      <c r="Q359">
        <v>9</v>
      </c>
      <c r="R359">
        <v>28</v>
      </c>
      <c r="S359">
        <v>1</v>
      </c>
      <c r="T359">
        <v>11</v>
      </c>
      <c r="U359">
        <v>5</v>
      </c>
      <c r="V359">
        <v>15</v>
      </c>
      <c r="W359">
        <v>1</v>
      </c>
      <c r="X359">
        <v>169</v>
      </c>
      <c r="Y359">
        <v>49</v>
      </c>
      <c r="Z359">
        <v>16</v>
      </c>
      <c r="AA359">
        <v>4</v>
      </c>
      <c r="AB359">
        <v>8</v>
      </c>
      <c r="AD359" t="s">
        <v>77</v>
      </c>
      <c r="AE359" t="s">
        <v>77</v>
      </c>
      <c r="AF359" t="s">
        <v>77</v>
      </c>
      <c r="AG359" t="s">
        <v>77</v>
      </c>
      <c r="AI359">
        <v>1</v>
      </c>
      <c r="AJ359">
        <v>13</v>
      </c>
      <c r="AK359">
        <v>330</v>
      </c>
      <c r="AL359">
        <v>330</v>
      </c>
      <c r="AM359">
        <v>569</v>
      </c>
      <c r="AN359">
        <v>44</v>
      </c>
      <c r="AO359" t="s">
        <v>78</v>
      </c>
      <c r="AP359">
        <v>1</v>
      </c>
      <c r="AR359" t="s">
        <v>441</v>
      </c>
      <c r="AS359" s="1">
        <v>44354.109722222223</v>
      </c>
      <c r="AT359" s="1">
        <v>44354.128738425927</v>
      </c>
      <c r="AU359" s="1">
        <v>44354.129247685189</v>
      </c>
      <c r="AV359" t="s">
        <v>71</v>
      </c>
      <c r="AW359" t="s">
        <v>72</v>
      </c>
      <c r="AX359" t="s">
        <v>73</v>
      </c>
    </row>
    <row r="360" spans="1:50" x14ac:dyDescent="0.3">
      <c r="A360" t="str">
        <f>"201055C0100"</f>
        <v>201055C0100</v>
      </c>
      <c r="B360" t="str">
        <f>"201055C01002"</f>
        <v>201055C01002</v>
      </c>
      <c r="C360" t="str">
        <f t="shared" si="16"/>
        <v>20</v>
      </c>
      <c r="D360" t="s">
        <v>67</v>
      </c>
      <c r="E360" t="str">
        <f t="shared" si="17"/>
        <v>002</v>
      </c>
      <c r="F360" t="s">
        <v>311</v>
      </c>
      <c r="G360" t="str">
        <f>"1055"</f>
        <v>1055</v>
      </c>
      <c r="H360" t="str">
        <f>"0001"</f>
        <v>0001</v>
      </c>
      <c r="I360" t="s">
        <v>75</v>
      </c>
      <c r="J360">
        <v>0</v>
      </c>
      <c r="K360">
        <v>1</v>
      </c>
      <c r="L360">
        <v>2</v>
      </c>
      <c r="M360">
        <v>281</v>
      </c>
      <c r="N360">
        <v>331</v>
      </c>
      <c r="O360">
        <v>9</v>
      </c>
      <c r="P360">
        <v>331</v>
      </c>
      <c r="Q360">
        <v>6</v>
      </c>
      <c r="R360">
        <v>26</v>
      </c>
      <c r="S360">
        <v>0</v>
      </c>
      <c r="T360">
        <v>20</v>
      </c>
      <c r="U360">
        <v>4</v>
      </c>
      <c r="V360">
        <v>24</v>
      </c>
      <c r="W360">
        <v>5</v>
      </c>
      <c r="X360">
        <v>167</v>
      </c>
      <c r="Y360">
        <v>52</v>
      </c>
      <c r="Z360">
        <v>4</v>
      </c>
      <c r="AA360">
        <v>0</v>
      </c>
      <c r="AB360">
        <v>17</v>
      </c>
      <c r="AD360">
        <v>0</v>
      </c>
      <c r="AE360">
        <v>0</v>
      </c>
      <c r="AF360">
        <v>0</v>
      </c>
      <c r="AG360">
        <v>0</v>
      </c>
      <c r="AI360">
        <v>1</v>
      </c>
      <c r="AJ360">
        <v>5</v>
      </c>
      <c r="AK360">
        <v>331</v>
      </c>
      <c r="AL360">
        <v>331</v>
      </c>
      <c r="AM360">
        <v>568</v>
      </c>
      <c r="AN360">
        <v>44</v>
      </c>
      <c r="AP360">
        <v>1</v>
      </c>
      <c r="AR360" t="s">
        <v>442</v>
      </c>
      <c r="AS360" s="1">
        <v>44354.239583333336</v>
      </c>
      <c r="AT360" s="1">
        <v>44354.241249999999</v>
      </c>
      <c r="AU360" s="1">
        <v>44354.241689814815</v>
      </c>
      <c r="AV360" t="s">
        <v>71</v>
      </c>
      <c r="AW360" t="s">
        <v>72</v>
      </c>
      <c r="AX360" t="s">
        <v>347</v>
      </c>
    </row>
    <row r="361" spans="1:50" x14ac:dyDescent="0.3">
      <c r="A361" t="str">
        <f>"201055C0200"</f>
        <v>201055C0200</v>
      </c>
      <c r="B361" t="str">
        <f>"201055C02002"</f>
        <v>201055C02002</v>
      </c>
      <c r="C361" t="str">
        <f t="shared" si="16"/>
        <v>20</v>
      </c>
      <c r="D361" t="s">
        <v>67</v>
      </c>
      <c r="E361" t="str">
        <f t="shared" ref="E361:E392" si="19">"002"</f>
        <v>002</v>
      </c>
      <c r="F361" t="s">
        <v>311</v>
      </c>
      <c r="G361" t="str">
        <f>"1055"</f>
        <v>1055</v>
      </c>
      <c r="H361" t="str">
        <f>"0002"</f>
        <v>0002</v>
      </c>
      <c r="I361" t="s">
        <v>75</v>
      </c>
      <c r="J361">
        <v>0</v>
      </c>
      <c r="K361">
        <v>1</v>
      </c>
      <c r="L361">
        <v>2</v>
      </c>
      <c r="M361">
        <v>283</v>
      </c>
      <c r="N361">
        <v>329</v>
      </c>
      <c r="O361">
        <v>0</v>
      </c>
      <c r="P361">
        <v>329</v>
      </c>
      <c r="Q361">
        <v>9</v>
      </c>
      <c r="R361">
        <v>25</v>
      </c>
      <c r="S361">
        <v>0</v>
      </c>
      <c r="T361">
        <v>9</v>
      </c>
      <c r="U361">
        <v>5</v>
      </c>
      <c r="V361">
        <v>23</v>
      </c>
      <c r="W361">
        <v>1</v>
      </c>
      <c r="X361">
        <v>178</v>
      </c>
      <c r="Y361">
        <v>52</v>
      </c>
      <c r="Z361">
        <v>1</v>
      </c>
      <c r="AA361">
        <v>1</v>
      </c>
      <c r="AB361">
        <v>14</v>
      </c>
      <c r="AD361">
        <v>0</v>
      </c>
      <c r="AE361">
        <v>0</v>
      </c>
      <c r="AF361">
        <v>0</v>
      </c>
      <c r="AG361">
        <v>0</v>
      </c>
      <c r="AI361">
        <v>0</v>
      </c>
      <c r="AJ361">
        <v>11</v>
      </c>
      <c r="AK361">
        <v>329</v>
      </c>
      <c r="AL361">
        <v>329</v>
      </c>
      <c r="AM361">
        <v>568</v>
      </c>
      <c r="AN361">
        <v>44</v>
      </c>
      <c r="AP361">
        <v>1</v>
      </c>
      <c r="AR361" t="s">
        <v>443</v>
      </c>
      <c r="AS361" s="1">
        <v>44354.118055555555</v>
      </c>
      <c r="AT361" s="1">
        <v>44354.131550925929</v>
      </c>
      <c r="AU361" s="1">
        <v>44354.132592592592</v>
      </c>
      <c r="AV361" t="s">
        <v>71</v>
      </c>
      <c r="AW361" t="s">
        <v>72</v>
      </c>
      <c r="AX361" t="s">
        <v>73</v>
      </c>
    </row>
    <row r="362" spans="1:50" x14ac:dyDescent="0.3">
      <c r="A362" t="str">
        <f>"201056B0000"</f>
        <v>201056B0000</v>
      </c>
      <c r="B362" t="str">
        <f>"201056B00002"</f>
        <v>201056B00002</v>
      </c>
      <c r="C362" t="str">
        <f t="shared" si="16"/>
        <v>20</v>
      </c>
      <c r="D362" t="s">
        <v>67</v>
      </c>
      <c r="E362" t="str">
        <f t="shared" si="19"/>
        <v>002</v>
      </c>
      <c r="F362" t="s">
        <v>311</v>
      </c>
      <c r="G362" t="str">
        <f>"1056"</f>
        <v>1056</v>
      </c>
      <c r="H362" t="str">
        <f>"0000"</f>
        <v>0000</v>
      </c>
      <c r="I362" t="s">
        <v>69</v>
      </c>
      <c r="J362">
        <v>0</v>
      </c>
      <c r="K362">
        <v>1</v>
      </c>
      <c r="L362">
        <v>2</v>
      </c>
      <c r="M362">
        <v>338</v>
      </c>
      <c r="N362">
        <v>280</v>
      </c>
      <c r="O362">
        <v>4</v>
      </c>
      <c r="P362">
        <v>280</v>
      </c>
      <c r="Q362">
        <v>4</v>
      </c>
      <c r="R362">
        <v>24</v>
      </c>
      <c r="S362">
        <v>1</v>
      </c>
      <c r="T362">
        <v>14</v>
      </c>
      <c r="U362">
        <v>11</v>
      </c>
      <c r="V362">
        <v>32</v>
      </c>
      <c r="W362">
        <v>3</v>
      </c>
      <c r="X362">
        <v>130</v>
      </c>
      <c r="Y362">
        <v>33</v>
      </c>
      <c r="Z362">
        <v>6</v>
      </c>
      <c r="AA362">
        <v>2</v>
      </c>
      <c r="AB362">
        <v>13</v>
      </c>
      <c r="AD362">
        <v>1</v>
      </c>
      <c r="AE362">
        <v>0</v>
      </c>
      <c r="AF362">
        <v>0</v>
      </c>
      <c r="AG362">
        <v>0</v>
      </c>
      <c r="AI362">
        <v>1</v>
      </c>
      <c r="AJ362">
        <v>5</v>
      </c>
      <c r="AK362">
        <v>280</v>
      </c>
      <c r="AL362">
        <v>280</v>
      </c>
      <c r="AM362">
        <v>574</v>
      </c>
      <c r="AN362">
        <v>44</v>
      </c>
      <c r="AP362">
        <v>1</v>
      </c>
      <c r="AR362" t="s">
        <v>444</v>
      </c>
      <c r="AS362" s="1">
        <v>44354.140972222223</v>
      </c>
      <c r="AT362" s="1">
        <v>44354.162638888891</v>
      </c>
      <c r="AU362" s="1">
        <v>44354.163078703707</v>
      </c>
      <c r="AV362" t="s">
        <v>71</v>
      </c>
      <c r="AW362" t="s">
        <v>72</v>
      </c>
      <c r="AX362" t="s">
        <v>73</v>
      </c>
    </row>
    <row r="363" spans="1:50" x14ac:dyDescent="0.3">
      <c r="A363" t="str">
        <f>"201056C0100"</f>
        <v>201056C0100</v>
      </c>
      <c r="B363" t="str">
        <f>"201056C01002"</f>
        <v>201056C01002</v>
      </c>
      <c r="C363" t="str">
        <f t="shared" si="16"/>
        <v>20</v>
      </c>
      <c r="D363" t="s">
        <v>67</v>
      </c>
      <c r="E363" t="str">
        <f t="shared" si="19"/>
        <v>002</v>
      </c>
      <c r="F363" t="s">
        <v>311</v>
      </c>
      <c r="G363" t="str">
        <f>"1056"</f>
        <v>1056</v>
      </c>
      <c r="H363" t="str">
        <f>"0001"</f>
        <v>0001</v>
      </c>
      <c r="I363" t="s">
        <v>75</v>
      </c>
      <c r="J363">
        <v>0</v>
      </c>
      <c r="K363">
        <v>1</v>
      </c>
      <c r="L363">
        <v>2</v>
      </c>
      <c r="M363">
        <v>285</v>
      </c>
      <c r="N363">
        <v>334</v>
      </c>
      <c r="O363">
        <v>11</v>
      </c>
      <c r="P363">
        <v>334</v>
      </c>
      <c r="Q363">
        <v>7</v>
      </c>
      <c r="R363">
        <v>18</v>
      </c>
      <c r="S363">
        <v>1</v>
      </c>
      <c r="T363">
        <v>14</v>
      </c>
      <c r="U363">
        <v>9</v>
      </c>
      <c r="V363">
        <v>38</v>
      </c>
      <c r="W363">
        <v>2</v>
      </c>
      <c r="X363">
        <v>150</v>
      </c>
      <c r="Y363">
        <v>54</v>
      </c>
      <c r="Z363">
        <v>4</v>
      </c>
      <c r="AA363">
        <v>2</v>
      </c>
      <c r="AB363">
        <v>22</v>
      </c>
      <c r="AD363">
        <v>1</v>
      </c>
      <c r="AE363">
        <v>0</v>
      </c>
      <c r="AF363">
        <v>0</v>
      </c>
      <c r="AG363">
        <v>0</v>
      </c>
      <c r="AI363">
        <v>0</v>
      </c>
      <c r="AJ363">
        <v>11</v>
      </c>
      <c r="AK363">
        <v>334</v>
      </c>
      <c r="AL363">
        <v>333</v>
      </c>
      <c r="AM363">
        <v>574</v>
      </c>
      <c r="AN363">
        <v>44</v>
      </c>
      <c r="AP363">
        <v>1</v>
      </c>
      <c r="AR363" t="s">
        <v>445</v>
      </c>
      <c r="AS363" s="1">
        <v>44354.143750000003</v>
      </c>
      <c r="AT363" s="1">
        <v>44354.163900462961</v>
      </c>
      <c r="AU363" s="1">
        <v>44354.164768518516</v>
      </c>
      <c r="AV363" t="s">
        <v>71</v>
      </c>
      <c r="AW363" t="s">
        <v>72</v>
      </c>
      <c r="AX363" t="s">
        <v>73</v>
      </c>
    </row>
    <row r="364" spans="1:50" x14ac:dyDescent="0.3">
      <c r="A364" t="str">
        <f>"201056C0200"</f>
        <v>201056C0200</v>
      </c>
      <c r="B364" t="str">
        <f>"201056C02002"</f>
        <v>201056C02002</v>
      </c>
      <c r="C364" t="str">
        <f t="shared" si="16"/>
        <v>20</v>
      </c>
      <c r="D364" t="s">
        <v>67</v>
      </c>
      <c r="E364" t="str">
        <f t="shared" si="19"/>
        <v>002</v>
      </c>
      <c r="F364" t="s">
        <v>311</v>
      </c>
      <c r="G364" t="str">
        <f>"1056"</f>
        <v>1056</v>
      </c>
      <c r="H364" t="str">
        <f>"0002"</f>
        <v>0002</v>
      </c>
      <c r="I364" t="s">
        <v>75</v>
      </c>
      <c r="J364">
        <v>0</v>
      </c>
      <c r="K364">
        <v>1</v>
      </c>
      <c r="L364">
        <v>2</v>
      </c>
      <c r="M364">
        <v>320</v>
      </c>
      <c r="N364">
        <v>298</v>
      </c>
      <c r="O364">
        <v>6</v>
      </c>
      <c r="P364">
        <v>298</v>
      </c>
      <c r="Q364">
        <v>6</v>
      </c>
      <c r="R364">
        <v>13</v>
      </c>
      <c r="S364">
        <v>2</v>
      </c>
      <c r="T364">
        <v>24</v>
      </c>
      <c r="U364">
        <v>11</v>
      </c>
      <c r="V364">
        <v>28</v>
      </c>
      <c r="W364">
        <v>2</v>
      </c>
      <c r="X364">
        <v>143</v>
      </c>
      <c r="Y364">
        <v>42</v>
      </c>
      <c r="Z364">
        <v>5</v>
      </c>
      <c r="AA364">
        <v>1</v>
      </c>
      <c r="AB364">
        <v>11</v>
      </c>
      <c r="AD364">
        <v>1</v>
      </c>
      <c r="AE364">
        <v>0</v>
      </c>
      <c r="AF364">
        <v>0</v>
      </c>
      <c r="AG364">
        <v>0</v>
      </c>
      <c r="AI364">
        <v>0</v>
      </c>
      <c r="AJ364">
        <v>9</v>
      </c>
      <c r="AK364">
        <v>298</v>
      </c>
      <c r="AL364">
        <v>298</v>
      </c>
      <c r="AM364">
        <v>574</v>
      </c>
      <c r="AN364">
        <v>44</v>
      </c>
      <c r="AP364">
        <v>1</v>
      </c>
      <c r="AR364" t="s">
        <v>446</v>
      </c>
      <c r="AS364" s="1">
        <v>44354.143055555556</v>
      </c>
      <c r="AT364" s="1">
        <v>44354.162939814814</v>
      </c>
      <c r="AU364" s="1">
        <v>44354.16337962963</v>
      </c>
      <c r="AV364" t="s">
        <v>71</v>
      </c>
      <c r="AW364" t="s">
        <v>72</v>
      </c>
      <c r="AX364" t="s">
        <v>73</v>
      </c>
    </row>
    <row r="365" spans="1:50" x14ac:dyDescent="0.3">
      <c r="A365" t="str">
        <f>"201056C0300"</f>
        <v>201056C0300</v>
      </c>
      <c r="B365" t="str">
        <f>"201056C03002"</f>
        <v>201056C03002</v>
      </c>
      <c r="C365" t="str">
        <f t="shared" si="16"/>
        <v>20</v>
      </c>
      <c r="D365" t="s">
        <v>67</v>
      </c>
      <c r="E365" t="str">
        <f t="shared" si="19"/>
        <v>002</v>
      </c>
      <c r="F365" t="s">
        <v>311</v>
      </c>
      <c r="G365" t="str">
        <f>"1056"</f>
        <v>1056</v>
      </c>
      <c r="H365" t="str">
        <f>"0003"</f>
        <v>0003</v>
      </c>
      <c r="I365" t="s">
        <v>75</v>
      </c>
      <c r="J365">
        <v>0</v>
      </c>
      <c r="K365">
        <v>1</v>
      </c>
      <c r="L365">
        <v>2</v>
      </c>
      <c r="M365">
        <v>321</v>
      </c>
      <c r="N365">
        <v>297</v>
      </c>
      <c r="O365">
        <v>4</v>
      </c>
      <c r="P365">
        <v>297</v>
      </c>
      <c r="Q365">
        <v>8</v>
      </c>
      <c r="R365">
        <v>14</v>
      </c>
      <c r="S365">
        <v>0</v>
      </c>
      <c r="T365">
        <v>16</v>
      </c>
      <c r="U365">
        <v>7</v>
      </c>
      <c r="V365">
        <v>42</v>
      </c>
      <c r="W365">
        <v>0</v>
      </c>
      <c r="X365">
        <v>139</v>
      </c>
      <c r="Y365">
        <v>50</v>
      </c>
      <c r="Z365">
        <v>5</v>
      </c>
      <c r="AA365">
        <v>1</v>
      </c>
      <c r="AB365">
        <v>6</v>
      </c>
      <c r="AD365">
        <v>0</v>
      </c>
      <c r="AE365">
        <v>0</v>
      </c>
      <c r="AF365">
        <v>0</v>
      </c>
      <c r="AG365">
        <v>0</v>
      </c>
      <c r="AI365">
        <v>0</v>
      </c>
      <c r="AJ365">
        <v>9</v>
      </c>
      <c r="AK365">
        <v>297</v>
      </c>
      <c r="AL365">
        <v>297</v>
      </c>
      <c r="AM365">
        <v>574</v>
      </c>
      <c r="AN365">
        <v>44</v>
      </c>
      <c r="AP365">
        <v>1</v>
      </c>
      <c r="AR365" t="s">
        <v>447</v>
      </c>
      <c r="AS365" s="1">
        <v>44354.136111111111</v>
      </c>
      <c r="AT365" s="1">
        <v>44354.156261574077</v>
      </c>
      <c r="AU365" s="1">
        <v>44354.156944444447</v>
      </c>
      <c r="AV365" t="s">
        <v>71</v>
      </c>
      <c r="AW365" t="s">
        <v>72</v>
      </c>
      <c r="AX365" t="s">
        <v>73</v>
      </c>
    </row>
    <row r="366" spans="1:50" x14ac:dyDescent="0.3">
      <c r="A366" t="str">
        <f>"201058B0000"</f>
        <v>201058B0000</v>
      </c>
      <c r="B366" t="str">
        <f>"201058B00002"</f>
        <v>201058B00002</v>
      </c>
      <c r="C366" t="str">
        <f t="shared" si="16"/>
        <v>20</v>
      </c>
      <c r="D366" t="s">
        <v>67</v>
      </c>
      <c r="E366" t="str">
        <f t="shared" si="19"/>
        <v>002</v>
      </c>
      <c r="F366" t="s">
        <v>311</v>
      </c>
      <c r="G366" t="str">
        <f>"1058"</f>
        <v>1058</v>
      </c>
      <c r="H366" t="str">
        <f>"0000"</f>
        <v>0000</v>
      </c>
      <c r="I366" t="s">
        <v>69</v>
      </c>
      <c r="J366">
        <v>0</v>
      </c>
      <c r="K366">
        <v>1</v>
      </c>
      <c r="L366">
        <v>2</v>
      </c>
      <c r="M366">
        <v>276</v>
      </c>
      <c r="N366">
        <v>414</v>
      </c>
      <c r="O366">
        <v>2</v>
      </c>
      <c r="P366">
        <v>414</v>
      </c>
      <c r="Q366">
        <v>11</v>
      </c>
      <c r="R366">
        <v>23</v>
      </c>
      <c r="S366">
        <v>1</v>
      </c>
      <c r="T366">
        <v>15</v>
      </c>
      <c r="U366">
        <v>5</v>
      </c>
      <c r="V366">
        <v>59</v>
      </c>
      <c r="W366">
        <v>3</v>
      </c>
      <c r="X366">
        <v>211</v>
      </c>
      <c r="Y366">
        <v>47</v>
      </c>
      <c r="Z366">
        <v>7</v>
      </c>
      <c r="AA366">
        <v>1</v>
      </c>
      <c r="AB366">
        <v>22</v>
      </c>
      <c r="AD366" t="s">
        <v>77</v>
      </c>
      <c r="AE366" t="s">
        <v>77</v>
      </c>
      <c r="AF366" t="s">
        <v>77</v>
      </c>
      <c r="AG366" t="s">
        <v>77</v>
      </c>
      <c r="AI366" t="s">
        <v>77</v>
      </c>
      <c r="AJ366">
        <v>9</v>
      </c>
      <c r="AK366">
        <v>414</v>
      </c>
      <c r="AL366">
        <v>414</v>
      </c>
      <c r="AM366">
        <v>647</v>
      </c>
      <c r="AN366">
        <v>44</v>
      </c>
      <c r="AO366" t="s">
        <v>78</v>
      </c>
      <c r="AP366">
        <v>1</v>
      </c>
      <c r="AR366" t="s">
        <v>448</v>
      </c>
      <c r="AS366" s="1">
        <v>44354.169444444444</v>
      </c>
      <c r="AT366" s="1">
        <v>44354.199374999997</v>
      </c>
      <c r="AU366" s="1">
        <v>44354.210034722222</v>
      </c>
      <c r="AV366" t="s">
        <v>71</v>
      </c>
      <c r="AW366" t="s">
        <v>72</v>
      </c>
      <c r="AX366" t="s">
        <v>73</v>
      </c>
    </row>
    <row r="367" spans="1:50" x14ac:dyDescent="0.3">
      <c r="A367" t="str">
        <f>"201058E0100"</f>
        <v>201058E0100</v>
      </c>
      <c r="B367" t="str">
        <f>"201058E01002"</f>
        <v>201058E01002</v>
      </c>
      <c r="C367" t="str">
        <f t="shared" si="16"/>
        <v>20</v>
      </c>
      <c r="D367" t="s">
        <v>67</v>
      </c>
      <c r="E367" t="str">
        <f t="shared" si="19"/>
        <v>002</v>
      </c>
      <c r="F367" t="s">
        <v>311</v>
      </c>
      <c r="G367" t="str">
        <f>"1058"</f>
        <v>1058</v>
      </c>
      <c r="H367" t="str">
        <f>"0001"</f>
        <v>0001</v>
      </c>
      <c r="I367" t="s">
        <v>109</v>
      </c>
      <c r="J367">
        <v>0</v>
      </c>
      <c r="K367">
        <v>1</v>
      </c>
      <c r="L367">
        <v>2</v>
      </c>
      <c r="M367">
        <v>272</v>
      </c>
      <c r="N367" t="s">
        <v>80</v>
      </c>
      <c r="O367" t="s">
        <v>80</v>
      </c>
      <c r="P367">
        <v>505</v>
      </c>
      <c r="Q367">
        <v>23</v>
      </c>
      <c r="R367">
        <v>83</v>
      </c>
      <c r="S367">
        <v>1</v>
      </c>
      <c r="T367">
        <v>11</v>
      </c>
      <c r="U367">
        <v>5</v>
      </c>
      <c r="V367">
        <v>46</v>
      </c>
      <c r="W367">
        <v>6</v>
      </c>
      <c r="X367">
        <v>204</v>
      </c>
      <c r="Y367">
        <v>69</v>
      </c>
      <c r="Z367">
        <v>6</v>
      </c>
      <c r="AA367">
        <v>3</v>
      </c>
      <c r="AB367">
        <v>39</v>
      </c>
      <c r="AD367" t="s">
        <v>77</v>
      </c>
      <c r="AE367">
        <v>2</v>
      </c>
      <c r="AF367" t="s">
        <v>77</v>
      </c>
      <c r="AG367" t="s">
        <v>77</v>
      </c>
      <c r="AI367" t="s">
        <v>77</v>
      </c>
      <c r="AJ367">
        <v>7</v>
      </c>
      <c r="AK367" t="s">
        <v>77</v>
      </c>
      <c r="AL367">
        <v>505</v>
      </c>
      <c r="AM367">
        <v>733</v>
      </c>
      <c r="AN367">
        <v>44</v>
      </c>
      <c r="AO367" t="s">
        <v>78</v>
      </c>
      <c r="AP367">
        <v>1</v>
      </c>
      <c r="AR367" t="s">
        <v>449</v>
      </c>
      <c r="AS367" s="1">
        <v>44354.17083333333</v>
      </c>
      <c r="AT367" s="1">
        <v>44354.19939814815</v>
      </c>
      <c r="AU367" s="1">
        <v>44354.200185185182</v>
      </c>
      <c r="AV367" t="s">
        <v>71</v>
      </c>
      <c r="AW367" t="s">
        <v>72</v>
      </c>
      <c r="AX367" t="s">
        <v>73</v>
      </c>
    </row>
    <row r="368" spans="1:50" x14ac:dyDescent="0.3">
      <c r="A368" t="str">
        <f>"201059B0000"</f>
        <v>201059B0000</v>
      </c>
      <c r="B368" t="str">
        <f>"201059B00002"</f>
        <v>201059B00002</v>
      </c>
      <c r="C368" t="str">
        <f t="shared" si="16"/>
        <v>20</v>
      </c>
      <c r="D368" t="s">
        <v>67</v>
      </c>
      <c r="E368" t="str">
        <f t="shared" si="19"/>
        <v>002</v>
      </c>
      <c r="F368" t="s">
        <v>311</v>
      </c>
      <c r="G368" t="str">
        <f>"1059"</f>
        <v>1059</v>
      </c>
      <c r="H368" t="str">
        <f>"0000"</f>
        <v>0000</v>
      </c>
      <c r="I368" t="s">
        <v>69</v>
      </c>
      <c r="J368">
        <v>0</v>
      </c>
      <c r="K368">
        <v>1</v>
      </c>
      <c r="L368">
        <v>2</v>
      </c>
      <c r="M368">
        <v>144</v>
      </c>
      <c r="N368">
        <v>273</v>
      </c>
      <c r="O368">
        <v>12</v>
      </c>
      <c r="P368">
        <v>277</v>
      </c>
      <c r="Q368">
        <v>2</v>
      </c>
      <c r="R368">
        <v>49</v>
      </c>
      <c r="S368">
        <v>1</v>
      </c>
      <c r="T368">
        <v>9</v>
      </c>
      <c r="U368">
        <v>5</v>
      </c>
      <c r="V368">
        <v>39</v>
      </c>
      <c r="W368">
        <v>1</v>
      </c>
      <c r="X368">
        <v>122</v>
      </c>
      <c r="Y368">
        <v>33</v>
      </c>
      <c r="Z368">
        <v>4</v>
      </c>
      <c r="AA368">
        <v>1</v>
      </c>
      <c r="AB368">
        <v>5</v>
      </c>
      <c r="AD368">
        <v>0</v>
      </c>
      <c r="AE368">
        <v>1</v>
      </c>
      <c r="AF368">
        <v>0</v>
      </c>
      <c r="AG368">
        <v>0</v>
      </c>
      <c r="AI368">
        <v>0</v>
      </c>
      <c r="AJ368">
        <v>5</v>
      </c>
      <c r="AK368">
        <v>277</v>
      </c>
      <c r="AL368">
        <v>277</v>
      </c>
      <c r="AM368">
        <v>377</v>
      </c>
      <c r="AN368">
        <v>44</v>
      </c>
      <c r="AP368">
        <v>1</v>
      </c>
      <c r="AR368" t="s">
        <v>450</v>
      </c>
      <c r="AS368" s="1">
        <v>44354.088888888888</v>
      </c>
      <c r="AT368" s="1">
        <v>44354.402569444443</v>
      </c>
      <c r="AU368" s="1">
        <v>44354.402974537035</v>
      </c>
      <c r="AV368" t="s">
        <v>71</v>
      </c>
      <c r="AW368" t="s">
        <v>72</v>
      </c>
      <c r="AX368" t="s">
        <v>73</v>
      </c>
    </row>
    <row r="369" spans="1:50" x14ac:dyDescent="0.3">
      <c r="A369" t="str">
        <f>"201059C0100"</f>
        <v>201059C0100</v>
      </c>
      <c r="B369" t="str">
        <f>"201059C01002"</f>
        <v>201059C01002</v>
      </c>
      <c r="C369" t="str">
        <f t="shared" si="16"/>
        <v>20</v>
      </c>
      <c r="D369" t="s">
        <v>67</v>
      </c>
      <c r="E369" t="str">
        <f t="shared" si="19"/>
        <v>002</v>
      </c>
      <c r="F369" t="s">
        <v>311</v>
      </c>
      <c r="G369" t="str">
        <f>"1059"</f>
        <v>1059</v>
      </c>
      <c r="H369" t="str">
        <f>"0001"</f>
        <v>0001</v>
      </c>
      <c r="I369" t="s">
        <v>75</v>
      </c>
      <c r="J369">
        <v>0</v>
      </c>
      <c r="K369">
        <v>1</v>
      </c>
      <c r="L369">
        <v>2</v>
      </c>
      <c r="M369">
        <v>144</v>
      </c>
      <c r="N369">
        <v>273</v>
      </c>
      <c r="O369">
        <v>12</v>
      </c>
      <c r="P369">
        <v>277</v>
      </c>
      <c r="Q369">
        <v>2</v>
      </c>
      <c r="R369">
        <v>49</v>
      </c>
      <c r="S369">
        <v>1</v>
      </c>
      <c r="T369">
        <v>9</v>
      </c>
      <c r="U369">
        <v>5</v>
      </c>
      <c r="V369">
        <v>39</v>
      </c>
      <c r="W369">
        <v>1</v>
      </c>
      <c r="X369">
        <v>122</v>
      </c>
      <c r="Y369">
        <v>33</v>
      </c>
      <c r="Z369">
        <v>4</v>
      </c>
      <c r="AA369">
        <v>1</v>
      </c>
      <c r="AB369">
        <v>5</v>
      </c>
      <c r="AD369">
        <v>0</v>
      </c>
      <c r="AE369">
        <v>1</v>
      </c>
      <c r="AF369">
        <v>0</v>
      </c>
      <c r="AG369">
        <v>0</v>
      </c>
      <c r="AI369">
        <v>0</v>
      </c>
      <c r="AJ369">
        <v>5</v>
      </c>
      <c r="AK369">
        <v>277</v>
      </c>
      <c r="AL369">
        <v>277</v>
      </c>
      <c r="AM369">
        <v>376</v>
      </c>
      <c r="AN369">
        <v>44</v>
      </c>
      <c r="AP369">
        <v>1</v>
      </c>
      <c r="AR369" t="s">
        <v>451</v>
      </c>
      <c r="AS369" s="1">
        <v>44354.088888888888</v>
      </c>
      <c r="AT369" s="1">
        <v>44354.098333333335</v>
      </c>
      <c r="AU369" s="1">
        <v>44354.098958333336</v>
      </c>
      <c r="AV369" t="s">
        <v>71</v>
      </c>
      <c r="AW369" t="s">
        <v>72</v>
      </c>
      <c r="AX369" t="s">
        <v>73</v>
      </c>
    </row>
    <row r="370" spans="1:50" x14ac:dyDescent="0.3">
      <c r="A370" t="str">
        <f>"201060B0000"</f>
        <v>201060B0000</v>
      </c>
      <c r="B370" t="str">
        <f>"201060B00002"</f>
        <v>201060B00002</v>
      </c>
      <c r="C370" t="str">
        <f t="shared" si="16"/>
        <v>20</v>
      </c>
      <c r="D370" t="s">
        <v>67</v>
      </c>
      <c r="E370" t="str">
        <f t="shared" si="19"/>
        <v>002</v>
      </c>
      <c r="F370" t="s">
        <v>311</v>
      </c>
      <c r="G370" t="str">
        <f>"1060"</f>
        <v>1060</v>
      </c>
      <c r="H370" t="str">
        <f>"0000"</f>
        <v>0000</v>
      </c>
      <c r="I370" t="s">
        <v>69</v>
      </c>
      <c r="J370">
        <v>0</v>
      </c>
      <c r="K370">
        <v>1</v>
      </c>
      <c r="L370">
        <v>2</v>
      </c>
      <c r="M370" t="s">
        <v>80</v>
      </c>
      <c r="N370" t="s">
        <v>80</v>
      </c>
      <c r="O370" t="s">
        <v>80</v>
      </c>
      <c r="P370" t="s">
        <v>80</v>
      </c>
      <c r="Q370">
        <v>5</v>
      </c>
      <c r="R370">
        <v>21</v>
      </c>
      <c r="S370">
        <v>0</v>
      </c>
      <c r="T370">
        <v>6</v>
      </c>
      <c r="U370">
        <v>3</v>
      </c>
      <c r="V370">
        <v>67</v>
      </c>
      <c r="W370">
        <v>0</v>
      </c>
      <c r="X370">
        <v>143</v>
      </c>
      <c r="Y370">
        <v>6</v>
      </c>
      <c r="Z370">
        <v>4</v>
      </c>
      <c r="AA370">
        <v>0</v>
      </c>
      <c r="AB370">
        <v>6</v>
      </c>
      <c r="AD370">
        <v>0</v>
      </c>
      <c r="AE370">
        <v>1</v>
      </c>
      <c r="AF370">
        <v>0</v>
      </c>
      <c r="AG370">
        <v>0</v>
      </c>
      <c r="AI370">
        <v>0</v>
      </c>
      <c r="AJ370">
        <v>8</v>
      </c>
      <c r="AK370">
        <v>113</v>
      </c>
      <c r="AL370">
        <v>270</v>
      </c>
      <c r="AM370">
        <v>523</v>
      </c>
      <c r="AN370">
        <v>44</v>
      </c>
      <c r="AP370">
        <v>1</v>
      </c>
      <c r="AR370" t="s">
        <v>452</v>
      </c>
      <c r="AS370" s="1">
        <v>44354.257638888892</v>
      </c>
      <c r="AT370" s="1">
        <v>44354.261469907404</v>
      </c>
      <c r="AU370" s="1">
        <v>44354.262175925927</v>
      </c>
      <c r="AV370" t="s">
        <v>71</v>
      </c>
      <c r="AW370" t="s">
        <v>72</v>
      </c>
      <c r="AX370" t="s">
        <v>73</v>
      </c>
    </row>
    <row r="371" spans="1:50" x14ac:dyDescent="0.3">
      <c r="A371" t="str">
        <f>"201060C0100"</f>
        <v>201060C0100</v>
      </c>
      <c r="B371" t="str">
        <f>"201060C01002"</f>
        <v>201060C01002</v>
      </c>
      <c r="C371" t="str">
        <f t="shared" si="16"/>
        <v>20</v>
      </c>
      <c r="D371" t="s">
        <v>67</v>
      </c>
      <c r="E371" t="str">
        <f t="shared" si="19"/>
        <v>002</v>
      </c>
      <c r="F371" t="s">
        <v>311</v>
      </c>
      <c r="G371" t="str">
        <f>"1060"</f>
        <v>1060</v>
      </c>
      <c r="H371" t="str">
        <f>"0001"</f>
        <v>0001</v>
      </c>
      <c r="I371" t="s">
        <v>75</v>
      </c>
      <c r="J371">
        <v>0</v>
      </c>
      <c r="K371">
        <v>1</v>
      </c>
      <c r="L371">
        <v>2</v>
      </c>
      <c r="M371" t="s">
        <v>99</v>
      </c>
      <c r="N371" t="s">
        <v>99</v>
      </c>
      <c r="O371" t="s">
        <v>99</v>
      </c>
      <c r="P371" t="s">
        <v>99</v>
      </c>
      <c r="Q371" t="s">
        <v>99</v>
      </c>
      <c r="R371" t="s">
        <v>99</v>
      </c>
      <c r="S371" t="s">
        <v>99</v>
      </c>
      <c r="T371" t="s">
        <v>99</v>
      </c>
      <c r="U371" t="s">
        <v>99</v>
      </c>
      <c r="V371" t="s">
        <v>99</v>
      </c>
      <c r="W371" t="s">
        <v>99</v>
      </c>
      <c r="X371" t="s">
        <v>99</v>
      </c>
      <c r="Y371" t="s">
        <v>99</v>
      </c>
      <c r="Z371" t="s">
        <v>99</v>
      </c>
      <c r="AA371" t="s">
        <v>99</v>
      </c>
      <c r="AB371" t="s">
        <v>99</v>
      </c>
      <c r="AD371" t="s">
        <v>99</v>
      </c>
      <c r="AE371" t="s">
        <v>99</v>
      </c>
      <c r="AF371" t="s">
        <v>99</v>
      </c>
      <c r="AG371" t="s">
        <v>99</v>
      </c>
      <c r="AI371" t="s">
        <v>99</v>
      </c>
      <c r="AJ371" t="s">
        <v>99</v>
      </c>
      <c r="AM371">
        <v>522</v>
      </c>
      <c r="AN371">
        <v>44</v>
      </c>
      <c r="AO371" t="s">
        <v>392</v>
      </c>
      <c r="AP371">
        <v>0</v>
      </c>
      <c r="AR371" t="s">
        <v>453</v>
      </c>
      <c r="AS371" s="1">
        <v>44354.301388888889</v>
      </c>
      <c r="AT371" s="1">
        <v>44354.310949074075</v>
      </c>
      <c r="AU371" s="1">
        <v>44354.321701388886</v>
      </c>
      <c r="AV371" t="s">
        <v>71</v>
      </c>
      <c r="AW371" t="s">
        <v>72</v>
      </c>
      <c r="AX371" t="s">
        <v>73</v>
      </c>
    </row>
    <row r="372" spans="1:50" x14ac:dyDescent="0.3">
      <c r="A372" t="str">
        <f>"201060C0200"</f>
        <v>201060C0200</v>
      </c>
      <c r="B372" t="str">
        <f>"201060C02002"</f>
        <v>201060C02002</v>
      </c>
      <c r="C372" t="str">
        <f t="shared" si="16"/>
        <v>20</v>
      </c>
      <c r="D372" t="s">
        <v>67</v>
      </c>
      <c r="E372" t="str">
        <f t="shared" si="19"/>
        <v>002</v>
      </c>
      <c r="F372" t="s">
        <v>311</v>
      </c>
      <c r="G372" t="str">
        <f>"1060"</f>
        <v>1060</v>
      </c>
      <c r="H372" t="str">
        <f>"0002"</f>
        <v>0002</v>
      </c>
      <c r="I372" t="s">
        <v>75</v>
      </c>
      <c r="J372">
        <v>0</v>
      </c>
      <c r="K372">
        <v>1</v>
      </c>
      <c r="L372">
        <v>2</v>
      </c>
      <c r="M372" t="s">
        <v>80</v>
      </c>
      <c r="N372" t="s">
        <v>80</v>
      </c>
      <c r="O372" t="s">
        <v>80</v>
      </c>
      <c r="P372" t="s">
        <v>80</v>
      </c>
      <c r="Q372">
        <v>5</v>
      </c>
      <c r="R372">
        <v>36</v>
      </c>
      <c r="S372">
        <v>1</v>
      </c>
      <c r="T372">
        <v>4</v>
      </c>
      <c r="U372">
        <v>5</v>
      </c>
      <c r="V372">
        <v>63</v>
      </c>
      <c r="W372">
        <v>3</v>
      </c>
      <c r="X372">
        <v>149</v>
      </c>
      <c r="Y372">
        <v>34</v>
      </c>
      <c r="Z372">
        <v>5</v>
      </c>
      <c r="AA372">
        <v>2</v>
      </c>
      <c r="AB372">
        <v>18</v>
      </c>
      <c r="AD372">
        <v>0</v>
      </c>
      <c r="AE372">
        <v>0</v>
      </c>
      <c r="AF372">
        <v>0</v>
      </c>
      <c r="AG372">
        <v>0</v>
      </c>
      <c r="AI372">
        <v>0</v>
      </c>
      <c r="AJ372">
        <v>7</v>
      </c>
      <c r="AK372">
        <v>322</v>
      </c>
      <c r="AL372">
        <v>332</v>
      </c>
      <c r="AM372">
        <v>522</v>
      </c>
      <c r="AN372">
        <v>44</v>
      </c>
      <c r="AP372">
        <v>1</v>
      </c>
      <c r="AR372" t="s">
        <v>454</v>
      </c>
      <c r="AS372" s="1">
        <v>44354.236805555556</v>
      </c>
      <c r="AT372" s="1">
        <v>44354.238819444443</v>
      </c>
      <c r="AU372" s="1">
        <v>44354.239733796298</v>
      </c>
      <c r="AV372" t="s">
        <v>71</v>
      </c>
      <c r="AW372" t="s">
        <v>72</v>
      </c>
      <c r="AX372" t="s">
        <v>347</v>
      </c>
    </row>
    <row r="373" spans="1:50" x14ac:dyDescent="0.3">
      <c r="A373" t="str">
        <f>"201061B0000"</f>
        <v>201061B0000</v>
      </c>
      <c r="B373" t="str">
        <f>"201061B00002"</f>
        <v>201061B00002</v>
      </c>
      <c r="C373" t="str">
        <f t="shared" si="16"/>
        <v>20</v>
      </c>
      <c r="D373" t="s">
        <v>67</v>
      </c>
      <c r="E373" t="str">
        <f t="shared" si="19"/>
        <v>002</v>
      </c>
      <c r="F373" t="s">
        <v>311</v>
      </c>
      <c r="G373" t="str">
        <f>"1061"</f>
        <v>1061</v>
      </c>
      <c r="H373" t="str">
        <f>"0000"</f>
        <v>0000</v>
      </c>
      <c r="I373" t="s">
        <v>69</v>
      </c>
      <c r="J373">
        <v>0</v>
      </c>
      <c r="K373">
        <v>1</v>
      </c>
      <c r="L373">
        <v>2</v>
      </c>
      <c r="M373">
        <v>215</v>
      </c>
      <c r="N373">
        <v>299</v>
      </c>
      <c r="O373">
        <v>13</v>
      </c>
      <c r="P373">
        <v>299</v>
      </c>
      <c r="Q373">
        <v>3</v>
      </c>
      <c r="R373">
        <v>34</v>
      </c>
      <c r="S373">
        <v>1</v>
      </c>
      <c r="T373">
        <v>7</v>
      </c>
      <c r="U373">
        <v>2</v>
      </c>
      <c r="V373">
        <v>19</v>
      </c>
      <c r="W373">
        <v>2</v>
      </c>
      <c r="X373">
        <v>170</v>
      </c>
      <c r="Y373">
        <v>39</v>
      </c>
      <c r="Z373">
        <v>12</v>
      </c>
      <c r="AA373">
        <v>1</v>
      </c>
      <c r="AB373">
        <v>3</v>
      </c>
      <c r="AD373">
        <v>0</v>
      </c>
      <c r="AE373">
        <v>0</v>
      </c>
      <c r="AF373">
        <v>0</v>
      </c>
      <c r="AG373">
        <v>0</v>
      </c>
      <c r="AI373">
        <v>0</v>
      </c>
      <c r="AJ373">
        <v>6</v>
      </c>
      <c r="AK373">
        <v>299</v>
      </c>
      <c r="AL373">
        <v>299</v>
      </c>
      <c r="AM373">
        <v>470</v>
      </c>
      <c r="AN373">
        <v>44</v>
      </c>
      <c r="AP373">
        <v>1</v>
      </c>
      <c r="AR373" t="s">
        <v>455</v>
      </c>
      <c r="AS373" s="1">
        <v>44354.082638888889</v>
      </c>
      <c r="AT373" s="1">
        <v>44354.091469907406</v>
      </c>
      <c r="AU373" s="1">
        <v>44354.092326388891</v>
      </c>
      <c r="AV373" t="s">
        <v>71</v>
      </c>
      <c r="AW373" t="s">
        <v>72</v>
      </c>
      <c r="AX373" t="s">
        <v>73</v>
      </c>
    </row>
    <row r="374" spans="1:50" x14ac:dyDescent="0.3">
      <c r="A374" t="str">
        <f>"201061E0100"</f>
        <v>201061E0100</v>
      </c>
      <c r="B374" t="str">
        <f>"201061E01002"</f>
        <v>201061E01002</v>
      </c>
      <c r="C374" t="str">
        <f t="shared" si="16"/>
        <v>20</v>
      </c>
      <c r="D374" t="s">
        <v>67</v>
      </c>
      <c r="E374" t="str">
        <f t="shared" si="19"/>
        <v>002</v>
      </c>
      <c r="F374" t="s">
        <v>311</v>
      </c>
      <c r="G374" t="str">
        <f>"1061"</f>
        <v>1061</v>
      </c>
      <c r="H374" t="str">
        <f>"0001"</f>
        <v>0001</v>
      </c>
      <c r="I374" t="s">
        <v>109</v>
      </c>
      <c r="J374">
        <v>0</v>
      </c>
      <c r="K374">
        <v>1</v>
      </c>
      <c r="L374">
        <v>2</v>
      </c>
      <c r="M374">
        <v>292</v>
      </c>
      <c r="N374">
        <v>325</v>
      </c>
      <c r="O374">
        <v>12</v>
      </c>
      <c r="P374" t="s">
        <v>80</v>
      </c>
      <c r="Q374">
        <v>3</v>
      </c>
      <c r="R374">
        <v>35</v>
      </c>
      <c r="S374">
        <v>3</v>
      </c>
      <c r="T374">
        <v>7</v>
      </c>
      <c r="U374">
        <v>7</v>
      </c>
      <c r="V374">
        <v>52</v>
      </c>
      <c r="W374">
        <v>1</v>
      </c>
      <c r="X374">
        <v>141</v>
      </c>
      <c r="Y374">
        <v>39</v>
      </c>
      <c r="Z374">
        <v>10</v>
      </c>
      <c r="AA374">
        <v>1</v>
      </c>
      <c r="AB374">
        <v>14</v>
      </c>
      <c r="AD374">
        <v>0</v>
      </c>
      <c r="AE374">
        <v>0</v>
      </c>
      <c r="AF374">
        <v>0</v>
      </c>
      <c r="AG374">
        <v>0</v>
      </c>
      <c r="AI374">
        <v>0</v>
      </c>
      <c r="AJ374">
        <v>12</v>
      </c>
      <c r="AK374" t="s">
        <v>77</v>
      </c>
      <c r="AL374">
        <v>325</v>
      </c>
      <c r="AM374">
        <v>573</v>
      </c>
      <c r="AN374">
        <v>44</v>
      </c>
      <c r="AP374">
        <v>1</v>
      </c>
      <c r="AR374" t="s">
        <v>456</v>
      </c>
      <c r="AS374" s="1">
        <v>44354.145138888889</v>
      </c>
      <c r="AT374" s="1">
        <v>44354.16443287037</v>
      </c>
      <c r="AU374" s="1">
        <v>44354.165763888886</v>
      </c>
      <c r="AV374" t="s">
        <v>71</v>
      </c>
      <c r="AW374" t="s">
        <v>72</v>
      </c>
      <c r="AX374" t="s">
        <v>73</v>
      </c>
    </row>
    <row r="375" spans="1:50" x14ac:dyDescent="0.3">
      <c r="A375" t="str">
        <f>"201062B0000"</f>
        <v>201062B0000</v>
      </c>
      <c r="B375" t="str">
        <f>"201062B00002"</f>
        <v>201062B00002</v>
      </c>
      <c r="C375" t="str">
        <f t="shared" si="16"/>
        <v>20</v>
      </c>
      <c r="D375" t="s">
        <v>67</v>
      </c>
      <c r="E375" t="str">
        <f t="shared" si="19"/>
        <v>002</v>
      </c>
      <c r="F375" t="s">
        <v>311</v>
      </c>
      <c r="G375" t="str">
        <f>"1062"</f>
        <v>1062</v>
      </c>
      <c r="H375" t="str">
        <f>"0000"</f>
        <v>0000</v>
      </c>
      <c r="I375" t="s">
        <v>69</v>
      </c>
      <c r="J375">
        <v>0</v>
      </c>
      <c r="K375">
        <v>1</v>
      </c>
      <c r="L375">
        <v>2</v>
      </c>
      <c r="M375">
        <v>321</v>
      </c>
      <c r="N375">
        <v>391</v>
      </c>
      <c r="O375">
        <v>13</v>
      </c>
      <c r="P375">
        <v>391</v>
      </c>
      <c r="Q375">
        <v>2</v>
      </c>
      <c r="R375">
        <v>49</v>
      </c>
      <c r="S375">
        <v>2</v>
      </c>
      <c r="T375">
        <v>5</v>
      </c>
      <c r="U375">
        <v>16</v>
      </c>
      <c r="V375">
        <v>54</v>
      </c>
      <c r="W375">
        <v>5</v>
      </c>
      <c r="X375">
        <v>169</v>
      </c>
      <c r="Y375">
        <v>59</v>
      </c>
      <c r="Z375">
        <v>3</v>
      </c>
      <c r="AA375">
        <v>2</v>
      </c>
      <c r="AB375">
        <v>12</v>
      </c>
      <c r="AD375">
        <v>2</v>
      </c>
      <c r="AE375">
        <v>0</v>
      </c>
      <c r="AF375">
        <v>0</v>
      </c>
      <c r="AG375">
        <v>0</v>
      </c>
      <c r="AI375">
        <v>0</v>
      </c>
      <c r="AJ375">
        <v>11</v>
      </c>
      <c r="AK375">
        <v>391</v>
      </c>
      <c r="AL375">
        <v>391</v>
      </c>
      <c r="AM375">
        <v>668</v>
      </c>
      <c r="AN375">
        <v>44</v>
      </c>
      <c r="AP375">
        <v>1</v>
      </c>
      <c r="AR375" t="s">
        <v>457</v>
      </c>
      <c r="AS375" s="1">
        <v>44354.134722222225</v>
      </c>
      <c r="AT375" s="1">
        <v>44354.156064814815</v>
      </c>
      <c r="AU375" s="1">
        <v>44354.156458333331</v>
      </c>
      <c r="AV375" t="s">
        <v>71</v>
      </c>
      <c r="AW375" t="s">
        <v>72</v>
      </c>
      <c r="AX375" t="s">
        <v>73</v>
      </c>
    </row>
    <row r="376" spans="1:50" x14ac:dyDescent="0.3">
      <c r="A376" t="str">
        <f>"201062C0100"</f>
        <v>201062C0100</v>
      </c>
      <c r="B376" t="str">
        <f>"201062C01002"</f>
        <v>201062C01002</v>
      </c>
      <c r="C376" t="str">
        <f t="shared" si="16"/>
        <v>20</v>
      </c>
      <c r="D376" t="s">
        <v>67</v>
      </c>
      <c r="E376" t="str">
        <f t="shared" si="19"/>
        <v>002</v>
      </c>
      <c r="F376" t="s">
        <v>311</v>
      </c>
      <c r="G376" t="str">
        <f>"1062"</f>
        <v>1062</v>
      </c>
      <c r="H376" t="str">
        <f>"0001"</f>
        <v>0001</v>
      </c>
      <c r="I376" t="s">
        <v>75</v>
      </c>
      <c r="J376">
        <v>0</v>
      </c>
      <c r="K376">
        <v>1</v>
      </c>
      <c r="L376">
        <v>2</v>
      </c>
      <c r="M376">
        <v>326</v>
      </c>
      <c r="N376">
        <v>386</v>
      </c>
      <c r="O376">
        <v>13</v>
      </c>
      <c r="P376">
        <v>386</v>
      </c>
      <c r="Q376">
        <v>4</v>
      </c>
      <c r="R376">
        <v>57</v>
      </c>
      <c r="S376">
        <v>3</v>
      </c>
      <c r="T376">
        <v>5</v>
      </c>
      <c r="U376">
        <v>17</v>
      </c>
      <c r="V376">
        <v>34</v>
      </c>
      <c r="W376">
        <v>5</v>
      </c>
      <c r="X376">
        <v>189</v>
      </c>
      <c r="Y376">
        <v>53</v>
      </c>
      <c r="Z376">
        <v>1</v>
      </c>
      <c r="AA376">
        <v>2</v>
      </c>
      <c r="AB376">
        <v>11</v>
      </c>
      <c r="AD376">
        <v>0</v>
      </c>
      <c r="AE376">
        <v>1</v>
      </c>
      <c r="AF376">
        <v>0</v>
      </c>
      <c r="AG376">
        <v>0</v>
      </c>
      <c r="AI376">
        <v>0</v>
      </c>
      <c r="AJ376">
        <v>4</v>
      </c>
      <c r="AK376">
        <v>386</v>
      </c>
      <c r="AL376">
        <v>386</v>
      </c>
      <c r="AM376">
        <v>668</v>
      </c>
      <c r="AN376">
        <v>44</v>
      </c>
      <c r="AP376">
        <v>1</v>
      </c>
      <c r="AR376" t="s">
        <v>458</v>
      </c>
      <c r="AS376" s="1">
        <v>44354.136805555558</v>
      </c>
      <c r="AT376" s="1">
        <v>44354.158356481479</v>
      </c>
      <c r="AU376" s="1">
        <v>44354.15896990741</v>
      </c>
      <c r="AV376" t="s">
        <v>71</v>
      </c>
      <c r="AW376" t="s">
        <v>72</v>
      </c>
      <c r="AX376" t="s">
        <v>73</v>
      </c>
    </row>
    <row r="377" spans="1:50" x14ac:dyDescent="0.3">
      <c r="A377" t="str">
        <f>"201063B0000"</f>
        <v>201063B0000</v>
      </c>
      <c r="B377" t="str">
        <f>"201063B00002"</f>
        <v>201063B00002</v>
      </c>
      <c r="C377" t="str">
        <f t="shared" si="16"/>
        <v>20</v>
      </c>
      <c r="D377" t="s">
        <v>67</v>
      </c>
      <c r="E377" t="str">
        <f t="shared" si="19"/>
        <v>002</v>
      </c>
      <c r="F377" t="s">
        <v>311</v>
      </c>
      <c r="G377" t="str">
        <f>"1063"</f>
        <v>1063</v>
      </c>
      <c r="H377" t="str">
        <f>"0000"</f>
        <v>0000</v>
      </c>
      <c r="I377" t="s">
        <v>69</v>
      </c>
      <c r="J377">
        <v>0</v>
      </c>
      <c r="K377">
        <v>1</v>
      </c>
      <c r="L377">
        <v>2</v>
      </c>
      <c r="M377">
        <v>260</v>
      </c>
      <c r="N377">
        <v>472</v>
      </c>
      <c r="O377">
        <v>5</v>
      </c>
      <c r="P377">
        <v>472</v>
      </c>
      <c r="Q377">
        <v>16</v>
      </c>
      <c r="R377">
        <v>43</v>
      </c>
      <c r="S377">
        <v>2</v>
      </c>
      <c r="T377">
        <v>12</v>
      </c>
      <c r="U377">
        <v>7</v>
      </c>
      <c r="V377">
        <v>30</v>
      </c>
      <c r="W377">
        <v>0</v>
      </c>
      <c r="X377">
        <v>267</v>
      </c>
      <c r="Y377">
        <v>52</v>
      </c>
      <c r="Z377">
        <v>6</v>
      </c>
      <c r="AA377">
        <v>2</v>
      </c>
      <c r="AB377">
        <v>27</v>
      </c>
      <c r="AD377" t="s">
        <v>77</v>
      </c>
      <c r="AE377">
        <v>4</v>
      </c>
      <c r="AF377" t="s">
        <v>77</v>
      </c>
      <c r="AG377" t="s">
        <v>77</v>
      </c>
      <c r="AI377" t="s">
        <v>77</v>
      </c>
      <c r="AJ377">
        <v>8</v>
      </c>
      <c r="AK377">
        <v>472</v>
      </c>
      <c r="AL377">
        <v>476</v>
      </c>
      <c r="AM377">
        <v>693</v>
      </c>
      <c r="AN377">
        <v>44</v>
      </c>
      <c r="AO377" t="s">
        <v>78</v>
      </c>
      <c r="AP377">
        <v>1</v>
      </c>
      <c r="AR377" t="s">
        <v>459</v>
      </c>
      <c r="AS377" s="1">
        <v>44354.169444444444</v>
      </c>
      <c r="AT377" s="1">
        <v>44354.195833333331</v>
      </c>
      <c r="AU377" s="1">
        <v>44354.196527777778</v>
      </c>
      <c r="AV377" t="s">
        <v>71</v>
      </c>
      <c r="AW377" t="s">
        <v>72</v>
      </c>
      <c r="AX377" t="s">
        <v>73</v>
      </c>
    </row>
    <row r="378" spans="1:50" x14ac:dyDescent="0.3">
      <c r="A378" t="str">
        <f>"201064B0000"</f>
        <v>201064B0000</v>
      </c>
      <c r="B378" t="str">
        <f>"201064B00002"</f>
        <v>201064B00002</v>
      </c>
      <c r="C378" t="str">
        <f t="shared" si="16"/>
        <v>20</v>
      </c>
      <c r="D378" t="s">
        <v>67</v>
      </c>
      <c r="E378" t="str">
        <f t="shared" si="19"/>
        <v>002</v>
      </c>
      <c r="F378" t="s">
        <v>311</v>
      </c>
      <c r="G378" t="str">
        <f>"1064"</f>
        <v>1064</v>
      </c>
      <c r="H378" t="str">
        <f>"0000"</f>
        <v>0000</v>
      </c>
      <c r="I378" t="s">
        <v>69</v>
      </c>
      <c r="J378">
        <v>0</v>
      </c>
      <c r="K378">
        <v>1</v>
      </c>
      <c r="L378">
        <v>2</v>
      </c>
      <c r="M378">
        <v>205</v>
      </c>
      <c r="N378">
        <v>573</v>
      </c>
      <c r="O378">
        <v>2</v>
      </c>
      <c r="P378">
        <v>671</v>
      </c>
      <c r="Q378">
        <v>18</v>
      </c>
      <c r="R378">
        <v>49</v>
      </c>
      <c r="S378">
        <v>2</v>
      </c>
      <c r="T378">
        <v>10</v>
      </c>
      <c r="U378">
        <v>19</v>
      </c>
      <c r="V378">
        <v>42</v>
      </c>
      <c r="W378">
        <v>2</v>
      </c>
      <c r="X378">
        <v>332</v>
      </c>
      <c r="Y378">
        <v>96</v>
      </c>
      <c r="Z378">
        <v>6</v>
      </c>
      <c r="AA378">
        <v>7</v>
      </c>
      <c r="AB378">
        <v>19</v>
      </c>
      <c r="AD378" t="s">
        <v>77</v>
      </c>
      <c r="AE378" t="s">
        <v>77</v>
      </c>
      <c r="AF378" t="s">
        <v>77</v>
      </c>
      <c r="AG378" t="s">
        <v>77</v>
      </c>
      <c r="AI378" t="s">
        <v>77</v>
      </c>
      <c r="AJ378">
        <v>13</v>
      </c>
      <c r="AK378">
        <v>671</v>
      </c>
      <c r="AL378">
        <v>615</v>
      </c>
      <c r="AM378">
        <v>736</v>
      </c>
      <c r="AN378">
        <v>44</v>
      </c>
      <c r="AO378" t="s">
        <v>78</v>
      </c>
      <c r="AP378">
        <v>1</v>
      </c>
      <c r="AR378" t="s">
        <v>460</v>
      </c>
      <c r="AS378" s="1">
        <v>44354.148611111108</v>
      </c>
      <c r="AT378" s="1">
        <v>44354.168576388889</v>
      </c>
      <c r="AU378" s="1">
        <v>44354.169328703705</v>
      </c>
      <c r="AV378" t="s">
        <v>71</v>
      </c>
      <c r="AW378" t="s">
        <v>72</v>
      </c>
      <c r="AX378" t="s">
        <v>73</v>
      </c>
    </row>
    <row r="379" spans="1:50" x14ac:dyDescent="0.3">
      <c r="A379" t="str">
        <f>"201064E0100"</f>
        <v>201064E0100</v>
      </c>
      <c r="B379" t="str">
        <f>"201064E01002"</f>
        <v>201064E01002</v>
      </c>
      <c r="C379" t="str">
        <f t="shared" si="16"/>
        <v>20</v>
      </c>
      <c r="D379" t="s">
        <v>67</v>
      </c>
      <c r="E379" t="str">
        <f t="shared" si="19"/>
        <v>002</v>
      </c>
      <c r="F379" t="s">
        <v>311</v>
      </c>
      <c r="G379" t="str">
        <f>"1064"</f>
        <v>1064</v>
      </c>
      <c r="H379" t="str">
        <f>"0001"</f>
        <v>0001</v>
      </c>
      <c r="I379" t="s">
        <v>109</v>
      </c>
      <c r="J379">
        <v>0</v>
      </c>
      <c r="K379">
        <v>1</v>
      </c>
      <c r="L379">
        <v>2</v>
      </c>
      <c r="M379">
        <v>175</v>
      </c>
      <c r="N379">
        <v>354</v>
      </c>
      <c r="O379">
        <v>13</v>
      </c>
      <c r="P379">
        <v>358</v>
      </c>
      <c r="Q379">
        <v>15</v>
      </c>
      <c r="R379">
        <v>70</v>
      </c>
      <c r="S379">
        <v>4</v>
      </c>
      <c r="T379">
        <v>12</v>
      </c>
      <c r="U379">
        <v>6</v>
      </c>
      <c r="V379">
        <v>41</v>
      </c>
      <c r="W379">
        <v>1</v>
      </c>
      <c r="X379">
        <v>41</v>
      </c>
      <c r="Y379">
        <v>42</v>
      </c>
      <c r="Z379">
        <v>3</v>
      </c>
      <c r="AA379">
        <v>2</v>
      </c>
      <c r="AB379">
        <v>12</v>
      </c>
      <c r="AD379">
        <v>0</v>
      </c>
      <c r="AE379">
        <v>0</v>
      </c>
      <c r="AF379">
        <v>0</v>
      </c>
      <c r="AG379">
        <v>0</v>
      </c>
      <c r="AI379">
        <v>0</v>
      </c>
      <c r="AJ379">
        <v>10</v>
      </c>
      <c r="AK379">
        <v>358</v>
      </c>
      <c r="AL379">
        <v>259</v>
      </c>
      <c r="AM379">
        <v>489</v>
      </c>
      <c r="AN379">
        <v>44</v>
      </c>
      <c r="AP379">
        <v>1</v>
      </c>
      <c r="AR379" t="s">
        <v>461</v>
      </c>
      <c r="AS379" s="1">
        <v>44354.147222222222</v>
      </c>
      <c r="AT379" s="1">
        <v>44354.167962962965</v>
      </c>
      <c r="AU379" s="1">
        <v>44354.168541666666</v>
      </c>
      <c r="AV379" t="s">
        <v>71</v>
      </c>
      <c r="AW379" t="s">
        <v>72</v>
      </c>
      <c r="AX379" t="s">
        <v>73</v>
      </c>
    </row>
    <row r="380" spans="1:50" x14ac:dyDescent="0.3">
      <c r="A380" t="str">
        <f>"201064E0101"</f>
        <v>201064E0101</v>
      </c>
      <c r="B380" t="str">
        <f>"201064E01012"</f>
        <v>201064E01012</v>
      </c>
      <c r="C380" t="str">
        <f t="shared" si="16"/>
        <v>20</v>
      </c>
      <c r="D380" t="s">
        <v>67</v>
      </c>
      <c r="E380" t="str">
        <f t="shared" si="19"/>
        <v>002</v>
      </c>
      <c r="F380" t="s">
        <v>311</v>
      </c>
      <c r="G380" t="str">
        <f>"1064"</f>
        <v>1064</v>
      </c>
      <c r="H380" t="str">
        <f>"0001"</f>
        <v>0001</v>
      </c>
      <c r="I380" t="s">
        <v>109</v>
      </c>
      <c r="J380">
        <v>1</v>
      </c>
      <c r="K380">
        <v>1</v>
      </c>
      <c r="L380">
        <v>2</v>
      </c>
      <c r="M380">
        <v>178</v>
      </c>
      <c r="N380">
        <v>355</v>
      </c>
      <c r="O380">
        <v>3</v>
      </c>
      <c r="P380">
        <v>355</v>
      </c>
      <c r="Q380">
        <v>5</v>
      </c>
      <c r="R380">
        <v>82</v>
      </c>
      <c r="S380">
        <v>0</v>
      </c>
      <c r="T380">
        <v>16</v>
      </c>
      <c r="U380">
        <v>7</v>
      </c>
      <c r="V380">
        <v>34</v>
      </c>
      <c r="W380">
        <v>2</v>
      </c>
      <c r="X380">
        <v>134</v>
      </c>
      <c r="Y380">
        <v>49</v>
      </c>
      <c r="Z380">
        <v>3</v>
      </c>
      <c r="AA380">
        <v>4</v>
      </c>
      <c r="AB380">
        <v>8</v>
      </c>
      <c r="AD380">
        <v>0</v>
      </c>
      <c r="AE380">
        <v>1</v>
      </c>
      <c r="AF380">
        <v>0</v>
      </c>
      <c r="AG380">
        <v>0</v>
      </c>
      <c r="AI380">
        <v>0</v>
      </c>
      <c r="AJ380">
        <v>10</v>
      </c>
      <c r="AK380">
        <v>355</v>
      </c>
      <c r="AL380">
        <v>355</v>
      </c>
      <c r="AM380">
        <v>489</v>
      </c>
      <c r="AN380">
        <v>44</v>
      </c>
      <c r="AP380">
        <v>1</v>
      </c>
      <c r="AR380" t="s">
        <v>462</v>
      </c>
      <c r="AS380" s="1">
        <v>44354.147916666669</v>
      </c>
      <c r="AT380" s="1">
        <v>44354.16747685185</v>
      </c>
      <c r="AU380" s="1">
        <v>44354.168113425927</v>
      </c>
      <c r="AV380" t="s">
        <v>71</v>
      </c>
      <c r="AW380" t="s">
        <v>72</v>
      </c>
      <c r="AX380" t="s">
        <v>73</v>
      </c>
    </row>
    <row r="381" spans="1:50" x14ac:dyDescent="0.3">
      <c r="A381" t="str">
        <f>"201064E0200"</f>
        <v>201064E0200</v>
      </c>
      <c r="B381" t="str">
        <f>"201064E02002"</f>
        <v>201064E02002</v>
      </c>
      <c r="C381" t="str">
        <f t="shared" si="16"/>
        <v>20</v>
      </c>
      <c r="D381" t="s">
        <v>67</v>
      </c>
      <c r="E381" t="str">
        <f t="shared" si="19"/>
        <v>002</v>
      </c>
      <c r="F381" t="s">
        <v>311</v>
      </c>
      <c r="G381" t="str">
        <f>"1064"</f>
        <v>1064</v>
      </c>
      <c r="H381" t="str">
        <f>"0002"</f>
        <v>0002</v>
      </c>
      <c r="I381" t="s">
        <v>109</v>
      </c>
      <c r="J381">
        <v>0</v>
      </c>
      <c r="K381">
        <v>1</v>
      </c>
      <c r="L381">
        <v>2</v>
      </c>
      <c r="M381">
        <v>165</v>
      </c>
      <c r="N381">
        <v>296</v>
      </c>
      <c r="O381">
        <v>5</v>
      </c>
      <c r="P381">
        <v>296</v>
      </c>
      <c r="Q381">
        <v>25</v>
      </c>
      <c r="R381">
        <v>27</v>
      </c>
      <c r="S381">
        <v>2</v>
      </c>
      <c r="T381">
        <v>28</v>
      </c>
      <c r="U381">
        <v>7</v>
      </c>
      <c r="V381">
        <v>32</v>
      </c>
      <c r="W381">
        <v>1</v>
      </c>
      <c r="X381">
        <v>118</v>
      </c>
      <c r="Y381">
        <v>24</v>
      </c>
      <c r="Z381">
        <v>5</v>
      </c>
      <c r="AA381">
        <v>13</v>
      </c>
      <c r="AB381">
        <v>2</v>
      </c>
      <c r="AD381">
        <v>0</v>
      </c>
      <c r="AE381">
        <v>2</v>
      </c>
      <c r="AF381">
        <v>0</v>
      </c>
      <c r="AG381">
        <v>0</v>
      </c>
      <c r="AI381">
        <v>0</v>
      </c>
      <c r="AJ381">
        <v>10</v>
      </c>
      <c r="AK381">
        <v>296</v>
      </c>
      <c r="AL381">
        <v>296</v>
      </c>
      <c r="AM381">
        <v>417</v>
      </c>
      <c r="AN381">
        <v>44</v>
      </c>
      <c r="AP381">
        <v>1</v>
      </c>
      <c r="AR381" t="s">
        <v>463</v>
      </c>
      <c r="AS381" s="1">
        <v>44354.15</v>
      </c>
      <c r="AT381" s="1">
        <v>44354.169976851852</v>
      </c>
      <c r="AU381" s="1">
        <v>44354.171342592592</v>
      </c>
      <c r="AV381" t="s">
        <v>71</v>
      </c>
      <c r="AW381" t="s">
        <v>72</v>
      </c>
      <c r="AX381" t="s">
        <v>73</v>
      </c>
    </row>
    <row r="382" spans="1:50" x14ac:dyDescent="0.3">
      <c r="A382" t="str">
        <f>"201065B0000"</f>
        <v>201065B0000</v>
      </c>
      <c r="B382" t="str">
        <f>"201065B00002"</f>
        <v>201065B00002</v>
      </c>
      <c r="C382" t="str">
        <f t="shared" si="16"/>
        <v>20</v>
      </c>
      <c r="D382" t="s">
        <v>67</v>
      </c>
      <c r="E382" t="str">
        <f t="shared" si="19"/>
        <v>002</v>
      </c>
      <c r="F382" t="s">
        <v>311</v>
      </c>
      <c r="G382" t="str">
        <f>"1065"</f>
        <v>1065</v>
      </c>
      <c r="H382" t="str">
        <f>"0000"</f>
        <v>0000</v>
      </c>
      <c r="I382" t="s">
        <v>69</v>
      </c>
      <c r="J382">
        <v>0</v>
      </c>
      <c r="K382">
        <v>1</v>
      </c>
      <c r="L382">
        <v>2</v>
      </c>
      <c r="M382">
        <v>264</v>
      </c>
      <c r="N382">
        <v>264</v>
      </c>
      <c r="O382">
        <v>5</v>
      </c>
      <c r="P382">
        <v>264</v>
      </c>
      <c r="Q382">
        <v>2</v>
      </c>
      <c r="R382">
        <v>11</v>
      </c>
      <c r="S382">
        <v>0</v>
      </c>
      <c r="T382">
        <v>8</v>
      </c>
      <c r="U382">
        <v>5</v>
      </c>
      <c r="V382">
        <v>18</v>
      </c>
      <c r="W382">
        <v>5</v>
      </c>
      <c r="X382">
        <v>162</v>
      </c>
      <c r="Y382">
        <v>36</v>
      </c>
      <c r="Z382">
        <v>1</v>
      </c>
      <c r="AA382">
        <v>1</v>
      </c>
      <c r="AB382">
        <v>9</v>
      </c>
      <c r="AD382">
        <v>1</v>
      </c>
      <c r="AE382">
        <v>0</v>
      </c>
      <c r="AF382">
        <v>0</v>
      </c>
      <c r="AG382">
        <v>0</v>
      </c>
      <c r="AI382">
        <v>0</v>
      </c>
      <c r="AJ382">
        <v>5</v>
      </c>
      <c r="AK382">
        <v>264</v>
      </c>
      <c r="AL382">
        <v>264</v>
      </c>
      <c r="AM382">
        <v>459</v>
      </c>
      <c r="AN382">
        <v>44</v>
      </c>
      <c r="AP382">
        <v>1</v>
      </c>
      <c r="AR382" t="s">
        <v>464</v>
      </c>
      <c r="AS382" s="1">
        <v>44354.126388888886</v>
      </c>
      <c r="AT382" s="1">
        <v>44354.141018518516</v>
      </c>
      <c r="AU382" s="1">
        <v>44354.141608796293</v>
      </c>
      <c r="AV382" t="s">
        <v>71</v>
      </c>
      <c r="AW382" t="s">
        <v>72</v>
      </c>
      <c r="AX382" t="s">
        <v>73</v>
      </c>
    </row>
    <row r="383" spans="1:50" x14ac:dyDescent="0.3">
      <c r="A383" t="str">
        <f>"201065C0100"</f>
        <v>201065C0100</v>
      </c>
      <c r="B383" t="str">
        <f>"201065C01002"</f>
        <v>201065C01002</v>
      </c>
      <c r="C383" t="str">
        <f t="shared" si="16"/>
        <v>20</v>
      </c>
      <c r="D383" t="s">
        <v>67</v>
      </c>
      <c r="E383" t="str">
        <f t="shared" si="19"/>
        <v>002</v>
      </c>
      <c r="F383" t="s">
        <v>311</v>
      </c>
      <c r="G383" t="str">
        <f>"1065"</f>
        <v>1065</v>
      </c>
      <c r="H383" t="str">
        <f>"0001"</f>
        <v>0001</v>
      </c>
      <c r="I383" t="s">
        <v>75</v>
      </c>
      <c r="J383">
        <v>0</v>
      </c>
      <c r="K383">
        <v>1</v>
      </c>
      <c r="L383">
        <v>2</v>
      </c>
      <c r="M383">
        <v>217</v>
      </c>
      <c r="N383">
        <v>286</v>
      </c>
      <c r="O383">
        <v>8</v>
      </c>
      <c r="P383">
        <v>286</v>
      </c>
      <c r="Q383">
        <v>5</v>
      </c>
      <c r="R383">
        <v>20</v>
      </c>
      <c r="S383">
        <v>0</v>
      </c>
      <c r="T383">
        <v>6</v>
      </c>
      <c r="U383">
        <v>6</v>
      </c>
      <c r="V383">
        <v>24</v>
      </c>
      <c r="W383">
        <v>4</v>
      </c>
      <c r="X383">
        <v>155</v>
      </c>
      <c r="Y383">
        <v>46</v>
      </c>
      <c r="Z383">
        <v>3</v>
      </c>
      <c r="AA383">
        <v>1</v>
      </c>
      <c r="AB383">
        <v>7</v>
      </c>
      <c r="AD383" t="s">
        <v>77</v>
      </c>
      <c r="AE383" t="s">
        <v>77</v>
      </c>
      <c r="AF383" t="s">
        <v>77</v>
      </c>
      <c r="AG383" t="s">
        <v>77</v>
      </c>
      <c r="AI383">
        <v>1</v>
      </c>
      <c r="AJ383">
        <v>8</v>
      </c>
      <c r="AK383">
        <v>286</v>
      </c>
      <c r="AL383">
        <v>286</v>
      </c>
      <c r="AM383">
        <v>459</v>
      </c>
      <c r="AN383">
        <v>44</v>
      </c>
      <c r="AO383" t="s">
        <v>78</v>
      </c>
      <c r="AP383">
        <v>1</v>
      </c>
      <c r="AR383" t="s">
        <v>465</v>
      </c>
      <c r="AS383" s="1">
        <v>44354.129861111112</v>
      </c>
      <c r="AT383" s="1">
        <v>44354.148981481485</v>
      </c>
      <c r="AU383" s="1">
        <v>44354.149421296293</v>
      </c>
      <c r="AV383" t="s">
        <v>71</v>
      </c>
      <c r="AW383" t="s">
        <v>72</v>
      </c>
      <c r="AX383" t="s">
        <v>73</v>
      </c>
    </row>
    <row r="384" spans="1:50" x14ac:dyDescent="0.3">
      <c r="A384" t="str">
        <f>"201065E0100"</f>
        <v>201065E0100</v>
      </c>
      <c r="B384" t="str">
        <f>"201065E01002"</f>
        <v>201065E01002</v>
      </c>
      <c r="C384" t="str">
        <f t="shared" si="16"/>
        <v>20</v>
      </c>
      <c r="D384" t="s">
        <v>67</v>
      </c>
      <c r="E384" t="str">
        <f t="shared" si="19"/>
        <v>002</v>
      </c>
      <c r="F384" t="s">
        <v>311</v>
      </c>
      <c r="G384" t="str">
        <f>"1065"</f>
        <v>1065</v>
      </c>
      <c r="H384" t="str">
        <f>"0001"</f>
        <v>0001</v>
      </c>
      <c r="I384" t="s">
        <v>109</v>
      </c>
      <c r="J384">
        <v>0</v>
      </c>
      <c r="K384">
        <v>1</v>
      </c>
      <c r="L384">
        <v>2</v>
      </c>
      <c r="M384">
        <v>135</v>
      </c>
      <c r="N384">
        <v>189</v>
      </c>
      <c r="O384">
        <v>9</v>
      </c>
      <c r="P384">
        <v>189</v>
      </c>
      <c r="Q384">
        <v>1</v>
      </c>
      <c r="R384">
        <v>6</v>
      </c>
      <c r="S384">
        <v>0</v>
      </c>
      <c r="T384">
        <v>4</v>
      </c>
      <c r="U384">
        <v>3</v>
      </c>
      <c r="V384">
        <v>33</v>
      </c>
      <c r="W384">
        <v>1</v>
      </c>
      <c r="X384">
        <v>106</v>
      </c>
      <c r="Y384">
        <v>20</v>
      </c>
      <c r="Z384">
        <v>3</v>
      </c>
      <c r="AA384">
        <v>2</v>
      </c>
      <c r="AB384" t="s">
        <v>99</v>
      </c>
      <c r="AD384">
        <v>0</v>
      </c>
      <c r="AE384">
        <v>0</v>
      </c>
      <c r="AF384">
        <v>0</v>
      </c>
      <c r="AG384">
        <v>0</v>
      </c>
      <c r="AI384">
        <v>0</v>
      </c>
      <c r="AJ384">
        <v>4</v>
      </c>
      <c r="AK384">
        <v>189</v>
      </c>
      <c r="AL384">
        <v>183</v>
      </c>
      <c r="AM384">
        <v>278</v>
      </c>
      <c r="AN384">
        <v>44</v>
      </c>
      <c r="AO384" t="s">
        <v>78</v>
      </c>
      <c r="AP384">
        <v>1</v>
      </c>
      <c r="AR384" t="s">
        <v>466</v>
      </c>
      <c r="AS384" s="1">
        <v>44354.134027777778</v>
      </c>
      <c r="AT384" s="1">
        <v>44354.18409722222</v>
      </c>
      <c r="AU384" s="1">
        <v>44354.186006944445</v>
      </c>
      <c r="AV384" t="s">
        <v>71</v>
      </c>
      <c r="AW384" t="s">
        <v>72</v>
      </c>
      <c r="AX384" t="s">
        <v>73</v>
      </c>
    </row>
    <row r="385" spans="1:50" x14ac:dyDescent="0.3">
      <c r="A385" t="str">
        <f>"201065E0200"</f>
        <v>201065E0200</v>
      </c>
      <c r="B385" t="str">
        <f>"201065E02002"</f>
        <v>201065E02002</v>
      </c>
      <c r="C385" t="str">
        <f t="shared" si="16"/>
        <v>20</v>
      </c>
      <c r="D385" t="s">
        <v>67</v>
      </c>
      <c r="E385" t="str">
        <f t="shared" si="19"/>
        <v>002</v>
      </c>
      <c r="F385" t="s">
        <v>311</v>
      </c>
      <c r="G385" t="str">
        <f>"1065"</f>
        <v>1065</v>
      </c>
      <c r="H385" t="str">
        <f>"0002"</f>
        <v>0002</v>
      </c>
      <c r="I385" t="s">
        <v>109</v>
      </c>
      <c r="J385">
        <v>0</v>
      </c>
      <c r="K385">
        <v>1</v>
      </c>
      <c r="L385">
        <v>2</v>
      </c>
      <c r="M385">
        <v>273</v>
      </c>
      <c r="N385">
        <v>340</v>
      </c>
      <c r="O385">
        <v>2</v>
      </c>
      <c r="P385">
        <v>340</v>
      </c>
      <c r="Q385">
        <v>12</v>
      </c>
      <c r="R385">
        <v>34</v>
      </c>
      <c r="S385">
        <v>2</v>
      </c>
      <c r="T385">
        <v>1</v>
      </c>
      <c r="U385">
        <v>6</v>
      </c>
      <c r="V385">
        <v>40</v>
      </c>
      <c r="W385">
        <v>4</v>
      </c>
      <c r="X385">
        <v>141</v>
      </c>
      <c r="Y385">
        <v>59</v>
      </c>
      <c r="Z385">
        <v>7</v>
      </c>
      <c r="AA385">
        <v>1</v>
      </c>
      <c r="AB385">
        <v>10</v>
      </c>
      <c r="AD385" t="s">
        <v>77</v>
      </c>
      <c r="AE385">
        <v>2</v>
      </c>
      <c r="AF385" t="s">
        <v>77</v>
      </c>
      <c r="AG385" t="s">
        <v>77</v>
      </c>
      <c r="AI385">
        <v>1</v>
      </c>
      <c r="AJ385">
        <v>20</v>
      </c>
      <c r="AK385">
        <v>340</v>
      </c>
      <c r="AL385">
        <v>340</v>
      </c>
      <c r="AM385">
        <v>569</v>
      </c>
      <c r="AN385">
        <v>44</v>
      </c>
      <c r="AO385" t="s">
        <v>78</v>
      </c>
      <c r="AP385">
        <v>1</v>
      </c>
      <c r="AR385" t="s">
        <v>467</v>
      </c>
      <c r="AS385" s="1">
        <v>44354.128472222219</v>
      </c>
      <c r="AT385" s="1">
        <v>44354.143993055557</v>
      </c>
      <c r="AU385" s="1">
        <v>44354.144305555557</v>
      </c>
      <c r="AV385" t="s">
        <v>71</v>
      </c>
      <c r="AW385" t="s">
        <v>72</v>
      </c>
      <c r="AX385" t="s">
        <v>73</v>
      </c>
    </row>
    <row r="386" spans="1:50" x14ac:dyDescent="0.3">
      <c r="A386" t="str">
        <f>"201066B0000"</f>
        <v>201066B0000</v>
      </c>
      <c r="B386" t="str">
        <f>"201066B00002"</f>
        <v>201066B00002</v>
      </c>
      <c r="C386" t="str">
        <f t="shared" si="16"/>
        <v>20</v>
      </c>
      <c r="D386" t="s">
        <v>67</v>
      </c>
      <c r="E386" t="str">
        <f t="shared" si="19"/>
        <v>002</v>
      </c>
      <c r="F386" t="s">
        <v>311</v>
      </c>
      <c r="G386" t="str">
        <f>"1066"</f>
        <v>1066</v>
      </c>
      <c r="H386" t="str">
        <f>"0000"</f>
        <v>0000</v>
      </c>
      <c r="I386" t="s">
        <v>69</v>
      </c>
      <c r="J386">
        <v>0</v>
      </c>
      <c r="K386">
        <v>1</v>
      </c>
      <c r="L386">
        <v>2</v>
      </c>
      <c r="M386">
        <v>129</v>
      </c>
      <c r="N386">
        <v>146</v>
      </c>
      <c r="O386">
        <v>13</v>
      </c>
      <c r="P386" t="s">
        <v>80</v>
      </c>
      <c r="Q386">
        <v>3</v>
      </c>
      <c r="R386">
        <v>17</v>
      </c>
      <c r="S386">
        <v>0</v>
      </c>
      <c r="T386">
        <v>1</v>
      </c>
      <c r="U386">
        <v>3</v>
      </c>
      <c r="V386">
        <v>25</v>
      </c>
      <c r="W386">
        <v>3</v>
      </c>
      <c r="X386">
        <v>49</v>
      </c>
      <c r="Y386">
        <v>31</v>
      </c>
      <c r="Z386">
        <v>5</v>
      </c>
      <c r="AA386">
        <v>1</v>
      </c>
      <c r="AB386">
        <v>3</v>
      </c>
      <c r="AD386">
        <v>0</v>
      </c>
      <c r="AE386">
        <v>1</v>
      </c>
      <c r="AF386">
        <v>0</v>
      </c>
      <c r="AG386">
        <v>0</v>
      </c>
      <c r="AI386">
        <v>0</v>
      </c>
      <c r="AJ386">
        <v>4</v>
      </c>
      <c r="AK386">
        <v>146</v>
      </c>
      <c r="AL386">
        <v>146</v>
      </c>
      <c r="AM386">
        <v>231</v>
      </c>
      <c r="AN386">
        <v>44</v>
      </c>
      <c r="AP386">
        <v>1</v>
      </c>
      <c r="AR386" t="s">
        <v>468</v>
      </c>
      <c r="AS386" s="1">
        <v>44354.15625</v>
      </c>
      <c r="AT386" s="1">
        <v>44354.183310185188</v>
      </c>
      <c r="AU386" s="1">
        <v>44354.183888888889</v>
      </c>
      <c r="AV386" t="s">
        <v>71</v>
      </c>
      <c r="AW386" t="s">
        <v>72</v>
      </c>
      <c r="AX386" t="s">
        <v>73</v>
      </c>
    </row>
    <row r="387" spans="1:50" x14ac:dyDescent="0.3">
      <c r="A387" t="str">
        <f>"201066E0100"</f>
        <v>201066E0100</v>
      </c>
      <c r="B387" t="str">
        <f>"201066E01002"</f>
        <v>201066E01002</v>
      </c>
      <c r="C387" t="str">
        <f t="shared" si="16"/>
        <v>20</v>
      </c>
      <c r="D387" t="s">
        <v>67</v>
      </c>
      <c r="E387" t="str">
        <f t="shared" si="19"/>
        <v>002</v>
      </c>
      <c r="F387" t="s">
        <v>311</v>
      </c>
      <c r="G387" t="str">
        <f>"1066"</f>
        <v>1066</v>
      </c>
      <c r="H387" t="str">
        <f>"0001"</f>
        <v>0001</v>
      </c>
      <c r="I387" t="s">
        <v>109</v>
      </c>
      <c r="J387">
        <v>0</v>
      </c>
      <c r="K387">
        <v>1</v>
      </c>
      <c r="L387">
        <v>2</v>
      </c>
      <c r="M387">
        <v>285</v>
      </c>
      <c r="N387">
        <v>421</v>
      </c>
      <c r="O387">
        <v>10</v>
      </c>
      <c r="P387">
        <v>422</v>
      </c>
      <c r="Q387">
        <v>13</v>
      </c>
      <c r="R387">
        <v>34</v>
      </c>
      <c r="S387">
        <v>3</v>
      </c>
      <c r="T387">
        <v>12</v>
      </c>
      <c r="U387">
        <v>11</v>
      </c>
      <c r="V387">
        <v>68</v>
      </c>
      <c r="W387">
        <v>2</v>
      </c>
      <c r="X387">
        <v>162</v>
      </c>
      <c r="Y387">
        <v>74</v>
      </c>
      <c r="Z387">
        <v>7</v>
      </c>
      <c r="AA387">
        <v>8</v>
      </c>
      <c r="AB387">
        <v>18</v>
      </c>
      <c r="AD387">
        <v>0</v>
      </c>
      <c r="AE387">
        <v>0</v>
      </c>
      <c r="AF387">
        <v>0</v>
      </c>
      <c r="AG387">
        <v>0</v>
      </c>
      <c r="AI387">
        <v>0</v>
      </c>
      <c r="AJ387">
        <v>10</v>
      </c>
      <c r="AK387">
        <v>422</v>
      </c>
      <c r="AL387">
        <v>422</v>
      </c>
      <c r="AM387">
        <v>663</v>
      </c>
      <c r="AN387">
        <v>44</v>
      </c>
      <c r="AP387">
        <v>1</v>
      </c>
      <c r="AR387" t="s">
        <v>469</v>
      </c>
      <c r="AS387" s="1">
        <v>44354.158333333333</v>
      </c>
      <c r="AT387" s="1">
        <v>44354.18241898148</v>
      </c>
      <c r="AU387" s="1">
        <v>44354.182962962965</v>
      </c>
      <c r="AV387" t="s">
        <v>71</v>
      </c>
      <c r="AW387" t="s">
        <v>72</v>
      </c>
      <c r="AX387" t="s">
        <v>73</v>
      </c>
    </row>
    <row r="388" spans="1:50" x14ac:dyDescent="0.3">
      <c r="A388" t="str">
        <f>"201067B0000"</f>
        <v>201067B0000</v>
      </c>
      <c r="B388" t="str">
        <f>"201067B00002"</f>
        <v>201067B00002</v>
      </c>
      <c r="C388" t="str">
        <f t="shared" si="16"/>
        <v>20</v>
      </c>
      <c r="D388" t="s">
        <v>67</v>
      </c>
      <c r="E388" t="str">
        <f t="shared" si="19"/>
        <v>002</v>
      </c>
      <c r="F388" t="s">
        <v>311</v>
      </c>
      <c r="G388" t="str">
        <f>"1067"</f>
        <v>1067</v>
      </c>
      <c r="H388" t="str">
        <f>"0000"</f>
        <v>0000</v>
      </c>
      <c r="I388" t="s">
        <v>69</v>
      </c>
      <c r="J388">
        <v>0</v>
      </c>
      <c r="K388">
        <v>1</v>
      </c>
      <c r="L388">
        <v>2</v>
      </c>
      <c r="M388">
        <v>176</v>
      </c>
      <c r="N388">
        <v>334</v>
      </c>
      <c r="O388">
        <v>2</v>
      </c>
      <c r="P388">
        <v>334</v>
      </c>
      <c r="Q388">
        <v>29</v>
      </c>
      <c r="R388">
        <v>130</v>
      </c>
      <c r="S388">
        <v>3</v>
      </c>
      <c r="T388">
        <v>23</v>
      </c>
      <c r="U388">
        <v>7</v>
      </c>
      <c r="V388">
        <v>36</v>
      </c>
      <c r="W388">
        <v>2</v>
      </c>
      <c r="X388">
        <v>56</v>
      </c>
      <c r="Y388">
        <v>31</v>
      </c>
      <c r="Z388">
        <v>8</v>
      </c>
      <c r="AA388">
        <v>2</v>
      </c>
      <c r="AB388">
        <v>3</v>
      </c>
      <c r="AD388">
        <v>0</v>
      </c>
      <c r="AE388">
        <v>1</v>
      </c>
      <c r="AF388">
        <v>0</v>
      </c>
      <c r="AG388">
        <v>0</v>
      </c>
      <c r="AI388">
        <v>0</v>
      </c>
      <c r="AJ388">
        <v>3</v>
      </c>
      <c r="AK388">
        <v>334</v>
      </c>
      <c r="AL388">
        <v>334</v>
      </c>
      <c r="AM388">
        <v>466</v>
      </c>
      <c r="AN388">
        <v>44</v>
      </c>
      <c r="AP388">
        <v>1</v>
      </c>
      <c r="AR388" t="s">
        <v>470</v>
      </c>
      <c r="AS388" s="1">
        <v>44354.137499999997</v>
      </c>
      <c r="AT388" s="1">
        <v>44354.158622685187</v>
      </c>
      <c r="AU388" s="1">
        <v>44354.159236111111</v>
      </c>
      <c r="AV388" t="s">
        <v>71</v>
      </c>
      <c r="AW388" t="s">
        <v>72</v>
      </c>
      <c r="AX388" t="s">
        <v>73</v>
      </c>
    </row>
    <row r="389" spans="1:50" x14ac:dyDescent="0.3">
      <c r="A389" t="str">
        <f>"201067C0100"</f>
        <v>201067C0100</v>
      </c>
      <c r="B389" t="str">
        <f>"201067C01002"</f>
        <v>201067C01002</v>
      </c>
      <c r="C389" t="str">
        <f t="shared" si="16"/>
        <v>20</v>
      </c>
      <c r="D389" t="s">
        <v>67</v>
      </c>
      <c r="E389" t="str">
        <f t="shared" si="19"/>
        <v>002</v>
      </c>
      <c r="F389" t="s">
        <v>311</v>
      </c>
      <c r="G389" t="str">
        <f>"1067"</f>
        <v>1067</v>
      </c>
      <c r="H389" t="str">
        <f>"0001"</f>
        <v>0001</v>
      </c>
      <c r="I389" t="s">
        <v>75</v>
      </c>
      <c r="J389">
        <v>0</v>
      </c>
      <c r="K389">
        <v>1</v>
      </c>
      <c r="L389">
        <v>2</v>
      </c>
      <c r="M389">
        <v>153</v>
      </c>
      <c r="N389">
        <v>357</v>
      </c>
      <c r="O389">
        <v>1</v>
      </c>
      <c r="P389" t="s">
        <v>80</v>
      </c>
      <c r="Q389">
        <v>33</v>
      </c>
      <c r="R389">
        <v>112</v>
      </c>
      <c r="S389">
        <v>0</v>
      </c>
      <c r="T389">
        <v>27</v>
      </c>
      <c r="U389">
        <v>8</v>
      </c>
      <c r="V389">
        <v>44</v>
      </c>
      <c r="W389">
        <v>1</v>
      </c>
      <c r="X389">
        <v>78</v>
      </c>
      <c r="Y389">
        <v>25</v>
      </c>
      <c r="Z389">
        <v>5</v>
      </c>
      <c r="AA389">
        <v>2</v>
      </c>
      <c r="AB389">
        <v>15</v>
      </c>
      <c r="AD389">
        <v>0</v>
      </c>
      <c r="AE389">
        <v>3</v>
      </c>
      <c r="AF389">
        <v>1</v>
      </c>
      <c r="AG389">
        <v>0</v>
      </c>
      <c r="AI389">
        <v>0</v>
      </c>
      <c r="AJ389">
        <v>3</v>
      </c>
      <c r="AK389">
        <v>357</v>
      </c>
      <c r="AL389">
        <v>357</v>
      </c>
      <c r="AM389">
        <v>466</v>
      </c>
      <c r="AN389">
        <v>44</v>
      </c>
      <c r="AP389">
        <v>1</v>
      </c>
      <c r="AR389" t="s">
        <v>471</v>
      </c>
      <c r="AS389" s="1">
        <v>44354.140277777777</v>
      </c>
      <c r="AT389" s="1">
        <v>44354.161493055559</v>
      </c>
      <c r="AU389" s="1">
        <v>44354.162256944444</v>
      </c>
      <c r="AV389" t="s">
        <v>71</v>
      </c>
      <c r="AW389" t="s">
        <v>72</v>
      </c>
      <c r="AX389" t="s">
        <v>73</v>
      </c>
    </row>
    <row r="390" spans="1:50" x14ac:dyDescent="0.3">
      <c r="A390" t="str">
        <f>"201068B0000"</f>
        <v>201068B0000</v>
      </c>
      <c r="B390" t="str">
        <f>"201068B00002"</f>
        <v>201068B00002</v>
      </c>
      <c r="C390" t="str">
        <f t="shared" si="16"/>
        <v>20</v>
      </c>
      <c r="D390" t="s">
        <v>67</v>
      </c>
      <c r="E390" t="str">
        <f t="shared" si="19"/>
        <v>002</v>
      </c>
      <c r="F390" t="s">
        <v>311</v>
      </c>
      <c r="G390" t="str">
        <f>"1068"</f>
        <v>1068</v>
      </c>
      <c r="H390" t="str">
        <f>"0000"</f>
        <v>0000</v>
      </c>
      <c r="I390" t="s">
        <v>69</v>
      </c>
      <c r="J390">
        <v>0</v>
      </c>
      <c r="K390">
        <v>1</v>
      </c>
      <c r="L390">
        <v>2</v>
      </c>
      <c r="M390">
        <v>361</v>
      </c>
      <c r="N390">
        <v>321</v>
      </c>
      <c r="O390">
        <v>12</v>
      </c>
      <c r="P390">
        <v>326</v>
      </c>
      <c r="Q390">
        <v>9</v>
      </c>
      <c r="R390">
        <v>45</v>
      </c>
      <c r="S390">
        <v>3</v>
      </c>
      <c r="T390">
        <v>14</v>
      </c>
      <c r="U390">
        <v>9</v>
      </c>
      <c r="V390">
        <v>25</v>
      </c>
      <c r="W390">
        <v>3</v>
      </c>
      <c r="X390">
        <v>170</v>
      </c>
      <c r="Y390">
        <v>19</v>
      </c>
      <c r="Z390">
        <v>4</v>
      </c>
      <c r="AA390">
        <v>3</v>
      </c>
      <c r="AB390">
        <v>18</v>
      </c>
      <c r="AD390">
        <v>0</v>
      </c>
      <c r="AE390">
        <v>0</v>
      </c>
      <c r="AF390">
        <v>0</v>
      </c>
      <c r="AG390">
        <v>0</v>
      </c>
      <c r="AI390">
        <v>0</v>
      </c>
      <c r="AJ390">
        <v>4</v>
      </c>
      <c r="AK390">
        <v>326</v>
      </c>
      <c r="AL390">
        <v>326</v>
      </c>
      <c r="AM390">
        <v>647</v>
      </c>
      <c r="AN390">
        <v>44</v>
      </c>
      <c r="AP390">
        <v>1</v>
      </c>
      <c r="AR390" t="s">
        <v>472</v>
      </c>
      <c r="AS390" s="1">
        <v>44354.092361111114</v>
      </c>
      <c r="AT390" s="1">
        <v>44354.103460648148</v>
      </c>
      <c r="AU390" s="1">
        <v>44354.104675925926</v>
      </c>
      <c r="AV390" t="s">
        <v>71</v>
      </c>
      <c r="AW390" t="s">
        <v>72</v>
      </c>
      <c r="AX390" t="s">
        <v>73</v>
      </c>
    </row>
    <row r="391" spans="1:50" x14ac:dyDescent="0.3">
      <c r="A391" t="str">
        <f>"201068C0100"</f>
        <v>201068C0100</v>
      </c>
      <c r="B391" t="str">
        <f>"201068C01002"</f>
        <v>201068C01002</v>
      </c>
      <c r="C391" t="str">
        <f t="shared" ref="C391:C454" si="20">"20"</f>
        <v>20</v>
      </c>
      <c r="D391" t="s">
        <v>67</v>
      </c>
      <c r="E391" t="str">
        <f t="shared" si="19"/>
        <v>002</v>
      </c>
      <c r="F391" t="s">
        <v>311</v>
      </c>
      <c r="G391" t="str">
        <f>"1068"</f>
        <v>1068</v>
      </c>
      <c r="H391" t="str">
        <f>"0001"</f>
        <v>0001</v>
      </c>
      <c r="I391" t="s">
        <v>75</v>
      </c>
      <c r="J391">
        <v>0</v>
      </c>
      <c r="K391">
        <v>1</v>
      </c>
      <c r="L391">
        <v>2</v>
      </c>
      <c r="M391">
        <v>338</v>
      </c>
      <c r="N391">
        <v>351</v>
      </c>
      <c r="O391">
        <v>7</v>
      </c>
      <c r="P391">
        <v>351</v>
      </c>
      <c r="Q391">
        <v>10</v>
      </c>
      <c r="R391">
        <v>56</v>
      </c>
      <c r="S391">
        <v>3</v>
      </c>
      <c r="T391">
        <v>13</v>
      </c>
      <c r="U391">
        <v>5</v>
      </c>
      <c r="V391">
        <v>27</v>
      </c>
      <c r="W391">
        <v>2</v>
      </c>
      <c r="X391">
        <v>175</v>
      </c>
      <c r="Y391">
        <v>28</v>
      </c>
      <c r="Z391">
        <v>7</v>
      </c>
      <c r="AA391">
        <v>5</v>
      </c>
      <c r="AB391">
        <v>9</v>
      </c>
      <c r="AD391" t="s">
        <v>77</v>
      </c>
      <c r="AE391">
        <v>1</v>
      </c>
      <c r="AF391">
        <v>1</v>
      </c>
      <c r="AG391" t="s">
        <v>77</v>
      </c>
      <c r="AI391" t="s">
        <v>77</v>
      </c>
      <c r="AJ391">
        <v>9</v>
      </c>
      <c r="AK391">
        <v>351</v>
      </c>
      <c r="AL391">
        <v>351</v>
      </c>
      <c r="AM391">
        <v>646</v>
      </c>
      <c r="AN391">
        <v>44</v>
      </c>
      <c r="AO391" t="s">
        <v>78</v>
      </c>
      <c r="AP391">
        <v>1</v>
      </c>
      <c r="AR391" t="s">
        <v>473</v>
      </c>
      <c r="AS391" s="1">
        <v>44354.091666666667</v>
      </c>
      <c r="AT391" s="1">
        <v>44354.100231481483</v>
      </c>
      <c r="AU391" s="1">
        <v>44354.101111111115</v>
      </c>
      <c r="AV391" t="s">
        <v>71</v>
      </c>
      <c r="AW391" t="s">
        <v>72</v>
      </c>
      <c r="AX391" t="s">
        <v>73</v>
      </c>
    </row>
    <row r="392" spans="1:50" x14ac:dyDescent="0.3">
      <c r="A392" t="str">
        <f>"201069B0000"</f>
        <v>201069B0000</v>
      </c>
      <c r="B392" t="str">
        <f>"201069B00002"</f>
        <v>201069B00002</v>
      </c>
      <c r="C392" t="str">
        <f t="shared" si="20"/>
        <v>20</v>
      </c>
      <c r="D392" t="s">
        <v>67</v>
      </c>
      <c r="E392" t="str">
        <f t="shared" si="19"/>
        <v>002</v>
      </c>
      <c r="F392" t="s">
        <v>311</v>
      </c>
      <c r="G392" t="str">
        <f>"1069"</f>
        <v>1069</v>
      </c>
      <c r="H392" t="str">
        <f>"0000"</f>
        <v>0000</v>
      </c>
      <c r="I392" t="s">
        <v>69</v>
      </c>
      <c r="J392">
        <v>0</v>
      </c>
      <c r="K392">
        <v>1</v>
      </c>
      <c r="L392">
        <v>2</v>
      </c>
      <c r="M392">
        <v>333</v>
      </c>
      <c r="N392">
        <v>343</v>
      </c>
      <c r="O392">
        <v>6</v>
      </c>
      <c r="P392">
        <v>342</v>
      </c>
      <c r="Q392">
        <v>4</v>
      </c>
      <c r="R392">
        <v>20</v>
      </c>
      <c r="S392">
        <v>4</v>
      </c>
      <c r="T392">
        <v>9</v>
      </c>
      <c r="U392">
        <v>11</v>
      </c>
      <c r="V392">
        <v>21</v>
      </c>
      <c r="W392">
        <v>4</v>
      </c>
      <c r="X392">
        <v>192</v>
      </c>
      <c r="Y392">
        <v>47</v>
      </c>
      <c r="Z392">
        <v>6</v>
      </c>
      <c r="AA392">
        <v>2</v>
      </c>
      <c r="AB392">
        <v>16</v>
      </c>
      <c r="AD392" t="s">
        <v>77</v>
      </c>
      <c r="AE392" t="s">
        <v>77</v>
      </c>
      <c r="AF392" t="s">
        <v>77</v>
      </c>
      <c r="AG392" t="s">
        <v>77</v>
      </c>
      <c r="AI392" t="s">
        <v>77</v>
      </c>
      <c r="AJ392">
        <v>6</v>
      </c>
      <c r="AK392">
        <v>342</v>
      </c>
      <c r="AL392">
        <v>342</v>
      </c>
      <c r="AM392">
        <v>632</v>
      </c>
      <c r="AN392">
        <v>44</v>
      </c>
      <c r="AO392" t="s">
        <v>78</v>
      </c>
      <c r="AP392">
        <v>1</v>
      </c>
      <c r="AR392" t="s">
        <v>474</v>
      </c>
      <c r="AS392" s="1">
        <v>44354.020138888889</v>
      </c>
      <c r="AT392" s="1">
        <v>44354.048310185186</v>
      </c>
      <c r="AU392" s="1">
        <v>44354.048680555556</v>
      </c>
      <c r="AV392" t="s">
        <v>71</v>
      </c>
      <c r="AW392" t="s">
        <v>72</v>
      </c>
      <c r="AX392" t="s">
        <v>73</v>
      </c>
    </row>
    <row r="393" spans="1:50" x14ac:dyDescent="0.3">
      <c r="A393" t="str">
        <f>"201069C0100"</f>
        <v>201069C0100</v>
      </c>
      <c r="B393" t="str">
        <f>"201069C01002"</f>
        <v>201069C01002</v>
      </c>
      <c r="C393" t="str">
        <f t="shared" si="20"/>
        <v>20</v>
      </c>
      <c r="D393" t="s">
        <v>67</v>
      </c>
      <c r="E393" t="str">
        <f t="shared" ref="E393:E428" si="21">"002"</f>
        <v>002</v>
      </c>
      <c r="F393" t="s">
        <v>311</v>
      </c>
      <c r="G393" t="str">
        <f>"1069"</f>
        <v>1069</v>
      </c>
      <c r="H393" t="str">
        <f>"0001"</f>
        <v>0001</v>
      </c>
      <c r="I393" t="s">
        <v>75</v>
      </c>
      <c r="J393">
        <v>0</v>
      </c>
      <c r="K393">
        <v>1</v>
      </c>
      <c r="L393">
        <v>2</v>
      </c>
      <c r="AM393">
        <v>632</v>
      </c>
      <c r="AN393">
        <v>44</v>
      </c>
      <c r="AO393" t="s">
        <v>352</v>
      </c>
      <c r="AP393">
        <v>0</v>
      </c>
      <c r="AR393" t="s">
        <v>475</v>
      </c>
      <c r="AS393" s="1">
        <v>44354.359027777777</v>
      </c>
      <c r="AT393" s="1">
        <v>44354.366319444445</v>
      </c>
      <c r="AU393" s="1">
        <v>44354.366319444445</v>
      </c>
      <c r="AV393" t="s">
        <v>71</v>
      </c>
      <c r="AW393" t="s">
        <v>72</v>
      </c>
      <c r="AX393" t="s">
        <v>73</v>
      </c>
    </row>
    <row r="394" spans="1:50" x14ac:dyDescent="0.3">
      <c r="A394" t="str">
        <f>"201069C0200"</f>
        <v>201069C0200</v>
      </c>
      <c r="B394" t="str">
        <f>"201069C02002"</f>
        <v>201069C02002</v>
      </c>
      <c r="C394" t="str">
        <f t="shared" si="20"/>
        <v>20</v>
      </c>
      <c r="D394" t="s">
        <v>67</v>
      </c>
      <c r="E394" t="str">
        <f t="shared" si="21"/>
        <v>002</v>
      </c>
      <c r="F394" t="s">
        <v>311</v>
      </c>
      <c r="G394" t="str">
        <f>"1069"</f>
        <v>1069</v>
      </c>
      <c r="H394" t="str">
        <f>"0002"</f>
        <v>0002</v>
      </c>
      <c r="I394" t="s">
        <v>75</v>
      </c>
      <c r="J394">
        <v>0</v>
      </c>
      <c r="K394">
        <v>1</v>
      </c>
      <c r="L394">
        <v>2</v>
      </c>
      <c r="M394">
        <v>338</v>
      </c>
      <c r="N394">
        <v>338</v>
      </c>
      <c r="O394">
        <v>6</v>
      </c>
      <c r="P394">
        <v>338</v>
      </c>
      <c r="Q394">
        <v>5</v>
      </c>
      <c r="R394">
        <v>26</v>
      </c>
      <c r="S394">
        <v>4</v>
      </c>
      <c r="T394">
        <v>13</v>
      </c>
      <c r="U394">
        <v>13</v>
      </c>
      <c r="V394">
        <v>25</v>
      </c>
      <c r="W394">
        <v>4</v>
      </c>
      <c r="X394">
        <v>179</v>
      </c>
      <c r="Y394">
        <v>44</v>
      </c>
      <c r="Z394">
        <v>6</v>
      </c>
      <c r="AA394">
        <v>3</v>
      </c>
      <c r="AB394">
        <v>7</v>
      </c>
      <c r="AD394">
        <v>0</v>
      </c>
      <c r="AE394">
        <v>0</v>
      </c>
      <c r="AF394">
        <v>0</v>
      </c>
      <c r="AG394">
        <v>0</v>
      </c>
      <c r="AI394">
        <v>0</v>
      </c>
      <c r="AJ394">
        <v>9</v>
      </c>
      <c r="AK394">
        <v>338</v>
      </c>
      <c r="AL394">
        <v>338</v>
      </c>
      <c r="AM394">
        <v>632</v>
      </c>
      <c r="AN394">
        <v>44</v>
      </c>
      <c r="AP394">
        <v>1</v>
      </c>
      <c r="AR394" t="s">
        <v>476</v>
      </c>
      <c r="AS394" s="1">
        <v>44354.043055555558</v>
      </c>
      <c r="AT394" s="1">
        <v>44354.051863425928</v>
      </c>
      <c r="AU394" s="1">
        <v>44354.052581018521</v>
      </c>
      <c r="AV394" t="s">
        <v>71</v>
      </c>
      <c r="AW394" t="s">
        <v>72</v>
      </c>
      <c r="AX394" t="s">
        <v>73</v>
      </c>
    </row>
    <row r="395" spans="1:50" x14ac:dyDescent="0.3">
      <c r="A395" t="str">
        <f>"201069C0300"</f>
        <v>201069C0300</v>
      </c>
      <c r="B395" t="str">
        <f>"201069C03002"</f>
        <v>201069C03002</v>
      </c>
      <c r="C395" t="str">
        <f t="shared" si="20"/>
        <v>20</v>
      </c>
      <c r="D395" t="s">
        <v>67</v>
      </c>
      <c r="E395" t="str">
        <f t="shared" si="21"/>
        <v>002</v>
      </c>
      <c r="F395" t="s">
        <v>311</v>
      </c>
      <c r="G395" t="str">
        <f>"1069"</f>
        <v>1069</v>
      </c>
      <c r="H395" t="str">
        <f>"0003"</f>
        <v>0003</v>
      </c>
      <c r="I395" t="s">
        <v>75</v>
      </c>
      <c r="J395">
        <v>0</v>
      </c>
      <c r="K395">
        <v>1</v>
      </c>
      <c r="L395">
        <v>2</v>
      </c>
      <c r="M395">
        <v>369</v>
      </c>
      <c r="N395">
        <v>308</v>
      </c>
      <c r="O395">
        <v>9</v>
      </c>
      <c r="P395">
        <v>306</v>
      </c>
      <c r="Q395">
        <v>8</v>
      </c>
      <c r="R395">
        <v>18</v>
      </c>
      <c r="S395">
        <v>1</v>
      </c>
      <c r="T395">
        <v>10</v>
      </c>
      <c r="U395">
        <v>5</v>
      </c>
      <c r="V395">
        <v>20</v>
      </c>
      <c r="W395">
        <v>1</v>
      </c>
      <c r="X395">
        <v>177</v>
      </c>
      <c r="Y395">
        <v>42</v>
      </c>
      <c r="Z395">
        <v>4</v>
      </c>
      <c r="AA395">
        <v>1</v>
      </c>
      <c r="AB395">
        <v>9</v>
      </c>
      <c r="AD395">
        <v>0</v>
      </c>
      <c r="AE395">
        <v>2</v>
      </c>
      <c r="AF395">
        <v>0</v>
      </c>
      <c r="AG395">
        <v>0</v>
      </c>
      <c r="AI395">
        <v>0</v>
      </c>
      <c r="AJ395">
        <v>8</v>
      </c>
      <c r="AK395">
        <v>306</v>
      </c>
      <c r="AL395">
        <v>306</v>
      </c>
      <c r="AM395">
        <v>631</v>
      </c>
      <c r="AN395">
        <v>44</v>
      </c>
      <c r="AP395">
        <v>1</v>
      </c>
      <c r="AR395" t="s">
        <v>477</v>
      </c>
      <c r="AS395" s="1">
        <v>44354.020833333336</v>
      </c>
      <c r="AT395" s="1">
        <v>44354.049641203703</v>
      </c>
      <c r="AU395" s="1">
        <v>44354.050185185188</v>
      </c>
      <c r="AV395" t="s">
        <v>71</v>
      </c>
      <c r="AW395" t="s">
        <v>72</v>
      </c>
      <c r="AX395" t="s">
        <v>73</v>
      </c>
    </row>
    <row r="396" spans="1:50" x14ac:dyDescent="0.3">
      <c r="A396" t="str">
        <f>"201069C0400"</f>
        <v>201069C0400</v>
      </c>
      <c r="B396" t="str">
        <f>"201069C04002"</f>
        <v>201069C04002</v>
      </c>
      <c r="C396" t="str">
        <f t="shared" si="20"/>
        <v>20</v>
      </c>
      <c r="D396" t="s">
        <v>67</v>
      </c>
      <c r="E396" t="str">
        <f t="shared" si="21"/>
        <v>002</v>
      </c>
      <c r="F396" t="s">
        <v>311</v>
      </c>
      <c r="G396" t="str">
        <f>"1069"</f>
        <v>1069</v>
      </c>
      <c r="H396" t="str">
        <f>"0004"</f>
        <v>0004</v>
      </c>
      <c r="I396" t="s">
        <v>75</v>
      </c>
      <c r="J396">
        <v>0</v>
      </c>
      <c r="K396">
        <v>1</v>
      </c>
      <c r="L396">
        <v>2</v>
      </c>
      <c r="M396">
        <v>348</v>
      </c>
      <c r="N396">
        <v>327</v>
      </c>
      <c r="O396">
        <v>9</v>
      </c>
      <c r="P396">
        <v>327</v>
      </c>
      <c r="Q396">
        <v>8</v>
      </c>
      <c r="R396">
        <v>28</v>
      </c>
      <c r="S396">
        <v>0</v>
      </c>
      <c r="T396">
        <v>10</v>
      </c>
      <c r="U396">
        <v>8</v>
      </c>
      <c r="V396">
        <v>22</v>
      </c>
      <c r="W396">
        <v>2</v>
      </c>
      <c r="X396">
        <v>179</v>
      </c>
      <c r="Y396">
        <v>36</v>
      </c>
      <c r="Z396">
        <v>5</v>
      </c>
      <c r="AA396">
        <v>2</v>
      </c>
      <c r="AB396">
        <v>9</v>
      </c>
      <c r="AD396">
        <v>0</v>
      </c>
      <c r="AE396">
        <v>1</v>
      </c>
      <c r="AF396">
        <v>0</v>
      </c>
      <c r="AG396">
        <v>0</v>
      </c>
      <c r="AI396">
        <v>0</v>
      </c>
      <c r="AJ396">
        <v>18</v>
      </c>
      <c r="AK396">
        <v>327</v>
      </c>
      <c r="AL396">
        <v>328</v>
      </c>
      <c r="AM396">
        <v>631</v>
      </c>
      <c r="AN396">
        <v>44</v>
      </c>
      <c r="AP396">
        <v>1</v>
      </c>
      <c r="AR396" t="s">
        <v>478</v>
      </c>
      <c r="AS396" s="1">
        <v>44354.021527777775</v>
      </c>
      <c r="AT396" s="1">
        <v>44354.051504629628</v>
      </c>
      <c r="AU396" s="1">
        <v>44354.052291666667</v>
      </c>
      <c r="AV396" t="s">
        <v>71</v>
      </c>
      <c r="AW396" t="s">
        <v>72</v>
      </c>
      <c r="AX396" t="s">
        <v>73</v>
      </c>
    </row>
    <row r="397" spans="1:50" x14ac:dyDescent="0.3">
      <c r="A397" t="str">
        <f>"201070B0000"</f>
        <v>201070B0000</v>
      </c>
      <c r="B397" t="str">
        <f>"201070B00002"</f>
        <v>201070B00002</v>
      </c>
      <c r="C397" t="str">
        <f t="shared" si="20"/>
        <v>20</v>
      </c>
      <c r="D397" t="s">
        <v>67</v>
      </c>
      <c r="E397" t="str">
        <f t="shared" si="21"/>
        <v>002</v>
      </c>
      <c r="F397" t="s">
        <v>311</v>
      </c>
      <c r="G397" t="str">
        <f>"1070"</f>
        <v>1070</v>
      </c>
      <c r="H397" t="str">
        <f>"0000"</f>
        <v>0000</v>
      </c>
      <c r="I397" t="s">
        <v>69</v>
      </c>
      <c r="J397">
        <v>0</v>
      </c>
      <c r="K397">
        <v>1</v>
      </c>
      <c r="L397">
        <v>2</v>
      </c>
      <c r="M397">
        <v>258</v>
      </c>
      <c r="N397">
        <v>414</v>
      </c>
      <c r="O397">
        <v>10</v>
      </c>
      <c r="P397">
        <v>414</v>
      </c>
      <c r="Q397">
        <v>9</v>
      </c>
      <c r="R397">
        <v>31</v>
      </c>
      <c r="S397">
        <v>1</v>
      </c>
      <c r="T397">
        <v>25</v>
      </c>
      <c r="U397">
        <v>4</v>
      </c>
      <c r="V397">
        <v>61</v>
      </c>
      <c r="W397">
        <v>16</v>
      </c>
      <c r="X397">
        <v>125</v>
      </c>
      <c r="Y397">
        <v>102</v>
      </c>
      <c r="Z397">
        <v>4</v>
      </c>
      <c r="AA397">
        <v>4</v>
      </c>
      <c r="AB397">
        <v>20</v>
      </c>
      <c r="AD397">
        <v>0</v>
      </c>
      <c r="AE397">
        <v>1</v>
      </c>
      <c r="AF397">
        <v>0</v>
      </c>
      <c r="AG397">
        <v>0</v>
      </c>
      <c r="AI397">
        <v>0</v>
      </c>
      <c r="AJ397">
        <v>11</v>
      </c>
      <c r="AK397">
        <v>414</v>
      </c>
      <c r="AL397">
        <v>414</v>
      </c>
      <c r="AM397">
        <v>628</v>
      </c>
      <c r="AN397">
        <v>44</v>
      </c>
      <c r="AP397">
        <v>1</v>
      </c>
      <c r="AR397" t="s">
        <v>479</v>
      </c>
      <c r="AS397" s="1">
        <v>44354.104166666664</v>
      </c>
      <c r="AT397" s="1">
        <v>44354.12158564815</v>
      </c>
      <c r="AU397" s="1">
        <v>44354.122002314813</v>
      </c>
      <c r="AV397" t="s">
        <v>71</v>
      </c>
      <c r="AW397" t="s">
        <v>72</v>
      </c>
      <c r="AX397" t="s">
        <v>73</v>
      </c>
    </row>
    <row r="398" spans="1:50" x14ac:dyDescent="0.3">
      <c r="A398" t="str">
        <f>"201070E0100"</f>
        <v>201070E0100</v>
      </c>
      <c r="B398" t="str">
        <f>"201070E01002"</f>
        <v>201070E01002</v>
      </c>
      <c r="C398" t="str">
        <f t="shared" si="20"/>
        <v>20</v>
      </c>
      <c r="D398" t="s">
        <v>67</v>
      </c>
      <c r="E398" t="str">
        <f t="shared" si="21"/>
        <v>002</v>
      </c>
      <c r="F398" t="s">
        <v>311</v>
      </c>
      <c r="G398" t="str">
        <f>"1070"</f>
        <v>1070</v>
      </c>
      <c r="H398" t="str">
        <f>"0001"</f>
        <v>0001</v>
      </c>
      <c r="I398" t="s">
        <v>109</v>
      </c>
      <c r="J398">
        <v>0</v>
      </c>
      <c r="K398">
        <v>1</v>
      </c>
      <c r="L398">
        <v>2</v>
      </c>
      <c r="M398">
        <v>193</v>
      </c>
      <c r="N398">
        <v>227</v>
      </c>
      <c r="O398">
        <v>0</v>
      </c>
      <c r="P398">
        <v>227</v>
      </c>
      <c r="Q398">
        <v>1</v>
      </c>
      <c r="R398">
        <v>62</v>
      </c>
      <c r="S398">
        <v>0</v>
      </c>
      <c r="T398">
        <v>2</v>
      </c>
      <c r="U398">
        <v>10</v>
      </c>
      <c r="V398">
        <v>22</v>
      </c>
      <c r="W398">
        <v>2</v>
      </c>
      <c r="X398">
        <v>83</v>
      </c>
      <c r="Y398">
        <v>31</v>
      </c>
      <c r="Z398">
        <v>3</v>
      </c>
      <c r="AA398">
        <v>1</v>
      </c>
      <c r="AB398">
        <v>1</v>
      </c>
      <c r="AD398" t="s">
        <v>77</v>
      </c>
      <c r="AE398" t="s">
        <v>77</v>
      </c>
      <c r="AF398" t="s">
        <v>77</v>
      </c>
      <c r="AG398" t="s">
        <v>77</v>
      </c>
      <c r="AI398" t="s">
        <v>77</v>
      </c>
      <c r="AJ398">
        <v>9</v>
      </c>
      <c r="AK398">
        <v>231</v>
      </c>
      <c r="AL398">
        <v>227</v>
      </c>
      <c r="AM398">
        <v>376</v>
      </c>
      <c r="AN398">
        <v>44</v>
      </c>
      <c r="AO398" t="s">
        <v>78</v>
      </c>
      <c r="AP398">
        <v>1</v>
      </c>
      <c r="AR398" t="s">
        <v>480</v>
      </c>
      <c r="AS398" s="1">
        <v>44354.213194444441</v>
      </c>
      <c r="AT398" s="1">
        <v>44354.218692129631</v>
      </c>
      <c r="AU398" s="1">
        <v>44354.21947916667</v>
      </c>
      <c r="AV398" t="s">
        <v>71</v>
      </c>
      <c r="AW398" t="s">
        <v>72</v>
      </c>
      <c r="AX398" t="s">
        <v>73</v>
      </c>
    </row>
    <row r="399" spans="1:50" x14ac:dyDescent="0.3">
      <c r="A399" t="str">
        <f>"201070E0101"</f>
        <v>201070E0101</v>
      </c>
      <c r="B399" t="str">
        <f>"201070E01012"</f>
        <v>201070E01012</v>
      </c>
      <c r="C399" t="str">
        <f t="shared" si="20"/>
        <v>20</v>
      </c>
      <c r="D399" t="s">
        <v>67</v>
      </c>
      <c r="E399" t="str">
        <f t="shared" si="21"/>
        <v>002</v>
      </c>
      <c r="F399" t="s">
        <v>311</v>
      </c>
      <c r="G399" t="str">
        <f>"1070"</f>
        <v>1070</v>
      </c>
      <c r="H399" t="str">
        <f>"0001"</f>
        <v>0001</v>
      </c>
      <c r="I399" t="s">
        <v>109</v>
      </c>
      <c r="J399">
        <v>1</v>
      </c>
      <c r="K399">
        <v>1</v>
      </c>
      <c r="L399">
        <v>2</v>
      </c>
      <c r="M399" t="s">
        <v>80</v>
      </c>
      <c r="N399" t="s">
        <v>80</v>
      </c>
      <c r="O399" t="s">
        <v>80</v>
      </c>
      <c r="P399" t="s">
        <v>80</v>
      </c>
      <c r="Q399">
        <v>6</v>
      </c>
      <c r="R399">
        <v>59</v>
      </c>
      <c r="S399" t="s">
        <v>77</v>
      </c>
      <c r="T399">
        <v>6</v>
      </c>
      <c r="U399">
        <v>14</v>
      </c>
      <c r="V399">
        <v>13</v>
      </c>
      <c r="W399">
        <v>1</v>
      </c>
      <c r="X399">
        <v>71</v>
      </c>
      <c r="Y399">
        <v>39</v>
      </c>
      <c r="Z399">
        <v>6</v>
      </c>
      <c r="AA399">
        <v>3</v>
      </c>
      <c r="AB399">
        <v>4</v>
      </c>
      <c r="AD399" t="s">
        <v>77</v>
      </c>
      <c r="AE399" t="s">
        <v>77</v>
      </c>
      <c r="AF399" t="s">
        <v>77</v>
      </c>
      <c r="AG399" t="s">
        <v>77</v>
      </c>
      <c r="AI399" t="s">
        <v>77</v>
      </c>
      <c r="AJ399">
        <v>1</v>
      </c>
      <c r="AK399" t="s">
        <v>77</v>
      </c>
      <c r="AL399">
        <v>223</v>
      </c>
      <c r="AM399">
        <v>375</v>
      </c>
      <c r="AN399">
        <v>44</v>
      </c>
      <c r="AO399" t="s">
        <v>78</v>
      </c>
      <c r="AP399">
        <v>1</v>
      </c>
      <c r="AR399" t="s">
        <v>481</v>
      </c>
      <c r="AS399" s="1">
        <v>44354.257638888892</v>
      </c>
      <c r="AT399" s="1">
        <v>44354.263506944444</v>
      </c>
      <c r="AU399" s="1">
        <v>44354.263888888891</v>
      </c>
      <c r="AV399" t="s">
        <v>71</v>
      </c>
      <c r="AW399" t="s">
        <v>72</v>
      </c>
      <c r="AX399" t="s">
        <v>73</v>
      </c>
    </row>
    <row r="400" spans="1:50" x14ac:dyDescent="0.3">
      <c r="A400" t="str">
        <f>"201071B0000"</f>
        <v>201071B0000</v>
      </c>
      <c r="B400" t="str">
        <f>"201071B00002"</f>
        <v>201071B00002</v>
      </c>
      <c r="C400" t="str">
        <f t="shared" si="20"/>
        <v>20</v>
      </c>
      <c r="D400" t="s">
        <v>67</v>
      </c>
      <c r="E400" t="str">
        <f t="shared" si="21"/>
        <v>002</v>
      </c>
      <c r="F400" t="s">
        <v>311</v>
      </c>
      <c r="G400" t="str">
        <f>"1071"</f>
        <v>1071</v>
      </c>
      <c r="H400" t="str">
        <f>"0000"</f>
        <v>0000</v>
      </c>
      <c r="I400" t="s">
        <v>69</v>
      </c>
      <c r="J400">
        <v>0</v>
      </c>
      <c r="K400">
        <v>1</v>
      </c>
      <c r="L400">
        <v>2</v>
      </c>
      <c r="M400">
        <v>140</v>
      </c>
      <c r="N400">
        <v>162</v>
      </c>
      <c r="O400">
        <v>6</v>
      </c>
      <c r="P400">
        <v>162</v>
      </c>
      <c r="Q400">
        <v>3</v>
      </c>
      <c r="R400">
        <v>26</v>
      </c>
      <c r="S400">
        <v>1</v>
      </c>
      <c r="T400">
        <v>16</v>
      </c>
      <c r="U400">
        <v>1</v>
      </c>
      <c r="V400">
        <v>19</v>
      </c>
      <c r="W400">
        <v>7</v>
      </c>
      <c r="X400">
        <v>56</v>
      </c>
      <c r="Y400">
        <v>16</v>
      </c>
      <c r="Z400">
        <v>4</v>
      </c>
      <c r="AA400">
        <v>4</v>
      </c>
      <c r="AB400">
        <v>6</v>
      </c>
      <c r="AD400">
        <v>1</v>
      </c>
      <c r="AE400">
        <v>0</v>
      </c>
      <c r="AF400">
        <v>0</v>
      </c>
      <c r="AG400">
        <v>0</v>
      </c>
      <c r="AI400">
        <v>0</v>
      </c>
      <c r="AJ400">
        <v>2</v>
      </c>
      <c r="AK400">
        <v>162</v>
      </c>
      <c r="AL400">
        <v>162</v>
      </c>
      <c r="AM400">
        <v>258</v>
      </c>
      <c r="AN400">
        <v>44</v>
      </c>
      <c r="AP400">
        <v>1</v>
      </c>
      <c r="AR400" t="s">
        <v>482</v>
      </c>
      <c r="AS400" s="1">
        <v>44354.106249999997</v>
      </c>
      <c r="AT400" s="1">
        <v>44354.122673611113</v>
      </c>
      <c r="AU400" s="1">
        <v>44354.123402777775</v>
      </c>
      <c r="AV400" t="s">
        <v>71</v>
      </c>
      <c r="AW400" t="s">
        <v>72</v>
      </c>
      <c r="AX400" t="s">
        <v>73</v>
      </c>
    </row>
    <row r="401" spans="1:50" x14ac:dyDescent="0.3">
      <c r="A401" t="str">
        <f>"201071E0100"</f>
        <v>201071E0100</v>
      </c>
      <c r="B401" t="str">
        <f>"201071E01002"</f>
        <v>201071E01002</v>
      </c>
      <c r="C401" t="str">
        <f t="shared" si="20"/>
        <v>20</v>
      </c>
      <c r="D401" t="s">
        <v>67</v>
      </c>
      <c r="E401" t="str">
        <f t="shared" si="21"/>
        <v>002</v>
      </c>
      <c r="F401" t="s">
        <v>311</v>
      </c>
      <c r="G401" t="str">
        <f>"1071"</f>
        <v>1071</v>
      </c>
      <c r="H401" t="str">
        <f>"0001"</f>
        <v>0001</v>
      </c>
      <c r="I401" t="s">
        <v>109</v>
      </c>
      <c r="J401">
        <v>0</v>
      </c>
      <c r="K401">
        <v>1</v>
      </c>
      <c r="L401">
        <v>2</v>
      </c>
      <c r="M401">
        <v>128</v>
      </c>
      <c r="N401">
        <v>223</v>
      </c>
      <c r="O401">
        <v>14</v>
      </c>
      <c r="P401">
        <v>223</v>
      </c>
      <c r="Q401">
        <v>17</v>
      </c>
      <c r="R401">
        <v>23</v>
      </c>
      <c r="S401">
        <v>2</v>
      </c>
      <c r="T401">
        <v>8</v>
      </c>
      <c r="U401">
        <v>2</v>
      </c>
      <c r="V401">
        <v>26</v>
      </c>
      <c r="W401">
        <v>1</v>
      </c>
      <c r="X401">
        <v>101</v>
      </c>
      <c r="Y401">
        <v>39</v>
      </c>
      <c r="Z401">
        <v>2</v>
      </c>
      <c r="AA401">
        <v>0</v>
      </c>
      <c r="AB401">
        <v>0</v>
      </c>
      <c r="AD401">
        <v>0</v>
      </c>
      <c r="AE401">
        <v>0</v>
      </c>
      <c r="AF401">
        <v>0</v>
      </c>
      <c r="AG401">
        <v>0</v>
      </c>
      <c r="AI401">
        <v>0</v>
      </c>
      <c r="AJ401">
        <v>2</v>
      </c>
      <c r="AK401">
        <v>223</v>
      </c>
      <c r="AL401">
        <v>223</v>
      </c>
      <c r="AM401">
        <v>308</v>
      </c>
      <c r="AN401">
        <v>44</v>
      </c>
      <c r="AP401">
        <v>1</v>
      </c>
      <c r="AR401" t="s">
        <v>483</v>
      </c>
      <c r="AS401" s="1">
        <v>44354.104861111111</v>
      </c>
      <c r="AT401" s="1">
        <v>44354.12164351852</v>
      </c>
      <c r="AU401" s="1">
        <v>44354.122337962966</v>
      </c>
      <c r="AV401" t="s">
        <v>71</v>
      </c>
      <c r="AW401" t="s">
        <v>72</v>
      </c>
      <c r="AX401" t="s">
        <v>73</v>
      </c>
    </row>
    <row r="402" spans="1:50" x14ac:dyDescent="0.3">
      <c r="A402" t="str">
        <f>"201072B0000"</f>
        <v>201072B0000</v>
      </c>
      <c r="B402" t="str">
        <f>"201072B00002"</f>
        <v>201072B00002</v>
      </c>
      <c r="C402" t="str">
        <f t="shared" si="20"/>
        <v>20</v>
      </c>
      <c r="D402" t="s">
        <v>67</v>
      </c>
      <c r="E402" t="str">
        <f t="shared" si="21"/>
        <v>002</v>
      </c>
      <c r="F402" t="s">
        <v>311</v>
      </c>
      <c r="G402" t="str">
        <f>"1072"</f>
        <v>1072</v>
      </c>
      <c r="H402" t="str">
        <f>"0000"</f>
        <v>0000</v>
      </c>
      <c r="I402" t="s">
        <v>69</v>
      </c>
      <c r="J402">
        <v>0</v>
      </c>
      <c r="K402">
        <v>1</v>
      </c>
      <c r="L402">
        <v>2</v>
      </c>
      <c r="AM402">
        <v>645</v>
      </c>
      <c r="AN402">
        <v>44</v>
      </c>
      <c r="AO402" t="s">
        <v>352</v>
      </c>
      <c r="AP402">
        <v>0</v>
      </c>
      <c r="AR402" t="s">
        <v>484</v>
      </c>
      <c r="AS402" s="1">
        <v>44354.359027777777</v>
      </c>
      <c r="AT402" s="1">
        <v>44354.366562499999</v>
      </c>
      <c r="AU402" s="1">
        <v>44354.366562499999</v>
      </c>
      <c r="AV402" t="s">
        <v>71</v>
      </c>
      <c r="AW402" t="s">
        <v>72</v>
      </c>
      <c r="AX402" t="s">
        <v>73</v>
      </c>
    </row>
    <row r="403" spans="1:50" x14ac:dyDescent="0.3">
      <c r="A403" t="str">
        <f>"201072C0100"</f>
        <v>201072C0100</v>
      </c>
      <c r="B403" t="str">
        <f>"201072C01002"</f>
        <v>201072C01002</v>
      </c>
      <c r="C403" t="str">
        <f t="shared" si="20"/>
        <v>20</v>
      </c>
      <c r="D403" t="s">
        <v>67</v>
      </c>
      <c r="E403" t="str">
        <f t="shared" si="21"/>
        <v>002</v>
      </c>
      <c r="F403" t="s">
        <v>311</v>
      </c>
      <c r="G403" t="str">
        <f>"1072"</f>
        <v>1072</v>
      </c>
      <c r="H403" t="str">
        <f>"0001"</f>
        <v>0001</v>
      </c>
      <c r="I403" t="s">
        <v>75</v>
      </c>
      <c r="J403">
        <v>0</v>
      </c>
      <c r="K403">
        <v>1</v>
      </c>
      <c r="L403">
        <v>2</v>
      </c>
      <c r="M403" t="s">
        <v>99</v>
      </c>
      <c r="N403" t="s">
        <v>99</v>
      </c>
      <c r="O403" t="s">
        <v>99</v>
      </c>
      <c r="P403" t="s">
        <v>99</v>
      </c>
      <c r="Q403">
        <v>6</v>
      </c>
      <c r="R403">
        <v>26</v>
      </c>
      <c r="S403">
        <v>0</v>
      </c>
      <c r="T403">
        <v>9</v>
      </c>
      <c r="U403">
        <v>6</v>
      </c>
      <c r="V403">
        <v>19</v>
      </c>
      <c r="W403">
        <v>4</v>
      </c>
      <c r="X403">
        <v>194</v>
      </c>
      <c r="Y403">
        <v>44</v>
      </c>
      <c r="Z403">
        <v>7</v>
      </c>
      <c r="AA403">
        <v>7</v>
      </c>
      <c r="AB403">
        <v>18</v>
      </c>
      <c r="AD403">
        <v>0</v>
      </c>
      <c r="AE403">
        <v>0</v>
      </c>
      <c r="AF403">
        <v>0</v>
      </c>
      <c r="AG403">
        <v>0</v>
      </c>
      <c r="AI403">
        <v>0</v>
      </c>
      <c r="AJ403">
        <v>8</v>
      </c>
      <c r="AK403">
        <v>348</v>
      </c>
      <c r="AL403">
        <v>348</v>
      </c>
      <c r="AM403">
        <v>644</v>
      </c>
      <c r="AN403">
        <v>44</v>
      </c>
      <c r="AP403">
        <v>1</v>
      </c>
      <c r="AR403" t="s">
        <v>485</v>
      </c>
      <c r="AS403" s="1">
        <v>44354.163194444445</v>
      </c>
      <c r="AT403" s="1">
        <v>44354.189432870371</v>
      </c>
      <c r="AU403" s="1">
        <v>44354.19021990741</v>
      </c>
      <c r="AV403" t="s">
        <v>71</v>
      </c>
      <c r="AW403" t="s">
        <v>72</v>
      </c>
      <c r="AX403" t="s">
        <v>73</v>
      </c>
    </row>
    <row r="404" spans="1:50" x14ac:dyDescent="0.3">
      <c r="A404" t="str">
        <f>"201072E0100"</f>
        <v>201072E0100</v>
      </c>
      <c r="B404" t="str">
        <f>"201072E01002"</f>
        <v>201072E01002</v>
      </c>
      <c r="C404" t="str">
        <f t="shared" si="20"/>
        <v>20</v>
      </c>
      <c r="D404" t="s">
        <v>67</v>
      </c>
      <c r="E404" t="str">
        <f t="shared" si="21"/>
        <v>002</v>
      </c>
      <c r="F404" t="s">
        <v>311</v>
      </c>
      <c r="G404" t="str">
        <f>"1072"</f>
        <v>1072</v>
      </c>
      <c r="H404" t="str">
        <f>"0001"</f>
        <v>0001</v>
      </c>
      <c r="I404" t="s">
        <v>109</v>
      </c>
      <c r="J404">
        <v>0</v>
      </c>
      <c r="K404">
        <v>1</v>
      </c>
      <c r="L404">
        <v>2</v>
      </c>
      <c r="M404">
        <v>275</v>
      </c>
      <c r="N404">
        <v>279</v>
      </c>
      <c r="O404">
        <v>8</v>
      </c>
      <c r="P404">
        <v>278</v>
      </c>
      <c r="Q404">
        <v>4</v>
      </c>
      <c r="R404">
        <v>29</v>
      </c>
      <c r="S404">
        <v>0</v>
      </c>
      <c r="T404">
        <v>6</v>
      </c>
      <c r="U404">
        <v>8</v>
      </c>
      <c r="V404">
        <v>12</v>
      </c>
      <c r="W404">
        <v>1</v>
      </c>
      <c r="X404">
        <v>168</v>
      </c>
      <c r="Y404" t="s">
        <v>99</v>
      </c>
      <c r="Z404">
        <v>2</v>
      </c>
      <c r="AA404">
        <v>1</v>
      </c>
      <c r="AB404">
        <v>6</v>
      </c>
      <c r="AD404" t="s">
        <v>77</v>
      </c>
      <c r="AE404">
        <v>7</v>
      </c>
      <c r="AF404" t="s">
        <v>77</v>
      </c>
      <c r="AG404" t="s">
        <v>77</v>
      </c>
      <c r="AI404" t="s">
        <v>77</v>
      </c>
      <c r="AJ404">
        <v>5</v>
      </c>
      <c r="AK404" t="s">
        <v>99</v>
      </c>
      <c r="AL404">
        <v>249</v>
      </c>
      <c r="AM404">
        <v>510</v>
      </c>
      <c r="AN404">
        <v>44</v>
      </c>
      <c r="AO404" t="s">
        <v>78</v>
      </c>
      <c r="AP404">
        <v>1</v>
      </c>
      <c r="AR404" t="s">
        <v>486</v>
      </c>
      <c r="AS404" s="1">
        <v>44354.165277777778</v>
      </c>
      <c r="AT404" s="1">
        <v>44354.283333333333</v>
      </c>
      <c r="AU404" s="1">
        <v>44354.283831018518</v>
      </c>
      <c r="AV404" t="s">
        <v>71</v>
      </c>
      <c r="AW404" t="s">
        <v>72</v>
      </c>
      <c r="AX404" t="s">
        <v>73</v>
      </c>
    </row>
    <row r="405" spans="1:50" x14ac:dyDescent="0.3">
      <c r="A405" t="str">
        <f>"201073B0000"</f>
        <v>201073B0000</v>
      </c>
      <c r="B405" t="str">
        <f>"201073B00002"</f>
        <v>201073B00002</v>
      </c>
      <c r="C405" t="str">
        <f t="shared" si="20"/>
        <v>20</v>
      </c>
      <c r="D405" t="s">
        <v>67</v>
      </c>
      <c r="E405" t="str">
        <f t="shared" si="21"/>
        <v>002</v>
      </c>
      <c r="F405" t="s">
        <v>311</v>
      </c>
      <c r="G405" t="str">
        <f>"1073"</f>
        <v>1073</v>
      </c>
      <c r="H405" t="str">
        <f>"0000"</f>
        <v>0000</v>
      </c>
      <c r="I405" t="s">
        <v>69</v>
      </c>
      <c r="J405">
        <v>0</v>
      </c>
      <c r="K405">
        <v>1</v>
      </c>
      <c r="L405">
        <v>2</v>
      </c>
      <c r="M405">
        <v>254</v>
      </c>
      <c r="N405">
        <v>464</v>
      </c>
      <c r="O405">
        <v>0</v>
      </c>
      <c r="P405">
        <v>464</v>
      </c>
      <c r="Q405">
        <v>3</v>
      </c>
      <c r="R405">
        <v>44</v>
      </c>
      <c r="S405">
        <v>3</v>
      </c>
      <c r="T405">
        <v>13</v>
      </c>
      <c r="U405">
        <v>25</v>
      </c>
      <c r="V405">
        <v>26</v>
      </c>
      <c r="W405">
        <v>1</v>
      </c>
      <c r="X405">
        <v>281</v>
      </c>
      <c r="Y405">
        <v>36</v>
      </c>
      <c r="Z405">
        <v>9</v>
      </c>
      <c r="AA405">
        <v>4</v>
      </c>
      <c r="AB405">
        <v>13</v>
      </c>
      <c r="AD405" t="s">
        <v>77</v>
      </c>
      <c r="AE405" t="s">
        <v>77</v>
      </c>
      <c r="AF405" t="s">
        <v>77</v>
      </c>
      <c r="AG405" t="s">
        <v>77</v>
      </c>
      <c r="AI405" t="s">
        <v>77</v>
      </c>
      <c r="AJ405" t="s">
        <v>77</v>
      </c>
      <c r="AK405">
        <v>464</v>
      </c>
      <c r="AL405">
        <v>458</v>
      </c>
      <c r="AM405">
        <v>674</v>
      </c>
      <c r="AN405">
        <v>44</v>
      </c>
      <c r="AO405" t="s">
        <v>78</v>
      </c>
      <c r="AP405">
        <v>1</v>
      </c>
      <c r="AR405" t="s">
        <v>487</v>
      </c>
      <c r="AS405" s="1">
        <v>44354.164583333331</v>
      </c>
      <c r="AT405" s="1">
        <v>44354.189236111109</v>
      </c>
      <c r="AU405" s="1">
        <v>44354.189826388887</v>
      </c>
      <c r="AV405" t="s">
        <v>71</v>
      </c>
      <c r="AW405" t="s">
        <v>72</v>
      </c>
      <c r="AX405" t="s">
        <v>73</v>
      </c>
    </row>
    <row r="406" spans="1:50" x14ac:dyDescent="0.3">
      <c r="A406" t="str">
        <f>"201073E0100"</f>
        <v>201073E0100</v>
      </c>
      <c r="B406" t="str">
        <f>"201073E01002"</f>
        <v>201073E01002</v>
      </c>
      <c r="C406" t="str">
        <f t="shared" si="20"/>
        <v>20</v>
      </c>
      <c r="D406" t="s">
        <v>67</v>
      </c>
      <c r="E406" t="str">
        <f t="shared" si="21"/>
        <v>002</v>
      </c>
      <c r="F406" t="s">
        <v>311</v>
      </c>
      <c r="G406" t="str">
        <f>"1073"</f>
        <v>1073</v>
      </c>
      <c r="H406" t="str">
        <f>"0001"</f>
        <v>0001</v>
      </c>
      <c r="I406" t="s">
        <v>109</v>
      </c>
      <c r="J406">
        <v>0</v>
      </c>
      <c r="K406">
        <v>1</v>
      </c>
      <c r="L406">
        <v>2</v>
      </c>
      <c r="M406">
        <v>109</v>
      </c>
      <c r="N406">
        <v>242</v>
      </c>
      <c r="O406">
        <v>5</v>
      </c>
      <c r="P406" t="s">
        <v>80</v>
      </c>
      <c r="Q406">
        <v>1</v>
      </c>
      <c r="R406">
        <v>26</v>
      </c>
      <c r="S406">
        <v>0</v>
      </c>
      <c r="T406">
        <v>2</v>
      </c>
      <c r="U406">
        <v>13</v>
      </c>
      <c r="V406">
        <v>34</v>
      </c>
      <c r="W406">
        <v>1</v>
      </c>
      <c r="X406">
        <v>150</v>
      </c>
      <c r="Y406">
        <v>8</v>
      </c>
      <c r="Z406">
        <v>1</v>
      </c>
      <c r="AA406">
        <v>0</v>
      </c>
      <c r="AB406">
        <v>3</v>
      </c>
      <c r="AD406" t="s">
        <v>77</v>
      </c>
      <c r="AE406" t="s">
        <v>77</v>
      </c>
      <c r="AF406" t="s">
        <v>77</v>
      </c>
      <c r="AG406" t="s">
        <v>77</v>
      </c>
      <c r="AI406" t="s">
        <v>77</v>
      </c>
      <c r="AJ406">
        <v>3</v>
      </c>
      <c r="AK406">
        <v>242</v>
      </c>
      <c r="AL406">
        <v>242</v>
      </c>
      <c r="AM406">
        <v>307</v>
      </c>
      <c r="AN406">
        <v>44</v>
      </c>
      <c r="AO406" t="s">
        <v>78</v>
      </c>
      <c r="AP406">
        <v>1</v>
      </c>
      <c r="AR406" t="s">
        <v>488</v>
      </c>
      <c r="AS406" s="1">
        <v>44354.162499999999</v>
      </c>
      <c r="AT406" s="1">
        <v>44354.1877662037</v>
      </c>
      <c r="AU406" s="1">
        <v>44354.188078703701</v>
      </c>
      <c r="AV406" t="s">
        <v>71</v>
      </c>
      <c r="AW406" t="s">
        <v>72</v>
      </c>
      <c r="AX406" t="s">
        <v>73</v>
      </c>
    </row>
    <row r="407" spans="1:50" x14ac:dyDescent="0.3">
      <c r="A407" t="str">
        <f>"201074B0000"</f>
        <v>201074B0000</v>
      </c>
      <c r="B407" t="str">
        <f>"201074B00002"</f>
        <v>201074B00002</v>
      </c>
      <c r="C407" t="str">
        <f t="shared" si="20"/>
        <v>20</v>
      </c>
      <c r="D407" t="s">
        <v>67</v>
      </c>
      <c r="E407" t="str">
        <f t="shared" si="21"/>
        <v>002</v>
      </c>
      <c r="F407" t="s">
        <v>311</v>
      </c>
      <c r="G407" t="str">
        <f>"1074"</f>
        <v>1074</v>
      </c>
      <c r="H407" t="str">
        <f>"0000"</f>
        <v>0000</v>
      </c>
      <c r="I407" t="s">
        <v>69</v>
      </c>
      <c r="J407">
        <v>0</v>
      </c>
      <c r="K407">
        <v>1</v>
      </c>
      <c r="L407">
        <v>2</v>
      </c>
      <c r="M407">
        <v>248</v>
      </c>
      <c r="N407">
        <v>570</v>
      </c>
      <c r="O407">
        <v>2</v>
      </c>
      <c r="P407">
        <v>322</v>
      </c>
      <c r="Q407">
        <v>5</v>
      </c>
      <c r="R407">
        <v>52</v>
      </c>
      <c r="S407">
        <v>0</v>
      </c>
      <c r="T407">
        <v>2</v>
      </c>
      <c r="U407">
        <v>8</v>
      </c>
      <c r="V407">
        <v>11</v>
      </c>
      <c r="W407">
        <v>3</v>
      </c>
      <c r="X407">
        <v>156</v>
      </c>
      <c r="Y407">
        <v>63</v>
      </c>
      <c r="Z407">
        <v>4</v>
      </c>
      <c r="AA407">
        <v>2</v>
      </c>
      <c r="AB407">
        <v>13</v>
      </c>
      <c r="AD407">
        <v>0</v>
      </c>
      <c r="AE407">
        <v>0</v>
      </c>
      <c r="AF407">
        <v>0</v>
      </c>
      <c r="AG407">
        <v>0</v>
      </c>
      <c r="AI407">
        <v>0</v>
      </c>
      <c r="AJ407">
        <v>3</v>
      </c>
      <c r="AK407">
        <v>322</v>
      </c>
      <c r="AL407">
        <v>322</v>
      </c>
      <c r="AM407">
        <v>526</v>
      </c>
      <c r="AN407">
        <v>44</v>
      </c>
      <c r="AP407">
        <v>1</v>
      </c>
      <c r="AR407" t="s">
        <v>489</v>
      </c>
      <c r="AS407" s="1">
        <v>44354.159722222219</v>
      </c>
      <c r="AT407" s="1">
        <v>44354.189826388887</v>
      </c>
      <c r="AU407" s="1">
        <v>44354.190706018519</v>
      </c>
      <c r="AV407" t="s">
        <v>71</v>
      </c>
      <c r="AW407" t="s">
        <v>72</v>
      </c>
      <c r="AX407" t="s">
        <v>73</v>
      </c>
    </row>
    <row r="408" spans="1:50" x14ac:dyDescent="0.3">
      <c r="A408" t="str">
        <f>"201074C0100"</f>
        <v>201074C0100</v>
      </c>
      <c r="B408" t="str">
        <f>"201074C01002"</f>
        <v>201074C01002</v>
      </c>
      <c r="C408" t="str">
        <f t="shared" si="20"/>
        <v>20</v>
      </c>
      <c r="D408" t="s">
        <v>67</v>
      </c>
      <c r="E408" t="str">
        <f t="shared" si="21"/>
        <v>002</v>
      </c>
      <c r="F408" t="s">
        <v>311</v>
      </c>
      <c r="G408" t="str">
        <f>"1074"</f>
        <v>1074</v>
      </c>
      <c r="H408" t="str">
        <f>"0001"</f>
        <v>0001</v>
      </c>
      <c r="I408" t="s">
        <v>75</v>
      </c>
      <c r="J408">
        <v>0</v>
      </c>
      <c r="K408">
        <v>1</v>
      </c>
      <c r="L408">
        <v>2</v>
      </c>
      <c r="M408">
        <v>267</v>
      </c>
      <c r="N408">
        <v>301</v>
      </c>
      <c r="O408">
        <v>2</v>
      </c>
      <c r="P408">
        <v>302</v>
      </c>
      <c r="Q408">
        <v>5</v>
      </c>
      <c r="R408">
        <v>45</v>
      </c>
      <c r="S408">
        <v>1</v>
      </c>
      <c r="T408">
        <v>12</v>
      </c>
      <c r="U408">
        <v>10</v>
      </c>
      <c r="V408">
        <v>26</v>
      </c>
      <c r="W408">
        <v>1</v>
      </c>
      <c r="X408">
        <v>124</v>
      </c>
      <c r="Y408">
        <v>56</v>
      </c>
      <c r="Z408">
        <v>2</v>
      </c>
      <c r="AA408">
        <v>3</v>
      </c>
      <c r="AB408">
        <v>8</v>
      </c>
      <c r="AD408" t="s">
        <v>77</v>
      </c>
      <c r="AE408">
        <v>1</v>
      </c>
      <c r="AF408" t="s">
        <v>77</v>
      </c>
      <c r="AG408" t="s">
        <v>77</v>
      </c>
      <c r="AI408" t="s">
        <v>77</v>
      </c>
      <c r="AJ408">
        <v>8</v>
      </c>
      <c r="AK408">
        <v>302</v>
      </c>
      <c r="AL408">
        <v>302</v>
      </c>
      <c r="AM408">
        <v>525</v>
      </c>
      <c r="AN408">
        <v>44</v>
      </c>
      <c r="AO408" t="s">
        <v>78</v>
      </c>
      <c r="AP408">
        <v>1</v>
      </c>
      <c r="AR408" t="s">
        <v>490</v>
      </c>
      <c r="AS408" s="1">
        <v>44354.161805555559</v>
      </c>
      <c r="AT408" s="1">
        <v>44354.18550925926</v>
      </c>
      <c r="AU408" s="1">
        <v>44354.186296296299</v>
      </c>
      <c r="AV408" t="s">
        <v>71</v>
      </c>
      <c r="AW408" t="s">
        <v>72</v>
      </c>
      <c r="AX408" t="s">
        <v>73</v>
      </c>
    </row>
    <row r="409" spans="1:50" x14ac:dyDescent="0.3">
      <c r="A409" t="str">
        <f>"201075B0000"</f>
        <v>201075B0000</v>
      </c>
      <c r="B409" t="str">
        <f>"201075B00002"</f>
        <v>201075B00002</v>
      </c>
      <c r="C409" t="str">
        <f t="shared" si="20"/>
        <v>20</v>
      </c>
      <c r="D409" t="s">
        <v>67</v>
      </c>
      <c r="E409" t="str">
        <f t="shared" si="21"/>
        <v>002</v>
      </c>
      <c r="F409" t="s">
        <v>311</v>
      </c>
      <c r="G409" t="str">
        <f>"1075"</f>
        <v>1075</v>
      </c>
      <c r="H409" t="str">
        <f>"0000"</f>
        <v>0000</v>
      </c>
      <c r="I409" t="s">
        <v>69</v>
      </c>
      <c r="J409">
        <v>0</v>
      </c>
      <c r="K409">
        <v>1</v>
      </c>
      <c r="L409">
        <v>2</v>
      </c>
      <c r="M409" t="s">
        <v>80</v>
      </c>
      <c r="N409" t="s">
        <v>80</v>
      </c>
      <c r="O409" t="s">
        <v>80</v>
      </c>
      <c r="P409">
        <v>373</v>
      </c>
      <c r="Q409">
        <v>10</v>
      </c>
      <c r="R409">
        <v>44</v>
      </c>
      <c r="S409">
        <v>3</v>
      </c>
      <c r="T409">
        <v>8</v>
      </c>
      <c r="U409">
        <v>2</v>
      </c>
      <c r="V409">
        <v>18</v>
      </c>
      <c r="W409">
        <v>0</v>
      </c>
      <c r="X409">
        <v>189</v>
      </c>
      <c r="Y409">
        <v>58</v>
      </c>
      <c r="Z409">
        <v>8</v>
      </c>
      <c r="AA409">
        <v>4</v>
      </c>
      <c r="AB409">
        <v>22</v>
      </c>
      <c r="AD409">
        <v>4</v>
      </c>
      <c r="AE409">
        <v>0</v>
      </c>
      <c r="AF409">
        <v>0</v>
      </c>
      <c r="AG409">
        <v>0</v>
      </c>
      <c r="AI409">
        <v>0</v>
      </c>
      <c r="AJ409">
        <v>3</v>
      </c>
      <c r="AK409">
        <v>373</v>
      </c>
      <c r="AL409">
        <v>373</v>
      </c>
      <c r="AM409">
        <v>556</v>
      </c>
      <c r="AN409">
        <v>44</v>
      </c>
      <c r="AP409">
        <v>1</v>
      </c>
      <c r="AR409" t="s">
        <v>491</v>
      </c>
      <c r="AS409" s="1">
        <v>44354.105555555558</v>
      </c>
      <c r="AT409" s="1">
        <v>44354.122349537036</v>
      </c>
      <c r="AU409" s="1">
        <v>44354.123229166667</v>
      </c>
      <c r="AV409" t="s">
        <v>71</v>
      </c>
      <c r="AW409" t="s">
        <v>72</v>
      </c>
      <c r="AX409" t="s">
        <v>73</v>
      </c>
    </row>
    <row r="410" spans="1:50" x14ac:dyDescent="0.3">
      <c r="A410" t="str">
        <f>"201075C0100"</f>
        <v>201075C0100</v>
      </c>
      <c r="B410" t="str">
        <f>"201075C01002"</f>
        <v>201075C01002</v>
      </c>
      <c r="C410" t="str">
        <f t="shared" si="20"/>
        <v>20</v>
      </c>
      <c r="D410" t="s">
        <v>67</v>
      </c>
      <c r="E410" t="str">
        <f t="shared" si="21"/>
        <v>002</v>
      </c>
      <c r="F410" t="s">
        <v>311</v>
      </c>
      <c r="G410" t="str">
        <f>"1075"</f>
        <v>1075</v>
      </c>
      <c r="H410" t="str">
        <f>"0001"</f>
        <v>0001</v>
      </c>
      <c r="I410" t="s">
        <v>75</v>
      </c>
      <c r="J410">
        <v>0</v>
      </c>
      <c r="K410">
        <v>1</v>
      </c>
      <c r="L410">
        <v>2</v>
      </c>
      <c r="M410">
        <v>226</v>
      </c>
      <c r="N410">
        <v>374</v>
      </c>
      <c r="O410">
        <v>2</v>
      </c>
      <c r="P410">
        <v>374</v>
      </c>
      <c r="Q410">
        <v>15</v>
      </c>
      <c r="R410">
        <v>43</v>
      </c>
      <c r="S410">
        <v>1</v>
      </c>
      <c r="T410">
        <v>9</v>
      </c>
      <c r="U410">
        <v>4</v>
      </c>
      <c r="V410">
        <v>8</v>
      </c>
      <c r="W410">
        <v>5</v>
      </c>
      <c r="X410">
        <v>195</v>
      </c>
      <c r="Y410">
        <v>52</v>
      </c>
      <c r="Z410">
        <v>7</v>
      </c>
      <c r="AA410">
        <v>6</v>
      </c>
      <c r="AB410">
        <v>21</v>
      </c>
      <c r="AD410">
        <v>1</v>
      </c>
      <c r="AE410">
        <v>0</v>
      </c>
      <c r="AF410">
        <v>0</v>
      </c>
      <c r="AG410">
        <v>0</v>
      </c>
      <c r="AI410">
        <v>0</v>
      </c>
      <c r="AJ410">
        <v>7</v>
      </c>
      <c r="AK410">
        <v>374</v>
      </c>
      <c r="AL410">
        <v>374</v>
      </c>
      <c r="AM410">
        <v>556</v>
      </c>
      <c r="AN410">
        <v>44</v>
      </c>
      <c r="AP410">
        <v>1</v>
      </c>
      <c r="AR410" t="s">
        <v>492</v>
      </c>
      <c r="AS410" s="1">
        <v>44354.10833333333</v>
      </c>
      <c r="AT410" s="1">
        <v>44354.124236111114</v>
      </c>
      <c r="AU410" s="1">
        <v>44354.124618055554</v>
      </c>
      <c r="AV410" t="s">
        <v>71</v>
      </c>
      <c r="AW410" t="s">
        <v>72</v>
      </c>
      <c r="AX410" t="s">
        <v>73</v>
      </c>
    </row>
    <row r="411" spans="1:50" x14ac:dyDescent="0.3">
      <c r="A411" t="str">
        <f>"201076B0000"</f>
        <v>201076B0000</v>
      </c>
      <c r="B411" t="str">
        <f>"201076B00002"</f>
        <v>201076B00002</v>
      </c>
      <c r="C411" t="str">
        <f t="shared" si="20"/>
        <v>20</v>
      </c>
      <c r="D411" t="s">
        <v>67</v>
      </c>
      <c r="E411" t="str">
        <f t="shared" si="21"/>
        <v>002</v>
      </c>
      <c r="F411" t="s">
        <v>311</v>
      </c>
      <c r="G411" t="str">
        <f>"1076"</f>
        <v>1076</v>
      </c>
      <c r="H411" t="str">
        <f>"0000"</f>
        <v>0000</v>
      </c>
      <c r="I411" t="s">
        <v>69</v>
      </c>
      <c r="J411">
        <v>0</v>
      </c>
      <c r="K411">
        <v>1</v>
      </c>
      <c r="L411">
        <v>2</v>
      </c>
      <c r="M411">
        <v>143</v>
      </c>
      <c r="N411">
        <v>271</v>
      </c>
      <c r="O411">
        <v>0</v>
      </c>
      <c r="P411">
        <v>271</v>
      </c>
      <c r="Q411">
        <v>13</v>
      </c>
      <c r="R411">
        <v>25</v>
      </c>
      <c r="S411">
        <v>0</v>
      </c>
      <c r="T411">
        <v>36</v>
      </c>
      <c r="U411">
        <v>14</v>
      </c>
      <c r="V411">
        <v>28</v>
      </c>
      <c r="W411">
        <v>0</v>
      </c>
      <c r="X411">
        <v>90</v>
      </c>
      <c r="Y411">
        <v>51</v>
      </c>
      <c r="Z411">
        <v>0</v>
      </c>
      <c r="AA411">
        <v>1</v>
      </c>
      <c r="AB411">
        <v>2</v>
      </c>
      <c r="AD411">
        <v>0</v>
      </c>
      <c r="AE411">
        <v>0</v>
      </c>
      <c r="AF411">
        <v>0</v>
      </c>
      <c r="AG411">
        <v>0</v>
      </c>
      <c r="AI411" t="s">
        <v>77</v>
      </c>
      <c r="AJ411">
        <v>11</v>
      </c>
      <c r="AK411" t="s">
        <v>77</v>
      </c>
      <c r="AL411">
        <v>271</v>
      </c>
      <c r="AM411">
        <v>370</v>
      </c>
      <c r="AN411">
        <v>44</v>
      </c>
      <c r="AO411" t="s">
        <v>78</v>
      </c>
      <c r="AP411">
        <v>1</v>
      </c>
      <c r="AR411" t="s">
        <v>493</v>
      </c>
      <c r="AS411" s="1">
        <v>44354.214583333334</v>
      </c>
      <c r="AT411" s="1">
        <v>44354.219780092593</v>
      </c>
      <c r="AU411" s="1">
        <v>44354.220219907409</v>
      </c>
      <c r="AV411" t="s">
        <v>71</v>
      </c>
      <c r="AW411" t="s">
        <v>72</v>
      </c>
      <c r="AX411" t="s">
        <v>73</v>
      </c>
    </row>
    <row r="412" spans="1:50" x14ac:dyDescent="0.3">
      <c r="A412" t="str">
        <f>"201076E0100"</f>
        <v>201076E0100</v>
      </c>
      <c r="B412" t="str">
        <f>"201076E01002"</f>
        <v>201076E01002</v>
      </c>
      <c r="C412" t="str">
        <f t="shared" si="20"/>
        <v>20</v>
      </c>
      <c r="D412" t="s">
        <v>67</v>
      </c>
      <c r="E412" t="str">
        <f t="shared" si="21"/>
        <v>002</v>
      </c>
      <c r="F412" t="s">
        <v>311</v>
      </c>
      <c r="G412" t="str">
        <f>"1076"</f>
        <v>1076</v>
      </c>
      <c r="H412" t="str">
        <f>"0001"</f>
        <v>0001</v>
      </c>
      <c r="I412" t="s">
        <v>109</v>
      </c>
      <c r="J412">
        <v>0</v>
      </c>
      <c r="K412">
        <v>1</v>
      </c>
      <c r="L412">
        <v>2</v>
      </c>
      <c r="M412">
        <v>286</v>
      </c>
      <c r="N412">
        <v>391</v>
      </c>
      <c r="O412">
        <v>0</v>
      </c>
      <c r="P412">
        <v>391</v>
      </c>
      <c r="Q412">
        <v>7</v>
      </c>
      <c r="R412">
        <v>43</v>
      </c>
      <c r="S412">
        <v>3</v>
      </c>
      <c r="T412">
        <v>15</v>
      </c>
      <c r="U412">
        <v>6</v>
      </c>
      <c r="V412">
        <v>27</v>
      </c>
      <c r="W412">
        <v>8</v>
      </c>
      <c r="X412">
        <v>151</v>
      </c>
      <c r="Y412">
        <v>110</v>
      </c>
      <c r="Z412">
        <v>7</v>
      </c>
      <c r="AA412">
        <v>0</v>
      </c>
      <c r="AB412">
        <v>4</v>
      </c>
      <c r="AD412">
        <v>0</v>
      </c>
      <c r="AE412">
        <v>0</v>
      </c>
      <c r="AF412">
        <v>0</v>
      </c>
      <c r="AG412">
        <v>0</v>
      </c>
      <c r="AI412" t="s">
        <v>77</v>
      </c>
      <c r="AJ412">
        <v>10</v>
      </c>
      <c r="AK412">
        <v>391</v>
      </c>
      <c r="AL412">
        <v>391</v>
      </c>
      <c r="AM412">
        <v>632</v>
      </c>
      <c r="AN412">
        <v>44</v>
      </c>
      <c r="AO412" t="s">
        <v>78</v>
      </c>
      <c r="AP412">
        <v>1</v>
      </c>
      <c r="AR412" t="s">
        <v>494</v>
      </c>
      <c r="AS412" s="1">
        <v>44354.212500000001</v>
      </c>
      <c r="AT412" s="1">
        <v>44354.216273148151</v>
      </c>
      <c r="AU412" s="1">
        <v>44354.217013888891</v>
      </c>
      <c r="AV412" t="s">
        <v>71</v>
      </c>
      <c r="AW412" t="s">
        <v>72</v>
      </c>
      <c r="AX412" t="s">
        <v>73</v>
      </c>
    </row>
    <row r="413" spans="1:50" x14ac:dyDescent="0.3">
      <c r="A413" t="str">
        <f>"201077B0000"</f>
        <v>201077B0000</v>
      </c>
      <c r="B413" t="str">
        <f>"201077B00002"</f>
        <v>201077B00002</v>
      </c>
      <c r="C413" t="str">
        <f t="shared" si="20"/>
        <v>20</v>
      </c>
      <c r="D413" t="s">
        <v>67</v>
      </c>
      <c r="E413" t="str">
        <f t="shared" si="21"/>
        <v>002</v>
      </c>
      <c r="F413" t="s">
        <v>311</v>
      </c>
      <c r="G413" t="str">
        <f>"1077"</f>
        <v>1077</v>
      </c>
      <c r="H413" t="str">
        <f>"0000"</f>
        <v>0000</v>
      </c>
      <c r="I413" t="s">
        <v>69</v>
      </c>
      <c r="J413">
        <v>0</v>
      </c>
      <c r="K413">
        <v>1</v>
      </c>
      <c r="L413">
        <v>2</v>
      </c>
      <c r="M413">
        <v>234</v>
      </c>
      <c r="N413">
        <v>475</v>
      </c>
      <c r="O413">
        <v>0</v>
      </c>
      <c r="P413">
        <v>460</v>
      </c>
      <c r="Q413">
        <v>10</v>
      </c>
      <c r="R413">
        <v>22</v>
      </c>
      <c r="S413">
        <v>6</v>
      </c>
      <c r="T413">
        <v>20</v>
      </c>
      <c r="U413">
        <v>0</v>
      </c>
      <c r="V413">
        <v>56</v>
      </c>
      <c r="W413">
        <v>3</v>
      </c>
      <c r="X413">
        <v>267</v>
      </c>
      <c r="Y413">
        <v>58</v>
      </c>
      <c r="Z413">
        <v>10</v>
      </c>
      <c r="AA413">
        <v>5</v>
      </c>
      <c r="AB413">
        <v>3</v>
      </c>
      <c r="AD413">
        <v>0</v>
      </c>
      <c r="AE413">
        <v>0</v>
      </c>
      <c r="AF413">
        <v>0</v>
      </c>
      <c r="AG413">
        <v>0</v>
      </c>
      <c r="AI413">
        <v>0</v>
      </c>
      <c r="AJ413">
        <v>15</v>
      </c>
      <c r="AK413">
        <v>475</v>
      </c>
      <c r="AL413">
        <v>475</v>
      </c>
      <c r="AM413">
        <v>665</v>
      </c>
      <c r="AN413">
        <v>44</v>
      </c>
      <c r="AP413">
        <v>1</v>
      </c>
      <c r="AR413" t="s">
        <v>495</v>
      </c>
      <c r="AS413" s="1">
        <v>44354.151388888888</v>
      </c>
      <c r="AT413" s="1">
        <v>44354.1718287037</v>
      </c>
      <c r="AU413" s="1">
        <v>44354.172627314816</v>
      </c>
      <c r="AV413" t="s">
        <v>71</v>
      </c>
      <c r="AW413" t="s">
        <v>72</v>
      </c>
      <c r="AX413" t="s">
        <v>73</v>
      </c>
    </row>
    <row r="414" spans="1:50" x14ac:dyDescent="0.3">
      <c r="A414" t="str">
        <f>"201078B0000"</f>
        <v>201078B0000</v>
      </c>
      <c r="B414" t="str">
        <f>"201078B00002"</f>
        <v>201078B00002</v>
      </c>
      <c r="C414" t="str">
        <f t="shared" si="20"/>
        <v>20</v>
      </c>
      <c r="D414" t="s">
        <v>67</v>
      </c>
      <c r="E414" t="str">
        <f t="shared" si="21"/>
        <v>002</v>
      </c>
      <c r="F414" t="s">
        <v>311</v>
      </c>
      <c r="G414" t="str">
        <f>"1078"</f>
        <v>1078</v>
      </c>
      <c r="H414" t="str">
        <f>"0000"</f>
        <v>0000</v>
      </c>
      <c r="I414" t="s">
        <v>69</v>
      </c>
      <c r="J414">
        <v>0</v>
      </c>
      <c r="K414">
        <v>1</v>
      </c>
      <c r="L414">
        <v>2</v>
      </c>
      <c r="M414">
        <v>270</v>
      </c>
      <c r="N414">
        <v>490</v>
      </c>
      <c r="O414">
        <v>3</v>
      </c>
      <c r="P414">
        <v>490</v>
      </c>
      <c r="Q414">
        <v>34</v>
      </c>
      <c r="R414">
        <v>66</v>
      </c>
      <c r="S414">
        <v>1</v>
      </c>
      <c r="T414">
        <v>27</v>
      </c>
      <c r="U414">
        <v>13</v>
      </c>
      <c r="V414">
        <v>34</v>
      </c>
      <c r="W414">
        <v>211</v>
      </c>
      <c r="X414">
        <v>39</v>
      </c>
      <c r="Y414">
        <v>39</v>
      </c>
      <c r="Z414">
        <v>18</v>
      </c>
      <c r="AA414">
        <v>4</v>
      </c>
      <c r="AB414">
        <v>29</v>
      </c>
      <c r="AD414">
        <v>1</v>
      </c>
      <c r="AE414">
        <v>1</v>
      </c>
      <c r="AF414">
        <v>0</v>
      </c>
      <c r="AG414">
        <v>0</v>
      </c>
      <c r="AI414">
        <v>0</v>
      </c>
      <c r="AJ414">
        <v>13</v>
      </c>
      <c r="AK414">
        <v>490</v>
      </c>
      <c r="AL414">
        <v>530</v>
      </c>
      <c r="AM414">
        <v>716</v>
      </c>
      <c r="AN414">
        <v>44</v>
      </c>
      <c r="AP414">
        <v>1</v>
      </c>
      <c r="AR414" t="s">
        <v>496</v>
      </c>
      <c r="AS414" s="1">
        <v>44354.035416666666</v>
      </c>
      <c r="AT414" s="1">
        <v>44354.066446759258</v>
      </c>
      <c r="AU414" s="1">
        <v>44354.067881944444</v>
      </c>
      <c r="AV414" t="s">
        <v>71</v>
      </c>
      <c r="AW414" t="s">
        <v>72</v>
      </c>
      <c r="AX414" t="s">
        <v>73</v>
      </c>
    </row>
    <row r="415" spans="1:50" x14ac:dyDescent="0.3">
      <c r="A415" t="str">
        <f>"201078E0100"</f>
        <v>201078E0100</v>
      </c>
      <c r="B415" t="str">
        <f>"201078E01002"</f>
        <v>201078E01002</v>
      </c>
      <c r="C415" t="str">
        <f t="shared" si="20"/>
        <v>20</v>
      </c>
      <c r="D415" t="s">
        <v>67</v>
      </c>
      <c r="E415" t="str">
        <f t="shared" si="21"/>
        <v>002</v>
      </c>
      <c r="F415" t="s">
        <v>311</v>
      </c>
      <c r="G415" t="str">
        <f>"1078"</f>
        <v>1078</v>
      </c>
      <c r="H415" t="str">
        <f>"0001"</f>
        <v>0001</v>
      </c>
      <c r="I415" t="s">
        <v>109</v>
      </c>
      <c r="J415">
        <v>0</v>
      </c>
      <c r="K415">
        <v>1</v>
      </c>
      <c r="L415">
        <v>2</v>
      </c>
      <c r="M415">
        <v>275</v>
      </c>
      <c r="N415">
        <v>456</v>
      </c>
      <c r="O415">
        <v>2</v>
      </c>
      <c r="P415">
        <v>456</v>
      </c>
      <c r="Q415">
        <v>8</v>
      </c>
      <c r="R415">
        <v>19</v>
      </c>
      <c r="S415">
        <v>1</v>
      </c>
      <c r="T415">
        <v>24</v>
      </c>
      <c r="U415">
        <v>7</v>
      </c>
      <c r="V415">
        <v>54</v>
      </c>
      <c r="W415">
        <v>5</v>
      </c>
      <c r="X415">
        <v>237</v>
      </c>
      <c r="Y415">
        <v>43</v>
      </c>
      <c r="Z415">
        <v>8</v>
      </c>
      <c r="AA415">
        <v>11</v>
      </c>
      <c r="AB415">
        <v>18</v>
      </c>
      <c r="AD415">
        <v>1</v>
      </c>
      <c r="AE415">
        <v>0</v>
      </c>
      <c r="AF415">
        <v>1</v>
      </c>
      <c r="AG415">
        <v>0</v>
      </c>
      <c r="AI415">
        <v>0</v>
      </c>
      <c r="AJ415">
        <v>19</v>
      </c>
      <c r="AK415">
        <v>456</v>
      </c>
      <c r="AL415">
        <v>456</v>
      </c>
      <c r="AM415">
        <v>687</v>
      </c>
      <c r="AN415">
        <v>44</v>
      </c>
      <c r="AP415">
        <v>1</v>
      </c>
      <c r="AR415" t="s">
        <v>497</v>
      </c>
      <c r="AS415" s="1">
        <v>44354.034722222219</v>
      </c>
      <c r="AT415" s="1">
        <v>44354.062118055554</v>
      </c>
      <c r="AU415" s="1">
        <v>44354.062615740739</v>
      </c>
      <c r="AV415" t="s">
        <v>71</v>
      </c>
      <c r="AW415" t="s">
        <v>72</v>
      </c>
      <c r="AX415" t="s">
        <v>73</v>
      </c>
    </row>
    <row r="416" spans="1:50" x14ac:dyDescent="0.3">
      <c r="A416" t="str">
        <f>"201079B0000"</f>
        <v>201079B0000</v>
      </c>
      <c r="B416" t="str">
        <f>"201079B00002"</f>
        <v>201079B00002</v>
      </c>
      <c r="C416" t="str">
        <f t="shared" si="20"/>
        <v>20</v>
      </c>
      <c r="D416" t="s">
        <v>67</v>
      </c>
      <c r="E416" t="str">
        <f t="shared" si="21"/>
        <v>002</v>
      </c>
      <c r="F416" t="s">
        <v>311</v>
      </c>
      <c r="G416" t="str">
        <f>"1079"</f>
        <v>1079</v>
      </c>
      <c r="H416" t="str">
        <f>"0000"</f>
        <v>0000</v>
      </c>
      <c r="I416" t="s">
        <v>69</v>
      </c>
      <c r="J416">
        <v>0</v>
      </c>
      <c r="K416">
        <v>1</v>
      </c>
      <c r="L416">
        <v>2</v>
      </c>
      <c r="M416">
        <v>333</v>
      </c>
      <c r="N416">
        <v>274</v>
      </c>
      <c r="O416">
        <v>0</v>
      </c>
      <c r="P416" t="s">
        <v>80</v>
      </c>
      <c r="Q416">
        <v>9</v>
      </c>
      <c r="R416">
        <v>43</v>
      </c>
      <c r="S416">
        <v>0</v>
      </c>
      <c r="T416">
        <v>3</v>
      </c>
      <c r="U416">
        <v>1</v>
      </c>
      <c r="V416">
        <v>49</v>
      </c>
      <c r="W416">
        <v>8</v>
      </c>
      <c r="X416">
        <v>84</v>
      </c>
      <c r="Y416">
        <v>31</v>
      </c>
      <c r="Z416">
        <v>32</v>
      </c>
      <c r="AA416" t="s">
        <v>77</v>
      </c>
      <c r="AB416" t="s">
        <v>77</v>
      </c>
      <c r="AD416" t="s">
        <v>77</v>
      </c>
      <c r="AE416" t="s">
        <v>77</v>
      </c>
      <c r="AF416" t="s">
        <v>77</v>
      </c>
      <c r="AG416" t="s">
        <v>77</v>
      </c>
      <c r="AI416" t="s">
        <v>77</v>
      </c>
      <c r="AJ416">
        <v>14</v>
      </c>
      <c r="AK416">
        <v>274</v>
      </c>
      <c r="AL416">
        <v>274</v>
      </c>
      <c r="AM416">
        <v>563</v>
      </c>
      <c r="AN416">
        <v>44</v>
      </c>
      <c r="AO416" t="s">
        <v>78</v>
      </c>
      <c r="AP416">
        <v>1</v>
      </c>
      <c r="AR416" t="s">
        <v>498</v>
      </c>
      <c r="AS416" s="1">
        <v>44354.150694444441</v>
      </c>
      <c r="AT416" s="1">
        <v>44354.171064814815</v>
      </c>
      <c r="AU416" s="1">
        <v>44354.171712962961</v>
      </c>
      <c r="AV416" t="s">
        <v>71</v>
      </c>
      <c r="AW416" t="s">
        <v>72</v>
      </c>
      <c r="AX416" t="s">
        <v>73</v>
      </c>
    </row>
    <row r="417" spans="1:50" x14ac:dyDescent="0.3">
      <c r="A417" t="str">
        <f>"201079C0100"</f>
        <v>201079C0100</v>
      </c>
      <c r="B417" t="str">
        <f>"201079C01002"</f>
        <v>201079C01002</v>
      </c>
      <c r="C417" t="str">
        <f t="shared" si="20"/>
        <v>20</v>
      </c>
      <c r="D417" t="s">
        <v>67</v>
      </c>
      <c r="E417" t="str">
        <f t="shared" si="21"/>
        <v>002</v>
      </c>
      <c r="F417" t="s">
        <v>311</v>
      </c>
      <c r="G417" t="str">
        <f>"1079"</f>
        <v>1079</v>
      </c>
      <c r="H417" t="str">
        <f>"0001"</f>
        <v>0001</v>
      </c>
      <c r="I417" t="s">
        <v>75</v>
      </c>
      <c r="J417">
        <v>0</v>
      </c>
      <c r="K417">
        <v>1</v>
      </c>
      <c r="L417">
        <v>2</v>
      </c>
      <c r="M417">
        <v>288</v>
      </c>
      <c r="N417">
        <v>318</v>
      </c>
      <c r="O417">
        <v>1</v>
      </c>
      <c r="P417" t="s">
        <v>80</v>
      </c>
      <c r="Q417">
        <v>3</v>
      </c>
      <c r="R417">
        <v>43</v>
      </c>
      <c r="S417">
        <v>1</v>
      </c>
      <c r="T417">
        <v>4</v>
      </c>
      <c r="U417">
        <v>1</v>
      </c>
      <c r="V417">
        <v>44</v>
      </c>
      <c r="W417">
        <v>10</v>
      </c>
      <c r="X417">
        <v>111</v>
      </c>
      <c r="Y417">
        <v>27</v>
      </c>
      <c r="Z417">
        <v>49</v>
      </c>
      <c r="AA417">
        <v>4</v>
      </c>
      <c r="AB417">
        <v>2</v>
      </c>
      <c r="AD417">
        <v>2</v>
      </c>
      <c r="AE417">
        <v>1</v>
      </c>
      <c r="AF417">
        <v>0</v>
      </c>
      <c r="AG417">
        <v>0</v>
      </c>
      <c r="AI417">
        <v>0</v>
      </c>
      <c r="AJ417">
        <v>15</v>
      </c>
      <c r="AK417">
        <v>317</v>
      </c>
      <c r="AL417">
        <v>317</v>
      </c>
      <c r="AM417">
        <v>562</v>
      </c>
      <c r="AN417">
        <v>44</v>
      </c>
      <c r="AP417">
        <v>1</v>
      </c>
      <c r="AR417" t="s">
        <v>499</v>
      </c>
      <c r="AS417" s="1">
        <v>44354.152777777781</v>
      </c>
      <c r="AT417" s="1">
        <v>44354.172071759262</v>
      </c>
      <c r="AU417" s="1">
        <v>44354.172777777778</v>
      </c>
      <c r="AV417" t="s">
        <v>71</v>
      </c>
      <c r="AW417" t="s">
        <v>72</v>
      </c>
      <c r="AX417" t="s">
        <v>73</v>
      </c>
    </row>
    <row r="418" spans="1:50" x14ac:dyDescent="0.3">
      <c r="A418" t="str">
        <f>"201079C0200"</f>
        <v>201079C0200</v>
      </c>
      <c r="B418" t="str">
        <f>"201079C02002"</f>
        <v>201079C02002</v>
      </c>
      <c r="C418" t="str">
        <f t="shared" si="20"/>
        <v>20</v>
      </c>
      <c r="D418" t="s">
        <v>67</v>
      </c>
      <c r="E418" t="str">
        <f t="shared" si="21"/>
        <v>002</v>
      </c>
      <c r="F418" t="s">
        <v>311</v>
      </c>
      <c r="G418" t="str">
        <f>"1079"</f>
        <v>1079</v>
      </c>
      <c r="H418" t="str">
        <f>"0002"</f>
        <v>0002</v>
      </c>
      <c r="I418" t="s">
        <v>75</v>
      </c>
      <c r="J418">
        <v>0</v>
      </c>
      <c r="K418">
        <v>1</v>
      </c>
      <c r="L418">
        <v>2</v>
      </c>
      <c r="M418">
        <v>290</v>
      </c>
      <c r="N418">
        <v>315</v>
      </c>
      <c r="O418">
        <v>0</v>
      </c>
      <c r="P418">
        <v>317</v>
      </c>
      <c r="Q418">
        <v>3</v>
      </c>
      <c r="R418">
        <v>35</v>
      </c>
      <c r="S418">
        <v>3</v>
      </c>
      <c r="T418">
        <v>4</v>
      </c>
      <c r="U418">
        <v>2</v>
      </c>
      <c r="V418">
        <v>39</v>
      </c>
      <c r="W418">
        <v>9</v>
      </c>
      <c r="X418">
        <v>109</v>
      </c>
      <c r="Y418">
        <v>38</v>
      </c>
      <c r="Z418">
        <v>47</v>
      </c>
      <c r="AA418">
        <v>1</v>
      </c>
      <c r="AB418">
        <v>9</v>
      </c>
      <c r="AD418">
        <v>0</v>
      </c>
      <c r="AE418">
        <v>1</v>
      </c>
      <c r="AF418">
        <v>0</v>
      </c>
      <c r="AG418">
        <v>0</v>
      </c>
      <c r="AI418">
        <v>0</v>
      </c>
      <c r="AJ418">
        <v>17</v>
      </c>
      <c r="AK418">
        <v>317</v>
      </c>
      <c r="AL418">
        <v>317</v>
      </c>
      <c r="AM418">
        <v>562</v>
      </c>
      <c r="AN418">
        <v>44</v>
      </c>
      <c r="AP418">
        <v>1</v>
      </c>
      <c r="AR418" t="s">
        <v>500</v>
      </c>
      <c r="AS418" s="1">
        <v>44354.15347222222</v>
      </c>
      <c r="AT418" s="1">
        <v>44354.175081018519</v>
      </c>
      <c r="AU418" s="1">
        <v>44354.176122685189</v>
      </c>
      <c r="AV418" t="s">
        <v>71</v>
      </c>
      <c r="AW418" t="s">
        <v>72</v>
      </c>
      <c r="AX418" t="s">
        <v>73</v>
      </c>
    </row>
    <row r="419" spans="1:50" x14ac:dyDescent="0.3">
      <c r="A419" t="str">
        <f>"201083B0000"</f>
        <v>201083B0000</v>
      </c>
      <c r="B419" t="str">
        <f>"201083B00002"</f>
        <v>201083B00002</v>
      </c>
      <c r="C419" t="str">
        <f t="shared" si="20"/>
        <v>20</v>
      </c>
      <c r="D419" t="s">
        <v>67</v>
      </c>
      <c r="E419" t="str">
        <f t="shared" si="21"/>
        <v>002</v>
      </c>
      <c r="F419" t="s">
        <v>311</v>
      </c>
      <c r="G419" t="str">
        <f>"1083"</f>
        <v>1083</v>
      </c>
      <c r="H419" t="str">
        <f>"0000"</f>
        <v>0000</v>
      </c>
      <c r="I419" t="s">
        <v>69</v>
      </c>
      <c r="J419">
        <v>0</v>
      </c>
      <c r="K419">
        <v>1</v>
      </c>
      <c r="L419">
        <v>2</v>
      </c>
      <c r="M419">
        <v>305</v>
      </c>
      <c r="N419">
        <v>673</v>
      </c>
      <c r="O419">
        <v>8</v>
      </c>
      <c r="P419">
        <v>368</v>
      </c>
      <c r="Q419">
        <v>7</v>
      </c>
      <c r="R419">
        <v>30</v>
      </c>
      <c r="S419">
        <v>0</v>
      </c>
      <c r="T419">
        <v>14</v>
      </c>
      <c r="U419">
        <v>4</v>
      </c>
      <c r="V419">
        <v>23</v>
      </c>
      <c r="W419">
        <v>2</v>
      </c>
      <c r="X419">
        <v>191</v>
      </c>
      <c r="Y419">
        <v>50</v>
      </c>
      <c r="Z419">
        <v>13</v>
      </c>
      <c r="AA419">
        <v>6</v>
      </c>
      <c r="AB419">
        <v>18</v>
      </c>
      <c r="AD419">
        <v>0</v>
      </c>
      <c r="AE419">
        <v>0</v>
      </c>
      <c r="AF419">
        <v>0</v>
      </c>
      <c r="AG419">
        <v>0</v>
      </c>
      <c r="AI419">
        <v>0</v>
      </c>
      <c r="AJ419">
        <v>10</v>
      </c>
      <c r="AK419">
        <v>368</v>
      </c>
      <c r="AL419">
        <v>368</v>
      </c>
      <c r="AM419">
        <v>629</v>
      </c>
      <c r="AN419">
        <v>44</v>
      </c>
      <c r="AP419">
        <v>1</v>
      </c>
      <c r="AR419" t="s">
        <v>501</v>
      </c>
      <c r="AS419" s="1">
        <v>44354.027083333334</v>
      </c>
      <c r="AT419" s="1">
        <v>44354.057523148149</v>
      </c>
      <c r="AU419" s="1">
        <v>44354.057893518519</v>
      </c>
      <c r="AV419" t="s">
        <v>71</v>
      </c>
      <c r="AW419" t="s">
        <v>72</v>
      </c>
      <c r="AX419" t="s">
        <v>73</v>
      </c>
    </row>
    <row r="420" spans="1:50" x14ac:dyDescent="0.3">
      <c r="A420" t="str">
        <f>"201083C0100"</f>
        <v>201083C0100</v>
      </c>
      <c r="B420" t="str">
        <f>"201083C01002"</f>
        <v>201083C01002</v>
      </c>
      <c r="C420" t="str">
        <f t="shared" si="20"/>
        <v>20</v>
      </c>
      <c r="D420" t="s">
        <v>67</v>
      </c>
      <c r="E420" t="str">
        <f t="shared" si="21"/>
        <v>002</v>
      </c>
      <c r="F420" t="s">
        <v>311</v>
      </c>
      <c r="G420" t="str">
        <f>"1083"</f>
        <v>1083</v>
      </c>
      <c r="H420" t="str">
        <f>"0001"</f>
        <v>0001</v>
      </c>
      <c r="I420" t="s">
        <v>75</v>
      </c>
      <c r="J420">
        <v>0</v>
      </c>
      <c r="K420">
        <v>1</v>
      </c>
      <c r="L420">
        <v>2</v>
      </c>
      <c r="M420">
        <v>300</v>
      </c>
      <c r="N420">
        <v>372</v>
      </c>
      <c r="O420">
        <v>4</v>
      </c>
      <c r="P420">
        <v>372</v>
      </c>
      <c r="Q420">
        <v>4</v>
      </c>
      <c r="R420">
        <v>23</v>
      </c>
      <c r="S420">
        <v>1</v>
      </c>
      <c r="T420">
        <v>13</v>
      </c>
      <c r="U420">
        <v>5</v>
      </c>
      <c r="V420">
        <v>27</v>
      </c>
      <c r="W420">
        <v>3</v>
      </c>
      <c r="X420">
        <v>204</v>
      </c>
      <c r="Y420">
        <v>54</v>
      </c>
      <c r="Z420">
        <v>4</v>
      </c>
      <c r="AA420">
        <v>2</v>
      </c>
      <c r="AB420">
        <v>17</v>
      </c>
      <c r="AD420">
        <v>1</v>
      </c>
      <c r="AE420">
        <v>1</v>
      </c>
      <c r="AF420">
        <v>0</v>
      </c>
      <c r="AG420">
        <v>0</v>
      </c>
      <c r="AI420">
        <v>0</v>
      </c>
      <c r="AJ420">
        <v>12</v>
      </c>
      <c r="AK420">
        <v>372</v>
      </c>
      <c r="AL420">
        <v>371</v>
      </c>
      <c r="AM420">
        <v>628</v>
      </c>
      <c r="AN420">
        <v>44</v>
      </c>
      <c r="AP420">
        <v>1</v>
      </c>
      <c r="AR420" t="s">
        <v>502</v>
      </c>
      <c r="AS420" s="1">
        <v>44354.025000000001</v>
      </c>
      <c r="AT420" s="1">
        <v>44354.056354166663</v>
      </c>
      <c r="AU420" s="1">
        <v>44354.056967592594</v>
      </c>
      <c r="AV420" t="s">
        <v>71</v>
      </c>
      <c r="AW420" t="s">
        <v>72</v>
      </c>
      <c r="AX420" t="s">
        <v>73</v>
      </c>
    </row>
    <row r="421" spans="1:50" x14ac:dyDescent="0.3">
      <c r="A421" t="str">
        <f>"201260B0000"</f>
        <v>201260B0000</v>
      </c>
      <c r="B421" t="str">
        <f>"201260B00002"</f>
        <v>201260B00002</v>
      </c>
      <c r="C421" t="str">
        <f t="shared" si="20"/>
        <v>20</v>
      </c>
      <c r="D421" t="s">
        <v>67</v>
      </c>
      <c r="E421" t="str">
        <f t="shared" si="21"/>
        <v>002</v>
      </c>
      <c r="F421" t="s">
        <v>311</v>
      </c>
      <c r="G421" t="str">
        <f>"1260"</f>
        <v>1260</v>
      </c>
      <c r="H421" t="str">
        <f>"0000"</f>
        <v>0000</v>
      </c>
      <c r="I421" t="s">
        <v>69</v>
      </c>
      <c r="J421">
        <v>0</v>
      </c>
      <c r="K421">
        <v>1</v>
      </c>
      <c r="L421">
        <v>2</v>
      </c>
      <c r="M421">
        <v>137</v>
      </c>
      <c r="N421">
        <v>593</v>
      </c>
      <c r="O421">
        <v>0</v>
      </c>
      <c r="P421">
        <v>593</v>
      </c>
      <c r="Q421">
        <v>193</v>
      </c>
      <c r="R421">
        <v>14</v>
      </c>
      <c r="S421">
        <v>17</v>
      </c>
      <c r="T421">
        <v>12</v>
      </c>
      <c r="U421">
        <v>3</v>
      </c>
      <c r="V421">
        <v>4</v>
      </c>
      <c r="W421">
        <v>0</v>
      </c>
      <c r="X421">
        <v>225</v>
      </c>
      <c r="Y421">
        <v>111</v>
      </c>
      <c r="Z421">
        <v>1</v>
      </c>
      <c r="AA421">
        <v>1</v>
      </c>
      <c r="AB421">
        <v>1</v>
      </c>
      <c r="AD421">
        <v>1</v>
      </c>
      <c r="AE421">
        <v>2</v>
      </c>
      <c r="AF421">
        <v>1</v>
      </c>
      <c r="AG421">
        <v>0</v>
      </c>
      <c r="AI421">
        <v>0</v>
      </c>
      <c r="AJ421">
        <v>7</v>
      </c>
      <c r="AK421">
        <v>593</v>
      </c>
      <c r="AL421">
        <v>593</v>
      </c>
      <c r="AM421">
        <v>686</v>
      </c>
      <c r="AN421">
        <v>44</v>
      </c>
      <c r="AP421">
        <v>1</v>
      </c>
      <c r="AR421" t="s">
        <v>503</v>
      </c>
      <c r="AS421" s="1">
        <v>44354.157638888886</v>
      </c>
      <c r="AT421" s="1">
        <v>44354.181539351855</v>
      </c>
      <c r="AU421" s="1">
        <v>44354.181967592594</v>
      </c>
      <c r="AV421" t="s">
        <v>71</v>
      </c>
      <c r="AW421" t="s">
        <v>72</v>
      </c>
      <c r="AX421" t="s">
        <v>73</v>
      </c>
    </row>
    <row r="422" spans="1:50" x14ac:dyDescent="0.3">
      <c r="A422" t="str">
        <f>"201260C0100"</f>
        <v>201260C0100</v>
      </c>
      <c r="B422" t="str">
        <f>"201260C01002"</f>
        <v>201260C01002</v>
      </c>
      <c r="C422" t="str">
        <f t="shared" si="20"/>
        <v>20</v>
      </c>
      <c r="D422" t="s">
        <v>67</v>
      </c>
      <c r="E422" t="str">
        <f t="shared" si="21"/>
        <v>002</v>
      </c>
      <c r="F422" t="s">
        <v>311</v>
      </c>
      <c r="G422" t="str">
        <f>"1260"</f>
        <v>1260</v>
      </c>
      <c r="H422" t="str">
        <f>"0001"</f>
        <v>0001</v>
      </c>
      <c r="I422" t="s">
        <v>75</v>
      </c>
      <c r="J422">
        <v>0</v>
      </c>
      <c r="K422">
        <v>1</v>
      </c>
      <c r="L422">
        <v>2</v>
      </c>
      <c r="M422">
        <v>121</v>
      </c>
      <c r="N422">
        <v>608</v>
      </c>
      <c r="O422">
        <v>0</v>
      </c>
      <c r="P422">
        <v>608</v>
      </c>
      <c r="Q422">
        <v>192</v>
      </c>
      <c r="R422">
        <v>27</v>
      </c>
      <c r="S422">
        <v>16</v>
      </c>
      <c r="T422">
        <v>7</v>
      </c>
      <c r="U422">
        <v>1</v>
      </c>
      <c r="V422">
        <v>2</v>
      </c>
      <c r="W422">
        <v>0</v>
      </c>
      <c r="X422">
        <v>224</v>
      </c>
      <c r="Y422">
        <v>126</v>
      </c>
      <c r="Z422">
        <v>1</v>
      </c>
      <c r="AA422">
        <v>2</v>
      </c>
      <c r="AB422">
        <v>1</v>
      </c>
      <c r="AD422">
        <v>3</v>
      </c>
      <c r="AE422">
        <v>2</v>
      </c>
      <c r="AF422">
        <v>0</v>
      </c>
      <c r="AG422">
        <v>0</v>
      </c>
      <c r="AI422">
        <v>0</v>
      </c>
      <c r="AJ422">
        <v>4</v>
      </c>
      <c r="AK422">
        <v>608</v>
      </c>
      <c r="AL422">
        <v>608</v>
      </c>
      <c r="AM422">
        <v>685</v>
      </c>
      <c r="AN422">
        <v>44</v>
      </c>
      <c r="AP422">
        <v>1</v>
      </c>
      <c r="AR422" t="s">
        <v>504</v>
      </c>
      <c r="AS422" s="1">
        <v>44354.161805555559</v>
      </c>
      <c r="AT422" s="1">
        <v>44354.184965277775</v>
      </c>
      <c r="AU422" s="1">
        <v>44354.186956018515</v>
      </c>
      <c r="AV422" t="s">
        <v>71</v>
      </c>
      <c r="AW422" t="s">
        <v>72</v>
      </c>
      <c r="AX422" t="s">
        <v>73</v>
      </c>
    </row>
    <row r="423" spans="1:50" x14ac:dyDescent="0.3">
      <c r="A423" t="str">
        <f>"202457B0000"</f>
        <v>202457B0000</v>
      </c>
      <c r="B423" t="str">
        <f>"202457B00002"</f>
        <v>202457B00002</v>
      </c>
      <c r="C423" t="str">
        <f t="shared" si="20"/>
        <v>20</v>
      </c>
      <c r="D423" t="s">
        <v>67</v>
      </c>
      <c r="E423" t="str">
        <f t="shared" si="21"/>
        <v>002</v>
      </c>
      <c r="F423" t="s">
        <v>311</v>
      </c>
      <c r="G423" t="str">
        <f>"2457"</f>
        <v>2457</v>
      </c>
      <c r="H423" t="str">
        <f>"0000"</f>
        <v>0000</v>
      </c>
      <c r="I423" t="s">
        <v>69</v>
      </c>
      <c r="J423">
        <v>0</v>
      </c>
      <c r="K423">
        <v>1</v>
      </c>
      <c r="L423">
        <v>2</v>
      </c>
      <c r="M423">
        <v>341</v>
      </c>
      <c r="N423">
        <v>376</v>
      </c>
      <c r="O423">
        <v>2</v>
      </c>
      <c r="P423">
        <v>376</v>
      </c>
      <c r="Q423">
        <v>12</v>
      </c>
      <c r="R423">
        <v>35</v>
      </c>
      <c r="S423">
        <v>3</v>
      </c>
      <c r="T423">
        <v>12</v>
      </c>
      <c r="U423">
        <v>4</v>
      </c>
      <c r="V423">
        <v>29</v>
      </c>
      <c r="W423">
        <v>4</v>
      </c>
      <c r="X423">
        <v>190</v>
      </c>
      <c r="Y423">
        <v>59</v>
      </c>
      <c r="Z423">
        <v>4</v>
      </c>
      <c r="AA423">
        <v>2</v>
      </c>
      <c r="AB423">
        <v>13</v>
      </c>
      <c r="AD423">
        <v>3</v>
      </c>
      <c r="AE423">
        <v>0</v>
      </c>
      <c r="AF423">
        <v>0</v>
      </c>
      <c r="AG423">
        <v>0</v>
      </c>
      <c r="AI423">
        <v>0</v>
      </c>
      <c r="AJ423">
        <v>0</v>
      </c>
      <c r="AK423">
        <v>376</v>
      </c>
      <c r="AL423">
        <v>370</v>
      </c>
      <c r="AM423">
        <v>673</v>
      </c>
      <c r="AN423">
        <v>44</v>
      </c>
      <c r="AP423">
        <v>1</v>
      </c>
      <c r="AR423" t="s">
        <v>505</v>
      </c>
      <c r="AS423" s="1">
        <v>44354.10833333333</v>
      </c>
      <c r="AT423" s="1">
        <v>44354.124537037038</v>
      </c>
      <c r="AU423" s="1">
        <v>44354.125057870369</v>
      </c>
      <c r="AV423" t="s">
        <v>71</v>
      </c>
      <c r="AW423" t="s">
        <v>72</v>
      </c>
      <c r="AX423" t="s">
        <v>73</v>
      </c>
    </row>
    <row r="424" spans="1:50" x14ac:dyDescent="0.3">
      <c r="A424" t="str">
        <f>"202457C0100"</f>
        <v>202457C0100</v>
      </c>
      <c r="B424" t="str">
        <f>"202457C01002"</f>
        <v>202457C01002</v>
      </c>
      <c r="C424" t="str">
        <f t="shared" si="20"/>
        <v>20</v>
      </c>
      <c r="D424" t="s">
        <v>67</v>
      </c>
      <c r="E424" t="str">
        <f t="shared" si="21"/>
        <v>002</v>
      </c>
      <c r="F424" t="s">
        <v>311</v>
      </c>
      <c r="G424" t="str">
        <f>"2457"</f>
        <v>2457</v>
      </c>
      <c r="H424" t="str">
        <f>"0001"</f>
        <v>0001</v>
      </c>
      <c r="I424" t="s">
        <v>75</v>
      </c>
      <c r="J424">
        <v>0</v>
      </c>
      <c r="K424">
        <v>1</v>
      </c>
      <c r="L424">
        <v>2</v>
      </c>
      <c r="M424">
        <v>323</v>
      </c>
      <c r="N424">
        <v>394</v>
      </c>
      <c r="O424">
        <v>4</v>
      </c>
      <c r="P424" t="s">
        <v>80</v>
      </c>
      <c r="Q424">
        <v>10</v>
      </c>
      <c r="R424">
        <v>28</v>
      </c>
      <c r="S424">
        <v>2</v>
      </c>
      <c r="T424">
        <v>14</v>
      </c>
      <c r="U424">
        <v>2</v>
      </c>
      <c r="V424">
        <v>23</v>
      </c>
      <c r="W424">
        <v>4</v>
      </c>
      <c r="X424">
        <v>224</v>
      </c>
      <c r="Y424">
        <v>60</v>
      </c>
      <c r="Z424">
        <v>8</v>
      </c>
      <c r="AA424" t="s">
        <v>77</v>
      </c>
      <c r="AB424">
        <v>11</v>
      </c>
      <c r="AD424" t="s">
        <v>77</v>
      </c>
      <c r="AE424">
        <v>1</v>
      </c>
      <c r="AF424" t="s">
        <v>77</v>
      </c>
      <c r="AG424" t="s">
        <v>77</v>
      </c>
      <c r="AI424" t="s">
        <v>77</v>
      </c>
      <c r="AJ424">
        <v>7</v>
      </c>
      <c r="AK424">
        <v>394</v>
      </c>
      <c r="AL424">
        <v>394</v>
      </c>
      <c r="AM424">
        <v>673</v>
      </c>
      <c r="AN424">
        <v>44</v>
      </c>
      <c r="AO424" t="s">
        <v>78</v>
      </c>
      <c r="AP424">
        <v>1</v>
      </c>
      <c r="AR424" t="s">
        <v>506</v>
      </c>
      <c r="AS424" s="1">
        <v>44354.115972222222</v>
      </c>
      <c r="AT424" s="1">
        <v>44354.130636574075</v>
      </c>
      <c r="AU424" s="1">
        <v>44354.131238425929</v>
      </c>
      <c r="AV424" t="s">
        <v>71</v>
      </c>
      <c r="AW424" t="s">
        <v>72</v>
      </c>
      <c r="AX424" t="s">
        <v>73</v>
      </c>
    </row>
    <row r="425" spans="1:50" x14ac:dyDescent="0.3">
      <c r="A425" t="str">
        <f>"202457C0200"</f>
        <v>202457C0200</v>
      </c>
      <c r="B425" t="str">
        <f>"202457C02002"</f>
        <v>202457C02002</v>
      </c>
      <c r="C425" t="str">
        <f t="shared" si="20"/>
        <v>20</v>
      </c>
      <c r="D425" t="s">
        <v>67</v>
      </c>
      <c r="E425" t="str">
        <f t="shared" si="21"/>
        <v>002</v>
      </c>
      <c r="F425" t="s">
        <v>311</v>
      </c>
      <c r="G425" t="str">
        <f>"2457"</f>
        <v>2457</v>
      </c>
      <c r="H425" t="str">
        <f>"0002"</f>
        <v>0002</v>
      </c>
      <c r="I425" t="s">
        <v>75</v>
      </c>
      <c r="J425">
        <v>0</v>
      </c>
      <c r="K425">
        <v>1</v>
      </c>
      <c r="L425">
        <v>2</v>
      </c>
      <c r="M425">
        <v>357</v>
      </c>
      <c r="N425">
        <v>358</v>
      </c>
      <c r="O425">
        <v>5</v>
      </c>
      <c r="P425">
        <v>358</v>
      </c>
      <c r="Q425">
        <v>5</v>
      </c>
      <c r="R425">
        <v>35</v>
      </c>
      <c r="S425">
        <v>3</v>
      </c>
      <c r="T425">
        <v>12</v>
      </c>
      <c r="U425">
        <v>6</v>
      </c>
      <c r="V425">
        <v>27</v>
      </c>
      <c r="W425">
        <v>5</v>
      </c>
      <c r="X425">
        <v>189</v>
      </c>
      <c r="Y425">
        <v>50</v>
      </c>
      <c r="Z425">
        <v>5</v>
      </c>
      <c r="AA425">
        <v>1</v>
      </c>
      <c r="AB425">
        <v>11</v>
      </c>
      <c r="AD425">
        <v>0</v>
      </c>
      <c r="AE425">
        <v>2</v>
      </c>
      <c r="AF425">
        <v>0</v>
      </c>
      <c r="AG425">
        <v>0</v>
      </c>
      <c r="AI425">
        <v>0</v>
      </c>
      <c r="AJ425">
        <v>7</v>
      </c>
      <c r="AK425">
        <v>358</v>
      </c>
      <c r="AL425">
        <v>358</v>
      </c>
      <c r="AM425">
        <v>672</v>
      </c>
      <c r="AN425">
        <v>44</v>
      </c>
      <c r="AP425">
        <v>1</v>
      </c>
      <c r="AR425" t="s">
        <v>507</v>
      </c>
      <c r="AS425" s="1">
        <v>44354.109027777777</v>
      </c>
      <c r="AT425" s="1">
        <v>44354.126550925925</v>
      </c>
      <c r="AU425" s="1">
        <v>44354.130810185183</v>
      </c>
      <c r="AV425" t="s">
        <v>71</v>
      </c>
      <c r="AW425" t="s">
        <v>72</v>
      </c>
      <c r="AX425" t="s">
        <v>73</v>
      </c>
    </row>
    <row r="426" spans="1:50" x14ac:dyDescent="0.3">
      <c r="A426" t="str">
        <f>"202457C0300"</f>
        <v>202457C0300</v>
      </c>
      <c r="B426" t="str">
        <f>"202457C03002"</f>
        <v>202457C03002</v>
      </c>
      <c r="C426" t="str">
        <f t="shared" si="20"/>
        <v>20</v>
      </c>
      <c r="D426" t="s">
        <v>67</v>
      </c>
      <c r="E426" t="str">
        <f t="shared" si="21"/>
        <v>002</v>
      </c>
      <c r="F426" t="s">
        <v>311</v>
      </c>
      <c r="G426" t="str">
        <f>"2457"</f>
        <v>2457</v>
      </c>
      <c r="H426" t="str">
        <f>"0003"</f>
        <v>0003</v>
      </c>
      <c r="I426" t="s">
        <v>75</v>
      </c>
      <c r="J426">
        <v>0</v>
      </c>
      <c r="K426">
        <v>1</v>
      </c>
      <c r="L426">
        <v>2</v>
      </c>
      <c r="M426">
        <v>356</v>
      </c>
      <c r="N426">
        <v>360</v>
      </c>
      <c r="O426">
        <v>6</v>
      </c>
      <c r="P426">
        <v>360</v>
      </c>
      <c r="Q426">
        <v>10</v>
      </c>
      <c r="R426">
        <v>30</v>
      </c>
      <c r="S426">
        <v>0</v>
      </c>
      <c r="T426">
        <v>11</v>
      </c>
      <c r="U426">
        <v>4</v>
      </c>
      <c r="V426">
        <v>31</v>
      </c>
      <c r="W426">
        <v>7</v>
      </c>
      <c r="X426">
        <v>208</v>
      </c>
      <c r="Y426">
        <v>35</v>
      </c>
      <c r="Z426">
        <v>4</v>
      </c>
      <c r="AA426">
        <v>0</v>
      </c>
      <c r="AB426">
        <v>13</v>
      </c>
      <c r="AD426">
        <v>0</v>
      </c>
      <c r="AE426">
        <v>0</v>
      </c>
      <c r="AF426">
        <v>0</v>
      </c>
      <c r="AG426">
        <v>0</v>
      </c>
      <c r="AI426">
        <v>0</v>
      </c>
      <c r="AJ426">
        <v>7</v>
      </c>
      <c r="AK426">
        <v>360</v>
      </c>
      <c r="AL426">
        <v>360</v>
      </c>
      <c r="AM426">
        <v>672</v>
      </c>
      <c r="AN426">
        <v>44</v>
      </c>
      <c r="AP426">
        <v>1</v>
      </c>
      <c r="AR426" t="s">
        <v>508</v>
      </c>
      <c r="AS426" s="1">
        <v>44354.238194444442</v>
      </c>
      <c r="AT426" s="1">
        <v>44354.240439814814</v>
      </c>
      <c r="AU426" s="1">
        <v>44354.241018518522</v>
      </c>
      <c r="AV426" t="s">
        <v>71</v>
      </c>
      <c r="AW426" t="s">
        <v>72</v>
      </c>
      <c r="AX426" t="s">
        <v>347</v>
      </c>
    </row>
    <row r="427" spans="1:50" x14ac:dyDescent="0.3">
      <c r="A427" t="str">
        <f>"202458B0000"</f>
        <v>202458B0000</v>
      </c>
      <c r="B427" t="str">
        <f>"202458B00002"</f>
        <v>202458B00002</v>
      </c>
      <c r="C427" t="str">
        <f t="shared" si="20"/>
        <v>20</v>
      </c>
      <c r="D427" t="s">
        <v>67</v>
      </c>
      <c r="E427" t="str">
        <f t="shared" si="21"/>
        <v>002</v>
      </c>
      <c r="F427" t="s">
        <v>311</v>
      </c>
      <c r="G427" t="str">
        <f>"2458"</f>
        <v>2458</v>
      </c>
      <c r="H427" t="str">
        <f>"0000"</f>
        <v>0000</v>
      </c>
      <c r="I427" t="s">
        <v>69</v>
      </c>
      <c r="J427">
        <v>0</v>
      </c>
      <c r="K427">
        <v>1</v>
      </c>
      <c r="L427">
        <v>2</v>
      </c>
      <c r="M427">
        <v>220</v>
      </c>
      <c r="N427">
        <v>281</v>
      </c>
      <c r="O427">
        <v>4</v>
      </c>
      <c r="P427">
        <v>281</v>
      </c>
      <c r="Q427">
        <v>9</v>
      </c>
      <c r="R427">
        <v>32</v>
      </c>
      <c r="S427">
        <v>1</v>
      </c>
      <c r="T427">
        <v>12</v>
      </c>
      <c r="U427">
        <v>7</v>
      </c>
      <c r="V427">
        <v>21</v>
      </c>
      <c r="W427">
        <v>1</v>
      </c>
      <c r="X427">
        <v>136</v>
      </c>
      <c r="Y427">
        <v>43</v>
      </c>
      <c r="Z427">
        <v>5</v>
      </c>
      <c r="AA427">
        <v>0</v>
      </c>
      <c r="AB427">
        <v>10</v>
      </c>
      <c r="AD427">
        <v>0</v>
      </c>
      <c r="AE427">
        <v>0</v>
      </c>
      <c r="AF427">
        <v>0</v>
      </c>
      <c r="AG427">
        <v>0</v>
      </c>
      <c r="AI427">
        <v>0</v>
      </c>
      <c r="AJ427">
        <v>3</v>
      </c>
      <c r="AK427">
        <v>281</v>
      </c>
      <c r="AL427">
        <v>280</v>
      </c>
      <c r="AM427">
        <v>457</v>
      </c>
      <c r="AN427">
        <v>44</v>
      </c>
      <c r="AP427">
        <v>1</v>
      </c>
      <c r="AR427" t="s">
        <v>509</v>
      </c>
      <c r="AS427" s="1">
        <v>44354.12777777778</v>
      </c>
      <c r="AT427" s="1">
        <v>44354.145324074074</v>
      </c>
      <c r="AU427" s="1">
        <v>44354.145949074074</v>
      </c>
      <c r="AV427" t="s">
        <v>71</v>
      </c>
      <c r="AW427" t="s">
        <v>72</v>
      </c>
      <c r="AX427" t="s">
        <v>73</v>
      </c>
    </row>
    <row r="428" spans="1:50" x14ac:dyDescent="0.3">
      <c r="A428" t="str">
        <f>"202458C0100"</f>
        <v>202458C0100</v>
      </c>
      <c r="B428" t="str">
        <f>"202458C01002"</f>
        <v>202458C01002</v>
      </c>
      <c r="C428" t="str">
        <f t="shared" si="20"/>
        <v>20</v>
      </c>
      <c r="D428" t="s">
        <v>67</v>
      </c>
      <c r="E428" t="str">
        <f t="shared" si="21"/>
        <v>002</v>
      </c>
      <c r="F428" t="s">
        <v>311</v>
      </c>
      <c r="G428" t="str">
        <f>"2458"</f>
        <v>2458</v>
      </c>
      <c r="H428" t="str">
        <f>"0001"</f>
        <v>0001</v>
      </c>
      <c r="I428" t="s">
        <v>75</v>
      </c>
      <c r="J428">
        <v>0</v>
      </c>
      <c r="K428">
        <v>1</v>
      </c>
      <c r="L428">
        <v>2</v>
      </c>
      <c r="M428">
        <v>231</v>
      </c>
      <c r="N428">
        <v>266</v>
      </c>
      <c r="O428">
        <v>2</v>
      </c>
      <c r="P428">
        <v>269</v>
      </c>
      <c r="Q428">
        <v>4</v>
      </c>
      <c r="R428">
        <v>28</v>
      </c>
      <c r="S428">
        <v>1</v>
      </c>
      <c r="T428">
        <v>3</v>
      </c>
      <c r="U428">
        <v>12</v>
      </c>
      <c r="V428">
        <v>18</v>
      </c>
      <c r="W428">
        <v>3</v>
      </c>
      <c r="X428">
        <v>127</v>
      </c>
      <c r="Y428">
        <v>54</v>
      </c>
      <c r="Z428">
        <v>2</v>
      </c>
      <c r="AA428">
        <v>2</v>
      </c>
      <c r="AB428">
        <v>10</v>
      </c>
      <c r="AD428">
        <v>0</v>
      </c>
      <c r="AE428">
        <v>1</v>
      </c>
      <c r="AF428">
        <v>0</v>
      </c>
      <c r="AG428">
        <v>0</v>
      </c>
      <c r="AI428">
        <v>0</v>
      </c>
      <c r="AJ428">
        <v>4</v>
      </c>
      <c r="AK428">
        <v>269</v>
      </c>
      <c r="AL428">
        <v>269</v>
      </c>
      <c r="AM428">
        <v>456</v>
      </c>
      <c r="AN428">
        <v>44</v>
      </c>
      <c r="AP428">
        <v>1</v>
      </c>
      <c r="AR428" t="s">
        <v>510</v>
      </c>
      <c r="AS428" s="1">
        <v>44354.12777777778</v>
      </c>
      <c r="AT428" s="1">
        <v>44354.142060185186</v>
      </c>
      <c r="AU428" s="1">
        <v>44354.142604166664</v>
      </c>
      <c r="AV428" t="s">
        <v>71</v>
      </c>
      <c r="AW428" t="s">
        <v>72</v>
      </c>
      <c r="AX428" t="s">
        <v>73</v>
      </c>
    </row>
    <row r="429" spans="1:50" x14ac:dyDescent="0.3">
      <c r="A429" t="str">
        <f>"200074B0000"</f>
        <v>200074B0000</v>
      </c>
      <c r="B429" t="str">
        <f>"200074B00002"</f>
        <v>200074B00002</v>
      </c>
      <c r="C429" t="str">
        <f t="shared" si="20"/>
        <v>20</v>
      </c>
      <c r="D429" t="s">
        <v>67</v>
      </c>
      <c r="E429" t="str">
        <f t="shared" ref="E429:E492" si="22">"003"</f>
        <v>003</v>
      </c>
      <c r="F429" t="s">
        <v>511</v>
      </c>
      <c r="G429" t="str">
        <f>"0074"</f>
        <v>0074</v>
      </c>
      <c r="H429" t="str">
        <f>"0000"</f>
        <v>0000</v>
      </c>
      <c r="I429" t="s">
        <v>69</v>
      </c>
      <c r="J429">
        <v>0</v>
      </c>
      <c r="K429">
        <v>1</v>
      </c>
      <c r="L429">
        <v>2</v>
      </c>
      <c r="M429">
        <v>237</v>
      </c>
      <c r="N429">
        <v>380</v>
      </c>
      <c r="O429">
        <v>0</v>
      </c>
      <c r="P429">
        <v>382</v>
      </c>
      <c r="Q429">
        <v>8</v>
      </c>
      <c r="R429">
        <v>64</v>
      </c>
      <c r="S429">
        <v>17</v>
      </c>
      <c r="T429">
        <v>12</v>
      </c>
      <c r="U429">
        <v>16</v>
      </c>
      <c r="V429">
        <v>2</v>
      </c>
      <c r="W429">
        <v>2</v>
      </c>
      <c r="X429">
        <v>177</v>
      </c>
      <c r="Y429">
        <v>7</v>
      </c>
      <c r="Z429">
        <v>49</v>
      </c>
      <c r="AA429">
        <v>2</v>
      </c>
      <c r="AB429">
        <v>1</v>
      </c>
      <c r="AD429">
        <v>7</v>
      </c>
      <c r="AE429">
        <v>2</v>
      </c>
      <c r="AF429">
        <v>1</v>
      </c>
      <c r="AG429">
        <v>0</v>
      </c>
      <c r="AI429">
        <v>0</v>
      </c>
      <c r="AJ429">
        <v>15</v>
      </c>
      <c r="AK429">
        <v>382</v>
      </c>
      <c r="AL429">
        <v>382</v>
      </c>
      <c r="AM429">
        <v>573</v>
      </c>
      <c r="AN429">
        <v>44</v>
      </c>
      <c r="AP429">
        <v>1</v>
      </c>
      <c r="AR429" t="s">
        <v>512</v>
      </c>
      <c r="AS429" s="1">
        <v>44354.179166666669</v>
      </c>
      <c r="AT429" s="1">
        <v>44354.182453703703</v>
      </c>
      <c r="AU429" s="1">
        <v>44354.183344907404</v>
      </c>
      <c r="AV429" t="s">
        <v>71</v>
      </c>
      <c r="AW429" t="s">
        <v>72</v>
      </c>
      <c r="AX429" t="s">
        <v>73</v>
      </c>
    </row>
    <row r="430" spans="1:50" x14ac:dyDescent="0.3">
      <c r="A430" t="str">
        <f>"200074C0100"</f>
        <v>200074C0100</v>
      </c>
      <c r="B430" t="str">
        <f>"200074C01002"</f>
        <v>200074C01002</v>
      </c>
      <c r="C430" t="str">
        <f t="shared" si="20"/>
        <v>20</v>
      </c>
      <c r="D430" t="s">
        <v>67</v>
      </c>
      <c r="E430" t="str">
        <f t="shared" si="22"/>
        <v>003</v>
      </c>
      <c r="F430" t="s">
        <v>511</v>
      </c>
      <c r="G430" t="str">
        <f>"0074"</f>
        <v>0074</v>
      </c>
      <c r="H430" t="str">
        <f>"0001"</f>
        <v>0001</v>
      </c>
      <c r="I430" t="s">
        <v>75</v>
      </c>
      <c r="J430">
        <v>0</v>
      </c>
      <c r="K430">
        <v>1</v>
      </c>
      <c r="L430">
        <v>2</v>
      </c>
      <c r="M430">
        <v>189</v>
      </c>
      <c r="N430">
        <v>428</v>
      </c>
      <c r="O430">
        <v>7</v>
      </c>
      <c r="P430">
        <v>425</v>
      </c>
      <c r="Q430">
        <v>2</v>
      </c>
      <c r="R430">
        <v>89</v>
      </c>
      <c r="S430">
        <v>11</v>
      </c>
      <c r="T430">
        <v>6</v>
      </c>
      <c r="U430">
        <v>8</v>
      </c>
      <c r="V430">
        <v>2</v>
      </c>
      <c r="W430">
        <v>0</v>
      </c>
      <c r="X430">
        <v>220</v>
      </c>
      <c r="Y430">
        <v>8</v>
      </c>
      <c r="Z430">
        <v>36</v>
      </c>
      <c r="AA430">
        <v>2</v>
      </c>
      <c r="AB430">
        <v>2</v>
      </c>
      <c r="AD430">
        <v>5</v>
      </c>
      <c r="AE430">
        <v>1</v>
      </c>
      <c r="AF430">
        <v>0</v>
      </c>
      <c r="AG430">
        <v>1</v>
      </c>
      <c r="AI430">
        <v>0</v>
      </c>
      <c r="AJ430">
        <v>32</v>
      </c>
      <c r="AK430">
        <v>425</v>
      </c>
      <c r="AL430">
        <v>425</v>
      </c>
      <c r="AM430">
        <v>572</v>
      </c>
      <c r="AN430">
        <v>44</v>
      </c>
      <c r="AP430">
        <v>1</v>
      </c>
      <c r="AR430" t="s">
        <v>513</v>
      </c>
      <c r="AS430" s="1">
        <v>44354.178472222222</v>
      </c>
      <c r="AT430" s="1">
        <v>44354.183865740742</v>
      </c>
      <c r="AU430" s="1">
        <v>44354.18440972222</v>
      </c>
      <c r="AV430" t="s">
        <v>71</v>
      </c>
      <c r="AW430" t="s">
        <v>72</v>
      </c>
      <c r="AX430" t="s">
        <v>73</v>
      </c>
    </row>
    <row r="431" spans="1:50" x14ac:dyDescent="0.3">
      <c r="A431" t="str">
        <f>"200074C0200"</f>
        <v>200074C0200</v>
      </c>
      <c r="B431" t="str">
        <f>"200074C02002"</f>
        <v>200074C02002</v>
      </c>
      <c r="C431" t="str">
        <f t="shared" si="20"/>
        <v>20</v>
      </c>
      <c r="D431" t="s">
        <v>67</v>
      </c>
      <c r="E431" t="str">
        <f t="shared" si="22"/>
        <v>003</v>
      </c>
      <c r="F431" t="s">
        <v>511</v>
      </c>
      <c r="G431" t="str">
        <f>"0074"</f>
        <v>0074</v>
      </c>
      <c r="H431" t="str">
        <f>"0002"</f>
        <v>0002</v>
      </c>
      <c r="I431" t="s">
        <v>75</v>
      </c>
      <c r="J431">
        <v>0</v>
      </c>
      <c r="K431">
        <v>1</v>
      </c>
      <c r="L431">
        <v>2</v>
      </c>
      <c r="M431">
        <v>225</v>
      </c>
      <c r="N431">
        <v>391</v>
      </c>
      <c r="O431">
        <v>0</v>
      </c>
      <c r="P431">
        <v>391</v>
      </c>
      <c r="Q431">
        <v>7</v>
      </c>
      <c r="R431">
        <v>75</v>
      </c>
      <c r="S431">
        <v>12</v>
      </c>
      <c r="T431">
        <v>9</v>
      </c>
      <c r="U431">
        <v>12</v>
      </c>
      <c r="V431">
        <v>1</v>
      </c>
      <c r="W431">
        <v>2</v>
      </c>
      <c r="X431">
        <v>189</v>
      </c>
      <c r="Y431">
        <v>11</v>
      </c>
      <c r="Z431">
        <v>41</v>
      </c>
      <c r="AA431">
        <v>9</v>
      </c>
      <c r="AB431">
        <v>1</v>
      </c>
      <c r="AD431">
        <v>7</v>
      </c>
      <c r="AE431">
        <v>1</v>
      </c>
      <c r="AF431">
        <v>0</v>
      </c>
      <c r="AG431">
        <v>0</v>
      </c>
      <c r="AI431">
        <v>0</v>
      </c>
      <c r="AJ431">
        <v>14</v>
      </c>
      <c r="AK431">
        <v>391</v>
      </c>
      <c r="AL431">
        <v>391</v>
      </c>
      <c r="AM431">
        <v>572</v>
      </c>
      <c r="AN431">
        <v>44</v>
      </c>
      <c r="AP431">
        <v>1</v>
      </c>
      <c r="AR431" t="s">
        <v>514</v>
      </c>
      <c r="AS431" s="1">
        <v>44354.179166666669</v>
      </c>
      <c r="AT431" s="1">
        <v>44354.182638888888</v>
      </c>
      <c r="AU431" s="1">
        <v>44354.18304398148</v>
      </c>
      <c r="AV431" t="s">
        <v>71</v>
      </c>
      <c r="AW431" t="s">
        <v>72</v>
      </c>
      <c r="AX431" t="s">
        <v>73</v>
      </c>
    </row>
    <row r="432" spans="1:50" x14ac:dyDescent="0.3">
      <c r="A432" t="str">
        <f>"200075B0000"</f>
        <v>200075B0000</v>
      </c>
      <c r="B432" t="str">
        <f>"200075B00002"</f>
        <v>200075B00002</v>
      </c>
      <c r="C432" t="str">
        <f t="shared" si="20"/>
        <v>20</v>
      </c>
      <c r="D432" t="s">
        <v>67</v>
      </c>
      <c r="E432" t="str">
        <f t="shared" si="22"/>
        <v>003</v>
      </c>
      <c r="F432" t="s">
        <v>511</v>
      </c>
      <c r="G432" t="str">
        <f>"0075"</f>
        <v>0075</v>
      </c>
      <c r="H432" t="str">
        <f>"0000"</f>
        <v>0000</v>
      </c>
      <c r="I432" t="s">
        <v>69</v>
      </c>
      <c r="J432">
        <v>0</v>
      </c>
      <c r="K432">
        <v>1</v>
      </c>
      <c r="L432">
        <v>2</v>
      </c>
      <c r="M432">
        <v>267</v>
      </c>
      <c r="N432">
        <v>505</v>
      </c>
      <c r="O432">
        <v>7</v>
      </c>
      <c r="P432">
        <v>505</v>
      </c>
      <c r="Q432">
        <v>7</v>
      </c>
      <c r="R432">
        <v>100</v>
      </c>
      <c r="S432">
        <v>17</v>
      </c>
      <c r="T432">
        <v>10</v>
      </c>
      <c r="U432">
        <v>37</v>
      </c>
      <c r="V432">
        <v>6</v>
      </c>
      <c r="W432">
        <v>6</v>
      </c>
      <c r="X432">
        <v>252</v>
      </c>
      <c r="Y432">
        <v>2</v>
      </c>
      <c r="Z432">
        <v>32</v>
      </c>
      <c r="AA432">
        <v>2</v>
      </c>
      <c r="AB432">
        <v>2</v>
      </c>
      <c r="AD432">
        <v>5</v>
      </c>
      <c r="AE432">
        <v>1</v>
      </c>
      <c r="AF432">
        <v>0</v>
      </c>
      <c r="AG432">
        <v>3</v>
      </c>
      <c r="AI432">
        <v>0</v>
      </c>
      <c r="AJ432">
        <v>25</v>
      </c>
      <c r="AK432">
        <v>507</v>
      </c>
      <c r="AL432">
        <v>507</v>
      </c>
      <c r="AM432">
        <v>730</v>
      </c>
      <c r="AN432">
        <v>44</v>
      </c>
      <c r="AP432">
        <v>1</v>
      </c>
      <c r="AR432" t="s">
        <v>515</v>
      </c>
      <c r="AS432" s="1">
        <v>44354.175000000003</v>
      </c>
      <c r="AT432" s="1">
        <v>44354.178483796299</v>
      </c>
      <c r="AU432" s="1">
        <v>44354.179166666669</v>
      </c>
      <c r="AV432" t="s">
        <v>71</v>
      </c>
      <c r="AW432" t="s">
        <v>72</v>
      </c>
      <c r="AX432" t="s">
        <v>73</v>
      </c>
    </row>
    <row r="433" spans="1:50" x14ac:dyDescent="0.3">
      <c r="A433" t="str">
        <f>"200075C0100"</f>
        <v>200075C0100</v>
      </c>
      <c r="B433" t="str">
        <f>"200075C01002"</f>
        <v>200075C01002</v>
      </c>
      <c r="C433" t="str">
        <f t="shared" si="20"/>
        <v>20</v>
      </c>
      <c r="D433" t="s">
        <v>67</v>
      </c>
      <c r="E433" t="str">
        <f t="shared" si="22"/>
        <v>003</v>
      </c>
      <c r="F433" t="s">
        <v>511</v>
      </c>
      <c r="G433" t="str">
        <f>"0075"</f>
        <v>0075</v>
      </c>
      <c r="H433" t="str">
        <f>"0001"</f>
        <v>0001</v>
      </c>
      <c r="I433" t="s">
        <v>75</v>
      </c>
      <c r="J433">
        <v>0</v>
      </c>
      <c r="K433">
        <v>1</v>
      </c>
      <c r="L433">
        <v>2</v>
      </c>
      <c r="M433">
        <v>273</v>
      </c>
      <c r="N433">
        <v>500</v>
      </c>
      <c r="O433">
        <v>5</v>
      </c>
      <c r="P433">
        <v>500</v>
      </c>
      <c r="Q433">
        <v>8</v>
      </c>
      <c r="R433">
        <v>81</v>
      </c>
      <c r="S433">
        <v>11</v>
      </c>
      <c r="T433">
        <v>9</v>
      </c>
      <c r="U433">
        <v>43</v>
      </c>
      <c r="V433">
        <v>2</v>
      </c>
      <c r="W433">
        <v>5</v>
      </c>
      <c r="X433">
        <v>252</v>
      </c>
      <c r="Y433">
        <v>5</v>
      </c>
      <c r="Z433">
        <v>36</v>
      </c>
      <c r="AA433">
        <v>4</v>
      </c>
      <c r="AB433">
        <v>5</v>
      </c>
      <c r="AD433">
        <v>3</v>
      </c>
      <c r="AE433">
        <v>0</v>
      </c>
      <c r="AF433">
        <v>0</v>
      </c>
      <c r="AG433">
        <v>0</v>
      </c>
      <c r="AI433">
        <v>0</v>
      </c>
      <c r="AJ433">
        <v>36</v>
      </c>
      <c r="AK433">
        <v>500</v>
      </c>
      <c r="AL433">
        <v>500</v>
      </c>
      <c r="AM433">
        <v>729</v>
      </c>
      <c r="AN433">
        <v>44</v>
      </c>
      <c r="AP433">
        <v>1</v>
      </c>
      <c r="AR433" t="s">
        <v>516</v>
      </c>
      <c r="AS433" s="1">
        <v>44354.175000000003</v>
      </c>
      <c r="AT433" s="1">
        <v>44354.178402777776</v>
      </c>
      <c r="AU433" s="1">
        <v>44354.178993055553</v>
      </c>
      <c r="AV433" t="s">
        <v>71</v>
      </c>
      <c r="AW433" t="s">
        <v>72</v>
      </c>
      <c r="AX433" t="s">
        <v>73</v>
      </c>
    </row>
    <row r="434" spans="1:50" x14ac:dyDescent="0.3">
      <c r="A434" t="str">
        <f>"200075E0100"</f>
        <v>200075E0100</v>
      </c>
      <c r="B434" t="str">
        <f>"200075E01002"</f>
        <v>200075E01002</v>
      </c>
      <c r="C434" t="str">
        <f t="shared" si="20"/>
        <v>20</v>
      </c>
      <c r="D434" t="s">
        <v>67</v>
      </c>
      <c r="E434" t="str">
        <f t="shared" si="22"/>
        <v>003</v>
      </c>
      <c r="F434" t="s">
        <v>511</v>
      </c>
      <c r="G434" t="str">
        <f>"0075"</f>
        <v>0075</v>
      </c>
      <c r="H434" t="str">
        <f>"0001"</f>
        <v>0001</v>
      </c>
      <c r="I434" t="s">
        <v>109</v>
      </c>
      <c r="J434">
        <v>0</v>
      </c>
      <c r="K434">
        <v>1</v>
      </c>
      <c r="L434">
        <v>2</v>
      </c>
      <c r="M434">
        <v>193</v>
      </c>
      <c r="N434">
        <v>215</v>
      </c>
      <c r="O434">
        <v>3</v>
      </c>
      <c r="P434">
        <v>215</v>
      </c>
      <c r="Q434">
        <v>3</v>
      </c>
      <c r="R434">
        <v>53</v>
      </c>
      <c r="S434">
        <v>0</v>
      </c>
      <c r="T434">
        <v>2</v>
      </c>
      <c r="U434">
        <v>19</v>
      </c>
      <c r="V434">
        <v>16</v>
      </c>
      <c r="W434">
        <v>1</v>
      </c>
      <c r="X434">
        <v>38</v>
      </c>
      <c r="Y434">
        <v>4</v>
      </c>
      <c r="Z434">
        <v>57</v>
      </c>
      <c r="AA434">
        <v>1</v>
      </c>
      <c r="AB434">
        <v>0</v>
      </c>
      <c r="AD434">
        <v>3</v>
      </c>
      <c r="AE434">
        <v>0</v>
      </c>
      <c r="AF434">
        <v>0</v>
      </c>
      <c r="AG434">
        <v>0</v>
      </c>
      <c r="AI434">
        <v>0</v>
      </c>
      <c r="AJ434">
        <v>18</v>
      </c>
      <c r="AK434">
        <v>215</v>
      </c>
      <c r="AL434">
        <v>215</v>
      </c>
      <c r="AM434">
        <v>364</v>
      </c>
      <c r="AN434">
        <v>44</v>
      </c>
      <c r="AP434">
        <v>1</v>
      </c>
      <c r="AR434" t="s">
        <v>517</v>
      </c>
      <c r="AS434" s="1">
        <v>44354.177083333336</v>
      </c>
      <c r="AT434" s="1">
        <v>44354.180439814816</v>
      </c>
      <c r="AU434" s="1">
        <v>44354.181342592594</v>
      </c>
      <c r="AV434" t="s">
        <v>71</v>
      </c>
      <c r="AW434" t="s">
        <v>72</v>
      </c>
      <c r="AX434" t="s">
        <v>73</v>
      </c>
    </row>
    <row r="435" spans="1:50" x14ac:dyDescent="0.3">
      <c r="A435" t="str">
        <f>"200075E0200"</f>
        <v>200075E0200</v>
      </c>
      <c r="B435" t="str">
        <f>"200075E02002"</f>
        <v>200075E02002</v>
      </c>
      <c r="C435" t="str">
        <f t="shared" si="20"/>
        <v>20</v>
      </c>
      <c r="D435" t="s">
        <v>67</v>
      </c>
      <c r="E435" t="str">
        <f t="shared" si="22"/>
        <v>003</v>
      </c>
      <c r="F435" t="s">
        <v>511</v>
      </c>
      <c r="G435" t="str">
        <f>"0075"</f>
        <v>0075</v>
      </c>
      <c r="H435" t="str">
        <f>"0002"</f>
        <v>0002</v>
      </c>
      <c r="I435" t="s">
        <v>109</v>
      </c>
      <c r="J435">
        <v>0</v>
      </c>
      <c r="K435">
        <v>1</v>
      </c>
      <c r="L435">
        <v>2</v>
      </c>
      <c r="M435">
        <v>126</v>
      </c>
      <c r="N435">
        <v>193</v>
      </c>
      <c r="O435">
        <v>11</v>
      </c>
      <c r="P435">
        <v>193</v>
      </c>
      <c r="Q435">
        <v>1</v>
      </c>
      <c r="R435">
        <v>40</v>
      </c>
      <c r="S435">
        <v>7</v>
      </c>
      <c r="T435">
        <v>11</v>
      </c>
      <c r="U435">
        <v>9</v>
      </c>
      <c r="V435">
        <v>4</v>
      </c>
      <c r="W435">
        <v>1</v>
      </c>
      <c r="X435">
        <v>73</v>
      </c>
      <c r="Y435">
        <v>2</v>
      </c>
      <c r="Z435">
        <v>19</v>
      </c>
      <c r="AA435">
        <v>10</v>
      </c>
      <c r="AB435">
        <v>3</v>
      </c>
      <c r="AD435">
        <v>2</v>
      </c>
      <c r="AE435">
        <v>0</v>
      </c>
      <c r="AF435">
        <v>0</v>
      </c>
      <c r="AG435">
        <v>2</v>
      </c>
      <c r="AI435">
        <v>0</v>
      </c>
      <c r="AJ435">
        <v>9</v>
      </c>
      <c r="AK435">
        <v>193</v>
      </c>
      <c r="AL435">
        <v>193</v>
      </c>
      <c r="AM435">
        <v>275</v>
      </c>
      <c r="AN435">
        <v>44</v>
      </c>
      <c r="AP435">
        <v>1</v>
      </c>
      <c r="AR435" t="s">
        <v>518</v>
      </c>
      <c r="AS435" s="1">
        <v>44354.175000000003</v>
      </c>
      <c r="AT435" s="1">
        <v>44354.29347222222</v>
      </c>
      <c r="AU435" s="1">
        <v>44354.29409722222</v>
      </c>
      <c r="AV435" t="s">
        <v>71</v>
      </c>
      <c r="AW435" t="s">
        <v>72</v>
      </c>
      <c r="AX435" t="s">
        <v>73</v>
      </c>
    </row>
    <row r="436" spans="1:50" x14ac:dyDescent="0.3">
      <c r="A436" t="str">
        <f>"200075E0300"</f>
        <v>200075E0300</v>
      </c>
      <c r="B436" t="str">
        <f>"200075E03002"</f>
        <v>200075E03002</v>
      </c>
      <c r="C436" t="str">
        <f t="shared" si="20"/>
        <v>20</v>
      </c>
      <c r="D436" t="s">
        <v>67</v>
      </c>
      <c r="E436" t="str">
        <f t="shared" si="22"/>
        <v>003</v>
      </c>
      <c r="F436" t="s">
        <v>511</v>
      </c>
      <c r="G436" t="str">
        <f>"0075"</f>
        <v>0075</v>
      </c>
      <c r="H436" t="str">
        <f>"0003"</f>
        <v>0003</v>
      </c>
      <c r="I436" t="s">
        <v>109</v>
      </c>
      <c r="J436">
        <v>0</v>
      </c>
      <c r="K436">
        <v>1</v>
      </c>
      <c r="L436">
        <v>2</v>
      </c>
      <c r="M436">
        <v>98</v>
      </c>
      <c r="N436">
        <v>225</v>
      </c>
      <c r="O436">
        <v>11</v>
      </c>
      <c r="P436">
        <v>225</v>
      </c>
      <c r="Q436">
        <v>8</v>
      </c>
      <c r="R436">
        <v>26</v>
      </c>
      <c r="S436">
        <v>34</v>
      </c>
      <c r="T436">
        <v>1</v>
      </c>
      <c r="U436">
        <v>5</v>
      </c>
      <c r="V436">
        <v>11</v>
      </c>
      <c r="W436">
        <v>0</v>
      </c>
      <c r="X436">
        <v>85</v>
      </c>
      <c r="Y436">
        <v>1</v>
      </c>
      <c r="Z436">
        <v>21</v>
      </c>
      <c r="AA436">
        <v>4</v>
      </c>
      <c r="AB436">
        <v>8</v>
      </c>
      <c r="AD436">
        <v>2</v>
      </c>
      <c r="AE436">
        <v>0</v>
      </c>
      <c r="AF436">
        <v>0</v>
      </c>
      <c r="AG436">
        <v>0</v>
      </c>
      <c r="AI436" t="s">
        <v>77</v>
      </c>
      <c r="AJ436">
        <v>19</v>
      </c>
      <c r="AK436">
        <v>225</v>
      </c>
      <c r="AL436">
        <v>225</v>
      </c>
      <c r="AM436">
        <v>279</v>
      </c>
      <c r="AN436">
        <v>44</v>
      </c>
      <c r="AO436" t="s">
        <v>78</v>
      </c>
      <c r="AP436">
        <v>1</v>
      </c>
      <c r="AR436" t="s">
        <v>519</v>
      </c>
      <c r="AS436" s="1">
        <v>44354.177083333336</v>
      </c>
      <c r="AT436" s="1">
        <v>44354.180428240739</v>
      </c>
      <c r="AU436" s="1">
        <v>44354.180983796294</v>
      </c>
      <c r="AV436" t="s">
        <v>71</v>
      </c>
      <c r="AW436" t="s">
        <v>72</v>
      </c>
      <c r="AX436" t="s">
        <v>73</v>
      </c>
    </row>
    <row r="437" spans="1:50" x14ac:dyDescent="0.3">
      <c r="A437" t="str">
        <f>"200333B0000"</f>
        <v>200333B0000</v>
      </c>
      <c r="B437" t="str">
        <f>"200333B00002"</f>
        <v>200333B00002</v>
      </c>
      <c r="C437" t="str">
        <f t="shared" si="20"/>
        <v>20</v>
      </c>
      <c r="D437" t="s">
        <v>67</v>
      </c>
      <c r="E437" t="str">
        <f t="shared" si="22"/>
        <v>003</v>
      </c>
      <c r="F437" t="s">
        <v>511</v>
      </c>
      <c r="G437" t="str">
        <f>"0333"</f>
        <v>0333</v>
      </c>
      <c r="H437" t="str">
        <f>"0000"</f>
        <v>0000</v>
      </c>
      <c r="I437" t="s">
        <v>69</v>
      </c>
      <c r="J437">
        <v>0</v>
      </c>
      <c r="K437">
        <v>1</v>
      </c>
      <c r="L437">
        <v>2</v>
      </c>
      <c r="M437">
        <v>237</v>
      </c>
      <c r="N437">
        <v>336</v>
      </c>
      <c r="O437">
        <v>5</v>
      </c>
      <c r="P437">
        <v>336</v>
      </c>
      <c r="Q437">
        <v>8</v>
      </c>
      <c r="R437">
        <v>42</v>
      </c>
      <c r="S437">
        <v>109</v>
      </c>
      <c r="T437">
        <v>15</v>
      </c>
      <c r="U437">
        <v>1</v>
      </c>
      <c r="V437">
        <v>4</v>
      </c>
      <c r="W437">
        <v>4</v>
      </c>
      <c r="X437">
        <v>64</v>
      </c>
      <c r="Y437">
        <v>69</v>
      </c>
      <c r="Z437">
        <v>11</v>
      </c>
      <c r="AA437">
        <v>2</v>
      </c>
      <c r="AB437">
        <v>3</v>
      </c>
      <c r="AD437">
        <v>1</v>
      </c>
      <c r="AE437">
        <v>0</v>
      </c>
      <c r="AF437">
        <v>0</v>
      </c>
      <c r="AG437">
        <v>0</v>
      </c>
      <c r="AI437">
        <v>0</v>
      </c>
      <c r="AJ437">
        <v>3</v>
      </c>
      <c r="AK437">
        <v>336</v>
      </c>
      <c r="AL437">
        <v>336</v>
      </c>
      <c r="AM437">
        <v>529</v>
      </c>
      <c r="AN437">
        <v>44</v>
      </c>
      <c r="AP437">
        <v>1</v>
      </c>
      <c r="AR437" t="s">
        <v>520</v>
      </c>
      <c r="AS437" s="1">
        <v>44353.946747685186</v>
      </c>
      <c r="AT437" s="1">
        <v>44353.948784722219</v>
      </c>
      <c r="AU437" s="1">
        <v>44353.94939814815</v>
      </c>
      <c r="AV437" t="s">
        <v>269</v>
      </c>
      <c r="AW437" t="s">
        <v>270</v>
      </c>
      <c r="AX437" t="s">
        <v>73</v>
      </c>
    </row>
    <row r="438" spans="1:50" x14ac:dyDescent="0.3">
      <c r="A438" t="str">
        <f>"200333C0100"</f>
        <v>200333C0100</v>
      </c>
      <c r="B438" t="str">
        <f>"200333C01002"</f>
        <v>200333C01002</v>
      </c>
      <c r="C438" t="str">
        <f t="shared" si="20"/>
        <v>20</v>
      </c>
      <c r="D438" t="s">
        <v>67</v>
      </c>
      <c r="E438" t="str">
        <f t="shared" si="22"/>
        <v>003</v>
      </c>
      <c r="F438" t="s">
        <v>511</v>
      </c>
      <c r="G438" t="str">
        <f>"0333"</f>
        <v>0333</v>
      </c>
      <c r="H438" t="str">
        <f>"0001"</f>
        <v>0001</v>
      </c>
      <c r="I438" t="s">
        <v>75</v>
      </c>
      <c r="J438">
        <v>0</v>
      </c>
      <c r="K438">
        <v>1</v>
      </c>
      <c r="L438">
        <v>2</v>
      </c>
      <c r="M438">
        <v>234</v>
      </c>
      <c r="N438">
        <v>338</v>
      </c>
      <c r="O438">
        <v>2</v>
      </c>
      <c r="P438">
        <v>338</v>
      </c>
      <c r="Q438">
        <v>7</v>
      </c>
      <c r="R438">
        <v>40</v>
      </c>
      <c r="S438">
        <v>107</v>
      </c>
      <c r="T438">
        <v>24</v>
      </c>
      <c r="U438">
        <v>3</v>
      </c>
      <c r="V438">
        <v>6</v>
      </c>
      <c r="W438">
        <v>0</v>
      </c>
      <c r="X438">
        <v>54</v>
      </c>
      <c r="Y438">
        <v>65</v>
      </c>
      <c r="Z438">
        <v>12</v>
      </c>
      <c r="AA438">
        <v>4</v>
      </c>
      <c r="AB438">
        <v>3</v>
      </c>
      <c r="AD438">
        <v>0</v>
      </c>
      <c r="AE438">
        <v>0</v>
      </c>
      <c r="AF438">
        <v>0</v>
      </c>
      <c r="AG438">
        <v>0</v>
      </c>
      <c r="AI438">
        <v>0</v>
      </c>
      <c r="AJ438">
        <v>13</v>
      </c>
      <c r="AK438">
        <v>338</v>
      </c>
      <c r="AL438">
        <v>338</v>
      </c>
      <c r="AM438">
        <v>528</v>
      </c>
      <c r="AN438">
        <v>44</v>
      </c>
      <c r="AP438">
        <v>1</v>
      </c>
      <c r="AR438" s="2" t="s">
        <v>521</v>
      </c>
      <c r="AS438" s="1">
        <v>44353.966805555552</v>
      </c>
      <c r="AT438" s="1">
        <v>44353.969201388885</v>
      </c>
      <c r="AU438" s="1">
        <v>44353.969456018516</v>
      </c>
      <c r="AV438" t="s">
        <v>269</v>
      </c>
      <c r="AW438" t="s">
        <v>270</v>
      </c>
      <c r="AX438" t="s">
        <v>73</v>
      </c>
    </row>
    <row r="439" spans="1:50" x14ac:dyDescent="0.3">
      <c r="A439" t="str">
        <f>"200334B0000"</f>
        <v>200334B0000</v>
      </c>
      <c r="B439" t="str">
        <f>"200334B00002"</f>
        <v>200334B00002</v>
      </c>
      <c r="C439" t="str">
        <f t="shared" si="20"/>
        <v>20</v>
      </c>
      <c r="D439" t="s">
        <v>67</v>
      </c>
      <c r="E439" t="str">
        <f t="shared" si="22"/>
        <v>003</v>
      </c>
      <c r="F439" t="s">
        <v>511</v>
      </c>
      <c r="G439" t="str">
        <f>"0334"</f>
        <v>0334</v>
      </c>
      <c r="H439" t="str">
        <f>"0000"</f>
        <v>0000</v>
      </c>
      <c r="I439" t="s">
        <v>69</v>
      </c>
      <c r="J439">
        <v>0</v>
      </c>
      <c r="K439">
        <v>1</v>
      </c>
      <c r="L439">
        <v>2</v>
      </c>
      <c r="M439">
        <v>210</v>
      </c>
      <c r="N439" t="s">
        <v>80</v>
      </c>
      <c r="O439" t="s">
        <v>80</v>
      </c>
      <c r="P439" t="s">
        <v>80</v>
      </c>
      <c r="Q439">
        <v>5</v>
      </c>
      <c r="R439">
        <v>46</v>
      </c>
      <c r="S439">
        <v>85</v>
      </c>
      <c r="T439">
        <v>6</v>
      </c>
      <c r="U439">
        <v>1</v>
      </c>
      <c r="V439">
        <v>3</v>
      </c>
      <c r="W439">
        <v>3</v>
      </c>
      <c r="X439">
        <v>56</v>
      </c>
      <c r="Y439">
        <v>40</v>
      </c>
      <c r="Z439">
        <v>1</v>
      </c>
      <c r="AA439">
        <v>0</v>
      </c>
      <c r="AB439">
        <v>11</v>
      </c>
      <c r="AD439">
        <v>0</v>
      </c>
      <c r="AE439">
        <v>0</v>
      </c>
      <c r="AF439">
        <v>0</v>
      </c>
      <c r="AG439">
        <v>0</v>
      </c>
      <c r="AI439">
        <v>0</v>
      </c>
      <c r="AJ439">
        <v>13</v>
      </c>
      <c r="AK439">
        <v>265</v>
      </c>
      <c r="AL439">
        <v>270</v>
      </c>
      <c r="AM439">
        <v>431</v>
      </c>
      <c r="AN439">
        <v>44</v>
      </c>
      <c r="AP439">
        <v>1</v>
      </c>
      <c r="AR439" t="s">
        <v>522</v>
      </c>
      <c r="AS439" s="1">
        <v>44354.022916666669</v>
      </c>
      <c r="AT439" s="1">
        <v>44354.030381944445</v>
      </c>
      <c r="AU439" s="1">
        <v>44354.031064814815</v>
      </c>
      <c r="AV439" t="s">
        <v>71</v>
      </c>
      <c r="AW439" t="s">
        <v>72</v>
      </c>
      <c r="AX439" t="s">
        <v>73</v>
      </c>
    </row>
    <row r="440" spans="1:50" x14ac:dyDescent="0.3">
      <c r="A440" t="str">
        <f>"200334C0100"</f>
        <v>200334C0100</v>
      </c>
      <c r="B440" t="str">
        <f>"200334C01002"</f>
        <v>200334C01002</v>
      </c>
      <c r="C440" t="str">
        <f t="shared" si="20"/>
        <v>20</v>
      </c>
      <c r="D440" t="s">
        <v>67</v>
      </c>
      <c r="E440" t="str">
        <f t="shared" si="22"/>
        <v>003</v>
      </c>
      <c r="F440" t="s">
        <v>511</v>
      </c>
      <c r="G440" t="str">
        <f>"0334"</f>
        <v>0334</v>
      </c>
      <c r="H440" t="str">
        <f>"0001"</f>
        <v>0001</v>
      </c>
      <c r="I440" t="s">
        <v>75</v>
      </c>
      <c r="J440">
        <v>0</v>
      </c>
      <c r="K440">
        <v>1</v>
      </c>
      <c r="L440">
        <v>2</v>
      </c>
      <c r="M440">
        <v>218</v>
      </c>
      <c r="N440">
        <v>257</v>
      </c>
      <c r="O440">
        <v>12</v>
      </c>
      <c r="P440">
        <v>257</v>
      </c>
      <c r="Q440">
        <v>6</v>
      </c>
      <c r="R440">
        <v>39</v>
      </c>
      <c r="S440">
        <v>91</v>
      </c>
      <c r="T440">
        <v>8</v>
      </c>
      <c r="U440">
        <v>1</v>
      </c>
      <c r="V440">
        <v>1</v>
      </c>
      <c r="W440">
        <v>3</v>
      </c>
      <c r="X440">
        <v>54</v>
      </c>
      <c r="Y440">
        <v>34</v>
      </c>
      <c r="Z440">
        <v>2</v>
      </c>
      <c r="AA440">
        <v>0</v>
      </c>
      <c r="AB440">
        <v>1</v>
      </c>
      <c r="AD440">
        <v>0</v>
      </c>
      <c r="AE440">
        <v>0</v>
      </c>
      <c r="AF440">
        <v>0</v>
      </c>
      <c r="AG440">
        <v>1</v>
      </c>
      <c r="AI440">
        <v>0</v>
      </c>
      <c r="AJ440">
        <v>16</v>
      </c>
      <c r="AK440">
        <v>257</v>
      </c>
      <c r="AL440">
        <v>257</v>
      </c>
      <c r="AM440">
        <v>431</v>
      </c>
      <c r="AN440">
        <v>44</v>
      </c>
      <c r="AP440">
        <v>1</v>
      </c>
      <c r="AR440" t="s">
        <v>523</v>
      </c>
      <c r="AS440" s="1">
        <v>44354.026388888888</v>
      </c>
      <c r="AT440" s="1">
        <v>44354.036006944443</v>
      </c>
      <c r="AU440" s="1">
        <v>44354.036851851852</v>
      </c>
      <c r="AV440" t="s">
        <v>71</v>
      </c>
      <c r="AW440" t="s">
        <v>72</v>
      </c>
      <c r="AX440" t="s">
        <v>73</v>
      </c>
    </row>
    <row r="441" spans="1:50" x14ac:dyDescent="0.3">
      <c r="A441" t="str">
        <f>"200335B0000"</f>
        <v>200335B0000</v>
      </c>
      <c r="B441" t="str">
        <f>"200335B00002"</f>
        <v>200335B00002</v>
      </c>
      <c r="C441" t="str">
        <f t="shared" si="20"/>
        <v>20</v>
      </c>
      <c r="D441" t="s">
        <v>67</v>
      </c>
      <c r="E441" t="str">
        <f t="shared" si="22"/>
        <v>003</v>
      </c>
      <c r="F441" t="s">
        <v>511</v>
      </c>
      <c r="G441" t="str">
        <f>"0335"</f>
        <v>0335</v>
      </c>
      <c r="H441" t="str">
        <f>"0000"</f>
        <v>0000</v>
      </c>
      <c r="I441" t="s">
        <v>69</v>
      </c>
      <c r="J441">
        <v>0</v>
      </c>
      <c r="K441">
        <v>1</v>
      </c>
      <c r="L441">
        <v>2</v>
      </c>
      <c r="M441">
        <v>336</v>
      </c>
      <c r="N441">
        <v>322</v>
      </c>
      <c r="O441">
        <v>2</v>
      </c>
      <c r="P441">
        <v>322</v>
      </c>
      <c r="Q441">
        <v>13</v>
      </c>
      <c r="R441">
        <v>51</v>
      </c>
      <c r="S441">
        <v>104</v>
      </c>
      <c r="T441">
        <v>15</v>
      </c>
      <c r="U441">
        <v>2</v>
      </c>
      <c r="V441">
        <v>1</v>
      </c>
      <c r="W441">
        <v>0</v>
      </c>
      <c r="X441">
        <v>63</v>
      </c>
      <c r="Y441">
        <v>52</v>
      </c>
      <c r="Z441">
        <v>4</v>
      </c>
      <c r="AA441">
        <v>1</v>
      </c>
      <c r="AB441">
        <v>5</v>
      </c>
      <c r="AD441">
        <v>0</v>
      </c>
      <c r="AE441">
        <v>0</v>
      </c>
      <c r="AF441">
        <v>0</v>
      </c>
      <c r="AG441">
        <v>0</v>
      </c>
      <c r="AI441">
        <v>0</v>
      </c>
      <c r="AJ441">
        <v>0</v>
      </c>
      <c r="AK441">
        <v>0</v>
      </c>
      <c r="AL441">
        <v>311</v>
      </c>
      <c r="AM441">
        <v>614</v>
      </c>
      <c r="AN441">
        <v>44</v>
      </c>
      <c r="AP441">
        <v>1</v>
      </c>
      <c r="AR441" t="s">
        <v>524</v>
      </c>
      <c r="AS441" s="1">
        <v>44354.190972222219</v>
      </c>
      <c r="AT441" s="1">
        <v>44354.195185185185</v>
      </c>
      <c r="AU441" s="1">
        <v>44354.195706018516</v>
      </c>
      <c r="AV441" t="s">
        <v>71</v>
      </c>
      <c r="AW441" t="s">
        <v>72</v>
      </c>
      <c r="AX441" t="s">
        <v>73</v>
      </c>
    </row>
    <row r="442" spans="1:50" x14ac:dyDescent="0.3">
      <c r="A442" t="str">
        <f>"200335C0100"</f>
        <v>200335C0100</v>
      </c>
      <c r="B442" t="str">
        <f>"200335C01002"</f>
        <v>200335C01002</v>
      </c>
      <c r="C442" t="str">
        <f t="shared" si="20"/>
        <v>20</v>
      </c>
      <c r="D442" t="s">
        <v>67</v>
      </c>
      <c r="E442" t="str">
        <f t="shared" si="22"/>
        <v>003</v>
      </c>
      <c r="F442" t="s">
        <v>511</v>
      </c>
      <c r="G442" t="str">
        <f>"0335"</f>
        <v>0335</v>
      </c>
      <c r="H442" t="str">
        <f>"0001"</f>
        <v>0001</v>
      </c>
      <c r="I442" t="s">
        <v>75</v>
      </c>
      <c r="J442">
        <v>0</v>
      </c>
      <c r="K442">
        <v>1</v>
      </c>
      <c r="L442">
        <v>2</v>
      </c>
      <c r="M442">
        <v>317</v>
      </c>
      <c r="N442">
        <v>341</v>
      </c>
      <c r="O442">
        <v>7</v>
      </c>
      <c r="P442" t="s">
        <v>80</v>
      </c>
      <c r="Q442">
        <v>10</v>
      </c>
      <c r="R442">
        <v>43</v>
      </c>
      <c r="S442">
        <v>124</v>
      </c>
      <c r="T442">
        <v>6</v>
      </c>
      <c r="U442">
        <v>2</v>
      </c>
      <c r="V442">
        <v>2</v>
      </c>
      <c r="W442">
        <v>1</v>
      </c>
      <c r="X442">
        <v>69</v>
      </c>
      <c r="Y442">
        <v>55</v>
      </c>
      <c r="Z442">
        <v>2</v>
      </c>
      <c r="AA442">
        <v>2</v>
      </c>
      <c r="AB442">
        <v>2</v>
      </c>
      <c r="AD442">
        <v>0</v>
      </c>
      <c r="AE442">
        <v>0</v>
      </c>
      <c r="AF442">
        <v>2</v>
      </c>
      <c r="AG442">
        <v>1</v>
      </c>
      <c r="AI442">
        <v>0</v>
      </c>
      <c r="AJ442">
        <v>16</v>
      </c>
      <c r="AK442">
        <v>341</v>
      </c>
      <c r="AL442">
        <v>337</v>
      </c>
      <c r="AM442">
        <v>614</v>
      </c>
      <c r="AN442">
        <v>44</v>
      </c>
      <c r="AP442">
        <v>1</v>
      </c>
      <c r="AR442" t="s">
        <v>525</v>
      </c>
      <c r="AS442" s="1">
        <v>44354.103680555556</v>
      </c>
      <c r="AT442" s="1">
        <v>44354.10533564815</v>
      </c>
      <c r="AU442" s="1">
        <v>44354.105752314812</v>
      </c>
      <c r="AV442" t="s">
        <v>269</v>
      </c>
      <c r="AW442" t="s">
        <v>270</v>
      </c>
      <c r="AX442" t="s">
        <v>73</v>
      </c>
    </row>
    <row r="443" spans="1:50" x14ac:dyDescent="0.3">
      <c r="A443" t="str">
        <f>"200336B0000"</f>
        <v>200336B0000</v>
      </c>
      <c r="B443" t="str">
        <f>"200336B00002"</f>
        <v>200336B00002</v>
      </c>
      <c r="C443" t="str">
        <f t="shared" si="20"/>
        <v>20</v>
      </c>
      <c r="D443" t="s">
        <v>67</v>
      </c>
      <c r="E443" t="str">
        <f t="shared" si="22"/>
        <v>003</v>
      </c>
      <c r="F443" t="s">
        <v>511</v>
      </c>
      <c r="G443" t="str">
        <f>"0336"</f>
        <v>0336</v>
      </c>
      <c r="H443" t="str">
        <f>"0000"</f>
        <v>0000</v>
      </c>
      <c r="I443" t="s">
        <v>69</v>
      </c>
      <c r="J443">
        <v>0</v>
      </c>
      <c r="K443">
        <v>1</v>
      </c>
      <c r="L443">
        <v>2</v>
      </c>
      <c r="M443">
        <v>214</v>
      </c>
      <c r="N443">
        <v>272</v>
      </c>
      <c r="O443">
        <v>5</v>
      </c>
      <c r="P443">
        <v>272</v>
      </c>
      <c r="Q443">
        <v>7</v>
      </c>
      <c r="R443">
        <v>31</v>
      </c>
      <c r="S443">
        <v>87</v>
      </c>
      <c r="T443">
        <v>5</v>
      </c>
      <c r="U443">
        <v>4</v>
      </c>
      <c r="V443">
        <v>3</v>
      </c>
      <c r="W443">
        <v>1</v>
      </c>
      <c r="X443">
        <v>71</v>
      </c>
      <c r="Y443">
        <v>46</v>
      </c>
      <c r="Z443">
        <v>10</v>
      </c>
      <c r="AA443">
        <v>0</v>
      </c>
      <c r="AB443">
        <v>3</v>
      </c>
      <c r="AD443">
        <v>0</v>
      </c>
      <c r="AE443">
        <v>0</v>
      </c>
      <c r="AF443">
        <v>0</v>
      </c>
      <c r="AG443">
        <v>0</v>
      </c>
      <c r="AI443">
        <v>0</v>
      </c>
      <c r="AJ443">
        <v>4</v>
      </c>
      <c r="AK443">
        <v>272</v>
      </c>
      <c r="AL443">
        <v>272</v>
      </c>
      <c r="AM443">
        <v>442</v>
      </c>
      <c r="AN443">
        <v>44</v>
      </c>
      <c r="AP443">
        <v>1</v>
      </c>
      <c r="AR443" t="s">
        <v>526</v>
      </c>
      <c r="AS443" s="1">
        <v>44354.066666666666</v>
      </c>
      <c r="AT443" s="1">
        <v>44354.07607638889</v>
      </c>
      <c r="AU443" s="1">
        <v>44354.076365740744</v>
      </c>
      <c r="AV443" t="s">
        <v>71</v>
      </c>
      <c r="AW443" t="s">
        <v>72</v>
      </c>
      <c r="AX443" t="s">
        <v>73</v>
      </c>
    </row>
    <row r="444" spans="1:50" x14ac:dyDescent="0.3">
      <c r="A444" t="str">
        <f>"200336C0100"</f>
        <v>200336C0100</v>
      </c>
      <c r="B444" t="str">
        <f>"200336C01002"</f>
        <v>200336C01002</v>
      </c>
      <c r="C444" t="str">
        <f t="shared" si="20"/>
        <v>20</v>
      </c>
      <c r="D444" t="s">
        <v>67</v>
      </c>
      <c r="E444" t="str">
        <f t="shared" si="22"/>
        <v>003</v>
      </c>
      <c r="F444" t="s">
        <v>511</v>
      </c>
      <c r="G444" t="str">
        <f>"0336"</f>
        <v>0336</v>
      </c>
      <c r="H444" t="str">
        <f>"0001"</f>
        <v>0001</v>
      </c>
      <c r="I444" t="s">
        <v>75</v>
      </c>
      <c r="J444">
        <v>0</v>
      </c>
      <c r="K444">
        <v>1</v>
      </c>
      <c r="L444">
        <v>2</v>
      </c>
      <c r="M444">
        <v>242</v>
      </c>
      <c r="N444">
        <v>244</v>
      </c>
      <c r="O444">
        <v>2</v>
      </c>
      <c r="P444">
        <v>244</v>
      </c>
      <c r="Q444">
        <v>3</v>
      </c>
      <c r="R444">
        <v>21</v>
      </c>
      <c r="S444">
        <v>77</v>
      </c>
      <c r="T444">
        <v>3</v>
      </c>
      <c r="U444">
        <v>1</v>
      </c>
      <c r="V444">
        <v>2</v>
      </c>
      <c r="W444">
        <v>0</v>
      </c>
      <c r="X444">
        <v>78</v>
      </c>
      <c r="Y444">
        <v>36</v>
      </c>
      <c r="Z444">
        <v>7</v>
      </c>
      <c r="AA444">
        <v>1</v>
      </c>
      <c r="AB444">
        <v>7</v>
      </c>
      <c r="AD444">
        <v>0</v>
      </c>
      <c r="AE444">
        <v>0</v>
      </c>
      <c r="AF444">
        <v>0</v>
      </c>
      <c r="AG444">
        <v>0</v>
      </c>
      <c r="AI444">
        <v>0</v>
      </c>
      <c r="AJ444">
        <v>8</v>
      </c>
      <c r="AK444">
        <v>244</v>
      </c>
      <c r="AL444">
        <v>244</v>
      </c>
      <c r="AM444">
        <v>442</v>
      </c>
      <c r="AN444">
        <v>44</v>
      </c>
      <c r="AP444">
        <v>1</v>
      </c>
      <c r="AR444" t="s">
        <v>527</v>
      </c>
      <c r="AS444" s="1">
        <v>44353.923819444448</v>
      </c>
      <c r="AT444" s="1">
        <v>44353.925729166665</v>
      </c>
      <c r="AU444" s="1">
        <v>44353.926458333335</v>
      </c>
      <c r="AV444" t="s">
        <v>269</v>
      </c>
      <c r="AW444" t="s">
        <v>270</v>
      </c>
      <c r="AX444" t="s">
        <v>73</v>
      </c>
    </row>
    <row r="445" spans="1:50" x14ac:dyDescent="0.3">
      <c r="A445" t="str">
        <f>"200337B0000"</f>
        <v>200337B0000</v>
      </c>
      <c r="B445" t="str">
        <f>"200337B00002"</f>
        <v>200337B00002</v>
      </c>
      <c r="C445" t="str">
        <f t="shared" si="20"/>
        <v>20</v>
      </c>
      <c r="D445" t="s">
        <v>67</v>
      </c>
      <c r="E445" t="str">
        <f t="shared" si="22"/>
        <v>003</v>
      </c>
      <c r="F445" t="s">
        <v>511</v>
      </c>
      <c r="G445" t="str">
        <f>"0337"</f>
        <v>0337</v>
      </c>
      <c r="H445" t="str">
        <f>"0000"</f>
        <v>0000</v>
      </c>
      <c r="I445" t="s">
        <v>69</v>
      </c>
      <c r="J445">
        <v>0</v>
      </c>
      <c r="K445">
        <v>1</v>
      </c>
      <c r="L445">
        <v>2</v>
      </c>
      <c r="M445">
        <v>198</v>
      </c>
      <c r="N445">
        <v>250</v>
      </c>
      <c r="O445">
        <v>2</v>
      </c>
      <c r="P445">
        <v>250</v>
      </c>
      <c r="Q445">
        <v>7</v>
      </c>
      <c r="R445">
        <v>44</v>
      </c>
      <c r="S445">
        <v>55</v>
      </c>
      <c r="T445">
        <v>12</v>
      </c>
      <c r="U445">
        <v>2</v>
      </c>
      <c r="V445">
        <v>3</v>
      </c>
      <c r="W445">
        <v>0</v>
      </c>
      <c r="X445">
        <v>69</v>
      </c>
      <c r="Y445">
        <v>34</v>
      </c>
      <c r="Z445">
        <v>4</v>
      </c>
      <c r="AA445">
        <v>1</v>
      </c>
      <c r="AB445">
        <v>1</v>
      </c>
      <c r="AD445">
        <v>2</v>
      </c>
      <c r="AE445">
        <v>0</v>
      </c>
      <c r="AF445">
        <v>1</v>
      </c>
      <c r="AG445">
        <v>0</v>
      </c>
      <c r="AI445">
        <v>1</v>
      </c>
      <c r="AJ445">
        <v>14</v>
      </c>
      <c r="AK445">
        <v>250</v>
      </c>
      <c r="AL445">
        <v>250</v>
      </c>
      <c r="AM445">
        <v>404</v>
      </c>
      <c r="AN445">
        <v>44</v>
      </c>
      <c r="AP445">
        <v>1</v>
      </c>
      <c r="AR445" t="s">
        <v>528</v>
      </c>
      <c r="AS445" s="1">
        <v>44353.998668981483</v>
      </c>
      <c r="AT445" s="1">
        <v>44354.003518518519</v>
      </c>
      <c r="AU445" s="1">
        <v>44354.004016203704</v>
      </c>
      <c r="AV445" t="s">
        <v>269</v>
      </c>
      <c r="AW445" t="s">
        <v>270</v>
      </c>
      <c r="AX445" t="s">
        <v>73</v>
      </c>
    </row>
    <row r="446" spans="1:50" x14ac:dyDescent="0.3">
      <c r="A446" t="str">
        <f>"200337C0100"</f>
        <v>200337C0100</v>
      </c>
      <c r="B446" t="str">
        <f>"200337C01002"</f>
        <v>200337C01002</v>
      </c>
      <c r="C446" t="str">
        <f t="shared" si="20"/>
        <v>20</v>
      </c>
      <c r="D446" t="s">
        <v>67</v>
      </c>
      <c r="E446" t="str">
        <f t="shared" si="22"/>
        <v>003</v>
      </c>
      <c r="F446" t="s">
        <v>511</v>
      </c>
      <c r="G446" t="str">
        <f>"0337"</f>
        <v>0337</v>
      </c>
      <c r="H446" t="str">
        <f>"0001"</f>
        <v>0001</v>
      </c>
      <c r="I446" t="s">
        <v>75</v>
      </c>
      <c r="J446">
        <v>0</v>
      </c>
      <c r="K446">
        <v>1</v>
      </c>
      <c r="L446">
        <v>2</v>
      </c>
      <c r="M446">
        <v>191</v>
      </c>
      <c r="N446">
        <v>264</v>
      </c>
      <c r="O446">
        <v>7</v>
      </c>
      <c r="P446">
        <v>257</v>
      </c>
      <c r="Q446">
        <v>9</v>
      </c>
      <c r="R446">
        <v>37</v>
      </c>
      <c r="S446">
        <v>64</v>
      </c>
      <c r="T446">
        <v>10</v>
      </c>
      <c r="U446">
        <v>0</v>
      </c>
      <c r="V446">
        <v>1</v>
      </c>
      <c r="W446">
        <v>0</v>
      </c>
      <c r="X446">
        <v>71</v>
      </c>
      <c r="Y446">
        <v>37</v>
      </c>
      <c r="Z446">
        <v>5</v>
      </c>
      <c r="AA446">
        <v>3</v>
      </c>
      <c r="AB446">
        <v>4</v>
      </c>
      <c r="AD446">
        <v>1</v>
      </c>
      <c r="AE446">
        <v>0</v>
      </c>
      <c r="AF446">
        <v>0</v>
      </c>
      <c r="AG446">
        <v>0</v>
      </c>
      <c r="AI446">
        <v>0</v>
      </c>
      <c r="AJ446">
        <v>15</v>
      </c>
      <c r="AK446">
        <v>257</v>
      </c>
      <c r="AL446">
        <v>257</v>
      </c>
      <c r="AM446">
        <v>404</v>
      </c>
      <c r="AN446">
        <v>44</v>
      </c>
      <c r="AP446">
        <v>1</v>
      </c>
      <c r="AR446" t="s">
        <v>529</v>
      </c>
      <c r="AS446" s="1">
        <v>44353.985474537039</v>
      </c>
      <c r="AT446" s="1">
        <v>44353.986770833333</v>
      </c>
      <c r="AU446" s="1">
        <v>44353.987314814818</v>
      </c>
      <c r="AV446" t="s">
        <v>269</v>
      </c>
      <c r="AW446" t="s">
        <v>270</v>
      </c>
      <c r="AX446" t="s">
        <v>73</v>
      </c>
    </row>
    <row r="447" spans="1:50" x14ac:dyDescent="0.3">
      <c r="A447" t="str">
        <f>"200338B0000"</f>
        <v>200338B0000</v>
      </c>
      <c r="B447" t="str">
        <f>"200338B00002"</f>
        <v>200338B00002</v>
      </c>
      <c r="C447" t="str">
        <f t="shared" si="20"/>
        <v>20</v>
      </c>
      <c r="D447" t="s">
        <v>67</v>
      </c>
      <c r="E447" t="str">
        <f t="shared" si="22"/>
        <v>003</v>
      </c>
      <c r="F447" t="s">
        <v>511</v>
      </c>
      <c r="G447" t="str">
        <f>"0338"</f>
        <v>0338</v>
      </c>
      <c r="H447" t="str">
        <f>"0000"</f>
        <v>0000</v>
      </c>
      <c r="I447" t="s">
        <v>69</v>
      </c>
      <c r="J447">
        <v>0</v>
      </c>
      <c r="K447">
        <v>1</v>
      </c>
      <c r="L447">
        <v>2</v>
      </c>
      <c r="M447">
        <v>222</v>
      </c>
      <c r="N447">
        <v>306</v>
      </c>
      <c r="O447">
        <v>2</v>
      </c>
      <c r="P447">
        <v>306</v>
      </c>
      <c r="Q447">
        <v>8</v>
      </c>
      <c r="R447">
        <v>25</v>
      </c>
      <c r="S447">
        <v>89</v>
      </c>
      <c r="T447">
        <v>8</v>
      </c>
      <c r="U447">
        <v>3</v>
      </c>
      <c r="V447">
        <v>3</v>
      </c>
      <c r="W447">
        <v>6</v>
      </c>
      <c r="X447">
        <v>86</v>
      </c>
      <c r="Y447">
        <v>49</v>
      </c>
      <c r="Z447">
        <v>10</v>
      </c>
      <c r="AA447">
        <v>1</v>
      </c>
      <c r="AB447">
        <v>13</v>
      </c>
      <c r="AD447">
        <v>0</v>
      </c>
      <c r="AE447">
        <v>0</v>
      </c>
      <c r="AF447">
        <v>0</v>
      </c>
      <c r="AG447">
        <v>0</v>
      </c>
      <c r="AI447">
        <v>0</v>
      </c>
      <c r="AJ447">
        <v>12</v>
      </c>
      <c r="AK447">
        <v>306</v>
      </c>
      <c r="AL447">
        <v>313</v>
      </c>
      <c r="AM447">
        <v>484</v>
      </c>
      <c r="AN447">
        <v>44</v>
      </c>
      <c r="AP447">
        <v>1</v>
      </c>
      <c r="AR447" t="s">
        <v>530</v>
      </c>
      <c r="AS447" s="1">
        <v>44353.932858796295</v>
      </c>
      <c r="AT447" s="1">
        <v>44353.934305555558</v>
      </c>
      <c r="AU447" s="1">
        <v>44353.935219907406</v>
      </c>
      <c r="AV447" t="s">
        <v>269</v>
      </c>
      <c r="AW447" t="s">
        <v>270</v>
      </c>
      <c r="AX447" t="s">
        <v>73</v>
      </c>
    </row>
    <row r="448" spans="1:50" x14ac:dyDescent="0.3">
      <c r="A448" t="str">
        <f>"200338C0100"</f>
        <v>200338C0100</v>
      </c>
      <c r="B448" t="str">
        <f>"200338C01002"</f>
        <v>200338C01002</v>
      </c>
      <c r="C448" t="str">
        <f t="shared" si="20"/>
        <v>20</v>
      </c>
      <c r="D448" t="s">
        <v>67</v>
      </c>
      <c r="E448" t="str">
        <f t="shared" si="22"/>
        <v>003</v>
      </c>
      <c r="F448" t="s">
        <v>511</v>
      </c>
      <c r="G448" t="str">
        <f>"0338"</f>
        <v>0338</v>
      </c>
      <c r="H448" t="str">
        <f>"0001"</f>
        <v>0001</v>
      </c>
      <c r="I448" t="s">
        <v>75</v>
      </c>
      <c r="J448">
        <v>0</v>
      </c>
      <c r="K448">
        <v>1</v>
      </c>
      <c r="L448">
        <v>2</v>
      </c>
      <c r="M448">
        <v>217</v>
      </c>
      <c r="N448">
        <v>309</v>
      </c>
      <c r="O448">
        <v>6</v>
      </c>
      <c r="P448">
        <v>310</v>
      </c>
      <c r="Q448">
        <v>9</v>
      </c>
      <c r="R448">
        <v>30</v>
      </c>
      <c r="S448">
        <v>86</v>
      </c>
      <c r="T448">
        <v>8</v>
      </c>
      <c r="U448">
        <v>2</v>
      </c>
      <c r="V448">
        <v>6</v>
      </c>
      <c r="W448">
        <v>4</v>
      </c>
      <c r="X448">
        <v>77</v>
      </c>
      <c r="Y448">
        <v>52</v>
      </c>
      <c r="Z448">
        <v>8</v>
      </c>
      <c r="AA448">
        <v>7</v>
      </c>
      <c r="AB448">
        <v>8</v>
      </c>
      <c r="AD448">
        <v>0</v>
      </c>
      <c r="AE448">
        <v>1</v>
      </c>
      <c r="AF448">
        <v>1</v>
      </c>
      <c r="AG448">
        <v>0</v>
      </c>
      <c r="AI448">
        <v>0</v>
      </c>
      <c r="AJ448">
        <v>17</v>
      </c>
      <c r="AK448">
        <v>300</v>
      </c>
      <c r="AL448">
        <v>316</v>
      </c>
      <c r="AM448">
        <v>483</v>
      </c>
      <c r="AN448">
        <v>44</v>
      </c>
      <c r="AP448">
        <v>1</v>
      </c>
      <c r="AR448" t="s">
        <v>531</v>
      </c>
      <c r="AS448" s="1">
        <v>44353.957384259258</v>
      </c>
      <c r="AT448" s="1">
        <v>44353.995115740741</v>
      </c>
      <c r="AU448" s="1">
        <v>44354.020833333336</v>
      </c>
      <c r="AV448" t="s">
        <v>269</v>
      </c>
      <c r="AW448" t="s">
        <v>270</v>
      </c>
      <c r="AX448" t="s">
        <v>73</v>
      </c>
    </row>
    <row r="449" spans="1:50" x14ac:dyDescent="0.3">
      <c r="A449" t="str">
        <f>"200339B0000"</f>
        <v>200339B0000</v>
      </c>
      <c r="B449" t="str">
        <f>"200339B00002"</f>
        <v>200339B00002</v>
      </c>
      <c r="C449" t="str">
        <f t="shared" si="20"/>
        <v>20</v>
      </c>
      <c r="D449" t="s">
        <v>67</v>
      </c>
      <c r="E449" t="str">
        <f t="shared" si="22"/>
        <v>003</v>
      </c>
      <c r="F449" t="s">
        <v>511</v>
      </c>
      <c r="G449" t="str">
        <f>"0339"</f>
        <v>0339</v>
      </c>
      <c r="H449" t="str">
        <f>"0000"</f>
        <v>0000</v>
      </c>
      <c r="I449" t="s">
        <v>69</v>
      </c>
      <c r="J449">
        <v>0</v>
      </c>
      <c r="K449">
        <v>1</v>
      </c>
      <c r="L449">
        <v>2</v>
      </c>
      <c r="M449">
        <v>212</v>
      </c>
      <c r="N449">
        <v>322</v>
      </c>
      <c r="O449">
        <v>4</v>
      </c>
      <c r="P449">
        <v>322</v>
      </c>
      <c r="Q449">
        <v>4</v>
      </c>
      <c r="R449">
        <v>41</v>
      </c>
      <c r="S449">
        <v>50</v>
      </c>
      <c r="T449">
        <v>11</v>
      </c>
      <c r="U449">
        <v>4</v>
      </c>
      <c r="V449">
        <v>4</v>
      </c>
      <c r="W449">
        <v>1</v>
      </c>
      <c r="X449">
        <v>90</v>
      </c>
      <c r="Y449">
        <v>51</v>
      </c>
      <c r="Z449">
        <v>9</v>
      </c>
      <c r="AA449">
        <v>1</v>
      </c>
      <c r="AB449">
        <v>4</v>
      </c>
      <c r="AD449">
        <v>0</v>
      </c>
      <c r="AE449">
        <v>0</v>
      </c>
      <c r="AF449">
        <v>1</v>
      </c>
      <c r="AG449">
        <v>0</v>
      </c>
      <c r="AI449" t="s">
        <v>77</v>
      </c>
      <c r="AJ449">
        <v>11</v>
      </c>
      <c r="AK449">
        <v>322</v>
      </c>
      <c r="AL449">
        <v>282</v>
      </c>
      <c r="AM449">
        <v>490</v>
      </c>
      <c r="AN449">
        <v>44</v>
      </c>
      <c r="AO449" t="s">
        <v>78</v>
      </c>
      <c r="AP449">
        <v>1</v>
      </c>
      <c r="AR449" t="s">
        <v>532</v>
      </c>
      <c r="AS449" s="1">
        <v>44353.967858796299</v>
      </c>
      <c r="AT449" s="1">
        <v>44353.969837962963</v>
      </c>
      <c r="AU449" s="1">
        <v>44353.970636574071</v>
      </c>
      <c r="AV449" t="s">
        <v>269</v>
      </c>
      <c r="AW449" t="s">
        <v>270</v>
      </c>
      <c r="AX449" t="s">
        <v>73</v>
      </c>
    </row>
    <row r="450" spans="1:50" x14ac:dyDescent="0.3">
      <c r="A450" t="str">
        <f>"200339C0100"</f>
        <v>200339C0100</v>
      </c>
      <c r="B450" t="str">
        <f>"200339C01002"</f>
        <v>200339C01002</v>
      </c>
      <c r="C450" t="str">
        <f t="shared" si="20"/>
        <v>20</v>
      </c>
      <c r="D450" t="s">
        <v>67</v>
      </c>
      <c r="E450" t="str">
        <f t="shared" si="22"/>
        <v>003</v>
      </c>
      <c r="F450" t="s">
        <v>511</v>
      </c>
      <c r="G450" t="str">
        <f>"0339"</f>
        <v>0339</v>
      </c>
      <c r="H450" t="str">
        <f>"0001"</f>
        <v>0001</v>
      </c>
      <c r="I450" t="s">
        <v>75</v>
      </c>
      <c r="J450">
        <v>0</v>
      </c>
      <c r="K450">
        <v>1</v>
      </c>
      <c r="L450">
        <v>2</v>
      </c>
      <c r="M450">
        <v>239</v>
      </c>
      <c r="N450">
        <v>295</v>
      </c>
      <c r="O450">
        <v>1</v>
      </c>
      <c r="P450">
        <v>295</v>
      </c>
      <c r="Q450">
        <v>8</v>
      </c>
      <c r="R450">
        <v>37</v>
      </c>
      <c r="S450">
        <v>85</v>
      </c>
      <c r="T450">
        <v>6</v>
      </c>
      <c r="U450">
        <v>1</v>
      </c>
      <c r="V450">
        <v>2</v>
      </c>
      <c r="W450">
        <v>0</v>
      </c>
      <c r="X450">
        <v>81</v>
      </c>
      <c r="Y450">
        <v>56</v>
      </c>
      <c r="Z450">
        <v>7</v>
      </c>
      <c r="AA450">
        <v>1</v>
      </c>
      <c r="AB450">
        <v>4</v>
      </c>
      <c r="AD450">
        <v>0</v>
      </c>
      <c r="AE450">
        <v>0</v>
      </c>
      <c r="AF450">
        <v>0</v>
      </c>
      <c r="AG450">
        <v>0</v>
      </c>
      <c r="AI450">
        <v>0</v>
      </c>
      <c r="AJ450">
        <v>7</v>
      </c>
      <c r="AK450">
        <v>295</v>
      </c>
      <c r="AL450">
        <v>295</v>
      </c>
      <c r="AM450">
        <v>490</v>
      </c>
      <c r="AN450">
        <v>44</v>
      </c>
      <c r="AP450">
        <v>1</v>
      </c>
      <c r="AR450" t="s">
        <v>533</v>
      </c>
      <c r="AS450" s="1">
        <v>44353.970243055555</v>
      </c>
      <c r="AT450" s="1">
        <v>44353.971365740741</v>
      </c>
      <c r="AU450" s="1">
        <v>44353.97210648148</v>
      </c>
      <c r="AV450" t="s">
        <v>269</v>
      </c>
      <c r="AW450" t="s">
        <v>270</v>
      </c>
      <c r="AX450" t="s">
        <v>73</v>
      </c>
    </row>
    <row r="451" spans="1:50" x14ac:dyDescent="0.3">
      <c r="A451" t="str">
        <f>"200340B0000"</f>
        <v>200340B0000</v>
      </c>
      <c r="B451" t="str">
        <f>"200340B00002"</f>
        <v>200340B00002</v>
      </c>
      <c r="C451" t="str">
        <f t="shared" si="20"/>
        <v>20</v>
      </c>
      <c r="D451" t="s">
        <v>67</v>
      </c>
      <c r="E451" t="str">
        <f t="shared" si="22"/>
        <v>003</v>
      </c>
      <c r="F451" t="s">
        <v>511</v>
      </c>
      <c r="G451" t="str">
        <f>"0340"</f>
        <v>0340</v>
      </c>
      <c r="H451" t="str">
        <f>"0000"</f>
        <v>0000</v>
      </c>
      <c r="I451" t="s">
        <v>69</v>
      </c>
      <c r="J451">
        <v>0</v>
      </c>
      <c r="K451">
        <v>1</v>
      </c>
      <c r="L451">
        <v>2</v>
      </c>
      <c r="M451">
        <v>176</v>
      </c>
      <c r="N451">
        <v>263</v>
      </c>
      <c r="O451">
        <v>2</v>
      </c>
      <c r="P451">
        <v>264</v>
      </c>
      <c r="Q451">
        <v>6</v>
      </c>
      <c r="R451">
        <v>34</v>
      </c>
      <c r="S451">
        <v>85</v>
      </c>
      <c r="T451">
        <v>1</v>
      </c>
      <c r="U451">
        <v>2</v>
      </c>
      <c r="V451">
        <v>0</v>
      </c>
      <c r="W451">
        <v>1</v>
      </c>
      <c r="X451">
        <v>61</v>
      </c>
      <c r="Y451">
        <v>37</v>
      </c>
      <c r="Z451">
        <v>16</v>
      </c>
      <c r="AA451">
        <v>3</v>
      </c>
      <c r="AB451">
        <v>5</v>
      </c>
      <c r="AD451">
        <v>0</v>
      </c>
      <c r="AE451">
        <v>0</v>
      </c>
      <c r="AF451">
        <v>0</v>
      </c>
      <c r="AG451">
        <v>0</v>
      </c>
      <c r="AI451">
        <v>0</v>
      </c>
      <c r="AJ451">
        <v>13</v>
      </c>
      <c r="AK451">
        <v>264</v>
      </c>
      <c r="AL451">
        <v>264</v>
      </c>
      <c r="AM451">
        <v>396</v>
      </c>
      <c r="AN451">
        <v>44</v>
      </c>
      <c r="AP451">
        <v>1</v>
      </c>
      <c r="AR451" t="s">
        <v>534</v>
      </c>
      <c r="AS451" s="1">
        <v>44354.13958333333</v>
      </c>
      <c r="AT451" s="1">
        <v>44354.143530092595</v>
      </c>
      <c r="AU451" s="1">
        <v>44354.14398148148</v>
      </c>
      <c r="AV451" t="s">
        <v>71</v>
      </c>
      <c r="AW451" t="s">
        <v>72</v>
      </c>
      <c r="AX451" t="s">
        <v>73</v>
      </c>
    </row>
    <row r="452" spans="1:50" x14ac:dyDescent="0.3">
      <c r="A452" t="str">
        <f>"200340C0100"</f>
        <v>200340C0100</v>
      </c>
      <c r="B452" t="str">
        <f>"200340C01002"</f>
        <v>200340C01002</v>
      </c>
      <c r="C452" t="str">
        <f t="shared" si="20"/>
        <v>20</v>
      </c>
      <c r="D452" t="s">
        <v>67</v>
      </c>
      <c r="E452" t="str">
        <f t="shared" si="22"/>
        <v>003</v>
      </c>
      <c r="F452" t="s">
        <v>511</v>
      </c>
      <c r="G452" t="str">
        <f>"0340"</f>
        <v>0340</v>
      </c>
      <c r="H452" t="str">
        <f>"0001"</f>
        <v>0001</v>
      </c>
      <c r="I452" t="s">
        <v>75</v>
      </c>
      <c r="J452">
        <v>0</v>
      </c>
      <c r="K452">
        <v>1</v>
      </c>
      <c r="L452">
        <v>2</v>
      </c>
      <c r="M452">
        <v>200</v>
      </c>
      <c r="N452">
        <v>480</v>
      </c>
      <c r="O452">
        <v>3</v>
      </c>
      <c r="P452">
        <v>235</v>
      </c>
      <c r="Q452">
        <v>4</v>
      </c>
      <c r="R452">
        <v>34</v>
      </c>
      <c r="S452">
        <v>77</v>
      </c>
      <c r="T452">
        <v>5</v>
      </c>
      <c r="U452">
        <v>3</v>
      </c>
      <c r="V452">
        <v>0</v>
      </c>
      <c r="W452">
        <v>0</v>
      </c>
      <c r="X452">
        <v>62</v>
      </c>
      <c r="Y452">
        <v>34</v>
      </c>
      <c r="Z452">
        <v>13</v>
      </c>
      <c r="AA452">
        <v>0</v>
      </c>
      <c r="AB452">
        <v>2</v>
      </c>
      <c r="AD452">
        <v>0</v>
      </c>
      <c r="AE452">
        <v>0</v>
      </c>
      <c r="AF452">
        <v>0</v>
      </c>
      <c r="AG452">
        <v>0</v>
      </c>
      <c r="AI452">
        <v>0</v>
      </c>
      <c r="AJ452">
        <v>6</v>
      </c>
      <c r="AK452">
        <v>240</v>
      </c>
      <c r="AL452">
        <v>240</v>
      </c>
      <c r="AM452">
        <v>396</v>
      </c>
      <c r="AN452">
        <v>44</v>
      </c>
      <c r="AP452">
        <v>1</v>
      </c>
      <c r="AR452" t="s">
        <v>535</v>
      </c>
      <c r="AS452" s="1">
        <v>44353.931944444441</v>
      </c>
      <c r="AT452" s="1">
        <v>44354.143055555556</v>
      </c>
      <c r="AU452" s="1">
        <v>44354.143912037034</v>
      </c>
      <c r="AV452" t="s">
        <v>71</v>
      </c>
      <c r="AW452" t="s">
        <v>72</v>
      </c>
      <c r="AX452" t="s">
        <v>73</v>
      </c>
    </row>
    <row r="453" spans="1:50" x14ac:dyDescent="0.3">
      <c r="A453" t="str">
        <f>"200341B0000"</f>
        <v>200341B0000</v>
      </c>
      <c r="B453" t="str">
        <f>"200341B00002"</f>
        <v>200341B00002</v>
      </c>
      <c r="C453" t="str">
        <f t="shared" si="20"/>
        <v>20</v>
      </c>
      <c r="D453" t="s">
        <v>67</v>
      </c>
      <c r="E453" t="str">
        <f t="shared" si="22"/>
        <v>003</v>
      </c>
      <c r="F453" t="s">
        <v>511</v>
      </c>
      <c r="G453" t="str">
        <f>"0341"</f>
        <v>0341</v>
      </c>
      <c r="H453" t="str">
        <f>"0000"</f>
        <v>0000</v>
      </c>
      <c r="I453" t="s">
        <v>69</v>
      </c>
      <c r="J453">
        <v>0</v>
      </c>
      <c r="K453">
        <v>1</v>
      </c>
      <c r="L453">
        <v>2</v>
      </c>
      <c r="M453">
        <v>344</v>
      </c>
      <c r="N453">
        <v>379</v>
      </c>
      <c r="O453">
        <v>1</v>
      </c>
      <c r="P453" t="s">
        <v>80</v>
      </c>
      <c r="Q453">
        <v>16</v>
      </c>
      <c r="R453">
        <v>33</v>
      </c>
      <c r="S453">
        <v>142</v>
      </c>
      <c r="T453">
        <v>12</v>
      </c>
      <c r="U453">
        <v>1</v>
      </c>
      <c r="V453">
        <v>0</v>
      </c>
      <c r="W453">
        <v>1</v>
      </c>
      <c r="X453">
        <v>76</v>
      </c>
      <c r="Y453">
        <v>41</v>
      </c>
      <c r="Z453">
        <v>26</v>
      </c>
      <c r="AA453">
        <v>1</v>
      </c>
      <c r="AB453">
        <v>7</v>
      </c>
      <c r="AD453">
        <v>0</v>
      </c>
      <c r="AE453">
        <v>1</v>
      </c>
      <c r="AF453">
        <v>0</v>
      </c>
      <c r="AG453">
        <v>0</v>
      </c>
      <c r="AI453">
        <v>0</v>
      </c>
      <c r="AJ453">
        <v>22</v>
      </c>
      <c r="AK453">
        <v>379</v>
      </c>
      <c r="AL453">
        <v>379</v>
      </c>
      <c r="AM453">
        <v>679</v>
      </c>
      <c r="AN453">
        <v>44</v>
      </c>
      <c r="AP453">
        <v>1</v>
      </c>
      <c r="AR453" t="s">
        <v>536</v>
      </c>
      <c r="AS453" s="1">
        <v>44354.045138888891</v>
      </c>
      <c r="AT453" s="1">
        <v>44354.053229166668</v>
      </c>
      <c r="AU453" s="1">
        <v>44354.053819444445</v>
      </c>
      <c r="AV453" t="s">
        <v>71</v>
      </c>
      <c r="AW453" t="s">
        <v>72</v>
      </c>
      <c r="AX453" t="s">
        <v>73</v>
      </c>
    </row>
    <row r="454" spans="1:50" x14ac:dyDescent="0.3">
      <c r="A454" t="str">
        <f>"200341C0100"</f>
        <v>200341C0100</v>
      </c>
      <c r="B454" t="str">
        <f>"200341C01002"</f>
        <v>200341C01002</v>
      </c>
      <c r="C454" t="str">
        <f t="shared" si="20"/>
        <v>20</v>
      </c>
      <c r="D454" t="s">
        <v>67</v>
      </c>
      <c r="E454" t="str">
        <f t="shared" si="22"/>
        <v>003</v>
      </c>
      <c r="F454" t="s">
        <v>511</v>
      </c>
      <c r="G454" t="str">
        <f>"0341"</f>
        <v>0341</v>
      </c>
      <c r="H454" t="str">
        <f>"0001"</f>
        <v>0001</v>
      </c>
      <c r="I454" t="s">
        <v>75</v>
      </c>
      <c r="J454">
        <v>0</v>
      </c>
      <c r="K454">
        <v>1</v>
      </c>
      <c r="L454">
        <v>2</v>
      </c>
      <c r="M454">
        <v>343</v>
      </c>
      <c r="N454">
        <v>380</v>
      </c>
      <c r="O454">
        <v>0</v>
      </c>
      <c r="P454">
        <v>379</v>
      </c>
      <c r="Q454">
        <v>10</v>
      </c>
      <c r="R454">
        <v>32</v>
      </c>
      <c r="S454">
        <v>153</v>
      </c>
      <c r="T454">
        <v>12</v>
      </c>
      <c r="U454">
        <v>3</v>
      </c>
      <c r="V454">
        <v>2</v>
      </c>
      <c r="W454">
        <v>3</v>
      </c>
      <c r="X454">
        <v>87</v>
      </c>
      <c r="Y454">
        <v>54</v>
      </c>
      <c r="Z454">
        <v>10</v>
      </c>
      <c r="AA454">
        <v>2</v>
      </c>
      <c r="AB454">
        <v>0</v>
      </c>
      <c r="AD454">
        <v>0</v>
      </c>
      <c r="AE454">
        <v>0</v>
      </c>
      <c r="AF454">
        <v>1</v>
      </c>
      <c r="AG454">
        <v>1</v>
      </c>
      <c r="AI454">
        <v>0</v>
      </c>
      <c r="AJ454">
        <v>9</v>
      </c>
      <c r="AK454">
        <v>379</v>
      </c>
      <c r="AL454">
        <v>379</v>
      </c>
      <c r="AM454">
        <v>679</v>
      </c>
      <c r="AN454">
        <v>44</v>
      </c>
      <c r="AP454">
        <v>1</v>
      </c>
      <c r="AR454" t="s">
        <v>537</v>
      </c>
      <c r="AS454" s="1">
        <v>44354.013715277775</v>
      </c>
      <c r="AT454" s="1">
        <v>44354.020162037035</v>
      </c>
      <c r="AU454" s="1">
        <v>44354.020567129628</v>
      </c>
      <c r="AV454" t="s">
        <v>269</v>
      </c>
      <c r="AW454" t="s">
        <v>270</v>
      </c>
      <c r="AX454" t="s">
        <v>73</v>
      </c>
    </row>
    <row r="455" spans="1:50" x14ac:dyDescent="0.3">
      <c r="A455" t="str">
        <f>"200341C0200"</f>
        <v>200341C0200</v>
      </c>
      <c r="B455" t="str">
        <f>"200341C02002"</f>
        <v>200341C02002</v>
      </c>
      <c r="C455" t="str">
        <f t="shared" ref="C455:C518" si="23">"20"</f>
        <v>20</v>
      </c>
      <c r="D455" t="s">
        <v>67</v>
      </c>
      <c r="E455" t="str">
        <f t="shared" si="22"/>
        <v>003</v>
      </c>
      <c r="F455" t="s">
        <v>511</v>
      </c>
      <c r="G455" t="str">
        <f>"0341"</f>
        <v>0341</v>
      </c>
      <c r="H455" t="str">
        <f>"0002"</f>
        <v>0002</v>
      </c>
      <c r="I455" t="s">
        <v>75</v>
      </c>
      <c r="J455">
        <v>0</v>
      </c>
      <c r="K455">
        <v>1</v>
      </c>
      <c r="L455">
        <v>2</v>
      </c>
      <c r="M455">
        <v>335</v>
      </c>
      <c r="N455">
        <v>388</v>
      </c>
      <c r="O455">
        <v>0</v>
      </c>
      <c r="P455">
        <v>388</v>
      </c>
      <c r="Q455">
        <v>9</v>
      </c>
      <c r="R455">
        <v>38</v>
      </c>
      <c r="S455">
        <v>148</v>
      </c>
      <c r="T455">
        <v>20</v>
      </c>
      <c r="U455">
        <v>2</v>
      </c>
      <c r="V455">
        <v>4</v>
      </c>
      <c r="W455">
        <v>4</v>
      </c>
      <c r="X455">
        <v>65</v>
      </c>
      <c r="Y455">
        <v>62</v>
      </c>
      <c r="Z455">
        <v>2</v>
      </c>
      <c r="AA455">
        <v>5</v>
      </c>
      <c r="AB455">
        <v>3</v>
      </c>
      <c r="AD455">
        <v>1</v>
      </c>
      <c r="AE455">
        <v>1</v>
      </c>
      <c r="AF455">
        <v>0</v>
      </c>
      <c r="AG455">
        <v>1</v>
      </c>
      <c r="AI455">
        <v>0</v>
      </c>
      <c r="AJ455">
        <v>13</v>
      </c>
      <c r="AK455">
        <v>388</v>
      </c>
      <c r="AL455">
        <v>378</v>
      </c>
      <c r="AM455">
        <v>679</v>
      </c>
      <c r="AN455">
        <v>44</v>
      </c>
      <c r="AP455">
        <v>1</v>
      </c>
      <c r="AR455" t="s">
        <v>538</v>
      </c>
      <c r="AS455" s="1">
        <v>44354.00744212963</v>
      </c>
      <c r="AT455" s="1">
        <v>44354.012638888889</v>
      </c>
      <c r="AU455" s="1">
        <v>44354.013229166667</v>
      </c>
      <c r="AV455" t="s">
        <v>269</v>
      </c>
      <c r="AW455" t="s">
        <v>270</v>
      </c>
      <c r="AX455" t="s">
        <v>73</v>
      </c>
    </row>
    <row r="456" spans="1:50" x14ac:dyDescent="0.3">
      <c r="A456" t="str">
        <f>"200342B0000"</f>
        <v>200342B0000</v>
      </c>
      <c r="B456" t="str">
        <f>"200342B00002"</f>
        <v>200342B00002</v>
      </c>
      <c r="C456" t="str">
        <f t="shared" si="23"/>
        <v>20</v>
      </c>
      <c r="D456" t="s">
        <v>67</v>
      </c>
      <c r="E456" t="str">
        <f t="shared" si="22"/>
        <v>003</v>
      </c>
      <c r="F456" t="s">
        <v>511</v>
      </c>
      <c r="G456" t="str">
        <f>"0342"</f>
        <v>0342</v>
      </c>
      <c r="H456" t="str">
        <f>"0000"</f>
        <v>0000</v>
      </c>
      <c r="I456" t="s">
        <v>69</v>
      </c>
      <c r="J456">
        <v>0</v>
      </c>
      <c r="K456">
        <v>1</v>
      </c>
      <c r="L456">
        <v>2</v>
      </c>
      <c r="M456">
        <v>235</v>
      </c>
      <c r="N456">
        <v>276</v>
      </c>
      <c r="O456">
        <v>0</v>
      </c>
      <c r="P456">
        <v>277</v>
      </c>
      <c r="Q456">
        <v>8</v>
      </c>
      <c r="R456">
        <v>36</v>
      </c>
      <c r="S456">
        <v>70</v>
      </c>
      <c r="T456">
        <v>12</v>
      </c>
      <c r="U456">
        <v>5</v>
      </c>
      <c r="V456">
        <v>2</v>
      </c>
      <c r="W456">
        <v>0</v>
      </c>
      <c r="X456">
        <v>73</v>
      </c>
      <c r="Y456">
        <v>46</v>
      </c>
      <c r="Z456">
        <v>5</v>
      </c>
      <c r="AA456">
        <v>4</v>
      </c>
      <c r="AB456">
        <v>8</v>
      </c>
      <c r="AD456">
        <v>1</v>
      </c>
      <c r="AE456" t="s">
        <v>77</v>
      </c>
      <c r="AF456" t="s">
        <v>77</v>
      </c>
      <c r="AG456" t="s">
        <v>77</v>
      </c>
      <c r="AI456" t="s">
        <v>77</v>
      </c>
      <c r="AJ456">
        <v>7</v>
      </c>
      <c r="AK456">
        <v>277</v>
      </c>
      <c r="AL456">
        <v>277</v>
      </c>
      <c r="AM456">
        <v>469</v>
      </c>
      <c r="AN456">
        <v>44</v>
      </c>
      <c r="AO456" t="s">
        <v>78</v>
      </c>
      <c r="AP456">
        <v>1</v>
      </c>
      <c r="AR456" t="s">
        <v>539</v>
      </c>
      <c r="AS456" s="1">
        <v>44353.986724537041</v>
      </c>
      <c r="AT456" s="1">
        <v>44353.988761574074</v>
      </c>
      <c r="AU456" s="1">
        <v>44353.989872685182</v>
      </c>
      <c r="AV456" t="s">
        <v>269</v>
      </c>
      <c r="AW456" t="s">
        <v>270</v>
      </c>
      <c r="AX456" t="s">
        <v>73</v>
      </c>
    </row>
    <row r="457" spans="1:50" x14ac:dyDescent="0.3">
      <c r="A457" t="str">
        <f>"200342C0100"</f>
        <v>200342C0100</v>
      </c>
      <c r="B457" t="str">
        <f>"200342C01002"</f>
        <v>200342C01002</v>
      </c>
      <c r="C457" t="str">
        <f t="shared" si="23"/>
        <v>20</v>
      </c>
      <c r="D457" t="s">
        <v>67</v>
      </c>
      <c r="E457" t="str">
        <f t="shared" si="22"/>
        <v>003</v>
      </c>
      <c r="F457" t="s">
        <v>511</v>
      </c>
      <c r="G457" t="str">
        <f>"0342"</f>
        <v>0342</v>
      </c>
      <c r="H457" t="str">
        <f>"0001"</f>
        <v>0001</v>
      </c>
      <c r="I457" t="s">
        <v>75</v>
      </c>
      <c r="J457">
        <v>0</v>
      </c>
      <c r="K457">
        <v>1</v>
      </c>
      <c r="L457">
        <v>2</v>
      </c>
      <c r="M457">
        <v>241</v>
      </c>
      <c r="N457">
        <v>272</v>
      </c>
      <c r="O457">
        <v>8</v>
      </c>
      <c r="P457">
        <v>0</v>
      </c>
      <c r="Q457">
        <v>3</v>
      </c>
      <c r="R457">
        <v>48</v>
      </c>
      <c r="S457">
        <v>61</v>
      </c>
      <c r="T457">
        <v>14</v>
      </c>
      <c r="U457">
        <v>6</v>
      </c>
      <c r="V457">
        <v>4</v>
      </c>
      <c r="W457">
        <v>1</v>
      </c>
      <c r="X457">
        <v>73</v>
      </c>
      <c r="Y457">
        <v>33</v>
      </c>
      <c r="Z457">
        <v>6</v>
      </c>
      <c r="AA457">
        <v>0</v>
      </c>
      <c r="AB457">
        <v>5</v>
      </c>
      <c r="AD457">
        <v>0</v>
      </c>
      <c r="AE457">
        <v>0</v>
      </c>
      <c r="AF457">
        <v>0</v>
      </c>
      <c r="AG457">
        <v>0</v>
      </c>
      <c r="AI457">
        <v>0</v>
      </c>
      <c r="AJ457">
        <v>17</v>
      </c>
      <c r="AK457">
        <v>272</v>
      </c>
      <c r="AL457">
        <v>271</v>
      </c>
      <c r="AM457">
        <v>469</v>
      </c>
      <c r="AN457">
        <v>44</v>
      </c>
      <c r="AP457">
        <v>1</v>
      </c>
      <c r="AR457" t="s">
        <v>540</v>
      </c>
      <c r="AS457" s="1">
        <v>44353.975868055553</v>
      </c>
      <c r="AT457" s="1">
        <v>44353.977442129632</v>
      </c>
      <c r="AU457" s="1">
        <v>44353.978171296294</v>
      </c>
      <c r="AV457" t="s">
        <v>269</v>
      </c>
      <c r="AW457" t="s">
        <v>270</v>
      </c>
      <c r="AX457" t="s">
        <v>73</v>
      </c>
    </row>
    <row r="458" spans="1:50" x14ac:dyDescent="0.3">
      <c r="A458" t="str">
        <f>"200343B0000"</f>
        <v>200343B0000</v>
      </c>
      <c r="B458" t="str">
        <f>"200343B00002"</f>
        <v>200343B00002</v>
      </c>
      <c r="C458" t="str">
        <f t="shared" si="23"/>
        <v>20</v>
      </c>
      <c r="D458" t="s">
        <v>67</v>
      </c>
      <c r="E458" t="str">
        <f t="shared" si="22"/>
        <v>003</v>
      </c>
      <c r="F458" t="s">
        <v>511</v>
      </c>
      <c r="G458" t="str">
        <f>"0343"</f>
        <v>0343</v>
      </c>
      <c r="H458" t="str">
        <f>"0000"</f>
        <v>0000</v>
      </c>
      <c r="I458" t="s">
        <v>69</v>
      </c>
      <c r="J458">
        <v>0</v>
      </c>
      <c r="K458">
        <v>1</v>
      </c>
      <c r="L458">
        <v>2</v>
      </c>
      <c r="AM458">
        <v>723</v>
      </c>
      <c r="AN458">
        <v>44</v>
      </c>
      <c r="AO458" t="s">
        <v>143</v>
      </c>
      <c r="AP458">
        <v>0</v>
      </c>
      <c r="AR458" t="s">
        <v>541</v>
      </c>
      <c r="AS458" s="1">
        <v>44354.60833333333</v>
      </c>
      <c r="AT458" s="1">
        <v>44354.623993055553</v>
      </c>
      <c r="AU458" s="1">
        <v>44354.623993055553</v>
      </c>
      <c r="AV458" t="s">
        <v>71</v>
      </c>
      <c r="AW458" t="s">
        <v>72</v>
      </c>
      <c r="AX458" t="s">
        <v>73</v>
      </c>
    </row>
    <row r="459" spans="1:50" x14ac:dyDescent="0.3">
      <c r="A459" t="str">
        <f>"200344B0000"</f>
        <v>200344B0000</v>
      </c>
      <c r="B459" t="str">
        <f>"200344B00002"</f>
        <v>200344B00002</v>
      </c>
      <c r="C459" t="str">
        <f t="shared" si="23"/>
        <v>20</v>
      </c>
      <c r="D459" t="s">
        <v>67</v>
      </c>
      <c r="E459" t="str">
        <f t="shared" si="22"/>
        <v>003</v>
      </c>
      <c r="F459" t="s">
        <v>511</v>
      </c>
      <c r="G459" t="str">
        <f>"0344"</f>
        <v>0344</v>
      </c>
      <c r="H459" t="str">
        <f>"0000"</f>
        <v>0000</v>
      </c>
      <c r="I459" t="s">
        <v>69</v>
      </c>
      <c r="J459">
        <v>0</v>
      </c>
      <c r="K459">
        <v>1</v>
      </c>
      <c r="L459">
        <v>2</v>
      </c>
      <c r="M459">
        <v>304</v>
      </c>
      <c r="N459">
        <v>395</v>
      </c>
      <c r="O459">
        <v>6</v>
      </c>
      <c r="P459">
        <v>395</v>
      </c>
      <c r="Q459">
        <v>15</v>
      </c>
      <c r="R459">
        <v>86</v>
      </c>
      <c r="S459">
        <v>83</v>
      </c>
      <c r="T459">
        <v>18</v>
      </c>
      <c r="U459">
        <v>4</v>
      </c>
      <c r="V459">
        <v>2</v>
      </c>
      <c r="W459">
        <v>1</v>
      </c>
      <c r="X459">
        <v>105</v>
      </c>
      <c r="Y459">
        <v>52</v>
      </c>
      <c r="Z459">
        <v>6</v>
      </c>
      <c r="AA459">
        <v>3</v>
      </c>
      <c r="AB459">
        <v>10</v>
      </c>
      <c r="AD459">
        <v>0</v>
      </c>
      <c r="AE459">
        <v>0</v>
      </c>
      <c r="AF459">
        <v>0</v>
      </c>
      <c r="AG459">
        <v>1</v>
      </c>
      <c r="AI459">
        <v>0</v>
      </c>
      <c r="AJ459">
        <v>9</v>
      </c>
      <c r="AK459">
        <v>395</v>
      </c>
      <c r="AL459">
        <v>395</v>
      </c>
      <c r="AM459">
        <v>655</v>
      </c>
      <c r="AN459">
        <v>44</v>
      </c>
      <c r="AP459">
        <v>1</v>
      </c>
      <c r="AR459" t="s">
        <v>542</v>
      </c>
      <c r="AS459" s="1">
        <v>44354.078472222223</v>
      </c>
      <c r="AT459" s="1">
        <v>44354.086643518516</v>
      </c>
      <c r="AU459" s="1">
        <v>44354.087372685186</v>
      </c>
      <c r="AV459" t="s">
        <v>71</v>
      </c>
      <c r="AW459" t="s">
        <v>72</v>
      </c>
      <c r="AX459" t="s">
        <v>73</v>
      </c>
    </row>
    <row r="460" spans="1:50" x14ac:dyDescent="0.3">
      <c r="A460" t="str">
        <f>"200344S0100"</f>
        <v>200344S0100</v>
      </c>
      <c r="B460" t="str">
        <f>"200344S01002EMR"</f>
        <v>200344S01002EMR</v>
      </c>
      <c r="C460" t="str">
        <f t="shared" si="23"/>
        <v>20</v>
      </c>
      <c r="D460" t="s">
        <v>67</v>
      </c>
      <c r="E460" t="str">
        <f t="shared" si="22"/>
        <v>003</v>
      </c>
      <c r="F460" t="s">
        <v>511</v>
      </c>
      <c r="G460" t="str">
        <f>"0344"</f>
        <v>0344</v>
      </c>
      <c r="H460" t="str">
        <f>"0001"</f>
        <v>0001</v>
      </c>
      <c r="I460" t="s">
        <v>85</v>
      </c>
      <c r="J460">
        <v>0</v>
      </c>
      <c r="K460">
        <v>1</v>
      </c>
      <c r="L460" t="s">
        <v>86</v>
      </c>
      <c r="M460">
        <v>837</v>
      </c>
      <c r="N460">
        <v>163</v>
      </c>
      <c r="O460">
        <v>0</v>
      </c>
      <c r="P460">
        <v>64</v>
      </c>
      <c r="Q460">
        <v>1</v>
      </c>
      <c r="R460">
        <v>12</v>
      </c>
      <c r="S460">
        <v>15</v>
      </c>
      <c r="T460">
        <v>1</v>
      </c>
      <c r="U460">
        <v>1</v>
      </c>
      <c r="V460">
        <v>1</v>
      </c>
      <c r="W460">
        <v>2</v>
      </c>
      <c r="X460">
        <v>23</v>
      </c>
      <c r="Y460">
        <v>2</v>
      </c>
      <c r="Z460">
        <v>2</v>
      </c>
      <c r="AA460">
        <v>1</v>
      </c>
      <c r="AB460">
        <v>0</v>
      </c>
      <c r="AD460">
        <v>0</v>
      </c>
      <c r="AE460">
        <v>0</v>
      </c>
      <c r="AF460">
        <v>0</v>
      </c>
      <c r="AG460">
        <v>0</v>
      </c>
      <c r="AI460">
        <v>0</v>
      </c>
      <c r="AJ460">
        <v>3</v>
      </c>
      <c r="AK460">
        <v>64</v>
      </c>
      <c r="AL460">
        <v>64</v>
      </c>
      <c r="AM460">
        <v>0</v>
      </c>
      <c r="AN460">
        <v>44</v>
      </c>
      <c r="AP460">
        <v>1</v>
      </c>
      <c r="AR460" t="s">
        <v>543</v>
      </c>
      <c r="AS460" s="1">
        <v>44354.077777777777</v>
      </c>
      <c r="AT460" s="1">
        <v>44354.591724537036</v>
      </c>
      <c r="AU460" s="1">
        <v>44354.592175925929</v>
      </c>
      <c r="AV460" t="s">
        <v>71</v>
      </c>
      <c r="AW460" t="s">
        <v>72</v>
      </c>
      <c r="AX460" t="s">
        <v>73</v>
      </c>
    </row>
    <row r="461" spans="1:50" x14ac:dyDescent="0.3">
      <c r="A461" t="str">
        <f>"200345B0000"</f>
        <v>200345B0000</v>
      </c>
      <c r="B461" t="str">
        <f>"200345B00002"</f>
        <v>200345B00002</v>
      </c>
      <c r="C461" t="str">
        <f t="shared" si="23"/>
        <v>20</v>
      </c>
      <c r="D461" t="s">
        <v>67</v>
      </c>
      <c r="E461" t="str">
        <f t="shared" si="22"/>
        <v>003</v>
      </c>
      <c r="F461" t="s">
        <v>511</v>
      </c>
      <c r="G461" t="str">
        <f>"0345"</f>
        <v>0345</v>
      </c>
      <c r="H461" t="str">
        <f>"0000"</f>
        <v>0000</v>
      </c>
      <c r="I461" t="s">
        <v>69</v>
      </c>
      <c r="J461">
        <v>0</v>
      </c>
      <c r="K461">
        <v>1</v>
      </c>
      <c r="L461">
        <v>2</v>
      </c>
      <c r="M461">
        <v>232</v>
      </c>
      <c r="N461">
        <v>280</v>
      </c>
      <c r="O461">
        <v>3</v>
      </c>
      <c r="P461">
        <v>280</v>
      </c>
      <c r="Q461">
        <v>8</v>
      </c>
      <c r="R461">
        <v>32</v>
      </c>
      <c r="S461">
        <v>77</v>
      </c>
      <c r="T461">
        <v>9</v>
      </c>
      <c r="U461">
        <v>1</v>
      </c>
      <c r="V461">
        <v>4</v>
      </c>
      <c r="W461">
        <v>0</v>
      </c>
      <c r="X461">
        <v>78</v>
      </c>
      <c r="Y461">
        <v>45</v>
      </c>
      <c r="Z461">
        <v>9</v>
      </c>
      <c r="AA461">
        <v>1</v>
      </c>
      <c r="AB461">
        <v>2</v>
      </c>
      <c r="AD461">
        <v>2</v>
      </c>
      <c r="AE461">
        <v>0</v>
      </c>
      <c r="AF461">
        <v>0</v>
      </c>
      <c r="AG461">
        <v>0</v>
      </c>
      <c r="AI461">
        <v>0</v>
      </c>
      <c r="AJ461">
        <v>12</v>
      </c>
      <c r="AK461">
        <v>280</v>
      </c>
      <c r="AL461">
        <v>280</v>
      </c>
      <c r="AM461">
        <v>468</v>
      </c>
      <c r="AN461">
        <v>44</v>
      </c>
      <c r="AP461">
        <v>1</v>
      </c>
      <c r="AR461" t="s">
        <v>544</v>
      </c>
      <c r="AS461" s="1">
        <v>44353.959733796299</v>
      </c>
      <c r="AT461" s="1">
        <v>44353.961631944447</v>
      </c>
      <c r="AU461" s="1">
        <v>44353.962129629632</v>
      </c>
      <c r="AV461" t="s">
        <v>269</v>
      </c>
      <c r="AW461" t="s">
        <v>270</v>
      </c>
      <c r="AX461" t="s">
        <v>73</v>
      </c>
    </row>
    <row r="462" spans="1:50" x14ac:dyDescent="0.3">
      <c r="A462" t="str">
        <f>"200345C0100"</f>
        <v>200345C0100</v>
      </c>
      <c r="B462" t="str">
        <f>"200345C01002"</f>
        <v>200345C01002</v>
      </c>
      <c r="C462" t="str">
        <f t="shared" si="23"/>
        <v>20</v>
      </c>
      <c r="D462" t="s">
        <v>67</v>
      </c>
      <c r="E462" t="str">
        <f t="shared" si="22"/>
        <v>003</v>
      </c>
      <c r="F462" t="s">
        <v>511</v>
      </c>
      <c r="G462" t="str">
        <f>"0345"</f>
        <v>0345</v>
      </c>
      <c r="H462" t="str">
        <f>"0001"</f>
        <v>0001</v>
      </c>
      <c r="I462" t="s">
        <v>75</v>
      </c>
      <c r="J462">
        <v>0</v>
      </c>
      <c r="K462">
        <v>1</v>
      </c>
      <c r="L462">
        <v>2</v>
      </c>
      <c r="M462">
        <v>244</v>
      </c>
      <c r="N462">
        <v>267</v>
      </c>
      <c r="O462">
        <v>3</v>
      </c>
      <c r="P462">
        <v>267</v>
      </c>
      <c r="Q462">
        <v>6</v>
      </c>
      <c r="R462">
        <v>34</v>
      </c>
      <c r="S462">
        <v>77</v>
      </c>
      <c r="T462">
        <v>15</v>
      </c>
      <c r="U462">
        <v>2</v>
      </c>
      <c r="V462">
        <v>3</v>
      </c>
      <c r="W462">
        <v>1</v>
      </c>
      <c r="X462">
        <v>72</v>
      </c>
      <c r="Y462">
        <v>37</v>
      </c>
      <c r="Z462">
        <v>6</v>
      </c>
      <c r="AA462">
        <v>1</v>
      </c>
      <c r="AB462">
        <v>1</v>
      </c>
      <c r="AD462">
        <v>0</v>
      </c>
      <c r="AE462">
        <v>1</v>
      </c>
      <c r="AF462">
        <v>0</v>
      </c>
      <c r="AG462">
        <v>0</v>
      </c>
      <c r="AI462">
        <v>0</v>
      </c>
      <c r="AJ462">
        <v>11</v>
      </c>
      <c r="AK462">
        <v>267</v>
      </c>
      <c r="AL462">
        <v>267</v>
      </c>
      <c r="AM462">
        <v>467</v>
      </c>
      <c r="AN462">
        <v>44</v>
      </c>
      <c r="AP462">
        <v>1</v>
      </c>
      <c r="AR462" t="s">
        <v>545</v>
      </c>
      <c r="AS462" s="1">
        <v>44353.970138888886</v>
      </c>
      <c r="AT462" s="1">
        <v>44353.972118055557</v>
      </c>
      <c r="AU462" s="1">
        <v>44353.972766203704</v>
      </c>
      <c r="AV462" t="s">
        <v>269</v>
      </c>
      <c r="AW462" t="s">
        <v>270</v>
      </c>
      <c r="AX462" t="s">
        <v>73</v>
      </c>
    </row>
    <row r="463" spans="1:50" x14ac:dyDescent="0.3">
      <c r="A463" t="str">
        <f>"200346B0000"</f>
        <v>200346B0000</v>
      </c>
      <c r="B463" t="str">
        <f>"200346B00002"</f>
        <v>200346B00002</v>
      </c>
      <c r="C463" t="str">
        <f t="shared" si="23"/>
        <v>20</v>
      </c>
      <c r="D463" t="s">
        <v>67</v>
      </c>
      <c r="E463" t="str">
        <f t="shared" si="22"/>
        <v>003</v>
      </c>
      <c r="F463" t="s">
        <v>511</v>
      </c>
      <c r="G463" t="str">
        <f>"0346"</f>
        <v>0346</v>
      </c>
      <c r="H463" t="str">
        <f>"0000"</f>
        <v>0000</v>
      </c>
      <c r="I463" t="s">
        <v>69</v>
      </c>
      <c r="J463">
        <v>0</v>
      </c>
      <c r="K463">
        <v>1</v>
      </c>
      <c r="L463">
        <v>2</v>
      </c>
      <c r="M463">
        <v>322</v>
      </c>
      <c r="N463">
        <v>327</v>
      </c>
      <c r="O463">
        <v>7</v>
      </c>
      <c r="P463">
        <v>327</v>
      </c>
      <c r="Q463">
        <v>8</v>
      </c>
      <c r="R463">
        <v>40</v>
      </c>
      <c r="S463">
        <v>110</v>
      </c>
      <c r="T463">
        <v>18</v>
      </c>
      <c r="U463">
        <v>2</v>
      </c>
      <c r="V463">
        <v>2</v>
      </c>
      <c r="W463">
        <v>1</v>
      </c>
      <c r="X463">
        <v>79</v>
      </c>
      <c r="Y463">
        <v>33</v>
      </c>
      <c r="Z463">
        <v>12</v>
      </c>
      <c r="AA463">
        <v>4</v>
      </c>
      <c r="AB463">
        <v>6</v>
      </c>
      <c r="AD463">
        <v>0</v>
      </c>
      <c r="AE463">
        <v>0</v>
      </c>
      <c r="AF463">
        <v>0</v>
      </c>
      <c r="AG463">
        <v>0</v>
      </c>
      <c r="AI463">
        <v>0</v>
      </c>
      <c r="AJ463">
        <v>12</v>
      </c>
      <c r="AK463">
        <v>327</v>
      </c>
      <c r="AL463">
        <v>327</v>
      </c>
      <c r="AM463">
        <v>605</v>
      </c>
      <c r="AN463">
        <v>44</v>
      </c>
      <c r="AP463">
        <v>1</v>
      </c>
      <c r="AR463" t="s">
        <v>546</v>
      </c>
      <c r="AS463" s="1">
        <v>44354.002974537034</v>
      </c>
      <c r="AT463" s="1">
        <v>44354.008472222224</v>
      </c>
      <c r="AU463" s="1">
        <v>44354.009270833332</v>
      </c>
      <c r="AV463" t="s">
        <v>269</v>
      </c>
      <c r="AW463" t="s">
        <v>270</v>
      </c>
      <c r="AX463" t="s">
        <v>73</v>
      </c>
    </row>
    <row r="464" spans="1:50" x14ac:dyDescent="0.3">
      <c r="A464" t="str">
        <f>"200347B0000"</f>
        <v>200347B0000</v>
      </c>
      <c r="B464" t="str">
        <f>"200347B00002"</f>
        <v>200347B00002</v>
      </c>
      <c r="C464" t="str">
        <f t="shared" si="23"/>
        <v>20</v>
      </c>
      <c r="D464" t="s">
        <v>67</v>
      </c>
      <c r="E464" t="str">
        <f t="shared" si="22"/>
        <v>003</v>
      </c>
      <c r="F464" t="s">
        <v>511</v>
      </c>
      <c r="G464" t="str">
        <f>"0347"</f>
        <v>0347</v>
      </c>
      <c r="H464" t="str">
        <f>"0000"</f>
        <v>0000</v>
      </c>
      <c r="I464" t="s">
        <v>69</v>
      </c>
      <c r="J464">
        <v>0</v>
      </c>
      <c r="K464">
        <v>1</v>
      </c>
      <c r="L464">
        <v>2</v>
      </c>
      <c r="M464">
        <v>309</v>
      </c>
      <c r="N464">
        <v>404</v>
      </c>
      <c r="O464">
        <v>5</v>
      </c>
      <c r="P464">
        <v>404</v>
      </c>
      <c r="Q464">
        <v>8</v>
      </c>
      <c r="R464">
        <v>36</v>
      </c>
      <c r="S464">
        <v>147</v>
      </c>
      <c r="T464">
        <v>13</v>
      </c>
      <c r="U464">
        <v>0</v>
      </c>
      <c r="V464">
        <v>2</v>
      </c>
      <c r="W464">
        <v>4</v>
      </c>
      <c r="X464">
        <v>111</v>
      </c>
      <c r="Y464">
        <v>43</v>
      </c>
      <c r="Z464">
        <v>18</v>
      </c>
      <c r="AA464">
        <v>2</v>
      </c>
      <c r="AB464">
        <v>5</v>
      </c>
      <c r="AD464">
        <v>0</v>
      </c>
      <c r="AE464">
        <v>0</v>
      </c>
      <c r="AF464">
        <v>3</v>
      </c>
      <c r="AG464">
        <v>0</v>
      </c>
      <c r="AI464">
        <v>0</v>
      </c>
      <c r="AJ464">
        <v>8</v>
      </c>
      <c r="AK464" t="s">
        <v>99</v>
      </c>
      <c r="AL464">
        <v>400</v>
      </c>
      <c r="AM464">
        <v>669</v>
      </c>
      <c r="AN464">
        <v>44</v>
      </c>
      <c r="AP464">
        <v>1</v>
      </c>
      <c r="AR464" t="s">
        <v>547</v>
      </c>
      <c r="AS464" s="1">
        <v>44354.055995370371</v>
      </c>
      <c r="AT464" s="1">
        <v>44354.061574074076</v>
      </c>
      <c r="AU464" s="1">
        <v>44354.0627662037</v>
      </c>
      <c r="AV464" t="s">
        <v>269</v>
      </c>
      <c r="AW464" t="s">
        <v>270</v>
      </c>
      <c r="AX464" t="s">
        <v>73</v>
      </c>
    </row>
    <row r="465" spans="1:50" x14ac:dyDescent="0.3">
      <c r="A465" t="str">
        <f>"200347C0100"</f>
        <v>200347C0100</v>
      </c>
      <c r="B465" t="str">
        <f>"200347C01002"</f>
        <v>200347C01002</v>
      </c>
      <c r="C465" t="str">
        <f t="shared" si="23"/>
        <v>20</v>
      </c>
      <c r="D465" t="s">
        <v>67</v>
      </c>
      <c r="E465" t="str">
        <f t="shared" si="22"/>
        <v>003</v>
      </c>
      <c r="F465" t="s">
        <v>511</v>
      </c>
      <c r="G465" t="str">
        <f>"0347"</f>
        <v>0347</v>
      </c>
      <c r="H465" t="str">
        <f>"0001"</f>
        <v>0001</v>
      </c>
      <c r="I465" t="s">
        <v>75</v>
      </c>
      <c r="J465">
        <v>0</v>
      </c>
      <c r="K465">
        <v>1</v>
      </c>
      <c r="L465">
        <v>2</v>
      </c>
      <c r="M465">
        <v>314</v>
      </c>
      <c r="N465">
        <v>397</v>
      </c>
      <c r="O465">
        <v>1</v>
      </c>
      <c r="P465">
        <v>397</v>
      </c>
      <c r="Q465">
        <v>8</v>
      </c>
      <c r="R465">
        <v>41</v>
      </c>
      <c r="S465">
        <v>128</v>
      </c>
      <c r="T465">
        <v>11</v>
      </c>
      <c r="U465">
        <v>2</v>
      </c>
      <c r="V465">
        <v>2</v>
      </c>
      <c r="W465">
        <v>3</v>
      </c>
      <c r="X465">
        <v>108</v>
      </c>
      <c r="Y465">
        <v>59</v>
      </c>
      <c r="Z465">
        <v>11</v>
      </c>
      <c r="AA465">
        <v>2</v>
      </c>
      <c r="AB465">
        <v>4</v>
      </c>
      <c r="AD465">
        <v>0</v>
      </c>
      <c r="AE465">
        <v>0</v>
      </c>
      <c r="AF465">
        <v>0</v>
      </c>
      <c r="AG465">
        <v>0</v>
      </c>
      <c r="AI465">
        <v>0</v>
      </c>
      <c r="AJ465">
        <v>20</v>
      </c>
      <c r="AK465">
        <v>399</v>
      </c>
      <c r="AL465">
        <v>399</v>
      </c>
      <c r="AM465">
        <v>669</v>
      </c>
      <c r="AN465">
        <v>44</v>
      </c>
      <c r="AP465">
        <v>1</v>
      </c>
      <c r="AR465" t="s">
        <v>548</v>
      </c>
      <c r="AS465" s="1">
        <v>44354.095833333333</v>
      </c>
      <c r="AT465" s="1">
        <v>44354.100092592591</v>
      </c>
      <c r="AU465" s="1">
        <v>44354.100995370369</v>
      </c>
      <c r="AV465" t="s">
        <v>71</v>
      </c>
      <c r="AW465" t="s">
        <v>72</v>
      </c>
      <c r="AX465" t="s">
        <v>73</v>
      </c>
    </row>
    <row r="466" spans="1:50" x14ac:dyDescent="0.3">
      <c r="A466" t="str">
        <f>"200348B0000"</f>
        <v>200348B0000</v>
      </c>
      <c r="B466" t="str">
        <f>"200348B00002"</f>
        <v>200348B00002</v>
      </c>
      <c r="C466" t="str">
        <f t="shared" si="23"/>
        <v>20</v>
      </c>
      <c r="D466" t="s">
        <v>67</v>
      </c>
      <c r="E466" t="str">
        <f t="shared" si="22"/>
        <v>003</v>
      </c>
      <c r="F466" t="s">
        <v>511</v>
      </c>
      <c r="G466" t="str">
        <f>"0348"</f>
        <v>0348</v>
      </c>
      <c r="H466" t="str">
        <f>"0000"</f>
        <v>0000</v>
      </c>
      <c r="I466" t="s">
        <v>69</v>
      </c>
      <c r="J466">
        <v>0</v>
      </c>
      <c r="K466">
        <v>1</v>
      </c>
      <c r="L466">
        <v>2</v>
      </c>
      <c r="M466">
        <v>234</v>
      </c>
      <c r="N466">
        <v>288</v>
      </c>
      <c r="O466">
        <v>6</v>
      </c>
      <c r="P466">
        <v>288</v>
      </c>
      <c r="Q466">
        <v>13</v>
      </c>
      <c r="R466">
        <v>34</v>
      </c>
      <c r="S466">
        <v>93</v>
      </c>
      <c r="T466">
        <v>13</v>
      </c>
      <c r="U466">
        <v>2</v>
      </c>
      <c r="V466">
        <v>5</v>
      </c>
      <c r="W466">
        <v>1</v>
      </c>
      <c r="X466">
        <v>78</v>
      </c>
      <c r="Y466">
        <v>32</v>
      </c>
      <c r="Z466">
        <v>3</v>
      </c>
      <c r="AA466">
        <v>1</v>
      </c>
      <c r="AB466">
        <v>4</v>
      </c>
      <c r="AD466">
        <v>1</v>
      </c>
      <c r="AE466">
        <v>0</v>
      </c>
      <c r="AF466">
        <v>0</v>
      </c>
      <c r="AG466">
        <v>0</v>
      </c>
      <c r="AI466">
        <v>0</v>
      </c>
      <c r="AJ466">
        <v>8</v>
      </c>
      <c r="AK466">
        <v>288</v>
      </c>
      <c r="AL466">
        <v>288</v>
      </c>
      <c r="AM466">
        <v>478</v>
      </c>
      <c r="AN466">
        <v>44</v>
      </c>
      <c r="AP466">
        <v>1</v>
      </c>
      <c r="AR466" t="s">
        <v>549</v>
      </c>
      <c r="AS466" s="1">
        <v>44354.004178240742</v>
      </c>
      <c r="AT466" s="1">
        <v>44354.009351851855</v>
      </c>
      <c r="AU466" s="1">
        <v>44354.009872685187</v>
      </c>
      <c r="AV466" t="s">
        <v>269</v>
      </c>
      <c r="AW466" t="s">
        <v>270</v>
      </c>
      <c r="AX466" t="s">
        <v>73</v>
      </c>
    </row>
    <row r="467" spans="1:50" x14ac:dyDescent="0.3">
      <c r="A467" t="str">
        <f>"200348C0100"</f>
        <v>200348C0100</v>
      </c>
      <c r="B467" t="str">
        <f>"200348C01002"</f>
        <v>200348C01002</v>
      </c>
      <c r="C467" t="str">
        <f t="shared" si="23"/>
        <v>20</v>
      </c>
      <c r="D467" t="s">
        <v>67</v>
      </c>
      <c r="E467" t="str">
        <f t="shared" si="22"/>
        <v>003</v>
      </c>
      <c r="F467" t="s">
        <v>511</v>
      </c>
      <c r="G467" t="str">
        <f>"0348"</f>
        <v>0348</v>
      </c>
      <c r="H467" t="str">
        <f>"0001"</f>
        <v>0001</v>
      </c>
      <c r="I467" t="s">
        <v>75</v>
      </c>
      <c r="J467">
        <v>0</v>
      </c>
      <c r="K467">
        <v>1</v>
      </c>
      <c r="L467">
        <v>2</v>
      </c>
      <c r="M467">
        <v>240</v>
      </c>
      <c r="N467">
        <v>281</v>
      </c>
      <c r="O467">
        <v>5</v>
      </c>
      <c r="P467">
        <v>281</v>
      </c>
      <c r="Q467">
        <v>10</v>
      </c>
      <c r="R467">
        <v>29</v>
      </c>
      <c r="S467">
        <v>79</v>
      </c>
      <c r="T467">
        <v>21</v>
      </c>
      <c r="U467">
        <v>1</v>
      </c>
      <c r="V467">
        <v>2</v>
      </c>
      <c r="W467">
        <v>0</v>
      </c>
      <c r="X467">
        <v>78</v>
      </c>
      <c r="Y467">
        <v>39</v>
      </c>
      <c r="Z467">
        <v>8</v>
      </c>
      <c r="AA467">
        <v>2</v>
      </c>
      <c r="AB467">
        <v>4</v>
      </c>
      <c r="AD467">
        <v>0</v>
      </c>
      <c r="AE467">
        <v>0</v>
      </c>
      <c r="AF467">
        <v>0</v>
      </c>
      <c r="AG467">
        <v>0</v>
      </c>
      <c r="AI467">
        <v>0</v>
      </c>
      <c r="AJ467">
        <v>8</v>
      </c>
      <c r="AK467">
        <v>281</v>
      </c>
      <c r="AL467">
        <v>281</v>
      </c>
      <c r="AM467">
        <v>477</v>
      </c>
      <c r="AN467">
        <v>44</v>
      </c>
      <c r="AP467">
        <v>1</v>
      </c>
      <c r="AR467" t="s">
        <v>550</v>
      </c>
      <c r="AS467" s="1">
        <v>44354.035416666666</v>
      </c>
      <c r="AT467" s="1">
        <v>44354.080740740741</v>
      </c>
      <c r="AU467" s="1">
        <v>44354.081516203703</v>
      </c>
      <c r="AV467" t="s">
        <v>71</v>
      </c>
      <c r="AW467" t="s">
        <v>72</v>
      </c>
      <c r="AX467" t="s">
        <v>73</v>
      </c>
    </row>
    <row r="468" spans="1:50" x14ac:dyDescent="0.3">
      <c r="A468" t="str">
        <f>"200349B0000"</f>
        <v>200349B0000</v>
      </c>
      <c r="B468" t="str">
        <f>"200349B00002"</f>
        <v>200349B00002</v>
      </c>
      <c r="C468" t="str">
        <f t="shared" si="23"/>
        <v>20</v>
      </c>
      <c r="D468" t="s">
        <v>67</v>
      </c>
      <c r="E468" t="str">
        <f t="shared" si="22"/>
        <v>003</v>
      </c>
      <c r="F468" t="s">
        <v>511</v>
      </c>
      <c r="G468" t="str">
        <f>"0349"</f>
        <v>0349</v>
      </c>
      <c r="H468" t="str">
        <f>"0000"</f>
        <v>0000</v>
      </c>
      <c r="I468" t="s">
        <v>69</v>
      </c>
      <c r="J468">
        <v>0</v>
      </c>
      <c r="K468">
        <v>1</v>
      </c>
      <c r="L468">
        <v>2</v>
      </c>
      <c r="M468">
        <v>207</v>
      </c>
      <c r="N468">
        <v>278</v>
      </c>
      <c r="O468">
        <v>7</v>
      </c>
      <c r="P468">
        <v>278</v>
      </c>
      <c r="Q468">
        <v>18</v>
      </c>
      <c r="R468">
        <v>50</v>
      </c>
      <c r="S468">
        <v>68</v>
      </c>
      <c r="T468">
        <v>12</v>
      </c>
      <c r="U468">
        <v>1</v>
      </c>
      <c r="V468">
        <v>4</v>
      </c>
      <c r="W468">
        <v>1</v>
      </c>
      <c r="X468">
        <v>71</v>
      </c>
      <c r="Y468">
        <v>40</v>
      </c>
      <c r="Z468">
        <v>10</v>
      </c>
      <c r="AA468">
        <v>1</v>
      </c>
      <c r="AB468">
        <v>0</v>
      </c>
      <c r="AD468">
        <v>0</v>
      </c>
      <c r="AE468">
        <v>0</v>
      </c>
      <c r="AF468">
        <v>0</v>
      </c>
      <c r="AG468">
        <v>0</v>
      </c>
      <c r="AI468">
        <v>0</v>
      </c>
      <c r="AJ468">
        <v>2</v>
      </c>
      <c r="AK468">
        <v>278</v>
      </c>
      <c r="AL468">
        <v>278</v>
      </c>
      <c r="AM468">
        <v>441</v>
      </c>
      <c r="AN468">
        <v>44</v>
      </c>
      <c r="AP468">
        <v>1</v>
      </c>
      <c r="AR468" t="s">
        <v>551</v>
      </c>
      <c r="AS468" s="1">
        <v>44353.893680555557</v>
      </c>
      <c r="AT468" s="1">
        <v>44353.894965277781</v>
      </c>
      <c r="AU468" s="1">
        <v>44353.895578703705</v>
      </c>
      <c r="AV468" t="s">
        <v>269</v>
      </c>
      <c r="AW468" t="s">
        <v>270</v>
      </c>
      <c r="AX468" t="s">
        <v>73</v>
      </c>
    </row>
    <row r="469" spans="1:50" x14ac:dyDescent="0.3">
      <c r="A469" t="str">
        <f>"200350B0000"</f>
        <v>200350B0000</v>
      </c>
      <c r="B469" t="str">
        <f>"200350B00002"</f>
        <v>200350B00002</v>
      </c>
      <c r="C469" t="str">
        <f t="shared" si="23"/>
        <v>20</v>
      </c>
      <c r="D469" t="s">
        <v>67</v>
      </c>
      <c r="E469" t="str">
        <f t="shared" si="22"/>
        <v>003</v>
      </c>
      <c r="F469" t="s">
        <v>511</v>
      </c>
      <c r="G469" t="str">
        <f>"0350"</f>
        <v>0350</v>
      </c>
      <c r="H469" t="str">
        <f>"0000"</f>
        <v>0000</v>
      </c>
      <c r="I469" t="s">
        <v>69</v>
      </c>
      <c r="J469">
        <v>0</v>
      </c>
      <c r="K469">
        <v>1</v>
      </c>
      <c r="L469">
        <v>2</v>
      </c>
      <c r="M469">
        <v>379</v>
      </c>
      <c r="N469">
        <v>377</v>
      </c>
      <c r="O469">
        <v>2</v>
      </c>
      <c r="P469">
        <v>377</v>
      </c>
      <c r="Q469">
        <v>10</v>
      </c>
      <c r="R469">
        <v>38</v>
      </c>
      <c r="S469">
        <v>123</v>
      </c>
      <c r="T469">
        <v>8</v>
      </c>
      <c r="U469">
        <v>1</v>
      </c>
      <c r="V469">
        <v>2</v>
      </c>
      <c r="W469">
        <v>1</v>
      </c>
      <c r="X469">
        <v>95</v>
      </c>
      <c r="Y469">
        <v>69</v>
      </c>
      <c r="Z469">
        <v>10</v>
      </c>
      <c r="AA469">
        <v>2</v>
      </c>
      <c r="AB469">
        <v>2</v>
      </c>
      <c r="AD469">
        <v>1</v>
      </c>
      <c r="AE469">
        <v>0</v>
      </c>
      <c r="AF469">
        <v>0</v>
      </c>
      <c r="AG469">
        <v>0</v>
      </c>
      <c r="AI469">
        <v>0</v>
      </c>
      <c r="AJ469">
        <v>15</v>
      </c>
      <c r="AK469">
        <v>377</v>
      </c>
      <c r="AL469">
        <v>377</v>
      </c>
      <c r="AM469">
        <v>712</v>
      </c>
      <c r="AN469">
        <v>44</v>
      </c>
      <c r="AP469">
        <v>1</v>
      </c>
      <c r="AR469" t="s">
        <v>552</v>
      </c>
      <c r="AS469" s="1">
        <v>44354.078472222223</v>
      </c>
      <c r="AT469" s="1">
        <v>44354.086053240739</v>
      </c>
      <c r="AU469" s="1">
        <v>44354.086562500001</v>
      </c>
      <c r="AV469" t="s">
        <v>71</v>
      </c>
      <c r="AW469" t="s">
        <v>72</v>
      </c>
      <c r="AX469" t="s">
        <v>73</v>
      </c>
    </row>
    <row r="470" spans="1:50" x14ac:dyDescent="0.3">
      <c r="A470" t="str">
        <f>"200350C0100"</f>
        <v>200350C0100</v>
      </c>
      <c r="B470" t="str">
        <f>"200350C01002"</f>
        <v>200350C01002</v>
      </c>
      <c r="C470" t="str">
        <f t="shared" si="23"/>
        <v>20</v>
      </c>
      <c r="D470" t="s">
        <v>67</v>
      </c>
      <c r="E470" t="str">
        <f t="shared" si="22"/>
        <v>003</v>
      </c>
      <c r="F470" t="s">
        <v>511</v>
      </c>
      <c r="G470" t="str">
        <f>"0350"</f>
        <v>0350</v>
      </c>
      <c r="H470" t="str">
        <f>"0001"</f>
        <v>0001</v>
      </c>
      <c r="I470" t="s">
        <v>75</v>
      </c>
      <c r="J470">
        <v>0</v>
      </c>
      <c r="K470">
        <v>1</v>
      </c>
      <c r="L470">
        <v>2</v>
      </c>
      <c r="M470">
        <v>369</v>
      </c>
      <c r="N470">
        <v>385</v>
      </c>
      <c r="O470">
        <v>3</v>
      </c>
      <c r="P470">
        <v>386</v>
      </c>
      <c r="Q470">
        <v>7</v>
      </c>
      <c r="R470">
        <v>53</v>
      </c>
      <c r="S470">
        <v>122</v>
      </c>
      <c r="T470">
        <v>11</v>
      </c>
      <c r="U470">
        <v>2</v>
      </c>
      <c r="V470">
        <v>3</v>
      </c>
      <c r="W470">
        <v>0</v>
      </c>
      <c r="X470">
        <v>78</v>
      </c>
      <c r="Y470">
        <v>78</v>
      </c>
      <c r="Z470">
        <v>16</v>
      </c>
      <c r="AA470">
        <v>3</v>
      </c>
      <c r="AB470">
        <v>2</v>
      </c>
      <c r="AD470">
        <v>0</v>
      </c>
      <c r="AE470">
        <v>0</v>
      </c>
      <c r="AF470">
        <v>0</v>
      </c>
      <c r="AG470">
        <v>0</v>
      </c>
      <c r="AI470">
        <v>0</v>
      </c>
      <c r="AJ470">
        <v>11</v>
      </c>
      <c r="AK470">
        <v>386</v>
      </c>
      <c r="AL470">
        <v>386</v>
      </c>
      <c r="AM470">
        <v>711</v>
      </c>
      <c r="AN470">
        <v>44</v>
      </c>
      <c r="AP470">
        <v>1</v>
      </c>
      <c r="AR470" t="s">
        <v>553</v>
      </c>
      <c r="AS470" s="1">
        <v>44353.991666666669</v>
      </c>
      <c r="AT470" s="1">
        <v>44353.996967592589</v>
      </c>
      <c r="AU470" s="1">
        <v>44353.997569444444</v>
      </c>
      <c r="AV470" t="s">
        <v>71</v>
      </c>
      <c r="AW470" t="s">
        <v>72</v>
      </c>
      <c r="AX470" t="s">
        <v>73</v>
      </c>
    </row>
    <row r="471" spans="1:50" x14ac:dyDescent="0.3">
      <c r="A471" t="str">
        <f>"200351B0000"</f>
        <v>200351B0000</v>
      </c>
      <c r="B471" t="str">
        <f>"200351B00002"</f>
        <v>200351B00002</v>
      </c>
      <c r="C471" t="str">
        <f t="shared" si="23"/>
        <v>20</v>
      </c>
      <c r="D471" t="s">
        <v>67</v>
      </c>
      <c r="E471" t="str">
        <f t="shared" si="22"/>
        <v>003</v>
      </c>
      <c r="F471" t="s">
        <v>511</v>
      </c>
      <c r="G471" t="str">
        <f>"0351"</f>
        <v>0351</v>
      </c>
      <c r="H471" t="str">
        <f>"0000"</f>
        <v>0000</v>
      </c>
      <c r="I471" t="s">
        <v>69</v>
      </c>
      <c r="J471">
        <v>0</v>
      </c>
      <c r="K471">
        <v>1</v>
      </c>
      <c r="L471">
        <v>2</v>
      </c>
      <c r="M471">
        <v>319</v>
      </c>
      <c r="N471">
        <v>358</v>
      </c>
      <c r="O471">
        <v>5</v>
      </c>
      <c r="P471">
        <v>358</v>
      </c>
      <c r="Q471">
        <v>9</v>
      </c>
      <c r="R471">
        <v>38</v>
      </c>
      <c r="S471">
        <v>103</v>
      </c>
      <c r="T471">
        <v>16</v>
      </c>
      <c r="U471">
        <v>1</v>
      </c>
      <c r="V471">
        <v>3</v>
      </c>
      <c r="W471">
        <v>2</v>
      </c>
      <c r="X471">
        <v>92</v>
      </c>
      <c r="Y471">
        <v>59</v>
      </c>
      <c r="Z471">
        <v>7</v>
      </c>
      <c r="AA471">
        <v>4</v>
      </c>
      <c r="AB471">
        <v>2</v>
      </c>
      <c r="AD471">
        <v>0</v>
      </c>
      <c r="AE471">
        <v>0</v>
      </c>
      <c r="AF471">
        <v>0</v>
      </c>
      <c r="AG471">
        <v>0</v>
      </c>
      <c r="AI471">
        <v>0</v>
      </c>
      <c r="AJ471">
        <v>22</v>
      </c>
      <c r="AK471">
        <v>358</v>
      </c>
      <c r="AL471">
        <v>358</v>
      </c>
      <c r="AM471">
        <v>633</v>
      </c>
      <c r="AN471">
        <v>44</v>
      </c>
      <c r="AP471">
        <v>1</v>
      </c>
      <c r="AR471" t="s">
        <v>554</v>
      </c>
      <c r="AS471" s="1">
        <v>44354.078472222223</v>
      </c>
      <c r="AT471" s="1">
        <v>44354.091157407405</v>
      </c>
      <c r="AU471" s="1">
        <v>44354.092129629629</v>
      </c>
      <c r="AV471" t="s">
        <v>71</v>
      </c>
      <c r="AW471" t="s">
        <v>72</v>
      </c>
      <c r="AX471" t="s">
        <v>73</v>
      </c>
    </row>
    <row r="472" spans="1:50" x14ac:dyDescent="0.3">
      <c r="A472" t="str">
        <f>"200351C0100"</f>
        <v>200351C0100</v>
      </c>
      <c r="B472" t="str">
        <f>"200351C01002"</f>
        <v>200351C01002</v>
      </c>
      <c r="C472" t="str">
        <f t="shared" si="23"/>
        <v>20</v>
      </c>
      <c r="D472" t="s">
        <v>67</v>
      </c>
      <c r="E472" t="str">
        <f t="shared" si="22"/>
        <v>003</v>
      </c>
      <c r="F472" t="s">
        <v>511</v>
      </c>
      <c r="G472" t="str">
        <f>"0351"</f>
        <v>0351</v>
      </c>
      <c r="H472" t="str">
        <f>"0001"</f>
        <v>0001</v>
      </c>
      <c r="I472" t="s">
        <v>75</v>
      </c>
      <c r="J472">
        <v>0</v>
      </c>
      <c r="K472">
        <v>1</v>
      </c>
      <c r="L472">
        <v>2</v>
      </c>
      <c r="M472">
        <v>332</v>
      </c>
      <c r="N472">
        <v>342</v>
      </c>
      <c r="O472">
        <v>9</v>
      </c>
      <c r="P472">
        <v>344</v>
      </c>
      <c r="Q472">
        <v>15</v>
      </c>
      <c r="R472">
        <v>43</v>
      </c>
      <c r="S472">
        <v>109</v>
      </c>
      <c r="T472">
        <v>12</v>
      </c>
      <c r="U472">
        <v>0</v>
      </c>
      <c r="V472">
        <v>3</v>
      </c>
      <c r="W472">
        <v>1</v>
      </c>
      <c r="X472">
        <v>93</v>
      </c>
      <c r="Y472">
        <v>48</v>
      </c>
      <c r="Z472">
        <v>6</v>
      </c>
      <c r="AA472">
        <v>1</v>
      </c>
      <c r="AB472">
        <v>6</v>
      </c>
      <c r="AD472">
        <v>0</v>
      </c>
      <c r="AE472">
        <v>0</v>
      </c>
      <c r="AF472">
        <v>0</v>
      </c>
      <c r="AG472">
        <v>0</v>
      </c>
      <c r="AI472">
        <v>0</v>
      </c>
      <c r="AJ472">
        <v>7</v>
      </c>
      <c r="AK472">
        <v>344</v>
      </c>
      <c r="AL472">
        <v>344</v>
      </c>
      <c r="AM472">
        <v>633</v>
      </c>
      <c r="AN472">
        <v>44</v>
      </c>
      <c r="AP472">
        <v>1</v>
      </c>
      <c r="AR472" t="s">
        <v>555</v>
      </c>
      <c r="AS472" s="1">
        <v>44354.114583333336</v>
      </c>
      <c r="AT472" s="1">
        <v>44354.122881944444</v>
      </c>
      <c r="AU472" s="1">
        <v>44354.123182870368</v>
      </c>
      <c r="AV472" t="s">
        <v>71</v>
      </c>
      <c r="AW472" t="s">
        <v>72</v>
      </c>
      <c r="AX472" t="s">
        <v>73</v>
      </c>
    </row>
    <row r="473" spans="1:50" x14ac:dyDescent="0.3">
      <c r="A473" t="str">
        <f>"200352B0000"</f>
        <v>200352B0000</v>
      </c>
      <c r="B473" t="str">
        <f>"200352B00002"</f>
        <v>200352B00002</v>
      </c>
      <c r="C473" t="str">
        <f t="shared" si="23"/>
        <v>20</v>
      </c>
      <c r="D473" t="s">
        <v>67</v>
      </c>
      <c r="E473" t="str">
        <f t="shared" si="22"/>
        <v>003</v>
      </c>
      <c r="F473" t="s">
        <v>511</v>
      </c>
      <c r="G473" t="str">
        <f>"0352"</f>
        <v>0352</v>
      </c>
      <c r="H473" t="str">
        <f>"0000"</f>
        <v>0000</v>
      </c>
      <c r="I473" t="s">
        <v>69</v>
      </c>
      <c r="J473">
        <v>0</v>
      </c>
      <c r="K473">
        <v>1</v>
      </c>
      <c r="L473">
        <v>2</v>
      </c>
      <c r="M473">
        <v>260</v>
      </c>
      <c r="N473">
        <v>304</v>
      </c>
      <c r="O473">
        <v>5</v>
      </c>
      <c r="P473">
        <v>304</v>
      </c>
      <c r="Q473">
        <v>15</v>
      </c>
      <c r="R473">
        <v>27</v>
      </c>
      <c r="S473">
        <v>84</v>
      </c>
      <c r="T473">
        <v>14</v>
      </c>
      <c r="U473" t="s">
        <v>77</v>
      </c>
      <c r="V473">
        <v>2</v>
      </c>
      <c r="W473">
        <v>1</v>
      </c>
      <c r="X473">
        <v>99</v>
      </c>
      <c r="Y473">
        <v>43</v>
      </c>
      <c r="Z473">
        <v>6</v>
      </c>
      <c r="AA473">
        <v>2</v>
      </c>
      <c r="AB473">
        <v>3</v>
      </c>
      <c r="AD473" t="s">
        <v>77</v>
      </c>
      <c r="AE473" t="s">
        <v>77</v>
      </c>
      <c r="AF473" t="s">
        <v>77</v>
      </c>
      <c r="AG473" t="s">
        <v>77</v>
      </c>
      <c r="AI473">
        <v>1</v>
      </c>
      <c r="AJ473">
        <v>7</v>
      </c>
      <c r="AK473">
        <v>304</v>
      </c>
      <c r="AL473">
        <v>304</v>
      </c>
      <c r="AM473">
        <v>520</v>
      </c>
      <c r="AN473">
        <v>44</v>
      </c>
      <c r="AO473" t="s">
        <v>78</v>
      </c>
      <c r="AP473">
        <v>1</v>
      </c>
      <c r="AR473" t="s">
        <v>556</v>
      </c>
      <c r="AS473" s="1">
        <v>44354.065879629627</v>
      </c>
      <c r="AT473" s="1">
        <v>44354.070833333331</v>
      </c>
      <c r="AU473" s="1">
        <v>44354.07135416667</v>
      </c>
      <c r="AV473" t="s">
        <v>269</v>
      </c>
      <c r="AW473" t="s">
        <v>270</v>
      </c>
      <c r="AX473" t="s">
        <v>73</v>
      </c>
    </row>
    <row r="474" spans="1:50" x14ac:dyDescent="0.3">
      <c r="A474" t="str">
        <f>"200352C0100"</f>
        <v>200352C0100</v>
      </c>
      <c r="B474" t="str">
        <f>"200352C01002"</f>
        <v>200352C01002</v>
      </c>
      <c r="C474" t="str">
        <f t="shared" si="23"/>
        <v>20</v>
      </c>
      <c r="D474" t="s">
        <v>67</v>
      </c>
      <c r="E474" t="str">
        <f t="shared" si="22"/>
        <v>003</v>
      </c>
      <c r="F474" t="s">
        <v>511</v>
      </c>
      <c r="G474" t="str">
        <f>"0352"</f>
        <v>0352</v>
      </c>
      <c r="H474" t="str">
        <f>"0001"</f>
        <v>0001</v>
      </c>
      <c r="I474" t="s">
        <v>75</v>
      </c>
      <c r="J474">
        <v>0</v>
      </c>
      <c r="K474">
        <v>1</v>
      </c>
      <c r="L474">
        <v>2</v>
      </c>
      <c r="M474">
        <v>243</v>
      </c>
      <c r="N474">
        <v>320</v>
      </c>
      <c r="O474">
        <v>4</v>
      </c>
      <c r="P474">
        <v>320</v>
      </c>
      <c r="Q474">
        <v>10</v>
      </c>
      <c r="R474">
        <v>36</v>
      </c>
      <c r="S474">
        <v>82</v>
      </c>
      <c r="T474">
        <v>16</v>
      </c>
      <c r="U474">
        <v>1</v>
      </c>
      <c r="V474">
        <v>1</v>
      </c>
      <c r="W474">
        <v>1</v>
      </c>
      <c r="X474">
        <v>106</v>
      </c>
      <c r="Y474">
        <v>55</v>
      </c>
      <c r="Z474">
        <v>6</v>
      </c>
      <c r="AA474">
        <v>1</v>
      </c>
      <c r="AB474">
        <v>1</v>
      </c>
      <c r="AD474" t="s">
        <v>77</v>
      </c>
      <c r="AE474" t="s">
        <v>77</v>
      </c>
      <c r="AF474" t="s">
        <v>77</v>
      </c>
      <c r="AG474" t="s">
        <v>77</v>
      </c>
      <c r="AI474" t="s">
        <v>77</v>
      </c>
      <c r="AJ474">
        <v>4</v>
      </c>
      <c r="AK474">
        <v>320</v>
      </c>
      <c r="AL474">
        <v>320</v>
      </c>
      <c r="AM474">
        <v>519</v>
      </c>
      <c r="AN474">
        <v>44</v>
      </c>
      <c r="AO474" t="s">
        <v>78</v>
      </c>
      <c r="AP474">
        <v>1</v>
      </c>
      <c r="AR474" t="s">
        <v>557</v>
      </c>
      <c r="AS474" s="1">
        <v>44354.058888888889</v>
      </c>
      <c r="AT474" s="1">
        <v>44354.064791666664</v>
      </c>
      <c r="AU474" s="1">
        <v>44354.065324074072</v>
      </c>
      <c r="AV474" t="s">
        <v>269</v>
      </c>
      <c r="AW474" t="s">
        <v>270</v>
      </c>
      <c r="AX474" t="s">
        <v>73</v>
      </c>
    </row>
    <row r="475" spans="1:50" x14ac:dyDescent="0.3">
      <c r="A475" t="str">
        <f>"200353B0000"</f>
        <v>200353B0000</v>
      </c>
      <c r="B475" t="str">
        <f>"200353B00002"</f>
        <v>200353B00002</v>
      </c>
      <c r="C475" t="str">
        <f t="shared" si="23"/>
        <v>20</v>
      </c>
      <c r="D475" t="s">
        <v>67</v>
      </c>
      <c r="E475" t="str">
        <f t="shared" si="22"/>
        <v>003</v>
      </c>
      <c r="F475" t="s">
        <v>511</v>
      </c>
      <c r="G475" t="str">
        <f>"0353"</f>
        <v>0353</v>
      </c>
      <c r="H475" t="str">
        <f>"0000"</f>
        <v>0000</v>
      </c>
      <c r="I475" t="s">
        <v>69</v>
      </c>
      <c r="J475">
        <v>0</v>
      </c>
      <c r="K475">
        <v>1</v>
      </c>
      <c r="L475">
        <v>2</v>
      </c>
      <c r="AM475">
        <v>732</v>
      </c>
      <c r="AN475">
        <v>44</v>
      </c>
      <c r="AO475" t="s">
        <v>143</v>
      </c>
      <c r="AP475">
        <v>0</v>
      </c>
      <c r="AR475" t="s">
        <v>558</v>
      </c>
      <c r="AS475" s="1">
        <v>44354.60833333333</v>
      </c>
      <c r="AT475" s="1">
        <v>44354.624212962961</v>
      </c>
      <c r="AU475" s="1">
        <v>44354.624212962961</v>
      </c>
      <c r="AV475" t="s">
        <v>71</v>
      </c>
      <c r="AW475" t="s">
        <v>72</v>
      </c>
      <c r="AX475" t="s">
        <v>73</v>
      </c>
    </row>
    <row r="476" spans="1:50" x14ac:dyDescent="0.3">
      <c r="A476" t="str">
        <f>"200354B0000"</f>
        <v>200354B0000</v>
      </c>
      <c r="B476" t="str">
        <f>"200354B00002"</f>
        <v>200354B00002</v>
      </c>
      <c r="C476" t="str">
        <f t="shared" si="23"/>
        <v>20</v>
      </c>
      <c r="D476" t="s">
        <v>67</v>
      </c>
      <c r="E476" t="str">
        <f t="shared" si="22"/>
        <v>003</v>
      </c>
      <c r="F476" t="s">
        <v>511</v>
      </c>
      <c r="G476" t="str">
        <f>"0354"</f>
        <v>0354</v>
      </c>
      <c r="H476" t="str">
        <f>"0000"</f>
        <v>0000</v>
      </c>
      <c r="I476" t="s">
        <v>69</v>
      </c>
      <c r="J476">
        <v>0</v>
      </c>
      <c r="K476">
        <v>1</v>
      </c>
      <c r="L476">
        <v>2</v>
      </c>
      <c r="AM476">
        <v>511</v>
      </c>
      <c r="AN476">
        <v>44</v>
      </c>
      <c r="AO476" t="s">
        <v>143</v>
      </c>
      <c r="AP476">
        <v>0</v>
      </c>
      <c r="AR476" t="s">
        <v>559</v>
      </c>
      <c r="AS476" s="1">
        <v>44354.60833333333</v>
      </c>
      <c r="AT476" s="1">
        <v>44354.624537037038</v>
      </c>
      <c r="AU476" s="1">
        <v>44354.624537037038</v>
      </c>
      <c r="AV476" t="s">
        <v>71</v>
      </c>
      <c r="AW476" t="s">
        <v>72</v>
      </c>
      <c r="AX476" t="s">
        <v>73</v>
      </c>
    </row>
    <row r="477" spans="1:50" x14ac:dyDescent="0.3">
      <c r="A477" t="str">
        <f>"200354C0100"</f>
        <v>200354C0100</v>
      </c>
      <c r="B477" t="str">
        <f>"200354C01002"</f>
        <v>200354C01002</v>
      </c>
      <c r="C477" t="str">
        <f t="shared" si="23"/>
        <v>20</v>
      </c>
      <c r="D477" t="s">
        <v>67</v>
      </c>
      <c r="E477" t="str">
        <f t="shared" si="22"/>
        <v>003</v>
      </c>
      <c r="F477" t="s">
        <v>511</v>
      </c>
      <c r="G477" t="str">
        <f>"0354"</f>
        <v>0354</v>
      </c>
      <c r="H477" t="str">
        <f>"0001"</f>
        <v>0001</v>
      </c>
      <c r="I477" t="s">
        <v>75</v>
      </c>
      <c r="J477">
        <v>0</v>
      </c>
      <c r="K477">
        <v>1</v>
      </c>
      <c r="L477">
        <v>2</v>
      </c>
      <c r="AM477">
        <v>511</v>
      </c>
      <c r="AN477">
        <v>44</v>
      </c>
      <c r="AO477" t="s">
        <v>143</v>
      </c>
      <c r="AP477">
        <v>0</v>
      </c>
      <c r="AR477" t="s">
        <v>560</v>
      </c>
      <c r="AS477" s="1">
        <v>44354.60833333333</v>
      </c>
      <c r="AT477" s="1">
        <v>44354.624386574076</v>
      </c>
      <c r="AU477" s="1">
        <v>44354.624386574076</v>
      </c>
      <c r="AV477" t="s">
        <v>71</v>
      </c>
      <c r="AW477" t="s">
        <v>72</v>
      </c>
      <c r="AX477" t="s">
        <v>73</v>
      </c>
    </row>
    <row r="478" spans="1:50" x14ac:dyDescent="0.3">
      <c r="A478" t="str">
        <f>"200355B0000"</f>
        <v>200355B0000</v>
      </c>
      <c r="B478" t="str">
        <f>"200355B00002"</f>
        <v>200355B00002</v>
      </c>
      <c r="C478" t="str">
        <f t="shared" si="23"/>
        <v>20</v>
      </c>
      <c r="D478" t="s">
        <v>67</v>
      </c>
      <c r="E478" t="str">
        <f t="shared" si="22"/>
        <v>003</v>
      </c>
      <c r="F478" t="s">
        <v>511</v>
      </c>
      <c r="G478" t="str">
        <f>"0355"</f>
        <v>0355</v>
      </c>
      <c r="H478" t="str">
        <f>"0000"</f>
        <v>0000</v>
      </c>
      <c r="I478" t="s">
        <v>69</v>
      </c>
      <c r="J478">
        <v>0</v>
      </c>
      <c r="K478">
        <v>1</v>
      </c>
      <c r="L478">
        <v>2</v>
      </c>
      <c r="M478">
        <v>210</v>
      </c>
      <c r="N478">
        <v>253</v>
      </c>
      <c r="O478">
        <v>1</v>
      </c>
      <c r="P478">
        <v>253</v>
      </c>
      <c r="Q478">
        <v>13</v>
      </c>
      <c r="R478">
        <v>31</v>
      </c>
      <c r="S478">
        <v>106</v>
      </c>
      <c r="T478">
        <v>11</v>
      </c>
      <c r="U478">
        <v>1</v>
      </c>
      <c r="V478">
        <v>1</v>
      </c>
      <c r="W478">
        <v>1</v>
      </c>
      <c r="X478">
        <v>41</v>
      </c>
      <c r="Y478">
        <v>30</v>
      </c>
      <c r="Z478">
        <v>5</v>
      </c>
      <c r="AA478">
        <v>1</v>
      </c>
      <c r="AB478">
        <v>2</v>
      </c>
      <c r="AD478">
        <v>0</v>
      </c>
      <c r="AE478">
        <v>0</v>
      </c>
      <c r="AF478">
        <v>1</v>
      </c>
      <c r="AG478">
        <v>0</v>
      </c>
      <c r="AI478">
        <v>0</v>
      </c>
      <c r="AJ478">
        <v>9</v>
      </c>
      <c r="AK478">
        <v>253</v>
      </c>
      <c r="AL478">
        <v>253</v>
      </c>
      <c r="AM478">
        <v>419</v>
      </c>
      <c r="AN478">
        <v>44</v>
      </c>
      <c r="AP478">
        <v>1</v>
      </c>
      <c r="AR478" t="s">
        <v>561</v>
      </c>
      <c r="AS478" s="1">
        <v>44353.954733796294</v>
      </c>
      <c r="AT478" s="1">
        <v>44353.956655092596</v>
      </c>
      <c r="AU478" s="1">
        <v>44353.957303240742</v>
      </c>
      <c r="AV478" t="s">
        <v>269</v>
      </c>
      <c r="AW478" t="s">
        <v>270</v>
      </c>
      <c r="AX478" t="s">
        <v>73</v>
      </c>
    </row>
    <row r="479" spans="1:50" x14ac:dyDescent="0.3">
      <c r="A479" t="str">
        <f>"200355C0100"</f>
        <v>200355C0100</v>
      </c>
      <c r="B479" t="str">
        <f>"200355C01002"</f>
        <v>200355C01002</v>
      </c>
      <c r="C479" t="str">
        <f t="shared" si="23"/>
        <v>20</v>
      </c>
      <c r="D479" t="s">
        <v>67</v>
      </c>
      <c r="E479" t="str">
        <f t="shared" si="22"/>
        <v>003</v>
      </c>
      <c r="F479" t="s">
        <v>511</v>
      </c>
      <c r="G479" t="str">
        <f>"0355"</f>
        <v>0355</v>
      </c>
      <c r="H479" t="str">
        <f>"0001"</f>
        <v>0001</v>
      </c>
      <c r="I479" t="s">
        <v>75</v>
      </c>
      <c r="J479">
        <v>0</v>
      </c>
      <c r="K479">
        <v>1</v>
      </c>
      <c r="L479">
        <v>2</v>
      </c>
      <c r="M479">
        <v>221</v>
      </c>
      <c r="N479">
        <v>241</v>
      </c>
      <c r="O479">
        <v>2</v>
      </c>
      <c r="P479">
        <v>241</v>
      </c>
      <c r="Q479">
        <v>8</v>
      </c>
      <c r="R479">
        <v>20</v>
      </c>
      <c r="S479">
        <v>95</v>
      </c>
      <c r="T479">
        <v>7</v>
      </c>
      <c r="U479">
        <v>4</v>
      </c>
      <c r="V479">
        <v>3</v>
      </c>
      <c r="W479">
        <v>1</v>
      </c>
      <c r="X479">
        <v>54</v>
      </c>
      <c r="Y479">
        <v>32</v>
      </c>
      <c r="Z479">
        <v>6</v>
      </c>
      <c r="AA479">
        <v>0</v>
      </c>
      <c r="AB479">
        <v>4</v>
      </c>
      <c r="AD479">
        <v>0</v>
      </c>
      <c r="AE479">
        <v>0</v>
      </c>
      <c r="AF479">
        <v>1</v>
      </c>
      <c r="AG479">
        <v>0</v>
      </c>
      <c r="AI479">
        <v>0</v>
      </c>
      <c r="AJ479">
        <v>6</v>
      </c>
      <c r="AK479">
        <v>241</v>
      </c>
      <c r="AL479">
        <v>241</v>
      </c>
      <c r="AM479">
        <v>418</v>
      </c>
      <c r="AN479">
        <v>44</v>
      </c>
      <c r="AP479">
        <v>1</v>
      </c>
      <c r="AR479" t="s">
        <v>562</v>
      </c>
      <c r="AS479" s="1">
        <v>44353.974699074075</v>
      </c>
      <c r="AT479" s="1">
        <v>44353.976215277777</v>
      </c>
      <c r="AU479" s="1">
        <v>44353.976863425924</v>
      </c>
      <c r="AV479" t="s">
        <v>269</v>
      </c>
      <c r="AW479" t="s">
        <v>270</v>
      </c>
      <c r="AX479" t="s">
        <v>73</v>
      </c>
    </row>
    <row r="480" spans="1:50" x14ac:dyDescent="0.3">
      <c r="A480" t="str">
        <f>"200356B0000"</f>
        <v>200356B0000</v>
      </c>
      <c r="B480" t="str">
        <f>"200356B00002"</f>
        <v>200356B00002</v>
      </c>
      <c r="C480" t="str">
        <f t="shared" si="23"/>
        <v>20</v>
      </c>
      <c r="D480" t="s">
        <v>67</v>
      </c>
      <c r="E480" t="str">
        <f t="shared" si="22"/>
        <v>003</v>
      </c>
      <c r="F480" t="s">
        <v>511</v>
      </c>
      <c r="G480" t="str">
        <f>"0356"</f>
        <v>0356</v>
      </c>
      <c r="H480" t="str">
        <f>"0000"</f>
        <v>0000</v>
      </c>
      <c r="I480" t="s">
        <v>69</v>
      </c>
      <c r="J480">
        <v>0</v>
      </c>
      <c r="K480">
        <v>1</v>
      </c>
      <c r="L480">
        <v>2</v>
      </c>
      <c r="M480">
        <v>251</v>
      </c>
      <c r="N480">
        <v>245</v>
      </c>
      <c r="O480">
        <v>3</v>
      </c>
      <c r="P480">
        <v>245</v>
      </c>
      <c r="Q480">
        <v>6</v>
      </c>
      <c r="R480">
        <v>34</v>
      </c>
      <c r="S480">
        <v>85</v>
      </c>
      <c r="T480">
        <v>6</v>
      </c>
      <c r="U480">
        <v>3</v>
      </c>
      <c r="V480">
        <v>3</v>
      </c>
      <c r="W480">
        <v>0</v>
      </c>
      <c r="X480">
        <v>59</v>
      </c>
      <c r="Y480">
        <v>35</v>
      </c>
      <c r="Z480">
        <v>3</v>
      </c>
      <c r="AA480">
        <v>3</v>
      </c>
      <c r="AB480">
        <v>2</v>
      </c>
      <c r="AD480" t="s">
        <v>77</v>
      </c>
      <c r="AE480" t="s">
        <v>77</v>
      </c>
      <c r="AF480" t="s">
        <v>77</v>
      </c>
      <c r="AG480" t="s">
        <v>77</v>
      </c>
      <c r="AI480" t="s">
        <v>77</v>
      </c>
      <c r="AJ480" t="s">
        <v>77</v>
      </c>
      <c r="AK480" t="s">
        <v>77</v>
      </c>
      <c r="AL480">
        <v>239</v>
      </c>
      <c r="AM480">
        <v>452</v>
      </c>
      <c r="AN480">
        <v>44</v>
      </c>
      <c r="AO480" t="s">
        <v>78</v>
      </c>
      <c r="AP480">
        <v>1</v>
      </c>
      <c r="AR480" t="s">
        <v>563</v>
      </c>
      <c r="AS480" s="1">
        <v>44353.985243055555</v>
      </c>
      <c r="AT480" s="1">
        <v>44353.987708333334</v>
      </c>
      <c r="AU480" s="1">
        <v>44353.988229166665</v>
      </c>
      <c r="AV480" t="s">
        <v>269</v>
      </c>
      <c r="AW480" t="s">
        <v>270</v>
      </c>
      <c r="AX480" t="s">
        <v>73</v>
      </c>
    </row>
    <row r="481" spans="1:50" x14ac:dyDescent="0.3">
      <c r="A481" t="str">
        <f>"200356C0100"</f>
        <v>200356C0100</v>
      </c>
      <c r="B481" t="str">
        <f>"200356C01002"</f>
        <v>200356C01002</v>
      </c>
      <c r="C481" t="str">
        <f t="shared" si="23"/>
        <v>20</v>
      </c>
      <c r="D481" t="s">
        <v>67</v>
      </c>
      <c r="E481" t="str">
        <f t="shared" si="22"/>
        <v>003</v>
      </c>
      <c r="F481" t="s">
        <v>511</v>
      </c>
      <c r="G481" t="str">
        <f>"0356"</f>
        <v>0356</v>
      </c>
      <c r="H481" t="str">
        <f>"0001"</f>
        <v>0001</v>
      </c>
      <c r="I481" t="s">
        <v>75</v>
      </c>
      <c r="J481">
        <v>0</v>
      </c>
      <c r="K481">
        <v>1</v>
      </c>
      <c r="L481">
        <v>2</v>
      </c>
      <c r="M481">
        <v>239</v>
      </c>
      <c r="N481">
        <v>256</v>
      </c>
      <c r="O481">
        <v>4</v>
      </c>
      <c r="P481">
        <v>256</v>
      </c>
      <c r="Q481">
        <v>3</v>
      </c>
      <c r="R481">
        <v>31</v>
      </c>
      <c r="S481">
        <v>116</v>
      </c>
      <c r="T481">
        <v>7</v>
      </c>
      <c r="U481">
        <v>1</v>
      </c>
      <c r="V481">
        <v>2</v>
      </c>
      <c r="W481">
        <v>2</v>
      </c>
      <c r="X481">
        <v>52</v>
      </c>
      <c r="Y481">
        <v>4</v>
      </c>
      <c r="Z481">
        <v>7</v>
      </c>
      <c r="AA481">
        <v>4</v>
      </c>
      <c r="AB481">
        <v>0</v>
      </c>
      <c r="AD481" t="s">
        <v>77</v>
      </c>
      <c r="AE481" t="s">
        <v>77</v>
      </c>
      <c r="AF481" t="s">
        <v>77</v>
      </c>
      <c r="AG481" t="s">
        <v>77</v>
      </c>
      <c r="AI481" t="s">
        <v>77</v>
      </c>
      <c r="AJ481">
        <v>7</v>
      </c>
      <c r="AK481" t="s">
        <v>77</v>
      </c>
      <c r="AL481">
        <v>236</v>
      </c>
      <c r="AM481">
        <v>451</v>
      </c>
      <c r="AN481">
        <v>44</v>
      </c>
      <c r="AO481" t="s">
        <v>78</v>
      </c>
      <c r="AP481">
        <v>1</v>
      </c>
      <c r="AR481" t="s">
        <v>564</v>
      </c>
      <c r="AS481" s="1">
        <v>44353.969629629632</v>
      </c>
      <c r="AT481" s="1">
        <v>44353.970972222225</v>
      </c>
      <c r="AU481" s="1">
        <v>44353.971782407411</v>
      </c>
      <c r="AV481" t="s">
        <v>269</v>
      </c>
      <c r="AW481" t="s">
        <v>270</v>
      </c>
      <c r="AX481" t="s">
        <v>73</v>
      </c>
    </row>
    <row r="482" spans="1:50" x14ac:dyDescent="0.3">
      <c r="A482" t="str">
        <f>"200357B0000"</f>
        <v>200357B0000</v>
      </c>
      <c r="B482" t="str">
        <f>"200357B00002"</f>
        <v>200357B00002</v>
      </c>
      <c r="C482" t="str">
        <f t="shared" si="23"/>
        <v>20</v>
      </c>
      <c r="D482" t="s">
        <v>67</v>
      </c>
      <c r="E482" t="str">
        <f t="shared" si="22"/>
        <v>003</v>
      </c>
      <c r="F482" t="s">
        <v>511</v>
      </c>
      <c r="G482" t="str">
        <f>"0357"</f>
        <v>0357</v>
      </c>
      <c r="H482" t="str">
        <f>"0000"</f>
        <v>0000</v>
      </c>
      <c r="I482" t="s">
        <v>69</v>
      </c>
      <c r="J482">
        <v>0</v>
      </c>
      <c r="K482">
        <v>1</v>
      </c>
      <c r="L482">
        <v>2</v>
      </c>
      <c r="M482">
        <v>196</v>
      </c>
      <c r="N482">
        <v>222</v>
      </c>
      <c r="O482">
        <v>1</v>
      </c>
      <c r="P482">
        <v>222</v>
      </c>
      <c r="Q482">
        <v>3</v>
      </c>
      <c r="R482">
        <v>32</v>
      </c>
      <c r="S482">
        <v>54</v>
      </c>
      <c r="T482">
        <v>0</v>
      </c>
      <c r="U482">
        <v>8</v>
      </c>
      <c r="V482">
        <v>2</v>
      </c>
      <c r="W482">
        <v>1</v>
      </c>
      <c r="X482">
        <v>75</v>
      </c>
      <c r="Y482">
        <v>28</v>
      </c>
      <c r="Z482">
        <v>8</v>
      </c>
      <c r="AA482">
        <v>2</v>
      </c>
      <c r="AB482">
        <v>1</v>
      </c>
      <c r="AD482">
        <v>0</v>
      </c>
      <c r="AE482">
        <v>0</v>
      </c>
      <c r="AF482">
        <v>0</v>
      </c>
      <c r="AG482">
        <v>0</v>
      </c>
      <c r="AI482">
        <v>0</v>
      </c>
      <c r="AJ482">
        <v>8</v>
      </c>
      <c r="AK482">
        <v>222</v>
      </c>
      <c r="AL482">
        <v>222</v>
      </c>
      <c r="AM482">
        <v>374</v>
      </c>
      <c r="AN482">
        <v>44</v>
      </c>
      <c r="AP482">
        <v>1</v>
      </c>
      <c r="AR482" t="s">
        <v>565</v>
      </c>
      <c r="AS482" s="1">
        <v>44353.916666666664</v>
      </c>
      <c r="AT482" s="1">
        <v>44354.066574074073</v>
      </c>
      <c r="AU482" s="1">
        <v>44354.066840277781</v>
      </c>
      <c r="AV482" t="s">
        <v>71</v>
      </c>
      <c r="AW482" t="s">
        <v>72</v>
      </c>
      <c r="AX482" t="s">
        <v>73</v>
      </c>
    </row>
    <row r="483" spans="1:50" x14ac:dyDescent="0.3">
      <c r="A483" t="str">
        <f>"200357E0100"</f>
        <v>200357E0100</v>
      </c>
      <c r="B483" t="str">
        <f>"200357E01002"</f>
        <v>200357E01002</v>
      </c>
      <c r="C483" t="str">
        <f t="shared" si="23"/>
        <v>20</v>
      </c>
      <c r="D483" t="s">
        <v>67</v>
      </c>
      <c r="E483" t="str">
        <f t="shared" si="22"/>
        <v>003</v>
      </c>
      <c r="F483" t="s">
        <v>511</v>
      </c>
      <c r="G483" t="str">
        <f>"0357"</f>
        <v>0357</v>
      </c>
      <c r="H483" t="str">
        <f>"0001"</f>
        <v>0001</v>
      </c>
      <c r="I483" t="s">
        <v>109</v>
      </c>
      <c r="J483">
        <v>0</v>
      </c>
      <c r="K483">
        <v>1</v>
      </c>
      <c r="L483">
        <v>2</v>
      </c>
      <c r="M483">
        <v>190</v>
      </c>
      <c r="N483">
        <v>218</v>
      </c>
      <c r="O483">
        <v>5</v>
      </c>
      <c r="P483">
        <v>218</v>
      </c>
      <c r="Q483">
        <v>1</v>
      </c>
      <c r="R483">
        <v>22</v>
      </c>
      <c r="S483">
        <v>60</v>
      </c>
      <c r="T483">
        <v>5</v>
      </c>
      <c r="U483">
        <v>4</v>
      </c>
      <c r="V483">
        <v>2</v>
      </c>
      <c r="W483">
        <v>0</v>
      </c>
      <c r="X483">
        <v>41</v>
      </c>
      <c r="Y483">
        <v>68</v>
      </c>
      <c r="Z483">
        <v>6</v>
      </c>
      <c r="AA483">
        <v>1</v>
      </c>
      <c r="AB483">
        <v>0</v>
      </c>
      <c r="AD483">
        <v>0</v>
      </c>
      <c r="AE483">
        <v>0</v>
      </c>
      <c r="AF483">
        <v>0</v>
      </c>
      <c r="AG483">
        <v>0</v>
      </c>
      <c r="AI483">
        <v>0</v>
      </c>
      <c r="AJ483">
        <v>8</v>
      </c>
      <c r="AK483">
        <v>218</v>
      </c>
      <c r="AL483">
        <v>218</v>
      </c>
      <c r="AM483">
        <v>364</v>
      </c>
      <c r="AN483">
        <v>44</v>
      </c>
      <c r="AP483">
        <v>1</v>
      </c>
      <c r="AR483" t="s">
        <v>566</v>
      </c>
      <c r="AS483" s="1">
        <v>44354.058333333334</v>
      </c>
      <c r="AT483" s="1">
        <v>44354.065289351849</v>
      </c>
      <c r="AU483" s="1">
        <v>44354.066319444442</v>
      </c>
      <c r="AV483" t="s">
        <v>71</v>
      </c>
      <c r="AW483" t="s">
        <v>72</v>
      </c>
      <c r="AX483" t="s">
        <v>73</v>
      </c>
    </row>
    <row r="484" spans="1:50" x14ac:dyDescent="0.3">
      <c r="A484" t="str">
        <f>"200357E0200"</f>
        <v>200357E0200</v>
      </c>
      <c r="B484" t="str">
        <f>"200357E02002"</f>
        <v>200357E02002</v>
      </c>
      <c r="C484" t="str">
        <f t="shared" si="23"/>
        <v>20</v>
      </c>
      <c r="D484" t="s">
        <v>67</v>
      </c>
      <c r="E484" t="str">
        <f t="shared" si="22"/>
        <v>003</v>
      </c>
      <c r="F484" t="s">
        <v>511</v>
      </c>
      <c r="G484" t="str">
        <f>"0357"</f>
        <v>0357</v>
      </c>
      <c r="H484" t="str">
        <f>"0002"</f>
        <v>0002</v>
      </c>
      <c r="I484" t="s">
        <v>109</v>
      </c>
      <c r="J484">
        <v>0</v>
      </c>
      <c r="K484">
        <v>1</v>
      </c>
      <c r="L484">
        <v>2</v>
      </c>
      <c r="M484">
        <v>125</v>
      </c>
      <c r="N484">
        <v>174</v>
      </c>
      <c r="O484">
        <v>3</v>
      </c>
      <c r="P484" t="s">
        <v>80</v>
      </c>
      <c r="Q484">
        <v>4</v>
      </c>
      <c r="R484">
        <v>19</v>
      </c>
      <c r="S484">
        <v>73</v>
      </c>
      <c r="T484">
        <v>5</v>
      </c>
      <c r="U484">
        <v>6</v>
      </c>
      <c r="V484">
        <v>1</v>
      </c>
      <c r="W484">
        <v>0</v>
      </c>
      <c r="X484">
        <v>44</v>
      </c>
      <c r="Y484">
        <v>10</v>
      </c>
      <c r="Z484">
        <v>0</v>
      </c>
      <c r="AA484">
        <v>0</v>
      </c>
      <c r="AB484">
        <v>0</v>
      </c>
      <c r="AD484">
        <v>0</v>
      </c>
      <c r="AE484">
        <v>0</v>
      </c>
      <c r="AF484">
        <v>0</v>
      </c>
      <c r="AG484">
        <v>0</v>
      </c>
      <c r="AI484">
        <v>0</v>
      </c>
      <c r="AJ484">
        <v>11</v>
      </c>
      <c r="AK484">
        <v>174</v>
      </c>
      <c r="AL484">
        <v>173</v>
      </c>
      <c r="AM484">
        <v>255</v>
      </c>
      <c r="AN484">
        <v>44</v>
      </c>
      <c r="AP484">
        <v>1</v>
      </c>
      <c r="AR484" t="s">
        <v>567</v>
      </c>
      <c r="AS484" s="1">
        <v>44354.23541666667</v>
      </c>
      <c r="AT484" s="1">
        <v>44354.237280092595</v>
      </c>
      <c r="AU484" s="1">
        <v>44354.23773148148</v>
      </c>
      <c r="AV484" t="s">
        <v>71</v>
      </c>
      <c r="AW484" t="s">
        <v>72</v>
      </c>
      <c r="AX484" t="s">
        <v>347</v>
      </c>
    </row>
    <row r="485" spans="1:50" x14ac:dyDescent="0.3">
      <c r="A485" t="str">
        <f>"200358B0000"</f>
        <v>200358B0000</v>
      </c>
      <c r="B485" t="str">
        <f>"200358B00002"</f>
        <v>200358B00002</v>
      </c>
      <c r="C485" t="str">
        <f t="shared" si="23"/>
        <v>20</v>
      </c>
      <c r="D485" t="s">
        <v>67</v>
      </c>
      <c r="E485" t="str">
        <f t="shared" si="22"/>
        <v>003</v>
      </c>
      <c r="F485" t="s">
        <v>511</v>
      </c>
      <c r="G485" t="str">
        <f>"0358"</f>
        <v>0358</v>
      </c>
      <c r="H485" t="str">
        <f>"0000"</f>
        <v>0000</v>
      </c>
      <c r="I485" t="s">
        <v>69</v>
      </c>
      <c r="J485">
        <v>0</v>
      </c>
      <c r="K485">
        <v>1</v>
      </c>
      <c r="L485">
        <v>2</v>
      </c>
      <c r="M485">
        <v>229</v>
      </c>
      <c r="N485">
        <v>254</v>
      </c>
      <c r="O485">
        <v>3</v>
      </c>
      <c r="P485">
        <v>254</v>
      </c>
      <c r="Q485">
        <v>3</v>
      </c>
      <c r="R485">
        <v>36</v>
      </c>
      <c r="S485">
        <v>98</v>
      </c>
      <c r="T485">
        <v>1</v>
      </c>
      <c r="U485">
        <v>3</v>
      </c>
      <c r="V485">
        <v>2</v>
      </c>
      <c r="W485">
        <v>1</v>
      </c>
      <c r="X485">
        <v>77</v>
      </c>
      <c r="Y485">
        <v>17</v>
      </c>
      <c r="Z485">
        <v>2</v>
      </c>
      <c r="AA485">
        <v>1</v>
      </c>
      <c r="AB485">
        <v>1</v>
      </c>
      <c r="AD485">
        <v>0</v>
      </c>
      <c r="AE485">
        <v>1</v>
      </c>
      <c r="AF485">
        <v>2</v>
      </c>
      <c r="AG485">
        <v>0</v>
      </c>
      <c r="AI485">
        <v>0</v>
      </c>
      <c r="AJ485">
        <v>9</v>
      </c>
      <c r="AK485">
        <v>254</v>
      </c>
      <c r="AL485">
        <v>254</v>
      </c>
      <c r="AM485">
        <v>439</v>
      </c>
      <c r="AN485">
        <v>44</v>
      </c>
      <c r="AP485">
        <v>1</v>
      </c>
      <c r="AR485" t="s">
        <v>568</v>
      </c>
      <c r="AS485" s="1">
        <v>44353.860335648147</v>
      </c>
      <c r="AT485" s="1">
        <v>44354.037372685183</v>
      </c>
      <c r="AU485" s="1">
        <v>44354.038113425922</v>
      </c>
      <c r="AV485" t="s">
        <v>269</v>
      </c>
      <c r="AW485" t="s">
        <v>270</v>
      </c>
      <c r="AX485" t="s">
        <v>73</v>
      </c>
    </row>
    <row r="486" spans="1:50" x14ac:dyDescent="0.3">
      <c r="A486" t="str">
        <f>"200359B0000"</f>
        <v>200359B0000</v>
      </c>
      <c r="B486" t="str">
        <f>"200359B00002"</f>
        <v>200359B00002</v>
      </c>
      <c r="C486" t="str">
        <f t="shared" si="23"/>
        <v>20</v>
      </c>
      <c r="D486" t="s">
        <v>67</v>
      </c>
      <c r="E486" t="str">
        <f t="shared" si="22"/>
        <v>003</v>
      </c>
      <c r="F486" t="s">
        <v>511</v>
      </c>
      <c r="G486" t="str">
        <f>"0359"</f>
        <v>0359</v>
      </c>
      <c r="H486" t="str">
        <f>"0000"</f>
        <v>0000</v>
      </c>
      <c r="I486" t="s">
        <v>69</v>
      </c>
      <c r="J486">
        <v>0</v>
      </c>
      <c r="K486">
        <v>1</v>
      </c>
      <c r="L486">
        <v>2</v>
      </c>
      <c r="M486">
        <v>169</v>
      </c>
      <c r="N486">
        <v>268</v>
      </c>
      <c r="O486">
        <v>0</v>
      </c>
      <c r="P486">
        <v>268</v>
      </c>
      <c r="Q486">
        <v>18</v>
      </c>
      <c r="R486">
        <v>20</v>
      </c>
      <c r="S486">
        <v>115</v>
      </c>
      <c r="T486">
        <v>2</v>
      </c>
      <c r="U486">
        <v>1</v>
      </c>
      <c r="V486">
        <v>1</v>
      </c>
      <c r="W486">
        <v>0</v>
      </c>
      <c r="X486">
        <v>74</v>
      </c>
      <c r="Y486">
        <v>13</v>
      </c>
      <c r="Z486">
        <v>4</v>
      </c>
      <c r="AA486">
        <v>3</v>
      </c>
      <c r="AB486">
        <v>0</v>
      </c>
      <c r="AD486">
        <v>0</v>
      </c>
      <c r="AE486">
        <v>0</v>
      </c>
      <c r="AF486">
        <v>0</v>
      </c>
      <c r="AG486">
        <v>0</v>
      </c>
      <c r="AI486">
        <v>0</v>
      </c>
      <c r="AJ486">
        <v>17</v>
      </c>
      <c r="AK486">
        <v>268</v>
      </c>
      <c r="AL486">
        <v>268</v>
      </c>
      <c r="AM486">
        <v>393</v>
      </c>
      <c r="AN486">
        <v>44</v>
      </c>
      <c r="AP486">
        <v>1</v>
      </c>
      <c r="AR486" t="s">
        <v>569</v>
      </c>
      <c r="AS486" s="1">
        <v>44354.026388888888</v>
      </c>
      <c r="AT486" s="1">
        <v>44354.033009259256</v>
      </c>
      <c r="AU486" s="1">
        <v>44354.033437500002</v>
      </c>
      <c r="AV486" t="s">
        <v>71</v>
      </c>
      <c r="AW486" t="s">
        <v>72</v>
      </c>
      <c r="AX486" t="s">
        <v>73</v>
      </c>
    </row>
    <row r="487" spans="1:50" x14ac:dyDescent="0.3">
      <c r="A487" t="str">
        <f>"200359C0100"</f>
        <v>200359C0100</v>
      </c>
      <c r="B487" t="str">
        <f>"200359C01002"</f>
        <v>200359C01002</v>
      </c>
      <c r="C487" t="str">
        <f t="shared" si="23"/>
        <v>20</v>
      </c>
      <c r="D487" t="s">
        <v>67</v>
      </c>
      <c r="E487" t="str">
        <f t="shared" si="22"/>
        <v>003</v>
      </c>
      <c r="F487" t="s">
        <v>511</v>
      </c>
      <c r="G487" t="str">
        <f>"0359"</f>
        <v>0359</v>
      </c>
      <c r="H487" t="str">
        <f>"0001"</f>
        <v>0001</v>
      </c>
      <c r="I487" t="s">
        <v>75</v>
      </c>
      <c r="J487">
        <v>0</v>
      </c>
      <c r="K487">
        <v>1</v>
      </c>
      <c r="L487">
        <v>2</v>
      </c>
      <c r="M487">
        <v>182</v>
      </c>
      <c r="N487">
        <v>254</v>
      </c>
      <c r="O487">
        <v>5</v>
      </c>
      <c r="P487">
        <v>254</v>
      </c>
      <c r="Q487">
        <v>18</v>
      </c>
      <c r="R487">
        <v>21</v>
      </c>
      <c r="S487">
        <v>115</v>
      </c>
      <c r="T487">
        <v>3</v>
      </c>
      <c r="U487">
        <v>2</v>
      </c>
      <c r="V487">
        <v>1</v>
      </c>
      <c r="W487">
        <v>1</v>
      </c>
      <c r="X487">
        <v>63</v>
      </c>
      <c r="Y487">
        <v>16</v>
      </c>
      <c r="Z487">
        <v>6</v>
      </c>
      <c r="AA487">
        <v>0</v>
      </c>
      <c r="AB487">
        <v>0</v>
      </c>
      <c r="AD487">
        <v>0</v>
      </c>
      <c r="AE487">
        <v>0</v>
      </c>
      <c r="AF487">
        <v>0</v>
      </c>
      <c r="AG487">
        <v>0</v>
      </c>
      <c r="AI487">
        <v>0</v>
      </c>
      <c r="AJ487">
        <v>8</v>
      </c>
      <c r="AK487">
        <v>254</v>
      </c>
      <c r="AL487">
        <v>254</v>
      </c>
      <c r="AM487">
        <v>392</v>
      </c>
      <c r="AN487">
        <v>44</v>
      </c>
      <c r="AP487">
        <v>1</v>
      </c>
      <c r="AR487" t="s">
        <v>570</v>
      </c>
      <c r="AS487" s="1">
        <v>44353.948414351849</v>
      </c>
      <c r="AT487" s="1">
        <v>44354.037175925929</v>
      </c>
      <c r="AU487" s="1">
        <v>44354.03765046296</v>
      </c>
      <c r="AV487" t="s">
        <v>269</v>
      </c>
      <c r="AW487" t="s">
        <v>270</v>
      </c>
      <c r="AX487" t="s">
        <v>73</v>
      </c>
    </row>
    <row r="488" spans="1:50" x14ac:dyDescent="0.3">
      <c r="A488" t="str">
        <f>"200360B0000"</f>
        <v>200360B0000</v>
      </c>
      <c r="B488" t="str">
        <f>"200360B00002"</f>
        <v>200360B00002</v>
      </c>
      <c r="C488" t="str">
        <f t="shared" si="23"/>
        <v>20</v>
      </c>
      <c r="D488" t="s">
        <v>67</v>
      </c>
      <c r="E488" t="str">
        <f t="shared" si="22"/>
        <v>003</v>
      </c>
      <c r="F488" t="s">
        <v>511</v>
      </c>
      <c r="G488" t="str">
        <f>"0360"</f>
        <v>0360</v>
      </c>
      <c r="H488" t="str">
        <f>"0000"</f>
        <v>0000</v>
      </c>
      <c r="I488" t="s">
        <v>69</v>
      </c>
      <c r="J488">
        <v>0</v>
      </c>
      <c r="K488">
        <v>1</v>
      </c>
      <c r="L488">
        <v>2</v>
      </c>
      <c r="M488">
        <v>213</v>
      </c>
      <c r="N488">
        <v>382</v>
      </c>
      <c r="O488">
        <v>0</v>
      </c>
      <c r="P488">
        <v>382</v>
      </c>
      <c r="Q488">
        <v>6</v>
      </c>
      <c r="R488">
        <v>39</v>
      </c>
      <c r="S488">
        <v>131</v>
      </c>
      <c r="T488">
        <v>1</v>
      </c>
      <c r="U488">
        <v>2</v>
      </c>
      <c r="V488">
        <v>6</v>
      </c>
      <c r="W488">
        <v>2</v>
      </c>
      <c r="X488">
        <v>105</v>
      </c>
      <c r="Y488">
        <v>32</v>
      </c>
      <c r="Z488">
        <v>32</v>
      </c>
      <c r="AA488">
        <v>2</v>
      </c>
      <c r="AB488">
        <v>5</v>
      </c>
      <c r="AD488">
        <v>0</v>
      </c>
      <c r="AE488">
        <v>0</v>
      </c>
      <c r="AF488">
        <v>0</v>
      </c>
      <c r="AG488">
        <v>0</v>
      </c>
      <c r="AI488">
        <v>0</v>
      </c>
      <c r="AJ488">
        <v>19</v>
      </c>
      <c r="AK488">
        <v>382</v>
      </c>
      <c r="AL488">
        <v>382</v>
      </c>
      <c r="AM488">
        <v>551</v>
      </c>
      <c r="AN488">
        <v>44</v>
      </c>
      <c r="AP488">
        <v>1</v>
      </c>
      <c r="AR488" t="s">
        <v>571</v>
      </c>
      <c r="AS488" s="1">
        <v>44353.927384259259</v>
      </c>
      <c r="AT488" s="1">
        <v>44353.963993055557</v>
      </c>
      <c r="AU488" s="1">
        <v>44353.964675925927</v>
      </c>
      <c r="AV488" t="s">
        <v>269</v>
      </c>
      <c r="AW488" t="s">
        <v>270</v>
      </c>
      <c r="AX488" t="s">
        <v>73</v>
      </c>
    </row>
    <row r="489" spans="1:50" x14ac:dyDescent="0.3">
      <c r="A489" t="str">
        <f>"200360C0100"</f>
        <v>200360C0100</v>
      </c>
      <c r="B489" t="str">
        <f>"200360C01002"</f>
        <v>200360C01002</v>
      </c>
      <c r="C489" t="str">
        <f t="shared" si="23"/>
        <v>20</v>
      </c>
      <c r="D489" t="s">
        <v>67</v>
      </c>
      <c r="E489" t="str">
        <f t="shared" si="22"/>
        <v>003</v>
      </c>
      <c r="F489" t="s">
        <v>511</v>
      </c>
      <c r="G489" t="str">
        <f>"0360"</f>
        <v>0360</v>
      </c>
      <c r="H489" t="str">
        <f>"0001"</f>
        <v>0001</v>
      </c>
      <c r="I489" t="s">
        <v>75</v>
      </c>
      <c r="J489">
        <v>0</v>
      </c>
      <c r="K489">
        <v>1</v>
      </c>
      <c r="L489">
        <v>2</v>
      </c>
      <c r="M489">
        <v>220</v>
      </c>
      <c r="N489">
        <v>374</v>
      </c>
      <c r="O489">
        <v>0</v>
      </c>
      <c r="P489">
        <v>374</v>
      </c>
      <c r="Q489">
        <v>7</v>
      </c>
      <c r="R489">
        <v>44</v>
      </c>
      <c r="S489">
        <v>145</v>
      </c>
      <c r="T489">
        <v>4</v>
      </c>
      <c r="U489">
        <v>3</v>
      </c>
      <c r="V489">
        <v>5</v>
      </c>
      <c r="W489">
        <v>1</v>
      </c>
      <c r="X489">
        <v>81</v>
      </c>
      <c r="Y489">
        <v>35</v>
      </c>
      <c r="Z489">
        <v>23</v>
      </c>
      <c r="AA489">
        <v>4</v>
      </c>
      <c r="AB489">
        <v>2</v>
      </c>
      <c r="AD489">
        <v>0</v>
      </c>
      <c r="AE489">
        <v>0</v>
      </c>
      <c r="AF489">
        <v>0</v>
      </c>
      <c r="AG489">
        <v>1</v>
      </c>
      <c r="AI489">
        <v>0</v>
      </c>
      <c r="AJ489">
        <v>19</v>
      </c>
      <c r="AK489">
        <v>374</v>
      </c>
      <c r="AL489">
        <v>374</v>
      </c>
      <c r="AM489">
        <v>550</v>
      </c>
      <c r="AN489">
        <v>44</v>
      </c>
      <c r="AP489">
        <v>1</v>
      </c>
      <c r="AR489" t="s">
        <v>572</v>
      </c>
      <c r="AS489" s="1">
        <v>44353.900810185187</v>
      </c>
      <c r="AT489" s="1">
        <v>44353.964155092595</v>
      </c>
      <c r="AU489" s="1">
        <v>44353.964849537035</v>
      </c>
      <c r="AV489" t="s">
        <v>269</v>
      </c>
      <c r="AW489" t="s">
        <v>270</v>
      </c>
      <c r="AX489" t="s">
        <v>73</v>
      </c>
    </row>
    <row r="490" spans="1:50" x14ac:dyDescent="0.3">
      <c r="A490" t="str">
        <f>"200360E0100"</f>
        <v>200360E0100</v>
      </c>
      <c r="B490" t="str">
        <f>"200360E01002"</f>
        <v>200360E01002</v>
      </c>
      <c r="C490" t="str">
        <f t="shared" si="23"/>
        <v>20</v>
      </c>
      <c r="D490" t="s">
        <v>67</v>
      </c>
      <c r="E490" t="str">
        <f t="shared" si="22"/>
        <v>003</v>
      </c>
      <c r="F490" t="s">
        <v>511</v>
      </c>
      <c r="G490" t="str">
        <f>"0360"</f>
        <v>0360</v>
      </c>
      <c r="H490" t="str">
        <f>"0001"</f>
        <v>0001</v>
      </c>
      <c r="I490" t="s">
        <v>109</v>
      </c>
      <c r="J490">
        <v>0</v>
      </c>
      <c r="K490">
        <v>1</v>
      </c>
      <c r="L490">
        <v>2</v>
      </c>
      <c r="M490">
        <v>186</v>
      </c>
      <c r="N490">
        <v>213</v>
      </c>
      <c r="O490">
        <v>2</v>
      </c>
      <c r="P490">
        <v>213</v>
      </c>
      <c r="Q490">
        <v>11</v>
      </c>
      <c r="R490">
        <v>35</v>
      </c>
      <c r="S490">
        <v>75</v>
      </c>
      <c r="T490">
        <v>3</v>
      </c>
      <c r="U490">
        <v>1</v>
      </c>
      <c r="V490">
        <v>2</v>
      </c>
      <c r="W490">
        <v>1</v>
      </c>
      <c r="X490">
        <v>34</v>
      </c>
      <c r="Y490">
        <v>34</v>
      </c>
      <c r="Z490">
        <v>12</v>
      </c>
      <c r="AA490">
        <v>0</v>
      </c>
      <c r="AB490">
        <v>0</v>
      </c>
      <c r="AD490">
        <v>0</v>
      </c>
      <c r="AE490">
        <v>0</v>
      </c>
      <c r="AF490">
        <v>0</v>
      </c>
      <c r="AG490">
        <v>0</v>
      </c>
      <c r="AI490">
        <v>0</v>
      </c>
      <c r="AJ490">
        <v>5</v>
      </c>
      <c r="AK490">
        <v>213</v>
      </c>
      <c r="AL490">
        <v>213</v>
      </c>
      <c r="AM490">
        <v>355</v>
      </c>
      <c r="AN490">
        <v>44</v>
      </c>
      <c r="AP490">
        <v>1</v>
      </c>
      <c r="AR490" t="s">
        <v>573</v>
      </c>
      <c r="AS490" s="1">
        <v>44353.833449074074</v>
      </c>
      <c r="AT490" s="1">
        <v>44353.838506944441</v>
      </c>
      <c r="AU490" s="1">
        <v>44353.84</v>
      </c>
      <c r="AV490" t="s">
        <v>269</v>
      </c>
      <c r="AW490" t="s">
        <v>270</v>
      </c>
      <c r="AX490" t="s">
        <v>73</v>
      </c>
    </row>
    <row r="491" spans="1:50" x14ac:dyDescent="0.3">
      <c r="A491" t="str">
        <f>"200361B0000"</f>
        <v>200361B0000</v>
      </c>
      <c r="B491" t="str">
        <f>"200361B00002"</f>
        <v>200361B00002</v>
      </c>
      <c r="C491" t="str">
        <f t="shared" si="23"/>
        <v>20</v>
      </c>
      <c r="D491" t="s">
        <v>67</v>
      </c>
      <c r="E491" t="str">
        <f t="shared" si="22"/>
        <v>003</v>
      </c>
      <c r="F491" t="s">
        <v>511</v>
      </c>
      <c r="G491" t="str">
        <f>"0361"</f>
        <v>0361</v>
      </c>
      <c r="H491" t="str">
        <f>"0000"</f>
        <v>0000</v>
      </c>
      <c r="I491" t="s">
        <v>69</v>
      </c>
      <c r="J491">
        <v>0</v>
      </c>
      <c r="K491">
        <v>1</v>
      </c>
      <c r="L491">
        <v>2</v>
      </c>
      <c r="M491">
        <v>198</v>
      </c>
      <c r="N491">
        <v>236</v>
      </c>
      <c r="O491">
        <v>2</v>
      </c>
      <c r="P491">
        <v>237</v>
      </c>
      <c r="Q491">
        <v>1</v>
      </c>
      <c r="R491">
        <v>30</v>
      </c>
      <c r="S491">
        <v>96</v>
      </c>
      <c r="T491">
        <v>3</v>
      </c>
      <c r="U491">
        <v>4</v>
      </c>
      <c r="V491">
        <v>3</v>
      </c>
      <c r="W491">
        <v>1</v>
      </c>
      <c r="X491">
        <v>61</v>
      </c>
      <c r="Y491">
        <v>25</v>
      </c>
      <c r="Z491">
        <v>4</v>
      </c>
      <c r="AA491">
        <v>1</v>
      </c>
      <c r="AB491">
        <v>0</v>
      </c>
      <c r="AD491">
        <v>0</v>
      </c>
      <c r="AE491">
        <v>0</v>
      </c>
      <c r="AF491">
        <v>0</v>
      </c>
      <c r="AG491">
        <v>0</v>
      </c>
      <c r="AI491">
        <v>0</v>
      </c>
      <c r="AJ491">
        <v>8</v>
      </c>
      <c r="AK491">
        <v>237</v>
      </c>
      <c r="AL491">
        <v>237</v>
      </c>
      <c r="AM491">
        <v>391</v>
      </c>
      <c r="AN491">
        <v>44</v>
      </c>
      <c r="AP491">
        <v>1</v>
      </c>
      <c r="AR491" t="s">
        <v>574</v>
      </c>
      <c r="AS491" s="1">
        <v>44354.100694444445</v>
      </c>
      <c r="AT491" s="1">
        <v>44354.106921296298</v>
      </c>
      <c r="AU491" s="1">
        <v>44354.107361111113</v>
      </c>
      <c r="AV491" t="s">
        <v>71</v>
      </c>
      <c r="AW491" t="s">
        <v>72</v>
      </c>
      <c r="AX491" t="s">
        <v>73</v>
      </c>
    </row>
    <row r="492" spans="1:50" x14ac:dyDescent="0.3">
      <c r="A492" t="str">
        <f>"200361E0100"</f>
        <v>200361E0100</v>
      </c>
      <c r="B492" t="str">
        <f>"200361E01002"</f>
        <v>200361E01002</v>
      </c>
      <c r="C492" t="str">
        <f t="shared" si="23"/>
        <v>20</v>
      </c>
      <c r="D492" t="s">
        <v>67</v>
      </c>
      <c r="E492" t="str">
        <f t="shared" si="22"/>
        <v>003</v>
      </c>
      <c r="F492" t="s">
        <v>511</v>
      </c>
      <c r="G492" t="str">
        <f>"0361"</f>
        <v>0361</v>
      </c>
      <c r="H492" t="str">
        <f>"0001"</f>
        <v>0001</v>
      </c>
      <c r="I492" t="s">
        <v>109</v>
      </c>
      <c r="J492">
        <v>0</v>
      </c>
      <c r="K492">
        <v>1</v>
      </c>
      <c r="L492">
        <v>2</v>
      </c>
      <c r="M492">
        <v>172</v>
      </c>
      <c r="N492" t="s">
        <v>80</v>
      </c>
      <c r="O492" t="s">
        <v>80</v>
      </c>
      <c r="P492">
        <v>200</v>
      </c>
      <c r="Q492">
        <v>3</v>
      </c>
      <c r="R492">
        <v>34</v>
      </c>
      <c r="S492">
        <v>63</v>
      </c>
      <c r="T492">
        <v>1</v>
      </c>
      <c r="U492">
        <v>3</v>
      </c>
      <c r="V492">
        <v>1</v>
      </c>
      <c r="W492">
        <v>1</v>
      </c>
      <c r="X492">
        <v>64</v>
      </c>
      <c r="Y492">
        <v>26</v>
      </c>
      <c r="Z492">
        <v>4</v>
      </c>
      <c r="AA492" t="s">
        <v>77</v>
      </c>
      <c r="AB492" t="s">
        <v>77</v>
      </c>
      <c r="AD492" t="s">
        <v>77</v>
      </c>
      <c r="AE492" t="s">
        <v>77</v>
      </c>
      <c r="AF492" t="s">
        <v>77</v>
      </c>
      <c r="AG492" t="s">
        <v>77</v>
      </c>
      <c r="AI492" t="s">
        <v>77</v>
      </c>
      <c r="AJ492" t="s">
        <v>77</v>
      </c>
      <c r="AK492">
        <v>200</v>
      </c>
      <c r="AL492">
        <v>200</v>
      </c>
      <c r="AM492">
        <v>328</v>
      </c>
      <c r="AN492">
        <v>44</v>
      </c>
      <c r="AO492" t="s">
        <v>78</v>
      </c>
      <c r="AP492">
        <v>1</v>
      </c>
      <c r="AR492" t="s">
        <v>575</v>
      </c>
      <c r="AS492" s="1">
        <v>44354.100694444445</v>
      </c>
      <c r="AT492" s="1">
        <v>44354.104988425926</v>
      </c>
      <c r="AU492" s="1">
        <v>44354.105462962965</v>
      </c>
      <c r="AV492" t="s">
        <v>71</v>
      </c>
      <c r="AW492" t="s">
        <v>72</v>
      </c>
      <c r="AX492" t="s">
        <v>73</v>
      </c>
    </row>
    <row r="493" spans="1:50" x14ac:dyDescent="0.3">
      <c r="A493" t="str">
        <f>"200362B0000"</f>
        <v>200362B0000</v>
      </c>
      <c r="B493" t="str">
        <f>"200362B00002"</f>
        <v>200362B00002</v>
      </c>
      <c r="C493" t="str">
        <f t="shared" si="23"/>
        <v>20</v>
      </c>
      <c r="D493" t="s">
        <v>67</v>
      </c>
      <c r="E493" t="str">
        <f t="shared" ref="E493:E556" si="24">"003"</f>
        <v>003</v>
      </c>
      <c r="F493" t="s">
        <v>511</v>
      </c>
      <c r="G493" t="str">
        <f>"0362"</f>
        <v>0362</v>
      </c>
      <c r="H493" t="str">
        <f>"0000"</f>
        <v>0000</v>
      </c>
      <c r="I493" t="s">
        <v>69</v>
      </c>
      <c r="J493">
        <v>0</v>
      </c>
      <c r="K493">
        <v>1</v>
      </c>
      <c r="L493">
        <v>2</v>
      </c>
      <c r="M493" t="s">
        <v>80</v>
      </c>
      <c r="N493" t="s">
        <v>80</v>
      </c>
      <c r="O493" t="s">
        <v>80</v>
      </c>
      <c r="P493" t="s">
        <v>80</v>
      </c>
      <c r="Q493" t="s">
        <v>77</v>
      </c>
      <c r="R493" t="s">
        <v>77</v>
      </c>
      <c r="S493" t="s">
        <v>77</v>
      </c>
      <c r="T493" t="s">
        <v>77</v>
      </c>
      <c r="U493" t="s">
        <v>77</v>
      </c>
      <c r="V493" t="s">
        <v>77</v>
      </c>
      <c r="W493" t="s">
        <v>77</v>
      </c>
      <c r="X493" t="s">
        <v>77</v>
      </c>
      <c r="Y493" t="s">
        <v>77</v>
      </c>
      <c r="Z493" t="s">
        <v>77</v>
      </c>
      <c r="AA493" t="s">
        <v>77</v>
      </c>
      <c r="AB493" t="s">
        <v>77</v>
      </c>
      <c r="AD493" t="s">
        <v>77</v>
      </c>
      <c r="AE493" t="s">
        <v>77</v>
      </c>
      <c r="AF493" t="s">
        <v>77</v>
      </c>
      <c r="AG493" t="s">
        <v>77</v>
      </c>
      <c r="AI493" t="s">
        <v>77</v>
      </c>
      <c r="AJ493" t="s">
        <v>77</v>
      </c>
      <c r="AM493">
        <v>552</v>
      </c>
      <c r="AN493">
        <v>44</v>
      </c>
      <c r="AO493" t="s">
        <v>392</v>
      </c>
      <c r="AP493">
        <v>0</v>
      </c>
      <c r="AR493" t="s">
        <v>576</v>
      </c>
      <c r="AS493" s="1">
        <v>44354.12222222222</v>
      </c>
      <c r="AT493" s="1">
        <v>44354.296307870369</v>
      </c>
      <c r="AU493" s="1">
        <v>44354.300312500003</v>
      </c>
      <c r="AV493" t="s">
        <v>71</v>
      </c>
      <c r="AW493" t="s">
        <v>72</v>
      </c>
      <c r="AX493" t="s">
        <v>73</v>
      </c>
    </row>
    <row r="494" spans="1:50" x14ac:dyDescent="0.3">
      <c r="A494" t="str">
        <f>"200362E0100"</f>
        <v>200362E0100</v>
      </c>
      <c r="B494" t="str">
        <f>"200362E01002"</f>
        <v>200362E01002</v>
      </c>
      <c r="C494" t="str">
        <f t="shared" si="23"/>
        <v>20</v>
      </c>
      <c r="D494" t="s">
        <v>67</v>
      </c>
      <c r="E494" t="str">
        <f t="shared" si="24"/>
        <v>003</v>
      </c>
      <c r="F494" t="s">
        <v>511</v>
      </c>
      <c r="G494" t="str">
        <f>"0362"</f>
        <v>0362</v>
      </c>
      <c r="H494" t="str">
        <f>"0001"</f>
        <v>0001</v>
      </c>
      <c r="I494" t="s">
        <v>109</v>
      </c>
      <c r="J494">
        <v>0</v>
      </c>
      <c r="K494">
        <v>1</v>
      </c>
      <c r="L494">
        <v>2</v>
      </c>
      <c r="M494">
        <v>164</v>
      </c>
      <c r="N494">
        <v>188</v>
      </c>
      <c r="O494">
        <v>0</v>
      </c>
      <c r="P494">
        <v>188</v>
      </c>
      <c r="Q494">
        <v>6</v>
      </c>
      <c r="R494">
        <v>15</v>
      </c>
      <c r="S494">
        <v>79</v>
      </c>
      <c r="T494">
        <v>2</v>
      </c>
      <c r="U494">
        <v>4</v>
      </c>
      <c r="V494">
        <v>0</v>
      </c>
      <c r="W494">
        <v>0</v>
      </c>
      <c r="X494">
        <v>47</v>
      </c>
      <c r="Y494">
        <v>17</v>
      </c>
      <c r="Z494">
        <v>5</v>
      </c>
      <c r="AA494">
        <v>3</v>
      </c>
      <c r="AB494">
        <v>0</v>
      </c>
      <c r="AD494">
        <v>0</v>
      </c>
      <c r="AE494">
        <v>0</v>
      </c>
      <c r="AF494">
        <v>0</v>
      </c>
      <c r="AG494">
        <v>0</v>
      </c>
      <c r="AI494">
        <v>0</v>
      </c>
      <c r="AJ494">
        <v>10</v>
      </c>
      <c r="AK494">
        <v>188</v>
      </c>
      <c r="AL494">
        <v>188</v>
      </c>
      <c r="AM494">
        <v>309</v>
      </c>
      <c r="AN494">
        <v>44</v>
      </c>
      <c r="AP494">
        <v>1</v>
      </c>
      <c r="AR494" t="s">
        <v>577</v>
      </c>
      <c r="AS494" s="1">
        <v>44354.100694444445</v>
      </c>
      <c r="AT494" s="1">
        <v>44354.108229166668</v>
      </c>
      <c r="AU494" s="1">
        <v>44354.108935185184</v>
      </c>
      <c r="AV494" t="s">
        <v>71</v>
      </c>
      <c r="AW494" t="s">
        <v>72</v>
      </c>
      <c r="AX494" t="s">
        <v>73</v>
      </c>
    </row>
    <row r="495" spans="1:50" x14ac:dyDescent="0.3">
      <c r="A495" t="str">
        <f>"200363B0000"</f>
        <v>200363B0000</v>
      </c>
      <c r="B495" t="str">
        <f>"200363B00002"</f>
        <v>200363B00002</v>
      </c>
      <c r="C495" t="str">
        <f t="shared" si="23"/>
        <v>20</v>
      </c>
      <c r="D495" t="s">
        <v>67</v>
      </c>
      <c r="E495" t="str">
        <f t="shared" si="24"/>
        <v>003</v>
      </c>
      <c r="F495" t="s">
        <v>511</v>
      </c>
      <c r="G495" t="str">
        <f>"0363"</f>
        <v>0363</v>
      </c>
      <c r="H495" t="str">
        <f>"0000"</f>
        <v>0000</v>
      </c>
      <c r="I495" t="s">
        <v>69</v>
      </c>
      <c r="J495">
        <v>0</v>
      </c>
      <c r="K495">
        <v>1</v>
      </c>
      <c r="L495">
        <v>2</v>
      </c>
      <c r="M495">
        <v>225</v>
      </c>
      <c r="N495">
        <v>378</v>
      </c>
      <c r="O495">
        <v>1</v>
      </c>
      <c r="P495">
        <v>378</v>
      </c>
      <c r="Q495">
        <v>3</v>
      </c>
      <c r="R495">
        <v>40</v>
      </c>
      <c r="S495">
        <v>39</v>
      </c>
      <c r="T495">
        <v>5</v>
      </c>
      <c r="U495">
        <v>0</v>
      </c>
      <c r="V495">
        <v>3</v>
      </c>
      <c r="W495">
        <v>2</v>
      </c>
      <c r="X495">
        <v>233</v>
      </c>
      <c r="Y495">
        <v>15</v>
      </c>
      <c r="Z495">
        <v>19</v>
      </c>
      <c r="AA495">
        <v>3</v>
      </c>
      <c r="AB495">
        <v>2</v>
      </c>
      <c r="AD495">
        <v>2</v>
      </c>
      <c r="AE495">
        <v>0</v>
      </c>
      <c r="AF495">
        <v>0</v>
      </c>
      <c r="AG495">
        <v>0</v>
      </c>
      <c r="AI495">
        <v>0</v>
      </c>
      <c r="AJ495">
        <v>12</v>
      </c>
      <c r="AK495">
        <v>378</v>
      </c>
      <c r="AL495">
        <v>378</v>
      </c>
      <c r="AM495">
        <v>559</v>
      </c>
      <c r="AN495">
        <v>44</v>
      </c>
      <c r="AP495">
        <v>1</v>
      </c>
      <c r="AR495" t="s">
        <v>578</v>
      </c>
      <c r="AS495" s="1">
        <v>44354.058333333334</v>
      </c>
      <c r="AT495" s="1">
        <v>44354.065810185188</v>
      </c>
      <c r="AU495" s="1">
        <v>44354.066331018519</v>
      </c>
      <c r="AV495" t="s">
        <v>71</v>
      </c>
      <c r="AW495" t="s">
        <v>72</v>
      </c>
      <c r="AX495" t="s">
        <v>73</v>
      </c>
    </row>
    <row r="496" spans="1:50" x14ac:dyDescent="0.3">
      <c r="A496" t="str">
        <f>"200364B0000"</f>
        <v>200364B0000</v>
      </c>
      <c r="B496" t="str">
        <f>"200364B00002"</f>
        <v>200364B00002</v>
      </c>
      <c r="C496" t="str">
        <f t="shared" si="23"/>
        <v>20</v>
      </c>
      <c r="D496" t="s">
        <v>67</v>
      </c>
      <c r="E496" t="str">
        <f t="shared" si="24"/>
        <v>003</v>
      </c>
      <c r="F496" t="s">
        <v>511</v>
      </c>
      <c r="G496" t="str">
        <f>"0364"</f>
        <v>0364</v>
      </c>
      <c r="H496" t="str">
        <f>"0000"</f>
        <v>0000</v>
      </c>
      <c r="I496" t="s">
        <v>69</v>
      </c>
      <c r="J496">
        <v>0</v>
      </c>
      <c r="K496">
        <v>1</v>
      </c>
      <c r="L496">
        <v>2</v>
      </c>
      <c r="M496">
        <v>153</v>
      </c>
      <c r="N496">
        <v>207</v>
      </c>
      <c r="O496">
        <v>12</v>
      </c>
      <c r="P496">
        <v>207</v>
      </c>
      <c r="Q496">
        <v>9</v>
      </c>
      <c r="R496">
        <v>13</v>
      </c>
      <c r="S496">
        <v>91</v>
      </c>
      <c r="T496">
        <v>3</v>
      </c>
      <c r="U496">
        <v>1</v>
      </c>
      <c r="V496">
        <v>4</v>
      </c>
      <c r="W496">
        <v>4</v>
      </c>
      <c r="X496">
        <v>71</v>
      </c>
      <c r="Y496">
        <v>2</v>
      </c>
      <c r="Z496">
        <v>1</v>
      </c>
      <c r="AA496">
        <v>0</v>
      </c>
      <c r="AB496">
        <v>0</v>
      </c>
      <c r="AD496">
        <v>0</v>
      </c>
      <c r="AE496">
        <v>0</v>
      </c>
      <c r="AF496">
        <v>0</v>
      </c>
      <c r="AG496">
        <v>0</v>
      </c>
      <c r="AI496">
        <v>0</v>
      </c>
      <c r="AJ496">
        <v>8</v>
      </c>
      <c r="AK496" t="s">
        <v>99</v>
      </c>
      <c r="AL496">
        <v>207</v>
      </c>
      <c r="AM496">
        <v>316</v>
      </c>
      <c r="AN496">
        <v>44</v>
      </c>
      <c r="AP496">
        <v>1</v>
      </c>
      <c r="AR496" t="s">
        <v>579</v>
      </c>
      <c r="AS496" s="1">
        <v>44354.054861111108</v>
      </c>
      <c r="AT496" s="1">
        <v>44354.063101851854</v>
      </c>
      <c r="AU496" s="1">
        <v>44354.063946759263</v>
      </c>
      <c r="AV496" t="s">
        <v>71</v>
      </c>
      <c r="AW496" t="s">
        <v>72</v>
      </c>
      <c r="AX496" t="s">
        <v>73</v>
      </c>
    </row>
    <row r="497" spans="1:50" x14ac:dyDescent="0.3">
      <c r="A497" t="str">
        <f>"200851B0000"</f>
        <v>200851B0000</v>
      </c>
      <c r="B497" t="str">
        <f>"200851B00002"</f>
        <v>200851B00002</v>
      </c>
      <c r="C497" t="str">
        <f t="shared" si="23"/>
        <v>20</v>
      </c>
      <c r="D497" t="s">
        <v>67</v>
      </c>
      <c r="E497" t="str">
        <f t="shared" si="24"/>
        <v>003</v>
      </c>
      <c r="F497" t="s">
        <v>511</v>
      </c>
      <c r="G497" t="str">
        <f>"0851"</f>
        <v>0851</v>
      </c>
      <c r="H497" t="str">
        <f>"0000"</f>
        <v>0000</v>
      </c>
      <c r="I497" t="s">
        <v>69</v>
      </c>
      <c r="J497">
        <v>0</v>
      </c>
      <c r="K497">
        <v>1</v>
      </c>
      <c r="L497">
        <v>2</v>
      </c>
      <c r="M497">
        <v>121</v>
      </c>
      <c r="N497">
        <v>484</v>
      </c>
      <c r="O497">
        <v>2</v>
      </c>
      <c r="P497">
        <v>483</v>
      </c>
      <c r="Q497">
        <v>0</v>
      </c>
      <c r="R497">
        <v>123</v>
      </c>
      <c r="S497">
        <v>3</v>
      </c>
      <c r="T497">
        <v>127</v>
      </c>
      <c r="U497">
        <v>0</v>
      </c>
      <c r="V497">
        <v>2</v>
      </c>
      <c r="W497">
        <v>4</v>
      </c>
      <c r="X497">
        <v>187</v>
      </c>
      <c r="Y497">
        <v>4</v>
      </c>
      <c r="Z497">
        <v>2</v>
      </c>
      <c r="AA497">
        <v>15</v>
      </c>
      <c r="AB497">
        <v>2</v>
      </c>
      <c r="AD497">
        <v>0</v>
      </c>
      <c r="AE497">
        <v>0</v>
      </c>
      <c r="AF497">
        <v>0</v>
      </c>
      <c r="AG497">
        <v>1</v>
      </c>
      <c r="AI497">
        <v>0</v>
      </c>
      <c r="AJ497">
        <v>13</v>
      </c>
      <c r="AK497">
        <v>483</v>
      </c>
      <c r="AL497">
        <v>483</v>
      </c>
      <c r="AM497">
        <v>561</v>
      </c>
      <c r="AN497">
        <v>44</v>
      </c>
      <c r="AP497">
        <v>1</v>
      </c>
      <c r="AR497" t="s">
        <v>580</v>
      </c>
      <c r="AS497" s="1">
        <v>44354.448611111111</v>
      </c>
      <c r="AT497" s="1">
        <v>44354.451423611114</v>
      </c>
      <c r="AU497" s="1">
        <v>44354.452418981484</v>
      </c>
      <c r="AV497" t="s">
        <v>71</v>
      </c>
      <c r="AW497" t="s">
        <v>72</v>
      </c>
      <c r="AX497" t="s">
        <v>73</v>
      </c>
    </row>
    <row r="498" spans="1:50" x14ac:dyDescent="0.3">
      <c r="A498" t="str">
        <f>"200851C0100"</f>
        <v>200851C0100</v>
      </c>
      <c r="B498" t="str">
        <f>"200851C01002"</f>
        <v>200851C01002</v>
      </c>
      <c r="C498" t="str">
        <f t="shared" si="23"/>
        <v>20</v>
      </c>
      <c r="D498" t="s">
        <v>67</v>
      </c>
      <c r="E498" t="str">
        <f t="shared" si="24"/>
        <v>003</v>
      </c>
      <c r="F498" t="s">
        <v>511</v>
      </c>
      <c r="G498" t="str">
        <f>"0851"</f>
        <v>0851</v>
      </c>
      <c r="H498" t="str">
        <f>"0001"</f>
        <v>0001</v>
      </c>
      <c r="I498" t="s">
        <v>75</v>
      </c>
      <c r="J498">
        <v>0</v>
      </c>
      <c r="K498">
        <v>1</v>
      </c>
      <c r="L498">
        <v>2</v>
      </c>
      <c r="M498">
        <v>125</v>
      </c>
      <c r="N498">
        <v>480</v>
      </c>
      <c r="O498">
        <v>3</v>
      </c>
      <c r="P498" t="s">
        <v>80</v>
      </c>
      <c r="Q498">
        <v>2</v>
      </c>
      <c r="R498">
        <v>136</v>
      </c>
      <c r="S498">
        <v>7</v>
      </c>
      <c r="T498">
        <v>128</v>
      </c>
      <c r="U498">
        <v>0</v>
      </c>
      <c r="V498">
        <v>2</v>
      </c>
      <c r="W498">
        <v>3</v>
      </c>
      <c r="X498">
        <v>165</v>
      </c>
      <c r="Y498">
        <v>6</v>
      </c>
      <c r="Z498">
        <v>2</v>
      </c>
      <c r="AA498">
        <v>20</v>
      </c>
      <c r="AB498">
        <v>1</v>
      </c>
      <c r="AD498">
        <v>1</v>
      </c>
      <c r="AE498">
        <v>0</v>
      </c>
      <c r="AF498">
        <v>0</v>
      </c>
      <c r="AG498">
        <v>0</v>
      </c>
      <c r="AI498">
        <v>0</v>
      </c>
      <c r="AJ498">
        <v>6</v>
      </c>
      <c r="AK498">
        <v>479</v>
      </c>
      <c r="AL498">
        <v>479</v>
      </c>
      <c r="AM498">
        <v>560</v>
      </c>
      <c r="AN498">
        <v>44</v>
      </c>
      <c r="AP498">
        <v>1</v>
      </c>
      <c r="AR498" t="s">
        <v>581</v>
      </c>
      <c r="AS498" s="1">
        <v>44354.375</v>
      </c>
      <c r="AT498" s="1">
        <v>44354.378564814811</v>
      </c>
      <c r="AU498" s="1">
        <v>44354.379849537036</v>
      </c>
      <c r="AV498" t="s">
        <v>71</v>
      </c>
      <c r="AW498" t="s">
        <v>72</v>
      </c>
      <c r="AX498" t="s">
        <v>73</v>
      </c>
    </row>
    <row r="499" spans="1:50" x14ac:dyDescent="0.3">
      <c r="A499" t="str">
        <f>"200851C0200"</f>
        <v>200851C0200</v>
      </c>
      <c r="B499" t="str">
        <f>"200851C02002"</f>
        <v>200851C02002</v>
      </c>
      <c r="C499" t="str">
        <f t="shared" si="23"/>
        <v>20</v>
      </c>
      <c r="D499" t="s">
        <v>67</v>
      </c>
      <c r="E499" t="str">
        <f t="shared" si="24"/>
        <v>003</v>
      </c>
      <c r="F499" t="s">
        <v>511</v>
      </c>
      <c r="G499" t="str">
        <f>"0851"</f>
        <v>0851</v>
      </c>
      <c r="H499" t="str">
        <f>"0002"</f>
        <v>0002</v>
      </c>
      <c r="I499" t="s">
        <v>75</v>
      </c>
      <c r="J499">
        <v>0</v>
      </c>
      <c r="K499">
        <v>1</v>
      </c>
      <c r="L499">
        <v>2</v>
      </c>
      <c r="M499">
        <v>136</v>
      </c>
      <c r="N499">
        <v>468</v>
      </c>
      <c r="O499">
        <v>2</v>
      </c>
      <c r="P499">
        <v>468</v>
      </c>
      <c r="Q499">
        <v>2</v>
      </c>
      <c r="R499">
        <v>123</v>
      </c>
      <c r="S499">
        <v>2</v>
      </c>
      <c r="T499">
        <v>137</v>
      </c>
      <c r="U499">
        <v>3</v>
      </c>
      <c r="V499">
        <v>1</v>
      </c>
      <c r="W499">
        <v>0</v>
      </c>
      <c r="X499">
        <v>171</v>
      </c>
      <c r="Y499">
        <v>9</v>
      </c>
      <c r="Z499">
        <v>2</v>
      </c>
      <c r="AA499">
        <v>12</v>
      </c>
      <c r="AB499">
        <v>1</v>
      </c>
      <c r="AD499">
        <v>0</v>
      </c>
      <c r="AE499">
        <v>0</v>
      </c>
      <c r="AF499">
        <v>0</v>
      </c>
      <c r="AG499">
        <v>0</v>
      </c>
      <c r="AI499">
        <v>0</v>
      </c>
      <c r="AJ499">
        <v>5</v>
      </c>
      <c r="AK499">
        <v>468</v>
      </c>
      <c r="AL499">
        <v>468</v>
      </c>
      <c r="AM499">
        <v>560</v>
      </c>
      <c r="AN499">
        <v>44</v>
      </c>
      <c r="AP499">
        <v>1</v>
      </c>
      <c r="AR499" t="s">
        <v>582</v>
      </c>
      <c r="AS499" s="1">
        <v>44354.374305555553</v>
      </c>
      <c r="AT499" s="1">
        <v>44354.379548611112</v>
      </c>
      <c r="AU499" s="1">
        <v>44354.380162037036</v>
      </c>
      <c r="AV499" t="s">
        <v>71</v>
      </c>
      <c r="AW499" t="s">
        <v>72</v>
      </c>
      <c r="AX499" t="s">
        <v>73</v>
      </c>
    </row>
    <row r="500" spans="1:50" x14ac:dyDescent="0.3">
      <c r="A500" t="str">
        <f>"200852B0000"</f>
        <v>200852B0000</v>
      </c>
      <c r="B500" t="str">
        <f>"200852B00002"</f>
        <v>200852B00002</v>
      </c>
      <c r="C500" t="str">
        <f t="shared" si="23"/>
        <v>20</v>
      </c>
      <c r="D500" t="s">
        <v>67</v>
      </c>
      <c r="E500" t="str">
        <f t="shared" si="24"/>
        <v>003</v>
      </c>
      <c r="F500" t="s">
        <v>511</v>
      </c>
      <c r="G500" t="str">
        <f>"0852"</f>
        <v>0852</v>
      </c>
      <c r="H500" t="str">
        <f>"0000"</f>
        <v>0000</v>
      </c>
      <c r="I500" t="s">
        <v>69</v>
      </c>
      <c r="J500">
        <v>0</v>
      </c>
      <c r="K500">
        <v>1</v>
      </c>
      <c r="L500">
        <v>2</v>
      </c>
      <c r="M500">
        <v>146</v>
      </c>
      <c r="N500">
        <v>563</v>
      </c>
      <c r="O500">
        <v>7</v>
      </c>
      <c r="P500">
        <v>563</v>
      </c>
      <c r="Q500">
        <v>1</v>
      </c>
      <c r="R500">
        <v>127</v>
      </c>
      <c r="S500">
        <v>2</v>
      </c>
      <c r="T500">
        <v>147</v>
      </c>
      <c r="U500">
        <v>2</v>
      </c>
      <c r="V500">
        <v>4</v>
      </c>
      <c r="W500">
        <v>18</v>
      </c>
      <c r="X500">
        <v>238</v>
      </c>
      <c r="Y500">
        <v>3</v>
      </c>
      <c r="Z500">
        <v>1</v>
      </c>
      <c r="AA500">
        <v>10</v>
      </c>
      <c r="AB500">
        <v>1</v>
      </c>
      <c r="AD500">
        <v>0</v>
      </c>
      <c r="AE500">
        <v>0</v>
      </c>
      <c r="AF500">
        <v>0</v>
      </c>
      <c r="AG500">
        <v>0</v>
      </c>
      <c r="AI500">
        <v>0</v>
      </c>
      <c r="AJ500">
        <v>9</v>
      </c>
      <c r="AK500">
        <v>563</v>
      </c>
      <c r="AL500">
        <v>563</v>
      </c>
      <c r="AM500">
        <v>665</v>
      </c>
      <c r="AN500">
        <v>44</v>
      </c>
      <c r="AP500">
        <v>1</v>
      </c>
      <c r="AR500" t="s">
        <v>583</v>
      </c>
      <c r="AS500" s="1">
        <v>44354.35833333333</v>
      </c>
      <c r="AT500" s="1">
        <v>44354.361250000002</v>
      </c>
      <c r="AU500" s="1">
        <v>44354.362638888888</v>
      </c>
      <c r="AV500" t="s">
        <v>71</v>
      </c>
      <c r="AW500" t="s">
        <v>72</v>
      </c>
      <c r="AX500" t="s">
        <v>73</v>
      </c>
    </row>
    <row r="501" spans="1:50" x14ac:dyDescent="0.3">
      <c r="A501" t="str">
        <f>"200852C0100"</f>
        <v>200852C0100</v>
      </c>
      <c r="B501" t="str">
        <f>"200852C01002"</f>
        <v>200852C01002</v>
      </c>
      <c r="C501" t="str">
        <f t="shared" si="23"/>
        <v>20</v>
      </c>
      <c r="D501" t="s">
        <v>67</v>
      </c>
      <c r="E501" t="str">
        <f t="shared" si="24"/>
        <v>003</v>
      </c>
      <c r="F501" t="s">
        <v>511</v>
      </c>
      <c r="G501" t="str">
        <f>"0852"</f>
        <v>0852</v>
      </c>
      <c r="H501" t="str">
        <f>"0001"</f>
        <v>0001</v>
      </c>
      <c r="I501" t="s">
        <v>75</v>
      </c>
      <c r="J501">
        <v>0</v>
      </c>
      <c r="K501">
        <v>1</v>
      </c>
      <c r="L501">
        <v>2</v>
      </c>
      <c r="M501">
        <v>168</v>
      </c>
      <c r="N501">
        <v>540</v>
      </c>
      <c r="O501">
        <v>6</v>
      </c>
      <c r="P501">
        <v>540</v>
      </c>
      <c r="Q501">
        <v>2</v>
      </c>
      <c r="R501">
        <v>118</v>
      </c>
      <c r="S501">
        <v>3</v>
      </c>
      <c r="T501">
        <v>158</v>
      </c>
      <c r="U501">
        <v>5</v>
      </c>
      <c r="V501">
        <v>2</v>
      </c>
      <c r="W501">
        <v>7</v>
      </c>
      <c r="X501">
        <v>216</v>
      </c>
      <c r="Y501">
        <v>7</v>
      </c>
      <c r="Z501">
        <v>1</v>
      </c>
      <c r="AA501">
        <v>10</v>
      </c>
      <c r="AB501">
        <v>3</v>
      </c>
      <c r="AD501">
        <v>0</v>
      </c>
      <c r="AE501">
        <v>0</v>
      </c>
      <c r="AF501">
        <v>0</v>
      </c>
      <c r="AG501">
        <v>0</v>
      </c>
      <c r="AI501">
        <v>0</v>
      </c>
      <c r="AJ501">
        <v>8</v>
      </c>
      <c r="AK501">
        <v>540</v>
      </c>
      <c r="AL501">
        <v>540</v>
      </c>
      <c r="AM501">
        <v>664</v>
      </c>
      <c r="AN501">
        <v>44</v>
      </c>
      <c r="AP501">
        <v>1</v>
      </c>
      <c r="AR501" t="s">
        <v>584</v>
      </c>
      <c r="AS501" s="1">
        <v>44354.35833333333</v>
      </c>
      <c r="AT501" s="1">
        <v>44354.361226851855</v>
      </c>
      <c r="AU501" s="1">
        <v>44354.361909722225</v>
      </c>
      <c r="AV501" t="s">
        <v>71</v>
      </c>
      <c r="AW501" t="s">
        <v>72</v>
      </c>
      <c r="AX501" t="s">
        <v>73</v>
      </c>
    </row>
    <row r="502" spans="1:50" x14ac:dyDescent="0.3">
      <c r="A502" t="str">
        <f>"200853B0000"</f>
        <v>200853B0000</v>
      </c>
      <c r="B502" t="str">
        <f>"200853B00002"</f>
        <v>200853B00002</v>
      </c>
      <c r="C502" t="str">
        <f t="shared" si="23"/>
        <v>20</v>
      </c>
      <c r="D502" t="s">
        <v>67</v>
      </c>
      <c r="E502" t="str">
        <f t="shared" si="24"/>
        <v>003</v>
      </c>
      <c r="F502" t="s">
        <v>511</v>
      </c>
      <c r="G502" t="str">
        <f>"0853"</f>
        <v>0853</v>
      </c>
      <c r="H502" t="str">
        <f>"0000"</f>
        <v>0000</v>
      </c>
      <c r="I502" t="s">
        <v>69</v>
      </c>
      <c r="J502">
        <v>0</v>
      </c>
      <c r="K502">
        <v>1</v>
      </c>
      <c r="L502">
        <v>2</v>
      </c>
      <c r="M502">
        <v>149</v>
      </c>
      <c r="N502">
        <v>517</v>
      </c>
      <c r="O502">
        <v>0</v>
      </c>
      <c r="P502">
        <v>517</v>
      </c>
      <c r="Q502">
        <v>4</v>
      </c>
      <c r="R502">
        <v>137</v>
      </c>
      <c r="S502">
        <v>5</v>
      </c>
      <c r="T502">
        <v>105</v>
      </c>
      <c r="U502">
        <v>2</v>
      </c>
      <c r="V502">
        <v>1</v>
      </c>
      <c r="W502">
        <v>17</v>
      </c>
      <c r="X502">
        <v>215</v>
      </c>
      <c r="Y502">
        <v>8</v>
      </c>
      <c r="Z502">
        <v>2</v>
      </c>
      <c r="AA502">
        <v>5</v>
      </c>
      <c r="AB502">
        <v>0</v>
      </c>
      <c r="AD502" t="s">
        <v>77</v>
      </c>
      <c r="AE502" t="s">
        <v>77</v>
      </c>
      <c r="AF502" t="s">
        <v>77</v>
      </c>
      <c r="AG502" t="s">
        <v>77</v>
      </c>
      <c r="AI502" t="s">
        <v>77</v>
      </c>
      <c r="AJ502">
        <v>13</v>
      </c>
      <c r="AK502">
        <v>517</v>
      </c>
      <c r="AL502">
        <v>514</v>
      </c>
      <c r="AM502">
        <v>622</v>
      </c>
      <c r="AN502">
        <v>44</v>
      </c>
      <c r="AO502" t="s">
        <v>78</v>
      </c>
      <c r="AP502">
        <v>1</v>
      </c>
      <c r="AR502" t="s">
        <v>585</v>
      </c>
      <c r="AS502" s="1">
        <v>44354.366666666669</v>
      </c>
      <c r="AT502" s="1">
        <v>44354.371180555558</v>
      </c>
      <c r="AU502" s="1">
        <v>44354.371828703705</v>
      </c>
      <c r="AV502" t="s">
        <v>71</v>
      </c>
      <c r="AW502" t="s">
        <v>72</v>
      </c>
      <c r="AX502" t="s">
        <v>73</v>
      </c>
    </row>
    <row r="503" spans="1:50" x14ac:dyDescent="0.3">
      <c r="A503" t="str">
        <f>"200853C0100"</f>
        <v>200853C0100</v>
      </c>
      <c r="B503" t="str">
        <f>"200853C01002"</f>
        <v>200853C01002</v>
      </c>
      <c r="C503" t="str">
        <f t="shared" si="23"/>
        <v>20</v>
      </c>
      <c r="D503" t="s">
        <v>67</v>
      </c>
      <c r="E503" t="str">
        <f t="shared" si="24"/>
        <v>003</v>
      </c>
      <c r="F503" t="s">
        <v>511</v>
      </c>
      <c r="G503" t="str">
        <f>"0853"</f>
        <v>0853</v>
      </c>
      <c r="H503" t="str">
        <f>"0001"</f>
        <v>0001</v>
      </c>
      <c r="I503" t="s">
        <v>75</v>
      </c>
      <c r="J503">
        <v>0</v>
      </c>
      <c r="K503">
        <v>1</v>
      </c>
      <c r="L503">
        <v>2</v>
      </c>
      <c r="M503">
        <v>147</v>
      </c>
      <c r="N503">
        <v>519</v>
      </c>
      <c r="O503">
        <v>0</v>
      </c>
      <c r="P503" t="s">
        <v>80</v>
      </c>
      <c r="Q503">
        <v>3</v>
      </c>
      <c r="R503">
        <v>131</v>
      </c>
      <c r="S503">
        <v>4</v>
      </c>
      <c r="T503">
        <v>104</v>
      </c>
      <c r="U503">
        <v>2</v>
      </c>
      <c r="V503">
        <v>4</v>
      </c>
      <c r="W503">
        <v>11</v>
      </c>
      <c r="X503">
        <v>223</v>
      </c>
      <c r="Y503">
        <v>13</v>
      </c>
      <c r="Z503">
        <v>1</v>
      </c>
      <c r="AA503">
        <v>5</v>
      </c>
      <c r="AB503">
        <v>2</v>
      </c>
      <c r="AD503">
        <v>2</v>
      </c>
      <c r="AE503">
        <v>0</v>
      </c>
      <c r="AF503">
        <v>0</v>
      </c>
      <c r="AG503">
        <v>0</v>
      </c>
      <c r="AI503">
        <v>0</v>
      </c>
      <c r="AJ503">
        <v>14</v>
      </c>
      <c r="AK503">
        <v>519</v>
      </c>
      <c r="AL503">
        <v>519</v>
      </c>
      <c r="AM503">
        <v>622</v>
      </c>
      <c r="AN503">
        <v>44</v>
      </c>
      <c r="AP503">
        <v>1</v>
      </c>
      <c r="AR503" t="s">
        <v>586</v>
      </c>
      <c r="AS503" s="1">
        <v>44354.465277777781</v>
      </c>
      <c r="AT503" s="1">
        <v>44354.470046296294</v>
      </c>
      <c r="AU503" s="1">
        <v>44354.470648148148</v>
      </c>
      <c r="AV503" t="s">
        <v>71</v>
      </c>
      <c r="AW503" t="s">
        <v>72</v>
      </c>
      <c r="AX503" t="s">
        <v>73</v>
      </c>
    </row>
    <row r="504" spans="1:50" x14ac:dyDescent="0.3">
      <c r="A504" t="str">
        <f>"200853E0100"</f>
        <v>200853E0100</v>
      </c>
      <c r="B504" t="str">
        <f>"200853E01002"</f>
        <v>200853E01002</v>
      </c>
      <c r="C504" t="str">
        <f t="shared" si="23"/>
        <v>20</v>
      </c>
      <c r="D504" t="s">
        <v>67</v>
      </c>
      <c r="E504" t="str">
        <f t="shared" si="24"/>
        <v>003</v>
      </c>
      <c r="F504" t="s">
        <v>511</v>
      </c>
      <c r="G504" t="str">
        <f>"0853"</f>
        <v>0853</v>
      </c>
      <c r="H504" t="str">
        <f>"0001"</f>
        <v>0001</v>
      </c>
      <c r="I504" t="s">
        <v>109</v>
      </c>
      <c r="J504">
        <v>0</v>
      </c>
      <c r="K504">
        <v>1</v>
      </c>
      <c r="L504">
        <v>2</v>
      </c>
      <c r="M504">
        <v>104</v>
      </c>
      <c r="N504">
        <v>319</v>
      </c>
      <c r="O504">
        <v>0</v>
      </c>
      <c r="P504">
        <v>319</v>
      </c>
      <c r="Q504">
        <v>1</v>
      </c>
      <c r="R504">
        <v>79</v>
      </c>
      <c r="S504">
        <v>0</v>
      </c>
      <c r="T504">
        <v>107</v>
      </c>
      <c r="U504">
        <v>0</v>
      </c>
      <c r="V504">
        <v>0</v>
      </c>
      <c r="W504">
        <v>5</v>
      </c>
      <c r="X504">
        <v>103</v>
      </c>
      <c r="Y504">
        <v>6</v>
      </c>
      <c r="Z504">
        <v>1</v>
      </c>
      <c r="AA504">
        <v>11</v>
      </c>
      <c r="AB504">
        <v>0</v>
      </c>
      <c r="AD504">
        <v>0</v>
      </c>
      <c r="AE504">
        <v>0</v>
      </c>
      <c r="AF504">
        <v>0</v>
      </c>
      <c r="AG504">
        <v>0</v>
      </c>
      <c r="AI504">
        <v>0</v>
      </c>
      <c r="AJ504">
        <v>5</v>
      </c>
      <c r="AK504">
        <v>319</v>
      </c>
      <c r="AL504">
        <v>318</v>
      </c>
      <c r="AM504">
        <v>379</v>
      </c>
      <c r="AN504">
        <v>44</v>
      </c>
      <c r="AP504">
        <v>1</v>
      </c>
      <c r="AR504" t="s">
        <v>587</v>
      </c>
      <c r="AS504" s="1">
        <v>44354.371527777781</v>
      </c>
      <c r="AT504" s="1">
        <v>44354.375775462962</v>
      </c>
      <c r="AU504" s="1">
        <v>44354.376284722224</v>
      </c>
      <c r="AV504" t="s">
        <v>71</v>
      </c>
      <c r="AW504" t="s">
        <v>72</v>
      </c>
      <c r="AX504" t="s">
        <v>73</v>
      </c>
    </row>
    <row r="505" spans="1:50" x14ac:dyDescent="0.3">
      <c r="A505" t="str">
        <f>"200853E0101"</f>
        <v>200853E0101</v>
      </c>
      <c r="B505" t="str">
        <f>"200853E01012"</f>
        <v>200853E01012</v>
      </c>
      <c r="C505" t="str">
        <f t="shared" si="23"/>
        <v>20</v>
      </c>
      <c r="D505" t="s">
        <v>67</v>
      </c>
      <c r="E505" t="str">
        <f t="shared" si="24"/>
        <v>003</v>
      </c>
      <c r="F505" t="s">
        <v>511</v>
      </c>
      <c r="G505" t="str">
        <f>"0853"</f>
        <v>0853</v>
      </c>
      <c r="H505" t="str">
        <f>"0001"</f>
        <v>0001</v>
      </c>
      <c r="I505" t="s">
        <v>109</v>
      </c>
      <c r="J505">
        <v>1</v>
      </c>
      <c r="K505">
        <v>1</v>
      </c>
      <c r="L505">
        <v>2</v>
      </c>
      <c r="M505">
        <v>84</v>
      </c>
      <c r="N505">
        <v>338</v>
      </c>
      <c r="O505">
        <v>1</v>
      </c>
      <c r="P505">
        <v>338</v>
      </c>
      <c r="Q505">
        <v>1</v>
      </c>
      <c r="R505">
        <v>77</v>
      </c>
      <c r="S505">
        <v>1</v>
      </c>
      <c r="T505">
        <v>106</v>
      </c>
      <c r="U505">
        <v>1</v>
      </c>
      <c r="V505">
        <v>0</v>
      </c>
      <c r="W505">
        <v>14</v>
      </c>
      <c r="X505">
        <v>107</v>
      </c>
      <c r="Y505">
        <v>11</v>
      </c>
      <c r="Z505">
        <v>0</v>
      </c>
      <c r="AA505">
        <v>7</v>
      </c>
      <c r="AB505">
        <v>1</v>
      </c>
      <c r="AD505">
        <v>0</v>
      </c>
      <c r="AE505">
        <v>0</v>
      </c>
      <c r="AF505">
        <v>0</v>
      </c>
      <c r="AG505">
        <v>0</v>
      </c>
      <c r="AI505">
        <v>0</v>
      </c>
      <c r="AJ505">
        <v>12</v>
      </c>
      <c r="AK505">
        <v>338</v>
      </c>
      <c r="AL505">
        <v>338</v>
      </c>
      <c r="AM505">
        <v>379</v>
      </c>
      <c r="AN505">
        <v>44</v>
      </c>
      <c r="AP505">
        <v>1</v>
      </c>
      <c r="AR505" s="2" t="s">
        <v>588</v>
      </c>
      <c r="AS505" s="1">
        <v>44354.367361111108</v>
      </c>
      <c r="AT505" s="1">
        <v>44354.370520833334</v>
      </c>
      <c r="AU505" s="1">
        <v>44354.371076388888</v>
      </c>
      <c r="AV505" t="s">
        <v>71</v>
      </c>
      <c r="AW505" t="s">
        <v>72</v>
      </c>
      <c r="AX505" t="s">
        <v>73</v>
      </c>
    </row>
    <row r="506" spans="1:50" x14ac:dyDescent="0.3">
      <c r="A506" t="str">
        <f>"200854B0000"</f>
        <v>200854B0000</v>
      </c>
      <c r="B506" t="str">
        <f>"200854B00002"</f>
        <v>200854B00002</v>
      </c>
      <c r="C506" t="str">
        <f t="shared" si="23"/>
        <v>20</v>
      </c>
      <c r="D506" t="s">
        <v>67</v>
      </c>
      <c r="E506" t="str">
        <f t="shared" si="24"/>
        <v>003</v>
      </c>
      <c r="F506" t="s">
        <v>511</v>
      </c>
      <c r="G506" t="str">
        <f>"0854"</f>
        <v>0854</v>
      </c>
      <c r="H506" t="str">
        <f>"0000"</f>
        <v>0000</v>
      </c>
      <c r="I506" t="s">
        <v>69</v>
      </c>
      <c r="J506">
        <v>0</v>
      </c>
      <c r="K506">
        <v>1</v>
      </c>
      <c r="L506">
        <v>2</v>
      </c>
      <c r="M506">
        <v>161</v>
      </c>
      <c r="N506">
        <v>595</v>
      </c>
      <c r="O506">
        <v>1</v>
      </c>
      <c r="P506">
        <v>595</v>
      </c>
      <c r="Q506">
        <v>3</v>
      </c>
      <c r="R506">
        <v>116</v>
      </c>
      <c r="S506">
        <v>2</v>
      </c>
      <c r="T506">
        <v>141</v>
      </c>
      <c r="U506">
        <v>1</v>
      </c>
      <c r="V506">
        <v>8</v>
      </c>
      <c r="W506">
        <v>8</v>
      </c>
      <c r="X506">
        <v>266</v>
      </c>
      <c r="Y506">
        <v>12</v>
      </c>
      <c r="Z506">
        <v>2</v>
      </c>
      <c r="AA506">
        <v>15</v>
      </c>
      <c r="AB506">
        <v>5</v>
      </c>
      <c r="AD506">
        <v>0</v>
      </c>
      <c r="AE506">
        <v>0</v>
      </c>
      <c r="AF506">
        <v>0</v>
      </c>
      <c r="AG506">
        <v>0</v>
      </c>
      <c r="AI506">
        <v>0</v>
      </c>
      <c r="AJ506">
        <v>16</v>
      </c>
      <c r="AK506">
        <v>595</v>
      </c>
      <c r="AL506">
        <v>595</v>
      </c>
      <c r="AM506">
        <v>712</v>
      </c>
      <c r="AN506">
        <v>44</v>
      </c>
      <c r="AP506">
        <v>1</v>
      </c>
      <c r="AR506" t="s">
        <v>589</v>
      </c>
      <c r="AS506" s="1">
        <v>44354.363888888889</v>
      </c>
      <c r="AT506" s="1">
        <v>44354.366851851853</v>
      </c>
      <c r="AU506" s="1">
        <v>44354.367442129631</v>
      </c>
      <c r="AV506" t="s">
        <v>71</v>
      </c>
      <c r="AW506" t="s">
        <v>72</v>
      </c>
      <c r="AX506" t="s">
        <v>73</v>
      </c>
    </row>
    <row r="507" spans="1:50" x14ac:dyDescent="0.3">
      <c r="A507" t="str">
        <f>"200854C0100"</f>
        <v>200854C0100</v>
      </c>
      <c r="B507" t="str">
        <f>"200854C01002"</f>
        <v>200854C01002</v>
      </c>
      <c r="C507" t="str">
        <f t="shared" si="23"/>
        <v>20</v>
      </c>
      <c r="D507" t="s">
        <v>67</v>
      </c>
      <c r="E507" t="str">
        <f t="shared" si="24"/>
        <v>003</v>
      </c>
      <c r="F507" t="s">
        <v>511</v>
      </c>
      <c r="G507" t="str">
        <f>"0854"</f>
        <v>0854</v>
      </c>
      <c r="H507" t="str">
        <f>"0001"</f>
        <v>0001</v>
      </c>
      <c r="I507" t="s">
        <v>75</v>
      </c>
      <c r="J507">
        <v>0</v>
      </c>
      <c r="K507">
        <v>1</v>
      </c>
      <c r="L507">
        <v>2</v>
      </c>
      <c r="M507">
        <v>164</v>
      </c>
      <c r="N507">
        <v>592</v>
      </c>
      <c r="O507">
        <v>9</v>
      </c>
      <c r="P507">
        <v>592</v>
      </c>
      <c r="Q507">
        <v>6</v>
      </c>
      <c r="R507">
        <v>113</v>
      </c>
      <c r="S507">
        <v>2</v>
      </c>
      <c r="T507">
        <v>116</v>
      </c>
      <c r="U507">
        <v>2</v>
      </c>
      <c r="V507">
        <v>9</v>
      </c>
      <c r="W507">
        <v>22</v>
      </c>
      <c r="X507">
        <v>279</v>
      </c>
      <c r="Y507">
        <v>8</v>
      </c>
      <c r="Z507">
        <v>1</v>
      </c>
      <c r="AA507">
        <v>17</v>
      </c>
      <c r="AB507">
        <v>2</v>
      </c>
      <c r="AD507" t="s">
        <v>77</v>
      </c>
      <c r="AE507" t="s">
        <v>77</v>
      </c>
      <c r="AF507" t="s">
        <v>77</v>
      </c>
      <c r="AG507" t="s">
        <v>77</v>
      </c>
      <c r="AI507" t="s">
        <v>77</v>
      </c>
      <c r="AJ507">
        <v>15</v>
      </c>
      <c r="AK507">
        <v>592</v>
      </c>
      <c r="AL507">
        <v>592</v>
      </c>
      <c r="AM507">
        <v>712</v>
      </c>
      <c r="AN507">
        <v>44</v>
      </c>
      <c r="AO507" t="s">
        <v>78</v>
      </c>
      <c r="AP507">
        <v>1</v>
      </c>
      <c r="AR507" t="s">
        <v>590</v>
      </c>
      <c r="AS507" s="1">
        <v>44354.368750000001</v>
      </c>
      <c r="AT507" s="1">
        <v>44354.373414351852</v>
      </c>
      <c r="AU507" s="1">
        <v>44354.374328703707</v>
      </c>
      <c r="AV507" t="s">
        <v>71</v>
      </c>
      <c r="AW507" t="s">
        <v>72</v>
      </c>
      <c r="AX507" t="s">
        <v>73</v>
      </c>
    </row>
    <row r="508" spans="1:50" x14ac:dyDescent="0.3">
      <c r="A508" t="str">
        <f>"200854C0200"</f>
        <v>200854C0200</v>
      </c>
      <c r="B508" t="str">
        <f>"200854C02002"</f>
        <v>200854C02002</v>
      </c>
      <c r="C508" t="str">
        <f t="shared" si="23"/>
        <v>20</v>
      </c>
      <c r="D508" t="s">
        <v>67</v>
      </c>
      <c r="E508" t="str">
        <f t="shared" si="24"/>
        <v>003</v>
      </c>
      <c r="F508" t="s">
        <v>511</v>
      </c>
      <c r="G508" t="str">
        <f>"0854"</f>
        <v>0854</v>
      </c>
      <c r="H508" t="str">
        <f>"0002"</f>
        <v>0002</v>
      </c>
      <c r="I508" t="s">
        <v>75</v>
      </c>
      <c r="J508">
        <v>0</v>
      </c>
      <c r="K508">
        <v>1</v>
      </c>
      <c r="L508">
        <v>2</v>
      </c>
      <c r="M508">
        <v>168</v>
      </c>
      <c r="N508">
        <v>588</v>
      </c>
      <c r="O508">
        <v>10</v>
      </c>
      <c r="P508">
        <v>588</v>
      </c>
      <c r="Q508">
        <v>6</v>
      </c>
      <c r="R508">
        <v>170</v>
      </c>
      <c r="S508" t="s">
        <v>77</v>
      </c>
      <c r="T508">
        <v>90</v>
      </c>
      <c r="U508">
        <v>6</v>
      </c>
      <c r="V508">
        <v>10</v>
      </c>
      <c r="W508">
        <v>9</v>
      </c>
      <c r="X508">
        <v>254</v>
      </c>
      <c r="Y508">
        <v>10</v>
      </c>
      <c r="Z508">
        <v>1</v>
      </c>
      <c r="AA508">
        <v>8</v>
      </c>
      <c r="AB508">
        <v>3</v>
      </c>
      <c r="AD508" t="s">
        <v>77</v>
      </c>
      <c r="AE508">
        <v>3</v>
      </c>
      <c r="AF508" t="s">
        <v>77</v>
      </c>
      <c r="AG508" t="s">
        <v>77</v>
      </c>
      <c r="AI508">
        <v>1</v>
      </c>
      <c r="AJ508">
        <v>15</v>
      </c>
      <c r="AK508">
        <v>586</v>
      </c>
      <c r="AL508">
        <v>586</v>
      </c>
      <c r="AM508">
        <v>712</v>
      </c>
      <c r="AN508">
        <v>44</v>
      </c>
      <c r="AO508" t="s">
        <v>78</v>
      </c>
      <c r="AP508">
        <v>1</v>
      </c>
      <c r="AR508" t="s">
        <v>591</v>
      </c>
      <c r="AS508" s="1">
        <v>44354.371527777781</v>
      </c>
      <c r="AT508" s="1">
        <v>44354.375787037039</v>
      </c>
      <c r="AU508" s="1">
        <v>44354.376354166663</v>
      </c>
      <c r="AV508" t="s">
        <v>71</v>
      </c>
      <c r="AW508" t="s">
        <v>72</v>
      </c>
      <c r="AX508" t="s">
        <v>73</v>
      </c>
    </row>
    <row r="509" spans="1:50" x14ac:dyDescent="0.3">
      <c r="A509" t="str">
        <f>"200854E0100"</f>
        <v>200854E0100</v>
      </c>
      <c r="B509" t="str">
        <f>"200854E01002"</f>
        <v>200854E01002</v>
      </c>
      <c r="C509" t="str">
        <f t="shared" si="23"/>
        <v>20</v>
      </c>
      <c r="D509" t="s">
        <v>67</v>
      </c>
      <c r="E509" t="str">
        <f t="shared" si="24"/>
        <v>003</v>
      </c>
      <c r="F509" t="s">
        <v>511</v>
      </c>
      <c r="G509" t="str">
        <f>"0854"</f>
        <v>0854</v>
      </c>
      <c r="H509" t="str">
        <f>"0001"</f>
        <v>0001</v>
      </c>
      <c r="I509" t="s">
        <v>109</v>
      </c>
      <c r="J509">
        <v>0</v>
      </c>
      <c r="K509">
        <v>1</v>
      </c>
      <c r="L509">
        <v>2</v>
      </c>
      <c r="M509">
        <v>95</v>
      </c>
      <c r="N509">
        <v>322</v>
      </c>
      <c r="O509">
        <v>10</v>
      </c>
      <c r="P509">
        <v>322</v>
      </c>
      <c r="Q509">
        <v>5</v>
      </c>
      <c r="R509">
        <v>130</v>
      </c>
      <c r="S509">
        <v>1</v>
      </c>
      <c r="T509">
        <v>35</v>
      </c>
      <c r="U509">
        <v>0</v>
      </c>
      <c r="V509">
        <v>2</v>
      </c>
      <c r="W509">
        <v>9</v>
      </c>
      <c r="X509">
        <v>126</v>
      </c>
      <c r="Y509">
        <v>0</v>
      </c>
      <c r="Z509">
        <v>0</v>
      </c>
      <c r="AA509">
        <v>6</v>
      </c>
      <c r="AB509">
        <v>2</v>
      </c>
      <c r="AD509">
        <v>3</v>
      </c>
      <c r="AE509">
        <v>0</v>
      </c>
      <c r="AF509">
        <v>1</v>
      </c>
      <c r="AG509">
        <v>0</v>
      </c>
      <c r="AI509">
        <v>0</v>
      </c>
      <c r="AJ509">
        <v>2</v>
      </c>
      <c r="AK509">
        <v>322</v>
      </c>
      <c r="AL509">
        <v>322</v>
      </c>
      <c r="AM509">
        <v>374</v>
      </c>
      <c r="AN509">
        <v>44</v>
      </c>
      <c r="AP509">
        <v>1</v>
      </c>
      <c r="AR509" s="2" t="s">
        <v>592</v>
      </c>
      <c r="AS509" s="1">
        <v>44354.368750000001</v>
      </c>
      <c r="AT509" s="1">
        <v>44354.372789351852</v>
      </c>
      <c r="AU509" s="1">
        <v>44354.373888888891</v>
      </c>
      <c r="AV509" t="s">
        <v>71</v>
      </c>
      <c r="AW509" t="s">
        <v>72</v>
      </c>
      <c r="AX509" t="s">
        <v>73</v>
      </c>
    </row>
    <row r="510" spans="1:50" x14ac:dyDescent="0.3">
      <c r="A510" t="str">
        <f>"200855B0000"</f>
        <v>200855B0000</v>
      </c>
      <c r="B510" t="str">
        <f>"200855B00002"</f>
        <v>200855B00002</v>
      </c>
      <c r="C510" t="str">
        <f t="shared" si="23"/>
        <v>20</v>
      </c>
      <c r="D510" t="s">
        <v>67</v>
      </c>
      <c r="E510" t="str">
        <f t="shared" si="24"/>
        <v>003</v>
      </c>
      <c r="F510" t="s">
        <v>511</v>
      </c>
      <c r="G510" t="str">
        <f>"0855"</f>
        <v>0855</v>
      </c>
      <c r="H510" t="str">
        <f>"0000"</f>
        <v>0000</v>
      </c>
      <c r="I510" t="s">
        <v>69</v>
      </c>
      <c r="J510">
        <v>0</v>
      </c>
      <c r="K510">
        <v>1</v>
      </c>
      <c r="L510">
        <v>2</v>
      </c>
      <c r="M510" t="s">
        <v>80</v>
      </c>
      <c r="N510" t="s">
        <v>80</v>
      </c>
      <c r="O510" t="s">
        <v>80</v>
      </c>
      <c r="P510">
        <v>410</v>
      </c>
      <c r="Q510">
        <v>2</v>
      </c>
      <c r="R510">
        <v>125</v>
      </c>
      <c r="S510">
        <v>1</v>
      </c>
      <c r="T510">
        <v>113</v>
      </c>
      <c r="U510">
        <v>0</v>
      </c>
      <c r="V510">
        <v>3</v>
      </c>
      <c r="W510">
        <v>3</v>
      </c>
      <c r="X510">
        <v>135</v>
      </c>
      <c r="Y510">
        <v>7</v>
      </c>
      <c r="Z510">
        <v>1</v>
      </c>
      <c r="AA510">
        <v>11</v>
      </c>
      <c r="AB510">
        <v>2</v>
      </c>
      <c r="AD510">
        <v>0</v>
      </c>
      <c r="AE510">
        <v>0</v>
      </c>
      <c r="AF510">
        <v>0</v>
      </c>
      <c r="AG510">
        <v>0</v>
      </c>
      <c r="AI510">
        <v>0</v>
      </c>
      <c r="AJ510">
        <v>7</v>
      </c>
      <c r="AK510">
        <v>410</v>
      </c>
      <c r="AL510">
        <v>410</v>
      </c>
      <c r="AM510">
        <v>501</v>
      </c>
      <c r="AN510">
        <v>44</v>
      </c>
      <c r="AP510">
        <v>1</v>
      </c>
      <c r="AR510" t="s">
        <v>593</v>
      </c>
      <c r="AS510" s="1">
        <v>44354.375</v>
      </c>
      <c r="AT510" s="1">
        <v>44354.378807870373</v>
      </c>
      <c r="AU510" s="1">
        <v>44354.379421296297</v>
      </c>
      <c r="AV510" t="s">
        <v>71</v>
      </c>
      <c r="AW510" t="s">
        <v>72</v>
      </c>
      <c r="AX510" t="s">
        <v>73</v>
      </c>
    </row>
    <row r="511" spans="1:50" x14ac:dyDescent="0.3">
      <c r="A511" t="str">
        <f>"200855C0100"</f>
        <v>200855C0100</v>
      </c>
      <c r="B511" t="str">
        <f>"200855C01002"</f>
        <v>200855C01002</v>
      </c>
      <c r="C511" t="str">
        <f t="shared" si="23"/>
        <v>20</v>
      </c>
      <c r="D511" t="s">
        <v>67</v>
      </c>
      <c r="E511" t="str">
        <f t="shared" si="24"/>
        <v>003</v>
      </c>
      <c r="F511" t="s">
        <v>511</v>
      </c>
      <c r="G511" t="str">
        <f>"0855"</f>
        <v>0855</v>
      </c>
      <c r="H511" t="str">
        <f>"0001"</f>
        <v>0001</v>
      </c>
      <c r="I511" t="s">
        <v>75</v>
      </c>
      <c r="J511">
        <v>0</v>
      </c>
      <c r="K511">
        <v>1</v>
      </c>
      <c r="L511">
        <v>2</v>
      </c>
      <c r="M511">
        <v>101</v>
      </c>
      <c r="N511">
        <v>453</v>
      </c>
      <c r="O511">
        <v>10</v>
      </c>
      <c r="P511">
        <v>443</v>
      </c>
      <c r="Q511">
        <v>2</v>
      </c>
      <c r="R511">
        <v>173</v>
      </c>
      <c r="S511">
        <v>0</v>
      </c>
      <c r="T511">
        <v>112</v>
      </c>
      <c r="U511">
        <v>0</v>
      </c>
      <c r="V511">
        <v>2</v>
      </c>
      <c r="W511">
        <v>0</v>
      </c>
      <c r="X511">
        <v>128</v>
      </c>
      <c r="Y511">
        <v>9</v>
      </c>
      <c r="Z511">
        <v>2</v>
      </c>
      <c r="AA511">
        <v>5</v>
      </c>
      <c r="AB511">
        <v>2</v>
      </c>
      <c r="AD511" t="s">
        <v>77</v>
      </c>
      <c r="AE511" t="s">
        <v>77</v>
      </c>
      <c r="AF511" t="s">
        <v>77</v>
      </c>
      <c r="AG511" t="s">
        <v>77</v>
      </c>
      <c r="AI511" t="s">
        <v>77</v>
      </c>
      <c r="AJ511">
        <v>6</v>
      </c>
      <c r="AK511" t="s">
        <v>99</v>
      </c>
      <c r="AL511">
        <v>441</v>
      </c>
      <c r="AM511">
        <v>500</v>
      </c>
      <c r="AN511">
        <v>44</v>
      </c>
      <c r="AO511" t="s">
        <v>78</v>
      </c>
      <c r="AP511">
        <v>1</v>
      </c>
      <c r="AR511" t="s">
        <v>594</v>
      </c>
      <c r="AS511" s="1">
        <v>44354.375</v>
      </c>
      <c r="AT511" s="1">
        <v>44354.380393518521</v>
      </c>
      <c r="AU511" s="1">
        <v>44354.381307870368</v>
      </c>
      <c r="AV511" t="s">
        <v>71</v>
      </c>
      <c r="AW511" t="s">
        <v>72</v>
      </c>
      <c r="AX511" t="s">
        <v>73</v>
      </c>
    </row>
    <row r="512" spans="1:50" x14ac:dyDescent="0.3">
      <c r="A512" t="str">
        <f>"200856B0000"</f>
        <v>200856B0000</v>
      </c>
      <c r="B512" t="str">
        <f>"200856B00002"</f>
        <v>200856B00002</v>
      </c>
      <c r="C512" t="str">
        <f t="shared" si="23"/>
        <v>20</v>
      </c>
      <c r="D512" t="s">
        <v>67</v>
      </c>
      <c r="E512" t="str">
        <f t="shared" si="24"/>
        <v>003</v>
      </c>
      <c r="F512" t="s">
        <v>511</v>
      </c>
      <c r="G512" t="str">
        <f>"0856"</f>
        <v>0856</v>
      </c>
      <c r="H512" t="str">
        <f>"0000"</f>
        <v>0000</v>
      </c>
      <c r="I512" t="s">
        <v>69</v>
      </c>
      <c r="J512">
        <v>0</v>
      </c>
      <c r="K512">
        <v>1</v>
      </c>
      <c r="L512">
        <v>2</v>
      </c>
      <c r="M512">
        <v>146</v>
      </c>
      <c r="N512">
        <v>637</v>
      </c>
      <c r="O512">
        <v>12</v>
      </c>
      <c r="P512">
        <v>637</v>
      </c>
      <c r="Q512">
        <v>3</v>
      </c>
      <c r="R512">
        <v>178</v>
      </c>
      <c r="S512">
        <v>2</v>
      </c>
      <c r="T512">
        <v>189</v>
      </c>
      <c r="U512">
        <v>0</v>
      </c>
      <c r="V512">
        <v>0</v>
      </c>
      <c r="W512">
        <v>8</v>
      </c>
      <c r="X512">
        <v>220</v>
      </c>
      <c r="Y512">
        <v>4</v>
      </c>
      <c r="Z512">
        <v>4</v>
      </c>
      <c r="AA512">
        <v>16</v>
      </c>
      <c r="AB512">
        <v>3</v>
      </c>
      <c r="AD512">
        <v>1</v>
      </c>
      <c r="AE512">
        <v>0</v>
      </c>
      <c r="AF512">
        <v>0</v>
      </c>
      <c r="AG512">
        <v>0</v>
      </c>
      <c r="AI512">
        <v>0</v>
      </c>
      <c r="AJ512">
        <v>9</v>
      </c>
      <c r="AK512">
        <v>637</v>
      </c>
      <c r="AL512">
        <v>637</v>
      </c>
      <c r="AM512">
        <v>739</v>
      </c>
      <c r="AN512">
        <v>44</v>
      </c>
      <c r="AP512">
        <v>1</v>
      </c>
      <c r="AR512" t="s">
        <v>595</v>
      </c>
      <c r="AS512" s="1">
        <v>44354.484027777777</v>
      </c>
      <c r="AT512" s="1">
        <v>44354.485636574071</v>
      </c>
      <c r="AU512" s="1">
        <v>44354.486863425926</v>
      </c>
      <c r="AV512" t="s">
        <v>71</v>
      </c>
      <c r="AW512" t="s">
        <v>72</v>
      </c>
      <c r="AX512" t="s">
        <v>347</v>
      </c>
    </row>
    <row r="513" spans="1:50" x14ac:dyDescent="0.3">
      <c r="A513" t="str">
        <f>"200856C0100"</f>
        <v>200856C0100</v>
      </c>
      <c r="B513" t="str">
        <f>"200856C01002"</f>
        <v>200856C01002</v>
      </c>
      <c r="C513" t="str">
        <f t="shared" si="23"/>
        <v>20</v>
      </c>
      <c r="D513" t="s">
        <v>67</v>
      </c>
      <c r="E513" t="str">
        <f t="shared" si="24"/>
        <v>003</v>
      </c>
      <c r="F513" t="s">
        <v>511</v>
      </c>
      <c r="G513" t="str">
        <f>"0856"</f>
        <v>0856</v>
      </c>
      <c r="H513" t="str">
        <f>"0001"</f>
        <v>0001</v>
      </c>
      <c r="I513" t="s">
        <v>75</v>
      </c>
      <c r="J513">
        <v>0</v>
      </c>
      <c r="K513">
        <v>1</v>
      </c>
      <c r="L513">
        <v>2</v>
      </c>
      <c r="M513">
        <v>132</v>
      </c>
      <c r="N513">
        <v>650</v>
      </c>
      <c r="O513">
        <v>9</v>
      </c>
      <c r="P513">
        <v>649</v>
      </c>
      <c r="Q513">
        <v>2</v>
      </c>
      <c r="R513">
        <v>193</v>
      </c>
      <c r="S513">
        <v>0</v>
      </c>
      <c r="T513">
        <v>173</v>
      </c>
      <c r="U513">
        <v>1</v>
      </c>
      <c r="V513">
        <v>3</v>
      </c>
      <c r="W513">
        <v>5</v>
      </c>
      <c r="X513">
        <v>238</v>
      </c>
      <c r="Y513">
        <v>7</v>
      </c>
      <c r="Z513">
        <v>2</v>
      </c>
      <c r="AA513">
        <v>8</v>
      </c>
      <c r="AB513">
        <v>1</v>
      </c>
      <c r="AD513">
        <v>1</v>
      </c>
      <c r="AE513">
        <v>0</v>
      </c>
      <c r="AF513">
        <v>0</v>
      </c>
      <c r="AG513">
        <v>0</v>
      </c>
      <c r="AI513">
        <v>0</v>
      </c>
      <c r="AJ513">
        <v>0</v>
      </c>
      <c r="AK513">
        <v>0</v>
      </c>
      <c r="AL513">
        <v>634</v>
      </c>
      <c r="AM513">
        <v>738</v>
      </c>
      <c r="AN513">
        <v>44</v>
      </c>
      <c r="AP513">
        <v>1</v>
      </c>
      <c r="AR513" t="s">
        <v>596</v>
      </c>
      <c r="AS513" s="1">
        <v>44354.374305555553</v>
      </c>
      <c r="AT513" s="1">
        <v>44354.378252314818</v>
      </c>
      <c r="AU513" s="1">
        <v>44354.37903935185</v>
      </c>
      <c r="AV513" t="s">
        <v>71</v>
      </c>
      <c r="AW513" t="s">
        <v>72</v>
      </c>
      <c r="AX513" t="s">
        <v>73</v>
      </c>
    </row>
    <row r="514" spans="1:50" x14ac:dyDescent="0.3">
      <c r="A514" t="str">
        <f>"200856E0100"</f>
        <v>200856E0100</v>
      </c>
      <c r="B514" t="str">
        <f>"200856E01002"</f>
        <v>200856E01002</v>
      </c>
      <c r="C514" t="str">
        <f t="shared" si="23"/>
        <v>20</v>
      </c>
      <c r="D514" t="s">
        <v>67</v>
      </c>
      <c r="E514" t="str">
        <f t="shared" si="24"/>
        <v>003</v>
      </c>
      <c r="F514" t="s">
        <v>511</v>
      </c>
      <c r="G514" t="str">
        <f>"0856"</f>
        <v>0856</v>
      </c>
      <c r="H514" t="str">
        <f>"0001"</f>
        <v>0001</v>
      </c>
      <c r="I514" t="s">
        <v>109</v>
      </c>
      <c r="J514">
        <v>0</v>
      </c>
      <c r="K514">
        <v>1</v>
      </c>
      <c r="L514">
        <v>2</v>
      </c>
      <c r="M514">
        <v>132</v>
      </c>
      <c r="N514">
        <v>585</v>
      </c>
      <c r="O514">
        <v>0</v>
      </c>
      <c r="P514">
        <v>585</v>
      </c>
      <c r="Q514">
        <v>14</v>
      </c>
      <c r="R514">
        <v>211</v>
      </c>
      <c r="S514">
        <v>6</v>
      </c>
      <c r="T514">
        <v>115</v>
      </c>
      <c r="U514">
        <v>2</v>
      </c>
      <c r="V514">
        <v>3</v>
      </c>
      <c r="W514">
        <v>3</v>
      </c>
      <c r="X514">
        <v>205</v>
      </c>
      <c r="Y514">
        <v>1</v>
      </c>
      <c r="Z514">
        <v>0</v>
      </c>
      <c r="AA514">
        <v>9</v>
      </c>
      <c r="AB514">
        <v>0</v>
      </c>
      <c r="AD514">
        <v>8</v>
      </c>
      <c r="AE514">
        <v>0</v>
      </c>
      <c r="AF514">
        <v>0</v>
      </c>
      <c r="AG514">
        <v>0</v>
      </c>
      <c r="AI514">
        <v>0</v>
      </c>
      <c r="AJ514">
        <v>8</v>
      </c>
      <c r="AK514">
        <v>585</v>
      </c>
      <c r="AL514">
        <v>585</v>
      </c>
      <c r="AM514">
        <v>673</v>
      </c>
      <c r="AN514">
        <v>44</v>
      </c>
      <c r="AP514">
        <v>1</v>
      </c>
      <c r="AR514" t="s">
        <v>597</v>
      </c>
      <c r="AS514" s="1">
        <v>44354.37222222222</v>
      </c>
      <c r="AT514" s="1">
        <v>44354.374374999999</v>
      </c>
      <c r="AU514" s="1">
        <v>44354.375555555554</v>
      </c>
      <c r="AV514" t="s">
        <v>71</v>
      </c>
      <c r="AW514" t="s">
        <v>72</v>
      </c>
      <c r="AX514" t="s">
        <v>73</v>
      </c>
    </row>
    <row r="515" spans="1:50" x14ac:dyDescent="0.3">
      <c r="A515" t="str">
        <f>"200856E0200"</f>
        <v>200856E0200</v>
      </c>
      <c r="B515" t="str">
        <f>"200856E02002"</f>
        <v>200856E02002</v>
      </c>
      <c r="C515" t="str">
        <f t="shared" si="23"/>
        <v>20</v>
      </c>
      <c r="D515" t="s">
        <v>67</v>
      </c>
      <c r="E515" t="str">
        <f t="shared" si="24"/>
        <v>003</v>
      </c>
      <c r="F515" t="s">
        <v>511</v>
      </c>
      <c r="G515" t="str">
        <f>"0856"</f>
        <v>0856</v>
      </c>
      <c r="H515" t="str">
        <f>"0002"</f>
        <v>0002</v>
      </c>
      <c r="I515" t="s">
        <v>109</v>
      </c>
      <c r="J515">
        <v>0</v>
      </c>
      <c r="K515">
        <v>1</v>
      </c>
      <c r="L515">
        <v>2</v>
      </c>
      <c r="M515">
        <v>144</v>
      </c>
      <c r="N515">
        <v>520</v>
      </c>
      <c r="O515">
        <v>6</v>
      </c>
      <c r="P515">
        <v>520</v>
      </c>
      <c r="Q515">
        <v>3</v>
      </c>
      <c r="R515">
        <v>188</v>
      </c>
      <c r="S515">
        <v>6</v>
      </c>
      <c r="T515">
        <v>181</v>
      </c>
      <c r="U515">
        <v>2</v>
      </c>
      <c r="V515">
        <v>2</v>
      </c>
      <c r="W515">
        <v>1</v>
      </c>
      <c r="X515">
        <v>115</v>
      </c>
      <c r="Y515">
        <v>0</v>
      </c>
      <c r="Z515">
        <v>1</v>
      </c>
      <c r="AA515">
        <v>14</v>
      </c>
      <c r="AB515">
        <v>1</v>
      </c>
      <c r="AD515">
        <v>0</v>
      </c>
      <c r="AE515">
        <v>0</v>
      </c>
      <c r="AF515">
        <v>0</v>
      </c>
      <c r="AG515">
        <v>0</v>
      </c>
      <c r="AI515">
        <v>0</v>
      </c>
      <c r="AJ515">
        <v>6</v>
      </c>
      <c r="AK515">
        <v>520</v>
      </c>
      <c r="AL515">
        <v>520</v>
      </c>
      <c r="AM515">
        <v>620</v>
      </c>
      <c r="AN515">
        <v>44</v>
      </c>
      <c r="AP515">
        <v>1</v>
      </c>
      <c r="AR515" t="s">
        <v>598</v>
      </c>
      <c r="AS515" s="1">
        <v>44354.359722222223</v>
      </c>
      <c r="AT515" s="1">
        <v>44354.362650462965</v>
      </c>
      <c r="AU515" s="1">
        <v>44354.363576388889</v>
      </c>
      <c r="AV515" t="s">
        <v>71</v>
      </c>
      <c r="AW515" t="s">
        <v>72</v>
      </c>
      <c r="AX515" t="s">
        <v>73</v>
      </c>
    </row>
    <row r="516" spans="1:50" x14ac:dyDescent="0.3">
      <c r="A516" t="str">
        <f>"200857B0000"</f>
        <v>200857B0000</v>
      </c>
      <c r="B516" t="str">
        <f>"200857B00002"</f>
        <v>200857B00002</v>
      </c>
      <c r="C516" t="str">
        <f t="shared" si="23"/>
        <v>20</v>
      </c>
      <c r="D516" t="s">
        <v>67</v>
      </c>
      <c r="E516" t="str">
        <f t="shared" si="24"/>
        <v>003</v>
      </c>
      <c r="F516" t="s">
        <v>511</v>
      </c>
      <c r="G516" t="str">
        <f>"0857"</f>
        <v>0857</v>
      </c>
      <c r="H516" t="str">
        <f>"0000"</f>
        <v>0000</v>
      </c>
      <c r="I516" t="s">
        <v>69</v>
      </c>
      <c r="J516">
        <v>0</v>
      </c>
      <c r="K516">
        <v>1</v>
      </c>
      <c r="L516">
        <v>2</v>
      </c>
      <c r="M516">
        <v>141</v>
      </c>
      <c r="N516">
        <v>427</v>
      </c>
      <c r="O516">
        <v>8</v>
      </c>
      <c r="P516">
        <v>426</v>
      </c>
      <c r="Q516">
        <v>2</v>
      </c>
      <c r="R516">
        <v>171</v>
      </c>
      <c r="S516">
        <v>0</v>
      </c>
      <c r="T516">
        <v>64</v>
      </c>
      <c r="U516">
        <v>4</v>
      </c>
      <c r="V516">
        <v>0</v>
      </c>
      <c r="W516">
        <v>2</v>
      </c>
      <c r="X516">
        <v>167</v>
      </c>
      <c r="Y516">
        <v>1</v>
      </c>
      <c r="Z516">
        <v>3</v>
      </c>
      <c r="AA516">
        <v>7</v>
      </c>
      <c r="AB516">
        <v>2</v>
      </c>
      <c r="AD516">
        <v>0</v>
      </c>
      <c r="AE516">
        <v>0</v>
      </c>
      <c r="AF516">
        <v>0</v>
      </c>
      <c r="AG516">
        <v>0</v>
      </c>
      <c r="AI516">
        <v>0</v>
      </c>
      <c r="AJ516">
        <v>3</v>
      </c>
      <c r="AK516">
        <v>426</v>
      </c>
      <c r="AL516">
        <v>426</v>
      </c>
      <c r="AM516">
        <v>524</v>
      </c>
      <c r="AN516">
        <v>44</v>
      </c>
      <c r="AP516">
        <v>1</v>
      </c>
      <c r="AR516" t="s">
        <v>599</v>
      </c>
      <c r="AS516" s="1">
        <v>44354.367361111108</v>
      </c>
      <c r="AT516" s="1">
        <v>44354.374097222222</v>
      </c>
      <c r="AU516" s="1">
        <v>44354.375173611108</v>
      </c>
      <c r="AV516" t="s">
        <v>71</v>
      </c>
      <c r="AW516" t="s">
        <v>72</v>
      </c>
      <c r="AX516" t="s">
        <v>73</v>
      </c>
    </row>
    <row r="517" spans="1:50" x14ac:dyDescent="0.3">
      <c r="A517" t="str">
        <f>"200857C0100"</f>
        <v>200857C0100</v>
      </c>
      <c r="B517" t="str">
        <f>"200857C01002"</f>
        <v>200857C01002</v>
      </c>
      <c r="C517" t="str">
        <f t="shared" si="23"/>
        <v>20</v>
      </c>
      <c r="D517" t="s">
        <v>67</v>
      </c>
      <c r="E517" t="str">
        <f t="shared" si="24"/>
        <v>003</v>
      </c>
      <c r="F517" t="s">
        <v>511</v>
      </c>
      <c r="G517" t="str">
        <f>"0857"</f>
        <v>0857</v>
      </c>
      <c r="H517" t="str">
        <f>"0001"</f>
        <v>0001</v>
      </c>
      <c r="I517" t="s">
        <v>75</v>
      </c>
      <c r="J517">
        <v>0</v>
      </c>
      <c r="K517">
        <v>1</v>
      </c>
      <c r="L517">
        <v>2</v>
      </c>
      <c r="M517">
        <v>148</v>
      </c>
      <c r="N517">
        <v>420</v>
      </c>
      <c r="O517">
        <v>0</v>
      </c>
      <c r="P517">
        <v>420</v>
      </c>
      <c r="Q517">
        <v>5</v>
      </c>
      <c r="R517">
        <v>195</v>
      </c>
      <c r="S517">
        <v>2</v>
      </c>
      <c r="T517">
        <v>50</v>
      </c>
      <c r="U517">
        <v>0</v>
      </c>
      <c r="V517">
        <v>2</v>
      </c>
      <c r="W517">
        <v>4</v>
      </c>
      <c r="X517">
        <v>135</v>
      </c>
      <c r="Y517">
        <v>6</v>
      </c>
      <c r="Z517">
        <v>3</v>
      </c>
      <c r="AA517">
        <v>8</v>
      </c>
      <c r="AB517">
        <v>3</v>
      </c>
      <c r="AD517">
        <v>0</v>
      </c>
      <c r="AE517">
        <v>0</v>
      </c>
      <c r="AF517">
        <v>0</v>
      </c>
      <c r="AG517">
        <v>1</v>
      </c>
      <c r="AI517">
        <v>0</v>
      </c>
      <c r="AJ517">
        <v>6</v>
      </c>
      <c r="AK517">
        <v>420</v>
      </c>
      <c r="AL517">
        <v>420</v>
      </c>
      <c r="AM517">
        <v>524</v>
      </c>
      <c r="AN517">
        <v>44</v>
      </c>
      <c r="AP517">
        <v>1</v>
      </c>
      <c r="AR517" t="s">
        <v>600</v>
      </c>
      <c r="AS517" s="1">
        <v>44354.373611111114</v>
      </c>
      <c r="AT517" s="1">
        <v>44354.376701388886</v>
      </c>
      <c r="AU517" s="1">
        <v>44354.377465277779</v>
      </c>
      <c r="AV517" t="s">
        <v>71</v>
      </c>
      <c r="AW517" t="s">
        <v>72</v>
      </c>
      <c r="AX517" t="s">
        <v>73</v>
      </c>
    </row>
    <row r="518" spans="1:50" x14ac:dyDescent="0.3">
      <c r="A518" t="str">
        <f>"200857E0100"</f>
        <v>200857E0100</v>
      </c>
      <c r="B518" t="str">
        <f>"200857E01002"</f>
        <v>200857E01002</v>
      </c>
      <c r="C518" t="str">
        <f t="shared" si="23"/>
        <v>20</v>
      </c>
      <c r="D518" t="s">
        <v>67</v>
      </c>
      <c r="E518" t="str">
        <f t="shared" si="24"/>
        <v>003</v>
      </c>
      <c r="F518" t="s">
        <v>511</v>
      </c>
      <c r="G518" t="str">
        <f>"0857"</f>
        <v>0857</v>
      </c>
      <c r="H518" t="str">
        <f>"0001"</f>
        <v>0001</v>
      </c>
      <c r="I518" t="s">
        <v>109</v>
      </c>
      <c r="J518">
        <v>0</v>
      </c>
      <c r="K518">
        <v>1</v>
      </c>
      <c r="L518">
        <v>2</v>
      </c>
      <c r="M518">
        <v>118</v>
      </c>
      <c r="N518">
        <v>465</v>
      </c>
      <c r="O518">
        <v>6</v>
      </c>
      <c r="P518">
        <v>465</v>
      </c>
      <c r="Q518">
        <v>2</v>
      </c>
      <c r="R518">
        <v>159</v>
      </c>
      <c r="S518">
        <v>12</v>
      </c>
      <c r="T518">
        <v>128</v>
      </c>
      <c r="U518">
        <v>0</v>
      </c>
      <c r="V518">
        <v>0</v>
      </c>
      <c r="W518">
        <v>2</v>
      </c>
      <c r="X518">
        <v>137</v>
      </c>
      <c r="Y518">
        <v>4</v>
      </c>
      <c r="Z518">
        <v>2</v>
      </c>
      <c r="AA518">
        <v>7</v>
      </c>
      <c r="AB518">
        <v>0</v>
      </c>
      <c r="AD518">
        <v>0</v>
      </c>
      <c r="AE518">
        <v>1</v>
      </c>
      <c r="AF518">
        <v>0</v>
      </c>
      <c r="AG518">
        <v>0</v>
      </c>
      <c r="AI518">
        <v>0</v>
      </c>
      <c r="AJ518">
        <v>11</v>
      </c>
      <c r="AK518">
        <v>465</v>
      </c>
      <c r="AL518">
        <v>465</v>
      </c>
      <c r="AM518">
        <v>539</v>
      </c>
      <c r="AN518">
        <v>44</v>
      </c>
      <c r="AP518">
        <v>1</v>
      </c>
      <c r="AR518" t="s">
        <v>601</v>
      </c>
      <c r="AS518" s="1">
        <v>44354.37222222222</v>
      </c>
      <c r="AT518" s="1">
        <v>44354.375416666669</v>
      </c>
      <c r="AU518" s="1">
        <v>44354.376215277778</v>
      </c>
      <c r="AV518" t="s">
        <v>71</v>
      </c>
      <c r="AW518" t="s">
        <v>72</v>
      </c>
      <c r="AX518" t="s">
        <v>73</v>
      </c>
    </row>
    <row r="519" spans="1:50" x14ac:dyDescent="0.3">
      <c r="A519" t="str">
        <f>"200857E0200"</f>
        <v>200857E0200</v>
      </c>
      <c r="B519" t="str">
        <f>"200857E02002"</f>
        <v>200857E02002</v>
      </c>
      <c r="C519" t="str">
        <f t="shared" ref="C519:C582" si="25">"20"</f>
        <v>20</v>
      </c>
      <c r="D519" t="s">
        <v>67</v>
      </c>
      <c r="E519" t="str">
        <f t="shared" si="24"/>
        <v>003</v>
      </c>
      <c r="F519" t="s">
        <v>511</v>
      </c>
      <c r="G519" t="str">
        <f>"0857"</f>
        <v>0857</v>
      </c>
      <c r="H519" t="str">
        <f>"0002"</f>
        <v>0002</v>
      </c>
      <c r="I519" t="s">
        <v>109</v>
      </c>
      <c r="J519">
        <v>0</v>
      </c>
      <c r="K519">
        <v>1</v>
      </c>
      <c r="L519">
        <v>2</v>
      </c>
      <c r="M519">
        <v>73</v>
      </c>
      <c r="N519">
        <v>350</v>
      </c>
      <c r="O519">
        <v>11</v>
      </c>
      <c r="P519">
        <v>350</v>
      </c>
      <c r="Q519">
        <v>0</v>
      </c>
      <c r="R519">
        <v>150</v>
      </c>
      <c r="S519">
        <v>2</v>
      </c>
      <c r="T519">
        <v>50</v>
      </c>
      <c r="U519">
        <v>0</v>
      </c>
      <c r="V519">
        <v>0</v>
      </c>
      <c r="W519">
        <v>0</v>
      </c>
      <c r="X519">
        <v>137</v>
      </c>
      <c r="Y519">
        <v>0</v>
      </c>
      <c r="Z519">
        <v>0</v>
      </c>
      <c r="AA519">
        <v>5</v>
      </c>
      <c r="AB519">
        <v>1</v>
      </c>
      <c r="AD519">
        <v>0</v>
      </c>
      <c r="AE519">
        <v>0</v>
      </c>
      <c r="AF519">
        <v>0</v>
      </c>
      <c r="AG519">
        <v>0</v>
      </c>
      <c r="AI519">
        <v>0</v>
      </c>
      <c r="AJ519">
        <v>5</v>
      </c>
      <c r="AK519">
        <v>350</v>
      </c>
      <c r="AL519">
        <v>350</v>
      </c>
      <c r="AM519">
        <v>379</v>
      </c>
      <c r="AN519">
        <v>44</v>
      </c>
      <c r="AP519">
        <v>1</v>
      </c>
      <c r="AR519" t="s">
        <v>602</v>
      </c>
      <c r="AS519" s="1">
        <v>44354.386805555558</v>
      </c>
      <c r="AT519" s="1">
        <v>44354.388726851852</v>
      </c>
      <c r="AU519" s="1">
        <v>44354.389374999999</v>
      </c>
      <c r="AV519" t="s">
        <v>71</v>
      </c>
      <c r="AW519" t="s">
        <v>72</v>
      </c>
      <c r="AX519" t="s">
        <v>73</v>
      </c>
    </row>
    <row r="520" spans="1:50" x14ac:dyDescent="0.3">
      <c r="A520" t="str">
        <f>"200857E0300"</f>
        <v>200857E0300</v>
      </c>
      <c r="B520" t="str">
        <f>"200857E03002"</f>
        <v>200857E03002</v>
      </c>
      <c r="C520" t="str">
        <f t="shared" si="25"/>
        <v>20</v>
      </c>
      <c r="D520" t="s">
        <v>67</v>
      </c>
      <c r="E520" t="str">
        <f t="shared" si="24"/>
        <v>003</v>
      </c>
      <c r="F520" t="s">
        <v>511</v>
      </c>
      <c r="G520" t="str">
        <f>"0857"</f>
        <v>0857</v>
      </c>
      <c r="H520" t="str">
        <f>"0003"</f>
        <v>0003</v>
      </c>
      <c r="I520" t="s">
        <v>109</v>
      </c>
      <c r="J520">
        <v>0</v>
      </c>
      <c r="K520">
        <v>1</v>
      </c>
      <c r="L520">
        <v>2</v>
      </c>
      <c r="M520">
        <v>111</v>
      </c>
      <c r="N520">
        <v>415</v>
      </c>
      <c r="O520">
        <v>7</v>
      </c>
      <c r="P520">
        <v>415</v>
      </c>
      <c r="Q520">
        <v>3</v>
      </c>
      <c r="R520">
        <v>102</v>
      </c>
      <c r="S520">
        <v>8</v>
      </c>
      <c r="T520">
        <v>70</v>
      </c>
      <c r="U520">
        <v>0</v>
      </c>
      <c r="V520">
        <v>1</v>
      </c>
      <c r="W520">
        <v>0</v>
      </c>
      <c r="X520">
        <v>201</v>
      </c>
      <c r="Y520">
        <v>2</v>
      </c>
      <c r="Z520">
        <v>3</v>
      </c>
      <c r="AA520">
        <v>8</v>
      </c>
      <c r="AB520">
        <v>4</v>
      </c>
      <c r="AD520">
        <v>1</v>
      </c>
      <c r="AE520">
        <v>0</v>
      </c>
      <c r="AF520">
        <v>0</v>
      </c>
      <c r="AG520">
        <v>0</v>
      </c>
      <c r="AI520">
        <v>0</v>
      </c>
      <c r="AJ520">
        <v>12</v>
      </c>
      <c r="AK520">
        <v>415</v>
      </c>
      <c r="AL520">
        <v>415</v>
      </c>
      <c r="AM520">
        <v>482</v>
      </c>
      <c r="AN520">
        <v>44</v>
      </c>
      <c r="AP520">
        <v>1</v>
      </c>
      <c r="AR520" t="s">
        <v>603</v>
      </c>
      <c r="AS520" s="1">
        <v>44354.367361111108</v>
      </c>
      <c r="AT520" s="1">
        <v>44354.371423611112</v>
      </c>
      <c r="AU520" s="1">
        <v>44354.372118055559</v>
      </c>
      <c r="AV520" t="s">
        <v>71</v>
      </c>
      <c r="AW520" t="s">
        <v>72</v>
      </c>
      <c r="AX520" t="s">
        <v>73</v>
      </c>
    </row>
    <row r="521" spans="1:50" x14ac:dyDescent="0.3">
      <c r="A521" t="str">
        <f>"200858B0000"</f>
        <v>200858B0000</v>
      </c>
      <c r="B521" t="str">
        <f>"200858B00002"</f>
        <v>200858B00002</v>
      </c>
      <c r="C521" t="str">
        <f t="shared" si="25"/>
        <v>20</v>
      </c>
      <c r="D521" t="s">
        <v>67</v>
      </c>
      <c r="E521" t="str">
        <f t="shared" si="24"/>
        <v>003</v>
      </c>
      <c r="F521" t="s">
        <v>511</v>
      </c>
      <c r="G521" t="str">
        <f>"0858"</f>
        <v>0858</v>
      </c>
      <c r="H521" t="str">
        <f>"0000"</f>
        <v>0000</v>
      </c>
      <c r="I521" t="s">
        <v>69</v>
      </c>
      <c r="J521">
        <v>0</v>
      </c>
      <c r="K521">
        <v>1</v>
      </c>
      <c r="L521">
        <v>2</v>
      </c>
      <c r="M521">
        <v>137</v>
      </c>
      <c r="N521">
        <v>430</v>
      </c>
      <c r="O521">
        <v>9</v>
      </c>
      <c r="P521">
        <v>430</v>
      </c>
      <c r="Q521">
        <v>9</v>
      </c>
      <c r="R521">
        <v>164</v>
      </c>
      <c r="S521">
        <v>0</v>
      </c>
      <c r="T521">
        <v>49</v>
      </c>
      <c r="U521">
        <v>3</v>
      </c>
      <c r="V521">
        <v>4</v>
      </c>
      <c r="W521">
        <v>24</v>
      </c>
      <c r="X521">
        <v>133</v>
      </c>
      <c r="Y521">
        <v>17</v>
      </c>
      <c r="Z521">
        <v>5</v>
      </c>
      <c r="AA521">
        <v>4</v>
      </c>
      <c r="AB521">
        <v>3</v>
      </c>
      <c r="AD521">
        <v>1</v>
      </c>
      <c r="AE521">
        <v>0</v>
      </c>
      <c r="AF521">
        <v>0</v>
      </c>
      <c r="AG521">
        <v>0</v>
      </c>
      <c r="AI521" t="s">
        <v>77</v>
      </c>
      <c r="AJ521">
        <v>14</v>
      </c>
      <c r="AK521">
        <v>430</v>
      </c>
      <c r="AL521">
        <v>430</v>
      </c>
      <c r="AM521">
        <v>523</v>
      </c>
      <c r="AN521">
        <v>44</v>
      </c>
      <c r="AO521" t="s">
        <v>78</v>
      </c>
      <c r="AP521">
        <v>1</v>
      </c>
      <c r="AR521" t="s">
        <v>604</v>
      </c>
      <c r="AS521" s="1">
        <v>44354.359027777777</v>
      </c>
      <c r="AT521" s="1">
        <v>44354.363171296296</v>
      </c>
      <c r="AU521" s="1">
        <v>44354.364039351851</v>
      </c>
      <c r="AV521" t="s">
        <v>71</v>
      </c>
      <c r="AW521" t="s">
        <v>72</v>
      </c>
      <c r="AX521" t="s">
        <v>73</v>
      </c>
    </row>
    <row r="522" spans="1:50" x14ac:dyDescent="0.3">
      <c r="A522" t="str">
        <f>"200858C0100"</f>
        <v>200858C0100</v>
      </c>
      <c r="B522" t="str">
        <f>"200858C01002"</f>
        <v>200858C01002</v>
      </c>
      <c r="C522" t="str">
        <f t="shared" si="25"/>
        <v>20</v>
      </c>
      <c r="D522" t="s">
        <v>67</v>
      </c>
      <c r="E522" t="str">
        <f t="shared" si="24"/>
        <v>003</v>
      </c>
      <c r="F522" t="s">
        <v>511</v>
      </c>
      <c r="G522" t="str">
        <f>"0858"</f>
        <v>0858</v>
      </c>
      <c r="H522" t="str">
        <f>"0001"</f>
        <v>0001</v>
      </c>
      <c r="I522" t="s">
        <v>75</v>
      </c>
      <c r="J522">
        <v>0</v>
      </c>
      <c r="K522">
        <v>1</v>
      </c>
      <c r="L522">
        <v>2</v>
      </c>
      <c r="M522">
        <v>130</v>
      </c>
      <c r="N522">
        <v>437</v>
      </c>
      <c r="O522">
        <v>5</v>
      </c>
      <c r="P522">
        <v>437</v>
      </c>
      <c r="Q522">
        <v>3</v>
      </c>
      <c r="R522">
        <v>151</v>
      </c>
      <c r="S522">
        <v>2</v>
      </c>
      <c r="T522">
        <v>67</v>
      </c>
      <c r="U522">
        <v>0</v>
      </c>
      <c r="V522">
        <v>1</v>
      </c>
      <c r="W522">
        <v>5</v>
      </c>
      <c r="X522">
        <v>147</v>
      </c>
      <c r="Y522">
        <v>40</v>
      </c>
      <c r="Z522">
        <v>5</v>
      </c>
      <c r="AA522">
        <v>6</v>
      </c>
      <c r="AB522">
        <v>1</v>
      </c>
      <c r="AD522">
        <v>0</v>
      </c>
      <c r="AE522">
        <v>0</v>
      </c>
      <c r="AF522">
        <v>0</v>
      </c>
      <c r="AG522">
        <v>0</v>
      </c>
      <c r="AI522">
        <v>0</v>
      </c>
      <c r="AJ522">
        <v>9</v>
      </c>
      <c r="AK522">
        <v>437</v>
      </c>
      <c r="AL522">
        <v>437</v>
      </c>
      <c r="AM522">
        <v>523</v>
      </c>
      <c r="AN522">
        <v>44</v>
      </c>
      <c r="AP522">
        <v>1</v>
      </c>
      <c r="AR522" t="s">
        <v>605</v>
      </c>
      <c r="AS522" s="1">
        <v>44354.359027777777</v>
      </c>
      <c r="AT522" s="1">
        <v>44354.361342592594</v>
      </c>
      <c r="AU522" s="1">
        <v>44354.362083333333</v>
      </c>
      <c r="AV522" t="s">
        <v>71</v>
      </c>
      <c r="AW522" t="s">
        <v>72</v>
      </c>
      <c r="AX522" t="s">
        <v>73</v>
      </c>
    </row>
    <row r="523" spans="1:50" x14ac:dyDescent="0.3">
      <c r="A523" t="str">
        <f>"200858E0100"</f>
        <v>200858E0100</v>
      </c>
      <c r="B523" t="str">
        <f>"200858E01002"</f>
        <v>200858E01002</v>
      </c>
      <c r="C523" t="str">
        <f t="shared" si="25"/>
        <v>20</v>
      </c>
      <c r="D523" t="s">
        <v>67</v>
      </c>
      <c r="E523" t="str">
        <f t="shared" si="24"/>
        <v>003</v>
      </c>
      <c r="F523" t="s">
        <v>511</v>
      </c>
      <c r="G523" t="str">
        <f>"0858"</f>
        <v>0858</v>
      </c>
      <c r="H523" t="str">
        <f>"0001"</f>
        <v>0001</v>
      </c>
      <c r="I523" t="s">
        <v>109</v>
      </c>
      <c r="J523">
        <v>0</v>
      </c>
      <c r="K523">
        <v>1</v>
      </c>
      <c r="L523">
        <v>2</v>
      </c>
      <c r="M523">
        <v>114</v>
      </c>
      <c r="N523">
        <v>359</v>
      </c>
      <c r="O523">
        <v>6</v>
      </c>
      <c r="P523">
        <v>359</v>
      </c>
      <c r="Q523">
        <v>0</v>
      </c>
      <c r="R523">
        <v>98</v>
      </c>
      <c r="S523">
        <v>0</v>
      </c>
      <c r="T523">
        <v>55</v>
      </c>
      <c r="U523">
        <v>2</v>
      </c>
      <c r="V523">
        <v>0</v>
      </c>
      <c r="W523">
        <v>5</v>
      </c>
      <c r="X523">
        <v>175</v>
      </c>
      <c r="Y523">
        <v>8</v>
      </c>
      <c r="Z523">
        <v>1</v>
      </c>
      <c r="AA523">
        <v>7</v>
      </c>
      <c r="AB523">
        <v>0</v>
      </c>
      <c r="AD523">
        <v>0</v>
      </c>
      <c r="AE523">
        <v>0</v>
      </c>
      <c r="AF523">
        <v>0</v>
      </c>
      <c r="AG523">
        <v>0</v>
      </c>
      <c r="AI523">
        <v>0</v>
      </c>
      <c r="AJ523">
        <v>8</v>
      </c>
      <c r="AK523">
        <v>359</v>
      </c>
      <c r="AL523">
        <v>359</v>
      </c>
      <c r="AM523">
        <v>429</v>
      </c>
      <c r="AN523">
        <v>44</v>
      </c>
      <c r="AP523">
        <v>1</v>
      </c>
      <c r="AR523" t="s">
        <v>606</v>
      </c>
      <c r="AS523" s="1">
        <v>44354.465277777781</v>
      </c>
      <c r="AT523" s="1">
        <v>44354.470567129632</v>
      </c>
      <c r="AU523" s="1">
        <v>44354.471203703702</v>
      </c>
      <c r="AV523" t="s">
        <v>71</v>
      </c>
      <c r="AW523" t="s">
        <v>72</v>
      </c>
      <c r="AX523" t="s">
        <v>73</v>
      </c>
    </row>
    <row r="524" spans="1:50" x14ac:dyDescent="0.3">
      <c r="A524" t="str">
        <f>"200858E0101"</f>
        <v>200858E0101</v>
      </c>
      <c r="B524" t="str">
        <f>"200858E01012"</f>
        <v>200858E01012</v>
      </c>
      <c r="C524" t="str">
        <f t="shared" si="25"/>
        <v>20</v>
      </c>
      <c r="D524" t="s">
        <v>67</v>
      </c>
      <c r="E524" t="str">
        <f t="shared" si="24"/>
        <v>003</v>
      </c>
      <c r="F524" t="s">
        <v>511</v>
      </c>
      <c r="G524" t="str">
        <f>"0858"</f>
        <v>0858</v>
      </c>
      <c r="H524" t="str">
        <f>"0001"</f>
        <v>0001</v>
      </c>
      <c r="I524" t="s">
        <v>109</v>
      </c>
      <c r="J524">
        <v>1</v>
      </c>
      <c r="K524">
        <v>1</v>
      </c>
      <c r="L524">
        <v>2</v>
      </c>
      <c r="M524">
        <v>115</v>
      </c>
      <c r="N524">
        <v>358</v>
      </c>
      <c r="O524">
        <v>10</v>
      </c>
      <c r="P524">
        <v>358</v>
      </c>
      <c r="Q524">
        <v>0</v>
      </c>
      <c r="R524">
        <v>132</v>
      </c>
      <c r="S524">
        <v>1</v>
      </c>
      <c r="T524">
        <v>50</v>
      </c>
      <c r="U524">
        <v>0</v>
      </c>
      <c r="V524">
        <v>0</v>
      </c>
      <c r="W524">
        <v>3</v>
      </c>
      <c r="X524">
        <v>149</v>
      </c>
      <c r="Y524">
        <v>7</v>
      </c>
      <c r="Z524">
        <v>2</v>
      </c>
      <c r="AA524">
        <v>8</v>
      </c>
      <c r="AB524">
        <v>0</v>
      </c>
      <c r="AD524">
        <v>0</v>
      </c>
      <c r="AE524">
        <v>0</v>
      </c>
      <c r="AF524">
        <v>0</v>
      </c>
      <c r="AG524">
        <v>0</v>
      </c>
      <c r="AI524">
        <v>0</v>
      </c>
      <c r="AJ524">
        <v>5</v>
      </c>
      <c r="AK524">
        <v>358</v>
      </c>
      <c r="AL524">
        <v>357</v>
      </c>
      <c r="AM524">
        <v>429</v>
      </c>
      <c r="AN524">
        <v>44</v>
      </c>
      <c r="AP524">
        <v>1</v>
      </c>
      <c r="AR524" t="s">
        <v>607</v>
      </c>
      <c r="AS524" s="1">
        <v>44354.443749999999</v>
      </c>
      <c r="AT524" s="1">
        <v>44354.44740740741</v>
      </c>
      <c r="AU524" s="1">
        <v>44354.44803240741</v>
      </c>
      <c r="AV524" t="s">
        <v>71</v>
      </c>
      <c r="AW524" t="s">
        <v>72</v>
      </c>
      <c r="AX524" t="s">
        <v>73</v>
      </c>
    </row>
    <row r="525" spans="1:50" x14ac:dyDescent="0.3">
      <c r="A525" t="str">
        <f>"200858E0200"</f>
        <v>200858E0200</v>
      </c>
      <c r="B525" t="str">
        <f>"200858E02002"</f>
        <v>200858E02002</v>
      </c>
      <c r="C525" t="str">
        <f t="shared" si="25"/>
        <v>20</v>
      </c>
      <c r="D525" t="s">
        <v>67</v>
      </c>
      <c r="E525" t="str">
        <f t="shared" si="24"/>
        <v>003</v>
      </c>
      <c r="F525" t="s">
        <v>511</v>
      </c>
      <c r="G525" t="str">
        <f>"0858"</f>
        <v>0858</v>
      </c>
      <c r="H525" t="str">
        <f>"0002"</f>
        <v>0002</v>
      </c>
      <c r="I525" t="s">
        <v>109</v>
      </c>
      <c r="J525">
        <v>0</v>
      </c>
      <c r="K525">
        <v>1</v>
      </c>
      <c r="L525">
        <v>2</v>
      </c>
      <c r="M525">
        <v>135</v>
      </c>
      <c r="N525">
        <v>116</v>
      </c>
      <c r="O525">
        <v>6</v>
      </c>
      <c r="P525">
        <v>116</v>
      </c>
      <c r="Q525">
        <v>2</v>
      </c>
      <c r="R525">
        <v>41</v>
      </c>
      <c r="S525">
        <v>1</v>
      </c>
      <c r="T525">
        <v>0</v>
      </c>
      <c r="U525">
        <v>0</v>
      </c>
      <c r="V525">
        <v>0</v>
      </c>
      <c r="W525">
        <v>3</v>
      </c>
      <c r="X525">
        <v>55</v>
      </c>
      <c r="Y525">
        <v>5</v>
      </c>
      <c r="Z525">
        <v>4</v>
      </c>
      <c r="AA525">
        <v>0</v>
      </c>
      <c r="AB525">
        <v>0</v>
      </c>
      <c r="AD525">
        <v>0</v>
      </c>
      <c r="AE525">
        <v>0</v>
      </c>
      <c r="AF525">
        <v>0</v>
      </c>
      <c r="AG525">
        <v>0</v>
      </c>
      <c r="AI525">
        <v>0</v>
      </c>
      <c r="AJ525">
        <v>5</v>
      </c>
      <c r="AK525">
        <v>116</v>
      </c>
      <c r="AL525">
        <v>116</v>
      </c>
      <c r="AM525">
        <v>207</v>
      </c>
      <c r="AN525">
        <v>44</v>
      </c>
      <c r="AP525">
        <v>1</v>
      </c>
      <c r="AR525" s="2" t="s">
        <v>608</v>
      </c>
      <c r="AS525" s="1">
        <v>44354.393750000003</v>
      </c>
      <c r="AT525" s="1">
        <v>44354.396481481483</v>
      </c>
      <c r="AU525" s="1">
        <v>44354.39702546296</v>
      </c>
      <c r="AV525" t="s">
        <v>71</v>
      </c>
      <c r="AW525" t="s">
        <v>72</v>
      </c>
      <c r="AX525" t="s">
        <v>73</v>
      </c>
    </row>
    <row r="526" spans="1:50" x14ac:dyDescent="0.3">
      <c r="A526" t="str">
        <f>"200859B0000"</f>
        <v>200859B0000</v>
      </c>
      <c r="B526" t="str">
        <f>"200859B00002"</f>
        <v>200859B00002</v>
      </c>
      <c r="C526" t="str">
        <f t="shared" si="25"/>
        <v>20</v>
      </c>
      <c r="D526" t="s">
        <v>67</v>
      </c>
      <c r="E526" t="str">
        <f t="shared" si="24"/>
        <v>003</v>
      </c>
      <c r="F526" t="s">
        <v>511</v>
      </c>
      <c r="G526" t="str">
        <f>"0859"</f>
        <v>0859</v>
      </c>
      <c r="H526" t="str">
        <f>"0000"</f>
        <v>0000</v>
      </c>
      <c r="I526" t="s">
        <v>69</v>
      </c>
      <c r="J526">
        <v>0</v>
      </c>
      <c r="K526">
        <v>1</v>
      </c>
      <c r="L526">
        <v>2</v>
      </c>
      <c r="M526">
        <v>121</v>
      </c>
      <c r="N526">
        <v>574</v>
      </c>
      <c r="O526">
        <v>5</v>
      </c>
      <c r="P526">
        <v>574</v>
      </c>
      <c r="Q526">
        <v>0</v>
      </c>
      <c r="R526">
        <v>131</v>
      </c>
      <c r="S526">
        <v>0</v>
      </c>
      <c r="T526">
        <v>80</v>
      </c>
      <c r="U526">
        <v>0</v>
      </c>
      <c r="V526">
        <v>1</v>
      </c>
      <c r="W526">
        <v>11</v>
      </c>
      <c r="X526">
        <v>215</v>
      </c>
      <c r="Y526">
        <v>1</v>
      </c>
      <c r="Z526">
        <v>0</v>
      </c>
      <c r="AA526">
        <v>3</v>
      </c>
      <c r="AB526">
        <v>0</v>
      </c>
      <c r="AD526">
        <v>0</v>
      </c>
      <c r="AE526">
        <v>0</v>
      </c>
      <c r="AF526">
        <v>0</v>
      </c>
      <c r="AG526">
        <v>0</v>
      </c>
      <c r="AI526">
        <v>0</v>
      </c>
      <c r="AJ526">
        <v>10</v>
      </c>
      <c r="AK526">
        <v>574</v>
      </c>
      <c r="AL526">
        <v>452</v>
      </c>
      <c r="AM526">
        <v>530</v>
      </c>
      <c r="AN526">
        <v>44</v>
      </c>
      <c r="AP526">
        <v>1</v>
      </c>
      <c r="AR526" t="s">
        <v>609</v>
      </c>
      <c r="AS526" s="1">
        <v>44354.366666666669</v>
      </c>
      <c r="AT526" s="1">
        <v>44354.370810185188</v>
      </c>
      <c r="AU526" s="1">
        <v>44354.371550925927</v>
      </c>
      <c r="AV526" t="s">
        <v>71</v>
      </c>
      <c r="AW526" t="s">
        <v>72</v>
      </c>
      <c r="AX526" t="s">
        <v>73</v>
      </c>
    </row>
    <row r="527" spans="1:50" x14ac:dyDescent="0.3">
      <c r="A527" t="str">
        <f>"200859C0100"</f>
        <v>200859C0100</v>
      </c>
      <c r="B527" t="str">
        <f>"200859C01002"</f>
        <v>200859C01002</v>
      </c>
      <c r="C527" t="str">
        <f t="shared" si="25"/>
        <v>20</v>
      </c>
      <c r="D527" t="s">
        <v>67</v>
      </c>
      <c r="E527" t="str">
        <f t="shared" si="24"/>
        <v>003</v>
      </c>
      <c r="F527" t="s">
        <v>511</v>
      </c>
      <c r="G527" t="str">
        <f>"0859"</f>
        <v>0859</v>
      </c>
      <c r="H527" t="str">
        <f>"0001"</f>
        <v>0001</v>
      </c>
      <c r="I527" t="s">
        <v>75</v>
      </c>
      <c r="J527">
        <v>0</v>
      </c>
      <c r="K527">
        <v>1</v>
      </c>
      <c r="L527">
        <v>2</v>
      </c>
      <c r="M527">
        <v>128</v>
      </c>
      <c r="N527">
        <v>445</v>
      </c>
      <c r="O527">
        <v>8</v>
      </c>
      <c r="P527">
        <v>445</v>
      </c>
      <c r="Q527">
        <v>2</v>
      </c>
      <c r="R527">
        <v>104</v>
      </c>
      <c r="S527">
        <v>1</v>
      </c>
      <c r="T527">
        <v>84</v>
      </c>
      <c r="U527">
        <v>1</v>
      </c>
      <c r="V527">
        <v>0</v>
      </c>
      <c r="W527">
        <v>11</v>
      </c>
      <c r="X527">
        <v>226</v>
      </c>
      <c r="Y527">
        <v>1</v>
      </c>
      <c r="Z527">
        <v>0</v>
      </c>
      <c r="AA527">
        <v>6</v>
      </c>
      <c r="AB527">
        <v>1</v>
      </c>
      <c r="AD527">
        <v>0</v>
      </c>
      <c r="AE527">
        <v>0</v>
      </c>
      <c r="AF527">
        <v>0</v>
      </c>
      <c r="AG527">
        <v>0</v>
      </c>
      <c r="AI527">
        <v>0</v>
      </c>
      <c r="AJ527">
        <v>8</v>
      </c>
      <c r="AK527">
        <v>445</v>
      </c>
      <c r="AL527">
        <v>445</v>
      </c>
      <c r="AM527">
        <v>529</v>
      </c>
      <c r="AN527">
        <v>44</v>
      </c>
      <c r="AP527">
        <v>1</v>
      </c>
      <c r="AR527" t="s">
        <v>610</v>
      </c>
      <c r="AS527" s="1">
        <v>44354.427083333336</v>
      </c>
      <c r="AT527" s="1">
        <v>44354.429849537039</v>
      </c>
      <c r="AU527" s="1">
        <v>44354.430613425924</v>
      </c>
      <c r="AV527" t="s">
        <v>71</v>
      </c>
      <c r="AW527" t="s">
        <v>72</v>
      </c>
      <c r="AX527" t="s">
        <v>73</v>
      </c>
    </row>
    <row r="528" spans="1:50" x14ac:dyDescent="0.3">
      <c r="A528" t="str">
        <f>"200860B0000"</f>
        <v>200860B0000</v>
      </c>
      <c r="B528" t="str">
        <f>"200860B00002"</f>
        <v>200860B00002</v>
      </c>
      <c r="C528" t="str">
        <f t="shared" si="25"/>
        <v>20</v>
      </c>
      <c r="D528" t="s">
        <v>67</v>
      </c>
      <c r="E528" t="str">
        <f t="shared" si="24"/>
        <v>003</v>
      </c>
      <c r="F528" t="s">
        <v>511</v>
      </c>
      <c r="G528" t="str">
        <f>"0860"</f>
        <v>0860</v>
      </c>
      <c r="H528" t="str">
        <f>"0000"</f>
        <v>0000</v>
      </c>
      <c r="I528" t="s">
        <v>69</v>
      </c>
      <c r="J528">
        <v>0</v>
      </c>
      <c r="K528">
        <v>1</v>
      </c>
      <c r="L528">
        <v>2</v>
      </c>
      <c r="M528">
        <v>142</v>
      </c>
      <c r="N528">
        <v>558</v>
      </c>
      <c r="O528">
        <v>10</v>
      </c>
      <c r="P528" t="s">
        <v>80</v>
      </c>
      <c r="Q528">
        <v>2</v>
      </c>
      <c r="R528">
        <v>203</v>
      </c>
      <c r="S528">
        <v>4</v>
      </c>
      <c r="T528">
        <v>86</v>
      </c>
      <c r="U528">
        <v>5</v>
      </c>
      <c r="V528">
        <v>0</v>
      </c>
      <c r="W528">
        <v>6</v>
      </c>
      <c r="X528">
        <v>200</v>
      </c>
      <c r="Y528">
        <v>13</v>
      </c>
      <c r="Z528">
        <v>0</v>
      </c>
      <c r="AA528">
        <v>19</v>
      </c>
      <c r="AB528">
        <v>4</v>
      </c>
      <c r="AD528">
        <v>0</v>
      </c>
      <c r="AE528">
        <v>0</v>
      </c>
      <c r="AF528">
        <v>0</v>
      </c>
      <c r="AG528">
        <v>0</v>
      </c>
      <c r="AI528">
        <v>0</v>
      </c>
      <c r="AJ528">
        <v>14</v>
      </c>
      <c r="AK528">
        <v>558</v>
      </c>
      <c r="AL528">
        <v>556</v>
      </c>
      <c r="AM528">
        <v>656</v>
      </c>
      <c r="AN528">
        <v>44</v>
      </c>
      <c r="AP528">
        <v>1</v>
      </c>
      <c r="AR528" t="s">
        <v>611</v>
      </c>
      <c r="AS528" s="1">
        <v>44354.371527777781</v>
      </c>
      <c r="AT528" s="1">
        <v>44354.375277777777</v>
      </c>
      <c r="AU528" s="1">
        <v>44354.376932870371</v>
      </c>
      <c r="AV528" t="s">
        <v>71</v>
      </c>
      <c r="AW528" t="s">
        <v>72</v>
      </c>
      <c r="AX528" t="s">
        <v>73</v>
      </c>
    </row>
    <row r="529" spans="1:50" x14ac:dyDescent="0.3">
      <c r="A529" t="str">
        <f>"200861B0000"</f>
        <v>200861B0000</v>
      </c>
      <c r="B529" t="str">
        <f>"200861B00002"</f>
        <v>200861B00002</v>
      </c>
      <c r="C529" t="str">
        <f t="shared" si="25"/>
        <v>20</v>
      </c>
      <c r="D529" t="s">
        <v>67</v>
      </c>
      <c r="E529" t="str">
        <f t="shared" si="24"/>
        <v>003</v>
      </c>
      <c r="F529" t="s">
        <v>511</v>
      </c>
      <c r="G529" t="str">
        <f>"0861"</f>
        <v>0861</v>
      </c>
      <c r="H529" t="str">
        <f>"0000"</f>
        <v>0000</v>
      </c>
      <c r="I529" t="s">
        <v>69</v>
      </c>
      <c r="J529">
        <v>0</v>
      </c>
      <c r="K529">
        <v>1</v>
      </c>
      <c r="L529">
        <v>2</v>
      </c>
      <c r="M529">
        <v>157</v>
      </c>
      <c r="N529">
        <v>544</v>
      </c>
      <c r="O529">
        <v>0</v>
      </c>
      <c r="P529" t="s">
        <v>80</v>
      </c>
      <c r="Q529">
        <v>0</v>
      </c>
      <c r="R529">
        <v>129</v>
      </c>
      <c r="S529">
        <v>0</v>
      </c>
      <c r="T529">
        <v>195</v>
      </c>
      <c r="U529">
        <v>0</v>
      </c>
      <c r="V529">
        <v>5</v>
      </c>
      <c r="W529">
        <v>4</v>
      </c>
      <c r="X529">
        <v>175</v>
      </c>
      <c r="Y529">
        <v>11</v>
      </c>
      <c r="Z529">
        <v>1</v>
      </c>
      <c r="AA529">
        <v>3</v>
      </c>
      <c r="AB529">
        <v>4</v>
      </c>
      <c r="AD529">
        <v>0</v>
      </c>
      <c r="AE529">
        <v>0</v>
      </c>
      <c r="AF529">
        <v>0</v>
      </c>
      <c r="AG529">
        <v>0</v>
      </c>
      <c r="AI529">
        <v>0</v>
      </c>
      <c r="AJ529">
        <v>15</v>
      </c>
      <c r="AK529">
        <v>542</v>
      </c>
      <c r="AL529">
        <v>542</v>
      </c>
      <c r="AM529">
        <v>657</v>
      </c>
      <c r="AN529">
        <v>44</v>
      </c>
      <c r="AP529">
        <v>1</v>
      </c>
      <c r="AR529" t="s">
        <v>612</v>
      </c>
      <c r="AS529" s="1">
        <v>44354.38958333333</v>
      </c>
      <c r="AT529" s="1">
        <v>44354.391817129632</v>
      </c>
      <c r="AU529" s="1">
        <v>44354.392407407409</v>
      </c>
      <c r="AV529" t="s">
        <v>71</v>
      </c>
      <c r="AW529" t="s">
        <v>72</v>
      </c>
      <c r="AX529" t="s">
        <v>73</v>
      </c>
    </row>
    <row r="530" spans="1:50" x14ac:dyDescent="0.3">
      <c r="A530" t="str">
        <f>"200861C0100"</f>
        <v>200861C0100</v>
      </c>
      <c r="B530" t="str">
        <f>"200861C01002"</f>
        <v>200861C01002</v>
      </c>
      <c r="C530" t="str">
        <f t="shared" si="25"/>
        <v>20</v>
      </c>
      <c r="D530" t="s">
        <v>67</v>
      </c>
      <c r="E530" t="str">
        <f t="shared" si="24"/>
        <v>003</v>
      </c>
      <c r="F530" t="s">
        <v>511</v>
      </c>
      <c r="G530" t="str">
        <f>"0861"</f>
        <v>0861</v>
      </c>
      <c r="H530" t="str">
        <f>"0001"</f>
        <v>0001</v>
      </c>
      <c r="I530" t="s">
        <v>75</v>
      </c>
      <c r="J530">
        <v>0</v>
      </c>
      <c r="K530">
        <v>1</v>
      </c>
      <c r="L530">
        <v>2</v>
      </c>
      <c r="M530">
        <v>119</v>
      </c>
      <c r="N530">
        <v>581</v>
      </c>
      <c r="O530">
        <v>0</v>
      </c>
      <c r="P530">
        <v>583</v>
      </c>
      <c r="Q530">
        <v>1</v>
      </c>
      <c r="R530">
        <v>137</v>
      </c>
      <c r="S530">
        <v>1</v>
      </c>
      <c r="T530">
        <v>158</v>
      </c>
      <c r="U530">
        <v>1</v>
      </c>
      <c r="V530">
        <v>0</v>
      </c>
      <c r="W530">
        <v>3</v>
      </c>
      <c r="X530">
        <v>261</v>
      </c>
      <c r="Y530">
        <v>6</v>
      </c>
      <c r="Z530">
        <v>0</v>
      </c>
      <c r="AA530">
        <v>6</v>
      </c>
      <c r="AB530">
        <v>1</v>
      </c>
      <c r="AD530">
        <v>0</v>
      </c>
      <c r="AE530">
        <v>0</v>
      </c>
      <c r="AF530">
        <v>0</v>
      </c>
      <c r="AG530">
        <v>0</v>
      </c>
      <c r="AI530" t="s">
        <v>77</v>
      </c>
      <c r="AJ530">
        <v>8</v>
      </c>
      <c r="AK530">
        <v>583</v>
      </c>
      <c r="AL530">
        <v>583</v>
      </c>
      <c r="AM530">
        <v>657</v>
      </c>
      <c r="AN530">
        <v>44</v>
      </c>
      <c r="AO530" t="s">
        <v>78</v>
      </c>
      <c r="AP530">
        <v>1</v>
      </c>
      <c r="AR530" t="s">
        <v>613</v>
      </c>
      <c r="AS530" s="1">
        <v>44354.371527777781</v>
      </c>
      <c r="AT530" s="1">
        <v>44354.380381944444</v>
      </c>
      <c r="AU530" s="1">
        <v>44354.381018518521</v>
      </c>
      <c r="AV530" t="s">
        <v>71</v>
      </c>
      <c r="AW530" t="s">
        <v>72</v>
      </c>
      <c r="AX530" t="s">
        <v>73</v>
      </c>
    </row>
    <row r="531" spans="1:50" x14ac:dyDescent="0.3">
      <c r="A531" t="str">
        <f>"200861E0100"</f>
        <v>200861E0100</v>
      </c>
      <c r="B531" t="str">
        <f>"200861E01002"</f>
        <v>200861E01002</v>
      </c>
      <c r="C531" t="str">
        <f t="shared" si="25"/>
        <v>20</v>
      </c>
      <c r="D531" t="s">
        <v>67</v>
      </c>
      <c r="E531" t="str">
        <f t="shared" si="24"/>
        <v>003</v>
      </c>
      <c r="F531" t="s">
        <v>511</v>
      </c>
      <c r="G531" t="str">
        <f>"0861"</f>
        <v>0861</v>
      </c>
      <c r="H531" t="str">
        <f>"0001"</f>
        <v>0001</v>
      </c>
      <c r="I531" t="s">
        <v>109</v>
      </c>
      <c r="J531">
        <v>0</v>
      </c>
      <c r="K531">
        <v>1</v>
      </c>
      <c r="L531">
        <v>2</v>
      </c>
      <c r="M531">
        <v>163</v>
      </c>
      <c r="N531">
        <v>605</v>
      </c>
      <c r="O531">
        <v>0</v>
      </c>
      <c r="P531">
        <v>605</v>
      </c>
      <c r="Q531">
        <v>2</v>
      </c>
      <c r="R531">
        <v>214</v>
      </c>
      <c r="S531">
        <v>3</v>
      </c>
      <c r="T531">
        <v>109</v>
      </c>
      <c r="U531">
        <v>1</v>
      </c>
      <c r="V531">
        <v>2</v>
      </c>
      <c r="W531">
        <v>8</v>
      </c>
      <c r="X531">
        <v>217</v>
      </c>
      <c r="Y531">
        <v>3</v>
      </c>
      <c r="Z531">
        <v>1</v>
      </c>
      <c r="AA531">
        <v>25</v>
      </c>
      <c r="AB531">
        <v>1</v>
      </c>
      <c r="AD531" t="s">
        <v>77</v>
      </c>
      <c r="AE531" t="s">
        <v>77</v>
      </c>
      <c r="AF531" t="s">
        <v>77</v>
      </c>
      <c r="AG531" t="s">
        <v>77</v>
      </c>
      <c r="AI531" t="s">
        <v>77</v>
      </c>
      <c r="AJ531">
        <v>19</v>
      </c>
      <c r="AK531">
        <v>605</v>
      </c>
      <c r="AL531">
        <v>605</v>
      </c>
      <c r="AM531">
        <v>724</v>
      </c>
      <c r="AN531">
        <v>44</v>
      </c>
      <c r="AO531" t="s">
        <v>78</v>
      </c>
      <c r="AP531">
        <v>1</v>
      </c>
      <c r="AR531" t="s">
        <v>614</v>
      </c>
      <c r="AS531" s="1">
        <v>44354.374305555553</v>
      </c>
      <c r="AT531" s="1">
        <v>44354.37809027778</v>
      </c>
      <c r="AU531" s="1">
        <v>44354.378611111111</v>
      </c>
      <c r="AV531" t="s">
        <v>71</v>
      </c>
      <c r="AW531" t="s">
        <v>72</v>
      </c>
      <c r="AX531" t="s">
        <v>73</v>
      </c>
    </row>
    <row r="532" spans="1:50" x14ac:dyDescent="0.3">
      <c r="A532" t="str">
        <f>"200861E0200"</f>
        <v>200861E0200</v>
      </c>
      <c r="B532" t="str">
        <f>"200861E02002"</f>
        <v>200861E02002</v>
      </c>
      <c r="C532" t="str">
        <f t="shared" si="25"/>
        <v>20</v>
      </c>
      <c r="D532" t="s">
        <v>67</v>
      </c>
      <c r="E532" t="str">
        <f t="shared" si="24"/>
        <v>003</v>
      </c>
      <c r="F532" t="s">
        <v>511</v>
      </c>
      <c r="G532" t="str">
        <f>"0861"</f>
        <v>0861</v>
      </c>
      <c r="H532" t="str">
        <f>"0002"</f>
        <v>0002</v>
      </c>
      <c r="I532" t="s">
        <v>109</v>
      </c>
      <c r="J532">
        <v>0</v>
      </c>
      <c r="K532">
        <v>1</v>
      </c>
      <c r="L532">
        <v>2</v>
      </c>
      <c r="M532">
        <v>109</v>
      </c>
      <c r="N532">
        <v>383</v>
      </c>
      <c r="O532">
        <v>0</v>
      </c>
      <c r="P532">
        <v>383</v>
      </c>
      <c r="Q532">
        <v>0</v>
      </c>
      <c r="R532">
        <v>165</v>
      </c>
      <c r="S532">
        <v>2</v>
      </c>
      <c r="T532">
        <v>43</v>
      </c>
      <c r="U532">
        <v>0</v>
      </c>
      <c r="V532">
        <v>2</v>
      </c>
      <c r="W532">
        <v>0</v>
      </c>
      <c r="X532">
        <v>154</v>
      </c>
      <c r="Y532">
        <v>1</v>
      </c>
      <c r="Z532">
        <v>0</v>
      </c>
      <c r="AA532">
        <v>5</v>
      </c>
      <c r="AB532">
        <v>3</v>
      </c>
      <c r="AD532">
        <v>0</v>
      </c>
      <c r="AE532">
        <v>0</v>
      </c>
      <c r="AF532">
        <v>0</v>
      </c>
      <c r="AG532">
        <v>0</v>
      </c>
      <c r="AI532">
        <v>0</v>
      </c>
      <c r="AJ532">
        <v>8</v>
      </c>
      <c r="AK532">
        <v>383</v>
      </c>
      <c r="AL532">
        <v>383</v>
      </c>
      <c r="AM532">
        <v>451</v>
      </c>
      <c r="AN532">
        <v>44</v>
      </c>
      <c r="AP532">
        <v>1</v>
      </c>
      <c r="AR532" t="s">
        <v>615</v>
      </c>
      <c r="AS532" s="1">
        <v>44354.359722222223</v>
      </c>
      <c r="AT532" s="1">
        <v>44354.362754629627</v>
      </c>
      <c r="AU532" s="1">
        <v>44354.363229166665</v>
      </c>
      <c r="AV532" t="s">
        <v>71</v>
      </c>
      <c r="AW532" t="s">
        <v>72</v>
      </c>
      <c r="AX532" t="s">
        <v>73</v>
      </c>
    </row>
    <row r="533" spans="1:50" x14ac:dyDescent="0.3">
      <c r="A533" t="str">
        <f>"200866B0000"</f>
        <v>200866B0000</v>
      </c>
      <c r="B533" t="str">
        <f>"200866B00002"</f>
        <v>200866B00002</v>
      </c>
      <c r="C533" t="str">
        <f t="shared" si="25"/>
        <v>20</v>
      </c>
      <c r="D533" t="s">
        <v>67</v>
      </c>
      <c r="E533" t="str">
        <f t="shared" si="24"/>
        <v>003</v>
      </c>
      <c r="F533" t="s">
        <v>511</v>
      </c>
      <c r="G533" t="str">
        <f>"0866"</f>
        <v>0866</v>
      </c>
      <c r="H533" t="str">
        <f>"0000"</f>
        <v>0000</v>
      </c>
      <c r="I533" t="s">
        <v>69</v>
      </c>
      <c r="J533">
        <v>0</v>
      </c>
      <c r="K533">
        <v>1</v>
      </c>
      <c r="L533">
        <v>2</v>
      </c>
      <c r="M533">
        <v>129</v>
      </c>
      <c r="N533">
        <v>575</v>
      </c>
      <c r="O533">
        <v>0</v>
      </c>
      <c r="P533">
        <v>575</v>
      </c>
      <c r="Q533">
        <v>99</v>
      </c>
      <c r="R533">
        <v>28</v>
      </c>
      <c r="S533">
        <v>2</v>
      </c>
      <c r="T533">
        <v>102</v>
      </c>
      <c r="U533">
        <v>0</v>
      </c>
      <c r="V533">
        <v>11</v>
      </c>
      <c r="W533">
        <v>93</v>
      </c>
      <c r="X533">
        <v>225</v>
      </c>
      <c r="Y533">
        <v>0</v>
      </c>
      <c r="Z533">
        <v>1</v>
      </c>
      <c r="AA533">
        <v>4</v>
      </c>
      <c r="AB533">
        <v>1</v>
      </c>
      <c r="AD533">
        <v>2</v>
      </c>
      <c r="AE533">
        <v>0</v>
      </c>
      <c r="AF533">
        <v>0</v>
      </c>
      <c r="AG533">
        <v>0</v>
      </c>
      <c r="AI533">
        <v>0</v>
      </c>
      <c r="AJ533">
        <v>7</v>
      </c>
      <c r="AK533">
        <v>575</v>
      </c>
      <c r="AL533">
        <v>575</v>
      </c>
      <c r="AM533">
        <v>660</v>
      </c>
      <c r="AN533">
        <v>44</v>
      </c>
      <c r="AP533">
        <v>1</v>
      </c>
      <c r="AR533" t="s">
        <v>616</v>
      </c>
      <c r="AS533" s="1">
        <v>44354.336805555555</v>
      </c>
      <c r="AT533" s="1">
        <v>44354.340150462966</v>
      </c>
      <c r="AU533" s="1">
        <v>44354.34070601852</v>
      </c>
      <c r="AV533" t="s">
        <v>71</v>
      </c>
      <c r="AW533" t="s">
        <v>72</v>
      </c>
      <c r="AX533" t="s">
        <v>73</v>
      </c>
    </row>
    <row r="534" spans="1:50" x14ac:dyDescent="0.3">
      <c r="A534" t="str">
        <f>"200866C0100"</f>
        <v>200866C0100</v>
      </c>
      <c r="B534" t="str">
        <f>"200866C01002"</f>
        <v>200866C01002</v>
      </c>
      <c r="C534" t="str">
        <f t="shared" si="25"/>
        <v>20</v>
      </c>
      <c r="D534" t="s">
        <v>67</v>
      </c>
      <c r="E534" t="str">
        <f t="shared" si="24"/>
        <v>003</v>
      </c>
      <c r="F534" t="s">
        <v>511</v>
      </c>
      <c r="G534" t="str">
        <f>"0866"</f>
        <v>0866</v>
      </c>
      <c r="H534" t="str">
        <f>"0001"</f>
        <v>0001</v>
      </c>
      <c r="I534" t="s">
        <v>75</v>
      </c>
      <c r="J534">
        <v>0</v>
      </c>
      <c r="K534">
        <v>1</v>
      </c>
      <c r="L534">
        <v>2</v>
      </c>
      <c r="M534">
        <v>128</v>
      </c>
      <c r="N534">
        <v>575</v>
      </c>
      <c r="O534">
        <v>4</v>
      </c>
      <c r="P534">
        <v>575</v>
      </c>
      <c r="Q534">
        <v>150</v>
      </c>
      <c r="R534">
        <v>37</v>
      </c>
      <c r="S534">
        <v>4</v>
      </c>
      <c r="T534">
        <v>90</v>
      </c>
      <c r="U534">
        <v>0</v>
      </c>
      <c r="V534">
        <v>14</v>
      </c>
      <c r="W534">
        <v>83</v>
      </c>
      <c r="X534">
        <v>190</v>
      </c>
      <c r="Y534">
        <v>0</v>
      </c>
      <c r="Z534">
        <v>0</v>
      </c>
      <c r="AA534">
        <v>2</v>
      </c>
      <c r="AB534">
        <v>1</v>
      </c>
      <c r="AD534">
        <v>1</v>
      </c>
      <c r="AE534">
        <v>0</v>
      </c>
      <c r="AF534">
        <v>0</v>
      </c>
      <c r="AG534">
        <v>0</v>
      </c>
      <c r="AI534">
        <v>0</v>
      </c>
      <c r="AJ534">
        <v>3</v>
      </c>
      <c r="AK534">
        <v>575</v>
      </c>
      <c r="AL534">
        <v>575</v>
      </c>
      <c r="AM534">
        <v>659</v>
      </c>
      <c r="AN534">
        <v>44</v>
      </c>
      <c r="AP534">
        <v>1</v>
      </c>
      <c r="AR534" t="s">
        <v>617</v>
      </c>
      <c r="AS534" s="1">
        <v>44354.412499999999</v>
      </c>
      <c r="AT534" s="1">
        <v>44354.415972222225</v>
      </c>
      <c r="AU534" s="1">
        <v>44354.416550925926</v>
      </c>
      <c r="AV534" t="s">
        <v>71</v>
      </c>
      <c r="AW534" t="s">
        <v>72</v>
      </c>
      <c r="AX534" t="s">
        <v>73</v>
      </c>
    </row>
    <row r="535" spans="1:50" x14ac:dyDescent="0.3">
      <c r="A535" t="str">
        <f>"200866C0200"</f>
        <v>200866C0200</v>
      </c>
      <c r="B535" t="str">
        <f>"200866C02002"</f>
        <v>200866C02002</v>
      </c>
      <c r="C535" t="str">
        <f t="shared" si="25"/>
        <v>20</v>
      </c>
      <c r="D535" t="s">
        <v>67</v>
      </c>
      <c r="E535" t="str">
        <f t="shared" si="24"/>
        <v>003</v>
      </c>
      <c r="F535" t="s">
        <v>511</v>
      </c>
      <c r="G535" t="str">
        <f>"0866"</f>
        <v>0866</v>
      </c>
      <c r="H535" t="str">
        <f>"0002"</f>
        <v>0002</v>
      </c>
      <c r="I535" t="s">
        <v>75</v>
      </c>
      <c r="J535">
        <v>0</v>
      </c>
      <c r="K535">
        <v>1</v>
      </c>
      <c r="L535">
        <v>2</v>
      </c>
      <c r="M535">
        <v>108</v>
      </c>
      <c r="N535">
        <v>595</v>
      </c>
      <c r="O535">
        <v>9</v>
      </c>
      <c r="P535">
        <v>595</v>
      </c>
      <c r="Q535">
        <v>106</v>
      </c>
      <c r="R535">
        <v>36</v>
      </c>
      <c r="S535">
        <v>4</v>
      </c>
      <c r="T535">
        <v>87</v>
      </c>
      <c r="U535">
        <v>3</v>
      </c>
      <c r="V535">
        <v>18</v>
      </c>
      <c r="W535">
        <v>115</v>
      </c>
      <c r="X535">
        <v>204</v>
      </c>
      <c r="Y535">
        <v>1</v>
      </c>
      <c r="Z535">
        <v>1</v>
      </c>
      <c r="AA535">
        <v>1</v>
      </c>
      <c r="AB535">
        <v>3</v>
      </c>
      <c r="AD535">
        <v>5</v>
      </c>
      <c r="AE535">
        <v>0</v>
      </c>
      <c r="AF535">
        <v>0</v>
      </c>
      <c r="AG535">
        <v>0</v>
      </c>
      <c r="AI535">
        <v>0</v>
      </c>
      <c r="AJ535">
        <v>7</v>
      </c>
      <c r="AK535">
        <v>595</v>
      </c>
      <c r="AL535">
        <v>591</v>
      </c>
      <c r="AM535">
        <v>659</v>
      </c>
      <c r="AN535">
        <v>44</v>
      </c>
      <c r="AP535">
        <v>1</v>
      </c>
      <c r="AR535" t="s">
        <v>618</v>
      </c>
      <c r="AS535" s="1">
        <v>44354.338888888888</v>
      </c>
      <c r="AT535" s="1">
        <v>44354.355428240742</v>
      </c>
      <c r="AU535" s="1">
        <v>44354.372361111113</v>
      </c>
      <c r="AV535" t="s">
        <v>71</v>
      </c>
      <c r="AW535" t="s">
        <v>72</v>
      </c>
      <c r="AX535" t="s">
        <v>73</v>
      </c>
    </row>
    <row r="536" spans="1:50" x14ac:dyDescent="0.3">
      <c r="A536" t="str">
        <f>"200866E0100"</f>
        <v>200866E0100</v>
      </c>
      <c r="B536" t="str">
        <f>"200866E01002"</f>
        <v>200866E01002</v>
      </c>
      <c r="C536" t="str">
        <f t="shared" si="25"/>
        <v>20</v>
      </c>
      <c r="D536" t="s">
        <v>67</v>
      </c>
      <c r="E536" t="str">
        <f t="shared" si="24"/>
        <v>003</v>
      </c>
      <c r="F536" t="s">
        <v>511</v>
      </c>
      <c r="G536" t="str">
        <f>"0866"</f>
        <v>0866</v>
      </c>
      <c r="H536" t="str">
        <f>"0001"</f>
        <v>0001</v>
      </c>
      <c r="I536" t="s">
        <v>109</v>
      </c>
      <c r="J536">
        <v>0</v>
      </c>
      <c r="K536">
        <v>1</v>
      </c>
      <c r="L536">
        <v>2</v>
      </c>
      <c r="M536">
        <v>72</v>
      </c>
      <c r="N536">
        <v>166</v>
      </c>
      <c r="O536">
        <v>8</v>
      </c>
      <c r="P536">
        <v>166</v>
      </c>
      <c r="Q536">
        <v>68</v>
      </c>
      <c r="R536">
        <v>4</v>
      </c>
      <c r="S536">
        <v>0</v>
      </c>
      <c r="T536">
        <v>14</v>
      </c>
      <c r="U536">
        <v>0</v>
      </c>
      <c r="V536">
        <v>0</v>
      </c>
      <c r="W536">
        <v>39</v>
      </c>
      <c r="X536">
        <v>41</v>
      </c>
      <c r="Y536">
        <v>0</v>
      </c>
      <c r="Z536">
        <v>0</v>
      </c>
      <c r="AA536">
        <v>0</v>
      </c>
      <c r="AB536">
        <v>0</v>
      </c>
      <c r="AD536">
        <v>0</v>
      </c>
      <c r="AE536">
        <v>0</v>
      </c>
      <c r="AF536">
        <v>0</v>
      </c>
      <c r="AG536">
        <v>0</v>
      </c>
      <c r="AI536">
        <v>0</v>
      </c>
      <c r="AJ536">
        <v>0</v>
      </c>
      <c r="AK536">
        <v>166</v>
      </c>
      <c r="AL536">
        <v>166</v>
      </c>
      <c r="AM536">
        <v>194</v>
      </c>
      <c r="AN536">
        <v>44</v>
      </c>
      <c r="AP536">
        <v>1</v>
      </c>
      <c r="AR536" t="s">
        <v>619</v>
      </c>
      <c r="AS536" s="1">
        <v>44354.338888888888</v>
      </c>
      <c r="AT536" s="1">
        <v>44354.341307870367</v>
      </c>
      <c r="AU536" s="1">
        <v>44354.342037037037</v>
      </c>
      <c r="AV536" t="s">
        <v>71</v>
      </c>
      <c r="AW536" t="s">
        <v>72</v>
      </c>
      <c r="AX536" t="s">
        <v>73</v>
      </c>
    </row>
    <row r="537" spans="1:50" x14ac:dyDescent="0.3">
      <c r="A537" t="str">
        <f>"200867B0000"</f>
        <v>200867B0000</v>
      </c>
      <c r="B537" t="str">
        <f>"200867B00002"</f>
        <v>200867B00002</v>
      </c>
      <c r="C537" t="str">
        <f t="shared" si="25"/>
        <v>20</v>
      </c>
      <c r="D537" t="s">
        <v>67</v>
      </c>
      <c r="E537" t="str">
        <f t="shared" si="24"/>
        <v>003</v>
      </c>
      <c r="F537" t="s">
        <v>511</v>
      </c>
      <c r="G537" t="str">
        <f>"0867"</f>
        <v>0867</v>
      </c>
      <c r="H537" t="str">
        <f>"0000"</f>
        <v>0000</v>
      </c>
      <c r="I537" t="s">
        <v>69</v>
      </c>
      <c r="J537">
        <v>0</v>
      </c>
      <c r="K537">
        <v>1</v>
      </c>
      <c r="L537">
        <v>2</v>
      </c>
      <c r="M537">
        <v>120</v>
      </c>
      <c r="N537">
        <v>512</v>
      </c>
      <c r="O537">
        <v>7</v>
      </c>
      <c r="P537" t="s">
        <v>80</v>
      </c>
      <c r="Q537">
        <v>111</v>
      </c>
      <c r="R537">
        <v>29</v>
      </c>
      <c r="S537">
        <v>7</v>
      </c>
      <c r="T537">
        <v>102</v>
      </c>
      <c r="U537">
        <v>0</v>
      </c>
      <c r="V537">
        <v>7</v>
      </c>
      <c r="W537">
        <v>38</v>
      </c>
      <c r="X537">
        <v>204</v>
      </c>
      <c r="Y537">
        <v>1</v>
      </c>
      <c r="Z537">
        <v>0</v>
      </c>
      <c r="AA537">
        <v>0</v>
      </c>
      <c r="AB537">
        <v>6</v>
      </c>
      <c r="AD537">
        <v>2</v>
      </c>
      <c r="AE537">
        <v>1</v>
      </c>
      <c r="AF537">
        <v>0</v>
      </c>
      <c r="AG537">
        <v>0</v>
      </c>
      <c r="AI537">
        <v>0</v>
      </c>
      <c r="AJ537">
        <v>4</v>
      </c>
      <c r="AK537">
        <v>512</v>
      </c>
      <c r="AL537">
        <v>512</v>
      </c>
      <c r="AM537">
        <v>588</v>
      </c>
      <c r="AN537">
        <v>44</v>
      </c>
      <c r="AP537">
        <v>1</v>
      </c>
      <c r="AR537" t="s">
        <v>620</v>
      </c>
      <c r="AS537" s="1">
        <v>44353.897916666669</v>
      </c>
      <c r="AT537" s="1">
        <v>44354.347118055557</v>
      </c>
      <c r="AU537" s="1">
        <v>44354.347800925927</v>
      </c>
      <c r="AV537" t="s">
        <v>71</v>
      </c>
      <c r="AW537" t="s">
        <v>72</v>
      </c>
      <c r="AX537" t="s">
        <v>73</v>
      </c>
    </row>
    <row r="538" spans="1:50" x14ac:dyDescent="0.3">
      <c r="A538" t="str">
        <f>"200867C0100"</f>
        <v>200867C0100</v>
      </c>
      <c r="B538" t="str">
        <f>"200867C01002"</f>
        <v>200867C01002</v>
      </c>
      <c r="C538" t="str">
        <f t="shared" si="25"/>
        <v>20</v>
      </c>
      <c r="D538" t="s">
        <v>67</v>
      </c>
      <c r="E538" t="str">
        <f t="shared" si="24"/>
        <v>003</v>
      </c>
      <c r="F538" t="s">
        <v>511</v>
      </c>
      <c r="G538" t="str">
        <f>"0867"</f>
        <v>0867</v>
      </c>
      <c r="H538" t="str">
        <f>"0001"</f>
        <v>0001</v>
      </c>
      <c r="I538" t="s">
        <v>75</v>
      </c>
      <c r="J538">
        <v>0</v>
      </c>
      <c r="K538">
        <v>1</v>
      </c>
      <c r="L538">
        <v>2</v>
      </c>
      <c r="M538">
        <v>112</v>
      </c>
      <c r="N538">
        <v>520</v>
      </c>
      <c r="O538">
        <v>5</v>
      </c>
      <c r="P538" t="s">
        <v>80</v>
      </c>
      <c r="Q538">
        <v>126</v>
      </c>
      <c r="R538">
        <v>39</v>
      </c>
      <c r="S538">
        <v>3</v>
      </c>
      <c r="T538">
        <v>115</v>
      </c>
      <c r="U538">
        <v>0</v>
      </c>
      <c r="V538">
        <v>2</v>
      </c>
      <c r="W538">
        <v>34</v>
      </c>
      <c r="X538">
        <v>195</v>
      </c>
      <c r="Y538">
        <v>0</v>
      </c>
      <c r="Z538">
        <v>0</v>
      </c>
      <c r="AA538">
        <v>1</v>
      </c>
      <c r="AB538">
        <v>1</v>
      </c>
      <c r="AD538">
        <v>0</v>
      </c>
      <c r="AE538">
        <v>0</v>
      </c>
      <c r="AF538">
        <v>0</v>
      </c>
      <c r="AG538">
        <v>0</v>
      </c>
      <c r="AI538">
        <v>0</v>
      </c>
      <c r="AJ538">
        <v>4</v>
      </c>
      <c r="AK538">
        <v>520</v>
      </c>
      <c r="AL538">
        <v>520</v>
      </c>
      <c r="AM538">
        <v>588</v>
      </c>
      <c r="AN538">
        <v>44</v>
      </c>
      <c r="AP538">
        <v>1</v>
      </c>
      <c r="AR538" t="s">
        <v>621</v>
      </c>
      <c r="AS538" s="1">
        <v>44354.336805555555</v>
      </c>
      <c r="AT538" s="1">
        <v>44354.340949074074</v>
      </c>
      <c r="AU538" s="1">
        <v>44354.341296296298</v>
      </c>
      <c r="AV538" t="s">
        <v>71</v>
      </c>
      <c r="AW538" t="s">
        <v>72</v>
      </c>
      <c r="AX538" t="s">
        <v>73</v>
      </c>
    </row>
    <row r="539" spans="1:50" x14ac:dyDescent="0.3">
      <c r="A539" t="str">
        <f>"200867C0200"</f>
        <v>200867C0200</v>
      </c>
      <c r="B539" t="str">
        <f>"200867C02002"</f>
        <v>200867C02002</v>
      </c>
      <c r="C539" t="str">
        <f t="shared" si="25"/>
        <v>20</v>
      </c>
      <c r="D539" t="s">
        <v>67</v>
      </c>
      <c r="E539" t="str">
        <f t="shared" si="24"/>
        <v>003</v>
      </c>
      <c r="F539" t="s">
        <v>511</v>
      </c>
      <c r="G539" t="str">
        <f>"0867"</f>
        <v>0867</v>
      </c>
      <c r="H539" t="str">
        <f>"0002"</f>
        <v>0002</v>
      </c>
      <c r="I539" t="s">
        <v>75</v>
      </c>
      <c r="J539">
        <v>0</v>
      </c>
      <c r="K539">
        <v>1</v>
      </c>
      <c r="L539">
        <v>2</v>
      </c>
      <c r="M539">
        <v>110</v>
      </c>
      <c r="N539" t="s">
        <v>99</v>
      </c>
      <c r="O539">
        <v>9</v>
      </c>
      <c r="P539" t="s">
        <v>99</v>
      </c>
      <c r="Q539">
        <v>129</v>
      </c>
      <c r="R539" t="s">
        <v>99</v>
      </c>
      <c r="S539">
        <v>6</v>
      </c>
      <c r="T539" t="s">
        <v>99</v>
      </c>
      <c r="U539">
        <v>0</v>
      </c>
      <c r="V539">
        <v>10</v>
      </c>
      <c r="W539" t="s">
        <v>99</v>
      </c>
      <c r="X539">
        <v>173</v>
      </c>
      <c r="Y539">
        <v>0</v>
      </c>
      <c r="Z539" t="s">
        <v>77</v>
      </c>
      <c r="AA539">
        <v>1</v>
      </c>
      <c r="AB539">
        <v>2</v>
      </c>
      <c r="AD539">
        <v>0</v>
      </c>
      <c r="AE539">
        <v>0</v>
      </c>
      <c r="AF539">
        <v>0</v>
      </c>
      <c r="AG539">
        <v>0</v>
      </c>
      <c r="AI539">
        <v>0</v>
      </c>
      <c r="AJ539">
        <v>8</v>
      </c>
      <c r="AK539" t="s">
        <v>99</v>
      </c>
      <c r="AL539">
        <v>329</v>
      </c>
      <c r="AM539">
        <v>588</v>
      </c>
      <c r="AN539">
        <v>44</v>
      </c>
      <c r="AO539" t="s">
        <v>78</v>
      </c>
      <c r="AP539">
        <v>1</v>
      </c>
      <c r="AR539" t="s">
        <v>622</v>
      </c>
      <c r="AS539" s="1">
        <v>44354.42083333333</v>
      </c>
      <c r="AT539" s="1">
        <v>44354.423657407409</v>
      </c>
      <c r="AU539" s="1">
        <v>44354.424988425926</v>
      </c>
      <c r="AV539" t="s">
        <v>71</v>
      </c>
      <c r="AW539" t="s">
        <v>72</v>
      </c>
      <c r="AX539" t="s">
        <v>347</v>
      </c>
    </row>
    <row r="540" spans="1:50" x14ac:dyDescent="0.3">
      <c r="A540" t="str">
        <f>"200867C0300"</f>
        <v>200867C0300</v>
      </c>
      <c r="B540" t="str">
        <f>"200867C03002"</f>
        <v>200867C03002</v>
      </c>
      <c r="C540" t="str">
        <f t="shared" si="25"/>
        <v>20</v>
      </c>
      <c r="D540" t="s">
        <v>67</v>
      </c>
      <c r="E540" t="str">
        <f t="shared" si="24"/>
        <v>003</v>
      </c>
      <c r="F540" t="s">
        <v>511</v>
      </c>
      <c r="G540" t="str">
        <f>"0867"</f>
        <v>0867</v>
      </c>
      <c r="H540" t="str">
        <f>"0003"</f>
        <v>0003</v>
      </c>
      <c r="I540" t="s">
        <v>75</v>
      </c>
      <c r="J540">
        <v>0</v>
      </c>
      <c r="K540">
        <v>1</v>
      </c>
      <c r="L540">
        <v>2</v>
      </c>
      <c r="M540">
        <v>121</v>
      </c>
      <c r="N540">
        <v>501</v>
      </c>
      <c r="O540">
        <v>9</v>
      </c>
      <c r="P540">
        <v>510</v>
      </c>
      <c r="Q540">
        <v>136</v>
      </c>
      <c r="R540">
        <v>28</v>
      </c>
      <c r="S540">
        <v>9</v>
      </c>
      <c r="T540">
        <v>112</v>
      </c>
      <c r="U540" t="s">
        <v>77</v>
      </c>
      <c r="V540">
        <v>13</v>
      </c>
      <c r="W540">
        <v>33</v>
      </c>
      <c r="X540">
        <v>168</v>
      </c>
      <c r="Y540">
        <v>1</v>
      </c>
      <c r="Z540">
        <v>1</v>
      </c>
      <c r="AA540" t="s">
        <v>77</v>
      </c>
      <c r="AB540">
        <v>2</v>
      </c>
      <c r="AD540" t="s">
        <v>77</v>
      </c>
      <c r="AE540" t="s">
        <v>77</v>
      </c>
      <c r="AF540" t="s">
        <v>77</v>
      </c>
      <c r="AG540" t="s">
        <v>77</v>
      </c>
      <c r="AI540" t="s">
        <v>77</v>
      </c>
      <c r="AJ540" t="s">
        <v>77</v>
      </c>
      <c r="AK540" t="s">
        <v>77</v>
      </c>
      <c r="AL540">
        <v>503</v>
      </c>
      <c r="AM540">
        <v>587</v>
      </c>
      <c r="AN540">
        <v>44</v>
      </c>
      <c r="AO540" t="s">
        <v>78</v>
      </c>
      <c r="AP540">
        <v>1</v>
      </c>
      <c r="AR540" t="s">
        <v>623</v>
      </c>
      <c r="AS540" s="1">
        <v>44354.416666666664</v>
      </c>
      <c r="AT540" s="1">
        <v>44354.419664351852</v>
      </c>
      <c r="AU540" s="1">
        <v>44354.420405092591</v>
      </c>
      <c r="AV540" t="s">
        <v>71</v>
      </c>
      <c r="AW540" t="s">
        <v>72</v>
      </c>
      <c r="AX540" t="s">
        <v>73</v>
      </c>
    </row>
    <row r="541" spans="1:50" x14ac:dyDescent="0.3">
      <c r="A541" t="str">
        <f>"200867E0100"</f>
        <v>200867E0100</v>
      </c>
      <c r="B541" t="str">
        <f>"200867E01002"</f>
        <v>200867E01002</v>
      </c>
      <c r="C541" t="str">
        <f t="shared" si="25"/>
        <v>20</v>
      </c>
      <c r="D541" t="s">
        <v>67</v>
      </c>
      <c r="E541" t="str">
        <f t="shared" si="24"/>
        <v>003</v>
      </c>
      <c r="F541" t="s">
        <v>511</v>
      </c>
      <c r="G541" t="str">
        <f>"0867"</f>
        <v>0867</v>
      </c>
      <c r="H541" t="str">
        <f>"0001"</f>
        <v>0001</v>
      </c>
      <c r="I541" t="s">
        <v>109</v>
      </c>
      <c r="J541">
        <v>0</v>
      </c>
      <c r="K541">
        <v>1</v>
      </c>
      <c r="L541">
        <v>2</v>
      </c>
      <c r="M541">
        <v>115</v>
      </c>
      <c r="N541">
        <v>405</v>
      </c>
      <c r="O541">
        <v>10</v>
      </c>
      <c r="P541">
        <v>405</v>
      </c>
      <c r="Q541">
        <v>80</v>
      </c>
      <c r="R541">
        <v>8</v>
      </c>
      <c r="S541">
        <v>1</v>
      </c>
      <c r="T541">
        <v>63</v>
      </c>
      <c r="U541" t="s">
        <v>77</v>
      </c>
      <c r="V541">
        <v>53</v>
      </c>
      <c r="W541">
        <v>64</v>
      </c>
      <c r="X541">
        <v>121</v>
      </c>
      <c r="Y541" t="s">
        <v>77</v>
      </c>
      <c r="Z541">
        <v>3</v>
      </c>
      <c r="AA541">
        <v>1</v>
      </c>
      <c r="AB541">
        <v>2</v>
      </c>
      <c r="AD541" t="s">
        <v>77</v>
      </c>
      <c r="AE541" t="s">
        <v>77</v>
      </c>
      <c r="AF541" t="s">
        <v>77</v>
      </c>
      <c r="AG541" t="s">
        <v>77</v>
      </c>
      <c r="AI541" t="s">
        <v>77</v>
      </c>
      <c r="AJ541">
        <v>9</v>
      </c>
      <c r="AK541">
        <v>405</v>
      </c>
      <c r="AL541">
        <v>405</v>
      </c>
      <c r="AM541">
        <v>476</v>
      </c>
      <c r="AN541">
        <v>44</v>
      </c>
      <c r="AO541" t="s">
        <v>78</v>
      </c>
      <c r="AP541">
        <v>1</v>
      </c>
      <c r="AR541" t="s">
        <v>624</v>
      </c>
      <c r="AS541" s="1">
        <v>44354.335416666669</v>
      </c>
      <c r="AT541" s="1">
        <v>44354.341770833336</v>
      </c>
      <c r="AU541" s="1">
        <v>44354.342499999999</v>
      </c>
      <c r="AV541" t="s">
        <v>71</v>
      </c>
      <c r="AW541" t="s">
        <v>72</v>
      </c>
      <c r="AX541" t="s">
        <v>73</v>
      </c>
    </row>
    <row r="542" spans="1:50" x14ac:dyDescent="0.3">
      <c r="A542" t="str">
        <f>"200868B0000"</f>
        <v>200868B0000</v>
      </c>
      <c r="B542" t="str">
        <f>"200868B00002"</f>
        <v>200868B00002</v>
      </c>
      <c r="C542" t="str">
        <f t="shared" si="25"/>
        <v>20</v>
      </c>
      <c r="D542" t="s">
        <v>67</v>
      </c>
      <c r="E542" t="str">
        <f t="shared" si="24"/>
        <v>003</v>
      </c>
      <c r="F542" t="s">
        <v>511</v>
      </c>
      <c r="G542" t="str">
        <f>"0868"</f>
        <v>0868</v>
      </c>
      <c r="H542" t="str">
        <f>"0000"</f>
        <v>0000</v>
      </c>
      <c r="I542" t="s">
        <v>69</v>
      </c>
      <c r="J542">
        <v>0</v>
      </c>
      <c r="K542">
        <v>1</v>
      </c>
      <c r="L542">
        <v>2</v>
      </c>
      <c r="M542">
        <v>106</v>
      </c>
      <c r="N542">
        <v>571</v>
      </c>
      <c r="O542">
        <v>3</v>
      </c>
      <c r="P542">
        <v>571</v>
      </c>
      <c r="Q542">
        <v>107</v>
      </c>
      <c r="R542">
        <v>33</v>
      </c>
      <c r="S542">
        <v>7</v>
      </c>
      <c r="T542">
        <v>79</v>
      </c>
      <c r="U542">
        <v>1</v>
      </c>
      <c r="V542">
        <v>9</v>
      </c>
      <c r="W542">
        <v>78</v>
      </c>
      <c r="X542">
        <v>252</v>
      </c>
      <c r="Y542">
        <v>0</v>
      </c>
      <c r="Z542">
        <v>1</v>
      </c>
      <c r="AA542">
        <v>0</v>
      </c>
      <c r="AB542">
        <v>0</v>
      </c>
      <c r="AD542">
        <v>0</v>
      </c>
      <c r="AE542">
        <v>0</v>
      </c>
      <c r="AF542">
        <v>0</v>
      </c>
      <c r="AG542">
        <v>0</v>
      </c>
      <c r="AI542">
        <v>0</v>
      </c>
      <c r="AJ542">
        <v>4</v>
      </c>
      <c r="AK542">
        <v>571</v>
      </c>
      <c r="AL542">
        <v>571</v>
      </c>
      <c r="AM542">
        <v>633</v>
      </c>
      <c r="AN542">
        <v>44</v>
      </c>
      <c r="AP542">
        <v>1</v>
      </c>
      <c r="AR542" t="s">
        <v>625</v>
      </c>
      <c r="AS542" s="1">
        <v>44354.344444444447</v>
      </c>
      <c r="AT542" s="1">
        <v>44354.348078703704</v>
      </c>
      <c r="AU542" s="1">
        <v>44354.348807870374</v>
      </c>
      <c r="AV542" t="s">
        <v>71</v>
      </c>
      <c r="AW542" t="s">
        <v>72</v>
      </c>
      <c r="AX542" t="s">
        <v>73</v>
      </c>
    </row>
    <row r="543" spans="1:50" x14ac:dyDescent="0.3">
      <c r="A543" t="str">
        <f>"200868C0100"</f>
        <v>200868C0100</v>
      </c>
      <c r="B543" t="str">
        <f>"200868C01002"</f>
        <v>200868C01002</v>
      </c>
      <c r="C543" t="str">
        <f t="shared" si="25"/>
        <v>20</v>
      </c>
      <c r="D543" t="s">
        <v>67</v>
      </c>
      <c r="E543" t="str">
        <f t="shared" si="24"/>
        <v>003</v>
      </c>
      <c r="F543" t="s">
        <v>511</v>
      </c>
      <c r="G543" t="str">
        <f>"0868"</f>
        <v>0868</v>
      </c>
      <c r="H543" t="str">
        <f>"0001"</f>
        <v>0001</v>
      </c>
      <c r="I543" t="s">
        <v>75</v>
      </c>
      <c r="J543">
        <v>0</v>
      </c>
      <c r="K543">
        <v>1</v>
      </c>
      <c r="L543">
        <v>2</v>
      </c>
      <c r="M543">
        <v>112</v>
      </c>
      <c r="N543">
        <v>564</v>
      </c>
      <c r="O543">
        <v>7</v>
      </c>
      <c r="P543">
        <v>564</v>
      </c>
      <c r="Q543">
        <v>107</v>
      </c>
      <c r="R543">
        <v>31</v>
      </c>
      <c r="S543">
        <v>5</v>
      </c>
      <c r="T543">
        <v>76</v>
      </c>
      <c r="U543">
        <v>0</v>
      </c>
      <c r="V543">
        <v>4</v>
      </c>
      <c r="W543">
        <v>83</v>
      </c>
      <c r="X543">
        <v>248</v>
      </c>
      <c r="Y543">
        <v>3</v>
      </c>
      <c r="Z543">
        <v>0</v>
      </c>
      <c r="AA543">
        <v>1</v>
      </c>
      <c r="AB543">
        <v>2</v>
      </c>
      <c r="AD543">
        <v>0</v>
      </c>
      <c r="AE543">
        <v>0</v>
      </c>
      <c r="AF543">
        <v>0</v>
      </c>
      <c r="AG543">
        <v>0</v>
      </c>
      <c r="AI543" t="s">
        <v>77</v>
      </c>
      <c r="AJ543" t="s">
        <v>77</v>
      </c>
      <c r="AK543" t="s">
        <v>77</v>
      </c>
      <c r="AL543">
        <v>560</v>
      </c>
      <c r="AM543">
        <v>632</v>
      </c>
      <c r="AN543">
        <v>44</v>
      </c>
      <c r="AO543" t="s">
        <v>78</v>
      </c>
      <c r="AP543">
        <v>1</v>
      </c>
      <c r="AR543" t="s">
        <v>626</v>
      </c>
      <c r="AS543" s="1">
        <v>44354.444444444445</v>
      </c>
      <c r="AT543" s="1">
        <v>44354.44940972222</v>
      </c>
      <c r="AU543" s="1">
        <v>44354.451145833336</v>
      </c>
      <c r="AV543" t="s">
        <v>71</v>
      </c>
      <c r="AW543" t="s">
        <v>72</v>
      </c>
      <c r="AX543" t="s">
        <v>73</v>
      </c>
    </row>
    <row r="544" spans="1:50" x14ac:dyDescent="0.3">
      <c r="A544" t="str">
        <f>"200868E0100"</f>
        <v>200868E0100</v>
      </c>
      <c r="B544" t="str">
        <f>"200868E01002"</f>
        <v>200868E01002</v>
      </c>
      <c r="C544" t="str">
        <f t="shared" si="25"/>
        <v>20</v>
      </c>
      <c r="D544" t="s">
        <v>67</v>
      </c>
      <c r="E544" t="str">
        <f t="shared" si="24"/>
        <v>003</v>
      </c>
      <c r="F544" t="s">
        <v>511</v>
      </c>
      <c r="G544" t="str">
        <f>"0868"</f>
        <v>0868</v>
      </c>
      <c r="H544" t="str">
        <f>"0001"</f>
        <v>0001</v>
      </c>
      <c r="I544" t="s">
        <v>109</v>
      </c>
      <c r="J544">
        <v>0</v>
      </c>
      <c r="K544">
        <v>1</v>
      </c>
      <c r="L544">
        <v>2</v>
      </c>
      <c r="M544">
        <v>101</v>
      </c>
      <c r="N544">
        <v>349</v>
      </c>
      <c r="O544">
        <v>0</v>
      </c>
      <c r="P544">
        <v>349</v>
      </c>
      <c r="Q544">
        <v>59</v>
      </c>
      <c r="R544">
        <v>32</v>
      </c>
      <c r="S544">
        <v>1</v>
      </c>
      <c r="T544">
        <v>118</v>
      </c>
      <c r="U544">
        <v>2</v>
      </c>
      <c r="V544">
        <v>4</v>
      </c>
      <c r="W544">
        <v>13</v>
      </c>
      <c r="X544">
        <v>109</v>
      </c>
      <c r="Y544">
        <v>0</v>
      </c>
      <c r="Z544">
        <v>1</v>
      </c>
      <c r="AA544">
        <v>1</v>
      </c>
      <c r="AB544">
        <v>0</v>
      </c>
      <c r="AD544">
        <v>0</v>
      </c>
      <c r="AE544">
        <v>0</v>
      </c>
      <c r="AF544">
        <v>0</v>
      </c>
      <c r="AG544">
        <v>0</v>
      </c>
      <c r="AI544">
        <v>0</v>
      </c>
      <c r="AJ544">
        <v>9</v>
      </c>
      <c r="AK544">
        <v>349</v>
      </c>
      <c r="AL544">
        <v>349</v>
      </c>
      <c r="AM544">
        <v>406</v>
      </c>
      <c r="AN544">
        <v>44</v>
      </c>
      <c r="AP544">
        <v>1</v>
      </c>
      <c r="AR544" t="s">
        <v>627</v>
      </c>
      <c r="AS544" s="1">
        <v>44354.344444444447</v>
      </c>
      <c r="AT544" s="1">
        <v>44354.348009259258</v>
      </c>
      <c r="AU544" s="1">
        <v>44354.348692129628</v>
      </c>
      <c r="AV544" t="s">
        <v>71</v>
      </c>
      <c r="AW544" t="s">
        <v>72</v>
      </c>
      <c r="AX544" t="s">
        <v>73</v>
      </c>
    </row>
    <row r="545" spans="1:50" x14ac:dyDescent="0.3">
      <c r="A545" t="str">
        <f>"200868E0200"</f>
        <v>200868E0200</v>
      </c>
      <c r="B545" t="str">
        <f>"200868E02002"</f>
        <v>200868E02002</v>
      </c>
      <c r="C545" t="str">
        <f t="shared" si="25"/>
        <v>20</v>
      </c>
      <c r="D545" t="s">
        <v>67</v>
      </c>
      <c r="E545" t="str">
        <f t="shared" si="24"/>
        <v>003</v>
      </c>
      <c r="F545" t="s">
        <v>511</v>
      </c>
      <c r="G545" t="str">
        <f>"0868"</f>
        <v>0868</v>
      </c>
      <c r="H545" t="str">
        <f>"0002"</f>
        <v>0002</v>
      </c>
      <c r="I545" t="s">
        <v>109</v>
      </c>
      <c r="J545">
        <v>0</v>
      </c>
      <c r="K545">
        <v>1</v>
      </c>
      <c r="L545">
        <v>2</v>
      </c>
      <c r="M545">
        <v>86</v>
      </c>
      <c r="N545">
        <v>300</v>
      </c>
      <c r="O545">
        <v>3</v>
      </c>
      <c r="P545">
        <v>300</v>
      </c>
      <c r="Q545">
        <v>22</v>
      </c>
      <c r="R545">
        <v>8</v>
      </c>
      <c r="S545">
        <v>2</v>
      </c>
      <c r="T545">
        <v>116</v>
      </c>
      <c r="U545" t="s">
        <v>77</v>
      </c>
      <c r="V545" t="s">
        <v>77</v>
      </c>
      <c r="W545">
        <v>87</v>
      </c>
      <c r="X545">
        <v>60</v>
      </c>
      <c r="Y545" t="s">
        <v>77</v>
      </c>
      <c r="Z545">
        <v>1</v>
      </c>
      <c r="AA545">
        <v>1</v>
      </c>
      <c r="AB545" t="s">
        <v>77</v>
      </c>
      <c r="AD545" t="s">
        <v>77</v>
      </c>
      <c r="AE545" t="s">
        <v>77</v>
      </c>
      <c r="AF545" t="s">
        <v>77</v>
      </c>
      <c r="AG545" t="s">
        <v>77</v>
      </c>
      <c r="AI545" t="s">
        <v>77</v>
      </c>
      <c r="AJ545">
        <v>3</v>
      </c>
      <c r="AK545">
        <v>300</v>
      </c>
      <c r="AL545">
        <v>300</v>
      </c>
      <c r="AM545">
        <v>342</v>
      </c>
      <c r="AN545">
        <v>44</v>
      </c>
      <c r="AO545" t="s">
        <v>78</v>
      </c>
      <c r="AP545">
        <v>1</v>
      </c>
      <c r="AR545" s="2" t="s">
        <v>628</v>
      </c>
      <c r="AS545" s="1">
        <v>44354.34652777778</v>
      </c>
      <c r="AT545" s="1">
        <v>44354.34920138889</v>
      </c>
      <c r="AU545" s="1">
        <v>44354.349861111114</v>
      </c>
      <c r="AV545" t="s">
        <v>71</v>
      </c>
      <c r="AW545" t="s">
        <v>72</v>
      </c>
      <c r="AX545" t="s">
        <v>73</v>
      </c>
    </row>
    <row r="546" spans="1:50" x14ac:dyDescent="0.3">
      <c r="A546" t="str">
        <f>"200868E0300"</f>
        <v>200868E0300</v>
      </c>
      <c r="B546" t="str">
        <f>"200868E03002"</f>
        <v>200868E03002</v>
      </c>
      <c r="C546" t="str">
        <f t="shared" si="25"/>
        <v>20</v>
      </c>
      <c r="D546" t="s">
        <v>67</v>
      </c>
      <c r="E546" t="str">
        <f t="shared" si="24"/>
        <v>003</v>
      </c>
      <c r="F546" t="s">
        <v>511</v>
      </c>
      <c r="G546" t="str">
        <f>"0868"</f>
        <v>0868</v>
      </c>
      <c r="H546" t="str">
        <f>"0003"</f>
        <v>0003</v>
      </c>
      <c r="I546" t="s">
        <v>109</v>
      </c>
      <c r="J546">
        <v>0</v>
      </c>
      <c r="K546">
        <v>1</v>
      </c>
      <c r="L546">
        <v>2</v>
      </c>
      <c r="M546">
        <v>72</v>
      </c>
      <c r="N546">
        <v>140</v>
      </c>
      <c r="O546">
        <v>140</v>
      </c>
      <c r="P546">
        <v>140</v>
      </c>
      <c r="Q546">
        <v>11</v>
      </c>
      <c r="R546">
        <v>10</v>
      </c>
      <c r="S546" t="s">
        <v>77</v>
      </c>
      <c r="T546">
        <v>14</v>
      </c>
      <c r="U546">
        <v>3</v>
      </c>
      <c r="V546">
        <v>1</v>
      </c>
      <c r="W546">
        <v>44</v>
      </c>
      <c r="X546">
        <v>46</v>
      </c>
      <c r="Y546">
        <v>1</v>
      </c>
      <c r="Z546">
        <v>2</v>
      </c>
      <c r="AA546" t="s">
        <v>77</v>
      </c>
      <c r="AB546" t="s">
        <v>77</v>
      </c>
      <c r="AD546" t="s">
        <v>77</v>
      </c>
      <c r="AE546" t="s">
        <v>77</v>
      </c>
      <c r="AF546" t="s">
        <v>77</v>
      </c>
      <c r="AG546" t="s">
        <v>77</v>
      </c>
      <c r="AI546" t="s">
        <v>77</v>
      </c>
      <c r="AJ546">
        <v>8</v>
      </c>
      <c r="AK546">
        <v>140</v>
      </c>
      <c r="AL546">
        <v>140</v>
      </c>
      <c r="AM546">
        <v>168</v>
      </c>
      <c r="AN546">
        <v>44</v>
      </c>
      <c r="AO546" t="s">
        <v>78</v>
      </c>
      <c r="AP546">
        <v>1</v>
      </c>
      <c r="AR546" t="s">
        <v>629</v>
      </c>
      <c r="AS546" s="1">
        <v>44354.34375</v>
      </c>
      <c r="AT546" s="1">
        <v>44354.346689814818</v>
      </c>
      <c r="AU546" s="1">
        <v>44354.347870370373</v>
      </c>
      <c r="AV546" t="s">
        <v>71</v>
      </c>
      <c r="AW546" t="s">
        <v>72</v>
      </c>
      <c r="AX546" t="s">
        <v>73</v>
      </c>
    </row>
    <row r="547" spans="1:50" x14ac:dyDescent="0.3">
      <c r="A547" t="str">
        <f>"200869B0000"</f>
        <v>200869B0000</v>
      </c>
      <c r="B547" t="str">
        <f>"200869B00002"</f>
        <v>200869B00002</v>
      </c>
      <c r="C547" t="str">
        <f t="shared" si="25"/>
        <v>20</v>
      </c>
      <c r="D547" t="s">
        <v>67</v>
      </c>
      <c r="E547" t="str">
        <f t="shared" si="24"/>
        <v>003</v>
      </c>
      <c r="F547" t="s">
        <v>511</v>
      </c>
      <c r="G547" t="str">
        <f>"0869"</f>
        <v>0869</v>
      </c>
      <c r="H547" t="str">
        <f>"0000"</f>
        <v>0000</v>
      </c>
      <c r="I547" t="s">
        <v>69</v>
      </c>
      <c r="J547">
        <v>0</v>
      </c>
      <c r="K547">
        <v>1</v>
      </c>
      <c r="L547">
        <v>2</v>
      </c>
      <c r="M547">
        <v>129</v>
      </c>
      <c r="N547">
        <v>561</v>
      </c>
      <c r="O547">
        <v>5</v>
      </c>
      <c r="P547">
        <v>561</v>
      </c>
      <c r="Q547">
        <v>142</v>
      </c>
      <c r="R547">
        <v>48</v>
      </c>
      <c r="S547">
        <v>0</v>
      </c>
      <c r="T547">
        <v>87</v>
      </c>
      <c r="U547">
        <v>0</v>
      </c>
      <c r="V547">
        <v>11</v>
      </c>
      <c r="W547">
        <v>66</v>
      </c>
      <c r="X547">
        <v>197</v>
      </c>
      <c r="Y547">
        <v>0</v>
      </c>
      <c r="Z547">
        <v>0</v>
      </c>
      <c r="AA547">
        <v>0</v>
      </c>
      <c r="AB547">
        <v>0</v>
      </c>
      <c r="AD547">
        <v>3</v>
      </c>
      <c r="AE547">
        <v>0</v>
      </c>
      <c r="AF547">
        <v>1</v>
      </c>
      <c r="AG547">
        <v>0</v>
      </c>
      <c r="AI547">
        <v>0</v>
      </c>
      <c r="AJ547">
        <v>6</v>
      </c>
      <c r="AK547">
        <v>561</v>
      </c>
      <c r="AL547">
        <v>561</v>
      </c>
      <c r="AM547">
        <v>646</v>
      </c>
      <c r="AN547">
        <v>44</v>
      </c>
      <c r="AP547">
        <v>1</v>
      </c>
      <c r="AR547" t="s">
        <v>630</v>
      </c>
      <c r="AS547" s="1">
        <v>44354.335416666669</v>
      </c>
      <c r="AT547" s="1">
        <v>44354.34097222222</v>
      </c>
      <c r="AU547" s="1">
        <v>44354.341597222221</v>
      </c>
      <c r="AV547" t="s">
        <v>71</v>
      </c>
      <c r="AW547" t="s">
        <v>72</v>
      </c>
      <c r="AX547" t="s">
        <v>73</v>
      </c>
    </row>
    <row r="548" spans="1:50" x14ac:dyDescent="0.3">
      <c r="A548" t="str">
        <f>"200869C0100"</f>
        <v>200869C0100</v>
      </c>
      <c r="B548" t="str">
        <f>"200869C01002"</f>
        <v>200869C01002</v>
      </c>
      <c r="C548" t="str">
        <f t="shared" si="25"/>
        <v>20</v>
      </c>
      <c r="D548" t="s">
        <v>67</v>
      </c>
      <c r="E548" t="str">
        <f t="shared" si="24"/>
        <v>003</v>
      </c>
      <c r="F548" t="s">
        <v>511</v>
      </c>
      <c r="G548" t="str">
        <f>"0869"</f>
        <v>0869</v>
      </c>
      <c r="H548" t="str">
        <f>"0001"</f>
        <v>0001</v>
      </c>
      <c r="I548" t="s">
        <v>75</v>
      </c>
      <c r="J548">
        <v>0</v>
      </c>
      <c r="K548">
        <v>1</v>
      </c>
      <c r="L548">
        <v>2</v>
      </c>
      <c r="M548">
        <v>141</v>
      </c>
      <c r="N548">
        <v>548</v>
      </c>
      <c r="O548">
        <v>0</v>
      </c>
      <c r="P548">
        <v>548</v>
      </c>
      <c r="Q548">
        <v>149</v>
      </c>
      <c r="R548">
        <v>27</v>
      </c>
      <c r="S548">
        <v>4</v>
      </c>
      <c r="T548">
        <v>61</v>
      </c>
      <c r="U548">
        <v>2</v>
      </c>
      <c r="V548">
        <v>12</v>
      </c>
      <c r="W548">
        <v>59</v>
      </c>
      <c r="X548">
        <v>228</v>
      </c>
      <c r="Y548">
        <v>0</v>
      </c>
      <c r="Z548">
        <v>1</v>
      </c>
      <c r="AA548">
        <v>3</v>
      </c>
      <c r="AB548">
        <v>0</v>
      </c>
      <c r="AD548">
        <v>0</v>
      </c>
      <c r="AE548">
        <v>0</v>
      </c>
      <c r="AF548">
        <v>0</v>
      </c>
      <c r="AG548">
        <v>0</v>
      </c>
      <c r="AI548">
        <v>0</v>
      </c>
      <c r="AJ548">
        <v>2</v>
      </c>
      <c r="AK548">
        <v>548</v>
      </c>
      <c r="AL548">
        <v>548</v>
      </c>
      <c r="AM548">
        <v>645</v>
      </c>
      <c r="AN548">
        <v>44</v>
      </c>
      <c r="AP548">
        <v>1</v>
      </c>
      <c r="AR548" t="s">
        <v>631</v>
      </c>
      <c r="AS548" s="1">
        <v>44354.335416666669</v>
      </c>
      <c r="AT548" s="1">
        <v>44354.338831018518</v>
      </c>
      <c r="AU548" s="1">
        <v>44354.339895833335</v>
      </c>
      <c r="AV548" t="s">
        <v>71</v>
      </c>
      <c r="AW548" t="s">
        <v>72</v>
      </c>
      <c r="AX548" t="s">
        <v>73</v>
      </c>
    </row>
    <row r="549" spans="1:50" x14ac:dyDescent="0.3">
      <c r="A549" t="str">
        <f>"200869E0100"</f>
        <v>200869E0100</v>
      </c>
      <c r="B549" t="str">
        <f>"200869E01002"</f>
        <v>200869E01002</v>
      </c>
      <c r="C549" t="str">
        <f t="shared" si="25"/>
        <v>20</v>
      </c>
      <c r="D549" t="s">
        <v>67</v>
      </c>
      <c r="E549" t="str">
        <f t="shared" si="24"/>
        <v>003</v>
      </c>
      <c r="F549" t="s">
        <v>511</v>
      </c>
      <c r="G549" t="str">
        <f>"0869"</f>
        <v>0869</v>
      </c>
      <c r="H549" t="str">
        <f>"0001"</f>
        <v>0001</v>
      </c>
      <c r="I549" t="s">
        <v>109</v>
      </c>
      <c r="J549">
        <v>0</v>
      </c>
      <c r="K549">
        <v>1</v>
      </c>
      <c r="L549">
        <v>2</v>
      </c>
      <c r="M549">
        <v>56</v>
      </c>
      <c r="N549">
        <v>122</v>
      </c>
      <c r="O549">
        <v>7</v>
      </c>
      <c r="P549">
        <v>122</v>
      </c>
      <c r="Q549">
        <v>11</v>
      </c>
      <c r="R549">
        <v>7</v>
      </c>
      <c r="S549">
        <v>1</v>
      </c>
      <c r="T549">
        <v>23</v>
      </c>
      <c r="U549">
        <v>1</v>
      </c>
      <c r="V549">
        <v>2</v>
      </c>
      <c r="W549">
        <v>42</v>
      </c>
      <c r="X549">
        <v>29</v>
      </c>
      <c r="Y549">
        <v>0</v>
      </c>
      <c r="Z549">
        <v>1</v>
      </c>
      <c r="AA549">
        <v>1</v>
      </c>
      <c r="AB549">
        <v>0</v>
      </c>
      <c r="AD549">
        <v>0</v>
      </c>
      <c r="AE549">
        <v>0</v>
      </c>
      <c r="AF549">
        <v>0</v>
      </c>
      <c r="AG549">
        <v>0</v>
      </c>
      <c r="AI549">
        <v>0</v>
      </c>
      <c r="AJ549">
        <v>4</v>
      </c>
      <c r="AK549">
        <v>122</v>
      </c>
      <c r="AL549">
        <v>122</v>
      </c>
      <c r="AM549">
        <v>134</v>
      </c>
      <c r="AN549">
        <v>44</v>
      </c>
      <c r="AP549">
        <v>1</v>
      </c>
      <c r="AR549" t="s">
        <v>632</v>
      </c>
      <c r="AS549" s="1">
        <v>44354.335416666669</v>
      </c>
      <c r="AT549" s="1">
        <v>44354.340567129628</v>
      </c>
      <c r="AU549" s="1">
        <v>44354.341134259259</v>
      </c>
      <c r="AV549" t="s">
        <v>71</v>
      </c>
      <c r="AW549" t="s">
        <v>72</v>
      </c>
      <c r="AX549" t="s">
        <v>73</v>
      </c>
    </row>
    <row r="550" spans="1:50" x14ac:dyDescent="0.3">
      <c r="A550" t="str">
        <f>"200870B0000"</f>
        <v>200870B0000</v>
      </c>
      <c r="B550" t="str">
        <f>"200870B00002"</f>
        <v>200870B00002</v>
      </c>
      <c r="C550" t="str">
        <f t="shared" si="25"/>
        <v>20</v>
      </c>
      <c r="D550" t="s">
        <v>67</v>
      </c>
      <c r="E550" t="str">
        <f t="shared" si="24"/>
        <v>003</v>
      </c>
      <c r="F550" t="s">
        <v>511</v>
      </c>
      <c r="G550" t="str">
        <f>"0870"</f>
        <v>0870</v>
      </c>
      <c r="H550" t="str">
        <f>"0000"</f>
        <v>0000</v>
      </c>
      <c r="I550" t="s">
        <v>69</v>
      </c>
      <c r="J550">
        <v>0</v>
      </c>
      <c r="K550">
        <v>1</v>
      </c>
      <c r="L550">
        <v>2</v>
      </c>
      <c r="M550">
        <v>116</v>
      </c>
      <c r="N550">
        <v>400</v>
      </c>
      <c r="O550">
        <v>1</v>
      </c>
      <c r="P550">
        <v>400</v>
      </c>
      <c r="Q550">
        <v>52</v>
      </c>
      <c r="R550">
        <v>32</v>
      </c>
      <c r="S550">
        <v>24</v>
      </c>
      <c r="T550">
        <v>110</v>
      </c>
      <c r="U550">
        <v>0</v>
      </c>
      <c r="V550">
        <v>2</v>
      </c>
      <c r="W550">
        <v>62</v>
      </c>
      <c r="X550">
        <v>110</v>
      </c>
      <c r="Y550">
        <v>0</v>
      </c>
      <c r="Z550">
        <v>2</v>
      </c>
      <c r="AA550">
        <v>3</v>
      </c>
      <c r="AB550">
        <v>0</v>
      </c>
      <c r="AD550">
        <v>0</v>
      </c>
      <c r="AE550">
        <v>0</v>
      </c>
      <c r="AF550">
        <v>0</v>
      </c>
      <c r="AG550">
        <v>0</v>
      </c>
      <c r="AI550">
        <v>0</v>
      </c>
      <c r="AJ550">
        <v>0</v>
      </c>
      <c r="AK550">
        <v>400</v>
      </c>
      <c r="AL550">
        <v>397</v>
      </c>
      <c r="AM550">
        <v>472</v>
      </c>
      <c r="AN550">
        <v>44</v>
      </c>
      <c r="AP550">
        <v>1</v>
      </c>
      <c r="AR550" t="s">
        <v>633</v>
      </c>
      <c r="AS550" s="1">
        <v>44354.34652777778</v>
      </c>
      <c r="AT550" s="1">
        <v>44354.348576388889</v>
      </c>
      <c r="AU550" s="1">
        <v>44354.349108796298</v>
      </c>
      <c r="AV550" t="s">
        <v>71</v>
      </c>
      <c r="AW550" t="s">
        <v>72</v>
      </c>
      <c r="AX550" t="s">
        <v>73</v>
      </c>
    </row>
    <row r="551" spans="1:50" x14ac:dyDescent="0.3">
      <c r="A551" t="str">
        <f>"200943B0000"</f>
        <v>200943B0000</v>
      </c>
      <c r="B551" t="str">
        <f>"200943B00002"</f>
        <v>200943B00002</v>
      </c>
      <c r="C551" t="str">
        <f t="shared" si="25"/>
        <v>20</v>
      </c>
      <c r="D551" t="s">
        <v>67</v>
      </c>
      <c r="E551" t="str">
        <f t="shared" si="24"/>
        <v>003</v>
      </c>
      <c r="F551" t="s">
        <v>511</v>
      </c>
      <c r="G551" t="str">
        <f>"0943"</f>
        <v>0943</v>
      </c>
      <c r="H551" t="str">
        <f>"0000"</f>
        <v>0000</v>
      </c>
      <c r="I551" t="s">
        <v>69</v>
      </c>
      <c r="J551">
        <v>0</v>
      </c>
      <c r="K551">
        <v>1</v>
      </c>
      <c r="L551">
        <v>2</v>
      </c>
      <c r="M551">
        <v>213</v>
      </c>
      <c r="N551">
        <v>503</v>
      </c>
      <c r="O551">
        <v>1</v>
      </c>
      <c r="P551" t="s">
        <v>80</v>
      </c>
      <c r="Q551">
        <v>27</v>
      </c>
      <c r="R551">
        <v>110</v>
      </c>
      <c r="S551">
        <v>31</v>
      </c>
      <c r="T551">
        <v>50</v>
      </c>
      <c r="U551">
        <v>1</v>
      </c>
      <c r="V551">
        <v>4</v>
      </c>
      <c r="W551">
        <v>8</v>
      </c>
      <c r="X551">
        <v>188</v>
      </c>
      <c r="Y551">
        <v>26</v>
      </c>
      <c r="Z551">
        <v>2</v>
      </c>
      <c r="AA551">
        <v>31</v>
      </c>
      <c r="AB551">
        <v>9</v>
      </c>
      <c r="AD551">
        <v>5</v>
      </c>
      <c r="AE551">
        <v>0</v>
      </c>
      <c r="AF551">
        <v>0</v>
      </c>
      <c r="AG551">
        <v>0</v>
      </c>
      <c r="AI551">
        <v>0</v>
      </c>
      <c r="AJ551">
        <v>11</v>
      </c>
      <c r="AK551">
        <v>503</v>
      </c>
      <c r="AL551">
        <v>503</v>
      </c>
      <c r="AM551">
        <v>672</v>
      </c>
      <c r="AN551">
        <v>44</v>
      </c>
      <c r="AP551">
        <v>1</v>
      </c>
      <c r="AR551" t="s">
        <v>634</v>
      </c>
      <c r="AS551" s="1">
        <v>44354.116666666669</v>
      </c>
      <c r="AT551" s="1">
        <v>44354.120763888888</v>
      </c>
      <c r="AU551" s="1">
        <v>44354.121481481481</v>
      </c>
      <c r="AV551" t="s">
        <v>71</v>
      </c>
      <c r="AW551" t="s">
        <v>72</v>
      </c>
      <c r="AX551" t="s">
        <v>73</v>
      </c>
    </row>
    <row r="552" spans="1:50" x14ac:dyDescent="0.3">
      <c r="A552" t="str">
        <f>"200943C0100"</f>
        <v>200943C0100</v>
      </c>
      <c r="B552" t="str">
        <f>"200943C01002"</f>
        <v>200943C01002</v>
      </c>
      <c r="C552" t="str">
        <f t="shared" si="25"/>
        <v>20</v>
      </c>
      <c r="D552" t="s">
        <v>67</v>
      </c>
      <c r="E552" t="str">
        <f t="shared" si="24"/>
        <v>003</v>
      </c>
      <c r="F552" t="s">
        <v>511</v>
      </c>
      <c r="G552" t="str">
        <f>"0943"</f>
        <v>0943</v>
      </c>
      <c r="H552" t="str">
        <f>"0001"</f>
        <v>0001</v>
      </c>
      <c r="I552" t="s">
        <v>75</v>
      </c>
      <c r="J552">
        <v>0</v>
      </c>
      <c r="K552">
        <v>1</v>
      </c>
      <c r="L552">
        <v>2</v>
      </c>
      <c r="M552" t="s">
        <v>80</v>
      </c>
      <c r="N552" t="s">
        <v>80</v>
      </c>
      <c r="O552" t="s">
        <v>80</v>
      </c>
      <c r="P552" t="s">
        <v>80</v>
      </c>
      <c r="Q552">
        <v>19</v>
      </c>
      <c r="R552">
        <v>109</v>
      </c>
      <c r="S552">
        <v>24</v>
      </c>
      <c r="T552">
        <v>43</v>
      </c>
      <c r="U552">
        <v>4</v>
      </c>
      <c r="V552">
        <v>3</v>
      </c>
      <c r="W552">
        <v>16</v>
      </c>
      <c r="X552">
        <v>199</v>
      </c>
      <c r="Y552">
        <v>32</v>
      </c>
      <c r="Z552">
        <v>3</v>
      </c>
      <c r="AA552">
        <v>25</v>
      </c>
      <c r="AB552">
        <v>6</v>
      </c>
      <c r="AD552">
        <v>5</v>
      </c>
      <c r="AE552">
        <v>2</v>
      </c>
      <c r="AF552">
        <v>0</v>
      </c>
      <c r="AG552">
        <v>1</v>
      </c>
      <c r="AI552">
        <v>0</v>
      </c>
      <c r="AJ552">
        <v>15</v>
      </c>
      <c r="AK552">
        <v>506</v>
      </c>
      <c r="AL552">
        <v>506</v>
      </c>
      <c r="AM552">
        <v>671</v>
      </c>
      <c r="AN552">
        <v>44</v>
      </c>
      <c r="AP552">
        <v>1</v>
      </c>
      <c r="AR552" t="s">
        <v>635</v>
      </c>
      <c r="AS552" s="1">
        <v>44354.116666666669</v>
      </c>
      <c r="AT552" s="1">
        <v>44354.119259259256</v>
      </c>
      <c r="AU552" s="1">
        <v>44354.119756944441</v>
      </c>
      <c r="AV552" t="s">
        <v>71</v>
      </c>
      <c r="AW552" t="s">
        <v>72</v>
      </c>
      <c r="AX552" t="s">
        <v>73</v>
      </c>
    </row>
    <row r="553" spans="1:50" x14ac:dyDescent="0.3">
      <c r="A553" t="str">
        <f>"200943E0100"</f>
        <v>200943E0100</v>
      </c>
      <c r="B553" t="str">
        <f>"200943E01002"</f>
        <v>200943E01002</v>
      </c>
      <c r="C553" t="str">
        <f t="shared" si="25"/>
        <v>20</v>
      </c>
      <c r="D553" t="s">
        <v>67</v>
      </c>
      <c r="E553" t="str">
        <f t="shared" si="24"/>
        <v>003</v>
      </c>
      <c r="F553" t="s">
        <v>511</v>
      </c>
      <c r="G553" t="str">
        <f>"0943"</f>
        <v>0943</v>
      </c>
      <c r="H553" t="str">
        <f>"0001"</f>
        <v>0001</v>
      </c>
      <c r="I553" t="s">
        <v>109</v>
      </c>
      <c r="J553">
        <v>0</v>
      </c>
      <c r="K553">
        <v>1</v>
      </c>
      <c r="L553">
        <v>2</v>
      </c>
      <c r="M553">
        <v>162</v>
      </c>
      <c r="N553">
        <v>534</v>
      </c>
      <c r="O553">
        <v>1</v>
      </c>
      <c r="P553">
        <v>534</v>
      </c>
      <c r="Q553">
        <v>35</v>
      </c>
      <c r="R553">
        <v>103</v>
      </c>
      <c r="S553">
        <v>36</v>
      </c>
      <c r="T553">
        <v>86</v>
      </c>
      <c r="U553">
        <v>3</v>
      </c>
      <c r="V553">
        <v>6</v>
      </c>
      <c r="W553">
        <v>7</v>
      </c>
      <c r="X553">
        <v>126</v>
      </c>
      <c r="Y553">
        <v>47</v>
      </c>
      <c r="Z553">
        <v>3</v>
      </c>
      <c r="AA553">
        <v>46</v>
      </c>
      <c r="AB553">
        <v>4</v>
      </c>
      <c r="AD553">
        <v>9</v>
      </c>
      <c r="AE553">
        <v>2</v>
      </c>
      <c r="AF553">
        <v>0</v>
      </c>
      <c r="AG553">
        <v>0</v>
      </c>
      <c r="AI553">
        <v>0</v>
      </c>
      <c r="AJ553">
        <v>21</v>
      </c>
      <c r="AK553">
        <v>534</v>
      </c>
      <c r="AL553">
        <v>534</v>
      </c>
      <c r="AM553">
        <v>652</v>
      </c>
      <c r="AN553">
        <v>44</v>
      </c>
      <c r="AP553">
        <v>1</v>
      </c>
      <c r="AR553" t="s">
        <v>636</v>
      </c>
      <c r="AS553" s="1">
        <v>44354.211111111108</v>
      </c>
      <c r="AT553" s="1">
        <v>44354.213784722226</v>
      </c>
      <c r="AU553" s="1">
        <v>44354.214328703703</v>
      </c>
      <c r="AV553" t="s">
        <v>71</v>
      </c>
      <c r="AW553" t="s">
        <v>72</v>
      </c>
      <c r="AX553" t="s">
        <v>73</v>
      </c>
    </row>
    <row r="554" spans="1:50" x14ac:dyDescent="0.3">
      <c r="A554" t="str">
        <f>"200944B0000"</f>
        <v>200944B0000</v>
      </c>
      <c r="B554" t="str">
        <f>"200944B00002"</f>
        <v>200944B00002</v>
      </c>
      <c r="C554" t="str">
        <f t="shared" si="25"/>
        <v>20</v>
      </c>
      <c r="D554" t="s">
        <v>67</v>
      </c>
      <c r="E554" t="str">
        <f t="shared" si="24"/>
        <v>003</v>
      </c>
      <c r="F554" t="s">
        <v>511</v>
      </c>
      <c r="G554" t="str">
        <f>"0944"</f>
        <v>0944</v>
      </c>
      <c r="H554" t="str">
        <f>"0000"</f>
        <v>0000</v>
      </c>
      <c r="I554" t="s">
        <v>69</v>
      </c>
      <c r="J554">
        <v>0</v>
      </c>
      <c r="K554">
        <v>1</v>
      </c>
      <c r="L554">
        <v>2</v>
      </c>
      <c r="M554">
        <v>173</v>
      </c>
      <c r="N554">
        <v>458</v>
      </c>
      <c r="O554">
        <v>3</v>
      </c>
      <c r="P554">
        <v>458</v>
      </c>
      <c r="Q554">
        <v>23</v>
      </c>
      <c r="R554">
        <v>97</v>
      </c>
      <c r="S554">
        <v>25</v>
      </c>
      <c r="T554">
        <v>49</v>
      </c>
      <c r="U554">
        <v>6</v>
      </c>
      <c r="V554">
        <v>0</v>
      </c>
      <c r="W554">
        <v>6</v>
      </c>
      <c r="X554">
        <v>150</v>
      </c>
      <c r="Y554">
        <v>29</v>
      </c>
      <c r="Z554">
        <v>1</v>
      </c>
      <c r="AA554">
        <v>36</v>
      </c>
      <c r="AB554">
        <v>14</v>
      </c>
      <c r="AD554">
        <v>6</v>
      </c>
      <c r="AE554">
        <v>0</v>
      </c>
      <c r="AF554">
        <v>0</v>
      </c>
      <c r="AG554">
        <v>1</v>
      </c>
      <c r="AI554">
        <v>0</v>
      </c>
      <c r="AJ554">
        <v>15</v>
      </c>
      <c r="AK554">
        <v>458</v>
      </c>
      <c r="AL554">
        <v>458</v>
      </c>
      <c r="AM554">
        <v>587</v>
      </c>
      <c r="AN554">
        <v>44</v>
      </c>
      <c r="AP554">
        <v>1</v>
      </c>
      <c r="AR554" t="s">
        <v>637</v>
      </c>
      <c r="AS554" s="1">
        <v>44354.066666666666</v>
      </c>
      <c r="AT554" s="1">
        <v>44354.076458333337</v>
      </c>
      <c r="AU554" s="1">
        <v>44354.077118055553</v>
      </c>
      <c r="AV554" t="s">
        <v>71</v>
      </c>
      <c r="AW554" t="s">
        <v>72</v>
      </c>
      <c r="AX554" t="s">
        <v>73</v>
      </c>
    </row>
    <row r="555" spans="1:50" x14ac:dyDescent="0.3">
      <c r="A555" t="str">
        <f>"200944C0100"</f>
        <v>200944C0100</v>
      </c>
      <c r="B555" t="str">
        <f>"200944C01002"</f>
        <v>200944C01002</v>
      </c>
      <c r="C555" t="str">
        <f t="shared" si="25"/>
        <v>20</v>
      </c>
      <c r="D555" t="s">
        <v>67</v>
      </c>
      <c r="E555" t="str">
        <f t="shared" si="24"/>
        <v>003</v>
      </c>
      <c r="F555" t="s">
        <v>511</v>
      </c>
      <c r="G555" t="str">
        <f>"0944"</f>
        <v>0944</v>
      </c>
      <c r="H555" t="str">
        <f>"0001"</f>
        <v>0001</v>
      </c>
      <c r="I555" t="s">
        <v>75</v>
      </c>
      <c r="J555">
        <v>0</v>
      </c>
      <c r="K555">
        <v>1</v>
      </c>
      <c r="L555">
        <v>2</v>
      </c>
      <c r="M555">
        <v>183</v>
      </c>
      <c r="N555">
        <v>448</v>
      </c>
      <c r="O555">
        <v>5</v>
      </c>
      <c r="P555">
        <v>448</v>
      </c>
      <c r="Q555">
        <v>19</v>
      </c>
      <c r="R555">
        <v>74</v>
      </c>
      <c r="S555">
        <v>34</v>
      </c>
      <c r="T555">
        <v>62</v>
      </c>
      <c r="U555">
        <v>8</v>
      </c>
      <c r="V555">
        <v>3</v>
      </c>
      <c r="W555">
        <v>8</v>
      </c>
      <c r="X555">
        <v>135</v>
      </c>
      <c r="Y555">
        <v>32</v>
      </c>
      <c r="Z555">
        <v>2</v>
      </c>
      <c r="AA555">
        <v>38</v>
      </c>
      <c r="AB555">
        <v>8</v>
      </c>
      <c r="AD555">
        <v>4</v>
      </c>
      <c r="AE555">
        <v>1</v>
      </c>
      <c r="AF555">
        <v>2</v>
      </c>
      <c r="AG555">
        <v>0</v>
      </c>
      <c r="AI555">
        <v>0</v>
      </c>
      <c r="AJ555">
        <v>18</v>
      </c>
      <c r="AK555">
        <v>448</v>
      </c>
      <c r="AL555">
        <v>448</v>
      </c>
      <c r="AM555">
        <v>587</v>
      </c>
      <c r="AN555">
        <v>44</v>
      </c>
      <c r="AP555">
        <v>1</v>
      </c>
      <c r="AR555" t="s">
        <v>638</v>
      </c>
      <c r="AS555" s="1">
        <v>44354.066666666666</v>
      </c>
      <c r="AT555" s="1">
        <v>44354.077326388891</v>
      </c>
      <c r="AU555" s="1">
        <v>44354.078229166669</v>
      </c>
      <c r="AV555" t="s">
        <v>71</v>
      </c>
      <c r="AW555" t="s">
        <v>72</v>
      </c>
      <c r="AX555" t="s">
        <v>73</v>
      </c>
    </row>
    <row r="556" spans="1:50" x14ac:dyDescent="0.3">
      <c r="A556" t="str">
        <f>"200944E0100"</f>
        <v>200944E0100</v>
      </c>
      <c r="B556" t="str">
        <f>"200944E01002"</f>
        <v>200944E01002</v>
      </c>
      <c r="C556" t="str">
        <f t="shared" si="25"/>
        <v>20</v>
      </c>
      <c r="D556" t="s">
        <v>67</v>
      </c>
      <c r="E556" t="str">
        <f t="shared" si="24"/>
        <v>003</v>
      </c>
      <c r="F556" t="s">
        <v>511</v>
      </c>
      <c r="G556" t="str">
        <f>"0944"</f>
        <v>0944</v>
      </c>
      <c r="H556" t="str">
        <f>"0001"</f>
        <v>0001</v>
      </c>
      <c r="I556" t="s">
        <v>109</v>
      </c>
      <c r="J556">
        <v>0</v>
      </c>
      <c r="K556">
        <v>1</v>
      </c>
      <c r="L556">
        <v>2</v>
      </c>
      <c r="M556">
        <v>147</v>
      </c>
      <c r="N556">
        <v>466</v>
      </c>
      <c r="O556">
        <v>1</v>
      </c>
      <c r="P556" t="s">
        <v>80</v>
      </c>
      <c r="Q556">
        <v>30</v>
      </c>
      <c r="R556">
        <v>79</v>
      </c>
      <c r="S556">
        <v>22</v>
      </c>
      <c r="T556">
        <v>23</v>
      </c>
      <c r="U556">
        <v>2</v>
      </c>
      <c r="V556">
        <v>2</v>
      </c>
      <c r="W556">
        <v>3</v>
      </c>
      <c r="X556">
        <v>97</v>
      </c>
      <c r="Y556">
        <v>83</v>
      </c>
      <c r="Z556">
        <v>4</v>
      </c>
      <c r="AA556">
        <v>92</v>
      </c>
      <c r="AB556">
        <v>5</v>
      </c>
      <c r="AD556">
        <v>9</v>
      </c>
      <c r="AE556">
        <v>1</v>
      </c>
      <c r="AF556">
        <v>2</v>
      </c>
      <c r="AG556">
        <v>0</v>
      </c>
      <c r="AI556">
        <v>0</v>
      </c>
      <c r="AJ556">
        <v>11</v>
      </c>
      <c r="AK556">
        <v>465</v>
      </c>
      <c r="AL556">
        <v>465</v>
      </c>
      <c r="AM556">
        <v>568</v>
      </c>
      <c r="AN556">
        <v>44</v>
      </c>
      <c r="AP556">
        <v>1</v>
      </c>
      <c r="AR556" t="s">
        <v>639</v>
      </c>
      <c r="AS556" s="1">
        <v>44354.066666666666</v>
      </c>
      <c r="AT556" s="1">
        <v>44354.075694444444</v>
      </c>
      <c r="AU556" s="1">
        <v>44354.077013888891</v>
      </c>
      <c r="AV556" t="s">
        <v>71</v>
      </c>
      <c r="AW556" t="s">
        <v>72</v>
      </c>
      <c r="AX556" t="s">
        <v>73</v>
      </c>
    </row>
    <row r="557" spans="1:50" x14ac:dyDescent="0.3">
      <c r="A557" t="str">
        <f>"200945B0000"</f>
        <v>200945B0000</v>
      </c>
      <c r="B557" t="str">
        <f>"200945B00002"</f>
        <v>200945B00002</v>
      </c>
      <c r="C557" t="str">
        <f t="shared" si="25"/>
        <v>20</v>
      </c>
      <c r="D557" t="s">
        <v>67</v>
      </c>
      <c r="E557" t="str">
        <f t="shared" ref="E557:E620" si="26">"003"</f>
        <v>003</v>
      </c>
      <c r="F557" t="s">
        <v>511</v>
      </c>
      <c r="G557" t="str">
        <f>"0945"</f>
        <v>0945</v>
      </c>
      <c r="H557" t="str">
        <f>"0000"</f>
        <v>0000</v>
      </c>
      <c r="I557" t="s">
        <v>69</v>
      </c>
      <c r="J557">
        <v>0</v>
      </c>
      <c r="K557">
        <v>1</v>
      </c>
      <c r="L557">
        <v>2</v>
      </c>
      <c r="M557">
        <v>187</v>
      </c>
      <c r="N557">
        <v>482</v>
      </c>
      <c r="O557">
        <v>12</v>
      </c>
      <c r="P557">
        <v>482</v>
      </c>
      <c r="Q557">
        <v>13</v>
      </c>
      <c r="R557">
        <v>39</v>
      </c>
      <c r="S557">
        <v>37</v>
      </c>
      <c r="T557">
        <v>16</v>
      </c>
      <c r="U557">
        <v>3</v>
      </c>
      <c r="V557">
        <v>7</v>
      </c>
      <c r="W557">
        <v>9</v>
      </c>
      <c r="X557">
        <v>192</v>
      </c>
      <c r="Y557">
        <v>73</v>
      </c>
      <c r="Z557">
        <v>10</v>
      </c>
      <c r="AA557">
        <v>47</v>
      </c>
      <c r="AB557">
        <v>23</v>
      </c>
      <c r="AD557">
        <v>1</v>
      </c>
      <c r="AE557">
        <v>1</v>
      </c>
      <c r="AF557">
        <v>0</v>
      </c>
      <c r="AG557">
        <v>0</v>
      </c>
      <c r="AI557">
        <v>0</v>
      </c>
      <c r="AJ557">
        <v>11</v>
      </c>
      <c r="AK557">
        <v>482</v>
      </c>
      <c r="AL557">
        <v>482</v>
      </c>
      <c r="AM557">
        <v>625</v>
      </c>
      <c r="AN557">
        <v>44</v>
      </c>
      <c r="AP557">
        <v>1</v>
      </c>
      <c r="AR557" t="s">
        <v>640</v>
      </c>
      <c r="AS557" s="1">
        <v>44354.068055555559</v>
      </c>
      <c r="AT557" s="1">
        <v>44354.07440972222</v>
      </c>
      <c r="AU557" s="1">
        <v>44354.075219907405</v>
      </c>
      <c r="AV557" t="s">
        <v>71</v>
      </c>
      <c r="AW557" t="s">
        <v>72</v>
      </c>
      <c r="AX557" t="s">
        <v>73</v>
      </c>
    </row>
    <row r="558" spans="1:50" x14ac:dyDescent="0.3">
      <c r="A558" t="str">
        <f>"200946B0000"</f>
        <v>200946B0000</v>
      </c>
      <c r="B558" t="str">
        <f>"200946B00002"</f>
        <v>200946B00002</v>
      </c>
      <c r="C558" t="str">
        <f t="shared" si="25"/>
        <v>20</v>
      </c>
      <c r="D558" t="s">
        <v>67</v>
      </c>
      <c r="E558" t="str">
        <f t="shared" si="26"/>
        <v>003</v>
      </c>
      <c r="F558" t="s">
        <v>511</v>
      </c>
      <c r="G558" t="str">
        <f>"0946"</f>
        <v>0946</v>
      </c>
      <c r="H558" t="str">
        <f>"0000"</f>
        <v>0000</v>
      </c>
      <c r="I558" t="s">
        <v>69</v>
      </c>
      <c r="J558">
        <v>0</v>
      </c>
      <c r="K558">
        <v>1</v>
      </c>
      <c r="L558">
        <v>2</v>
      </c>
      <c r="M558">
        <v>215</v>
      </c>
      <c r="N558">
        <v>472</v>
      </c>
      <c r="O558">
        <v>6</v>
      </c>
      <c r="P558">
        <v>472</v>
      </c>
      <c r="Q558">
        <v>32</v>
      </c>
      <c r="R558">
        <v>89</v>
      </c>
      <c r="S558">
        <v>74</v>
      </c>
      <c r="T558">
        <v>7</v>
      </c>
      <c r="U558">
        <v>1</v>
      </c>
      <c r="V558">
        <v>1</v>
      </c>
      <c r="W558">
        <v>21</v>
      </c>
      <c r="X558">
        <v>128</v>
      </c>
      <c r="Y558">
        <v>26</v>
      </c>
      <c r="Z558">
        <v>3</v>
      </c>
      <c r="AA558">
        <v>49</v>
      </c>
      <c r="AB558">
        <v>13</v>
      </c>
      <c r="AD558">
        <v>5</v>
      </c>
      <c r="AE558" t="s">
        <v>77</v>
      </c>
      <c r="AF558">
        <v>1</v>
      </c>
      <c r="AG558">
        <v>1</v>
      </c>
      <c r="AI558" t="s">
        <v>77</v>
      </c>
      <c r="AJ558">
        <v>21</v>
      </c>
      <c r="AK558">
        <v>472</v>
      </c>
      <c r="AL558">
        <v>472</v>
      </c>
      <c r="AM558">
        <v>643</v>
      </c>
      <c r="AN558">
        <v>44</v>
      </c>
      <c r="AO558" t="s">
        <v>78</v>
      </c>
      <c r="AP558">
        <v>1</v>
      </c>
      <c r="AR558" t="s">
        <v>641</v>
      </c>
      <c r="AS558" s="1">
        <v>44354.070138888892</v>
      </c>
      <c r="AT558" s="1">
        <v>44354.077997685185</v>
      </c>
      <c r="AU558" s="1">
        <v>44354.078576388885</v>
      </c>
      <c r="AV558" t="s">
        <v>71</v>
      </c>
      <c r="AW558" t="s">
        <v>72</v>
      </c>
      <c r="AX558" t="s">
        <v>73</v>
      </c>
    </row>
    <row r="559" spans="1:50" x14ac:dyDescent="0.3">
      <c r="A559" t="str">
        <f>"200946C0100"</f>
        <v>200946C0100</v>
      </c>
      <c r="B559" t="str">
        <f>"200946C01002"</f>
        <v>200946C01002</v>
      </c>
      <c r="C559" t="str">
        <f t="shared" si="25"/>
        <v>20</v>
      </c>
      <c r="D559" t="s">
        <v>67</v>
      </c>
      <c r="E559" t="str">
        <f t="shared" si="26"/>
        <v>003</v>
      </c>
      <c r="F559" t="s">
        <v>511</v>
      </c>
      <c r="G559" t="str">
        <f>"0946"</f>
        <v>0946</v>
      </c>
      <c r="H559" t="str">
        <f>"0001"</f>
        <v>0001</v>
      </c>
      <c r="I559" t="s">
        <v>75</v>
      </c>
      <c r="J559">
        <v>0</v>
      </c>
      <c r="K559">
        <v>1</v>
      </c>
      <c r="L559">
        <v>2</v>
      </c>
      <c r="M559">
        <v>219</v>
      </c>
      <c r="N559">
        <v>467</v>
      </c>
      <c r="O559">
        <v>6</v>
      </c>
      <c r="P559">
        <v>467</v>
      </c>
      <c r="Q559">
        <v>22</v>
      </c>
      <c r="R559">
        <v>80</v>
      </c>
      <c r="S559">
        <v>55</v>
      </c>
      <c r="T559">
        <v>6</v>
      </c>
      <c r="U559">
        <v>2</v>
      </c>
      <c r="V559">
        <v>2</v>
      </c>
      <c r="W559">
        <v>12</v>
      </c>
      <c r="X559">
        <v>152</v>
      </c>
      <c r="Y559">
        <v>33</v>
      </c>
      <c r="Z559">
        <v>7</v>
      </c>
      <c r="AA559">
        <v>55</v>
      </c>
      <c r="AB559">
        <v>27</v>
      </c>
      <c r="AD559">
        <v>3</v>
      </c>
      <c r="AE559">
        <v>0</v>
      </c>
      <c r="AF559">
        <v>0</v>
      </c>
      <c r="AG559">
        <v>0</v>
      </c>
      <c r="AI559">
        <v>0</v>
      </c>
      <c r="AJ559">
        <v>11</v>
      </c>
      <c r="AK559">
        <v>467</v>
      </c>
      <c r="AL559">
        <v>467</v>
      </c>
      <c r="AM559">
        <v>642</v>
      </c>
      <c r="AN559">
        <v>44</v>
      </c>
      <c r="AP559">
        <v>1</v>
      </c>
      <c r="AR559" s="2" t="s">
        <v>642</v>
      </c>
      <c r="AS559" s="1">
        <v>44354.070138888892</v>
      </c>
      <c r="AT559" s="1">
        <v>44354.077175925922</v>
      </c>
      <c r="AU559" s="1">
        <v>44354.078043981484</v>
      </c>
      <c r="AV559" t="s">
        <v>71</v>
      </c>
      <c r="AW559" t="s">
        <v>72</v>
      </c>
      <c r="AX559" t="s">
        <v>73</v>
      </c>
    </row>
    <row r="560" spans="1:50" x14ac:dyDescent="0.3">
      <c r="A560" t="str">
        <f>"200946E0100"</f>
        <v>200946E0100</v>
      </c>
      <c r="B560" t="str">
        <f>"200946E01002"</f>
        <v>200946E01002</v>
      </c>
      <c r="C560" t="str">
        <f t="shared" si="25"/>
        <v>20</v>
      </c>
      <c r="D560" t="s">
        <v>67</v>
      </c>
      <c r="E560" t="str">
        <f t="shared" si="26"/>
        <v>003</v>
      </c>
      <c r="F560" t="s">
        <v>511</v>
      </c>
      <c r="G560" t="str">
        <f>"0946"</f>
        <v>0946</v>
      </c>
      <c r="H560" t="str">
        <f>"0001"</f>
        <v>0001</v>
      </c>
      <c r="I560" t="s">
        <v>109</v>
      </c>
      <c r="J560">
        <v>0</v>
      </c>
      <c r="K560">
        <v>1</v>
      </c>
      <c r="L560">
        <v>2</v>
      </c>
      <c r="M560">
        <v>127</v>
      </c>
      <c r="N560">
        <v>369</v>
      </c>
      <c r="O560">
        <v>16</v>
      </c>
      <c r="P560">
        <v>369</v>
      </c>
      <c r="Q560">
        <v>15</v>
      </c>
      <c r="R560">
        <v>71</v>
      </c>
      <c r="S560">
        <v>32</v>
      </c>
      <c r="T560">
        <v>6</v>
      </c>
      <c r="U560">
        <v>1</v>
      </c>
      <c r="V560">
        <v>4</v>
      </c>
      <c r="W560">
        <v>6</v>
      </c>
      <c r="X560">
        <v>138</v>
      </c>
      <c r="Y560">
        <v>24</v>
      </c>
      <c r="Z560">
        <v>4</v>
      </c>
      <c r="AA560">
        <v>53</v>
      </c>
      <c r="AB560">
        <v>3</v>
      </c>
      <c r="AD560">
        <v>3</v>
      </c>
      <c r="AE560">
        <v>0</v>
      </c>
      <c r="AF560">
        <v>0</v>
      </c>
      <c r="AG560">
        <v>0</v>
      </c>
      <c r="AI560">
        <v>0</v>
      </c>
      <c r="AJ560">
        <v>9</v>
      </c>
      <c r="AK560">
        <v>369</v>
      </c>
      <c r="AL560">
        <v>369</v>
      </c>
      <c r="AM560">
        <v>452</v>
      </c>
      <c r="AN560">
        <v>44</v>
      </c>
      <c r="AP560">
        <v>1</v>
      </c>
      <c r="AR560" t="s">
        <v>643</v>
      </c>
      <c r="AS560" s="1">
        <v>44354.147222222222</v>
      </c>
      <c r="AT560" s="1">
        <v>44354.151817129627</v>
      </c>
      <c r="AU560" s="1">
        <v>44354.15221064815</v>
      </c>
      <c r="AV560" t="s">
        <v>71</v>
      </c>
      <c r="AW560" t="s">
        <v>72</v>
      </c>
      <c r="AX560" t="s">
        <v>73</v>
      </c>
    </row>
    <row r="561" spans="1:50" x14ac:dyDescent="0.3">
      <c r="A561" t="str">
        <f>"200947B0000"</f>
        <v>200947B0000</v>
      </c>
      <c r="B561" t="str">
        <f>"200947B00002"</f>
        <v>200947B00002</v>
      </c>
      <c r="C561" t="str">
        <f t="shared" si="25"/>
        <v>20</v>
      </c>
      <c r="D561" t="s">
        <v>67</v>
      </c>
      <c r="E561" t="str">
        <f t="shared" si="26"/>
        <v>003</v>
      </c>
      <c r="F561" t="s">
        <v>511</v>
      </c>
      <c r="G561" t="str">
        <f>"0947"</f>
        <v>0947</v>
      </c>
      <c r="H561" t="str">
        <f>"0000"</f>
        <v>0000</v>
      </c>
      <c r="I561" t="s">
        <v>69</v>
      </c>
      <c r="J561">
        <v>0</v>
      </c>
      <c r="K561">
        <v>1</v>
      </c>
      <c r="L561">
        <v>2</v>
      </c>
      <c r="M561">
        <v>137</v>
      </c>
      <c r="N561">
        <v>521</v>
      </c>
      <c r="O561">
        <v>0</v>
      </c>
      <c r="P561">
        <v>521</v>
      </c>
      <c r="Q561">
        <v>71</v>
      </c>
      <c r="R561">
        <v>94</v>
      </c>
      <c r="S561">
        <v>7</v>
      </c>
      <c r="T561">
        <v>9</v>
      </c>
      <c r="U561">
        <v>2</v>
      </c>
      <c r="V561">
        <v>4</v>
      </c>
      <c r="W561">
        <v>8</v>
      </c>
      <c r="X561">
        <v>233</v>
      </c>
      <c r="Y561">
        <v>34</v>
      </c>
      <c r="Z561">
        <v>3</v>
      </c>
      <c r="AA561">
        <v>37</v>
      </c>
      <c r="AB561">
        <v>2</v>
      </c>
      <c r="AD561">
        <v>7</v>
      </c>
      <c r="AE561">
        <v>0</v>
      </c>
      <c r="AF561">
        <v>0</v>
      </c>
      <c r="AG561">
        <v>0</v>
      </c>
      <c r="AI561">
        <v>0</v>
      </c>
      <c r="AJ561">
        <v>10</v>
      </c>
      <c r="AK561">
        <v>521</v>
      </c>
      <c r="AL561">
        <v>521</v>
      </c>
      <c r="AM561">
        <v>614</v>
      </c>
      <c r="AN561">
        <v>44</v>
      </c>
      <c r="AP561">
        <v>1</v>
      </c>
      <c r="AR561" t="s">
        <v>644</v>
      </c>
      <c r="AS561" s="1">
        <v>44354.147222222222</v>
      </c>
      <c r="AT561" s="1">
        <v>44354.150509259256</v>
      </c>
      <c r="AU561" s="1">
        <v>44354.151122685187</v>
      </c>
      <c r="AV561" t="s">
        <v>71</v>
      </c>
      <c r="AW561" t="s">
        <v>72</v>
      </c>
      <c r="AX561" t="s">
        <v>73</v>
      </c>
    </row>
    <row r="562" spans="1:50" x14ac:dyDescent="0.3">
      <c r="A562" t="str">
        <f>"200947C0100"</f>
        <v>200947C0100</v>
      </c>
      <c r="B562" t="str">
        <f>"200947C01002"</f>
        <v>200947C01002</v>
      </c>
      <c r="C562" t="str">
        <f t="shared" si="25"/>
        <v>20</v>
      </c>
      <c r="D562" t="s">
        <v>67</v>
      </c>
      <c r="E562" t="str">
        <f t="shared" si="26"/>
        <v>003</v>
      </c>
      <c r="F562" t="s">
        <v>511</v>
      </c>
      <c r="G562" t="str">
        <f>"0947"</f>
        <v>0947</v>
      </c>
      <c r="H562" t="str">
        <f>"0001"</f>
        <v>0001</v>
      </c>
      <c r="I562" t="s">
        <v>75</v>
      </c>
      <c r="J562">
        <v>0</v>
      </c>
      <c r="K562">
        <v>1</v>
      </c>
      <c r="L562">
        <v>2</v>
      </c>
      <c r="M562">
        <v>141</v>
      </c>
      <c r="N562">
        <v>516</v>
      </c>
      <c r="O562">
        <v>0</v>
      </c>
      <c r="P562">
        <v>516</v>
      </c>
      <c r="Q562">
        <v>75</v>
      </c>
      <c r="R562">
        <v>81</v>
      </c>
      <c r="S562">
        <v>8</v>
      </c>
      <c r="T562">
        <v>6</v>
      </c>
      <c r="U562">
        <v>0</v>
      </c>
      <c r="V562">
        <v>2</v>
      </c>
      <c r="W562">
        <v>20</v>
      </c>
      <c r="X562">
        <v>216</v>
      </c>
      <c r="Y562">
        <v>27</v>
      </c>
      <c r="Z562">
        <v>3</v>
      </c>
      <c r="AA562">
        <v>61</v>
      </c>
      <c r="AB562">
        <v>4</v>
      </c>
      <c r="AD562">
        <v>2</v>
      </c>
      <c r="AE562">
        <v>0</v>
      </c>
      <c r="AF562">
        <v>0</v>
      </c>
      <c r="AG562">
        <v>0</v>
      </c>
      <c r="AI562">
        <v>1</v>
      </c>
      <c r="AJ562">
        <v>10</v>
      </c>
      <c r="AK562">
        <v>516</v>
      </c>
      <c r="AL562">
        <v>516</v>
      </c>
      <c r="AM562">
        <v>613</v>
      </c>
      <c r="AN562">
        <v>44</v>
      </c>
      <c r="AP562">
        <v>1</v>
      </c>
      <c r="AR562" t="s">
        <v>645</v>
      </c>
      <c r="AS562" s="1">
        <v>44354.147222222222</v>
      </c>
      <c r="AT562" s="1">
        <v>44354.150312500002</v>
      </c>
      <c r="AU562" s="1">
        <v>44354.150902777779</v>
      </c>
      <c r="AV562" t="s">
        <v>71</v>
      </c>
      <c r="AW562" t="s">
        <v>72</v>
      </c>
      <c r="AX562" t="s">
        <v>73</v>
      </c>
    </row>
    <row r="563" spans="1:50" x14ac:dyDescent="0.3">
      <c r="A563" t="str">
        <f>"200948B0000"</f>
        <v>200948B0000</v>
      </c>
      <c r="B563" t="str">
        <f>"200948B00002"</f>
        <v>200948B00002</v>
      </c>
      <c r="C563" t="str">
        <f t="shared" si="25"/>
        <v>20</v>
      </c>
      <c r="D563" t="s">
        <v>67</v>
      </c>
      <c r="E563" t="str">
        <f t="shared" si="26"/>
        <v>003</v>
      </c>
      <c r="F563" t="s">
        <v>511</v>
      </c>
      <c r="G563" t="str">
        <f>"0948"</f>
        <v>0948</v>
      </c>
      <c r="H563" t="str">
        <f>"0000"</f>
        <v>0000</v>
      </c>
      <c r="I563" t="s">
        <v>69</v>
      </c>
      <c r="J563">
        <v>0</v>
      </c>
      <c r="K563">
        <v>1</v>
      </c>
      <c r="L563">
        <v>2</v>
      </c>
      <c r="M563">
        <v>189</v>
      </c>
      <c r="N563">
        <v>501</v>
      </c>
      <c r="O563">
        <v>1</v>
      </c>
      <c r="P563">
        <v>501</v>
      </c>
      <c r="Q563">
        <v>24</v>
      </c>
      <c r="R563">
        <v>91</v>
      </c>
      <c r="S563">
        <v>20</v>
      </c>
      <c r="T563">
        <v>80</v>
      </c>
      <c r="U563">
        <v>0</v>
      </c>
      <c r="V563">
        <v>3</v>
      </c>
      <c r="W563">
        <v>12</v>
      </c>
      <c r="X563">
        <v>180</v>
      </c>
      <c r="Y563">
        <v>33</v>
      </c>
      <c r="Z563">
        <v>1</v>
      </c>
      <c r="AA563">
        <v>23</v>
      </c>
      <c r="AB563">
        <v>4</v>
      </c>
      <c r="AD563">
        <v>7</v>
      </c>
      <c r="AE563">
        <v>1</v>
      </c>
      <c r="AF563">
        <v>0</v>
      </c>
      <c r="AG563">
        <v>0</v>
      </c>
      <c r="AI563">
        <v>0</v>
      </c>
      <c r="AJ563">
        <v>22</v>
      </c>
      <c r="AK563">
        <v>501</v>
      </c>
      <c r="AL563">
        <v>501</v>
      </c>
      <c r="AM563">
        <v>646</v>
      </c>
      <c r="AN563">
        <v>44</v>
      </c>
      <c r="AP563">
        <v>1</v>
      </c>
      <c r="AR563" t="s">
        <v>646</v>
      </c>
      <c r="AS563" s="1">
        <v>44354.116666666669</v>
      </c>
      <c r="AT563" s="1">
        <v>44354.12295138889</v>
      </c>
      <c r="AU563" s="1">
        <v>44354.123530092591</v>
      </c>
      <c r="AV563" t="s">
        <v>71</v>
      </c>
      <c r="AW563" t="s">
        <v>72</v>
      </c>
      <c r="AX563" t="s">
        <v>73</v>
      </c>
    </row>
    <row r="564" spans="1:50" x14ac:dyDescent="0.3">
      <c r="A564" t="str">
        <f>"200948C0100"</f>
        <v>200948C0100</v>
      </c>
      <c r="B564" t="str">
        <f>"200948C01002"</f>
        <v>200948C01002</v>
      </c>
      <c r="C564" t="str">
        <f t="shared" si="25"/>
        <v>20</v>
      </c>
      <c r="D564" t="s">
        <v>67</v>
      </c>
      <c r="E564" t="str">
        <f t="shared" si="26"/>
        <v>003</v>
      </c>
      <c r="F564" t="s">
        <v>511</v>
      </c>
      <c r="G564" t="str">
        <f>"0948"</f>
        <v>0948</v>
      </c>
      <c r="H564" t="str">
        <f>"0001"</f>
        <v>0001</v>
      </c>
      <c r="I564" t="s">
        <v>75</v>
      </c>
      <c r="J564">
        <v>0</v>
      </c>
      <c r="K564">
        <v>1</v>
      </c>
      <c r="L564">
        <v>2</v>
      </c>
      <c r="M564">
        <v>180</v>
      </c>
      <c r="N564">
        <v>510</v>
      </c>
      <c r="O564">
        <v>0</v>
      </c>
      <c r="P564" t="s">
        <v>80</v>
      </c>
      <c r="Q564">
        <v>25</v>
      </c>
      <c r="R564">
        <v>105</v>
      </c>
      <c r="S564">
        <v>21</v>
      </c>
      <c r="T564">
        <v>95</v>
      </c>
      <c r="U564">
        <v>1</v>
      </c>
      <c r="V564">
        <v>3</v>
      </c>
      <c r="W564">
        <v>13</v>
      </c>
      <c r="X564">
        <v>171</v>
      </c>
      <c r="Y564">
        <v>25</v>
      </c>
      <c r="Z564">
        <v>2</v>
      </c>
      <c r="AA564">
        <v>27</v>
      </c>
      <c r="AB564">
        <v>7</v>
      </c>
      <c r="AD564">
        <v>0</v>
      </c>
      <c r="AE564">
        <v>0</v>
      </c>
      <c r="AF564">
        <v>0</v>
      </c>
      <c r="AG564">
        <v>1</v>
      </c>
      <c r="AI564">
        <v>0</v>
      </c>
      <c r="AJ564">
        <v>14</v>
      </c>
      <c r="AK564">
        <v>510</v>
      </c>
      <c r="AL564">
        <v>510</v>
      </c>
      <c r="AM564">
        <v>646</v>
      </c>
      <c r="AN564">
        <v>44</v>
      </c>
      <c r="AP564">
        <v>1</v>
      </c>
      <c r="AR564" t="s">
        <v>647</v>
      </c>
      <c r="AS564" s="1">
        <v>44354.163194444445</v>
      </c>
      <c r="AT564" s="1">
        <v>44354.166076388887</v>
      </c>
      <c r="AU564" s="1">
        <v>44354.166770833333</v>
      </c>
      <c r="AV564" t="s">
        <v>71</v>
      </c>
      <c r="AW564" t="s">
        <v>72</v>
      </c>
      <c r="AX564" t="s">
        <v>73</v>
      </c>
    </row>
    <row r="565" spans="1:50" x14ac:dyDescent="0.3">
      <c r="A565" t="str">
        <f>"201009B0000"</f>
        <v>201009B0000</v>
      </c>
      <c r="B565" t="str">
        <f>"201009B00002"</f>
        <v>201009B00002</v>
      </c>
      <c r="C565" t="str">
        <f t="shared" si="25"/>
        <v>20</v>
      </c>
      <c r="D565" t="s">
        <v>67</v>
      </c>
      <c r="E565" t="str">
        <f t="shared" si="26"/>
        <v>003</v>
      </c>
      <c r="F565" t="s">
        <v>511</v>
      </c>
      <c r="G565" t="str">
        <f>"1009"</f>
        <v>1009</v>
      </c>
      <c r="H565" t="str">
        <f>"0000"</f>
        <v>0000</v>
      </c>
      <c r="I565" t="s">
        <v>69</v>
      </c>
      <c r="J565">
        <v>0</v>
      </c>
      <c r="K565">
        <v>1</v>
      </c>
      <c r="L565">
        <v>2</v>
      </c>
      <c r="M565">
        <v>87</v>
      </c>
      <c r="N565">
        <v>498</v>
      </c>
      <c r="O565">
        <v>0</v>
      </c>
      <c r="P565">
        <v>498</v>
      </c>
      <c r="Q565">
        <v>13</v>
      </c>
      <c r="R565">
        <v>137</v>
      </c>
      <c r="S565">
        <v>2</v>
      </c>
      <c r="T565">
        <v>62</v>
      </c>
      <c r="U565">
        <v>0</v>
      </c>
      <c r="V565">
        <v>218</v>
      </c>
      <c r="W565">
        <v>0</v>
      </c>
      <c r="X565">
        <v>59</v>
      </c>
      <c r="Y565">
        <v>0</v>
      </c>
      <c r="Z565">
        <v>2</v>
      </c>
      <c r="AA565">
        <v>0</v>
      </c>
      <c r="AB565">
        <v>0</v>
      </c>
      <c r="AD565">
        <v>1</v>
      </c>
      <c r="AE565">
        <v>0</v>
      </c>
      <c r="AF565">
        <v>0</v>
      </c>
      <c r="AG565">
        <v>0</v>
      </c>
      <c r="AI565">
        <v>0</v>
      </c>
      <c r="AJ565">
        <v>4</v>
      </c>
      <c r="AK565">
        <v>498</v>
      </c>
      <c r="AL565">
        <v>498</v>
      </c>
      <c r="AM565">
        <v>541</v>
      </c>
      <c r="AN565">
        <v>44</v>
      </c>
      <c r="AP565">
        <v>1</v>
      </c>
      <c r="AR565" t="s">
        <v>648</v>
      </c>
      <c r="AS565" s="1">
        <v>44354.350694444445</v>
      </c>
      <c r="AT565" s="1">
        <v>44354.354328703703</v>
      </c>
      <c r="AU565" s="1">
        <v>44354.354953703703</v>
      </c>
      <c r="AV565" t="s">
        <v>71</v>
      </c>
      <c r="AW565" t="s">
        <v>72</v>
      </c>
      <c r="AX565" t="s">
        <v>73</v>
      </c>
    </row>
    <row r="566" spans="1:50" x14ac:dyDescent="0.3">
      <c r="A566" t="str">
        <f>"201009C0100"</f>
        <v>201009C0100</v>
      </c>
      <c r="B566" t="str">
        <f>"201009C01002"</f>
        <v>201009C01002</v>
      </c>
      <c r="C566" t="str">
        <f t="shared" si="25"/>
        <v>20</v>
      </c>
      <c r="D566" t="s">
        <v>67</v>
      </c>
      <c r="E566" t="str">
        <f t="shared" si="26"/>
        <v>003</v>
      </c>
      <c r="F566" t="s">
        <v>511</v>
      </c>
      <c r="G566" t="str">
        <f>"1009"</f>
        <v>1009</v>
      </c>
      <c r="H566" t="str">
        <f>"0001"</f>
        <v>0001</v>
      </c>
      <c r="I566" t="s">
        <v>75</v>
      </c>
      <c r="J566">
        <v>0</v>
      </c>
      <c r="K566">
        <v>1</v>
      </c>
      <c r="L566">
        <v>2</v>
      </c>
      <c r="M566">
        <v>89</v>
      </c>
      <c r="N566">
        <v>495</v>
      </c>
      <c r="O566">
        <v>0</v>
      </c>
      <c r="P566">
        <v>495</v>
      </c>
      <c r="Q566">
        <v>21</v>
      </c>
      <c r="R566">
        <v>151</v>
      </c>
      <c r="S566">
        <v>9</v>
      </c>
      <c r="T566">
        <v>34</v>
      </c>
      <c r="U566">
        <v>2</v>
      </c>
      <c r="V566">
        <v>192</v>
      </c>
      <c r="W566">
        <v>0</v>
      </c>
      <c r="X566">
        <v>77</v>
      </c>
      <c r="Y566">
        <v>0</v>
      </c>
      <c r="Z566">
        <v>1</v>
      </c>
      <c r="AA566">
        <v>0</v>
      </c>
      <c r="AB566">
        <v>0</v>
      </c>
      <c r="AD566">
        <v>1</v>
      </c>
      <c r="AE566">
        <v>0</v>
      </c>
      <c r="AF566">
        <v>0</v>
      </c>
      <c r="AG566">
        <v>0</v>
      </c>
      <c r="AI566">
        <v>0</v>
      </c>
      <c r="AJ566">
        <v>6</v>
      </c>
      <c r="AK566">
        <v>495</v>
      </c>
      <c r="AL566">
        <v>494</v>
      </c>
      <c r="AM566">
        <v>540</v>
      </c>
      <c r="AN566">
        <v>44</v>
      </c>
      <c r="AP566">
        <v>1</v>
      </c>
      <c r="AR566" t="s">
        <v>649</v>
      </c>
      <c r="AS566" s="1">
        <v>44354.350694444445</v>
      </c>
      <c r="AT566" s="1">
        <v>44354.371631944443</v>
      </c>
      <c r="AU566" s="1">
        <v>44354.374178240738</v>
      </c>
      <c r="AV566" t="s">
        <v>71</v>
      </c>
      <c r="AW566" t="s">
        <v>72</v>
      </c>
      <c r="AX566" t="s">
        <v>73</v>
      </c>
    </row>
    <row r="567" spans="1:50" x14ac:dyDescent="0.3">
      <c r="A567" t="str">
        <f>"201009E0100"</f>
        <v>201009E0100</v>
      </c>
      <c r="B567" t="str">
        <f>"201009E01002"</f>
        <v>201009E01002</v>
      </c>
      <c r="C567" t="str">
        <f t="shared" si="25"/>
        <v>20</v>
      </c>
      <c r="D567" t="s">
        <v>67</v>
      </c>
      <c r="E567" t="str">
        <f t="shared" si="26"/>
        <v>003</v>
      </c>
      <c r="F567" t="s">
        <v>511</v>
      </c>
      <c r="G567" t="str">
        <f>"1009"</f>
        <v>1009</v>
      </c>
      <c r="H567" t="str">
        <f>"0001"</f>
        <v>0001</v>
      </c>
      <c r="I567" t="s">
        <v>109</v>
      </c>
      <c r="J567">
        <v>0</v>
      </c>
      <c r="K567">
        <v>1</v>
      </c>
      <c r="L567">
        <v>2</v>
      </c>
      <c r="M567">
        <v>82</v>
      </c>
      <c r="N567">
        <v>219</v>
      </c>
      <c r="O567">
        <v>0</v>
      </c>
      <c r="P567">
        <v>219</v>
      </c>
      <c r="Q567">
        <v>3</v>
      </c>
      <c r="R567">
        <v>77</v>
      </c>
      <c r="S567">
        <v>2</v>
      </c>
      <c r="T567">
        <v>21</v>
      </c>
      <c r="U567">
        <v>0</v>
      </c>
      <c r="V567">
        <v>79</v>
      </c>
      <c r="W567">
        <v>0</v>
      </c>
      <c r="X567">
        <v>31</v>
      </c>
      <c r="Y567">
        <v>0</v>
      </c>
      <c r="Z567">
        <v>0</v>
      </c>
      <c r="AA567">
        <v>0</v>
      </c>
      <c r="AB567">
        <v>0</v>
      </c>
      <c r="AD567">
        <v>0</v>
      </c>
      <c r="AE567">
        <v>0</v>
      </c>
      <c r="AF567">
        <v>0</v>
      </c>
      <c r="AG567">
        <v>0</v>
      </c>
      <c r="AI567">
        <v>0</v>
      </c>
      <c r="AJ567">
        <v>6</v>
      </c>
      <c r="AK567">
        <v>219</v>
      </c>
      <c r="AL567">
        <v>219</v>
      </c>
      <c r="AM567">
        <v>257</v>
      </c>
      <c r="AN567">
        <v>44</v>
      </c>
      <c r="AP567">
        <v>1</v>
      </c>
      <c r="AR567" t="s">
        <v>650</v>
      </c>
      <c r="AS567" s="1">
        <v>44354.350694444445</v>
      </c>
      <c r="AT567" s="1">
        <v>44354.355624999997</v>
      </c>
      <c r="AU567" s="1">
        <v>44354.356446759259</v>
      </c>
      <c r="AV567" t="s">
        <v>71</v>
      </c>
      <c r="AW567" t="s">
        <v>72</v>
      </c>
      <c r="AX567" t="s">
        <v>73</v>
      </c>
    </row>
    <row r="568" spans="1:50" x14ac:dyDescent="0.3">
      <c r="A568" t="str">
        <f>"201009E0200"</f>
        <v>201009E0200</v>
      </c>
      <c r="B568" t="str">
        <f>"201009E02002"</f>
        <v>201009E02002</v>
      </c>
      <c r="C568" t="str">
        <f t="shared" si="25"/>
        <v>20</v>
      </c>
      <c r="D568" t="s">
        <v>67</v>
      </c>
      <c r="E568" t="str">
        <f t="shared" si="26"/>
        <v>003</v>
      </c>
      <c r="F568" t="s">
        <v>511</v>
      </c>
      <c r="G568" t="str">
        <f>"1009"</f>
        <v>1009</v>
      </c>
      <c r="H568" t="str">
        <f>"0002"</f>
        <v>0002</v>
      </c>
      <c r="I568" t="s">
        <v>109</v>
      </c>
      <c r="J568">
        <v>0</v>
      </c>
      <c r="K568">
        <v>1</v>
      </c>
      <c r="L568">
        <v>2</v>
      </c>
      <c r="M568">
        <v>97</v>
      </c>
      <c r="N568">
        <v>409</v>
      </c>
      <c r="O568">
        <v>0</v>
      </c>
      <c r="P568">
        <v>409</v>
      </c>
      <c r="Q568">
        <v>35</v>
      </c>
      <c r="R568">
        <v>87</v>
      </c>
      <c r="S568">
        <v>0</v>
      </c>
      <c r="T568">
        <v>4</v>
      </c>
      <c r="U568">
        <v>0</v>
      </c>
      <c r="V568">
        <v>179</v>
      </c>
      <c r="W568">
        <v>6</v>
      </c>
      <c r="X568">
        <v>91</v>
      </c>
      <c r="Y568">
        <v>1</v>
      </c>
      <c r="Z568">
        <v>0</v>
      </c>
      <c r="AA568">
        <v>0</v>
      </c>
      <c r="AB568">
        <v>0</v>
      </c>
      <c r="AD568">
        <v>0</v>
      </c>
      <c r="AE568">
        <v>0</v>
      </c>
      <c r="AF568">
        <v>0</v>
      </c>
      <c r="AG568">
        <v>0</v>
      </c>
      <c r="AI568">
        <v>0</v>
      </c>
      <c r="AJ568">
        <v>6</v>
      </c>
      <c r="AK568">
        <v>409</v>
      </c>
      <c r="AL568">
        <v>409</v>
      </c>
      <c r="AM568">
        <v>462</v>
      </c>
      <c r="AN568">
        <v>44</v>
      </c>
      <c r="AP568">
        <v>1</v>
      </c>
      <c r="AR568" t="s">
        <v>651</v>
      </c>
      <c r="AS568" s="1">
        <v>44354.350694444445</v>
      </c>
      <c r="AT568" s="1">
        <v>44354.35491898148</v>
      </c>
      <c r="AU568" s="1">
        <v>44354.355416666665</v>
      </c>
      <c r="AV568" t="s">
        <v>71</v>
      </c>
      <c r="AW568" t="s">
        <v>72</v>
      </c>
      <c r="AX568" t="s">
        <v>73</v>
      </c>
    </row>
    <row r="569" spans="1:50" x14ac:dyDescent="0.3">
      <c r="A569" t="str">
        <f>"201050B0000"</f>
        <v>201050B0000</v>
      </c>
      <c r="B569" t="str">
        <f>"201050B00002"</f>
        <v>201050B00002</v>
      </c>
      <c r="C569" t="str">
        <f t="shared" si="25"/>
        <v>20</v>
      </c>
      <c r="D569" t="s">
        <v>67</v>
      </c>
      <c r="E569" t="str">
        <f t="shared" si="26"/>
        <v>003</v>
      </c>
      <c r="F569" t="s">
        <v>511</v>
      </c>
      <c r="G569" t="str">
        <f>"1050"</f>
        <v>1050</v>
      </c>
      <c r="H569" t="str">
        <f>"0000"</f>
        <v>0000</v>
      </c>
      <c r="I569" t="s">
        <v>69</v>
      </c>
      <c r="J569">
        <v>0</v>
      </c>
      <c r="K569">
        <v>1</v>
      </c>
      <c r="L569">
        <v>2</v>
      </c>
      <c r="M569">
        <v>235</v>
      </c>
      <c r="N569">
        <v>264</v>
      </c>
      <c r="O569">
        <v>0</v>
      </c>
      <c r="P569">
        <v>264</v>
      </c>
      <c r="Q569">
        <v>8</v>
      </c>
      <c r="R569">
        <v>34</v>
      </c>
      <c r="S569">
        <v>3</v>
      </c>
      <c r="T569">
        <v>6</v>
      </c>
      <c r="U569">
        <v>8</v>
      </c>
      <c r="V569">
        <v>34</v>
      </c>
      <c r="W569">
        <v>6</v>
      </c>
      <c r="X569">
        <v>124</v>
      </c>
      <c r="Y569">
        <v>22</v>
      </c>
      <c r="Z569">
        <v>0</v>
      </c>
      <c r="AA569">
        <v>0</v>
      </c>
      <c r="AB569">
        <v>4</v>
      </c>
      <c r="AD569">
        <v>0</v>
      </c>
      <c r="AE569">
        <v>2</v>
      </c>
      <c r="AF569">
        <v>0</v>
      </c>
      <c r="AG569">
        <v>0</v>
      </c>
      <c r="AI569">
        <v>0</v>
      </c>
      <c r="AJ569">
        <v>13</v>
      </c>
      <c r="AK569">
        <v>264</v>
      </c>
      <c r="AL569">
        <v>264</v>
      </c>
      <c r="AM569">
        <v>455</v>
      </c>
      <c r="AN569">
        <v>44</v>
      </c>
      <c r="AP569">
        <v>1</v>
      </c>
      <c r="AR569" t="s">
        <v>652</v>
      </c>
      <c r="AS569" s="1">
        <v>44354.05972222222</v>
      </c>
      <c r="AT569" s="1">
        <v>44354.067893518521</v>
      </c>
      <c r="AU569" s="1">
        <v>44354.069004629629</v>
      </c>
      <c r="AV569" t="s">
        <v>71</v>
      </c>
      <c r="AW569" t="s">
        <v>72</v>
      </c>
      <c r="AX569" t="s">
        <v>73</v>
      </c>
    </row>
    <row r="570" spans="1:50" x14ac:dyDescent="0.3">
      <c r="A570" t="str">
        <f>"201050C0100"</f>
        <v>201050C0100</v>
      </c>
      <c r="B570" t="str">
        <f>"201050C01002"</f>
        <v>201050C01002</v>
      </c>
      <c r="C570" t="str">
        <f t="shared" si="25"/>
        <v>20</v>
      </c>
      <c r="D570" t="s">
        <v>67</v>
      </c>
      <c r="E570" t="str">
        <f t="shared" si="26"/>
        <v>003</v>
      </c>
      <c r="F570" t="s">
        <v>511</v>
      </c>
      <c r="G570" t="str">
        <f>"1050"</f>
        <v>1050</v>
      </c>
      <c r="H570" t="str">
        <f>"0001"</f>
        <v>0001</v>
      </c>
      <c r="I570" t="s">
        <v>75</v>
      </c>
      <c r="J570">
        <v>0</v>
      </c>
      <c r="K570">
        <v>1</v>
      </c>
      <c r="L570">
        <v>2</v>
      </c>
      <c r="M570">
        <v>226</v>
      </c>
      <c r="N570">
        <v>272</v>
      </c>
      <c r="O570">
        <v>7</v>
      </c>
      <c r="P570">
        <v>272</v>
      </c>
      <c r="Q570">
        <v>10</v>
      </c>
      <c r="R570">
        <v>39</v>
      </c>
      <c r="S570">
        <v>4</v>
      </c>
      <c r="T570">
        <v>3</v>
      </c>
      <c r="U570">
        <v>4</v>
      </c>
      <c r="V570">
        <v>25</v>
      </c>
      <c r="W570">
        <v>2</v>
      </c>
      <c r="X570">
        <v>143</v>
      </c>
      <c r="Y570">
        <v>16</v>
      </c>
      <c r="Z570">
        <v>3</v>
      </c>
      <c r="AA570">
        <v>2</v>
      </c>
      <c r="AB570">
        <v>5</v>
      </c>
      <c r="AD570">
        <v>1</v>
      </c>
      <c r="AE570">
        <v>2</v>
      </c>
      <c r="AF570">
        <v>0</v>
      </c>
      <c r="AG570">
        <v>0</v>
      </c>
      <c r="AI570">
        <v>0</v>
      </c>
      <c r="AJ570">
        <v>13</v>
      </c>
      <c r="AK570">
        <v>272</v>
      </c>
      <c r="AL570">
        <v>272</v>
      </c>
      <c r="AM570">
        <v>454</v>
      </c>
      <c r="AN570">
        <v>44</v>
      </c>
      <c r="AP570">
        <v>1</v>
      </c>
      <c r="AR570" t="s">
        <v>653</v>
      </c>
      <c r="AS570" s="1">
        <v>44354.058333333334</v>
      </c>
      <c r="AT570" s="1">
        <v>44354.066527777781</v>
      </c>
      <c r="AU570" s="1">
        <v>44354.06695601852</v>
      </c>
      <c r="AV570" t="s">
        <v>71</v>
      </c>
      <c r="AW570" t="s">
        <v>72</v>
      </c>
      <c r="AX570" t="s">
        <v>73</v>
      </c>
    </row>
    <row r="571" spans="1:50" x14ac:dyDescent="0.3">
      <c r="A571" t="str">
        <f>"201080B0000"</f>
        <v>201080B0000</v>
      </c>
      <c r="B571" t="str">
        <f>"201080B00002"</f>
        <v>201080B00002</v>
      </c>
      <c r="C571" t="str">
        <f t="shared" si="25"/>
        <v>20</v>
      </c>
      <c r="D571" t="s">
        <v>67</v>
      </c>
      <c r="E571" t="str">
        <f t="shared" si="26"/>
        <v>003</v>
      </c>
      <c r="F571" t="s">
        <v>511</v>
      </c>
      <c r="G571" t="str">
        <f>"1080"</f>
        <v>1080</v>
      </c>
      <c r="H571" t="str">
        <f>"0000"</f>
        <v>0000</v>
      </c>
      <c r="I571" t="s">
        <v>69</v>
      </c>
      <c r="J571">
        <v>0</v>
      </c>
      <c r="K571">
        <v>1</v>
      </c>
      <c r="L571">
        <v>2</v>
      </c>
      <c r="M571">
        <v>265</v>
      </c>
      <c r="N571">
        <v>281</v>
      </c>
      <c r="O571">
        <v>0</v>
      </c>
      <c r="P571">
        <v>281</v>
      </c>
      <c r="Q571">
        <v>8</v>
      </c>
      <c r="R571">
        <v>76</v>
      </c>
      <c r="S571">
        <v>3</v>
      </c>
      <c r="T571">
        <v>5</v>
      </c>
      <c r="U571">
        <v>2</v>
      </c>
      <c r="V571">
        <v>16</v>
      </c>
      <c r="W571">
        <v>3</v>
      </c>
      <c r="X571">
        <v>84</v>
      </c>
      <c r="Y571">
        <v>55</v>
      </c>
      <c r="Z571">
        <v>6</v>
      </c>
      <c r="AA571">
        <v>4</v>
      </c>
      <c r="AB571">
        <v>5</v>
      </c>
      <c r="AD571">
        <v>0</v>
      </c>
      <c r="AE571">
        <v>1</v>
      </c>
      <c r="AF571">
        <v>0</v>
      </c>
      <c r="AG571">
        <v>0</v>
      </c>
      <c r="AI571">
        <v>0</v>
      </c>
      <c r="AJ571">
        <v>12</v>
      </c>
      <c r="AK571">
        <v>281</v>
      </c>
      <c r="AL571">
        <v>280</v>
      </c>
      <c r="AM571">
        <v>502</v>
      </c>
      <c r="AN571">
        <v>44</v>
      </c>
      <c r="AP571">
        <v>1</v>
      </c>
      <c r="AR571" t="s">
        <v>654</v>
      </c>
      <c r="AS571" s="1">
        <v>44354.049305555556</v>
      </c>
      <c r="AT571" s="1">
        <v>44354.060416666667</v>
      </c>
      <c r="AU571" s="1">
        <v>44354.061006944445</v>
      </c>
      <c r="AV571" t="s">
        <v>71</v>
      </c>
      <c r="AW571" t="s">
        <v>72</v>
      </c>
      <c r="AX571" t="s">
        <v>73</v>
      </c>
    </row>
    <row r="572" spans="1:50" x14ac:dyDescent="0.3">
      <c r="A572" t="str">
        <f>"201080C0100"</f>
        <v>201080C0100</v>
      </c>
      <c r="B572" t="str">
        <f>"201080C01002"</f>
        <v>201080C01002</v>
      </c>
      <c r="C572" t="str">
        <f t="shared" si="25"/>
        <v>20</v>
      </c>
      <c r="D572" t="s">
        <v>67</v>
      </c>
      <c r="E572" t="str">
        <f t="shared" si="26"/>
        <v>003</v>
      </c>
      <c r="F572" t="s">
        <v>511</v>
      </c>
      <c r="G572" t="str">
        <f>"1080"</f>
        <v>1080</v>
      </c>
      <c r="H572" t="str">
        <f>"0001"</f>
        <v>0001</v>
      </c>
      <c r="I572" t="s">
        <v>75</v>
      </c>
      <c r="J572">
        <v>0</v>
      </c>
      <c r="K572">
        <v>1</v>
      </c>
      <c r="L572">
        <v>2</v>
      </c>
      <c r="M572">
        <v>251</v>
      </c>
      <c r="N572">
        <v>294</v>
      </c>
      <c r="O572">
        <v>0</v>
      </c>
      <c r="P572">
        <v>293</v>
      </c>
      <c r="Q572">
        <v>9</v>
      </c>
      <c r="R572">
        <v>77</v>
      </c>
      <c r="S572">
        <v>3</v>
      </c>
      <c r="T572">
        <v>5</v>
      </c>
      <c r="U572">
        <v>1</v>
      </c>
      <c r="V572">
        <v>23</v>
      </c>
      <c r="W572">
        <v>2</v>
      </c>
      <c r="X572">
        <v>106</v>
      </c>
      <c r="Y572">
        <v>44</v>
      </c>
      <c r="Z572">
        <v>9</v>
      </c>
      <c r="AA572">
        <v>1</v>
      </c>
      <c r="AB572">
        <v>9</v>
      </c>
      <c r="AD572">
        <v>0</v>
      </c>
      <c r="AE572">
        <v>0</v>
      </c>
      <c r="AF572">
        <v>0</v>
      </c>
      <c r="AG572">
        <v>0</v>
      </c>
      <c r="AI572">
        <v>0</v>
      </c>
      <c r="AJ572">
        <v>4</v>
      </c>
      <c r="AK572">
        <v>293</v>
      </c>
      <c r="AL572">
        <v>293</v>
      </c>
      <c r="AM572">
        <v>501</v>
      </c>
      <c r="AN572">
        <v>44</v>
      </c>
      <c r="AP572">
        <v>1</v>
      </c>
      <c r="AR572" t="s">
        <v>655</v>
      </c>
      <c r="AS572" s="1">
        <v>44354.049305555556</v>
      </c>
      <c r="AT572" s="1">
        <v>44354.056770833333</v>
      </c>
      <c r="AU572" s="1">
        <v>44354.057430555556</v>
      </c>
      <c r="AV572" t="s">
        <v>71</v>
      </c>
      <c r="AW572" t="s">
        <v>72</v>
      </c>
      <c r="AX572" t="s">
        <v>73</v>
      </c>
    </row>
    <row r="573" spans="1:50" x14ac:dyDescent="0.3">
      <c r="A573" t="str">
        <f>"201081B0000"</f>
        <v>201081B0000</v>
      </c>
      <c r="B573" t="str">
        <f>"201081B00002"</f>
        <v>201081B00002</v>
      </c>
      <c r="C573" t="str">
        <f t="shared" si="25"/>
        <v>20</v>
      </c>
      <c r="D573" t="s">
        <v>67</v>
      </c>
      <c r="E573" t="str">
        <f t="shared" si="26"/>
        <v>003</v>
      </c>
      <c r="F573" t="s">
        <v>511</v>
      </c>
      <c r="G573" t="str">
        <f>"1081"</f>
        <v>1081</v>
      </c>
      <c r="H573" t="str">
        <f>"0000"</f>
        <v>0000</v>
      </c>
      <c r="I573" t="s">
        <v>69</v>
      </c>
      <c r="J573">
        <v>0</v>
      </c>
      <c r="K573">
        <v>1</v>
      </c>
      <c r="L573">
        <v>2</v>
      </c>
      <c r="M573">
        <v>205</v>
      </c>
      <c r="N573">
        <v>260</v>
      </c>
      <c r="O573">
        <v>0</v>
      </c>
      <c r="P573">
        <v>260</v>
      </c>
      <c r="Q573">
        <v>4</v>
      </c>
      <c r="R573">
        <v>55</v>
      </c>
      <c r="S573">
        <v>2</v>
      </c>
      <c r="T573">
        <v>2</v>
      </c>
      <c r="U573">
        <v>5</v>
      </c>
      <c r="V573">
        <v>14</v>
      </c>
      <c r="W573">
        <v>2</v>
      </c>
      <c r="X573">
        <v>103</v>
      </c>
      <c r="Y573">
        <v>47</v>
      </c>
      <c r="Z573">
        <v>3</v>
      </c>
      <c r="AA573">
        <v>1</v>
      </c>
      <c r="AB573">
        <v>15</v>
      </c>
      <c r="AD573">
        <v>0</v>
      </c>
      <c r="AE573">
        <v>1</v>
      </c>
      <c r="AF573">
        <v>0</v>
      </c>
      <c r="AG573">
        <v>0</v>
      </c>
      <c r="AI573">
        <v>0</v>
      </c>
      <c r="AJ573">
        <v>6</v>
      </c>
      <c r="AK573">
        <v>260</v>
      </c>
      <c r="AL573">
        <v>260</v>
      </c>
      <c r="AM573">
        <v>421</v>
      </c>
      <c r="AN573">
        <v>44</v>
      </c>
      <c r="AP573">
        <v>1</v>
      </c>
      <c r="AR573" t="s">
        <v>656</v>
      </c>
      <c r="AS573" s="1">
        <v>44353.984722222223</v>
      </c>
      <c r="AT573" s="1">
        <v>44353.988287037035</v>
      </c>
      <c r="AU573" s="1">
        <v>44353.988807870373</v>
      </c>
      <c r="AV573" t="s">
        <v>71</v>
      </c>
      <c r="AW573" t="s">
        <v>72</v>
      </c>
      <c r="AX573" t="s">
        <v>73</v>
      </c>
    </row>
    <row r="574" spans="1:50" x14ac:dyDescent="0.3">
      <c r="A574" t="str">
        <f>"201081C0100"</f>
        <v>201081C0100</v>
      </c>
      <c r="B574" t="str">
        <f>"201081C01002"</f>
        <v>201081C01002</v>
      </c>
      <c r="C574" t="str">
        <f t="shared" si="25"/>
        <v>20</v>
      </c>
      <c r="D574" t="s">
        <v>67</v>
      </c>
      <c r="E574" t="str">
        <f t="shared" si="26"/>
        <v>003</v>
      </c>
      <c r="F574" t="s">
        <v>511</v>
      </c>
      <c r="G574" t="str">
        <f>"1081"</f>
        <v>1081</v>
      </c>
      <c r="H574" t="str">
        <f>"0001"</f>
        <v>0001</v>
      </c>
      <c r="I574" t="s">
        <v>75</v>
      </c>
      <c r="J574">
        <v>0</v>
      </c>
      <c r="K574">
        <v>1</v>
      </c>
      <c r="L574">
        <v>2</v>
      </c>
      <c r="M574">
        <v>207</v>
      </c>
      <c r="N574">
        <v>257</v>
      </c>
      <c r="O574">
        <v>1</v>
      </c>
      <c r="P574">
        <v>257</v>
      </c>
      <c r="Q574">
        <v>24</v>
      </c>
      <c r="R574">
        <v>38</v>
      </c>
      <c r="S574">
        <v>5</v>
      </c>
      <c r="T574">
        <v>7</v>
      </c>
      <c r="U574">
        <v>3</v>
      </c>
      <c r="V574">
        <v>13</v>
      </c>
      <c r="W574">
        <v>1</v>
      </c>
      <c r="X574">
        <v>99</v>
      </c>
      <c r="Y574">
        <v>47</v>
      </c>
      <c r="Z574">
        <v>3</v>
      </c>
      <c r="AA574">
        <v>1</v>
      </c>
      <c r="AB574">
        <v>11</v>
      </c>
      <c r="AD574">
        <v>0</v>
      </c>
      <c r="AE574">
        <v>0</v>
      </c>
      <c r="AF574">
        <v>0</v>
      </c>
      <c r="AG574">
        <v>0</v>
      </c>
      <c r="AI574">
        <v>0</v>
      </c>
      <c r="AJ574">
        <v>5</v>
      </c>
      <c r="AK574">
        <v>257</v>
      </c>
      <c r="AL574">
        <v>257</v>
      </c>
      <c r="AM574">
        <v>420</v>
      </c>
      <c r="AN574">
        <v>44</v>
      </c>
      <c r="AP574">
        <v>1</v>
      </c>
      <c r="AR574" t="s">
        <v>657</v>
      </c>
      <c r="AS574" s="1">
        <v>44353.984722222223</v>
      </c>
      <c r="AT574" s="1">
        <v>44353.988611111112</v>
      </c>
      <c r="AU574" s="1">
        <v>44353.989363425928</v>
      </c>
      <c r="AV574" t="s">
        <v>71</v>
      </c>
      <c r="AW574" t="s">
        <v>72</v>
      </c>
      <c r="AX574" t="s">
        <v>73</v>
      </c>
    </row>
    <row r="575" spans="1:50" x14ac:dyDescent="0.3">
      <c r="A575" t="str">
        <f>"201081E0100"</f>
        <v>201081E0100</v>
      </c>
      <c r="B575" t="str">
        <f>"201081E01002"</f>
        <v>201081E01002</v>
      </c>
      <c r="C575" t="str">
        <f t="shared" si="25"/>
        <v>20</v>
      </c>
      <c r="D575" t="s">
        <v>67</v>
      </c>
      <c r="E575" t="str">
        <f t="shared" si="26"/>
        <v>003</v>
      </c>
      <c r="F575" t="s">
        <v>511</v>
      </c>
      <c r="G575" t="str">
        <f>"1081"</f>
        <v>1081</v>
      </c>
      <c r="H575" t="str">
        <f>"0001"</f>
        <v>0001</v>
      </c>
      <c r="I575" t="s">
        <v>109</v>
      </c>
      <c r="J575">
        <v>0</v>
      </c>
      <c r="K575">
        <v>1</v>
      </c>
      <c r="L575">
        <v>2</v>
      </c>
      <c r="M575">
        <v>154</v>
      </c>
      <c r="N575">
        <v>182</v>
      </c>
      <c r="O575">
        <v>2</v>
      </c>
      <c r="P575">
        <v>181</v>
      </c>
      <c r="Q575">
        <v>11</v>
      </c>
      <c r="R575">
        <v>38</v>
      </c>
      <c r="S575">
        <v>6</v>
      </c>
      <c r="T575">
        <v>5</v>
      </c>
      <c r="U575">
        <v>8</v>
      </c>
      <c r="V575">
        <v>9</v>
      </c>
      <c r="W575">
        <v>1</v>
      </c>
      <c r="X575">
        <v>55</v>
      </c>
      <c r="Y575">
        <v>26</v>
      </c>
      <c r="Z575">
        <v>3</v>
      </c>
      <c r="AA575">
        <v>6</v>
      </c>
      <c r="AB575">
        <v>8</v>
      </c>
      <c r="AD575">
        <v>1</v>
      </c>
      <c r="AE575">
        <v>0</v>
      </c>
      <c r="AF575">
        <v>0</v>
      </c>
      <c r="AG575">
        <v>0</v>
      </c>
      <c r="AI575">
        <v>0</v>
      </c>
      <c r="AJ575">
        <v>4</v>
      </c>
      <c r="AK575">
        <v>181</v>
      </c>
      <c r="AL575">
        <v>181</v>
      </c>
      <c r="AM575">
        <v>291</v>
      </c>
      <c r="AN575">
        <v>44</v>
      </c>
      <c r="AP575">
        <v>1</v>
      </c>
      <c r="AR575" t="s">
        <v>658</v>
      </c>
      <c r="AS575" s="1">
        <v>44354.049305555556</v>
      </c>
      <c r="AT575" s="1">
        <v>44354.055983796294</v>
      </c>
      <c r="AU575" s="1">
        <v>44354.056180555555</v>
      </c>
      <c r="AV575" t="s">
        <v>71</v>
      </c>
      <c r="AW575" t="s">
        <v>72</v>
      </c>
      <c r="AX575" t="s">
        <v>73</v>
      </c>
    </row>
    <row r="576" spans="1:50" x14ac:dyDescent="0.3">
      <c r="A576" t="str">
        <f>"201081E0200"</f>
        <v>201081E0200</v>
      </c>
      <c r="B576" t="str">
        <f>"201081E02002"</f>
        <v>201081E02002</v>
      </c>
      <c r="C576" t="str">
        <f t="shared" si="25"/>
        <v>20</v>
      </c>
      <c r="D576" t="s">
        <v>67</v>
      </c>
      <c r="E576" t="str">
        <f t="shared" si="26"/>
        <v>003</v>
      </c>
      <c r="F576" t="s">
        <v>511</v>
      </c>
      <c r="G576" t="str">
        <f>"1081"</f>
        <v>1081</v>
      </c>
      <c r="H576" t="str">
        <f>"0002"</f>
        <v>0002</v>
      </c>
      <c r="I576" t="s">
        <v>109</v>
      </c>
      <c r="J576">
        <v>0</v>
      </c>
      <c r="K576">
        <v>1</v>
      </c>
      <c r="L576">
        <v>2</v>
      </c>
      <c r="M576">
        <v>208</v>
      </c>
      <c r="N576">
        <v>231</v>
      </c>
      <c r="O576">
        <v>1</v>
      </c>
      <c r="P576" t="s">
        <v>80</v>
      </c>
      <c r="Q576">
        <v>13</v>
      </c>
      <c r="R576">
        <v>13</v>
      </c>
      <c r="S576">
        <v>3</v>
      </c>
      <c r="T576">
        <v>37</v>
      </c>
      <c r="U576">
        <v>2</v>
      </c>
      <c r="V576">
        <v>31</v>
      </c>
      <c r="W576">
        <v>2</v>
      </c>
      <c r="X576">
        <v>79</v>
      </c>
      <c r="Y576">
        <v>37</v>
      </c>
      <c r="Z576">
        <v>0</v>
      </c>
      <c r="AA576">
        <v>2</v>
      </c>
      <c r="AB576">
        <v>1</v>
      </c>
      <c r="AD576">
        <v>0</v>
      </c>
      <c r="AE576">
        <v>0</v>
      </c>
      <c r="AF576">
        <v>0</v>
      </c>
      <c r="AG576">
        <v>0</v>
      </c>
      <c r="AI576">
        <v>0</v>
      </c>
      <c r="AJ576">
        <v>11</v>
      </c>
      <c r="AK576">
        <v>231</v>
      </c>
      <c r="AL576">
        <v>231</v>
      </c>
      <c r="AM576">
        <v>395</v>
      </c>
      <c r="AN576">
        <v>44</v>
      </c>
      <c r="AP576">
        <v>1</v>
      </c>
      <c r="AR576" t="s">
        <v>659</v>
      </c>
      <c r="AS576" s="1">
        <v>44354.049305555556</v>
      </c>
      <c r="AT576" s="1">
        <v>44354.055613425924</v>
      </c>
      <c r="AU576" s="1">
        <v>44354.056145833332</v>
      </c>
      <c r="AV576" t="s">
        <v>71</v>
      </c>
      <c r="AW576" t="s">
        <v>72</v>
      </c>
      <c r="AX576" t="s">
        <v>73</v>
      </c>
    </row>
    <row r="577" spans="1:50" x14ac:dyDescent="0.3">
      <c r="A577" t="str">
        <f>"201082B0000"</f>
        <v>201082B0000</v>
      </c>
      <c r="B577" t="str">
        <f>"201082B00002"</f>
        <v>201082B00002</v>
      </c>
      <c r="C577" t="str">
        <f t="shared" si="25"/>
        <v>20</v>
      </c>
      <c r="D577" t="s">
        <v>67</v>
      </c>
      <c r="E577" t="str">
        <f t="shared" si="26"/>
        <v>003</v>
      </c>
      <c r="F577" t="s">
        <v>511</v>
      </c>
      <c r="G577" t="str">
        <f>"1082"</f>
        <v>1082</v>
      </c>
      <c r="H577" t="str">
        <f>"0000"</f>
        <v>0000</v>
      </c>
      <c r="I577" t="s">
        <v>69</v>
      </c>
      <c r="J577">
        <v>0</v>
      </c>
      <c r="K577">
        <v>1</v>
      </c>
      <c r="L577">
        <v>2</v>
      </c>
      <c r="M577">
        <v>241</v>
      </c>
      <c r="N577">
        <v>390</v>
      </c>
      <c r="O577">
        <v>0</v>
      </c>
      <c r="P577">
        <v>390</v>
      </c>
      <c r="Q577">
        <v>8</v>
      </c>
      <c r="R577">
        <v>52</v>
      </c>
      <c r="S577">
        <v>16</v>
      </c>
      <c r="T577">
        <v>40</v>
      </c>
      <c r="U577">
        <v>2</v>
      </c>
      <c r="V577">
        <v>23</v>
      </c>
      <c r="W577">
        <v>1</v>
      </c>
      <c r="X577">
        <v>174</v>
      </c>
      <c r="Y577">
        <v>45</v>
      </c>
      <c r="Z577">
        <v>4</v>
      </c>
      <c r="AA577">
        <v>2</v>
      </c>
      <c r="AB577">
        <v>8</v>
      </c>
      <c r="AD577">
        <v>0</v>
      </c>
      <c r="AE577">
        <v>0</v>
      </c>
      <c r="AF577">
        <v>0</v>
      </c>
      <c r="AG577">
        <v>0</v>
      </c>
      <c r="AI577">
        <v>0</v>
      </c>
      <c r="AJ577">
        <v>15</v>
      </c>
      <c r="AK577">
        <v>390</v>
      </c>
      <c r="AL577">
        <v>390</v>
      </c>
      <c r="AM577">
        <v>587</v>
      </c>
      <c r="AN577">
        <v>44</v>
      </c>
      <c r="AP577">
        <v>1</v>
      </c>
      <c r="AR577" t="s">
        <v>660</v>
      </c>
      <c r="AS577" s="1">
        <v>44353.986111111109</v>
      </c>
      <c r="AT577" s="1">
        <v>44353.989641203705</v>
      </c>
      <c r="AU577" s="1">
        <v>44353.990358796298</v>
      </c>
      <c r="AV577" t="s">
        <v>71</v>
      </c>
      <c r="AW577" t="s">
        <v>72</v>
      </c>
      <c r="AX577" t="s">
        <v>73</v>
      </c>
    </row>
    <row r="578" spans="1:50" x14ac:dyDescent="0.3">
      <c r="A578" t="str">
        <f>"201254B0000"</f>
        <v>201254B0000</v>
      </c>
      <c r="B578" t="str">
        <f>"201254B00002"</f>
        <v>201254B00002</v>
      </c>
      <c r="C578" t="str">
        <f t="shared" si="25"/>
        <v>20</v>
      </c>
      <c r="D578" t="s">
        <v>67</v>
      </c>
      <c r="E578" t="str">
        <f t="shared" si="26"/>
        <v>003</v>
      </c>
      <c r="F578" t="s">
        <v>511</v>
      </c>
      <c r="G578" t="str">
        <f>"1254"</f>
        <v>1254</v>
      </c>
      <c r="H578" t="str">
        <f>"0000"</f>
        <v>0000</v>
      </c>
      <c r="I578" t="s">
        <v>69</v>
      </c>
      <c r="J578">
        <v>0</v>
      </c>
      <c r="K578">
        <v>1</v>
      </c>
      <c r="L578">
        <v>2</v>
      </c>
      <c r="M578">
        <v>125</v>
      </c>
      <c r="N578">
        <v>391</v>
      </c>
      <c r="O578">
        <v>0</v>
      </c>
      <c r="P578">
        <v>391</v>
      </c>
      <c r="Q578">
        <v>60</v>
      </c>
      <c r="R578">
        <v>25</v>
      </c>
      <c r="S578">
        <v>15</v>
      </c>
      <c r="T578">
        <v>1</v>
      </c>
      <c r="U578">
        <v>1</v>
      </c>
      <c r="V578">
        <v>1</v>
      </c>
      <c r="W578">
        <v>0</v>
      </c>
      <c r="X578">
        <v>191</v>
      </c>
      <c r="Y578">
        <v>80</v>
      </c>
      <c r="Z578">
        <v>0</v>
      </c>
      <c r="AA578">
        <v>6</v>
      </c>
      <c r="AB578">
        <v>1</v>
      </c>
      <c r="AD578">
        <v>1</v>
      </c>
      <c r="AE578">
        <v>1</v>
      </c>
      <c r="AF578">
        <v>0</v>
      </c>
      <c r="AG578">
        <v>0</v>
      </c>
      <c r="AI578">
        <v>0</v>
      </c>
      <c r="AJ578">
        <v>8</v>
      </c>
      <c r="AK578">
        <v>391</v>
      </c>
      <c r="AL578">
        <v>391</v>
      </c>
      <c r="AM578">
        <v>472</v>
      </c>
      <c r="AN578">
        <v>44</v>
      </c>
      <c r="AP578">
        <v>1</v>
      </c>
      <c r="AR578" t="s">
        <v>661</v>
      </c>
      <c r="AS578" s="1">
        <v>44354.351388888892</v>
      </c>
      <c r="AT578" s="1">
        <v>44354.355752314812</v>
      </c>
      <c r="AU578" s="1">
        <v>44354.356539351851</v>
      </c>
      <c r="AV578" t="s">
        <v>71</v>
      </c>
      <c r="AW578" t="s">
        <v>72</v>
      </c>
      <c r="AX578" t="s">
        <v>73</v>
      </c>
    </row>
    <row r="579" spans="1:50" x14ac:dyDescent="0.3">
      <c r="A579" t="str">
        <f>"201254C0100"</f>
        <v>201254C0100</v>
      </c>
      <c r="B579" t="str">
        <f>"201254C01002"</f>
        <v>201254C01002</v>
      </c>
      <c r="C579" t="str">
        <f t="shared" si="25"/>
        <v>20</v>
      </c>
      <c r="D579" t="s">
        <v>67</v>
      </c>
      <c r="E579" t="str">
        <f t="shared" si="26"/>
        <v>003</v>
      </c>
      <c r="F579" t="s">
        <v>511</v>
      </c>
      <c r="G579" t="str">
        <f>"1254"</f>
        <v>1254</v>
      </c>
      <c r="H579" t="str">
        <f>"0001"</f>
        <v>0001</v>
      </c>
      <c r="I579" t="s">
        <v>75</v>
      </c>
      <c r="J579">
        <v>0</v>
      </c>
      <c r="K579">
        <v>1</v>
      </c>
      <c r="L579">
        <v>2</v>
      </c>
      <c r="M579">
        <v>137</v>
      </c>
      <c r="N579">
        <v>378</v>
      </c>
      <c r="O579">
        <v>2</v>
      </c>
      <c r="P579">
        <v>378</v>
      </c>
      <c r="Q579">
        <v>56</v>
      </c>
      <c r="R579">
        <v>25</v>
      </c>
      <c r="S579">
        <v>7</v>
      </c>
      <c r="T579">
        <v>5</v>
      </c>
      <c r="U579">
        <v>0</v>
      </c>
      <c r="V579">
        <v>1</v>
      </c>
      <c r="W579">
        <v>1</v>
      </c>
      <c r="X579">
        <v>210</v>
      </c>
      <c r="Y579">
        <v>58</v>
      </c>
      <c r="Z579">
        <v>1</v>
      </c>
      <c r="AA579">
        <v>5</v>
      </c>
      <c r="AB579">
        <v>1</v>
      </c>
      <c r="AD579">
        <v>2</v>
      </c>
      <c r="AE579">
        <v>0</v>
      </c>
      <c r="AF579">
        <v>0</v>
      </c>
      <c r="AG579">
        <v>0</v>
      </c>
      <c r="AI579">
        <v>0</v>
      </c>
      <c r="AJ579">
        <v>6</v>
      </c>
      <c r="AK579">
        <v>378</v>
      </c>
      <c r="AL579">
        <v>378</v>
      </c>
      <c r="AM579">
        <v>471</v>
      </c>
      <c r="AN579">
        <v>44</v>
      </c>
      <c r="AP579">
        <v>1</v>
      </c>
      <c r="AR579" t="s">
        <v>662</v>
      </c>
      <c r="AS579" s="1">
        <v>44354.320138888892</v>
      </c>
      <c r="AT579" s="1">
        <v>44354.328622685185</v>
      </c>
      <c r="AU579" s="1">
        <v>44354.329351851855</v>
      </c>
      <c r="AV579" t="s">
        <v>71</v>
      </c>
      <c r="AW579" t="s">
        <v>72</v>
      </c>
      <c r="AX579" t="s">
        <v>73</v>
      </c>
    </row>
    <row r="580" spans="1:50" x14ac:dyDescent="0.3">
      <c r="A580" t="str">
        <f>"201255B0000"</f>
        <v>201255B0000</v>
      </c>
      <c r="B580" t="str">
        <f>"201255B00002"</f>
        <v>201255B00002</v>
      </c>
      <c r="C580" t="str">
        <f t="shared" si="25"/>
        <v>20</v>
      </c>
      <c r="D580" t="s">
        <v>67</v>
      </c>
      <c r="E580" t="str">
        <f t="shared" si="26"/>
        <v>003</v>
      </c>
      <c r="F580" t="s">
        <v>511</v>
      </c>
      <c r="G580" t="str">
        <f>"1255"</f>
        <v>1255</v>
      </c>
      <c r="H580" t="str">
        <f>"0000"</f>
        <v>0000</v>
      </c>
      <c r="I580" t="s">
        <v>69</v>
      </c>
      <c r="J580">
        <v>0</v>
      </c>
      <c r="K580">
        <v>1</v>
      </c>
      <c r="L580">
        <v>2</v>
      </c>
      <c r="M580">
        <v>169</v>
      </c>
      <c r="N580">
        <v>554</v>
      </c>
      <c r="O580">
        <v>4</v>
      </c>
      <c r="P580">
        <v>554</v>
      </c>
      <c r="Q580">
        <v>94</v>
      </c>
      <c r="R580">
        <v>40</v>
      </c>
      <c r="S580">
        <v>17</v>
      </c>
      <c r="T580">
        <v>4</v>
      </c>
      <c r="U580">
        <v>0</v>
      </c>
      <c r="V580">
        <v>3</v>
      </c>
      <c r="W580">
        <v>1</v>
      </c>
      <c r="X580">
        <v>250</v>
      </c>
      <c r="Y580">
        <v>131</v>
      </c>
      <c r="Z580">
        <v>1</v>
      </c>
      <c r="AA580">
        <v>2</v>
      </c>
      <c r="AB580">
        <v>2</v>
      </c>
      <c r="AD580">
        <v>5</v>
      </c>
      <c r="AE580">
        <v>0</v>
      </c>
      <c r="AF580">
        <v>0</v>
      </c>
      <c r="AG580">
        <v>0</v>
      </c>
      <c r="AI580">
        <v>0</v>
      </c>
      <c r="AJ580">
        <v>4</v>
      </c>
      <c r="AK580">
        <v>554</v>
      </c>
      <c r="AL580">
        <v>554</v>
      </c>
      <c r="AM580">
        <v>679</v>
      </c>
      <c r="AN580">
        <v>44</v>
      </c>
      <c r="AP580">
        <v>1</v>
      </c>
      <c r="AR580" t="s">
        <v>663</v>
      </c>
      <c r="AS580" s="1">
        <v>44354.331944444442</v>
      </c>
      <c r="AT580" s="1">
        <v>44354.33494212963</v>
      </c>
      <c r="AU580" s="1">
        <v>44354.335717592592</v>
      </c>
      <c r="AV580" t="s">
        <v>71</v>
      </c>
      <c r="AW580" t="s">
        <v>72</v>
      </c>
      <c r="AX580" t="s">
        <v>73</v>
      </c>
    </row>
    <row r="581" spans="1:50" x14ac:dyDescent="0.3">
      <c r="A581" t="str">
        <f>"201255C0100"</f>
        <v>201255C0100</v>
      </c>
      <c r="B581" t="str">
        <f>"201255C01002"</f>
        <v>201255C01002</v>
      </c>
      <c r="C581" t="str">
        <f t="shared" si="25"/>
        <v>20</v>
      </c>
      <c r="D581" t="s">
        <v>67</v>
      </c>
      <c r="E581" t="str">
        <f t="shared" si="26"/>
        <v>003</v>
      </c>
      <c r="F581" t="s">
        <v>511</v>
      </c>
      <c r="G581" t="str">
        <f>"1255"</f>
        <v>1255</v>
      </c>
      <c r="H581" t="str">
        <f>"0001"</f>
        <v>0001</v>
      </c>
      <c r="I581" t="s">
        <v>75</v>
      </c>
      <c r="J581">
        <v>0</v>
      </c>
      <c r="K581">
        <v>1</v>
      </c>
      <c r="L581">
        <v>2</v>
      </c>
      <c r="M581" t="s">
        <v>80</v>
      </c>
      <c r="N581" t="s">
        <v>80</v>
      </c>
      <c r="O581" t="s">
        <v>80</v>
      </c>
      <c r="P581" t="s">
        <v>80</v>
      </c>
      <c r="Q581">
        <v>87</v>
      </c>
      <c r="R581">
        <v>51</v>
      </c>
      <c r="S581">
        <v>22</v>
      </c>
      <c r="T581">
        <v>10</v>
      </c>
      <c r="U581">
        <v>1</v>
      </c>
      <c r="V581">
        <v>3</v>
      </c>
      <c r="W581">
        <v>0</v>
      </c>
      <c r="X581">
        <v>253</v>
      </c>
      <c r="Y581">
        <v>84</v>
      </c>
      <c r="Z581">
        <v>2</v>
      </c>
      <c r="AA581">
        <v>9</v>
      </c>
      <c r="AB581">
        <v>3</v>
      </c>
      <c r="AD581">
        <v>4</v>
      </c>
      <c r="AE581">
        <v>1</v>
      </c>
      <c r="AF581">
        <v>0</v>
      </c>
      <c r="AG581">
        <v>0</v>
      </c>
      <c r="AI581">
        <v>0</v>
      </c>
      <c r="AJ581">
        <v>8</v>
      </c>
      <c r="AK581">
        <v>538</v>
      </c>
      <c r="AL581">
        <v>538</v>
      </c>
      <c r="AM581">
        <v>678</v>
      </c>
      <c r="AN581">
        <v>44</v>
      </c>
      <c r="AP581">
        <v>1</v>
      </c>
      <c r="AR581" t="s">
        <v>664</v>
      </c>
      <c r="AS581" s="1">
        <v>44354.270833333336</v>
      </c>
      <c r="AT581" s="1">
        <v>44354.273773148147</v>
      </c>
      <c r="AU581" s="1">
        <v>44354.274340277778</v>
      </c>
      <c r="AV581" t="s">
        <v>71</v>
      </c>
      <c r="AW581" t="s">
        <v>72</v>
      </c>
      <c r="AX581" t="s">
        <v>73</v>
      </c>
    </row>
    <row r="582" spans="1:50" x14ac:dyDescent="0.3">
      <c r="A582" t="str">
        <f>"201256B0000"</f>
        <v>201256B0000</v>
      </c>
      <c r="B582" t="str">
        <f>"201256B00002"</f>
        <v>201256B00002</v>
      </c>
      <c r="C582" t="str">
        <f t="shared" si="25"/>
        <v>20</v>
      </c>
      <c r="D582" t="s">
        <v>67</v>
      </c>
      <c r="E582" t="str">
        <f t="shared" si="26"/>
        <v>003</v>
      </c>
      <c r="F582" t="s">
        <v>511</v>
      </c>
      <c r="G582" t="str">
        <f>"1256"</f>
        <v>1256</v>
      </c>
      <c r="H582" t="str">
        <f>"0000"</f>
        <v>0000</v>
      </c>
      <c r="I582" t="s">
        <v>69</v>
      </c>
      <c r="J582">
        <v>0</v>
      </c>
      <c r="K582">
        <v>1</v>
      </c>
      <c r="L582">
        <v>2</v>
      </c>
      <c r="M582">
        <v>157</v>
      </c>
      <c r="N582">
        <v>515</v>
      </c>
      <c r="O582">
        <v>0</v>
      </c>
      <c r="P582">
        <v>515</v>
      </c>
      <c r="Q582">
        <v>93</v>
      </c>
      <c r="R582">
        <v>30</v>
      </c>
      <c r="S582">
        <v>12</v>
      </c>
      <c r="T582">
        <v>5</v>
      </c>
      <c r="U582">
        <v>2</v>
      </c>
      <c r="V582">
        <v>5</v>
      </c>
      <c r="W582">
        <v>1</v>
      </c>
      <c r="X582">
        <v>261</v>
      </c>
      <c r="Y582">
        <v>80</v>
      </c>
      <c r="Z582">
        <v>0</v>
      </c>
      <c r="AA582">
        <v>7</v>
      </c>
      <c r="AB582">
        <v>1</v>
      </c>
      <c r="AD582">
        <v>4</v>
      </c>
      <c r="AE582">
        <v>1</v>
      </c>
      <c r="AF582">
        <v>0</v>
      </c>
      <c r="AG582">
        <v>0</v>
      </c>
      <c r="AI582">
        <v>0</v>
      </c>
      <c r="AJ582">
        <v>13</v>
      </c>
      <c r="AK582">
        <v>515</v>
      </c>
      <c r="AL582">
        <v>515</v>
      </c>
      <c r="AM582">
        <v>628</v>
      </c>
      <c r="AN582">
        <v>44</v>
      </c>
      <c r="AP582">
        <v>1</v>
      </c>
      <c r="AR582" t="s">
        <v>665</v>
      </c>
      <c r="AS582" s="1">
        <v>44353.8125</v>
      </c>
      <c r="AT582" s="1">
        <v>44354.328194444446</v>
      </c>
      <c r="AU582" s="1">
        <v>44354.329085648147</v>
      </c>
      <c r="AV582" t="s">
        <v>71</v>
      </c>
      <c r="AW582" t="s">
        <v>72</v>
      </c>
      <c r="AX582" t="s">
        <v>73</v>
      </c>
    </row>
    <row r="583" spans="1:50" x14ac:dyDescent="0.3">
      <c r="A583" t="str">
        <f>"201256C0100"</f>
        <v>201256C0100</v>
      </c>
      <c r="B583" t="str">
        <f>"201256C01002"</f>
        <v>201256C01002</v>
      </c>
      <c r="C583" t="str">
        <f t="shared" ref="C583:C646" si="27">"20"</f>
        <v>20</v>
      </c>
      <c r="D583" t="s">
        <v>67</v>
      </c>
      <c r="E583" t="str">
        <f t="shared" si="26"/>
        <v>003</v>
      </c>
      <c r="F583" t="s">
        <v>511</v>
      </c>
      <c r="G583" t="str">
        <f>"1256"</f>
        <v>1256</v>
      </c>
      <c r="H583" t="str">
        <f>"0001"</f>
        <v>0001</v>
      </c>
      <c r="I583" t="s">
        <v>75</v>
      </c>
      <c r="J583">
        <v>0</v>
      </c>
      <c r="K583">
        <v>1</v>
      </c>
      <c r="L583">
        <v>2</v>
      </c>
      <c r="M583">
        <v>184</v>
      </c>
      <c r="N583">
        <v>488</v>
      </c>
      <c r="O583">
        <v>1</v>
      </c>
      <c r="P583">
        <v>488</v>
      </c>
      <c r="Q583">
        <v>88</v>
      </c>
      <c r="R583">
        <v>31</v>
      </c>
      <c r="S583">
        <v>11</v>
      </c>
      <c r="T583">
        <v>2</v>
      </c>
      <c r="U583">
        <v>2</v>
      </c>
      <c r="V583">
        <v>1</v>
      </c>
      <c r="W583">
        <v>2</v>
      </c>
      <c r="X583">
        <v>270</v>
      </c>
      <c r="Y583">
        <v>59</v>
      </c>
      <c r="Z583">
        <v>0</v>
      </c>
      <c r="AA583">
        <v>7</v>
      </c>
      <c r="AB583">
        <v>1</v>
      </c>
      <c r="AD583">
        <v>4</v>
      </c>
      <c r="AE583">
        <v>1</v>
      </c>
      <c r="AF583">
        <v>0</v>
      </c>
      <c r="AG583">
        <v>0</v>
      </c>
      <c r="AI583">
        <v>0</v>
      </c>
      <c r="AJ583">
        <v>9</v>
      </c>
      <c r="AK583">
        <v>488</v>
      </c>
      <c r="AL583">
        <v>488</v>
      </c>
      <c r="AM583">
        <v>628</v>
      </c>
      <c r="AN583">
        <v>44</v>
      </c>
      <c r="AP583">
        <v>1</v>
      </c>
      <c r="AR583" t="s">
        <v>666</v>
      </c>
      <c r="AS583" s="1">
        <v>44354.268750000003</v>
      </c>
      <c r="AT583" s="1">
        <v>44354.273715277777</v>
      </c>
      <c r="AU583" s="1">
        <v>44354.274351851855</v>
      </c>
      <c r="AV583" t="s">
        <v>71</v>
      </c>
      <c r="AW583" t="s">
        <v>72</v>
      </c>
      <c r="AX583" t="s">
        <v>73</v>
      </c>
    </row>
    <row r="584" spans="1:50" x14ac:dyDescent="0.3">
      <c r="A584" t="str">
        <f>"201257B0000"</f>
        <v>201257B0000</v>
      </c>
      <c r="B584" t="str">
        <f>"201257B00002"</f>
        <v>201257B00002</v>
      </c>
      <c r="C584" t="str">
        <f t="shared" si="27"/>
        <v>20</v>
      </c>
      <c r="D584" t="s">
        <v>67</v>
      </c>
      <c r="E584" t="str">
        <f t="shared" si="26"/>
        <v>003</v>
      </c>
      <c r="F584" t="s">
        <v>511</v>
      </c>
      <c r="G584" t="str">
        <f>"1257"</f>
        <v>1257</v>
      </c>
      <c r="H584" t="str">
        <f>"0000"</f>
        <v>0000</v>
      </c>
      <c r="I584" t="s">
        <v>69</v>
      </c>
      <c r="J584">
        <v>0</v>
      </c>
      <c r="K584">
        <v>1</v>
      </c>
      <c r="L584">
        <v>2</v>
      </c>
      <c r="M584">
        <v>134</v>
      </c>
      <c r="N584">
        <v>454</v>
      </c>
      <c r="O584">
        <v>3</v>
      </c>
      <c r="P584">
        <v>454</v>
      </c>
      <c r="Q584">
        <v>106</v>
      </c>
      <c r="R584">
        <v>35</v>
      </c>
      <c r="S584">
        <v>12</v>
      </c>
      <c r="T584">
        <v>6</v>
      </c>
      <c r="U584">
        <v>0</v>
      </c>
      <c r="V584">
        <v>3</v>
      </c>
      <c r="W584">
        <v>1</v>
      </c>
      <c r="X584">
        <v>212</v>
      </c>
      <c r="Y584">
        <v>50</v>
      </c>
      <c r="Z584">
        <v>2</v>
      </c>
      <c r="AA584">
        <v>7</v>
      </c>
      <c r="AB584">
        <v>2</v>
      </c>
      <c r="AD584">
        <v>2</v>
      </c>
      <c r="AE584">
        <v>3</v>
      </c>
      <c r="AF584">
        <v>0</v>
      </c>
      <c r="AG584">
        <v>0</v>
      </c>
      <c r="AI584">
        <v>0</v>
      </c>
      <c r="AJ584">
        <v>13</v>
      </c>
      <c r="AK584">
        <v>454</v>
      </c>
      <c r="AL584">
        <v>454</v>
      </c>
      <c r="AM584">
        <v>544</v>
      </c>
      <c r="AN584">
        <v>44</v>
      </c>
      <c r="AP584">
        <v>1</v>
      </c>
      <c r="AR584" t="s">
        <v>667</v>
      </c>
      <c r="AS584" s="1">
        <v>44354.269444444442</v>
      </c>
      <c r="AT584" s="1">
        <v>44354.271909722222</v>
      </c>
      <c r="AU584" s="1">
        <v>44354.272407407407</v>
      </c>
      <c r="AV584" t="s">
        <v>71</v>
      </c>
      <c r="AW584" t="s">
        <v>72</v>
      </c>
      <c r="AX584" t="s">
        <v>73</v>
      </c>
    </row>
    <row r="585" spans="1:50" x14ac:dyDescent="0.3">
      <c r="A585" t="str">
        <f>"201257C0100"</f>
        <v>201257C0100</v>
      </c>
      <c r="B585" t="str">
        <f>"201257C01002"</f>
        <v>201257C01002</v>
      </c>
      <c r="C585" t="str">
        <f t="shared" si="27"/>
        <v>20</v>
      </c>
      <c r="D585" t="s">
        <v>67</v>
      </c>
      <c r="E585" t="str">
        <f t="shared" si="26"/>
        <v>003</v>
      </c>
      <c r="F585" t="s">
        <v>511</v>
      </c>
      <c r="G585" t="str">
        <f>"1257"</f>
        <v>1257</v>
      </c>
      <c r="H585" t="str">
        <f>"0001"</f>
        <v>0001</v>
      </c>
      <c r="I585" t="s">
        <v>75</v>
      </c>
      <c r="J585">
        <v>0</v>
      </c>
      <c r="K585">
        <v>1</v>
      </c>
      <c r="L585">
        <v>2</v>
      </c>
      <c r="M585">
        <v>160</v>
      </c>
      <c r="N585">
        <v>427</v>
      </c>
      <c r="O585">
        <v>2</v>
      </c>
      <c r="P585">
        <v>427</v>
      </c>
      <c r="Q585">
        <v>91</v>
      </c>
      <c r="R585">
        <v>40</v>
      </c>
      <c r="S585">
        <v>15</v>
      </c>
      <c r="T585">
        <v>3</v>
      </c>
      <c r="U585">
        <v>4</v>
      </c>
      <c r="V585">
        <v>1</v>
      </c>
      <c r="W585">
        <v>0</v>
      </c>
      <c r="X585">
        <v>200</v>
      </c>
      <c r="Y585">
        <v>53</v>
      </c>
      <c r="Z585">
        <v>0</v>
      </c>
      <c r="AA585">
        <v>3</v>
      </c>
      <c r="AB585">
        <v>0</v>
      </c>
      <c r="AD585">
        <v>3</v>
      </c>
      <c r="AE585">
        <v>2</v>
      </c>
      <c r="AF585">
        <v>0</v>
      </c>
      <c r="AG585">
        <v>0</v>
      </c>
      <c r="AI585">
        <v>0</v>
      </c>
      <c r="AJ585">
        <v>12</v>
      </c>
      <c r="AK585">
        <v>427</v>
      </c>
      <c r="AL585">
        <v>427</v>
      </c>
      <c r="AM585">
        <v>543</v>
      </c>
      <c r="AN585">
        <v>44</v>
      </c>
      <c r="AP585">
        <v>1</v>
      </c>
      <c r="AR585" t="s">
        <v>668</v>
      </c>
      <c r="AS585" s="1">
        <v>44354.274305555555</v>
      </c>
      <c r="AT585" s="1">
        <v>44354.277013888888</v>
      </c>
      <c r="AU585" s="1">
        <v>44354.277905092589</v>
      </c>
      <c r="AV585" t="s">
        <v>71</v>
      </c>
      <c r="AW585" t="s">
        <v>72</v>
      </c>
      <c r="AX585" t="s">
        <v>73</v>
      </c>
    </row>
    <row r="586" spans="1:50" x14ac:dyDescent="0.3">
      <c r="A586" t="str">
        <f>"201258B0000"</f>
        <v>201258B0000</v>
      </c>
      <c r="B586" t="str">
        <f>"201258B00002"</f>
        <v>201258B00002</v>
      </c>
      <c r="C586" t="str">
        <f t="shared" si="27"/>
        <v>20</v>
      </c>
      <c r="D586" t="s">
        <v>67</v>
      </c>
      <c r="E586" t="str">
        <f t="shared" si="26"/>
        <v>003</v>
      </c>
      <c r="F586" t="s">
        <v>511</v>
      </c>
      <c r="G586" t="str">
        <f>"1258"</f>
        <v>1258</v>
      </c>
      <c r="H586" t="str">
        <f>"0000"</f>
        <v>0000</v>
      </c>
      <c r="I586" t="s">
        <v>69</v>
      </c>
      <c r="J586">
        <v>0</v>
      </c>
      <c r="K586">
        <v>1</v>
      </c>
      <c r="L586">
        <v>2</v>
      </c>
      <c r="M586">
        <v>154</v>
      </c>
      <c r="N586">
        <v>494</v>
      </c>
      <c r="O586">
        <v>3</v>
      </c>
      <c r="P586">
        <v>494</v>
      </c>
      <c r="Q586">
        <v>149</v>
      </c>
      <c r="R586">
        <v>41</v>
      </c>
      <c r="S586">
        <v>1</v>
      </c>
      <c r="T586">
        <v>2</v>
      </c>
      <c r="U586">
        <v>1</v>
      </c>
      <c r="V586">
        <v>4</v>
      </c>
      <c r="W586">
        <v>2</v>
      </c>
      <c r="X586">
        <v>160</v>
      </c>
      <c r="Y586">
        <v>111</v>
      </c>
      <c r="Z586">
        <v>1</v>
      </c>
      <c r="AA586">
        <v>7</v>
      </c>
      <c r="AB586">
        <v>1</v>
      </c>
      <c r="AD586">
        <v>2</v>
      </c>
      <c r="AE586">
        <v>0</v>
      </c>
      <c r="AF586">
        <v>0</v>
      </c>
      <c r="AG586">
        <v>0</v>
      </c>
      <c r="AI586">
        <v>0</v>
      </c>
      <c r="AJ586">
        <v>12</v>
      </c>
      <c r="AK586">
        <v>494</v>
      </c>
      <c r="AL586">
        <v>494</v>
      </c>
      <c r="AM586">
        <v>604</v>
      </c>
      <c r="AN586">
        <v>44</v>
      </c>
      <c r="AP586">
        <v>1</v>
      </c>
      <c r="AR586" t="s">
        <v>669</v>
      </c>
      <c r="AS586" s="1">
        <v>44354.287499999999</v>
      </c>
      <c r="AT586" s="1">
        <v>44354.291006944448</v>
      </c>
      <c r="AU586" s="1">
        <v>44354.291643518518</v>
      </c>
      <c r="AV586" t="s">
        <v>71</v>
      </c>
      <c r="AW586" t="s">
        <v>72</v>
      </c>
      <c r="AX586" t="s">
        <v>73</v>
      </c>
    </row>
    <row r="587" spans="1:50" x14ac:dyDescent="0.3">
      <c r="A587" t="str">
        <f>"201258E0100"</f>
        <v>201258E0100</v>
      </c>
      <c r="B587" t="str">
        <f>"201258E01002"</f>
        <v>201258E01002</v>
      </c>
      <c r="C587" t="str">
        <f t="shared" si="27"/>
        <v>20</v>
      </c>
      <c r="D587" t="s">
        <v>67</v>
      </c>
      <c r="E587" t="str">
        <f t="shared" si="26"/>
        <v>003</v>
      </c>
      <c r="F587" t="s">
        <v>511</v>
      </c>
      <c r="G587" t="str">
        <f>"1258"</f>
        <v>1258</v>
      </c>
      <c r="H587" t="str">
        <f>"0001"</f>
        <v>0001</v>
      </c>
      <c r="I587" t="s">
        <v>109</v>
      </c>
      <c r="J587">
        <v>0</v>
      </c>
      <c r="K587">
        <v>1</v>
      </c>
      <c r="L587">
        <v>2</v>
      </c>
      <c r="M587">
        <v>109</v>
      </c>
      <c r="N587">
        <v>382</v>
      </c>
      <c r="O587">
        <v>1</v>
      </c>
      <c r="P587">
        <v>382</v>
      </c>
      <c r="Q587">
        <v>65</v>
      </c>
      <c r="R587">
        <v>49</v>
      </c>
      <c r="S587">
        <v>6</v>
      </c>
      <c r="T587">
        <v>3</v>
      </c>
      <c r="U587">
        <v>0</v>
      </c>
      <c r="V587">
        <v>3</v>
      </c>
      <c r="W587">
        <v>1</v>
      </c>
      <c r="X587">
        <v>159</v>
      </c>
      <c r="Y587">
        <v>84</v>
      </c>
      <c r="Z587">
        <v>1</v>
      </c>
      <c r="AA587">
        <v>2</v>
      </c>
      <c r="AB587">
        <v>4</v>
      </c>
      <c r="AD587">
        <v>0</v>
      </c>
      <c r="AE587">
        <v>0</v>
      </c>
      <c r="AF587">
        <v>0</v>
      </c>
      <c r="AG587">
        <v>0</v>
      </c>
      <c r="AI587">
        <v>0</v>
      </c>
      <c r="AJ587">
        <v>5</v>
      </c>
      <c r="AK587">
        <v>382</v>
      </c>
      <c r="AL587">
        <v>382</v>
      </c>
      <c r="AM587">
        <v>447</v>
      </c>
      <c r="AN587">
        <v>44</v>
      </c>
      <c r="AP587">
        <v>1</v>
      </c>
      <c r="AR587" t="s">
        <v>670</v>
      </c>
      <c r="AS587" s="1">
        <v>44354.320833333331</v>
      </c>
      <c r="AT587" s="1">
        <v>44354.323888888888</v>
      </c>
      <c r="AU587" s="1">
        <v>44354.324953703705</v>
      </c>
      <c r="AV587" t="s">
        <v>71</v>
      </c>
      <c r="AW587" t="s">
        <v>72</v>
      </c>
      <c r="AX587" t="s">
        <v>73</v>
      </c>
    </row>
    <row r="588" spans="1:50" x14ac:dyDescent="0.3">
      <c r="A588" t="str">
        <f>"201258E0200"</f>
        <v>201258E0200</v>
      </c>
      <c r="B588" t="str">
        <f>"201258E02002"</f>
        <v>201258E02002</v>
      </c>
      <c r="C588" t="str">
        <f t="shared" si="27"/>
        <v>20</v>
      </c>
      <c r="D588" t="s">
        <v>67</v>
      </c>
      <c r="E588" t="str">
        <f t="shared" si="26"/>
        <v>003</v>
      </c>
      <c r="F588" t="s">
        <v>511</v>
      </c>
      <c r="G588" t="str">
        <f>"1258"</f>
        <v>1258</v>
      </c>
      <c r="H588" t="str">
        <f>"0002"</f>
        <v>0002</v>
      </c>
      <c r="I588" t="s">
        <v>109</v>
      </c>
      <c r="J588">
        <v>0</v>
      </c>
      <c r="K588">
        <v>1</v>
      </c>
      <c r="L588">
        <v>2</v>
      </c>
      <c r="M588">
        <v>111</v>
      </c>
      <c r="N588">
        <v>374</v>
      </c>
      <c r="O588">
        <v>2</v>
      </c>
      <c r="P588">
        <v>374</v>
      </c>
      <c r="Q588">
        <v>83</v>
      </c>
      <c r="R588">
        <v>57</v>
      </c>
      <c r="S588">
        <v>27</v>
      </c>
      <c r="T588">
        <v>0</v>
      </c>
      <c r="U588">
        <v>0</v>
      </c>
      <c r="V588">
        <v>2</v>
      </c>
      <c r="W588">
        <v>0</v>
      </c>
      <c r="X588">
        <v>148</v>
      </c>
      <c r="Y588">
        <v>42</v>
      </c>
      <c r="Z588">
        <v>3</v>
      </c>
      <c r="AA588">
        <v>4</v>
      </c>
      <c r="AB588">
        <v>0</v>
      </c>
      <c r="AD588">
        <v>0</v>
      </c>
      <c r="AE588">
        <v>0</v>
      </c>
      <c r="AF588">
        <v>0</v>
      </c>
      <c r="AG588">
        <v>0</v>
      </c>
      <c r="AI588">
        <v>0</v>
      </c>
      <c r="AJ588">
        <v>8</v>
      </c>
      <c r="AK588">
        <v>374</v>
      </c>
      <c r="AL588">
        <v>374</v>
      </c>
      <c r="AM588">
        <v>441</v>
      </c>
      <c r="AN588">
        <v>44</v>
      </c>
      <c r="AP588">
        <v>1</v>
      </c>
      <c r="AR588" t="s">
        <v>671</v>
      </c>
      <c r="AS588" s="1">
        <v>44354.406944444447</v>
      </c>
      <c r="AT588" s="1">
        <v>44354.409814814811</v>
      </c>
      <c r="AU588" s="1">
        <v>44354.410428240742</v>
      </c>
      <c r="AV588" t="s">
        <v>71</v>
      </c>
      <c r="AW588" t="s">
        <v>72</v>
      </c>
      <c r="AX588" t="s">
        <v>73</v>
      </c>
    </row>
    <row r="589" spans="1:50" x14ac:dyDescent="0.3">
      <c r="A589" t="str">
        <f>"201259B0000"</f>
        <v>201259B0000</v>
      </c>
      <c r="B589" t="str">
        <f>"201259B00002"</f>
        <v>201259B00002</v>
      </c>
      <c r="C589" t="str">
        <f t="shared" si="27"/>
        <v>20</v>
      </c>
      <c r="D589" t="s">
        <v>67</v>
      </c>
      <c r="E589" t="str">
        <f t="shared" si="26"/>
        <v>003</v>
      </c>
      <c r="F589" t="s">
        <v>511</v>
      </c>
      <c r="G589" t="str">
        <f>"1259"</f>
        <v>1259</v>
      </c>
      <c r="H589" t="str">
        <f>"0000"</f>
        <v>0000</v>
      </c>
      <c r="I589" t="s">
        <v>69</v>
      </c>
      <c r="J589">
        <v>0</v>
      </c>
      <c r="K589">
        <v>1</v>
      </c>
      <c r="L589">
        <v>2</v>
      </c>
      <c r="M589">
        <v>117</v>
      </c>
      <c r="N589" t="s">
        <v>99</v>
      </c>
      <c r="O589">
        <v>3</v>
      </c>
      <c r="P589" t="s">
        <v>99</v>
      </c>
      <c r="Q589">
        <v>128</v>
      </c>
      <c r="R589">
        <v>63</v>
      </c>
      <c r="S589">
        <v>15</v>
      </c>
      <c r="T589">
        <v>13</v>
      </c>
      <c r="U589">
        <v>0</v>
      </c>
      <c r="V589">
        <v>2</v>
      </c>
      <c r="W589">
        <v>0</v>
      </c>
      <c r="X589">
        <v>137</v>
      </c>
      <c r="Y589">
        <v>38</v>
      </c>
      <c r="Z589">
        <v>1</v>
      </c>
      <c r="AA589">
        <v>3</v>
      </c>
      <c r="AB589">
        <v>1</v>
      </c>
      <c r="AD589">
        <v>1</v>
      </c>
      <c r="AE589">
        <v>0</v>
      </c>
      <c r="AF589">
        <v>1</v>
      </c>
      <c r="AG589">
        <v>0</v>
      </c>
      <c r="AI589">
        <v>0</v>
      </c>
      <c r="AJ589">
        <v>3</v>
      </c>
      <c r="AK589">
        <v>406</v>
      </c>
      <c r="AL589">
        <v>406</v>
      </c>
      <c r="AM589">
        <v>479</v>
      </c>
      <c r="AN589">
        <v>44</v>
      </c>
      <c r="AP589">
        <v>1</v>
      </c>
      <c r="AR589" t="s">
        <v>672</v>
      </c>
      <c r="AS589" s="1">
        <v>44354.365972222222</v>
      </c>
      <c r="AT589" s="1">
        <v>44354.37232638889</v>
      </c>
      <c r="AU589" s="1">
        <v>44354.374560185184</v>
      </c>
      <c r="AV589" t="s">
        <v>71</v>
      </c>
      <c r="AW589" t="s">
        <v>72</v>
      </c>
      <c r="AX589" t="s">
        <v>73</v>
      </c>
    </row>
    <row r="590" spans="1:50" x14ac:dyDescent="0.3">
      <c r="A590" t="str">
        <f>"201259E0100"</f>
        <v>201259E0100</v>
      </c>
      <c r="B590" t="str">
        <f>"201259E01002"</f>
        <v>201259E01002</v>
      </c>
      <c r="C590" t="str">
        <f t="shared" si="27"/>
        <v>20</v>
      </c>
      <c r="D590" t="s">
        <v>67</v>
      </c>
      <c r="E590" t="str">
        <f t="shared" si="26"/>
        <v>003</v>
      </c>
      <c r="F590" t="s">
        <v>511</v>
      </c>
      <c r="G590" t="str">
        <f>"1259"</f>
        <v>1259</v>
      </c>
      <c r="H590" t="str">
        <f>"0001"</f>
        <v>0001</v>
      </c>
      <c r="I590" t="s">
        <v>109</v>
      </c>
      <c r="J590">
        <v>0</v>
      </c>
      <c r="K590">
        <v>1</v>
      </c>
      <c r="L590">
        <v>2</v>
      </c>
      <c r="M590">
        <v>91</v>
      </c>
      <c r="N590">
        <v>289</v>
      </c>
      <c r="O590">
        <v>1</v>
      </c>
      <c r="P590">
        <v>289</v>
      </c>
      <c r="Q590">
        <v>33</v>
      </c>
      <c r="R590">
        <v>0</v>
      </c>
      <c r="S590">
        <v>0</v>
      </c>
      <c r="T590">
        <v>5</v>
      </c>
      <c r="U590">
        <v>1</v>
      </c>
      <c r="V590">
        <v>1</v>
      </c>
      <c r="W590">
        <v>1</v>
      </c>
      <c r="X590">
        <v>94</v>
      </c>
      <c r="Y590">
        <v>133</v>
      </c>
      <c r="Z590">
        <v>1</v>
      </c>
      <c r="AA590">
        <v>2</v>
      </c>
      <c r="AB590">
        <v>1</v>
      </c>
      <c r="AD590">
        <v>1</v>
      </c>
      <c r="AE590">
        <v>0</v>
      </c>
      <c r="AF590">
        <v>0</v>
      </c>
      <c r="AG590">
        <v>0</v>
      </c>
      <c r="AI590">
        <v>0</v>
      </c>
      <c r="AJ590">
        <v>4</v>
      </c>
      <c r="AK590">
        <v>289</v>
      </c>
      <c r="AL590">
        <v>277</v>
      </c>
      <c r="AM590">
        <v>336</v>
      </c>
      <c r="AN590">
        <v>44</v>
      </c>
      <c r="AP590">
        <v>1</v>
      </c>
      <c r="AR590" t="s">
        <v>673</v>
      </c>
      <c r="AS590" s="1">
        <v>44354.406944444447</v>
      </c>
      <c r="AT590" s="1">
        <v>44354.409884259258</v>
      </c>
      <c r="AU590" s="1">
        <v>44354.41028935185</v>
      </c>
      <c r="AV590" t="s">
        <v>71</v>
      </c>
      <c r="AW590" t="s">
        <v>72</v>
      </c>
      <c r="AX590" t="s">
        <v>73</v>
      </c>
    </row>
    <row r="591" spans="1:50" x14ac:dyDescent="0.3">
      <c r="A591" t="str">
        <f>"201259E0200"</f>
        <v>201259E0200</v>
      </c>
      <c r="B591" t="str">
        <f>"201259E02002"</f>
        <v>201259E02002</v>
      </c>
      <c r="C591" t="str">
        <f t="shared" si="27"/>
        <v>20</v>
      </c>
      <c r="D591" t="s">
        <v>67</v>
      </c>
      <c r="E591" t="str">
        <f t="shared" si="26"/>
        <v>003</v>
      </c>
      <c r="F591" t="s">
        <v>511</v>
      </c>
      <c r="G591" t="str">
        <f>"1259"</f>
        <v>1259</v>
      </c>
      <c r="H591" t="str">
        <f>"0002"</f>
        <v>0002</v>
      </c>
      <c r="I591" t="s">
        <v>109</v>
      </c>
      <c r="J591">
        <v>0</v>
      </c>
      <c r="K591">
        <v>1</v>
      </c>
      <c r="L591">
        <v>2</v>
      </c>
      <c r="M591">
        <v>109</v>
      </c>
      <c r="N591">
        <v>422</v>
      </c>
      <c r="O591">
        <v>0</v>
      </c>
      <c r="P591">
        <v>422</v>
      </c>
      <c r="Q591">
        <v>92</v>
      </c>
      <c r="R591">
        <v>22</v>
      </c>
      <c r="S591">
        <v>4</v>
      </c>
      <c r="T591">
        <v>1</v>
      </c>
      <c r="U591">
        <v>0</v>
      </c>
      <c r="V591">
        <v>6</v>
      </c>
      <c r="W591">
        <v>1</v>
      </c>
      <c r="X591">
        <v>211</v>
      </c>
      <c r="Y591">
        <v>71</v>
      </c>
      <c r="Z591">
        <v>0</v>
      </c>
      <c r="AA591">
        <v>3</v>
      </c>
      <c r="AB591">
        <v>0</v>
      </c>
      <c r="AD591">
        <v>3</v>
      </c>
      <c r="AE591">
        <v>1</v>
      </c>
      <c r="AF591">
        <v>0</v>
      </c>
      <c r="AG591">
        <v>0</v>
      </c>
      <c r="AI591">
        <v>0</v>
      </c>
      <c r="AJ591">
        <v>7</v>
      </c>
      <c r="AK591">
        <v>422</v>
      </c>
      <c r="AL591">
        <v>422</v>
      </c>
      <c r="AM591">
        <v>487</v>
      </c>
      <c r="AN591">
        <v>44</v>
      </c>
      <c r="AP591">
        <v>1</v>
      </c>
      <c r="AR591" t="s">
        <v>674</v>
      </c>
      <c r="AS591" s="1">
        <v>44354.270833333336</v>
      </c>
      <c r="AT591" s="1">
        <v>44354.273622685185</v>
      </c>
      <c r="AU591" s="1">
        <v>44354.274340277778</v>
      </c>
      <c r="AV591" t="s">
        <v>71</v>
      </c>
      <c r="AW591" t="s">
        <v>72</v>
      </c>
      <c r="AX591" t="s">
        <v>73</v>
      </c>
    </row>
    <row r="592" spans="1:50" x14ac:dyDescent="0.3">
      <c r="A592" t="str">
        <f>"201259E0300"</f>
        <v>201259E0300</v>
      </c>
      <c r="B592" t="str">
        <f>"201259E03002"</f>
        <v>201259E03002</v>
      </c>
      <c r="C592" t="str">
        <f t="shared" si="27"/>
        <v>20</v>
      </c>
      <c r="D592" t="s">
        <v>67</v>
      </c>
      <c r="E592" t="str">
        <f t="shared" si="26"/>
        <v>003</v>
      </c>
      <c r="F592" t="s">
        <v>511</v>
      </c>
      <c r="G592" t="str">
        <f>"1259"</f>
        <v>1259</v>
      </c>
      <c r="H592" t="str">
        <f>"0003"</f>
        <v>0003</v>
      </c>
      <c r="I592" t="s">
        <v>109</v>
      </c>
      <c r="J592">
        <v>0</v>
      </c>
      <c r="K592">
        <v>1</v>
      </c>
      <c r="L592">
        <v>2</v>
      </c>
      <c r="M592">
        <v>157</v>
      </c>
      <c r="N592">
        <v>794</v>
      </c>
      <c r="O592">
        <v>0</v>
      </c>
      <c r="P592" t="s">
        <v>80</v>
      </c>
      <c r="Q592">
        <v>182</v>
      </c>
      <c r="R592">
        <v>52</v>
      </c>
      <c r="S592">
        <v>22</v>
      </c>
      <c r="T592">
        <v>5</v>
      </c>
      <c r="U592">
        <v>1</v>
      </c>
      <c r="V592">
        <v>5</v>
      </c>
      <c r="W592">
        <v>1</v>
      </c>
      <c r="X592">
        <v>221</v>
      </c>
      <c r="Y592">
        <v>118</v>
      </c>
      <c r="Z592">
        <v>0</v>
      </c>
      <c r="AA592">
        <v>3</v>
      </c>
      <c r="AB592">
        <v>11</v>
      </c>
      <c r="AD592">
        <v>2</v>
      </c>
      <c r="AE592">
        <v>4</v>
      </c>
      <c r="AF592">
        <v>0</v>
      </c>
      <c r="AG592">
        <v>0</v>
      </c>
      <c r="AI592">
        <v>0</v>
      </c>
      <c r="AJ592">
        <v>9</v>
      </c>
      <c r="AK592">
        <v>793</v>
      </c>
      <c r="AL592">
        <v>636</v>
      </c>
      <c r="AM592">
        <v>750</v>
      </c>
      <c r="AN592">
        <v>44</v>
      </c>
      <c r="AP592">
        <v>1</v>
      </c>
      <c r="AR592" t="s">
        <v>675</v>
      </c>
      <c r="AS592" s="1">
        <v>44354.320138888892</v>
      </c>
      <c r="AT592" s="1">
        <v>44354.325844907406</v>
      </c>
      <c r="AU592" s="1">
        <v>44354.32640046296</v>
      </c>
      <c r="AV592" t="s">
        <v>71</v>
      </c>
      <c r="AW592" t="s">
        <v>72</v>
      </c>
      <c r="AX592" t="s">
        <v>73</v>
      </c>
    </row>
    <row r="593" spans="1:50" x14ac:dyDescent="0.3">
      <c r="A593" t="str">
        <f>"201259E0400"</f>
        <v>201259E0400</v>
      </c>
      <c r="B593" t="str">
        <f>"201259E04002"</f>
        <v>201259E04002</v>
      </c>
      <c r="C593" t="str">
        <f t="shared" si="27"/>
        <v>20</v>
      </c>
      <c r="D593" t="s">
        <v>67</v>
      </c>
      <c r="E593" t="str">
        <f t="shared" si="26"/>
        <v>003</v>
      </c>
      <c r="F593" t="s">
        <v>511</v>
      </c>
      <c r="G593" t="str">
        <f>"1259"</f>
        <v>1259</v>
      </c>
      <c r="H593" t="str">
        <f>"0004"</f>
        <v>0004</v>
      </c>
      <c r="I593" t="s">
        <v>109</v>
      </c>
      <c r="J593">
        <v>0</v>
      </c>
      <c r="K593">
        <v>1</v>
      </c>
      <c r="L593">
        <v>2</v>
      </c>
      <c r="M593">
        <v>76</v>
      </c>
      <c r="N593">
        <v>240</v>
      </c>
      <c r="O593">
        <v>1</v>
      </c>
      <c r="P593">
        <v>240</v>
      </c>
      <c r="Q593">
        <v>77</v>
      </c>
      <c r="R593">
        <v>0</v>
      </c>
      <c r="S593">
        <v>0</v>
      </c>
      <c r="T593">
        <v>4</v>
      </c>
      <c r="U593">
        <v>2</v>
      </c>
      <c r="V593">
        <v>3</v>
      </c>
      <c r="W593">
        <v>0</v>
      </c>
      <c r="X593">
        <v>123</v>
      </c>
      <c r="Y593">
        <v>22</v>
      </c>
      <c r="Z593">
        <v>1</v>
      </c>
      <c r="AA593">
        <v>4</v>
      </c>
      <c r="AB593">
        <v>0</v>
      </c>
      <c r="AD593">
        <v>0</v>
      </c>
      <c r="AE593">
        <v>0</v>
      </c>
      <c r="AF593">
        <v>0</v>
      </c>
      <c r="AG593">
        <v>0</v>
      </c>
      <c r="AI593">
        <v>0</v>
      </c>
      <c r="AJ593">
        <v>4</v>
      </c>
      <c r="AK593">
        <v>240</v>
      </c>
      <c r="AL593">
        <v>240</v>
      </c>
      <c r="AM593">
        <v>272</v>
      </c>
      <c r="AN593">
        <v>44</v>
      </c>
      <c r="AP593">
        <v>1</v>
      </c>
      <c r="AR593" t="s">
        <v>676</v>
      </c>
      <c r="AS593" s="1">
        <v>44354.370833333334</v>
      </c>
      <c r="AT593" s="1">
        <v>44354.372800925928</v>
      </c>
      <c r="AU593" s="1">
        <v>44354.373368055552</v>
      </c>
      <c r="AV593" t="s">
        <v>71</v>
      </c>
      <c r="AW593" t="s">
        <v>72</v>
      </c>
      <c r="AX593" t="s">
        <v>73</v>
      </c>
    </row>
    <row r="594" spans="1:50" x14ac:dyDescent="0.3">
      <c r="A594" t="str">
        <f>"201261B0000"</f>
        <v>201261B0000</v>
      </c>
      <c r="B594" t="str">
        <f>"201261B00002"</f>
        <v>201261B00002</v>
      </c>
      <c r="C594" t="str">
        <f t="shared" si="27"/>
        <v>20</v>
      </c>
      <c r="D594" t="s">
        <v>67</v>
      </c>
      <c r="E594" t="str">
        <f t="shared" si="26"/>
        <v>003</v>
      </c>
      <c r="F594" t="s">
        <v>511</v>
      </c>
      <c r="G594" t="str">
        <f>"1261"</f>
        <v>1261</v>
      </c>
      <c r="H594" t="str">
        <f>"0000"</f>
        <v>0000</v>
      </c>
      <c r="I594" t="s">
        <v>69</v>
      </c>
      <c r="J594">
        <v>0</v>
      </c>
      <c r="K594">
        <v>1</v>
      </c>
      <c r="L594">
        <v>2</v>
      </c>
      <c r="M594">
        <v>123</v>
      </c>
      <c r="N594">
        <v>421</v>
      </c>
      <c r="O594">
        <v>0</v>
      </c>
      <c r="P594">
        <v>421</v>
      </c>
      <c r="Q594">
        <v>96</v>
      </c>
      <c r="R594">
        <v>56</v>
      </c>
      <c r="S594">
        <v>0</v>
      </c>
      <c r="T594">
        <v>2</v>
      </c>
      <c r="U594">
        <v>2</v>
      </c>
      <c r="V594">
        <v>1</v>
      </c>
      <c r="W594">
        <v>1</v>
      </c>
      <c r="X594">
        <v>161</v>
      </c>
      <c r="Y594">
        <v>86</v>
      </c>
      <c r="Z594">
        <v>0</v>
      </c>
      <c r="AA594">
        <v>4</v>
      </c>
      <c r="AB594">
        <v>1</v>
      </c>
      <c r="AD594">
        <v>3</v>
      </c>
      <c r="AE594">
        <v>2</v>
      </c>
      <c r="AF594">
        <v>0</v>
      </c>
      <c r="AG594">
        <v>0</v>
      </c>
      <c r="AI594">
        <v>0</v>
      </c>
      <c r="AJ594">
        <v>6</v>
      </c>
      <c r="AK594">
        <v>421</v>
      </c>
      <c r="AL594">
        <v>421</v>
      </c>
      <c r="AM594">
        <v>500</v>
      </c>
      <c r="AN594">
        <v>44</v>
      </c>
      <c r="AP594">
        <v>1</v>
      </c>
      <c r="AR594" s="2" t="s">
        <v>677</v>
      </c>
      <c r="AS594" s="1">
        <v>44354.270833333336</v>
      </c>
      <c r="AT594" s="1">
        <v>44354.274398148147</v>
      </c>
      <c r="AU594" s="1">
        <v>44354.274756944447</v>
      </c>
      <c r="AV594" t="s">
        <v>71</v>
      </c>
      <c r="AW594" t="s">
        <v>72</v>
      </c>
      <c r="AX594" t="s">
        <v>73</v>
      </c>
    </row>
    <row r="595" spans="1:50" x14ac:dyDescent="0.3">
      <c r="A595" t="str">
        <f>"201261C0100"</f>
        <v>201261C0100</v>
      </c>
      <c r="B595" t="str">
        <f>"201261C01002"</f>
        <v>201261C01002</v>
      </c>
      <c r="C595" t="str">
        <f t="shared" si="27"/>
        <v>20</v>
      </c>
      <c r="D595" t="s">
        <v>67</v>
      </c>
      <c r="E595" t="str">
        <f t="shared" si="26"/>
        <v>003</v>
      </c>
      <c r="F595" t="s">
        <v>511</v>
      </c>
      <c r="G595" t="str">
        <f>"1261"</f>
        <v>1261</v>
      </c>
      <c r="H595" t="str">
        <f>"0001"</f>
        <v>0001</v>
      </c>
      <c r="I595" t="s">
        <v>75</v>
      </c>
      <c r="J595">
        <v>0</v>
      </c>
      <c r="K595">
        <v>1</v>
      </c>
      <c r="L595">
        <v>2</v>
      </c>
      <c r="M595">
        <v>131</v>
      </c>
      <c r="N595">
        <v>413</v>
      </c>
      <c r="O595">
        <v>0</v>
      </c>
      <c r="P595">
        <v>413</v>
      </c>
      <c r="Q595">
        <v>75</v>
      </c>
      <c r="R595">
        <v>24</v>
      </c>
      <c r="S595">
        <v>6</v>
      </c>
      <c r="T595">
        <v>5</v>
      </c>
      <c r="U595">
        <v>0</v>
      </c>
      <c r="V595">
        <v>7</v>
      </c>
      <c r="W595">
        <v>0</v>
      </c>
      <c r="X595">
        <v>194</v>
      </c>
      <c r="Y595">
        <v>88</v>
      </c>
      <c r="Z595">
        <v>2</v>
      </c>
      <c r="AA595">
        <v>5</v>
      </c>
      <c r="AB595">
        <v>2</v>
      </c>
      <c r="AD595">
        <v>0</v>
      </c>
      <c r="AE595">
        <v>1</v>
      </c>
      <c r="AF595">
        <v>0</v>
      </c>
      <c r="AG595">
        <v>0</v>
      </c>
      <c r="AI595">
        <v>0</v>
      </c>
      <c r="AJ595">
        <v>4</v>
      </c>
      <c r="AK595">
        <v>413</v>
      </c>
      <c r="AL595">
        <v>413</v>
      </c>
      <c r="AM595">
        <v>500</v>
      </c>
      <c r="AN595">
        <v>44</v>
      </c>
      <c r="AP595">
        <v>1</v>
      </c>
      <c r="AR595" t="s">
        <v>678</v>
      </c>
      <c r="AS595" s="1">
        <v>44354.268750000003</v>
      </c>
      <c r="AT595" s="1">
        <v>44354.2734837963</v>
      </c>
      <c r="AU595" s="1">
        <v>44354.273981481485</v>
      </c>
      <c r="AV595" t="s">
        <v>71</v>
      </c>
      <c r="AW595" t="s">
        <v>72</v>
      </c>
      <c r="AX595" t="s">
        <v>73</v>
      </c>
    </row>
    <row r="596" spans="1:50" x14ac:dyDescent="0.3">
      <c r="A596" t="str">
        <f>"201261E0100"</f>
        <v>201261E0100</v>
      </c>
      <c r="B596" t="str">
        <f>"201261E01002"</f>
        <v>201261E01002</v>
      </c>
      <c r="C596" t="str">
        <f t="shared" si="27"/>
        <v>20</v>
      </c>
      <c r="D596" t="s">
        <v>67</v>
      </c>
      <c r="E596" t="str">
        <f t="shared" si="26"/>
        <v>003</v>
      </c>
      <c r="F596" t="s">
        <v>511</v>
      </c>
      <c r="G596" t="str">
        <f>"1261"</f>
        <v>1261</v>
      </c>
      <c r="H596" t="str">
        <f>"0001"</f>
        <v>0001</v>
      </c>
      <c r="I596" t="s">
        <v>109</v>
      </c>
      <c r="J596">
        <v>0</v>
      </c>
      <c r="K596">
        <v>1</v>
      </c>
      <c r="L596">
        <v>2</v>
      </c>
      <c r="M596">
        <v>85</v>
      </c>
      <c r="N596">
        <v>185</v>
      </c>
      <c r="O596">
        <v>0</v>
      </c>
      <c r="P596">
        <v>185</v>
      </c>
      <c r="Q596">
        <v>41</v>
      </c>
      <c r="R596">
        <v>9</v>
      </c>
      <c r="S596">
        <v>2</v>
      </c>
      <c r="T596">
        <v>7</v>
      </c>
      <c r="U596">
        <v>0</v>
      </c>
      <c r="V596">
        <v>0</v>
      </c>
      <c r="W596">
        <v>0</v>
      </c>
      <c r="X596">
        <v>41</v>
      </c>
      <c r="Y596">
        <v>81</v>
      </c>
      <c r="Z596">
        <v>2</v>
      </c>
      <c r="AA596">
        <v>1</v>
      </c>
      <c r="AB596">
        <v>0</v>
      </c>
      <c r="AD596">
        <v>1</v>
      </c>
      <c r="AE596">
        <v>0</v>
      </c>
      <c r="AF596">
        <v>0</v>
      </c>
      <c r="AG596">
        <v>0</v>
      </c>
      <c r="AI596">
        <v>0</v>
      </c>
      <c r="AJ596">
        <v>0</v>
      </c>
      <c r="AK596">
        <v>185</v>
      </c>
      <c r="AL596">
        <v>185</v>
      </c>
      <c r="AM596">
        <v>226</v>
      </c>
      <c r="AN596">
        <v>44</v>
      </c>
      <c r="AP596">
        <v>1</v>
      </c>
      <c r="AR596" t="s">
        <v>679</v>
      </c>
      <c r="AS596" s="1">
        <v>44354.383333333331</v>
      </c>
      <c r="AT596" s="1">
        <v>44354.391331018516</v>
      </c>
      <c r="AU596" s="1">
        <v>44354.458831018521</v>
      </c>
      <c r="AV596" t="s">
        <v>71</v>
      </c>
      <c r="AW596" t="s">
        <v>72</v>
      </c>
      <c r="AX596" t="s">
        <v>73</v>
      </c>
    </row>
    <row r="597" spans="1:50" x14ac:dyDescent="0.3">
      <c r="A597" t="str">
        <f>"201261E0200"</f>
        <v>201261E0200</v>
      </c>
      <c r="B597" t="str">
        <f>"201261E02002"</f>
        <v>201261E02002</v>
      </c>
      <c r="C597" t="str">
        <f t="shared" si="27"/>
        <v>20</v>
      </c>
      <c r="D597" t="s">
        <v>67</v>
      </c>
      <c r="E597" t="str">
        <f t="shared" si="26"/>
        <v>003</v>
      </c>
      <c r="F597" t="s">
        <v>511</v>
      </c>
      <c r="G597" t="str">
        <f>"1261"</f>
        <v>1261</v>
      </c>
      <c r="H597" t="str">
        <f>"0002"</f>
        <v>0002</v>
      </c>
      <c r="I597" t="s">
        <v>109</v>
      </c>
      <c r="J597">
        <v>0</v>
      </c>
      <c r="K597">
        <v>1</v>
      </c>
      <c r="L597">
        <v>2</v>
      </c>
      <c r="M597">
        <v>78</v>
      </c>
      <c r="N597">
        <v>188</v>
      </c>
      <c r="O597">
        <v>3</v>
      </c>
      <c r="P597">
        <v>188</v>
      </c>
      <c r="Q597">
        <v>26</v>
      </c>
      <c r="R597">
        <v>8</v>
      </c>
      <c r="S597">
        <v>46</v>
      </c>
      <c r="T597">
        <v>4</v>
      </c>
      <c r="U597">
        <v>1</v>
      </c>
      <c r="V597">
        <v>1</v>
      </c>
      <c r="W597">
        <v>0</v>
      </c>
      <c r="X597">
        <v>34</v>
      </c>
      <c r="Y597">
        <v>62</v>
      </c>
      <c r="Z597">
        <v>0</v>
      </c>
      <c r="AA597">
        <v>3</v>
      </c>
      <c r="AB597">
        <v>0</v>
      </c>
      <c r="AD597">
        <v>0</v>
      </c>
      <c r="AE597">
        <v>0</v>
      </c>
      <c r="AF597">
        <v>0</v>
      </c>
      <c r="AG597">
        <v>0</v>
      </c>
      <c r="AI597">
        <v>0</v>
      </c>
      <c r="AJ597">
        <v>3</v>
      </c>
      <c r="AK597">
        <v>3</v>
      </c>
      <c r="AL597">
        <v>188</v>
      </c>
      <c r="AM597">
        <v>222</v>
      </c>
      <c r="AN597">
        <v>44</v>
      </c>
      <c r="AP597">
        <v>1</v>
      </c>
      <c r="AR597" t="s">
        <v>680</v>
      </c>
      <c r="AS597" s="1">
        <v>44354.320833333331</v>
      </c>
      <c r="AT597" s="1">
        <v>44354.32471064815</v>
      </c>
      <c r="AU597" s="1">
        <v>44354.325277777774</v>
      </c>
      <c r="AV597" t="s">
        <v>71</v>
      </c>
      <c r="AW597" t="s">
        <v>72</v>
      </c>
      <c r="AX597" t="s">
        <v>73</v>
      </c>
    </row>
    <row r="598" spans="1:50" x14ac:dyDescent="0.3">
      <c r="A598" t="str">
        <f>"201262B0000"</f>
        <v>201262B0000</v>
      </c>
      <c r="B598" t="str">
        <f>"201262B00002"</f>
        <v>201262B00002</v>
      </c>
      <c r="C598" t="str">
        <f t="shared" si="27"/>
        <v>20</v>
      </c>
      <c r="D598" t="s">
        <v>67</v>
      </c>
      <c r="E598" t="str">
        <f t="shared" si="26"/>
        <v>003</v>
      </c>
      <c r="F598" t="s">
        <v>511</v>
      </c>
      <c r="G598" t="str">
        <f>"1262"</f>
        <v>1262</v>
      </c>
      <c r="H598" t="str">
        <f>"0000"</f>
        <v>0000</v>
      </c>
      <c r="I598" t="s">
        <v>69</v>
      </c>
      <c r="J598">
        <v>0</v>
      </c>
      <c r="K598">
        <v>1</v>
      </c>
      <c r="L598">
        <v>2</v>
      </c>
      <c r="M598">
        <v>113</v>
      </c>
      <c r="N598">
        <v>383</v>
      </c>
      <c r="O598">
        <v>0</v>
      </c>
      <c r="P598">
        <v>383</v>
      </c>
      <c r="Q598">
        <v>63</v>
      </c>
      <c r="R598">
        <v>35</v>
      </c>
      <c r="S598">
        <v>5</v>
      </c>
      <c r="T598">
        <v>2</v>
      </c>
      <c r="U598">
        <v>2</v>
      </c>
      <c r="V598">
        <v>0</v>
      </c>
      <c r="W598">
        <v>1</v>
      </c>
      <c r="X598">
        <v>119</v>
      </c>
      <c r="Y598">
        <v>145</v>
      </c>
      <c r="Z598">
        <v>2</v>
      </c>
      <c r="AA598">
        <v>4</v>
      </c>
      <c r="AB598">
        <v>0</v>
      </c>
      <c r="AD598">
        <v>0</v>
      </c>
      <c r="AE598">
        <v>0</v>
      </c>
      <c r="AF598">
        <v>0</v>
      </c>
      <c r="AG598">
        <v>0</v>
      </c>
      <c r="AI598">
        <v>0</v>
      </c>
      <c r="AJ598">
        <v>5</v>
      </c>
      <c r="AK598">
        <v>383</v>
      </c>
      <c r="AL598">
        <v>383</v>
      </c>
      <c r="AM598">
        <v>452</v>
      </c>
      <c r="AN598">
        <v>44</v>
      </c>
      <c r="AP598">
        <v>1</v>
      </c>
      <c r="AR598" t="s">
        <v>681</v>
      </c>
      <c r="AS598" s="1">
        <v>44354.320138888892</v>
      </c>
      <c r="AT598" s="1">
        <v>44354.32675925926</v>
      </c>
      <c r="AU598" s="1">
        <v>44354.327592592592</v>
      </c>
      <c r="AV598" t="s">
        <v>71</v>
      </c>
      <c r="AW598" t="s">
        <v>72</v>
      </c>
      <c r="AX598" t="s">
        <v>73</v>
      </c>
    </row>
    <row r="599" spans="1:50" x14ac:dyDescent="0.3">
      <c r="A599" t="str">
        <f>"201262C0100"</f>
        <v>201262C0100</v>
      </c>
      <c r="B599" t="str">
        <f>"201262C01002"</f>
        <v>201262C01002</v>
      </c>
      <c r="C599" t="str">
        <f t="shared" si="27"/>
        <v>20</v>
      </c>
      <c r="D599" t="s">
        <v>67</v>
      </c>
      <c r="E599" t="str">
        <f t="shared" si="26"/>
        <v>003</v>
      </c>
      <c r="F599" t="s">
        <v>511</v>
      </c>
      <c r="G599" t="str">
        <f>"1262"</f>
        <v>1262</v>
      </c>
      <c r="H599" t="str">
        <f>"0001"</f>
        <v>0001</v>
      </c>
      <c r="I599" t="s">
        <v>75</v>
      </c>
      <c r="J599">
        <v>0</v>
      </c>
      <c r="K599">
        <v>1</v>
      </c>
      <c r="L599">
        <v>2</v>
      </c>
      <c r="M599">
        <v>105</v>
      </c>
      <c r="N599">
        <v>390</v>
      </c>
      <c r="O599">
        <v>0</v>
      </c>
      <c r="P599" t="s">
        <v>80</v>
      </c>
      <c r="Q599">
        <v>55</v>
      </c>
      <c r="R599">
        <v>50</v>
      </c>
      <c r="S599">
        <v>12</v>
      </c>
      <c r="T599">
        <v>3</v>
      </c>
      <c r="U599">
        <v>0</v>
      </c>
      <c r="V599">
        <v>1</v>
      </c>
      <c r="W599">
        <v>0</v>
      </c>
      <c r="X599">
        <v>99</v>
      </c>
      <c r="Y599">
        <v>156</v>
      </c>
      <c r="Z599">
        <v>0</v>
      </c>
      <c r="AA599">
        <v>6</v>
      </c>
      <c r="AB599">
        <v>1</v>
      </c>
      <c r="AD599">
        <v>1</v>
      </c>
      <c r="AE599">
        <v>0</v>
      </c>
      <c r="AF599">
        <v>0</v>
      </c>
      <c r="AG599">
        <v>0</v>
      </c>
      <c r="AI599">
        <v>0</v>
      </c>
      <c r="AJ599">
        <v>6</v>
      </c>
      <c r="AK599">
        <v>390</v>
      </c>
      <c r="AL599">
        <v>390</v>
      </c>
      <c r="AM599">
        <v>451</v>
      </c>
      <c r="AN599">
        <v>44</v>
      </c>
      <c r="AP599">
        <v>1</v>
      </c>
      <c r="AR599" t="s">
        <v>682</v>
      </c>
      <c r="AS599" s="1">
        <v>44354.286805555559</v>
      </c>
      <c r="AT599" s="1">
        <v>44354.290312500001</v>
      </c>
      <c r="AU599" s="1">
        <v>44354.290798611109</v>
      </c>
      <c r="AV599" t="s">
        <v>71</v>
      </c>
      <c r="AW599" t="s">
        <v>72</v>
      </c>
      <c r="AX599" t="s">
        <v>73</v>
      </c>
    </row>
    <row r="600" spans="1:50" x14ac:dyDescent="0.3">
      <c r="A600" t="str">
        <f>"201263B0000"</f>
        <v>201263B0000</v>
      </c>
      <c r="B600" t="str">
        <f>"201263B00002"</f>
        <v>201263B00002</v>
      </c>
      <c r="C600" t="str">
        <f t="shared" si="27"/>
        <v>20</v>
      </c>
      <c r="D600" t="s">
        <v>67</v>
      </c>
      <c r="E600" t="str">
        <f t="shared" si="26"/>
        <v>003</v>
      </c>
      <c r="F600" t="s">
        <v>511</v>
      </c>
      <c r="G600" t="str">
        <f>"1263"</f>
        <v>1263</v>
      </c>
      <c r="H600" t="str">
        <f>"0000"</f>
        <v>0000</v>
      </c>
      <c r="I600" t="s">
        <v>69</v>
      </c>
      <c r="J600">
        <v>0</v>
      </c>
      <c r="K600">
        <v>1</v>
      </c>
      <c r="L600">
        <v>2</v>
      </c>
      <c r="M600">
        <v>162</v>
      </c>
      <c r="N600">
        <v>539</v>
      </c>
      <c r="O600">
        <v>1</v>
      </c>
      <c r="P600">
        <v>539</v>
      </c>
      <c r="Q600">
        <v>41</v>
      </c>
      <c r="R600">
        <v>22</v>
      </c>
      <c r="S600">
        <v>3</v>
      </c>
      <c r="T600">
        <v>4</v>
      </c>
      <c r="U600">
        <v>2</v>
      </c>
      <c r="V600">
        <v>11</v>
      </c>
      <c r="W600">
        <v>2</v>
      </c>
      <c r="X600">
        <v>309</v>
      </c>
      <c r="Y600">
        <v>122</v>
      </c>
      <c r="Z600">
        <v>0</v>
      </c>
      <c r="AA600">
        <v>2</v>
      </c>
      <c r="AB600">
        <v>13</v>
      </c>
      <c r="AD600">
        <v>0</v>
      </c>
      <c r="AE600">
        <v>0</v>
      </c>
      <c r="AF600">
        <v>0</v>
      </c>
      <c r="AG600">
        <v>0</v>
      </c>
      <c r="AI600">
        <v>0</v>
      </c>
      <c r="AJ600">
        <v>8</v>
      </c>
      <c r="AK600">
        <v>539</v>
      </c>
      <c r="AL600">
        <v>539</v>
      </c>
      <c r="AM600">
        <v>657</v>
      </c>
      <c r="AN600">
        <v>44</v>
      </c>
      <c r="AP600">
        <v>1</v>
      </c>
      <c r="AR600" t="s">
        <v>683</v>
      </c>
      <c r="AS600" s="1">
        <v>44354.287499999999</v>
      </c>
      <c r="AT600" s="1">
        <v>44354.289548611108</v>
      </c>
      <c r="AU600" s="1">
        <v>44354.290243055555</v>
      </c>
      <c r="AV600" t="s">
        <v>71</v>
      </c>
      <c r="AW600" t="s">
        <v>72</v>
      </c>
      <c r="AX600" t="s">
        <v>73</v>
      </c>
    </row>
    <row r="601" spans="1:50" x14ac:dyDescent="0.3">
      <c r="A601" t="str">
        <f>"201263E0100"</f>
        <v>201263E0100</v>
      </c>
      <c r="B601" t="str">
        <f>"201263E01002"</f>
        <v>201263E01002</v>
      </c>
      <c r="C601" t="str">
        <f t="shared" si="27"/>
        <v>20</v>
      </c>
      <c r="D601" t="s">
        <v>67</v>
      </c>
      <c r="E601" t="str">
        <f t="shared" si="26"/>
        <v>003</v>
      </c>
      <c r="F601" t="s">
        <v>511</v>
      </c>
      <c r="G601" t="str">
        <f>"1263"</f>
        <v>1263</v>
      </c>
      <c r="H601" t="str">
        <f>"0001"</f>
        <v>0001</v>
      </c>
      <c r="I601" t="s">
        <v>109</v>
      </c>
      <c r="J601">
        <v>0</v>
      </c>
      <c r="K601">
        <v>1</v>
      </c>
      <c r="L601">
        <v>2</v>
      </c>
      <c r="M601">
        <v>112</v>
      </c>
      <c r="N601">
        <v>413</v>
      </c>
      <c r="O601">
        <v>1</v>
      </c>
      <c r="P601">
        <v>413</v>
      </c>
      <c r="Q601">
        <v>34</v>
      </c>
      <c r="R601">
        <v>25</v>
      </c>
      <c r="S601">
        <v>18</v>
      </c>
      <c r="T601">
        <v>2</v>
      </c>
      <c r="U601">
        <v>3</v>
      </c>
      <c r="V601">
        <v>3</v>
      </c>
      <c r="W601">
        <v>2</v>
      </c>
      <c r="X601">
        <v>192</v>
      </c>
      <c r="Y601">
        <v>118</v>
      </c>
      <c r="Z601">
        <v>2</v>
      </c>
      <c r="AA601">
        <v>4</v>
      </c>
      <c r="AB601">
        <v>0</v>
      </c>
      <c r="AD601">
        <v>0</v>
      </c>
      <c r="AE601">
        <v>0</v>
      </c>
      <c r="AF601">
        <v>0</v>
      </c>
      <c r="AG601">
        <v>0</v>
      </c>
      <c r="AI601">
        <v>0</v>
      </c>
      <c r="AJ601">
        <v>10</v>
      </c>
      <c r="AK601">
        <v>413</v>
      </c>
      <c r="AL601">
        <v>413</v>
      </c>
      <c r="AM601">
        <v>481</v>
      </c>
      <c r="AN601">
        <v>44</v>
      </c>
      <c r="AP601">
        <v>1</v>
      </c>
      <c r="AR601" t="s">
        <v>684</v>
      </c>
      <c r="AS601" s="1">
        <v>44354.37777777778</v>
      </c>
      <c r="AT601" s="1">
        <v>44354.380925925929</v>
      </c>
      <c r="AU601" s="1">
        <v>44354.381562499999</v>
      </c>
      <c r="AV601" t="s">
        <v>71</v>
      </c>
      <c r="AW601" t="s">
        <v>72</v>
      </c>
      <c r="AX601" t="s">
        <v>73</v>
      </c>
    </row>
    <row r="602" spans="1:50" x14ac:dyDescent="0.3">
      <c r="A602" t="str">
        <f>"201263E0200"</f>
        <v>201263E0200</v>
      </c>
      <c r="B602" t="str">
        <f>"201263E02002"</f>
        <v>201263E02002</v>
      </c>
      <c r="C602" t="str">
        <f t="shared" si="27"/>
        <v>20</v>
      </c>
      <c r="D602" t="s">
        <v>67</v>
      </c>
      <c r="E602" t="str">
        <f t="shared" si="26"/>
        <v>003</v>
      </c>
      <c r="F602" t="s">
        <v>511</v>
      </c>
      <c r="G602" t="str">
        <f>"1263"</f>
        <v>1263</v>
      </c>
      <c r="H602" t="str">
        <f>"0002"</f>
        <v>0002</v>
      </c>
      <c r="I602" t="s">
        <v>109</v>
      </c>
      <c r="J602">
        <v>0</v>
      </c>
      <c r="K602">
        <v>1</v>
      </c>
      <c r="L602">
        <v>2</v>
      </c>
      <c r="M602">
        <v>116</v>
      </c>
      <c r="N602">
        <v>396</v>
      </c>
      <c r="O602">
        <v>2</v>
      </c>
      <c r="P602" t="s">
        <v>80</v>
      </c>
      <c r="Q602">
        <v>55</v>
      </c>
      <c r="R602">
        <v>16</v>
      </c>
      <c r="S602">
        <v>6</v>
      </c>
      <c r="T602">
        <v>1</v>
      </c>
      <c r="U602">
        <v>2</v>
      </c>
      <c r="V602">
        <v>2</v>
      </c>
      <c r="W602">
        <v>1</v>
      </c>
      <c r="X602">
        <v>146</v>
      </c>
      <c r="Y602">
        <v>146</v>
      </c>
      <c r="Z602">
        <v>2</v>
      </c>
      <c r="AA602">
        <v>9</v>
      </c>
      <c r="AB602">
        <v>0</v>
      </c>
      <c r="AD602">
        <v>1</v>
      </c>
      <c r="AE602">
        <v>1</v>
      </c>
      <c r="AF602">
        <v>0</v>
      </c>
      <c r="AG602">
        <v>0</v>
      </c>
      <c r="AI602">
        <v>0</v>
      </c>
      <c r="AJ602">
        <v>8</v>
      </c>
      <c r="AK602">
        <v>396</v>
      </c>
      <c r="AL602">
        <v>396</v>
      </c>
      <c r="AM602">
        <v>468</v>
      </c>
      <c r="AN602">
        <v>44</v>
      </c>
      <c r="AP602">
        <v>1</v>
      </c>
      <c r="AR602" t="s">
        <v>685</v>
      </c>
      <c r="AS602" s="1">
        <v>44354.320833333331</v>
      </c>
      <c r="AT602" s="1">
        <v>44354.32408564815</v>
      </c>
      <c r="AU602" s="1">
        <v>44354.325752314813</v>
      </c>
      <c r="AV602" t="s">
        <v>71</v>
      </c>
      <c r="AW602" t="s">
        <v>72</v>
      </c>
      <c r="AX602" t="s">
        <v>73</v>
      </c>
    </row>
    <row r="603" spans="1:50" x14ac:dyDescent="0.3">
      <c r="A603" t="str">
        <f>"201264B0000"</f>
        <v>201264B0000</v>
      </c>
      <c r="B603" t="str">
        <f>"201264B00002"</f>
        <v>201264B00002</v>
      </c>
      <c r="C603" t="str">
        <f t="shared" si="27"/>
        <v>20</v>
      </c>
      <c r="D603" t="s">
        <v>67</v>
      </c>
      <c r="E603" t="str">
        <f t="shared" si="26"/>
        <v>003</v>
      </c>
      <c r="F603" t="s">
        <v>511</v>
      </c>
      <c r="G603" t="str">
        <f>"1264"</f>
        <v>1264</v>
      </c>
      <c r="H603" t="str">
        <f>"0000"</f>
        <v>0000</v>
      </c>
      <c r="I603" t="s">
        <v>69</v>
      </c>
      <c r="J603">
        <v>0</v>
      </c>
      <c r="K603">
        <v>1</v>
      </c>
      <c r="L603">
        <v>2</v>
      </c>
      <c r="M603">
        <v>143</v>
      </c>
      <c r="N603">
        <v>563</v>
      </c>
      <c r="O603">
        <v>0</v>
      </c>
      <c r="P603">
        <v>563</v>
      </c>
      <c r="Q603">
        <v>134</v>
      </c>
      <c r="R603">
        <v>27</v>
      </c>
      <c r="S603">
        <v>2</v>
      </c>
      <c r="T603">
        <v>1</v>
      </c>
      <c r="U603">
        <v>1</v>
      </c>
      <c r="V603">
        <v>6</v>
      </c>
      <c r="W603">
        <v>0</v>
      </c>
      <c r="X603">
        <v>232</v>
      </c>
      <c r="Y603">
        <v>141</v>
      </c>
      <c r="Z603">
        <v>2</v>
      </c>
      <c r="AA603">
        <v>13</v>
      </c>
      <c r="AB603">
        <v>0</v>
      </c>
      <c r="AD603">
        <v>0</v>
      </c>
      <c r="AE603">
        <v>0</v>
      </c>
      <c r="AF603">
        <v>0</v>
      </c>
      <c r="AG603">
        <v>0</v>
      </c>
      <c r="AI603">
        <v>0</v>
      </c>
      <c r="AJ603">
        <v>4</v>
      </c>
      <c r="AK603">
        <v>563</v>
      </c>
      <c r="AL603">
        <v>563</v>
      </c>
      <c r="AM603">
        <v>662</v>
      </c>
      <c r="AN603">
        <v>44</v>
      </c>
      <c r="AP603">
        <v>1</v>
      </c>
      <c r="AR603" t="s">
        <v>686</v>
      </c>
      <c r="AS603" s="1">
        <v>44354.286111111112</v>
      </c>
      <c r="AT603" s="1">
        <v>44354.28833333333</v>
      </c>
      <c r="AU603" s="1">
        <v>44354.289143518516</v>
      </c>
      <c r="AV603" t="s">
        <v>71</v>
      </c>
      <c r="AW603" t="s">
        <v>72</v>
      </c>
      <c r="AX603" t="s">
        <v>73</v>
      </c>
    </row>
    <row r="604" spans="1:50" x14ac:dyDescent="0.3">
      <c r="A604" t="str">
        <f>"201264E0100"</f>
        <v>201264E0100</v>
      </c>
      <c r="B604" t="str">
        <f>"201264E01002"</f>
        <v>201264E01002</v>
      </c>
      <c r="C604" t="str">
        <f t="shared" si="27"/>
        <v>20</v>
      </c>
      <c r="D604" t="s">
        <v>67</v>
      </c>
      <c r="E604" t="str">
        <f t="shared" si="26"/>
        <v>003</v>
      </c>
      <c r="F604" t="s">
        <v>511</v>
      </c>
      <c r="G604" t="str">
        <f>"1264"</f>
        <v>1264</v>
      </c>
      <c r="H604" t="str">
        <f>"0001"</f>
        <v>0001</v>
      </c>
      <c r="I604" t="s">
        <v>109</v>
      </c>
      <c r="J604">
        <v>0</v>
      </c>
      <c r="K604">
        <v>1</v>
      </c>
      <c r="L604">
        <v>2</v>
      </c>
      <c r="M604">
        <v>86</v>
      </c>
      <c r="N604">
        <v>260</v>
      </c>
      <c r="O604">
        <v>2</v>
      </c>
      <c r="P604">
        <v>260</v>
      </c>
      <c r="Q604">
        <v>47</v>
      </c>
      <c r="R604">
        <v>12</v>
      </c>
      <c r="S604">
        <v>3</v>
      </c>
      <c r="T604">
        <v>1</v>
      </c>
      <c r="U604">
        <v>0</v>
      </c>
      <c r="V604">
        <v>4</v>
      </c>
      <c r="W604">
        <v>0</v>
      </c>
      <c r="X604">
        <v>98</v>
      </c>
      <c r="Y604">
        <v>79</v>
      </c>
      <c r="Z604">
        <v>0</v>
      </c>
      <c r="AA604">
        <v>4</v>
      </c>
      <c r="AB604">
        <v>1</v>
      </c>
      <c r="AD604">
        <v>0</v>
      </c>
      <c r="AE604">
        <v>0</v>
      </c>
      <c r="AF604">
        <v>0</v>
      </c>
      <c r="AG604">
        <v>0</v>
      </c>
      <c r="AI604">
        <v>0</v>
      </c>
      <c r="AJ604">
        <v>11</v>
      </c>
      <c r="AK604">
        <v>260</v>
      </c>
      <c r="AL604">
        <v>260</v>
      </c>
      <c r="AM604">
        <v>302</v>
      </c>
      <c r="AN604">
        <v>44</v>
      </c>
      <c r="AP604">
        <v>1</v>
      </c>
      <c r="AR604" t="s">
        <v>687</v>
      </c>
      <c r="AS604" s="1">
        <v>44354.320138888892</v>
      </c>
      <c r="AT604" s="1">
        <v>44354.328182870369</v>
      </c>
      <c r="AU604" s="1">
        <v>44354.328518518516</v>
      </c>
      <c r="AV604" t="s">
        <v>71</v>
      </c>
      <c r="AW604" t="s">
        <v>72</v>
      </c>
      <c r="AX604" t="s">
        <v>73</v>
      </c>
    </row>
    <row r="605" spans="1:50" x14ac:dyDescent="0.3">
      <c r="A605" t="str">
        <f>"201264E0200"</f>
        <v>201264E0200</v>
      </c>
      <c r="B605" t="str">
        <f>"201264E02002"</f>
        <v>201264E02002</v>
      </c>
      <c r="C605" t="str">
        <f t="shared" si="27"/>
        <v>20</v>
      </c>
      <c r="D605" t="s">
        <v>67</v>
      </c>
      <c r="E605" t="str">
        <f t="shared" si="26"/>
        <v>003</v>
      </c>
      <c r="F605" t="s">
        <v>511</v>
      </c>
      <c r="G605" t="str">
        <f>"1264"</f>
        <v>1264</v>
      </c>
      <c r="H605" t="str">
        <f>"0002"</f>
        <v>0002</v>
      </c>
      <c r="I605" t="s">
        <v>109</v>
      </c>
      <c r="J605">
        <v>0</v>
      </c>
      <c r="K605">
        <v>1</v>
      </c>
      <c r="L605">
        <v>2</v>
      </c>
      <c r="M605">
        <v>95</v>
      </c>
      <c r="N605">
        <v>300</v>
      </c>
      <c r="O605">
        <v>2</v>
      </c>
      <c r="P605">
        <v>300</v>
      </c>
      <c r="Q605">
        <v>36</v>
      </c>
      <c r="R605">
        <v>30</v>
      </c>
      <c r="S605">
        <v>3</v>
      </c>
      <c r="T605">
        <v>2</v>
      </c>
      <c r="U605">
        <v>1</v>
      </c>
      <c r="V605">
        <v>7</v>
      </c>
      <c r="W605">
        <v>0</v>
      </c>
      <c r="X605">
        <v>187</v>
      </c>
      <c r="Y605">
        <v>29</v>
      </c>
      <c r="Z605">
        <v>1</v>
      </c>
      <c r="AA605">
        <v>2</v>
      </c>
      <c r="AB605">
        <v>0</v>
      </c>
      <c r="AD605">
        <v>0</v>
      </c>
      <c r="AE605">
        <v>0</v>
      </c>
      <c r="AF605">
        <v>0</v>
      </c>
      <c r="AG605">
        <v>0</v>
      </c>
      <c r="AI605">
        <v>0</v>
      </c>
      <c r="AJ605">
        <v>2</v>
      </c>
      <c r="AK605">
        <v>298</v>
      </c>
      <c r="AL605">
        <v>300</v>
      </c>
      <c r="AM605">
        <v>351</v>
      </c>
      <c r="AN605">
        <v>44</v>
      </c>
      <c r="AP605">
        <v>1</v>
      </c>
      <c r="AR605" t="s">
        <v>688</v>
      </c>
      <c r="AS605" s="1">
        <v>44354.286805555559</v>
      </c>
      <c r="AT605" s="1">
        <v>44354.292222222219</v>
      </c>
      <c r="AU605" s="1">
        <v>44354.292743055557</v>
      </c>
      <c r="AV605" t="s">
        <v>71</v>
      </c>
      <c r="AW605" t="s">
        <v>72</v>
      </c>
      <c r="AX605" t="s">
        <v>73</v>
      </c>
    </row>
    <row r="606" spans="1:50" x14ac:dyDescent="0.3">
      <c r="A606" t="str">
        <f>"201265B0000"</f>
        <v>201265B0000</v>
      </c>
      <c r="B606" t="str">
        <f>"201265B00002"</f>
        <v>201265B00002</v>
      </c>
      <c r="C606" t="str">
        <f t="shared" si="27"/>
        <v>20</v>
      </c>
      <c r="D606" t="s">
        <v>67</v>
      </c>
      <c r="E606" t="str">
        <f t="shared" si="26"/>
        <v>003</v>
      </c>
      <c r="F606" t="s">
        <v>511</v>
      </c>
      <c r="G606" t="str">
        <f>"1265"</f>
        <v>1265</v>
      </c>
      <c r="H606" t="str">
        <f>"0000"</f>
        <v>0000</v>
      </c>
      <c r="I606" t="s">
        <v>69</v>
      </c>
      <c r="J606">
        <v>0</v>
      </c>
      <c r="K606">
        <v>1</v>
      </c>
      <c r="L606">
        <v>2</v>
      </c>
      <c r="M606">
        <v>135</v>
      </c>
      <c r="N606">
        <v>478</v>
      </c>
      <c r="O606">
        <v>0</v>
      </c>
      <c r="P606">
        <v>478</v>
      </c>
      <c r="Q606">
        <v>67</v>
      </c>
      <c r="R606">
        <v>50</v>
      </c>
      <c r="S606">
        <v>16</v>
      </c>
      <c r="T606">
        <v>2</v>
      </c>
      <c r="U606">
        <v>4</v>
      </c>
      <c r="V606">
        <v>10</v>
      </c>
      <c r="W606">
        <v>0</v>
      </c>
      <c r="X606">
        <v>255</v>
      </c>
      <c r="Y606">
        <v>57</v>
      </c>
      <c r="Z606">
        <v>2</v>
      </c>
      <c r="AA606">
        <v>5</v>
      </c>
      <c r="AB606">
        <v>3</v>
      </c>
      <c r="AD606" t="s">
        <v>77</v>
      </c>
      <c r="AE606" t="s">
        <v>77</v>
      </c>
      <c r="AF606" t="s">
        <v>77</v>
      </c>
      <c r="AG606" t="s">
        <v>77</v>
      </c>
      <c r="AI606" t="s">
        <v>77</v>
      </c>
      <c r="AJ606">
        <v>7</v>
      </c>
      <c r="AK606">
        <v>478</v>
      </c>
      <c r="AL606">
        <v>478</v>
      </c>
      <c r="AM606">
        <v>569</v>
      </c>
      <c r="AN606">
        <v>44</v>
      </c>
      <c r="AO606" t="s">
        <v>78</v>
      </c>
      <c r="AP606">
        <v>1</v>
      </c>
      <c r="AR606" t="s">
        <v>689</v>
      </c>
      <c r="AS606" s="1">
        <v>44354.286111111112</v>
      </c>
      <c r="AT606" s="1">
        <v>44354.299131944441</v>
      </c>
      <c r="AU606" s="1">
        <v>44354.334849537037</v>
      </c>
      <c r="AV606" t="s">
        <v>71</v>
      </c>
      <c r="AW606" t="s">
        <v>72</v>
      </c>
      <c r="AX606" t="s">
        <v>73</v>
      </c>
    </row>
    <row r="607" spans="1:50" x14ac:dyDescent="0.3">
      <c r="A607" t="str">
        <f>"201265E0100"</f>
        <v>201265E0100</v>
      </c>
      <c r="B607" t="str">
        <f>"201265E01002"</f>
        <v>201265E01002</v>
      </c>
      <c r="C607" t="str">
        <f t="shared" si="27"/>
        <v>20</v>
      </c>
      <c r="D607" t="s">
        <v>67</v>
      </c>
      <c r="E607" t="str">
        <f t="shared" si="26"/>
        <v>003</v>
      </c>
      <c r="F607" t="s">
        <v>511</v>
      </c>
      <c r="G607" t="str">
        <f>"1265"</f>
        <v>1265</v>
      </c>
      <c r="H607" t="str">
        <f>"0001"</f>
        <v>0001</v>
      </c>
      <c r="I607" t="s">
        <v>109</v>
      </c>
      <c r="J607">
        <v>0</v>
      </c>
      <c r="K607">
        <v>1</v>
      </c>
      <c r="L607">
        <v>2</v>
      </c>
      <c r="M607">
        <v>102</v>
      </c>
      <c r="N607">
        <v>265</v>
      </c>
      <c r="O607">
        <v>7</v>
      </c>
      <c r="P607">
        <v>272</v>
      </c>
      <c r="Q607">
        <v>39</v>
      </c>
      <c r="R607">
        <v>69</v>
      </c>
      <c r="S607">
        <v>1</v>
      </c>
      <c r="T607">
        <v>0</v>
      </c>
      <c r="U607">
        <v>0</v>
      </c>
      <c r="V607">
        <v>1</v>
      </c>
      <c r="W607">
        <v>0</v>
      </c>
      <c r="X607">
        <v>84</v>
      </c>
      <c r="Y607">
        <v>70</v>
      </c>
      <c r="Z607">
        <v>2</v>
      </c>
      <c r="AA607">
        <v>4</v>
      </c>
      <c r="AB607">
        <v>0</v>
      </c>
      <c r="AD607">
        <v>0</v>
      </c>
      <c r="AE607">
        <v>0</v>
      </c>
      <c r="AF607">
        <v>0</v>
      </c>
      <c r="AG607">
        <v>0</v>
      </c>
      <c r="AI607">
        <v>0</v>
      </c>
      <c r="AJ607">
        <v>2</v>
      </c>
      <c r="AK607">
        <v>272</v>
      </c>
      <c r="AL607">
        <v>272</v>
      </c>
      <c r="AM607">
        <v>330</v>
      </c>
      <c r="AN607">
        <v>44</v>
      </c>
      <c r="AP607">
        <v>1</v>
      </c>
      <c r="AR607" t="s">
        <v>690</v>
      </c>
      <c r="AS607" s="1">
        <v>44354.373611111114</v>
      </c>
      <c r="AT607" s="1">
        <v>44354.377997685187</v>
      </c>
      <c r="AU607" s="1">
        <v>44354.378564814811</v>
      </c>
      <c r="AV607" t="s">
        <v>71</v>
      </c>
      <c r="AW607" t="s">
        <v>72</v>
      </c>
      <c r="AX607" t="s">
        <v>73</v>
      </c>
    </row>
    <row r="608" spans="1:50" x14ac:dyDescent="0.3">
      <c r="A608" t="str">
        <f>"201860B0000"</f>
        <v>201860B0000</v>
      </c>
      <c r="B608" t="str">
        <f>"201860B00002"</f>
        <v>201860B00002</v>
      </c>
      <c r="C608" t="str">
        <f t="shared" si="27"/>
        <v>20</v>
      </c>
      <c r="D608" t="s">
        <v>67</v>
      </c>
      <c r="E608" t="str">
        <f t="shared" si="26"/>
        <v>003</v>
      </c>
      <c r="F608" t="s">
        <v>511</v>
      </c>
      <c r="G608" t="str">
        <f>"1860"</f>
        <v>1860</v>
      </c>
      <c r="H608" t="str">
        <f>"0000"</f>
        <v>0000</v>
      </c>
      <c r="I608" t="s">
        <v>69</v>
      </c>
      <c r="J608">
        <v>0</v>
      </c>
      <c r="K608">
        <v>1</v>
      </c>
      <c r="L608">
        <v>2</v>
      </c>
      <c r="M608" t="s">
        <v>80</v>
      </c>
      <c r="N608" t="s">
        <v>80</v>
      </c>
      <c r="O608" t="s">
        <v>80</v>
      </c>
      <c r="P608">
        <v>0</v>
      </c>
      <c r="Q608">
        <v>14</v>
      </c>
      <c r="R608">
        <v>42</v>
      </c>
      <c r="S608">
        <v>78</v>
      </c>
      <c r="T608">
        <v>93</v>
      </c>
      <c r="U608">
        <v>6</v>
      </c>
      <c r="V608">
        <v>5</v>
      </c>
      <c r="W608">
        <v>1</v>
      </c>
      <c r="X608">
        <v>148</v>
      </c>
      <c r="Y608">
        <v>17</v>
      </c>
      <c r="Z608">
        <v>73</v>
      </c>
      <c r="AA608">
        <v>21</v>
      </c>
      <c r="AB608">
        <v>1</v>
      </c>
      <c r="AD608">
        <v>9</v>
      </c>
      <c r="AE608">
        <v>0</v>
      </c>
      <c r="AF608">
        <v>0</v>
      </c>
      <c r="AG608">
        <v>0</v>
      </c>
      <c r="AI608">
        <v>0</v>
      </c>
      <c r="AJ608">
        <v>24</v>
      </c>
      <c r="AK608">
        <v>533</v>
      </c>
      <c r="AL608">
        <v>532</v>
      </c>
      <c r="AM608">
        <v>672</v>
      </c>
      <c r="AN608">
        <v>44</v>
      </c>
      <c r="AP608">
        <v>1</v>
      </c>
      <c r="AR608" t="s">
        <v>691</v>
      </c>
      <c r="AS608" s="1">
        <v>44354.268750000003</v>
      </c>
      <c r="AT608" s="1">
        <v>44354.272858796299</v>
      </c>
      <c r="AU608" s="1">
        <v>44354.273599537039</v>
      </c>
      <c r="AV608" t="s">
        <v>71</v>
      </c>
      <c r="AW608" t="s">
        <v>72</v>
      </c>
      <c r="AX608" t="s">
        <v>73</v>
      </c>
    </row>
    <row r="609" spans="1:50" x14ac:dyDescent="0.3">
      <c r="A609" t="str">
        <f>"201860C0100"</f>
        <v>201860C0100</v>
      </c>
      <c r="B609" t="str">
        <f>"201860C01002"</f>
        <v>201860C01002</v>
      </c>
      <c r="C609" t="str">
        <f t="shared" si="27"/>
        <v>20</v>
      </c>
      <c r="D609" t="s">
        <v>67</v>
      </c>
      <c r="E609" t="str">
        <f t="shared" si="26"/>
        <v>003</v>
      </c>
      <c r="F609" t="s">
        <v>511</v>
      </c>
      <c r="G609" t="str">
        <f>"1860"</f>
        <v>1860</v>
      </c>
      <c r="H609" t="str">
        <f>"0001"</f>
        <v>0001</v>
      </c>
      <c r="I609" t="s">
        <v>75</v>
      </c>
      <c r="J609">
        <v>0</v>
      </c>
      <c r="K609">
        <v>1</v>
      </c>
      <c r="L609">
        <v>2</v>
      </c>
      <c r="M609">
        <v>211</v>
      </c>
      <c r="N609">
        <v>577</v>
      </c>
      <c r="O609">
        <v>11</v>
      </c>
      <c r="P609">
        <v>577</v>
      </c>
      <c r="Q609">
        <v>21</v>
      </c>
      <c r="R609">
        <v>31</v>
      </c>
      <c r="S609">
        <v>101</v>
      </c>
      <c r="T609">
        <v>10</v>
      </c>
      <c r="U609">
        <v>2</v>
      </c>
      <c r="V609">
        <v>25</v>
      </c>
      <c r="W609">
        <v>0</v>
      </c>
      <c r="X609">
        <v>108</v>
      </c>
      <c r="Y609">
        <v>71</v>
      </c>
      <c r="Z609">
        <v>171</v>
      </c>
      <c r="AA609">
        <v>11</v>
      </c>
      <c r="AB609">
        <v>0</v>
      </c>
      <c r="AD609">
        <v>3</v>
      </c>
      <c r="AE609">
        <v>0</v>
      </c>
      <c r="AF609">
        <v>1</v>
      </c>
      <c r="AG609">
        <v>2</v>
      </c>
      <c r="AI609">
        <v>0</v>
      </c>
      <c r="AJ609">
        <v>20</v>
      </c>
      <c r="AK609">
        <v>577</v>
      </c>
      <c r="AL609">
        <v>577</v>
      </c>
      <c r="AM609">
        <v>671</v>
      </c>
      <c r="AN609">
        <v>44</v>
      </c>
      <c r="AP609">
        <v>1</v>
      </c>
      <c r="AR609" t="s">
        <v>692</v>
      </c>
      <c r="AS609" s="1">
        <v>44354.210416666669</v>
      </c>
      <c r="AT609" s="1">
        <v>44354.655555555553</v>
      </c>
      <c r="AU609" s="1">
        <v>44354.656365740739</v>
      </c>
      <c r="AV609" t="s">
        <v>71</v>
      </c>
      <c r="AW609" t="s">
        <v>72</v>
      </c>
      <c r="AX609" t="s">
        <v>73</v>
      </c>
    </row>
    <row r="610" spans="1:50" x14ac:dyDescent="0.3">
      <c r="A610" t="str">
        <f>"201860C0200"</f>
        <v>201860C0200</v>
      </c>
      <c r="B610" t="str">
        <f>"201860C02002"</f>
        <v>201860C02002</v>
      </c>
      <c r="C610" t="str">
        <f t="shared" si="27"/>
        <v>20</v>
      </c>
      <c r="D610" t="s">
        <v>67</v>
      </c>
      <c r="E610" t="str">
        <f t="shared" si="26"/>
        <v>003</v>
      </c>
      <c r="F610" t="s">
        <v>511</v>
      </c>
      <c r="G610" t="str">
        <f>"1860"</f>
        <v>1860</v>
      </c>
      <c r="H610" t="str">
        <f>"0002"</f>
        <v>0002</v>
      </c>
      <c r="I610" t="s">
        <v>75</v>
      </c>
      <c r="J610">
        <v>0</v>
      </c>
      <c r="K610">
        <v>1</v>
      </c>
      <c r="L610">
        <v>2</v>
      </c>
      <c r="M610">
        <v>197</v>
      </c>
      <c r="N610">
        <v>518</v>
      </c>
      <c r="O610">
        <v>1</v>
      </c>
      <c r="P610">
        <v>518</v>
      </c>
      <c r="Q610">
        <v>10</v>
      </c>
      <c r="R610">
        <v>51</v>
      </c>
      <c r="S610">
        <v>80</v>
      </c>
      <c r="T610">
        <v>73</v>
      </c>
      <c r="U610">
        <v>5</v>
      </c>
      <c r="V610">
        <v>7</v>
      </c>
      <c r="W610">
        <v>1</v>
      </c>
      <c r="X610">
        <v>145</v>
      </c>
      <c r="Y610">
        <v>17</v>
      </c>
      <c r="Z610">
        <v>73</v>
      </c>
      <c r="AA610">
        <v>25</v>
      </c>
      <c r="AB610">
        <v>1</v>
      </c>
      <c r="AD610">
        <v>14</v>
      </c>
      <c r="AE610">
        <v>1</v>
      </c>
      <c r="AF610">
        <v>0</v>
      </c>
      <c r="AG610">
        <v>0</v>
      </c>
      <c r="AI610" t="s">
        <v>77</v>
      </c>
      <c r="AJ610">
        <v>15</v>
      </c>
      <c r="AK610">
        <v>518</v>
      </c>
      <c r="AL610">
        <v>518</v>
      </c>
      <c r="AM610">
        <v>671</v>
      </c>
      <c r="AN610">
        <v>44</v>
      </c>
      <c r="AO610" t="s">
        <v>78</v>
      </c>
      <c r="AP610">
        <v>1</v>
      </c>
      <c r="AR610" t="s">
        <v>693</v>
      </c>
      <c r="AS610" s="1">
        <v>44354.210416666669</v>
      </c>
      <c r="AT610" s="1">
        <v>44354.215092592596</v>
      </c>
      <c r="AU610" s="1">
        <v>44354.215740740743</v>
      </c>
      <c r="AV610" t="s">
        <v>71</v>
      </c>
      <c r="AW610" t="s">
        <v>72</v>
      </c>
      <c r="AX610" t="s">
        <v>73</v>
      </c>
    </row>
    <row r="611" spans="1:50" x14ac:dyDescent="0.3">
      <c r="A611" t="str">
        <f>"201860E0100"</f>
        <v>201860E0100</v>
      </c>
      <c r="B611" t="str">
        <f>"201860E01002"</f>
        <v>201860E01002</v>
      </c>
      <c r="C611" t="str">
        <f t="shared" si="27"/>
        <v>20</v>
      </c>
      <c r="D611" t="s">
        <v>67</v>
      </c>
      <c r="E611" t="str">
        <f t="shared" si="26"/>
        <v>003</v>
      </c>
      <c r="F611" t="s">
        <v>511</v>
      </c>
      <c r="G611" t="str">
        <f>"1860"</f>
        <v>1860</v>
      </c>
      <c r="H611" t="str">
        <f>"0001"</f>
        <v>0001</v>
      </c>
      <c r="I611" t="s">
        <v>109</v>
      </c>
      <c r="J611">
        <v>0</v>
      </c>
      <c r="K611">
        <v>1</v>
      </c>
      <c r="L611">
        <v>2</v>
      </c>
      <c r="M611">
        <v>211</v>
      </c>
      <c r="N611">
        <v>577</v>
      </c>
      <c r="O611">
        <v>11</v>
      </c>
      <c r="P611">
        <v>577</v>
      </c>
      <c r="Q611">
        <v>21</v>
      </c>
      <c r="R611">
        <v>31</v>
      </c>
      <c r="S611">
        <v>101</v>
      </c>
      <c r="T611">
        <v>10</v>
      </c>
      <c r="U611">
        <v>2</v>
      </c>
      <c r="V611">
        <v>25</v>
      </c>
      <c r="W611">
        <v>0</v>
      </c>
      <c r="X611">
        <v>108</v>
      </c>
      <c r="Y611">
        <v>71</v>
      </c>
      <c r="Z611">
        <v>171</v>
      </c>
      <c r="AA611">
        <v>11</v>
      </c>
      <c r="AB611">
        <v>0</v>
      </c>
      <c r="AD611">
        <v>3</v>
      </c>
      <c r="AE611">
        <v>0</v>
      </c>
      <c r="AF611">
        <v>1</v>
      </c>
      <c r="AG611">
        <v>2</v>
      </c>
      <c r="AI611">
        <v>0</v>
      </c>
      <c r="AJ611">
        <v>20</v>
      </c>
      <c r="AK611">
        <v>577</v>
      </c>
      <c r="AL611">
        <v>577</v>
      </c>
      <c r="AM611">
        <v>744</v>
      </c>
      <c r="AN611">
        <v>44</v>
      </c>
      <c r="AP611">
        <v>1</v>
      </c>
      <c r="AR611" t="s">
        <v>694</v>
      </c>
      <c r="AS611" s="1">
        <v>44354.210416666669</v>
      </c>
      <c r="AT611" s="1">
        <v>44354.215937499997</v>
      </c>
      <c r="AU611" s="1">
        <v>44354.216307870367</v>
      </c>
      <c r="AV611" t="s">
        <v>71</v>
      </c>
      <c r="AW611" t="s">
        <v>72</v>
      </c>
      <c r="AX611" t="s">
        <v>73</v>
      </c>
    </row>
    <row r="612" spans="1:50" x14ac:dyDescent="0.3">
      <c r="A612" t="str">
        <f>"201861B0000"</f>
        <v>201861B0000</v>
      </c>
      <c r="B612" t="str">
        <f>"201861B00002"</f>
        <v>201861B00002</v>
      </c>
      <c r="C612" t="str">
        <f t="shared" si="27"/>
        <v>20</v>
      </c>
      <c r="D612" t="s">
        <v>67</v>
      </c>
      <c r="E612" t="str">
        <f t="shared" si="26"/>
        <v>003</v>
      </c>
      <c r="F612" t="s">
        <v>511</v>
      </c>
      <c r="G612" t="str">
        <f>"1861"</f>
        <v>1861</v>
      </c>
      <c r="H612" t="str">
        <f>"0000"</f>
        <v>0000</v>
      </c>
      <c r="I612" t="s">
        <v>69</v>
      </c>
      <c r="J612">
        <v>0</v>
      </c>
      <c r="K612">
        <v>1</v>
      </c>
      <c r="L612">
        <v>2</v>
      </c>
      <c r="M612">
        <v>156</v>
      </c>
      <c r="N612">
        <v>312</v>
      </c>
      <c r="O612">
        <v>2</v>
      </c>
      <c r="P612">
        <v>312</v>
      </c>
      <c r="Q612">
        <v>8</v>
      </c>
      <c r="R612">
        <v>21</v>
      </c>
      <c r="S612">
        <v>49</v>
      </c>
      <c r="T612">
        <v>82</v>
      </c>
      <c r="U612">
        <v>3</v>
      </c>
      <c r="V612">
        <v>4</v>
      </c>
      <c r="W612">
        <v>1</v>
      </c>
      <c r="X612">
        <v>59</v>
      </c>
      <c r="Y612">
        <v>8</v>
      </c>
      <c r="Z612">
        <v>56</v>
      </c>
      <c r="AA612">
        <v>5</v>
      </c>
      <c r="AB612">
        <v>4</v>
      </c>
      <c r="AD612">
        <v>3</v>
      </c>
      <c r="AE612">
        <v>0</v>
      </c>
      <c r="AF612">
        <v>0</v>
      </c>
      <c r="AG612">
        <v>0</v>
      </c>
      <c r="AI612">
        <v>0</v>
      </c>
      <c r="AJ612">
        <v>9</v>
      </c>
      <c r="AK612">
        <v>312</v>
      </c>
      <c r="AL612">
        <v>312</v>
      </c>
      <c r="AM612">
        <v>424</v>
      </c>
      <c r="AN612">
        <v>44</v>
      </c>
      <c r="AP612">
        <v>1</v>
      </c>
      <c r="AR612" t="s">
        <v>695</v>
      </c>
      <c r="AS612" s="1">
        <v>44354.189583333333</v>
      </c>
      <c r="AT612" s="1">
        <v>44354.192604166667</v>
      </c>
      <c r="AU612" s="1">
        <v>44354.193252314813</v>
      </c>
      <c r="AV612" t="s">
        <v>71</v>
      </c>
      <c r="AW612" t="s">
        <v>72</v>
      </c>
      <c r="AX612" t="s">
        <v>73</v>
      </c>
    </row>
    <row r="613" spans="1:50" x14ac:dyDescent="0.3">
      <c r="A613" t="str">
        <f>"201861E0100"</f>
        <v>201861E0100</v>
      </c>
      <c r="B613" t="str">
        <f>"201861E01002"</f>
        <v>201861E01002</v>
      </c>
      <c r="C613" t="str">
        <f t="shared" si="27"/>
        <v>20</v>
      </c>
      <c r="D613" t="s">
        <v>67</v>
      </c>
      <c r="E613" t="str">
        <f t="shared" si="26"/>
        <v>003</v>
      </c>
      <c r="F613" t="s">
        <v>511</v>
      </c>
      <c r="G613" t="str">
        <f>"1861"</f>
        <v>1861</v>
      </c>
      <c r="H613" t="str">
        <f>"0001"</f>
        <v>0001</v>
      </c>
      <c r="I613" t="s">
        <v>109</v>
      </c>
      <c r="J613">
        <v>0</v>
      </c>
      <c r="K613">
        <v>1</v>
      </c>
      <c r="L613">
        <v>2</v>
      </c>
      <c r="M613">
        <v>169</v>
      </c>
      <c r="N613">
        <v>396</v>
      </c>
      <c r="O613">
        <v>0</v>
      </c>
      <c r="P613">
        <v>396</v>
      </c>
      <c r="Q613">
        <v>22</v>
      </c>
      <c r="R613">
        <v>40</v>
      </c>
      <c r="S613">
        <v>60</v>
      </c>
      <c r="T613">
        <v>33</v>
      </c>
      <c r="U613">
        <v>2</v>
      </c>
      <c r="V613">
        <v>4</v>
      </c>
      <c r="W613">
        <v>0</v>
      </c>
      <c r="X613">
        <v>104</v>
      </c>
      <c r="Y613">
        <v>22</v>
      </c>
      <c r="Z613">
        <v>73</v>
      </c>
      <c r="AA613">
        <v>19</v>
      </c>
      <c r="AB613">
        <v>3</v>
      </c>
      <c r="AD613">
        <v>3</v>
      </c>
      <c r="AE613">
        <v>1</v>
      </c>
      <c r="AF613">
        <v>0</v>
      </c>
      <c r="AG613">
        <v>0</v>
      </c>
      <c r="AI613">
        <v>0</v>
      </c>
      <c r="AJ613">
        <v>10</v>
      </c>
      <c r="AK613">
        <v>396</v>
      </c>
      <c r="AL613">
        <v>396</v>
      </c>
      <c r="AM613">
        <v>521</v>
      </c>
      <c r="AN613">
        <v>44</v>
      </c>
      <c r="AP613">
        <v>1</v>
      </c>
      <c r="AR613" t="s">
        <v>696</v>
      </c>
      <c r="AS613" s="1">
        <v>44353.75</v>
      </c>
      <c r="AT613" s="1">
        <v>44354.193645833337</v>
      </c>
      <c r="AU613" s="1">
        <v>44354.194293981483</v>
      </c>
      <c r="AV613" t="s">
        <v>71</v>
      </c>
      <c r="AW613" t="s">
        <v>72</v>
      </c>
      <c r="AX613" t="s">
        <v>73</v>
      </c>
    </row>
    <row r="614" spans="1:50" x14ac:dyDescent="0.3">
      <c r="A614" t="str">
        <f>"201861E0200"</f>
        <v>201861E0200</v>
      </c>
      <c r="B614" t="str">
        <f>"201861E02002"</f>
        <v>201861E02002</v>
      </c>
      <c r="C614" t="str">
        <f t="shared" si="27"/>
        <v>20</v>
      </c>
      <c r="D614" t="s">
        <v>67</v>
      </c>
      <c r="E614" t="str">
        <f t="shared" si="26"/>
        <v>003</v>
      </c>
      <c r="F614" t="s">
        <v>511</v>
      </c>
      <c r="G614" t="str">
        <f>"1861"</f>
        <v>1861</v>
      </c>
      <c r="H614" t="str">
        <f>"0002"</f>
        <v>0002</v>
      </c>
      <c r="I614" t="s">
        <v>109</v>
      </c>
      <c r="J614">
        <v>0</v>
      </c>
      <c r="K614">
        <v>1</v>
      </c>
      <c r="L614">
        <v>2</v>
      </c>
      <c r="M614">
        <v>87</v>
      </c>
      <c r="N614">
        <v>127</v>
      </c>
      <c r="O614">
        <v>4</v>
      </c>
      <c r="P614">
        <v>127</v>
      </c>
      <c r="Q614">
        <v>2</v>
      </c>
      <c r="R614">
        <v>7</v>
      </c>
      <c r="S614">
        <v>8</v>
      </c>
      <c r="T614">
        <v>57</v>
      </c>
      <c r="U614">
        <v>0</v>
      </c>
      <c r="V614">
        <v>1</v>
      </c>
      <c r="W614">
        <v>0</v>
      </c>
      <c r="X614">
        <v>27</v>
      </c>
      <c r="Y614">
        <v>1</v>
      </c>
      <c r="Z614">
        <v>8</v>
      </c>
      <c r="AA614">
        <v>3</v>
      </c>
      <c r="AB614">
        <v>0</v>
      </c>
      <c r="AD614">
        <v>0</v>
      </c>
      <c r="AE614">
        <v>0</v>
      </c>
      <c r="AF614">
        <v>0</v>
      </c>
      <c r="AG614">
        <v>0</v>
      </c>
      <c r="AI614">
        <v>0</v>
      </c>
      <c r="AJ614">
        <v>13</v>
      </c>
      <c r="AK614">
        <v>127</v>
      </c>
      <c r="AL614">
        <v>127</v>
      </c>
      <c r="AM614">
        <v>170</v>
      </c>
      <c r="AN614">
        <v>44</v>
      </c>
      <c r="AP614">
        <v>1</v>
      </c>
      <c r="AR614" t="s">
        <v>697</v>
      </c>
      <c r="AS614" s="1">
        <v>44353.838888888888</v>
      </c>
      <c r="AT614" s="1">
        <v>44354.195439814815</v>
      </c>
      <c r="AU614" s="1">
        <v>44354.195740740739</v>
      </c>
      <c r="AV614" t="s">
        <v>71</v>
      </c>
      <c r="AW614" t="s">
        <v>72</v>
      </c>
      <c r="AX614" t="s">
        <v>73</v>
      </c>
    </row>
    <row r="615" spans="1:50" x14ac:dyDescent="0.3">
      <c r="A615" t="str">
        <f>"201862B0000"</f>
        <v>201862B0000</v>
      </c>
      <c r="B615" t="str">
        <f>"201862B00002"</f>
        <v>201862B00002</v>
      </c>
      <c r="C615" t="str">
        <f t="shared" si="27"/>
        <v>20</v>
      </c>
      <c r="D615" t="s">
        <v>67</v>
      </c>
      <c r="E615" t="str">
        <f t="shared" si="26"/>
        <v>003</v>
      </c>
      <c r="F615" t="s">
        <v>511</v>
      </c>
      <c r="G615" t="str">
        <f>"1862"</f>
        <v>1862</v>
      </c>
      <c r="H615" t="str">
        <f>"0000"</f>
        <v>0000</v>
      </c>
      <c r="I615" t="s">
        <v>69</v>
      </c>
      <c r="J615">
        <v>0</v>
      </c>
      <c r="K615">
        <v>1</v>
      </c>
      <c r="L615">
        <v>2</v>
      </c>
      <c r="M615">
        <v>199</v>
      </c>
      <c r="N615">
        <v>454</v>
      </c>
      <c r="O615">
        <v>0</v>
      </c>
      <c r="P615">
        <v>454</v>
      </c>
      <c r="Q615">
        <v>19</v>
      </c>
      <c r="R615">
        <v>51</v>
      </c>
      <c r="S615">
        <v>90</v>
      </c>
      <c r="T615">
        <v>131</v>
      </c>
      <c r="U615">
        <v>0</v>
      </c>
      <c r="V615">
        <v>5</v>
      </c>
      <c r="W615">
        <v>0</v>
      </c>
      <c r="X615">
        <v>68</v>
      </c>
      <c r="Y615">
        <v>27</v>
      </c>
      <c r="Z615">
        <v>37</v>
      </c>
      <c r="AA615">
        <v>2</v>
      </c>
      <c r="AB615">
        <v>0</v>
      </c>
      <c r="AD615">
        <v>2</v>
      </c>
      <c r="AE615">
        <v>0</v>
      </c>
      <c r="AF615">
        <v>1</v>
      </c>
      <c r="AG615">
        <v>0</v>
      </c>
      <c r="AI615">
        <v>0</v>
      </c>
      <c r="AJ615">
        <v>21</v>
      </c>
      <c r="AK615">
        <v>454</v>
      </c>
      <c r="AL615">
        <v>454</v>
      </c>
      <c r="AM615">
        <v>609</v>
      </c>
      <c r="AN615">
        <v>44</v>
      </c>
      <c r="AP615">
        <v>1</v>
      </c>
      <c r="AR615" t="s">
        <v>698</v>
      </c>
      <c r="AS615" s="1">
        <v>44354.220833333333</v>
      </c>
      <c r="AT615" s="1">
        <v>44354.223993055559</v>
      </c>
      <c r="AU615" s="1">
        <v>44354.225115740737</v>
      </c>
      <c r="AV615" t="s">
        <v>71</v>
      </c>
      <c r="AW615" t="s">
        <v>72</v>
      </c>
      <c r="AX615" t="s">
        <v>73</v>
      </c>
    </row>
    <row r="616" spans="1:50" x14ac:dyDescent="0.3">
      <c r="A616" t="str">
        <f>"201862C0100"</f>
        <v>201862C0100</v>
      </c>
      <c r="B616" t="str">
        <f>"201862C01002"</f>
        <v>201862C01002</v>
      </c>
      <c r="C616" t="str">
        <f t="shared" si="27"/>
        <v>20</v>
      </c>
      <c r="D616" t="s">
        <v>67</v>
      </c>
      <c r="E616" t="str">
        <f t="shared" si="26"/>
        <v>003</v>
      </c>
      <c r="F616" t="s">
        <v>511</v>
      </c>
      <c r="G616" t="str">
        <f>"1862"</f>
        <v>1862</v>
      </c>
      <c r="H616" t="str">
        <f>"0001"</f>
        <v>0001</v>
      </c>
      <c r="I616" t="s">
        <v>75</v>
      </c>
      <c r="J616">
        <v>0</v>
      </c>
      <c r="K616">
        <v>1</v>
      </c>
      <c r="L616">
        <v>2</v>
      </c>
      <c r="M616">
        <v>206</v>
      </c>
      <c r="N616">
        <v>446</v>
      </c>
      <c r="O616">
        <v>2</v>
      </c>
      <c r="P616">
        <v>446</v>
      </c>
      <c r="Q616">
        <v>20</v>
      </c>
      <c r="R616">
        <v>38</v>
      </c>
      <c r="S616">
        <v>109</v>
      </c>
      <c r="T616">
        <v>126</v>
      </c>
      <c r="U616">
        <v>0</v>
      </c>
      <c r="V616">
        <v>5</v>
      </c>
      <c r="W616">
        <v>2</v>
      </c>
      <c r="X616">
        <v>72</v>
      </c>
      <c r="Y616">
        <v>26</v>
      </c>
      <c r="Z616">
        <v>25</v>
      </c>
      <c r="AA616">
        <v>2</v>
      </c>
      <c r="AB616">
        <v>0</v>
      </c>
      <c r="AD616">
        <v>1</v>
      </c>
      <c r="AE616">
        <v>0</v>
      </c>
      <c r="AF616">
        <v>1</v>
      </c>
      <c r="AG616">
        <v>0</v>
      </c>
      <c r="AI616">
        <v>0</v>
      </c>
      <c r="AJ616">
        <v>19</v>
      </c>
      <c r="AK616">
        <v>446</v>
      </c>
      <c r="AL616">
        <v>446</v>
      </c>
      <c r="AM616">
        <v>608</v>
      </c>
      <c r="AN616">
        <v>44</v>
      </c>
      <c r="AP616">
        <v>1</v>
      </c>
      <c r="AR616" t="s">
        <v>699</v>
      </c>
      <c r="AS616" s="1">
        <v>44354.220833333333</v>
      </c>
      <c r="AT616" s="1">
        <v>44354.225636574076</v>
      </c>
      <c r="AU616" s="1">
        <v>44354.226099537038</v>
      </c>
      <c r="AV616" t="s">
        <v>71</v>
      </c>
      <c r="AW616" t="s">
        <v>72</v>
      </c>
      <c r="AX616" t="s">
        <v>73</v>
      </c>
    </row>
    <row r="617" spans="1:50" x14ac:dyDescent="0.3">
      <c r="A617" t="str">
        <f>"201863B0000"</f>
        <v>201863B0000</v>
      </c>
      <c r="B617" t="str">
        <f>"201863B00002"</f>
        <v>201863B00002</v>
      </c>
      <c r="C617" t="str">
        <f t="shared" si="27"/>
        <v>20</v>
      </c>
      <c r="D617" t="s">
        <v>67</v>
      </c>
      <c r="E617" t="str">
        <f t="shared" si="26"/>
        <v>003</v>
      </c>
      <c r="F617" t="s">
        <v>511</v>
      </c>
      <c r="G617" t="str">
        <f>"1863"</f>
        <v>1863</v>
      </c>
      <c r="H617" t="str">
        <f>"0000"</f>
        <v>0000</v>
      </c>
      <c r="I617" t="s">
        <v>69</v>
      </c>
      <c r="J617">
        <v>0</v>
      </c>
      <c r="K617">
        <v>1</v>
      </c>
      <c r="L617">
        <v>2</v>
      </c>
      <c r="M617">
        <v>125</v>
      </c>
      <c r="N617">
        <v>290</v>
      </c>
      <c r="O617">
        <v>13</v>
      </c>
      <c r="P617">
        <v>290</v>
      </c>
      <c r="Q617">
        <v>13</v>
      </c>
      <c r="R617">
        <v>24</v>
      </c>
      <c r="S617">
        <v>36</v>
      </c>
      <c r="T617">
        <v>31</v>
      </c>
      <c r="U617">
        <v>0</v>
      </c>
      <c r="V617">
        <v>3</v>
      </c>
      <c r="W617">
        <v>0</v>
      </c>
      <c r="X617">
        <v>115</v>
      </c>
      <c r="Y617">
        <v>9</v>
      </c>
      <c r="Z617">
        <v>28</v>
      </c>
      <c r="AA617">
        <v>6</v>
      </c>
      <c r="AB617">
        <v>2</v>
      </c>
      <c r="AD617">
        <v>6</v>
      </c>
      <c r="AE617">
        <v>0</v>
      </c>
      <c r="AF617">
        <v>0</v>
      </c>
      <c r="AG617">
        <v>2</v>
      </c>
      <c r="AI617">
        <v>0</v>
      </c>
      <c r="AJ617">
        <v>15</v>
      </c>
      <c r="AK617">
        <v>290</v>
      </c>
      <c r="AL617">
        <v>290</v>
      </c>
      <c r="AM617">
        <v>371</v>
      </c>
      <c r="AN617">
        <v>44</v>
      </c>
      <c r="AP617">
        <v>1</v>
      </c>
      <c r="AR617" t="s">
        <v>700</v>
      </c>
      <c r="AS617" s="1">
        <v>44354.210416666669</v>
      </c>
      <c r="AT617" s="1">
        <v>44354.214675925927</v>
      </c>
      <c r="AU617" s="1">
        <v>44354.215370370373</v>
      </c>
      <c r="AV617" t="s">
        <v>71</v>
      </c>
      <c r="AW617" t="s">
        <v>72</v>
      </c>
      <c r="AX617" t="s">
        <v>73</v>
      </c>
    </row>
    <row r="618" spans="1:50" x14ac:dyDescent="0.3">
      <c r="A618" t="str">
        <f>"201864B0000"</f>
        <v>201864B0000</v>
      </c>
      <c r="B618" t="str">
        <f>"201864B00002"</f>
        <v>201864B00002</v>
      </c>
      <c r="C618" t="str">
        <f t="shared" si="27"/>
        <v>20</v>
      </c>
      <c r="D618" t="s">
        <v>67</v>
      </c>
      <c r="E618" t="str">
        <f t="shared" si="26"/>
        <v>003</v>
      </c>
      <c r="F618" t="s">
        <v>511</v>
      </c>
      <c r="G618" t="str">
        <f>"1864"</f>
        <v>1864</v>
      </c>
      <c r="H618" t="str">
        <f>"0000"</f>
        <v>0000</v>
      </c>
      <c r="I618" t="s">
        <v>69</v>
      </c>
      <c r="J618">
        <v>0</v>
      </c>
      <c r="K618">
        <v>1</v>
      </c>
      <c r="L618">
        <v>2</v>
      </c>
      <c r="M618">
        <v>160</v>
      </c>
      <c r="N618">
        <v>458</v>
      </c>
      <c r="O618">
        <v>5</v>
      </c>
      <c r="P618">
        <v>458</v>
      </c>
      <c r="Q618">
        <v>12</v>
      </c>
      <c r="R618">
        <v>28</v>
      </c>
      <c r="S618">
        <v>57</v>
      </c>
      <c r="T618">
        <v>8</v>
      </c>
      <c r="U618">
        <v>4</v>
      </c>
      <c r="V618">
        <v>29</v>
      </c>
      <c r="W618">
        <v>1</v>
      </c>
      <c r="X618">
        <v>242</v>
      </c>
      <c r="Y618">
        <v>23</v>
      </c>
      <c r="Z618">
        <v>34</v>
      </c>
      <c r="AA618">
        <v>8</v>
      </c>
      <c r="AB618">
        <v>1</v>
      </c>
      <c r="AD618">
        <v>5</v>
      </c>
      <c r="AE618">
        <v>1</v>
      </c>
      <c r="AF618">
        <v>0</v>
      </c>
      <c r="AG618">
        <v>0</v>
      </c>
      <c r="AI618">
        <v>0</v>
      </c>
      <c r="AJ618">
        <v>5</v>
      </c>
      <c r="AK618">
        <v>458</v>
      </c>
      <c r="AL618">
        <v>458</v>
      </c>
      <c r="AM618">
        <v>574</v>
      </c>
      <c r="AN618">
        <v>44</v>
      </c>
      <c r="AP618">
        <v>1</v>
      </c>
      <c r="AR618" t="s">
        <v>701</v>
      </c>
      <c r="AS618" s="1">
        <v>44354.40625</v>
      </c>
      <c r="AT618" s="1">
        <v>44354.409328703703</v>
      </c>
      <c r="AU618" s="1">
        <v>44354.409942129627</v>
      </c>
      <c r="AV618" t="s">
        <v>71</v>
      </c>
      <c r="AW618" t="s">
        <v>72</v>
      </c>
      <c r="AX618" t="s">
        <v>73</v>
      </c>
    </row>
    <row r="619" spans="1:50" x14ac:dyDescent="0.3">
      <c r="A619" t="str">
        <f>"201864C0100"</f>
        <v>201864C0100</v>
      </c>
      <c r="B619" t="str">
        <f>"201864C01002"</f>
        <v>201864C01002</v>
      </c>
      <c r="C619" t="str">
        <f t="shared" si="27"/>
        <v>20</v>
      </c>
      <c r="D619" t="s">
        <v>67</v>
      </c>
      <c r="E619" t="str">
        <f t="shared" si="26"/>
        <v>003</v>
      </c>
      <c r="F619" t="s">
        <v>511</v>
      </c>
      <c r="G619" t="str">
        <f>"1864"</f>
        <v>1864</v>
      </c>
      <c r="H619" t="str">
        <f>"0001"</f>
        <v>0001</v>
      </c>
      <c r="I619" t="s">
        <v>75</v>
      </c>
      <c r="J619">
        <v>0</v>
      </c>
      <c r="K619">
        <v>1</v>
      </c>
      <c r="L619">
        <v>2</v>
      </c>
      <c r="M619">
        <v>161</v>
      </c>
      <c r="N619">
        <v>457</v>
      </c>
      <c r="O619">
        <v>9</v>
      </c>
      <c r="P619">
        <v>457</v>
      </c>
      <c r="Q619">
        <v>10</v>
      </c>
      <c r="R619">
        <v>32</v>
      </c>
      <c r="S619">
        <v>79</v>
      </c>
      <c r="T619">
        <v>12</v>
      </c>
      <c r="U619">
        <v>2</v>
      </c>
      <c r="V619">
        <v>14</v>
      </c>
      <c r="W619">
        <v>2</v>
      </c>
      <c r="X619">
        <v>229</v>
      </c>
      <c r="Y619">
        <v>19</v>
      </c>
      <c r="Z619">
        <v>29</v>
      </c>
      <c r="AA619">
        <v>8</v>
      </c>
      <c r="AB619">
        <v>3</v>
      </c>
      <c r="AD619">
        <v>8</v>
      </c>
      <c r="AE619">
        <v>0</v>
      </c>
      <c r="AF619">
        <v>0</v>
      </c>
      <c r="AG619">
        <v>1</v>
      </c>
      <c r="AI619">
        <v>0</v>
      </c>
      <c r="AJ619">
        <v>9</v>
      </c>
      <c r="AK619">
        <v>457</v>
      </c>
      <c r="AL619">
        <v>457</v>
      </c>
      <c r="AM619">
        <v>574</v>
      </c>
      <c r="AN619">
        <v>44</v>
      </c>
      <c r="AP619">
        <v>1</v>
      </c>
      <c r="AR619" t="s">
        <v>702</v>
      </c>
      <c r="AS619" s="1">
        <v>44354.211111111108</v>
      </c>
      <c r="AT619" s="1">
        <v>44354.215069444443</v>
      </c>
      <c r="AU619" s="1">
        <v>44354.215787037036</v>
      </c>
      <c r="AV619" t="s">
        <v>71</v>
      </c>
      <c r="AW619" t="s">
        <v>72</v>
      </c>
      <c r="AX619" t="s">
        <v>73</v>
      </c>
    </row>
    <row r="620" spans="1:50" x14ac:dyDescent="0.3">
      <c r="A620" t="str">
        <f>"201865B0000"</f>
        <v>201865B0000</v>
      </c>
      <c r="B620" t="str">
        <f>"201865B00002"</f>
        <v>201865B00002</v>
      </c>
      <c r="C620" t="str">
        <f t="shared" si="27"/>
        <v>20</v>
      </c>
      <c r="D620" t="s">
        <v>67</v>
      </c>
      <c r="E620" t="str">
        <f t="shared" si="26"/>
        <v>003</v>
      </c>
      <c r="F620" t="s">
        <v>511</v>
      </c>
      <c r="G620" t="str">
        <f>"1865"</f>
        <v>1865</v>
      </c>
      <c r="H620" t="str">
        <f>"0000"</f>
        <v>0000</v>
      </c>
      <c r="I620" t="s">
        <v>69</v>
      </c>
      <c r="J620">
        <v>0</v>
      </c>
      <c r="K620">
        <v>1</v>
      </c>
      <c r="L620">
        <v>2</v>
      </c>
      <c r="M620">
        <v>146</v>
      </c>
      <c r="N620">
        <v>300</v>
      </c>
      <c r="O620">
        <v>0</v>
      </c>
      <c r="P620">
        <v>300</v>
      </c>
      <c r="Q620">
        <v>4</v>
      </c>
      <c r="R620">
        <v>24</v>
      </c>
      <c r="S620">
        <v>16</v>
      </c>
      <c r="T620">
        <v>50</v>
      </c>
      <c r="U620">
        <v>3</v>
      </c>
      <c r="V620">
        <v>12</v>
      </c>
      <c r="W620">
        <v>1</v>
      </c>
      <c r="X620">
        <v>92</v>
      </c>
      <c r="Y620">
        <v>6</v>
      </c>
      <c r="Z620">
        <v>57</v>
      </c>
      <c r="AA620">
        <v>17</v>
      </c>
      <c r="AB620">
        <v>0</v>
      </c>
      <c r="AD620">
        <v>2</v>
      </c>
      <c r="AE620">
        <v>0</v>
      </c>
      <c r="AF620">
        <v>0</v>
      </c>
      <c r="AG620">
        <v>1</v>
      </c>
      <c r="AI620">
        <v>0</v>
      </c>
      <c r="AJ620">
        <v>15</v>
      </c>
      <c r="AK620">
        <v>300</v>
      </c>
      <c r="AL620">
        <v>300</v>
      </c>
      <c r="AM620">
        <v>402</v>
      </c>
      <c r="AN620">
        <v>44</v>
      </c>
      <c r="AP620">
        <v>1</v>
      </c>
      <c r="AR620" t="s">
        <v>703</v>
      </c>
      <c r="AS620" s="1">
        <v>44354.220833333333</v>
      </c>
      <c r="AT620" s="1">
        <v>44354.225254629629</v>
      </c>
      <c r="AU620" s="1">
        <v>44354.22552083333</v>
      </c>
      <c r="AV620" t="s">
        <v>71</v>
      </c>
      <c r="AW620" t="s">
        <v>72</v>
      </c>
      <c r="AX620" t="s">
        <v>73</v>
      </c>
    </row>
    <row r="621" spans="1:50" x14ac:dyDescent="0.3">
      <c r="A621" t="str">
        <f>"201865C0100"</f>
        <v>201865C0100</v>
      </c>
      <c r="B621" t="str">
        <f>"201865C01002"</f>
        <v>201865C01002</v>
      </c>
      <c r="C621" t="str">
        <f t="shared" si="27"/>
        <v>20</v>
      </c>
      <c r="D621" t="s">
        <v>67</v>
      </c>
      <c r="E621" t="str">
        <f t="shared" ref="E621:E641" si="28">"003"</f>
        <v>003</v>
      </c>
      <c r="F621" t="s">
        <v>511</v>
      </c>
      <c r="G621" t="str">
        <f>"1865"</f>
        <v>1865</v>
      </c>
      <c r="H621" t="str">
        <f>"0001"</f>
        <v>0001</v>
      </c>
      <c r="I621" t="s">
        <v>75</v>
      </c>
      <c r="J621">
        <v>0</v>
      </c>
      <c r="K621">
        <v>1</v>
      </c>
      <c r="L621">
        <v>2</v>
      </c>
      <c r="M621">
        <v>167</v>
      </c>
      <c r="N621">
        <v>279</v>
      </c>
      <c r="O621">
        <v>0</v>
      </c>
      <c r="P621">
        <v>279</v>
      </c>
      <c r="Q621">
        <v>5</v>
      </c>
      <c r="R621">
        <v>45</v>
      </c>
      <c r="S621">
        <v>12</v>
      </c>
      <c r="T621">
        <v>22</v>
      </c>
      <c r="U621">
        <v>0</v>
      </c>
      <c r="V621">
        <v>4</v>
      </c>
      <c r="W621">
        <v>2</v>
      </c>
      <c r="X621">
        <v>100</v>
      </c>
      <c r="Y621">
        <v>4</v>
      </c>
      <c r="Z621">
        <v>53</v>
      </c>
      <c r="AA621">
        <v>16</v>
      </c>
      <c r="AB621">
        <v>1</v>
      </c>
      <c r="AD621">
        <v>2</v>
      </c>
      <c r="AE621">
        <v>0</v>
      </c>
      <c r="AF621">
        <v>0</v>
      </c>
      <c r="AG621">
        <v>0</v>
      </c>
      <c r="AI621">
        <v>0</v>
      </c>
      <c r="AJ621">
        <v>13</v>
      </c>
      <c r="AK621">
        <v>279</v>
      </c>
      <c r="AL621">
        <v>279</v>
      </c>
      <c r="AM621">
        <v>402</v>
      </c>
      <c r="AN621">
        <v>44</v>
      </c>
      <c r="AP621">
        <v>1</v>
      </c>
      <c r="AR621" t="s">
        <v>704</v>
      </c>
      <c r="AS621" s="1">
        <v>44354.220833333333</v>
      </c>
      <c r="AT621" s="1">
        <v>44354.224305555559</v>
      </c>
      <c r="AU621" s="1">
        <v>44354.225439814814</v>
      </c>
      <c r="AV621" t="s">
        <v>71</v>
      </c>
      <c r="AW621" t="s">
        <v>72</v>
      </c>
      <c r="AX621" t="s">
        <v>73</v>
      </c>
    </row>
    <row r="622" spans="1:50" x14ac:dyDescent="0.3">
      <c r="A622" t="str">
        <f>"202025B0000"</f>
        <v>202025B0000</v>
      </c>
      <c r="B622" t="str">
        <f>"202025B00002"</f>
        <v>202025B00002</v>
      </c>
      <c r="C622" t="str">
        <f t="shared" si="27"/>
        <v>20</v>
      </c>
      <c r="D622" t="s">
        <v>67</v>
      </c>
      <c r="E622" t="str">
        <f t="shared" si="28"/>
        <v>003</v>
      </c>
      <c r="F622" t="s">
        <v>511</v>
      </c>
      <c r="G622" t="str">
        <f>"2025"</f>
        <v>2025</v>
      </c>
      <c r="H622" t="str">
        <f>"0000"</f>
        <v>0000</v>
      </c>
      <c r="I622" t="s">
        <v>69</v>
      </c>
      <c r="J622">
        <v>0</v>
      </c>
      <c r="K622">
        <v>1</v>
      </c>
      <c r="L622">
        <v>2</v>
      </c>
      <c r="M622">
        <v>309</v>
      </c>
      <c r="N622">
        <v>416</v>
      </c>
      <c r="O622">
        <v>0</v>
      </c>
      <c r="P622">
        <v>416</v>
      </c>
      <c r="Q622">
        <v>7</v>
      </c>
      <c r="R622">
        <v>162</v>
      </c>
      <c r="S622">
        <v>75</v>
      </c>
      <c r="T622">
        <v>5</v>
      </c>
      <c r="U622">
        <v>9</v>
      </c>
      <c r="V622">
        <v>8</v>
      </c>
      <c r="W622">
        <v>1</v>
      </c>
      <c r="X622">
        <v>118</v>
      </c>
      <c r="Y622">
        <v>0</v>
      </c>
      <c r="Z622">
        <v>4</v>
      </c>
      <c r="AA622">
        <v>2</v>
      </c>
      <c r="AB622">
        <v>0</v>
      </c>
      <c r="AD622">
        <v>2</v>
      </c>
      <c r="AE622">
        <v>1</v>
      </c>
      <c r="AF622">
        <v>0</v>
      </c>
      <c r="AG622">
        <v>2</v>
      </c>
      <c r="AI622">
        <v>0</v>
      </c>
      <c r="AJ622">
        <v>20</v>
      </c>
      <c r="AK622">
        <v>416</v>
      </c>
      <c r="AL622">
        <v>416</v>
      </c>
      <c r="AM622">
        <v>681</v>
      </c>
      <c r="AN622">
        <v>44</v>
      </c>
      <c r="AP622">
        <v>1</v>
      </c>
      <c r="AR622" t="s">
        <v>705</v>
      </c>
      <c r="AS622" s="1">
        <v>44354.102083333331</v>
      </c>
      <c r="AT622" s="1">
        <v>44354.10596064815</v>
      </c>
      <c r="AU622" s="1">
        <v>44354.106620370374</v>
      </c>
      <c r="AV622" t="s">
        <v>71</v>
      </c>
      <c r="AW622" t="s">
        <v>72</v>
      </c>
      <c r="AX622" t="s">
        <v>73</v>
      </c>
    </row>
    <row r="623" spans="1:50" x14ac:dyDescent="0.3">
      <c r="A623" t="str">
        <f>"202025C0100"</f>
        <v>202025C0100</v>
      </c>
      <c r="B623" t="str">
        <f>"202025C01002"</f>
        <v>202025C01002</v>
      </c>
      <c r="C623" t="str">
        <f t="shared" si="27"/>
        <v>20</v>
      </c>
      <c r="D623" t="s">
        <v>67</v>
      </c>
      <c r="E623" t="str">
        <f t="shared" si="28"/>
        <v>003</v>
      </c>
      <c r="F623" t="s">
        <v>511</v>
      </c>
      <c r="G623" t="str">
        <f>"2025"</f>
        <v>2025</v>
      </c>
      <c r="H623" t="str">
        <f>"0001"</f>
        <v>0001</v>
      </c>
      <c r="I623" t="s">
        <v>75</v>
      </c>
      <c r="J623">
        <v>0</v>
      </c>
      <c r="K623">
        <v>1</v>
      </c>
      <c r="L623">
        <v>2</v>
      </c>
      <c r="M623">
        <v>305</v>
      </c>
      <c r="N623">
        <v>420</v>
      </c>
      <c r="O623">
        <v>0</v>
      </c>
      <c r="P623">
        <v>420</v>
      </c>
      <c r="Q623">
        <v>13</v>
      </c>
      <c r="R623">
        <v>179</v>
      </c>
      <c r="S623">
        <v>73</v>
      </c>
      <c r="T623">
        <v>10</v>
      </c>
      <c r="U623">
        <v>9</v>
      </c>
      <c r="V623">
        <v>5</v>
      </c>
      <c r="W623">
        <v>0</v>
      </c>
      <c r="X623">
        <v>95</v>
      </c>
      <c r="Y623">
        <v>1</v>
      </c>
      <c r="Z623">
        <v>5</v>
      </c>
      <c r="AA623">
        <v>3</v>
      </c>
      <c r="AB623">
        <v>1</v>
      </c>
      <c r="AD623">
        <v>3</v>
      </c>
      <c r="AE623">
        <v>5</v>
      </c>
      <c r="AF623">
        <v>0</v>
      </c>
      <c r="AG623">
        <v>2</v>
      </c>
      <c r="AI623">
        <v>0</v>
      </c>
      <c r="AJ623">
        <v>16</v>
      </c>
      <c r="AK623">
        <v>420</v>
      </c>
      <c r="AL623">
        <v>420</v>
      </c>
      <c r="AM623">
        <v>681</v>
      </c>
      <c r="AN623">
        <v>44</v>
      </c>
      <c r="AP623">
        <v>1</v>
      </c>
      <c r="AR623" t="s">
        <v>706</v>
      </c>
      <c r="AS623" s="1">
        <v>44354.102777777778</v>
      </c>
      <c r="AT623" s="1">
        <v>44354.106562499997</v>
      </c>
      <c r="AU623" s="1">
        <v>44354.107106481482</v>
      </c>
      <c r="AV623" t="s">
        <v>71</v>
      </c>
      <c r="AW623" t="s">
        <v>72</v>
      </c>
      <c r="AX623" t="s">
        <v>73</v>
      </c>
    </row>
    <row r="624" spans="1:50" x14ac:dyDescent="0.3">
      <c r="A624" t="str">
        <f>"202025E0100"</f>
        <v>202025E0100</v>
      </c>
      <c r="B624" t="str">
        <f>"202025E01002"</f>
        <v>202025E01002</v>
      </c>
      <c r="C624" t="str">
        <f t="shared" si="27"/>
        <v>20</v>
      </c>
      <c r="D624" t="s">
        <v>67</v>
      </c>
      <c r="E624" t="str">
        <f t="shared" si="28"/>
        <v>003</v>
      </c>
      <c r="F624" t="s">
        <v>511</v>
      </c>
      <c r="G624" t="str">
        <f>"2025"</f>
        <v>2025</v>
      </c>
      <c r="H624" t="str">
        <f>"0001"</f>
        <v>0001</v>
      </c>
      <c r="I624" t="s">
        <v>109</v>
      </c>
      <c r="J624">
        <v>0</v>
      </c>
      <c r="K624">
        <v>1</v>
      </c>
      <c r="L624">
        <v>2</v>
      </c>
      <c r="M624">
        <v>206</v>
      </c>
      <c r="N624">
        <v>353</v>
      </c>
      <c r="O624">
        <v>0</v>
      </c>
      <c r="P624">
        <v>353</v>
      </c>
      <c r="Q624">
        <v>87</v>
      </c>
      <c r="R624">
        <v>112</v>
      </c>
      <c r="S624">
        <v>8</v>
      </c>
      <c r="T624">
        <v>2</v>
      </c>
      <c r="U624">
        <v>5</v>
      </c>
      <c r="V624">
        <v>1</v>
      </c>
      <c r="W624">
        <v>3</v>
      </c>
      <c r="X624">
        <v>115</v>
      </c>
      <c r="Y624">
        <v>0</v>
      </c>
      <c r="Z624">
        <v>3</v>
      </c>
      <c r="AA624">
        <v>5</v>
      </c>
      <c r="AB624">
        <v>0</v>
      </c>
      <c r="AD624">
        <v>0</v>
      </c>
      <c r="AE624">
        <v>0</v>
      </c>
      <c r="AF624">
        <v>2</v>
      </c>
      <c r="AG624">
        <v>0</v>
      </c>
      <c r="AI624">
        <v>0</v>
      </c>
      <c r="AJ624">
        <v>10</v>
      </c>
      <c r="AK624">
        <v>353</v>
      </c>
      <c r="AL624">
        <v>353</v>
      </c>
      <c r="AM624">
        <v>515</v>
      </c>
      <c r="AN624">
        <v>44</v>
      </c>
      <c r="AP624">
        <v>1</v>
      </c>
      <c r="AR624" t="s">
        <v>707</v>
      </c>
      <c r="AS624" s="1">
        <v>44354.102777777778</v>
      </c>
      <c r="AT624" s="1">
        <v>44354.108622685184</v>
      </c>
      <c r="AU624" s="1">
        <v>44354.108993055554</v>
      </c>
      <c r="AV624" t="s">
        <v>71</v>
      </c>
      <c r="AW624" t="s">
        <v>72</v>
      </c>
      <c r="AX624" t="s">
        <v>73</v>
      </c>
    </row>
    <row r="625" spans="1:50" x14ac:dyDescent="0.3">
      <c r="A625" t="str">
        <f>"202025E0200"</f>
        <v>202025E0200</v>
      </c>
      <c r="B625" t="str">
        <f>"202025E02002"</f>
        <v>202025E02002</v>
      </c>
      <c r="C625" t="str">
        <f t="shared" si="27"/>
        <v>20</v>
      </c>
      <c r="D625" t="s">
        <v>67</v>
      </c>
      <c r="E625" t="str">
        <f t="shared" si="28"/>
        <v>003</v>
      </c>
      <c r="F625" t="s">
        <v>511</v>
      </c>
      <c r="G625" t="str">
        <f>"2025"</f>
        <v>2025</v>
      </c>
      <c r="H625" t="str">
        <f>"0002"</f>
        <v>0002</v>
      </c>
      <c r="I625" t="s">
        <v>109</v>
      </c>
      <c r="J625">
        <v>0</v>
      </c>
      <c r="K625">
        <v>1</v>
      </c>
      <c r="L625">
        <v>2</v>
      </c>
      <c r="M625">
        <v>123</v>
      </c>
      <c r="N625">
        <v>87</v>
      </c>
      <c r="O625">
        <v>2</v>
      </c>
      <c r="P625">
        <v>87</v>
      </c>
      <c r="Q625">
        <v>1</v>
      </c>
      <c r="R625">
        <v>49</v>
      </c>
      <c r="S625">
        <v>0</v>
      </c>
      <c r="T625">
        <v>2</v>
      </c>
      <c r="U625">
        <v>0</v>
      </c>
      <c r="V625">
        <v>1</v>
      </c>
      <c r="W625">
        <v>0</v>
      </c>
      <c r="X625">
        <v>25</v>
      </c>
      <c r="Y625">
        <v>0</v>
      </c>
      <c r="Z625">
        <v>2</v>
      </c>
      <c r="AA625">
        <v>0</v>
      </c>
      <c r="AB625">
        <v>0</v>
      </c>
      <c r="AD625">
        <v>0</v>
      </c>
      <c r="AE625">
        <v>0</v>
      </c>
      <c r="AF625">
        <v>0</v>
      </c>
      <c r="AG625">
        <v>1</v>
      </c>
      <c r="AI625">
        <v>0</v>
      </c>
      <c r="AJ625">
        <v>6</v>
      </c>
      <c r="AK625">
        <v>87</v>
      </c>
      <c r="AL625">
        <v>87</v>
      </c>
      <c r="AM625">
        <v>166</v>
      </c>
      <c r="AN625">
        <v>44</v>
      </c>
      <c r="AP625">
        <v>1</v>
      </c>
      <c r="AR625" t="s">
        <v>708</v>
      </c>
      <c r="AS625" s="1">
        <v>44354.197222222225</v>
      </c>
      <c r="AT625" s="1">
        <v>44354.201365740744</v>
      </c>
      <c r="AU625" s="1">
        <v>44354.203194444446</v>
      </c>
      <c r="AV625" t="s">
        <v>71</v>
      </c>
      <c r="AW625" t="s">
        <v>72</v>
      </c>
      <c r="AX625" t="s">
        <v>73</v>
      </c>
    </row>
    <row r="626" spans="1:50" x14ac:dyDescent="0.3">
      <c r="A626" t="str">
        <f>"202026B0000"</f>
        <v>202026B0000</v>
      </c>
      <c r="B626" t="str">
        <f>"202026B00002"</f>
        <v>202026B00002</v>
      </c>
      <c r="C626" t="str">
        <f t="shared" si="27"/>
        <v>20</v>
      </c>
      <c r="D626" t="s">
        <v>67</v>
      </c>
      <c r="E626" t="str">
        <f t="shared" si="28"/>
        <v>003</v>
      </c>
      <c r="F626" t="s">
        <v>511</v>
      </c>
      <c r="G626" t="str">
        <f>"2026"</f>
        <v>2026</v>
      </c>
      <c r="H626" t="str">
        <f>"0000"</f>
        <v>0000</v>
      </c>
      <c r="I626" t="s">
        <v>69</v>
      </c>
      <c r="J626">
        <v>0</v>
      </c>
      <c r="K626">
        <v>1</v>
      </c>
      <c r="L626">
        <v>2</v>
      </c>
      <c r="M626">
        <v>218</v>
      </c>
      <c r="N626">
        <v>207</v>
      </c>
      <c r="O626">
        <v>0</v>
      </c>
      <c r="P626">
        <v>207</v>
      </c>
      <c r="Q626">
        <v>5</v>
      </c>
      <c r="R626">
        <v>95</v>
      </c>
      <c r="S626">
        <v>19</v>
      </c>
      <c r="T626">
        <v>1</v>
      </c>
      <c r="U626">
        <v>3</v>
      </c>
      <c r="V626">
        <v>9</v>
      </c>
      <c r="W626">
        <v>2</v>
      </c>
      <c r="X626">
        <v>49</v>
      </c>
      <c r="Y626">
        <v>1</v>
      </c>
      <c r="Z626">
        <v>5</v>
      </c>
      <c r="AA626">
        <v>8</v>
      </c>
      <c r="AB626">
        <v>0</v>
      </c>
      <c r="AD626">
        <v>3</v>
      </c>
      <c r="AE626">
        <v>0</v>
      </c>
      <c r="AF626">
        <v>0</v>
      </c>
      <c r="AG626">
        <v>1</v>
      </c>
      <c r="AI626">
        <v>0</v>
      </c>
      <c r="AJ626">
        <v>6</v>
      </c>
      <c r="AK626">
        <v>207</v>
      </c>
      <c r="AL626">
        <v>207</v>
      </c>
      <c r="AM626">
        <v>381</v>
      </c>
      <c r="AN626">
        <v>44</v>
      </c>
      <c r="AP626">
        <v>1</v>
      </c>
      <c r="AR626" t="s">
        <v>709</v>
      </c>
      <c r="AS626" s="1">
        <v>44354.118750000001</v>
      </c>
      <c r="AT626" s="1">
        <v>44354.121747685182</v>
      </c>
      <c r="AU626" s="1">
        <v>44354.122118055559</v>
      </c>
      <c r="AV626" t="s">
        <v>71</v>
      </c>
      <c r="AW626" t="s">
        <v>72</v>
      </c>
      <c r="AX626" t="s">
        <v>73</v>
      </c>
    </row>
    <row r="627" spans="1:50" x14ac:dyDescent="0.3">
      <c r="A627" t="str">
        <f>"202026E0100"</f>
        <v>202026E0100</v>
      </c>
      <c r="B627" t="str">
        <f>"202026E01002"</f>
        <v>202026E01002</v>
      </c>
      <c r="C627" t="str">
        <f t="shared" si="27"/>
        <v>20</v>
      </c>
      <c r="D627" t="s">
        <v>67</v>
      </c>
      <c r="E627" t="str">
        <f t="shared" si="28"/>
        <v>003</v>
      </c>
      <c r="F627" t="s">
        <v>511</v>
      </c>
      <c r="G627" t="str">
        <f>"2026"</f>
        <v>2026</v>
      </c>
      <c r="H627" t="str">
        <f>"0001"</f>
        <v>0001</v>
      </c>
      <c r="I627" t="s">
        <v>109</v>
      </c>
      <c r="J627">
        <v>0</v>
      </c>
      <c r="K627">
        <v>1</v>
      </c>
      <c r="L627">
        <v>2</v>
      </c>
      <c r="M627">
        <v>258</v>
      </c>
      <c r="N627">
        <v>443</v>
      </c>
      <c r="O627">
        <v>1</v>
      </c>
      <c r="P627">
        <v>443</v>
      </c>
      <c r="Q627">
        <v>6</v>
      </c>
      <c r="R627">
        <v>186</v>
      </c>
      <c r="S627">
        <v>7</v>
      </c>
      <c r="T627">
        <v>1</v>
      </c>
      <c r="U627">
        <v>2</v>
      </c>
      <c r="V627">
        <v>2</v>
      </c>
      <c r="W627">
        <v>1</v>
      </c>
      <c r="X627">
        <v>208</v>
      </c>
      <c r="Y627">
        <v>1</v>
      </c>
      <c r="Z627">
        <v>6</v>
      </c>
      <c r="AA627">
        <v>1</v>
      </c>
      <c r="AB627">
        <v>0</v>
      </c>
      <c r="AD627">
        <v>3</v>
      </c>
      <c r="AE627">
        <v>1</v>
      </c>
      <c r="AF627">
        <v>1</v>
      </c>
      <c r="AG627">
        <v>0</v>
      </c>
      <c r="AI627">
        <v>0</v>
      </c>
      <c r="AJ627">
        <v>17</v>
      </c>
      <c r="AK627">
        <v>443</v>
      </c>
      <c r="AL627">
        <v>443</v>
      </c>
      <c r="AM627">
        <v>657</v>
      </c>
      <c r="AN627">
        <v>44</v>
      </c>
      <c r="AP627">
        <v>1</v>
      </c>
      <c r="AR627" t="s">
        <v>710</v>
      </c>
      <c r="AS627" s="1">
        <v>44354.118750000001</v>
      </c>
      <c r="AT627" s="1">
        <v>44354.12226851852</v>
      </c>
      <c r="AU627" s="1">
        <v>44354.122754629629</v>
      </c>
      <c r="AV627" t="s">
        <v>71</v>
      </c>
      <c r="AW627" t="s">
        <v>72</v>
      </c>
      <c r="AX627" t="s">
        <v>73</v>
      </c>
    </row>
    <row r="628" spans="1:50" x14ac:dyDescent="0.3">
      <c r="A628" t="str">
        <f>"202027B0000"</f>
        <v>202027B0000</v>
      </c>
      <c r="B628" t="str">
        <f>"202027B00002"</f>
        <v>202027B00002</v>
      </c>
      <c r="C628" t="str">
        <f t="shared" si="27"/>
        <v>20</v>
      </c>
      <c r="D628" t="s">
        <v>67</v>
      </c>
      <c r="E628" t="str">
        <f t="shared" si="28"/>
        <v>003</v>
      </c>
      <c r="F628" t="s">
        <v>511</v>
      </c>
      <c r="G628" t="str">
        <f>"2027"</f>
        <v>2027</v>
      </c>
      <c r="H628" t="str">
        <f>"0000"</f>
        <v>0000</v>
      </c>
      <c r="I628" t="s">
        <v>69</v>
      </c>
      <c r="J628">
        <v>0</v>
      </c>
      <c r="K628">
        <v>1</v>
      </c>
      <c r="L628">
        <v>2</v>
      </c>
      <c r="M628">
        <v>254</v>
      </c>
      <c r="N628">
        <v>271</v>
      </c>
      <c r="O628">
        <v>271</v>
      </c>
      <c r="P628">
        <v>271</v>
      </c>
      <c r="Q628">
        <v>9</v>
      </c>
      <c r="R628">
        <v>124</v>
      </c>
      <c r="S628">
        <v>6</v>
      </c>
      <c r="T628">
        <v>2</v>
      </c>
      <c r="U628">
        <v>2</v>
      </c>
      <c r="V628">
        <v>1</v>
      </c>
      <c r="W628">
        <v>0</v>
      </c>
      <c r="X628">
        <v>108</v>
      </c>
      <c r="Y628">
        <v>0</v>
      </c>
      <c r="Z628">
        <v>6</v>
      </c>
      <c r="AA628">
        <v>2</v>
      </c>
      <c r="AB628">
        <v>3</v>
      </c>
      <c r="AD628">
        <v>1</v>
      </c>
      <c r="AE628">
        <v>2</v>
      </c>
      <c r="AF628">
        <v>0</v>
      </c>
      <c r="AG628">
        <v>1</v>
      </c>
      <c r="AI628">
        <v>0</v>
      </c>
      <c r="AJ628">
        <v>4</v>
      </c>
      <c r="AK628">
        <v>271</v>
      </c>
      <c r="AL628">
        <v>271</v>
      </c>
      <c r="AM628">
        <v>481</v>
      </c>
      <c r="AN628">
        <v>44</v>
      </c>
      <c r="AP628">
        <v>1</v>
      </c>
      <c r="AR628" t="s">
        <v>711</v>
      </c>
      <c r="AS628" s="1">
        <v>44354.054166666669</v>
      </c>
      <c r="AT628" s="1">
        <v>44354.107916666668</v>
      </c>
      <c r="AU628" s="1">
        <v>44354.108553240738</v>
      </c>
      <c r="AV628" t="s">
        <v>71</v>
      </c>
      <c r="AW628" t="s">
        <v>72</v>
      </c>
      <c r="AX628" t="s">
        <v>73</v>
      </c>
    </row>
    <row r="629" spans="1:50" x14ac:dyDescent="0.3">
      <c r="A629" t="str">
        <f>"202028B0000"</f>
        <v>202028B0000</v>
      </c>
      <c r="B629" t="str">
        <f>"202028B00002"</f>
        <v>202028B00002</v>
      </c>
      <c r="C629" t="str">
        <f t="shared" si="27"/>
        <v>20</v>
      </c>
      <c r="D629" t="s">
        <v>67</v>
      </c>
      <c r="E629" t="str">
        <f t="shared" si="28"/>
        <v>003</v>
      </c>
      <c r="F629" t="s">
        <v>511</v>
      </c>
      <c r="G629" t="str">
        <f>"2028"</f>
        <v>2028</v>
      </c>
      <c r="H629" t="str">
        <f>"0000"</f>
        <v>0000</v>
      </c>
      <c r="I629" t="s">
        <v>69</v>
      </c>
      <c r="J629">
        <v>0</v>
      </c>
      <c r="K629">
        <v>1</v>
      </c>
      <c r="L629">
        <v>2</v>
      </c>
      <c r="M629">
        <v>164</v>
      </c>
      <c r="N629">
        <v>82</v>
      </c>
      <c r="O629">
        <v>1</v>
      </c>
      <c r="P629">
        <v>82</v>
      </c>
      <c r="Q629">
        <v>4</v>
      </c>
      <c r="R629">
        <v>44</v>
      </c>
      <c r="S629">
        <v>6</v>
      </c>
      <c r="T629">
        <v>1</v>
      </c>
      <c r="U629">
        <v>0</v>
      </c>
      <c r="V629">
        <v>0</v>
      </c>
      <c r="W629">
        <v>1</v>
      </c>
      <c r="X629">
        <v>24</v>
      </c>
      <c r="Y629">
        <v>0</v>
      </c>
      <c r="Z629">
        <v>0</v>
      </c>
      <c r="AA629">
        <v>0</v>
      </c>
      <c r="AB629">
        <v>0</v>
      </c>
      <c r="AD629">
        <v>0</v>
      </c>
      <c r="AE629">
        <v>0</v>
      </c>
      <c r="AF629">
        <v>0</v>
      </c>
      <c r="AG629">
        <v>0</v>
      </c>
      <c r="AI629">
        <v>0</v>
      </c>
      <c r="AJ629">
        <v>2</v>
      </c>
      <c r="AK629">
        <v>82</v>
      </c>
      <c r="AL629">
        <v>82</v>
      </c>
      <c r="AM629">
        <v>202</v>
      </c>
      <c r="AN629">
        <v>44</v>
      </c>
      <c r="AP629">
        <v>1</v>
      </c>
      <c r="AR629" t="s">
        <v>712</v>
      </c>
      <c r="AS629" s="1">
        <v>44354.118750000001</v>
      </c>
      <c r="AT629" s="1">
        <v>44354.121562499997</v>
      </c>
      <c r="AU629" s="1">
        <v>44354.121805555558</v>
      </c>
      <c r="AV629" t="s">
        <v>71</v>
      </c>
      <c r="AW629" t="s">
        <v>72</v>
      </c>
      <c r="AX629" t="s">
        <v>73</v>
      </c>
    </row>
    <row r="630" spans="1:50" x14ac:dyDescent="0.3">
      <c r="A630" t="str">
        <f>"202029B0000"</f>
        <v>202029B0000</v>
      </c>
      <c r="B630" t="str">
        <f>"202029B00002"</f>
        <v>202029B00002</v>
      </c>
      <c r="C630" t="str">
        <f t="shared" si="27"/>
        <v>20</v>
      </c>
      <c r="D630" t="s">
        <v>67</v>
      </c>
      <c r="E630" t="str">
        <f t="shared" si="28"/>
        <v>003</v>
      </c>
      <c r="F630" t="s">
        <v>511</v>
      </c>
      <c r="G630" t="str">
        <f>"2029"</f>
        <v>2029</v>
      </c>
      <c r="H630" t="str">
        <f>"0000"</f>
        <v>0000</v>
      </c>
      <c r="I630" t="s">
        <v>69</v>
      </c>
      <c r="J630">
        <v>0</v>
      </c>
      <c r="K630">
        <v>1</v>
      </c>
      <c r="L630">
        <v>2</v>
      </c>
      <c r="M630">
        <v>282</v>
      </c>
      <c r="N630">
        <v>414</v>
      </c>
      <c r="O630">
        <v>0</v>
      </c>
      <c r="P630" t="s">
        <v>80</v>
      </c>
      <c r="Q630">
        <v>3</v>
      </c>
      <c r="R630">
        <v>132</v>
      </c>
      <c r="S630">
        <v>6</v>
      </c>
      <c r="T630">
        <v>5</v>
      </c>
      <c r="U630">
        <v>13</v>
      </c>
      <c r="V630">
        <v>6</v>
      </c>
      <c r="W630">
        <v>2</v>
      </c>
      <c r="X630">
        <v>218</v>
      </c>
      <c r="Y630">
        <v>1</v>
      </c>
      <c r="Z630">
        <v>3</v>
      </c>
      <c r="AA630">
        <v>7</v>
      </c>
      <c r="AB630">
        <v>2</v>
      </c>
      <c r="AD630">
        <v>0</v>
      </c>
      <c r="AE630">
        <v>0</v>
      </c>
      <c r="AF630">
        <v>0</v>
      </c>
      <c r="AG630">
        <v>0</v>
      </c>
      <c r="AI630">
        <v>0</v>
      </c>
      <c r="AJ630">
        <v>16</v>
      </c>
      <c r="AK630">
        <v>414</v>
      </c>
      <c r="AL630">
        <v>414</v>
      </c>
      <c r="AM630">
        <v>652</v>
      </c>
      <c r="AN630">
        <v>44</v>
      </c>
      <c r="AP630">
        <v>1</v>
      </c>
      <c r="AR630" t="s">
        <v>713</v>
      </c>
      <c r="AS630" s="1">
        <v>44354.179166666669</v>
      </c>
      <c r="AT630" s="1">
        <v>44354.182372685187</v>
      </c>
      <c r="AU630" s="1">
        <v>44354.183761574073</v>
      </c>
      <c r="AV630" t="s">
        <v>71</v>
      </c>
      <c r="AW630" t="s">
        <v>72</v>
      </c>
      <c r="AX630" t="s">
        <v>73</v>
      </c>
    </row>
    <row r="631" spans="1:50" x14ac:dyDescent="0.3">
      <c r="A631" t="str">
        <f>"202029C0100"</f>
        <v>202029C0100</v>
      </c>
      <c r="B631" t="str">
        <f>"202029C01002"</f>
        <v>202029C01002</v>
      </c>
      <c r="C631" t="str">
        <f t="shared" si="27"/>
        <v>20</v>
      </c>
      <c r="D631" t="s">
        <v>67</v>
      </c>
      <c r="E631" t="str">
        <f t="shared" si="28"/>
        <v>003</v>
      </c>
      <c r="F631" t="s">
        <v>511</v>
      </c>
      <c r="G631" t="str">
        <f>"2029"</f>
        <v>2029</v>
      </c>
      <c r="H631" t="str">
        <f>"0001"</f>
        <v>0001</v>
      </c>
      <c r="I631" t="s">
        <v>75</v>
      </c>
      <c r="J631">
        <v>0</v>
      </c>
      <c r="K631">
        <v>1</v>
      </c>
      <c r="L631">
        <v>2</v>
      </c>
      <c r="AM631">
        <v>651</v>
      </c>
      <c r="AN631">
        <v>44</v>
      </c>
      <c r="AO631" t="s">
        <v>143</v>
      </c>
      <c r="AP631">
        <v>0</v>
      </c>
      <c r="AR631" t="s">
        <v>714</v>
      </c>
      <c r="AS631" s="1">
        <v>44354.649305555555</v>
      </c>
      <c r="AT631" s="1">
        <v>44354.651967592596</v>
      </c>
      <c r="AU631" s="1">
        <v>44354.651967592596</v>
      </c>
      <c r="AV631" t="s">
        <v>71</v>
      </c>
      <c r="AW631" t="s">
        <v>72</v>
      </c>
      <c r="AX631" t="s">
        <v>73</v>
      </c>
    </row>
    <row r="632" spans="1:50" x14ac:dyDescent="0.3">
      <c r="A632" t="str">
        <f>"202030B0000"</f>
        <v>202030B0000</v>
      </c>
      <c r="B632" t="str">
        <f>"202030B00002"</f>
        <v>202030B00002</v>
      </c>
      <c r="C632" t="str">
        <f t="shared" si="27"/>
        <v>20</v>
      </c>
      <c r="D632" t="s">
        <v>67</v>
      </c>
      <c r="E632" t="str">
        <f t="shared" si="28"/>
        <v>003</v>
      </c>
      <c r="F632" t="s">
        <v>511</v>
      </c>
      <c r="G632" t="str">
        <f>"2030"</f>
        <v>2030</v>
      </c>
      <c r="H632" t="str">
        <f>"0000"</f>
        <v>0000</v>
      </c>
      <c r="I632" t="s">
        <v>69</v>
      </c>
      <c r="J632">
        <v>0</v>
      </c>
      <c r="K632">
        <v>1</v>
      </c>
      <c r="L632">
        <v>2</v>
      </c>
      <c r="M632">
        <v>148</v>
      </c>
      <c r="N632">
        <v>217</v>
      </c>
      <c r="O632">
        <v>0</v>
      </c>
      <c r="P632">
        <v>217</v>
      </c>
      <c r="Q632">
        <v>5</v>
      </c>
      <c r="R632">
        <v>83</v>
      </c>
      <c r="S632">
        <v>8</v>
      </c>
      <c r="T632">
        <v>4</v>
      </c>
      <c r="U632">
        <v>3</v>
      </c>
      <c r="V632">
        <v>2</v>
      </c>
      <c r="W632">
        <v>3</v>
      </c>
      <c r="X632">
        <v>91</v>
      </c>
      <c r="Y632">
        <v>0</v>
      </c>
      <c r="Z632">
        <v>5</v>
      </c>
      <c r="AA632">
        <v>0</v>
      </c>
      <c r="AB632">
        <v>1</v>
      </c>
      <c r="AD632">
        <v>0</v>
      </c>
      <c r="AE632">
        <v>1</v>
      </c>
      <c r="AF632">
        <v>0</v>
      </c>
      <c r="AG632">
        <v>0</v>
      </c>
      <c r="AI632">
        <v>0</v>
      </c>
      <c r="AJ632">
        <v>11</v>
      </c>
      <c r="AK632">
        <v>217</v>
      </c>
      <c r="AL632">
        <v>217</v>
      </c>
      <c r="AM632">
        <v>321</v>
      </c>
      <c r="AN632">
        <v>44</v>
      </c>
      <c r="AP632">
        <v>1</v>
      </c>
      <c r="AR632" t="s">
        <v>715</v>
      </c>
      <c r="AS632" s="1">
        <v>44354.086111111108</v>
      </c>
      <c r="AT632" s="1">
        <v>44354.094224537039</v>
      </c>
      <c r="AU632" s="1">
        <v>44354.094930555555</v>
      </c>
      <c r="AV632" t="s">
        <v>71</v>
      </c>
      <c r="AW632" t="s">
        <v>72</v>
      </c>
      <c r="AX632" t="s">
        <v>73</v>
      </c>
    </row>
    <row r="633" spans="1:50" x14ac:dyDescent="0.3">
      <c r="A633" t="str">
        <f>"202030E0100"</f>
        <v>202030E0100</v>
      </c>
      <c r="B633" t="str">
        <f>"202030E01002"</f>
        <v>202030E01002</v>
      </c>
      <c r="C633" t="str">
        <f t="shared" si="27"/>
        <v>20</v>
      </c>
      <c r="D633" t="s">
        <v>67</v>
      </c>
      <c r="E633" t="str">
        <f t="shared" si="28"/>
        <v>003</v>
      </c>
      <c r="F633" t="s">
        <v>511</v>
      </c>
      <c r="G633" t="str">
        <f>"2030"</f>
        <v>2030</v>
      </c>
      <c r="H633" t="str">
        <f>"0001"</f>
        <v>0001</v>
      </c>
      <c r="I633" t="s">
        <v>109</v>
      </c>
      <c r="J633">
        <v>0</v>
      </c>
      <c r="K633">
        <v>1</v>
      </c>
      <c r="L633">
        <v>2</v>
      </c>
      <c r="M633">
        <v>259</v>
      </c>
      <c r="N633">
        <v>413</v>
      </c>
      <c r="O633">
        <v>0</v>
      </c>
      <c r="P633">
        <v>413</v>
      </c>
      <c r="Q633">
        <v>5</v>
      </c>
      <c r="R633">
        <v>152</v>
      </c>
      <c r="S633">
        <v>49</v>
      </c>
      <c r="T633">
        <v>7</v>
      </c>
      <c r="U633">
        <v>16</v>
      </c>
      <c r="V633">
        <v>3</v>
      </c>
      <c r="W633">
        <v>3</v>
      </c>
      <c r="X633">
        <v>159</v>
      </c>
      <c r="Y633">
        <v>0</v>
      </c>
      <c r="Z633">
        <v>2</v>
      </c>
      <c r="AA633">
        <v>0</v>
      </c>
      <c r="AB633">
        <v>1</v>
      </c>
      <c r="AD633">
        <v>4</v>
      </c>
      <c r="AE633">
        <v>2</v>
      </c>
      <c r="AF633">
        <v>1</v>
      </c>
      <c r="AG633">
        <v>2</v>
      </c>
      <c r="AI633">
        <v>0</v>
      </c>
      <c r="AJ633">
        <v>7</v>
      </c>
      <c r="AK633">
        <v>413</v>
      </c>
      <c r="AL633">
        <v>413</v>
      </c>
      <c r="AM633">
        <v>628</v>
      </c>
      <c r="AN633">
        <v>44</v>
      </c>
      <c r="AP633">
        <v>1</v>
      </c>
      <c r="AR633" t="s">
        <v>716</v>
      </c>
      <c r="AS633" s="1">
        <v>44354.086111111108</v>
      </c>
      <c r="AT633" s="1">
        <v>44354.0940162037</v>
      </c>
      <c r="AU633" s="1">
        <v>44354.094710648147</v>
      </c>
      <c r="AV633" t="s">
        <v>71</v>
      </c>
      <c r="AW633" t="s">
        <v>72</v>
      </c>
      <c r="AX633" t="s">
        <v>73</v>
      </c>
    </row>
    <row r="634" spans="1:50" x14ac:dyDescent="0.3">
      <c r="A634" t="str">
        <f>"202030E0200"</f>
        <v>202030E0200</v>
      </c>
      <c r="B634" t="str">
        <f>"202030E02002"</f>
        <v>202030E02002</v>
      </c>
      <c r="C634" t="str">
        <f t="shared" si="27"/>
        <v>20</v>
      </c>
      <c r="D634" t="s">
        <v>67</v>
      </c>
      <c r="E634" t="str">
        <f t="shared" si="28"/>
        <v>003</v>
      </c>
      <c r="F634" t="s">
        <v>511</v>
      </c>
      <c r="G634" t="str">
        <f>"2030"</f>
        <v>2030</v>
      </c>
      <c r="H634" t="str">
        <f>"0002"</f>
        <v>0002</v>
      </c>
      <c r="I634" t="s">
        <v>109</v>
      </c>
      <c r="J634">
        <v>0</v>
      </c>
      <c r="K634">
        <v>1</v>
      </c>
      <c r="L634">
        <v>2</v>
      </c>
      <c r="M634">
        <v>184</v>
      </c>
      <c r="N634">
        <v>363</v>
      </c>
      <c r="O634">
        <v>0</v>
      </c>
      <c r="P634" t="s">
        <v>80</v>
      </c>
      <c r="Q634">
        <v>16</v>
      </c>
      <c r="R634">
        <v>158</v>
      </c>
      <c r="S634">
        <v>12</v>
      </c>
      <c r="T634">
        <v>1</v>
      </c>
      <c r="U634">
        <v>6</v>
      </c>
      <c r="V634">
        <v>1</v>
      </c>
      <c r="W634">
        <v>3</v>
      </c>
      <c r="X634">
        <v>141</v>
      </c>
      <c r="Y634">
        <v>1</v>
      </c>
      <c r="Z634">
        <v>4</v>
      </c>
      <c r="AA634">
        <v>3</v>
      </c>
      <c r="AB634">
        <v>1</v>
      </c>
      <c r="AD634">
        <v>4</v>
      </c>
      <c r="AE634">
        <v>1</v>
      </c>
      <c r="AF634">
        <v>1</v>
      </c>
      <c r="AG634">
        <v>0</v>
      </c>
      <c r="AI634">
        <v>0</v>
      </c>
      <c r="AJ634">
        <v>10</v>
      </c>
      <c r="AK634">
        <v>363</v>
      </c>
      <c r="AL634">
        <v>363</v>
      </c>
      <c r="AM634">
        <v>503</v>
      </c>
      <c r="AN634">
        <v>44</v>
      </c>
      <c r="AP634">
        <v>1</v>
      </c>
      <c r="AR634" s="2" t="s">
        <v>717</v>
      </c>
      <c r="AS634" s="1">
        <v>44354.086111111108</v>
      </c>
      <c r="AT634" s="1">
        <v>44354.0934375</v>
      </c>
      <c r="AU634" s="1">
        <v>44354.093946759262</v>
      </c>
      <c r="AV634" t="s">
        <v>71</v>
      </c>
      <c r="AW634" t="s">
        <v>72</v>
      </c>
      <c r="AX634" t="s">
        <v>73</v>
      </c>
    </row>
    <row r="635" spans="1:50" x14ac:dyDescent="0.3">
      <c r="A635" t="str">
        <f>"202031B0000"</f>
        <v>202031B0000</v>
      </c>
      <c r="B635" t="str">
        <f>"202031B00002"</f>
        <v>202031B00002</v>
      </c>
      <c r="C635" t="str">
        <f t="shared" si="27"/>
        <v>20</v>
      </c>
      <c r="D635" t="s">
        <v>67</v>
      </c>
      <c r="E635" t="str">
        <f t="shared" si="28"/>
        <v>003</v>
      </c>
      <c r="F635" t="s">
        <v>511</v>
      </c>
      <c r="G635" t="str">
        <f>"2031"</f>
        <v>2031</v>
      </c>
      <c r="H635" t="str">
        <f>"0000"</f>
        <v>0000</v>
      </c>
      <c r="I635" t="s">
        <v>69</v>
      </c>
      <c r="J635">
        <v>0</v>
      </c>
      <c r="K635">
        <v>1</v>
      </c>
      <c r="L635">
        <v>2</v>
      </c>
      <c r="M635">
        <v>240</v>
      </c>
      <c r="N635">
        <v>337</v>
      </c>
      <c r="O635">
        <v>0</v>
      </c>
      <c r="P635">
        <v>337</v>
      </c>
      <c r="Q635">
        <v>13</v>
      </c>
      <c r="R635">
        <v>160</v>
      </c>
      <c r="S635">
        <v>4</v>
      </c>
      <c r="T635">
        <v>1</v>
      </c>
      <c r="U635">
        <v>11</v>
      </c>
      <c r="V635">
        <v>2</v>
      </c>
      <c r="W635">
        <v>1</v>
      </c>
      <c r="X635">
        <v>116</v>
      </c>
      <c r="Y635">
        <v>0</v>
      </c>
      <c r="Z635">
        <v>2</v>
      </c>
      <c r="AA635">
        <v>2</v>
      </c>
      <c r="AB635">
        <v>0</v>
      </c>
      <c r="AD635">
        <v>1</v>
      </c>
      <c r="AE635">
        <v>0</v>
      </c>
      <c r="AF635">
        <v>1</v>
      </c>
      <c r="AG635">
        <v>1</v>
      </c>
      <c r="AI635">
        <v>0</v>
      </c>
      <c r="AJ635">
        <v>22</v>
      </c>
      <c r="AK635">
        <v>337</v>
      </c>
      <c r="AL635">
        <v>337</v>
      </c>
      <c r="AM635">
        <v>533</v>
      </c>
      <c r="AN635">
        <v>44</v>
      </c>
      <c r="AP635">
        <v>1</v>
      </c>
      <c r="AR635" t="s">
        <v>718</v>
      </c>
      <c r="AS635" s="1">
        <v>44354.197222222225</v>
      </c>
      <c r="AT635" s="1">
        <v>44354.201041666667</v>
      </c>
      <c r="AU635" s="1">
        <v>44354.201701388891</v>
      </c>
      <c r="AV635" t="s">
        <v>71</v>
      </c>
      <c r="AW635" t="s">
        <v>72</v>
      </c>
      <c r="AX635" t="s">
        <v>73</v>
      </c>
    </row>
    <row r="636" spans="1:50" x14ac:dyDescent="0.3">
      <c r="A636" t="str">
        <f>"202031C0100"</f>
        <v>202031C0100</v>
      </c>
      <c r="B636" t="str">
        <f>"202031C01002"</f>
        <v>202031C01002</v>
      </c>
      <c r="C636" t="str">
        <f t="shared" si="27"/>
        <v>20</v>
      </c>
      <c r="D636" t="s">
        <v>67</v>
      </c>
      <c r="E636" t="str">
        <f t="shared" si="28"/>
        <v>003</v>
      </c>
      <c r="F636" t="s">
        <v>511</v>
      </c>
      <c r="G636" t="str">
        <f>"2031"</f>
        <v>2031</v>
      </c>
      <c r="H636" t="str">
        <f>"0001"</f>
        <v>0001</v>
      </c>
      <c r="I636" t="s">
        <v>75</v>
      </c>
      <c r="J636">
        <v>0</v>
      </c>
      <c r="K636">
        <v>1</v>
      </c>
      <c r="L636">
        <v>2</v>
      </c>
      <c r="M636">
        <v>251</v>
      </c>
      <c r="N636">
        <v>326</v>
      </c>
      <c r="O636">
        <v>0</v>
      </c>
      <c r="P636">
        <v>326</v>
      </c>
      <c r="Q636">
        <v>5</v>
      </c>
      <c r="R636">
        <v>169</v>
      </c>
      <c r="S636">
        <v>4</v>
      </c>
      <c r="T636">
        <v>7</v>
      </c>
      <c r="U636">
        <v>8</v>
      </c>
      <c r="V636">
        <v>5</v>
      </c>
      <c r="W636">
        <v>2</v>
      </c>
      <c r="X636">
        <v>99</v>
      </c>
      <c r="Y636">
        <v>0</v>
      </c>
      <c r="Z636">
        <v>4</v>
      </c>
      <c r="AA636">
        <v>0</v>
      </c>
      <c r="AB636">
        <v>0</v>
      </c>
      <c r="AD636">
        <v>3</v>
      </c>
      <c r="AE636">
        <v>1</v>
      </c>
      <c r="AF636">
        <v>1</v>
      </c>
      <c r="AG636">
        <v>0</v>
      </c>
      <c r="AI636">
        <v>0</v>
      </c>
      <c r="AJ636">
        <v>18</v>
      </c>
      <c r="AK636">
        <v>326</v>
      </c>
      <c r="AL636">
        <v>326</v>
      </c>
      <c r="AM636">
        <v>533</v>
      </c>
      <c r="AN636">
        <v>44</v>
      </c>
      <c r="AP636">
        <v>1</v>
      </c>
      <c r="AR636" t="s">
        <v>719</v>
      </c>
      <c r="AS636" s="1">
        <v>44354.197916666664</v>
      </c>
      <c r="AT636" s="1">
        <v>44354.202210648145</v>
      </c>
      <c r="AU636" s="1">
        <v>44354.202893518515</v>
      </c>
      <c r="AV636" t="s">
        <v>71</v>
      </c>
      <c r="AW636" t="s">
        <v>72</v>
      </c>
      <c r="AX636" t="s">
        <v>73</v>
      </c>
    </row>
    <row r="637" spans="1:50" x14ac:dyDescent="0.3">
      <c r="A637" t="str">
        <f>"202031C0200"</f>
        <v>202031C0200</v>
      </c>
      <c r="B637" t="str">
        <f>"202031C02002"</f>
        <v>202031C02002</v>
      </c>
      <c r="C637" t="str">
        <f t="shared" si="27"/>
        <v>20</v>
      </c>
      <c r="D637" t="s">
        <v>67</v>
      </c>
      <c r="E637" t="str">
        <f t="shared" si="28"/>
        <v>003</v>
      </c>
      <c r="F637" t="s">
        <v>511</v>
      </c>
      <c r="G637" t="str">
        <f>"2031"</f>
        <v>2031</v>
      </c>
      <c r="H637" t="str">
        <f>"0002"</f>
        <v>0002</v>
      </c>
      <c r="I637" t="s">
        <v>75</v>
      </c>
      <c r="J637">
        <v>0</v>
      </c>
      <c r="K637">
        <v>1</v>
      </c>
      <c r="L637">
        <v>2</v>
      </c>
      <c r="M637">
        <v>232</v>
      </c>
      <c r="N637">
        <v>344</v>
      </c>
      <c r="O637">
        <v>3</v>
      </c>
      <c r="P637">
        <v>344</v>
      </c>
      <c r="Q637">
        <v>9</v>
      </c>
      <c r="R637">
        <v>170</v>
      </c>
      <c r="S637">
        <v>5</v>
      </c>
      <c r="T637">
        <v>4</v>
      </c>
      <c r="U637">
        <v>16</v>
      </c>
      <c r="V637">
        <v>4</v>
      </c>
      <c r="W637">
        <v>2</v>
      </c>
      <c r="X637">
        <v>113</v>
      </c>
      <c r="Y637">
        <v>1</v>
      </c>
      <c r="Z637">
        <v>1</v>
      </c>
      <c r="AA637">
        <v>1</v>
      </c>
      <c r="AB637">
        <v>0</v>
      </c>
      <c r="AD637">
        <v>3</v>
      </c>
      <c r="AE637">
        <v>0</v>
      </c>
      <c r="AF637">
        <v>0</v>
      </c>
      <c r="AG637">
        <v>0</v>
      </c>
      <c r="AI637">
        <v>0</v>
      </c>
      <c r="AJ637">
        <v>15</v>
      </c>
      <c r="AK637">
        <v>344</v>
      </c>
      <c r="AL637">
        <v>344</v>
      </c>
      <c r="AM637">
        <v>532</v>
      </c>
      <c r="AN637">
        <v>44</v>
      </c>
      <c r="AP637">
        <v>1</v>
      </c>
      <c r="AR637" t="s">
        <v>720</v>
      </c>
      <c r="AS637" s="1">
        <v>44354.197222222225</v>
      </c>
      <c r="AT637" s="1">
        <v>44354.202256944445</v>
      </c>
      <c r="AU637" s="1">
        <v>44354.202719907407</v>
      </c>
      <c r="AV637" t="s">
        <v>71</v>
      </c>
      <c r="AW637" t="s">
        <v>72</v>
      </c>
      <c r="AX637" t="s">
        <v>73</v>
      </c>
    </row>
    <row r="638" spans="1:50" x14ac:dyDescent="0.3">
      <c r="A638" t="str">
        <f>"202032B0000"</f>
        <v>202032B0000</v>
      </c>
      <c r="B638" t="str">
        <f>"202032B00002"</f>
        <v>202032B00002</v>
      </c>
      <c r="C638" t="str">
        <f t="shared" si="27"/>
        <v>20</v>
      </c>
      <c r="D638" t="s">
        <v>67</v>
      </c>
      <c r="E638" t="str">
        <f t="shared" si="28"/>
        <v>003</v>
      </c>
      <c r="F638" t="s">
        <v>511</v>
      </c>
      <c r="G638" t="str">
        <f>"2032"</f>
        <v>2032</v>
      </c>
      <c r="H638" t="str">
        <f>"0000"</f>
        <v>0000</v>
      </c>
      <c r="I638" t="s">
        <v>69</v>
      </c>
      <c r="J638">
        <v>0</v>
      </c>
      <c r="K638">
        <v>1</v>
      </c>
      <c r="L638">
        <v>2</v>
      </c>
      <c r="M638">
        <v>156</v>
      </c>
      <c r="N638">
        <v>300</v>
      </c>
      <c r="O638">
        <v>0</v>
      </c>
      <c r="P638">
        <v>300</v>
      </c>
      <c r="Q638">
        <v>11</v>
      </c>
      <c r="R638">
        <v>26</v>
      </c>
      <c r="S638">
        <v>82</v>
      </c>
      <c r="T638">
        <v>2</v>
      </c>
      <c r="U638">
        <v>11</v>
      </c>
      <c r="V638">
        <v>0</v>
      </c>
      <c r="W638">
        <v>4</v>
      </c>
      <c r="X638">
        <v>140</v>
      </c>
      <c r="Y638">
        <v>1</v>
      </c>
      <c r="Z638">
        <v>8</v>
      </c>
      <c r="AA638">
        <v>0</v>
      </c>
      <c r="AB638">
        <v>0</v>
      </c>
      <c r="AD638">
        <v>0</v>
      </c>
      <c r="AE638">
        <v>0</v>
      </c>
      <c r="AF638">
        <v>0</v>
      </c>
      <c r="AG638">
        <v>0</v>
      </c>
      <c r="AI638">
        <v>0</v>
      </c>
      <c r="AJ638">
        <v>15</v>
      </c>
      <c r="AK638">
        <v>300</v>
      </c>
      <c r="AL638">
        <v>300</v>
      </c>
      <c r="AM638">
        <v>412</v>
      </c>
      <c r="AN638">
        <v>44</v>
      </c>
      <c r="AP638">
        <v>1</v>
      </c>
      <c r="AR638" t="s">
        <v>721</v>
      </c>
      <c r="AS638" s="1">
        <v>44354.197222222225</v>
      </c>
      <c r="AT638" s="1">
        <v>44354.200092592589</v>
      </c>
      <c r="AU638" s="1">
        <v>44354.200590277775</v>
      </c>
      <c r="AV638" t="s">
        <v>71</v>
      </c>
      <c r="AW638" t="s">
        <v>72</v>
      </c>
      <c r="AX638" t="s">
        <v>73</v>
      </c>
    </row>
    <row r="639" spans="1:50" x14ac:dyDescent="0.3">
      <c r="A639" t="str">
        <f>"202032E0100"</f>
        <v>202032E0100</v>
      </c>
      <c r="B639" t="str">
        <f>"202032E01002"</f>
        <v>202032E01002</v>
      </c>
      <c r="C639" t="str">
        <f t="shared" si="27"/>
        <v>20</v>
      </c>
      <c r="D639" t="s">
        <v>67</v>
      </c>
      <c r="E639" t="str">
        <f t="shared" si="28"/>
        <v>003</v>
      </c>
      <c r="F639" t="s">
        <v>511</v>
      </c>
      <c r="G639" t="str">
        <f>"2032"</f>
        <v>2032</v>
      </c>
      <c r="H639" t="str">
        <f>"0001"</f>
        <v>0001</v>
      </c>
      <c r="I639" t="s">
        <v>109</v>
      </c>
      <c r="J639">
        <v>0</v>
      </c>
      <c r="K639">
        <v>1</v>
      </c>
      <c r="L639">
        <v>2</v>
      </c>
      <c r="M639">
        <v>122</v>
      </c>
      <c r="N639">
        <v>308</v>
      </c>
      <c r="O639">
        <v>0</v>
      </c>
      <c r="P639">
        <v>308</v>
      </c>
      <c r="Q639">
        <v>0</v>
      </c>
      <c r="R639">
        <v>119</v>
      </c>
      <c r="S639">
        <v>48</v>
      </c>
      <c r="T639">
        <v>3</v>
      </c>
      <c r="U639">
        <v>6</v>
      </c>
      <c r="V639">
        <v>1</v>
      </c>
      <c r="W639">
        <v>2</v>
      </c>
      <c r="X639">
        <v>124</v>
      </c>
      <c r="Y639">
        <v>1</v>
      </c>
      <c r="Z639">
        <v>0</v>
      </c>
      <c r="AA639">
        <v>0</v>
      </c>
      <c r="AB639">
        <v>1</v>
      </c>
      <c r="AD639">
        <v>0</v>
      </c>
      <c r="AE639">
        <v>0</v>
      </c>
      <c r="AF639">
        <v>0</v>
      </c>
      <c r="AG639">
        <v>0</v>
      </c>
      <c r="AI639">
        <v>0</v>
      </c>
      <c r="AJ639">
        <v>3</v>
      </c>
      <c r="AK639">
        <v>308</v>
      </c>
      <c r="AL639">
        <v>308</v>
      </c>
      <c r="AM639">
        <v>386</v>
      </c>
      <c r="AN639">
        <v>44</v>
      </c>
      <c r="AP639">
        <v>1</v>
      </c>
      <c r="AR639" t="s">
        <v>722</v>
      </c>
      <c r="AS639" s="1">
        <v>44354.029861111114</v>
      </c>
      <c r="AT639" s="1">
        <v>44354.039143518516</v>
      </c>
      <c r="AU639" s="1">
        <v>44354.040520833332</v>
      </c>
      <c r="AV639" t="s">
        <v>71</v>
      </c>
      <c r="AW639" t="s">
        <v>72</v>
      </c>
      <c r="AX639" t="s">
        <v>73</v>
      </c>
    </row>
    <row r="640" spans="1:50" x14ac:dyDescent="0.3">
      <c r="A640" t="str">
        <f>"202032E0101"</f>
        <v>202032E0101</v>
      </c>
      <c r="B640" t="str">
        <f>"202032E01012"</f>
        <v>202032E01012</v>
      </c>
      <c r="C640" t="str">
        <f t="shared" si="27"/>
        <v>20</v>
      </c>
      <c r="D640" t="s">
        <v>67</v>
      </c>
      <c r="E640" t="str">
        <f t="shared" si="28"/>
        <v>003</v>
      </c>
      <c r="F640" t="s">
        <v>511</v>
      </c>
      <c r="G640" t="str">
        <f>"2032"</f>
        <v>2032</v>
      </c>
      <c r="H640" t="str">
        <f>"0001"</f>
        <v>0001</v>
      </c>
      <c r="I640" t="s">
        <v>109</v>
      </c>
      <c r="J640">
        <v>1</v>
      </c>
      <c r="K640">
        <v>1</v>
      </c>
      <c r="L640">
        <v>2</v>
      </c>
      <c r="M640">
        <v>128</v>
      </c>
      <c r="N640">
        <v>301</v>
      </c>
      <c r="O640">
        <v>0</v>
      </c>
      <c r="P640">
        <v>301</v>
      </c>
      <c r="Q640">
        <v>1</v>
      </c>
      <c r="R640">
        <v>95</v>
      </c>
      <c r="S640">
        <v>71</v>
      </c>
      <c r="T640">
        <v>2</v>
      </c>
      <c r="U640">
        <v>1</v>
      </c>
      <c r="V640">
        <v>0</v>
      </c>
      <c r="W640">
        <v>2</v>
      </c>
      <c r="X640">
        <v>118</v>
      </c>
      <c r="Y640">
        <v>1</v>
      </c>
      <c r="Z640">
        <v>2</v>
      </c>
      <c r="AA640">
        <v>2</v>
      </c>
      <c r="AB640">
        <v>0</v>
      </c>
      <c r="AD640">
        <v>0</v>
      </c>
      <c r="AE640">
        <v>0</v>
      </c>
      <c r="AF640">
        <v>0</v>
      </c>
      <c r="AG640">
        <v>0</v>
      </c>
      <c r="AI640">
        <v>0</v>
      </c>
      <c r="AJ640">
        <v>6</v>
      </c>
      <c r="AK640">
        <v>301</v>
      </c>
      <c r="AL640">
        <v>301</v>
      </c>
      <c r="AM640">
        <v>385</v>
      </c>
      <c r="AN640">
        <v>44</v>
      </c>
      <c r="AP640">
        <v>1</v>
      </c>
      <c r="AR640" t="s">
        <v>723</v>
      </c>
      <c r="AS640" s="1">
        <v>44354.029166666667</v>
      </c>
      <c r="AT640" s="1">
        <v>44354.039571759262</v>
      </c>
      <c r="AU640" s="1">
        <v>44354.039976851855</v>
      </c>
      <c r="AV640" t="s">
        <v>71</v>
      </c>
      <c r="AW640" t="s">
        <v>72</v>
      </c>
      <c r="AX640" t="s">
        <v>73</v>
      </c>
    </row>
    <row r="641" spans="1:50" x14ac:dyDescent="0.3">
      <c r="A641" t="str">
        <f>"202032E0200"</f>
        <v>202032E0200</v>
      </c>
      <c r="B641" t="str">
        <f>"202032E02002"</f>
        <v>202032E02002</v>
      </c>
      <c r="C641" t="str">
        <f t="shared" si="27"/>
        <v>20</v>
      </c>
      <c r="D641" t="s">
        <v>67</v>
      </c>
      <c r="E641" t="str">
        <f t="shared" si="28"/>
        <v>003</v>
      </c>
      <c r="F641" t="s">
        <v>511</v>
      </c>
      <c r="G641" t="str">
        <f>"2032"</f>
        <v>2032</v>
      </c>
      <c r="H641" t="str">
        <f>"0002"</f>
        <v>0002</v>
      </c>
      <c r="I641" t="s">
        <v>109</v>
      </c>
      <c r="J641">
        <v>0</v>
      </c>
      <c r="K641">
        <v>1</v>
      </c>
      <c r="L641">
        <v>2</v>
      </c>
      <c r="M641">
        <v>114</v>
      </c>
      <c r="N641">
        <v>329</v>
      </c>
      <c r="O641">
        <v>0</v>
      </c>
      <c r="P641">
        <v>215</v>
      </c>
      <c r="Q641">
        <v>1</v>
      </c>
      <c r="R641">
        <v>136</v>
      </c>
      <c r="S641">
        <v>2</v>
      </c>
      <c r="T641">
        <v>0</v>
      </c>
      <c r="U641">
        <v>7</v>
      </c>
      <c r="V641">
        <v>2</v>
      </c>
      <c r="W641">
        <v>2</v>
      </c>
      <c r="X641">
        <v>57</v>
      </c>
      <c r="Y641">
        <v>1</v>
      </c>
      <c r="Z641">
        <v>0</v>
      </c>
      <c r="AA641">
        <v>1</v>
      </c>
      <c r="AB641">
        <v>0</v>
      </c>
      <c r="AD641">
        <v>0</v>
      </c>
      <c r="AE641">
        <v>0</v>
      </c>
      <c r="AF641">
        <v>0</v>
      </c>
      <c r="AG641">
        <v>0</v>
      </c>
      <c r="AI641">
        <v>0</v>
      </c>
      <c r="AJ641">
        <v>6</v>
      </c>
      <c r="AK641">
        <v>215</v>
      </c>
      <c r="AL641">
        <v>215</v>
      </c>
      <c r="AM641">
        <v>285</v>
      </c>
      <c r="AN641">
        <v>44</v>
      </c>
      <c r="AP641">
        <v>1</v>
      </c>
      <c r="AR641" t="s">
        <v>724</v>
      </c>
      <c r="AS641" s="1">
        <v>44354.197916666664</v>
      </c>
      <c r="AT641" s="1">
        <v>44354.201412037037</v>
      </c>
      <c r="AU641" s="1">
        <v>44354.201979166668</v>
      </c>
      <c r="AV641" t="s">
        <v>71</v>
      </c>
      <c r="AW641" t="s">
        <v>72</v>
      </c>
      <c r="AX641" t="s">
        <v>73</v>
      </c>
    </row>
    <row r="642" spans="1:50" x14ac:dyDescent="0.3">
      <c r="A642" t="str">
        <f>"200127B0000"</f>
        <v>200127B0000</v>
      </c>
      <c r="B642" t="str">
        <f>"200127B00002"</f>
        <v>200127B00002</v>
      </c>
      <c r="C642" t="str">
        <f t="shared" si="27"/>
        <v>20</v>
      </c>
      <c r="D642" t="s">
        <v>67</v>
      </c>
      <c r="E642" t="str">
        <f t="shared" ref="E642:E705" si="29">"004"</f>
        <v>004</v>
      </c>
      <c r="F642" t="s">
        <v>725</v>
      </c>
      <c r="G642" t="str">
        <f>"0127"</f>
        <v>0127</v>
      </c>
      <c r="H642" t="str">
        <f>"0000"</f>
        <v>0000</v>
      </c>
      <c r="I642" t="s">
        <v>69</v>
      </c>
      <c r="J642">
        <v>0</v>
      </c>
      <c r="K642">
        <v>1</v>
      </c>
      <c r="L642">
        <v>2</v>
      </c>
      <c r="M642">
        <v>307</v>
      </c>
      <c r="N642">
        <v>392</v>
      </c>
      <c r="O642">
        <v>0</v>
      </c>
      <c r="P642">
        <v>392</v>
      </c>
      <c r="Q642">
        <v>10</v>
      </c>
      <c r="R642">
        <v>158</v>
      </c>
      <c r="S642">
        <v>8</v>
      </c>
      <c r="T642">
        <v>1</v>
      </c>
      <c r="U642">
        <v>3</v>
      </c>
      <c r="V642">
        <v>1</v>
      </c>
      <c r="W642">
        <v>1</v>
      </c>
      <c r="X642">
        <v>179</v>
      </c>
      <c r="Y642">
        <v>1</v>
      </c>
      <c r="Z642">
        <v>1</v>
      </c>
      <c r="AA642">
        <v>3</v>
      </c>
      <c r="AB642">
        <v>6</v>
      </c>
      <c r="AD642">
        <v>4</v>
      </c>
      <c r="AE642">
        <v>1</v>
      </c>
      <c r="AF642">
        <v>0</v>
      </c>
      <c r="AG642">
        <v>0</v>
      </c>
      <c r="AI642">
        <v>0</v>
      </c>
      <c r="AJ642">
        <v>15</v>
      </c>
      <c r="AK642">
        <v>392</v>
      </c>
      <c r="AL642">
        <v>392</v>
      </c>
      <c r="AM642">
        <v>655</v>
      </c>
      <c r="AN642">
        <v>44</v>
      </c>
      <c r="AP642">
        <v>1</v>
      </c>
      <c r="AR642" t="s">
        <v>726</v>
      </c>
      <c r="AS642" s="1">
        <v>44354.308333333334</v>
      </c>
      <c r="AT642" s="1">
        <v>44354.310983796298</v>
      </c>
      <c r="AU642" s="1">
        <v>44354.311620370368</v>
      </c>
      <c r="AV642" t="s">
        <v>71</v>
      </c>
      <c r="AW642" t="s">
        <v>72</v>
      </c>
      <c r="AX642" t="s">
        <v>73</v>
      </c>
    </row>
    <row r="643" spans="1:50" x14ac:dyDescent="0.3">
      <c r="A643" t="str">
        <f>"200127E0100"</f>
        <v>200127E0100</v>
      </c>
      <c r="B643" t="str">
        <f>"200127E01002"</f>
        <v>200127E01002</v>
      </c>
      <c r="C643" t="str">
        <f t="shared" si="27"/>
        <v>20</v>
      </c>
      <c r="D643" t="s">
        <v>67</v>
      </c>
      <c r="E643" t="str">
        <f t="shared" si="29"/>
        <v>004</v>
      </c>
      <c r="F643" t="s">
        <v>725</v>
      </c>
      <c r="G643" t="str">
        <f>"0127"</f>
        <v>0127</v>
      </c>
      <c r="H643" t="str">
        <f>"0001"</f>
        <v>0001</v>
      </c>
      <c r="I643" t="s">
        <v>109</v>
      </c>
      <c r="J643">
        <v>0</v>
      </c>
      <c r="K643">
        <v>1</v>
      </c>
      <c r="L643">
        <v>2</v>
      </c>
      <c r="M643">
        <v>128</v>
      </c>
      <c r="N643">
        <v>175</v>
      </c>
      <c r="O643">
        <v>0</v>
      </c>
      <c r="P643">
        <v>175</v>
      </c>
      <c r="Q643">
        <v>3</v>
      </c>
      <c r="R643">
        <v>67</v>
      </c>
      <c r="S643">
        <v>9</v>
      </c>
      <c r="T643">
        <v>2</v>
      </c>
      <c r="U643">
        <v>3</v>
      </c>
      <c r="V643">
        <v>3</v>
      </c>
      <c r="W643">
        <v>0</v>
      </c>
      <c r="X643">
        <v>83</v>
      </c>
      <c r="Y643">
        <v>0</v>
      </c>
      <c r="Z643">
        <v>2</v>
      </c>
      <c r="AA643">
        <v>2</v>
      </c>
      <c r="AB643">
        <v>0</v>
      </c>
      <c r="AD643">
        <v>0</v>
      </c>
      <c r="AE643">
        <v>0</v>
      </c>
      <c r="AF643">
        <v>0</v>
      </c>
      <c r="AG643">
        <v>0</v>
      </c>
      <c r="AI643">
        <v>0</v>
      </c>
      <c r="AJ643">
        <v>1</v>
      </c>
      <c r="AK643">
        <v>175</v>
      </c>
      <c r="AL643">
        <v>175</v>
      </c>
      <c r="AM643">
        <v>259</v>
      </c>
      <c r="AN643">
        <v>44</v>
      </c>
      <c r="AP643">
        <v>1</v>
      </c>
      <c r="AR643" t="s">
        <v>727</v>
      </c>
      <c r="AS643" s="1">
        <v>44354.127083333333</v>
      </c>
      <c r="AT643" s="1">
        <v>44354.129340277781</v>
      </c>
      <c r="AU643" s="1">
        <v>44354.130069444444</v>
      </c>
      <c r="AV643" t="s">
        <v>71</v>
      </c>
      <c r="AW643" t="s">
        <v>72</v>
      </c>
      <c r="AX643" t="s">
        <v>73</v>
      </c>
    </row>
    <row r="644" spans="1:50" x14ac:dyDescent="0.3">
      <c r="A644" t="str">
        <f>"200128B0000"</f>
        <v>200128B0000</v>
      </c>
      <c r="B644" t="str">
        <f>"200128B00002"</f>
        <v>200128B00002</v>
      </c>
      <c r="C644" t="str">
        <f t="shared" si="27"/>
        <v>20</v>
      </c>
      <c r="D644" t="s">
        <v>67</v>
      </c>
      <c r="E644" t="str">
        <f t="shared" si="29"/>
        <v>004</v>
      </c>
      <c r="F644" t="s">
        <v>725</v>
      </c>
      <c r="G644" t="str">
        <f>"0128"</f>
        <v>0128</v>
      </c>
      <c r="H644" t="str">
        <f>"0000"</f>
        <v>0000</v>
      </c>
      <c r="I644" t="s">
        <v>69</v>
      </c>
      <c r="J644">
        <v>0</v>
      </c>
      <c r="K644">
        <v>1</v>
      </c>
      <c r="L644">
        <v>2</v>
      </c>
      <c r="M644">
        <v>311</v>
      </c>
      <c r="N644">
        <v>194</v>
      </c>
      <c r="O644">
        <v>0</v>
      </c>
      <c r="P644">
        <v>194</v>
      </c>
      <c r="Q644">
        <v>5</v>
      </c>
      <c r="R644">
        <v>26</v>
      </c>
      <c r="S644">
        <v>15</v>
      </c>
      <c r="T644">
        <v>7</v>
      </c>
      <c r="U644">
        <v>7</v>
      </c>
      <c r="V644">
        <v>4</v>
      </c>
      <c r="W644">
        <v>5</v>
      </c>
      <c r="X644">
        <v>104</v>
      </c>
      <c r="Y644">
        <v>1</v>
      </c>
      <c r="Z644">
        <v>4</v>
      </c>
      <c r="AA644">
        <v>4</v>
      </c>
      <c r="AB644">
        <v>8</v>
      </c>
      <c r="AD644">
        <v>0</v>
      </c>
      <c r="AE644">
        <v>0</v>
      </c>
      <c r="AF644">
        <v>1</v>
      </c>
      <c r="AG644">
        <v>0</v>
      </c>
      <c r="AI644">
        <v>0</v>
      </c>
      <c r="AJ644">
        <v>3</v>
      </c>
      <c r="AK644">
        <v>194</v>
      </c>
      <c r="AL644">
        <v>194</v>
      </c>
      <c r="AM644">
        <v>461</v>
      </c>
      <c r="AN644">
        <v>44</v>
      </c>
      <c r="AP644">
        <v>1</v>
      </c>
      <c r="AR644" t="s">
        <v>728</v>
      </c>
      <c r="AS644" s="1">
        <v>44354.293055555558</v>
      </c>
      <c r="AT644" s="1">
        <v>44354.29859953704</v>
      </c>
      <c r="AU644" s="1">
        <v>44354.299305555556</v>
      </c>
      <c r="AV644" t="s">
        <v>71</v>
      </c>
      <c r="AW644" t="s">
        <v>72</v>
      </c>
      <c r="AX644" t="s">
        <v>73</v>
      </c>
    </row>
    <row r="645" spans="1:50" x14ac:dyDescent="0.3">
      <c r="A645" t="str">
        <f>"200129B0000"</f>
        <v>200129B0000</v>
      </c>
      <c r="B645" t="str">
        <f>"200129B00002"</f>
        <v>200129B00002</v>
      </c>
      <c r="C645" t="str">
        <f t="shared" si="27"/>
        <v>20</v>
      </c>
      <c r="D645" t="s">
        <v>67</v>
      </c>
      <c r="E645" t="str">
        <f t="shared" si="29"/>
        <v>004</v>
      </c>
      <c r="F645" t="s">
        <v>725</v>
      </c>
      <c r="G645" t="str">
        <f>"0129"</f>
        <v>0129</v>
      </c>
      <c r="H645" t="str">
        <f>"0000"</f>
        <v>0000</v>
      </c>
      <c r="I645" t="s">
        <v>69</v>
      </c>
      <c r="J645">
        <v>0</v>
      </c>
      <c r="K645">
        <v>1</v>
      </c>
      <c r="L645">
        <v>2</v>
      </c>
      <c r="M645">
        <v>81</v>
      </c>
      <c r="N645">
        <v>83</v>
      </c>
      <c r="O645">
        <v>0</v>
      </c>
      <c r="P645">
        <v>83</v>
      </c>
      <c r="Q645">
        <v>0</v>
      </c>
      <c r="R645">
        <v>31</v>
      </c>
      <c r="S645">
        <v>3</v>
      </c>
      <c r="T645">
        <v>0</v>
      </c>
      <c r="U645">
        <v>1</v>
      </c>
      <c r="V645">
        <v>0</v>
      </c>
      <c r="W645">
        <v>0</v>
      </c>
      <c r="X645">
        <v>43</v>
      </c>
      <c r="Y645">
        <v>1</v>
      </c>
      <c r="Z645">
        <v>1</v>
      </c>
      <c r="AA645">
        <v>0</v>
      </c>
      <c r="AB645">
        <v>1</v>
      </c>
      <c r="AD645">
        <v>0</v>
      </c>
      <c r="AE645">
        <v>0</v>
      </c>
      <c r="AF645">
        <v>0</v>
      </c>
      <c r="AG645">
        <v>0</v>
      </c>
      <c r="AI645">
        <v>0</v>
      </c>
      <c r="AJ645">
        <v>2</v>
      </c>
      <c r="AK645">
        <v>83</v>
      </c>
      <c r="AL645">
        <v>83</v>
      </c>
      <c r="AM645">
        <v>120</v>
      </c>
      <c r="AN645">
        <v>44</v>
      </c>
      <c r="AP645">
        <v>1</v>
      </c>
      <c r="AR645" t="s">
        <v>729</v>
      </c>
      <c r="AS645" s="1">
        <v>44354.299305555556</v>
      </c>
      <c r="AT645" s="1">
        <v>44354.302118055559</v>
      </c>
      <c r="AU645" s="1">
        <v>44354.302743055552</v>
      </c>
      <c r="AV645" t="s">
        <v>71</v>
      </c>
      <c r="AW645" t="s">
        <v>72</v>
      </c>
      <c r="AX645" t="s">
        <v>73</v>
      </c>
    </row>
    <row r="646" spans="1:50" x14ac:dyDescent="0.3">
      <c r="A646" t="str">
        <f>"200130B0000"</f>
        <v>200130B0000</v>
      </c>
      <c r="B646" t="str">
        <f>"200130B00002"</f>
        <v>200130B00002</v>
      </c>
      <c r="C646" t="str">
        <f t="shared" si="27"/>
        <v>20</v>
      </c>
      <c r="D646" t="s">
        <v>67</v>
      </c>
      <c r="E646" t="str">
        <f t="shared" si="29"/>
        <v>004</v>
      </c>
      <c r="F646" t="s">
        <v>725</v>
      </c>
      <c r="G646" t="str">
        <f>"0130"</f>
        <v>0130</v>
      </c>
      <c r="H646" t="str">
        <f>"0000"</f>
        <v>0000</v>
      </c>
      <c r="I646" t="s">
        <v>69</v>
      </c>
      <c r="J646">
        <v>0</v>
      </c>
      <c r="K646">
        <v>1</v>
      </c>
      <c r="L646">
        <v>2</v>
      </c>
      <c r="M646">
        <v>133</v>
      </c>
      <c r="N646">
        <v>222</v>
      </c>
      <c r="O646">
        <v>0</v>
      </c>
      <c r="P646">
        <v>222</v>
      </c>
      <c r="Q646">
        <v>8</v>
      </c>
      <c r="R646">
        <v>73</v>
      </c>
      <c r="S646">
        <v>7</v>
      </c>
      <c r="T646">
        <v>5</v>
      </c>
      <c r="U646">
        <v>3</v>
      </c>
      <c r="V646">
        <v>5</v>
      </c>
      <c r="W646">
        <v>1</v>
      </c>
      <c r="X646">
        <v>95</v>
      </c>
      <c r="Y646">
        <v>1</v>
      </c>
      <c r="Z646">
        <v>8</v>
      </c>
      <c r="AA646">
        <v>5</v>
      </c>
      <c r="AB646">
        <v>4</v>
      </c>
      <c r="AD646">
        <v>1</v>
      </c>
      <c r="AE646">
        <v>0</v>
      </c>
      <c r="AF646">
        <v>0</v>
      </c>
      <c r="AG646">
        <v>1</v>
      </c>
      <c r="AI646">
        <v>0</v>
      </c>
      <c r="AJ646">
        <v>5</v>
      </c>
      <c r="AK646">
        <v>222</v>
      </c>
      <c r="AL646">
        <v>222</v>
      </c>
      <c r="AM646">
        <v>311</v>
      </c>
      <c r="AN646">
        <v>44</v>
      </c>
      <c r="AP646">
        <v>1</v>
      </c>
      <c r="AR646" t="s">
        <v>730</v>
      </c>
      <c r="AS646" s="1">
        <v>44354.316666666666</v>
      </c>
      <c r="AT646" s="1">
        <v>44354.318310185183</v>
      </c>
      <c r="AU646" s="1">
        <v>44354.319189814814</v>
      </c>
      <c r="AV646" t="s">
        <v>71</v>
      </c>
      <c r="AW646" t="s">
        <v>72</v>
      </c>
      <c r="AX646" t="s">
        <v>73</v>
      </c>
    </row>
    <row r="647" spans="1:50" x14ac:dyDescent="0.3">
      <c r="A647" t="str">
        <f>"200130E0100"</f>
        <v>200130E0100</v>
      </c>
      <c r="B647" t="str">
        <f>"200130E01002"</f>
        <v>200130E01002</v>
      </c>
      <c r="C647" t="str">
        <f t="shared" ref="C647:C710" si="30">"20"</f>
        <v>20</v>
      </c>
      <c r="D647" t="s">
        <v>67</v>
      </c>
      <c r="E647" t="str">
        <f t="shared" si="29"/>
        <v>004</v>
      </c>
      <c r="F647" t="s">
        <v>725</v>
      </c>
      <c r="G647" t="str">
        <f>"0130"</f>
        <v>0130</v>
      </c>
      <c r="H647" t="str">
        <f>"0001"</f>
        <v>0001</v>
      </c>
      <c r="I647" t="s">
        <v>109</v>
      </c>
      <c r="J647">
        <v>0</v>
      </c>
      <c r="K647">
        <v>1</v>
      </c>
      <c r="L647">
        <v>2</v>
      </c>
      <c r="M647">
        <v>163</v>
      </c>
      <c r="N647">
        <v>187</v>
      </c>
      <c r="O647">
        <v>0</v>
      </c>
      <c r="P647" t="s">
        <v>80</v>
      </c>
      <c r="Q647">
        <v>1</v>
      </c>
      <c r="R647">
        <v>79</v>
      </c>
      <c r="S647">
        <v>13</v>
      </c>
      <c r="T647">
        <v>0</v>
      </c>
      <c r="U647">
        <v>4</v>
      </c>
      <c r="V647">
        <v>2</v>
      </c>
      <c r="W647">
        <v>1</v>
      </c>
      <c r="X647">
        <v>75</v>
      </c>
      <c r="Y647">
        <v>0</v>
      </c>
      <c r="Z647">
        <v>2</v>
      </c>
      <c r="AA647">
        <v>3</v>
      </c>
      <c r="AB647">
        <v>0</v>
      </c>
      <c r="AD647">
        <v>1</v>
      </c>
      <c r="AE647">
        <v>1</v>
      </c>
      <c r="AF647">
        <v>0</v>
      </c>
      <c r="AG647">
        <v>2</v>
      </c>
      <c r="AI647">
        <v>0</v>
      </c>
      <c r="AJ647">
        <v>3</v>
      </c>
      <c r="AK647">
        <v>187</v>
      </c>
      <c r="AL647">
        <v>187</v>
      </c>
      <c r="AM647">
        <v>306</v>
      </c>
      <c r="AN647">
        <v>44</v>
      </c>
      <c r="AP647">
        <v>1</v>
      </c>
      <c r="AR647" s="2" t="s">
        <v>731</v>
      </c>
      <c r="AS647" s="1">
        <v>44354.317361111112</v>
      </c>
      <c r="AT647" s="1">
        <v>44354.324583333335</v>
      </c>
      <c r="AU647" s="1">
        <v>44354.325023148151</v>
      </c>
      <c r="AV647" t="s">
        <v>71</v>
      </c>
      <c r="AW647" t="s">
        <v>72</v>
      </c>
      <c r="AX647" t="s">
        <v>73</v>
      </c>
    </row>
    <row r="648" spans="1:50" x14ac:dyDescent="0.3">
      <c r="A648" t="str">
        <f>"200153B0000"</f>
        <v>200153B0000</v>
      </c>
      <c r="B648" t="str">
        <f>"200153B00002"</f>
        <v>200153B00002</v>
      </c>
      <c r="C648" t="str">
        <f t="shared" si="30"/>
        <v>20</v>
      </c>
      <c r="D648" t="s">
        <v>67</v>
      </c>
      <c r="E648" t="str">
        <f t="shared" si="29"/>
        <v>004</v>
      </c>
      <c r="F648" t="s">
        <v>725</v>
      </c>
      <c r="G648" t="str">
        <f>"0153"</f>
        <v>0153</v>
      </c>
      <c r="H648" t="str">
        <f>"0000"</f>
        <v>0000</v>
      </c>
      <c r="I648" t="s">
        <v>69</v>
      </c>
      <c r="J648">
        <v>0</v>
      </c>
      <c r="K648">
        <v>1</v>
      </c>
      <c r="L648">
        <v>2</v>
      </c>
      <c r="M648">
        <v>311</v>
      </c>
      <c r="N648">
        <v>269</v>
      </c>
      <c r="O648">
        <v>3</v>
      </c>
      <c r="P648">
        <v>269</v>
      </c>
      <c r="Q648">
        <v>13</v>
      </c>
      <c r="R648">
        <v>76</v>
      </c>
      <c r="S648">
        <v>4</v>
      </c>
      <c r="T648">
        <v>4</v>
      </c>
      <c r="U648">
        <v>5</v>
      </c>
      <c r="V648">
        <v>2</v>
      </c>
      <c r="W648">
        <v>4</v>
      </c>
      <c r="X648">
        <v>145</v>
      </c>
      <c r="Y648">
        <v>1</v>
      </c>
      <c r="Z648">
        <v>5</v>
      </c>
      <c r="AA648">
        <v>4</v>
      </c>
      <c r="AB648">
        <v>0</v>
      </c>
      <c r="AD648">
        <v>0</v>
      </c>
      <c r="AE648">
        <v>1</v>
      </c>
      <c r="AF648">
        <v>0</v>
      </c>
      <c r="AG648">
        <v>0</v>
      </c>
      <c r="AI648">
        <v>0</v>
      </c>
      <c r="AJ648">
        <v>5</v>
      </c>
      <c r="AK648">
        <v>269</v>
      </c>
      <c r="AL648">
        <v>269</v>
      </c>
      <c r="AM648">
        <v>536</v>
      </c>
      <c r="AN648">
        <v>44</v>
      </c>
      <c r="AP648">
        <v>1</v>
      </c>
      <c r="AR648" t="s">
        <v>732</v>
      </c>
      <c r="AS648" s="1">
        <v>44354.137499999997</v>
      </c>
      <c r="AT648" s="1">
        <v>44354.139490740738</v>
      </c>
      <c r="AU648" s="1">
        <v>44354.140127314815</v>
      </c>
      <c r="AV648" t="s">
        <v>71</v>
      </c>
      <c r="AW648" t="s">
        <v>72</v>
      </c>
      <c r="AX648" t="s">
        <v>73</v>
      </c>
    </row>
    <row r="649" spans="1:50" x14ac:dyDescent="0.3">
      <c r="A649" t="str">
        <f>"200153C0100"</f>
        <v>200153C0100</v>
      </c>
      <c r="B649" t="str">
        <f>"200153C01002"</f>
        <v>200153C01002</v>
      </c>
      <c r="C649" t="str">
        <f t="shared" si="30"/>
        <v>20</v>
      </c>
      <c r="D649" t="s">
        <v>67</v>
      </c>
      <c r="E649" t="str">
        <f t="shared" si="29"/>
        <v>004</v>
      </c>
      <c r="F649" t="s">
        <v>725</v>
      </c>
      <c r="G649" t="str">
        <f>"0153"</f>
        <v>0153</v>
      </c>
      <c r="H649" t="str">
        <f>"0001"</f>
        <v>0001</v>
      </c>
      <c r="I649" t="s">
        <v>75</v>
      </c>
      <c r="J649">
        <v>0</v>
      </c>
      <c r="K649">
        <v>1</v>
      </c>
      <c r="L649">
        <v>2</v>
      </c>
      <c r="M649">
        <v>306</v>
      </c>
      <c r="N649">
        <v>273</v>
      </c>
      <c r="O649">
        <v>7</v>
      </c>
      <c r="P649">
        <v>273</v>
      </c>
      <c r="Q649">
        <v>6</v>
      </c>
      <c r="R649">
        <v>74</v>
      </c>
      <c r="S649">
        <v>4</v>
      </c>
      <c r="T649">
        <v>9</v>
      </c>
      <c r="U649">
        <v>5</v>
      </c>
      <c r="V649">
        <v>5</v>
      </c>
      <c r="W649">
        <v>4</v>
      </c>
      <c r="X649">
        <v>135</v>
      </c>
      <c r="Y649">
        <v>1</v>
      </c>
      <c r="Z649">
        <v>5</v>
      </c>
      <c r="AA649">
        <v>9</v>
      </c>
      <c r="AB649">
        <v>0</v>
      </c>
      <c r="AD649">
        <v>3</v>
      </c>
      <c r="AE649">
        <v>1</v>
      </c>
      <c r="AF649">
        <v>0</v>
      </c>
      <c r="AG649">
        <v>2</v>
      </c>
      <c r="AI649">
        <v>0</v>
      </c>
      <c r="AJ649">
        <v>10</v>
      </c>
      <c r="AK649">
        <v>273</v>
      </c>
      <c r="AL649">
        <v>273</v>
      </c>
      <c r="AM649">
        <v>535</v>
      </c>
      <c r="AN649">
        <v>44</v>
      </c>
      <c r="AP649">
        <v>1</v>
      </c>
      <c r="AR649" t="s">
        <v>733</v>
      </c>
      <c r="AS649" s="1">
        <v>44354.120833333334</v>
      </c>
      <c r="AT649" s="1">
        <v>44354.12363425926</v>
      </c>
      <c r="AU649" s="1">
        <v>44354.124131944445</v>
      </c>
      <c r="AV649" t="s">
        <v>71</v>
      </c>
      <c r="AW649" t="s">
        <v>72</v>
      </c>
      <c r="AX649" t="s">
        <v>73</v>
      </c>
    </row>
    <row r="650" spans="1:50" x14ac:dyDescent="0.3">
      <c r="A650" t="str">
        <f>"200154B0000"</f>
        <v>200154B0000</v>
      </c>
      <c r="B650" t="str">
        <f>"200154B00002"</f>
        <v>200154B00002</v>
      </c>
      <c r="C650" t="str">
        <f t="shared" si="30"/>
        <v>20</v>
      </c>
      <c r="D650" t="s">
        <v>67</v>
      </c>
      <c r="E650" t="str">
        <f t="shared" si="29"/>
        <v>004</v>
      </c>
      <c r="F650" t="s">
        <v>725</v>
      </c>
      <c r="G650" t="str">
        <f>"0154"</f>
        <v>0154</v>
      </c>
      <c r="H650" t="str">
        <f>"0000"</f>
        <v>0000</v>
      </c>
      <c r="I650" t="s">
        <v>69</v>
      </c>
      <c r="J650">
        <v>0</v>
      </c>
      <c r="K650">
        <v>1</v>
      </c>
      <c r="L650">
        <v>2</v>
      </c>
      <c r="M650">
        <v>164</v>
      </c>
      <c r="N650">
        <v>151</v>
      </c>
      <c r="O650">
        <v>7</v>
      </c>
      <c r="P650">
        <v>151</v>
      </c>
      <c r="Q650">
        <v>5</v>
      </c>
      <c r="R650">
        <v>56</v>
      </c>
      <c r="S650">
        <v>3</v>
      </c>
      <c r="T650">
        <v>4</v>
      </c>
      <c r="U650">
        <v>2</v>
      </c>
      <c r="V650">
        <v>4</v>
      </c>
      <c r="W650">
        <v>3</v>
      </c>
      <c r="X650">
        <v>50</v>
      </c>
      <c r="Y650">
        <v>1</v>
      </c>
      <c r="Z650">
        <v>9</v>
      </c>
      <c r="AA650">
        <v>4</v>
      </c>
      <c r="AB650">
        <v>0</v>
      </c>
      <c r="AD650" t="s">
        <v>77</v>
      </c>
      <c r="AE650" t="s">
        <v>77</v>
      </c>
      <c r="AF650" t="s">
        <v>77</v>
      </c>
      <c r="AG650" t="s">
        <v>77</v>
      </c>
      <c r="AI650" t="s">
        <v>77</v>
      </c>
      <c r="AJ650">
        <v>10</v>
      </c>
      <c r="AK650">
        <v>151</v>
      </c>
      <c r="AL650">
        <v>151</v>
      </c>
      <c r="AM650">
        <v>271</v>
      </c>
      <c r="AN650">
        <v>44</v>
      </c>
      <c r="AO650" t="s">
        <v>78</v>
      </c>
      <c r="AP650">
        <v>1</v>
      </c>
      <c r="AR650" t="s">
        <v>734</v>
      </c>
      <c r="AS650" s="1">
        <v>44354.1</v>
      </c>
      <c r="AT650" s="1">
        <v>44354.102465277778</v>
      </c>
      <c r="AU650" s="1">
        <v>44354.103009259263</v>
      </c>
      <c r="AV650" t="s">
        <v>71</v>
      </c>
      <c r="AW650" t="s">
        <v>72</v>
      </c>
      <c r="AX650" t="s">
        <v>73</v>
      </c>
    </row>
    <row r="651" spans="1:50" x14ac:dyDescent="0.3">
      <c r="A651" t="str">
        <f>"200155B0000"</f>
        <v>200155B0000</v>
      </c>
      <c r="B651" t="str">
        <f>"200155B00002"</f>
        <v>200155B00002</v>
      </c>
      <c r="C651" t="str">
        <f t="shared" si="30"/>
        <v>20</v>
      </c>
      <c r="D651" t="s">
        <v>67</v>
      </c>
      <c r="E651" t="str">
        <f t="shared" si="29"/>
        <v>004</v>
      </c>
      <c r="F651" t="s">
        <v>725</v>
      </c>
      <c r="G651" t="str">
        <f>"0155"</f>
        <v>0155</v>
      </c>
      <c r="H651" t="str">
        <f>"0000"</f>
        <v>0000</v>
      </c>
      <c r="I651" t="s">
        <v>69</v>
      </c>
      <c r="J651">
        <v>0</v>
      </c>
      <c r="K651">
        <v>1</v>
      </c>
      <c r="L651">
        <v>2</v>
      </c>
      <c r="M651">
        <v>339</v>
      </c>
      <c r="N651">
        <v>164</v>
      </c>
      <c r="O651">
        <v>4</v>
      </c>
      <c r="P651">
        <v>164</v>
      </c>
      <c r="Q651">
        <v>0</v>
      </c>
      <c r="R651">
        <v>49</v>
      </c>
      <c r="S651">
        <v>3</v>
      </c>
      <c r="T651">
        <v>3</v>
      </c>
      <c r="U651">
        <v>1</v>
      </c>
      <c r="V651">
        <v>1</v>
      </c>
      <c r="W651">
        <v>0</v>
      </c>
      <c r="X651">
        <v>71</v>
      </c>
      <c r="Y651">
        <v>1</v>
      </c>
      <c r="Z651">
        <v>3</v>
      </c>
      <c r="AA651">
        <v>1</v>
      </c>
      <c r="AB651">
        <v>1</v>
      </c>
      <c r="AD651">
        <v>3</v>
      </c>
      <c r="AE651">
        <v>0</v>
      </c>
      <c r="AF651">
        <v>0</v>
      </c>
      <c r="AG651">
        <v>0</v>
      </c>
      <c r="AI651">
        <v>0</v>
      </c>
      <c r="AJ651">
        <v>6</v>
      </c>
      <c r="AK651">
        <v>164</v>
      </c>
      <c r="AL651">
        <v>143</v>
      </c>
      <c r="AM651">
        <v>459</v>
      </c>
      <c r="AN651">
        <v>44</v>
      </c>
      <c r="AP651">
        <v>1</v>
      </c>
      <c r="AR651" t="s">
        <v>735</v>
      </c>
      <c r="AS651" s="1">
        <v>44354.291666666664</v>
      </c>
      <c r="AT651" s="1">
        <v>44354.293981481482</v>
      </c>
      <c r="AU651" s="1">
        <v>44354.294641203705</v>
      </c>
      <c r="AV651" t="s">
        <v>71</v>
      </c>
      <c r="AW651" t="s">
        <v>72</v>
      </c>
      <c r="AX651" t="s">
        <v>73</v>
      </c>
    </row>
    <row r="652" spans="1:50" x14ac:dyDescent="0.3">
      <c r="A652" t="str">
        <f>"200155C0100"</f>
        <v>200155C0100</v>
      </c>
      <c r="B652" t="str">
        <f>"200155C01002"</f>
        <v>200155C01002</v>
      </c>
      <c r="C652" t="str">
        <f t="shared" si="30"/>
        <v>20</v>
      </c>
      <c r="D652" t="s">
        <v>67</v>
      </c>
      <c r="E652" t="str">
        <f t="shared" si="29"/>
        <v>004</v>
      </c>
      <c r="F652" t="s">
        <v>725</v>
      </c>
      <c r="G652" t="str">
        <f>"0155"</f>
        <v>0155</v>
      </c>
      <c r="H652" t="str">
        <f>"0001"</f>
        <v>0001</v>
      </c>
      <c r="I652" t="s">
        <v>75</v>
      </c>
      <c r="J652">
        <v>0</v>
      </c>
      <c r="K652">
        <v>1</v>
      </c>
      <c r="L652">
        <v>2</v>
      </c>
      <c r="M652">
        <v>306</v>
      </c>
      <c r="N652">
        <v>197</v>
      </c>
      <c r="O652">
        <v>1</v>
      </c>
      <c r="P652">
        <v>197</v>
      </c>
      <c r="Q652">
        <v>3</v>
      </c>
      <c r="R652" t="s">
        <v>99</v>
      </c>
      <c r="S652">
        <v>4</v>
      </c>
      <c r="T652">
        <v>1</v>
      </c>
      <c r="U652">
        <v>5</v>
      </c>
      <c r="V652">
        <v>4</v>
      </c>
      <c r="W652">
        <v>4</v>
      </c>
      <c r="X652">
        <v>71</v>
      </c>
      <c r="Y652">
        <v>1</v>
      </c>
      <c r="Z652">
        <v>5</v>
      </c>
      <c r="AA652">
        <v>2</v>
      </c>
      <c r="AB652">
        <v>3</v>
      </c>
      <c r="AD652">
        <v>2</v>
      </c>
      <c r="AE652">
        <v>0</v>
      </c>
      <c r="AF652">
        <v>0</v>
      </c>
      <c r="AG652">
        <v>0</v>
      </c>
      <c r="AI652">
        <v>0</v>
      </c>
      <c r="AJ652">
        <v>10</v>
      </c>
      <c r="AK652">
        <v>196</v>
      </c>
      <c r="AL652">
        <v>115</v>
      </c>
      <c r="AM652">
        <v>459</v>
      </c>
      <c r="AN652">
        <v>44</v>
      </c>
      <c r="AO652" t="s">
        <v>78</v>
      </c>
      <c r="AP652">
        <v>1</v>
      </c>
      <c r="AR652" t="s">
        <v>736</v>
      </c>
      <c r="AS652" s="1">
        <v>44354.292361111111</v>
      </c>
      <c r="AT652" s="1">
        <v>44354.295358796298</v>
      </c>
      <c r="AU652" s="1">
        <v>44354.296944444446</v>
      </c>
      <c r="AV652" t="s">
        <v>71</v>
      </c>
      <c r="AW652" t="s">
        <v>72</v>
      </c>
      <c r="AX652" t="s">
        <v>73</v>
      </c>
    </row>
    <row r="653" spans="1:50" x14ac:dyDescent="0.3">
      <c r="A653" t="str">
        <f>"200156B0000"</f>
        <v>200156B0000</v>
      </c>
      <c r="B653" t="str">
        <f>"200156B00002"</f>
        <v>200156B00002</v>
      </c>
      <c r="C653" t="str">
        <f t="shared" si="30"/>
        <v>20</v>
      </c>
      <c r="D653" t="s">
        <v>67</v>
      </c>
      <c r="E653" t="str">
        <f t="shared" si="29"/>
        <v>004</v>
      </c>
      <c r="F653" t="s">
        <v>725</v>
      </c>
      <c r="G653" t="str">
        <f>"0156"</f>
        <v>0156</v>
      </c>
      <c r="H653" t="str">
        <f>"0000"</f>
        <v>0000</v>
      </c>
      <c r="I653" t="s">
        <v>69</v>
      </c>
      <c r="J653">
        <v>0</v>
      </c>
      <c r="K653">
        <v>1</v>
      </c>
      <c r="L653">
        <v>2</v>
      </c>
      <c r="M653">
        <v>176</v>
      </c>
      <c r="N653" t="s">
        <v>99</v>
      </c>
      <c r="O653">
        <v>3</v>
      </c>
      <c r="P653">
        <v>132</v>
      </c>
      <c r="Q653">
        <v>3</v>
      </c>
      <c r="R653">
        <v>69</v>
      </c>
      <c r="S653">
        <v>3</v>
      </c>
      <c r="T653">
        <v>5</v>
      </c>
      <c r="U653">
        <v>3</v>
      </c>
      <c r="V653">
        <v>2</v>
      </c>
      <c r="W653">
        <v>2</v>
      </c>
      <c r="X653">
        <v>24</v>
      </c>
      <c r="Y653">
        <v>0</v>
      </c>
      <c r="Z653">
        <v>5</v>
      </c>
      <c r="AA653">
        <v>0</v>
      </c>
      <c r="AB653">
        <v>3</v>
      </c>
      <c r="AD653">
        <v>3</v>
      </c>
      <c r="AE653">
        <v>1</v>
      </c>
      <c r="AF653">
        <v>0</v>
      </c>
      <c r="AG653">
        <v>1</v>
      </c>
      <c r="AI653">
        <v>0</v>
      </c>
      <c r="AJ653">
        <v>8</v>
      </c>
      <c r="AK653">
        <v>132</v>
      </c>
      <c r="AL653">
        <v>132</v>
      </c>
      <c r="AM653">
        <v>264</v>
      </c>
      <c r="AN653">
        <v>44</v>
      </c>
      <c r="AP653">
        <v>1</v>
      </c>
      <c r="AR653" t="s">
        <v>737</v>
      </c>
      <c r="AS653" s="1">
        <v>44354.178472222222</v>
      </c>
      <c r="AT653" s="1">
        <v>44354.180821759262</v>
      </c>
      <c r="AU653" s="1">
        <v>44354.181331018517</v>
      </c>
      <c r="AV653" t="s">
        <v>71</v>
      </c>
      <c r="AW653" t="s">
        <v>72</v>
      </c>
      <c r="AX653" t="s">
        <v>73</v>
      </c>
    </row>
    <row r="654" spans="1:50" x14ac:dyDescent="0.3">
      <c r="A654" t="str">
        <f>"200176B0000"</f>
        <v>200176B0000</v>
      </c>
      <c r="B654" t="str">
        <f>"200176B00002"</f>
        <v>200176B00002</v>
      </c>
      <c r="C654" t="str">
        <f t="shared" si="30"/>
        <v>20</v>
      </c>
      <c r="D654" t="s">
        <v>67</v>
      </c>
      <c r="E654" t="str">
        <f t="shared" si="29"/>
        <v>004</v>
      </c>
      <c r="F654" t="s">
        <v>725</v>
      </c>
      <c r="G654" t="str">
        <f>"0176"</f>
        <v>0176</v>
      </c>
      <c r="H654" t="str">
        <f>"0000"</f>
        <v>0000</v>
      </c>
      <c r="I654" t="s">
        <v>69</v>
      </c>
      <c r="J654">
        <v>0</v>
      </c>
      <c r="K654">
        <v>1</v>
      </c>
      <c r="L654">
        <v>2</v>
      </c>
      <c r="M654">
        <v>338</v>
      </c>
      <c r="N654">
        <v>320</v>
      </c>
      <c r="O654">
        <v>0</v>
      </c>
      <c r="P654">
        <v>320</v>
      </c>
      <c r="Q654">
        <v>3</v>
      </c>
      <c r="R654">
        <v>164</v>
      </c>
      <c r="S654">
        <v>4</v>
      </c>
      <c r="T654">
        <v>1</v>
      </c>
      <c r="U654">
        <v>16</v>
      </c>
      <c r="V654">
        <v>4</v>
      </c>
      <c r="W654">
        <v>1</v>
      </c>
      <c r="X654">
        <v>78</v>
      </c>
      <c r="Y654">
        <v>13</v>
      </c>
      <c r="Z654">
        <v>1</v>
      </c>
      <c r="AA654">
        <v>4</v>
      </c>
      <c r="AB654">
        <v>5</v>
      </c>
      <c r="AD654">
        <v>6</v>
      </c>
      <c r="AE654">
        <v>2</v>
      </c>
      <c r="AF654">
        <v>0</v>
      </c>
      <c r="AG654">
        <v>0</v>
      </c>
      <c r="AI654">
        <v>0</v>
      </c>
      <c r="AJ654">
        <v>18</v>
      </c>
      <c r="AK654">
        <v>320</v>
      </c>
      <c r="AL654">
        <v>320</v>
      </c>
      <c r="AM654">
        <v>614</v>
      </c>
      <c r="AN654">
        <v>44</v>
      </c>
      <c r="AP654">
        <v>1</v>
      </c>
      <c r="AR654" t="s">
        <v>738</v>
      </c>
      <c r="AS654" s="1">
        <v>44354.002083333333</v>
      </c>
      <c r="AT654" s="1">
        <v>44354.008032407408</v>
      </c>
      <c r="AU654" s="1">
        <v>44354.008703703701</v>
      </c>
      <c r="AV654" t="s">
        <v>71</v>
      </c>
      <c r="AW654" t="s">
        <v>72</v>
      </c>
      <c r="AX654" t="s">
        <v>73</v>
      </c>
    </row>
    <row r="655" spans="1:50" x14ac:dyDescent="0.3">
      <c r="A655" t="str">
        <f>"200176C0100"</f>
        <v>200176C0100</v>
      </c>
      <c r="B655" t="str">
        <f>"200176C01002"</f>
        <v>200176C01002</v>
      </c>
      <c r="C655" t="str">
        <f t="shared" si="30"/>
        <v>20</v>
      </c>
      <c r="D655" t="s">
        <v>67</v>
      </c>
      <c r="E655" t="str">
        <f t="shared" si="29"/>
        <v>004</v>
      </c>
      <c r="F655" t="s">
        <v>725</v>
      </c>
      <c r="G655" t="str">
        <f>"0176"</f>
        <v>0176</v>
      </c>
      <c r="H655" t="str">
        <f>"0001"</f>
        <v>0001</v>
      </c>
      <c r="I655" t="s">
        <v>75</v>
      </c>
      <c r="J655">
        <v>0</v>
      </c>
      <c r="K655">
        <v>1</v>
      </c>
      <c r="L655">
        <v>2</v>
      </c>
      <c r="M655">
        <v>361</v>
      </c>
      <c r="N655">
        <v>296</v>
      </c>
      <c r="O655" t="s">
        <v>80</v>
      </c>
      <c r="P655" t="s">
        <v>80</v>
      </c>
      <c r="Q655">
        <v>4</v>
      </c>
      <c r="R655">
        <v>141</v>
      </c>
      <c r="S655">
        <v>1</v>
      </c>
      <c r="T655">
        <v>3</v>
      </c>
      <c r="U655">
        <v>12</v>
      </c>
      <c r="V655">
        <v>2</v>
      </c>
      <c r="W655">
        <v>2</v>
      </c>
      <c r="X655">
        <v>88</v>
      </c>
      <c r="Y655">
        <v>13</v>
      </c>
      <c r="Z655">
        <v>1</v>
      </c>
      <c r="AA655">
        <v>2</v>
      </c>
      <c r="AB655">
        <v>3</v>
      </c>
      <c r="AD655">
        <v>5</v>
      </c>
      <c r="AE655">
        <v>2</v>
      </c>
      <c r="AF655" t="s">
        <v>77</v>
      </c>
      <c r="AG655" t="s">
        <v>77</v>
      </c>
      <c r="AI655" t="s">
        <v>77</v>
      </c>
      <c r="AJ655" t="s">
        <v>77</v>
      </c>
      <c r="AK655" t="s">
        <v>77</v>
      </c>
      <c r="AL655">
        <v>279</v>
      </c>
      <c r="AM655">
        <v>613</v>
      </c>
      <c r="AN655">
        <v>44</v>
      </c>
      <c r="AO655" t="s">
        <v>78</v>
      </c>
      <c r="AP655">
        <v>1</v>
      </c>
      <c r="AR655" t="s">
        <v>739</v>
      </c>
      <c r="AS655" s="1">
        <v>44354.006249999999</v>
      </c>
      <c r="AT655" s="1">
        <v>44354.011956018519</v>
      </c>
      <c r="AU655" s="1">
        <v>44354.012754629628</v>
      </c>
      <c r="AV655" t="s">
        <v>71</v>
      </c>
      <c r="AW655" t="s">
        <v>72</v>
      </c>
      <c r="AX655" t="s">
        <v>73</v>
      </c>
    </row>
    <row r="656" spans="1:50" x14ac:dyDescent="0.3">
      <c r="A656" t="str">
        <f>"200177B0000"</f>
        <v>200177B0000</v>
      </c>
      <c r="B656" t="str">
        <f>"200177B00002"</f>
        <v>200177B00002</v>
      </c>
      <c r="C656" t="str">
        <f t="shared" si="30"/>
        <v>20</v>
      </c>
      <c r="D656" t="s">
        <v>67</v>
      </c>
      <c r="E656" t="str">
        <f t="shared" si="29"/>
        <v>004</v>
      </c>
      <c r="F656" t="s">
        <v>725</v>
      </c>
      <c r="G656" t="str">
        <f>"0177"</f>
        <v>0177</v>
      </c>
      <c r="H656" t="str">
        <f>"0000"</f>
        <v>0000</v>
      </c>
      <c r="I656" t="s">
        <v>69</v>
      </c>
      <c r="J656">
        <v>0</v>
      </c>
      <c r="K656">
        <v>1</v>
      </c>
      <c r="L656">
        <v>2</v>
      </c>
      <c r="M656">
        <v>85</v>
      </c>
      <c r="N656">
        <v>36</v>
      </c>
      <c r="O656">
        <v>0</v>
      </c>
      <c r="P656">
        <v>36</v>
      </c>
      <c r="Q656">
        <v>0</v>
      </c>
      <c r="R656">
        <v>21</v>
      </c>
      <c r="S656">
        <v>0</v>
      </c>
      <c r="T656">
        <v>1</v>
      </c>
      <c r="U656">
        <v>0</v>
      </c>
      <c r="V656">
        <v>0</v>
      </c>
      <c r="W656">
        <v>2</v>
      </c>
      <c r="X656">
        <v>10</v>
      </c>
      <c r="Y656">
        <v>0</v>
      </c>
      <c r="Z656">
        <v>0</v>
      </c>
      <c r="AA656">
        <v>0</v>
      </c>
      <c r="AB656">
        <v>0</v>
      </c>
      <c r="AD656">
        <v>0</v>
      </c>
      <c r="AE656">
        <v>0</v>
      </c>
      <c r="AF656">
        <v>0</v>
      </c>
      <c r="AG656">
        <v>0</v>
      </c>
      <c r="AI656">
        <v>0</v>
      </c>
      <c r="AJ656">
        <v>2</v>
      </c>
      <c r="AK656">
        <v>36</v>
      </c>
      <c r="AL656">
        <v>36</v>
      </c>
      <c r="AM656">
        <v>77</v>
      </c>
      <c r="AN656">
        <v>44</v>
      </c>
      <c r="AP656">
        <v>1</v>
      </c>
      <c r="AR656" t="s">
        <v>740</v>
      </c>
      <c r="AS656" s="1">
        <v>44353.945833333331</v>
      </c>
      <c r="AT656" s="1">
        <v>44353.949988425928</v>
      </c>
      <c r="AU656" s="1">
        <v>44353.950520833336</v>
      </c>
      <c r="AV656" t="s">
        <v>71</v>
      </c>
      <c r="AW656" t="s">
        <v>72</v>
      </c>
      <c r="AX656" t="s">
        <v>73</v>
      </c>
    </row>
    <row r="657" spans="1:50" x14ac:dyDescent="0.3">
      <c r="A657" t="str">
        <f>"200178B0000"</f>
        <v>200178B0000</v>
      </c>
      <c r="B657" t="str">
        <f>"200178B00002"</f>
        <v>200178B00002</v>
      </c>
      <c r="C657" t="str">
        <f t="shared" si="30"/>
        <v>20</v>
      </c>
      <c r="D657" t="s">
        <v>67</v>
      </c>
      <c r="E657" t="str">
        <f t="shared" si="29"/>
        <v>004</v>
      </c>
      <c r="F657" t="s">
        <v>725</v>
      </c>
      <c r="G657" t="str">
        <f>"0178"</f>
        <v>0178</v>
      </c>
      <c r="H657" t="str">
        <f>"0000"</f>
        <v>0000</v>
      </c>
      <c r="I657" t="s">
        <v>69</v>
      </c>
      <c r="J657">
        <v>0</v>
      </c>
      <c r="K657">
        <v>1</v>
      </c>
      <c r="L657">
        <v>2</v>
      </c>
      <c r="M657">
        <v>215</v>
      </c>
      <c r="N657">
        <v>183</v>
      </c>
      <c r="O657">
        <v>2</v>
      </c>
      <c r="P657">
        <v>183</v>
      </c>
      <c r="Q657">
        <v>2</v>
      </c>
      <c r="R657">
        <v>105</v>
      </c>
      <c r="S657">
        <v>4</v>
      </c>
      <c r="T657">
        <v>1</v>
      </c>
      <c r="U657">
        <v>6</v>
      </c>
      <c r="V657">
        <v>2</v>
      </c>
      <c r="W657">
        <v>0</v>
      </c>
      <c r="X657">
        <v>43</v>
      </c>
      <c r="Y657">
        <v>5</v>
      </c>
      <c r="Z657">
        <v>2</v>
      </c>
      <c r="AA657">
        <v>1</v>
      </c>
      <c r="AB657">
        <v>0</v>
      </c>
      <c r="AD657">
        <v>2</v>
      </c>
      <c r="AE657">
        <v>2</v>
      </c>
      <c r="AF657">
        <v>0</v>
      </c>
      <c r="AG657">
        <v>0</v>
      </c>
      <c r="AI657">
        <v>0</v>
      </c>
      <c r="AJ657">
        <v>8</v>
      </c>
      <c r="AK657">
        <v>183</v>
      </c>
      <c r="AL657">
        <v>183</v>
      </c>
      <c r="AM657">
        <v>350</v>
      </c>
      <c r="AN657">
        <v>44</v>
      </c>
      <c r="AP657">
        <v>1</v>
      </c>
      <c r="AR657" t="s">
        <v>741</v>
      </c>
      <c r="AS657" s="1">
        <v>44353.941666666666</v>
      </c>
      <c r="AT657" s="1">
        <v>44353.945891203701</v>
      </c>
      <c r="AU657" s="1">
        <v>44353.946979166663</v>
      </c>
      <c r="AV657" t="s">
        <v>71</v>
      </c>
      <c r="AW657" t="s">
        <v>72</v>
      </c>
      <c r="AX657" t="s">
        <v>73</v>
      </c>
    </row>
    <row r="658" spans="1:50" x14ac:dyDescent="0.3">
      <c r="A658" t="str">
        <f>"200179B0000"</f>
        <v>200179B0000</v>
      </c>
      <c r="B658" t="str">
        <f>"200179B00002"</f>
        <v>200179B00002</v>
      </c>
      <c r="C658" t="str">
        <f t="shared" si="30"/>
        <v>20</v>
      </c>
      <c r="D658" t="s">
        <v>67</v>
      </c>
      <c r="E658" t="str">
        <f t="shared" si="29"/>
        <v>004</v>
      </c>
      <c r="F658" t="s">
        <v>725</v>
      </c>
      <c r="G658" t="str">
        <f>"0179"</f>
        <v>0179</v>
      </c>
      <c r="H658" t="str">
        <f>"0000"</f>
        <v>0000</v>
      </c>
      <c r="I658" t="s">
        <v>69</v>
      </c>
      <c r="J658">
        <v>0</v>
      </c>
      <c r="K658">
        <v>1</v>
      </c>
      <c r="L658">
        <v>2</v>
      </c>
      <c r="M658">
        <v>242</v>
      </c>
      <c r="N658" t="s">
        <v>80</v>
      </c>
      <c r="O658">
        <v>3</v>
      </c>
      <c r="P658">
        <v>210</v>
      </c>
      <c r="Q658">
        <v>2</v>
      </c>
      <c r="R658">
        <v>86</v>
      </c>
      <c r="S658">
        <v>0</v>
      </c>
      <c r="T658">
        <v>6</v>
      </c>
      <c r="U658">
        <v>2</v>
      </c>
      <c r="V658">
        <v>0</v>
      </c>
      <c r="W658">
        <v>0</v>
      </c>
      <c r="X658">
        <v>56</v>
      </c>
      <c r="Y658">
        <v>28</v>
      </c>
      <c r="Z658">
        <v>2</v>
      </c>
      <c r="AA658">
        <v>3</v>
      </c>
      <c r="AB658">
        <v>3</v>
      </c>
      <c r="AD658">
        <v>3</v>
      </c>
      <c r="AE658">
        <v>0</v>
      </c>
      <c r="AF658">
        <v>0</v>
      </c>
      <c r="AG658">
        <v>0</v>
      </c>
      <c r="AI658" t="s">
        <v>77</v>
      </c>
      <c r="AJ658">
        <v>19</v>
      </c>
      <c r="AK658">
        <v>210</v>
      </c>
      <c r="AL658">
        <v>210</v>
      </c>
      <c r="AM658">
        <v>408</v>
      </c>
      <c r="AN658">
        <v>44</v>
      </c>
      <c r="AO658" t="s">
        <v>78</v>
      </c>
      <c r="AP658">
        <v>1</v>
      </c>
      <c r="AR658" t="s">
        <v>742</v>
      </c>
      <c r="AS658" s="1">
        <v>44354.005555555559</v>
      </c>
      <c r="AT658" s="1">
        <v>44354.011261574073</v>
      </c>
      <c r="AU658" s="1">
        <v>44354.011817129627</v>
      </c>
      <c r="AV658" t="s">
        <v>71</v>
      </c>
      <c r="AW658" t="s">
        <v>72</v>
      </c>
      <c r="AX658" t="s">
        <v>73</v>
      </c>
    </row>
    <row r="659" spans="1:50" x14ac:dyDescent="0.3">
      <c r="A659" t="str">
        <f>"200179C0100"</f>
        <v>200179C0100</v>
      </c>
      <c r="B659" t="str">
        <f>"200179C01002"</f>
        <v>200179C01002</v>
      </c>
      <c r="C659" t="str">
        <f t="shared" si="30"/>
        <v>20</v>
      </c>
      <c r="D659" t="s">
        <v>67</v>
      </c>
      <c r="E659" t="str">
        <f t="shared" si="29"/>
        <v>004</v>
      </c>
      <c r="F659" t="s">
        <v>725</v>
      </c>
      <c r="G659" t="str">
        <f>"0179"</f>
        <v>0179</v>
      </c>
      <c r="H659" t="str">
        <f>"0001"</f>
        <v>0001</v>
      </c>
      <c r="I659" t="s">
        <v>75</v>
      </c>
      <c r="J659">
        <v>0</v>
      </c>
      <c r="K659">
        <v>1</v>
      </c>
      <c r="L659">
        <v>2</v>
      </c>
      <c r="M659">
        <v>257</v>
      </c>
      <c r="N659">
        <v>194</v>
      </c>
      <c r="O659">
        <v>2</v>
      </c>
      <c r="P659" t="s">
        <v>80</v>
      </c>
      <c r="Q659">
        <v>4</v>
      </c>
      <c r="R659">
        <v>85</v>
      </c>
      <c r="S659">
        <v>0</v>
      </c>
      <c r="T659">
        <v>6</v>
      </c>
      <c r="U659">
        <v>1</v>
      </c>
      <c r="V659">
        <v>1</v>
      </c>
      <c r="W659">
        <v>3</v>
      </c>
      <c r="X659">
        <v>46</v>
      </c>
      <c r="Y659">
        <v>20</v>
      </c>
      <c r="Z659">
        <v>3</v>
      </c>
      <c r="AA659">
        <v>3</v>
      </c>
      <c r="AB659">
        <v>2</v>
      </c>
      <c r="AD659">
        <v>4</v>
      </c>
      <c r="AE659">
        <v>1</v>
      </c>
      <c r="AF659">
        <v>0</v>
      </c>
      <c r="AG659">
        <v>0</v>
      </c>
      <c r="AI659">
        <v>0</v>
      </c>
      <c r="AJ659">
        <v>15</v>
      </c>
      <c r="AK659">
        <v>192</v>
      </c>
      <c r="AL659">
        <v>194</v>
      </c>
      <c r="AM659">
        <v>407</v>
      </c>
      <c r="AN659">
        <v>44</v>
      </c>
      <c r="AP659">
        <v>1</v>
      </c>
      <c r="AR659" t="s">
        <v>743</v>
      </c>
      <c r="AS659" s="1">
        <v>44354.009722222225</v>
      </c>
      <c r="AT659" s="1">
        <v>44354.016516203701</v>
      </c>
      <c r="AU659" s="1">
        <v>44354.017048611109</v>
      </c>
      <c r="AV659" t="s">
        <v>71</v>
      </c>
      <c r="AW659" t="s">
        <v>72</v>
      </c>
      <c r="AX659" t="s">
        <v>73</v>
      </c>
    </row>
    <row r="660" spans="1:50" x14ac:dyDescent="0.3">
      <c r="A660" t="str">
        <f>"200179E0100"</f>
        <v>200179E0100</v>
      </c>
      <c r="B660" t="str">
        <f>"200179E01002"</f>
        <v>200179E01002</v>
      </c>
      <c r="C660" t="str">
        <f t="shared" si="30"/>
        <v>20</v>
      </c>
      <c r="D660" t="s">
        <v>67</v>
      </c>
      <c r="E660" t="str">
        <f t="shared" si="29"/>
        <v>004</v>
      </c>
      <c r="F660" t="s">
        <v>725</v>
      </c>
      <c r="G660" t="str">
        <f>"0179"</f>
        <v>0179</v>
      </c>
      <c r="H660" t="str">
        <f>"0001"</f>
        <v>0001</v>
      </c>
      <c r="I660" t="s">
        <v>109</v>
      </c>
      <c r="J660">
        <v>0</v>
      </c>
      <c r="K660">
        <v>1</v>
      </c>
      <c r="L660">
        <v>2</v>
      </c>
      <c r="M660">
        <v>151</v>
      </c>
      <c r="N660">
        <v>114</v>
      </c>
      <c r="O660">
        <v>6</v>
      </c>
      <c r="P660">
        <v>113</v>
      </c>
      <c r="Q660">
        <v>1</v>
      </c>
      <c r="R660">
        <v>56</v>
      </c>
      <c r="S660">
        <v>2</v>
      </c>
      <c r="T660">
        <v>0</v>
      </c>
      <c r="U660">
        <v>2</v>
      </c>
      <c r="V660">
        <v>2</v>
      </c>
      <c r="W660">
        <v>0</v>
      </c>
      <c r="X660">
        <v>32</v>
      </c>
      <c r="Y660">
        <v>7</v>
      </c>
      <c r="Z660">
        <v>0</v>
      </c>
      <c r="AA660">
        <v>1</v>
      </c>
      <c r="AB660">
        <v>0</v>
      </c>
      <c r="AD660">
        <v>1</v>
      </c>
      <c r="AE660">
        <v>0</v>
      </c>
      <c r="AF660">
        <v>0</v>
      </c>
      <c r="AG660">
        <v>0</v>
      </c>
      <c r="AI660">
        <v>0</v>
      </c>
      <c r="AJ660">
        <v>9</v>
      </c>
      <c r="AK660">
        <v>113</v>
      </c>
      <c r="AL660">
        <v>113</v>
      </c>
      <c r="AM660">
        <v>220</v>
      </c>
      <c r="AN660">
        <v>44</v>
      </c>
      <c r="AP660">
        <v>1</v>
      </c>
      <c r="AR660" t="s">
        <v>744</v>
      </c>
      <c r="AS660" s="1">
        <v>44353.953472222223</v>
      </c>
      <c r="AT660" s="1">
        <v>44353.956041666665</v>
      </c>
      <c r="AU660" s="1">
        <v>44353.956412037034</v>
      </c>
      <c r="AV660" t="s">
        <v>71</v>
      </c>
      <c r="AW660" t="s">
        <v>72</v>
      </c>
      <c r="AX660" t="s">
        <v>73</v>
      </c>
    </row>
    <row r="661" spans="1:50" x14ac:dyDescent="0.3">
      <c r="A661" t="str">
        <f>"200232B0000"</f>
        <v>200232B0000</v>
      </c>
      <c r="B661" t="str">
        <f>"200232B00002"</f>
        <v>200232B00002</v>
      </c>
      <c r="C661" t="str">
        <f t="shared" si="30"/>
        <v>20</v>
      </c>
      <c r="D661" t="s">
        <v>67</v>
      </c>
      <c r="E661" t="str">
        <f t="shared" si="29"/>
        <v>004</v>
      </c>
      <c r="F661" t="s">
        <v>725</v>
      </c>
      <c r="G661" t="str">
        <f>"0232"</f>
        <v>0232</v>
      </c>
      <c r="H661" t="str">
        <f>"0000"</f>
        <v>0000</v>
      </c>
      <c r="I661" t="s">
        <v>69</v>
      </c>
      <c r="J661">
        <v>0</v>
      </c>
      <c r="K661">
        <v>1</v>
      </c>
      <c r="L661">
        <v>2</v>
      </c>
      <c r="M661" t="s">
        <v>80</v>
      </c>
      <c r="N661" t="s">
        <v>80</v>
      </c>
      <c r="O661" t="s">
        <v>80</v>
      </c>
      <c r="P661">
        <v>486</v>
      </c>
      <c r="Q661">
        <v>1</v>
      </c>
      <c r="R661">
        <v>145</v>
      </c>
      <c r="S661">
        <v>2</v>
      </c>
      <c r="T661">
        <v>1</v>
      </c>
      <c r="U661">
        <v>6</v>
      </c>
      <c r="V661">
        <v>2</v>
      </c>
      <c r="W661">
        <v>7</v>
      </c>
      <c r="X661">
        <v>277</v>
      </c>
      <c r="Y661">
        <v>2</v>
      </c>
      <c r="Z661">
        <v>3</v>
      </c>
      <c r="AA661">
        <v>26</v>
      </c>
      <c r="AB661">
        <v>486</v>
      </c>
      <c r="AD661">
        <v>0</v>
      </c>
      <c r="AE661">
        <v>0</v>
      </c>
      <c r="AF661">
        <v>0</v>
      </c>
      <c r="AG661">
        <v>0</v>
      </c>
      <c r="AI661">
        <v>0</v>
      </c>
      <c r="AJ661">
        <v>11</v>
      </c>
      <c r="AK661">
        <v>486</v>
      </c>
      <c r="AL661">
        <v>969</v>
      </c>
      <c r="AM661">
        <v>578</v>
      </c>
      <c r="AN661">
        <v>44</v>
      </c>
      <c r="AO661" t="s">
        <v>245</v>
      </c>
      <c r="AP661">
        <v>0</v>
      </c>
      <c r="AR661" t="s">
        <v>745</v>
      </c>
      <c r="AS661" s="1">
        <v>44354.083333333336</v>
      </c>
      <c r="AT661" s="1">
        <v>44354.09175925926</v>
      </c>
      <c r="AU661" s="1">
        <v>44354.092152777775</v>
      </c>
      <c r="AV661" t="s">
        <v>71</v>
      </c>
      <c r="AW661" t="s">
        <v>72</v>
      </c>
      <c r="AX661" t="s">
        <v>73</v>
      </c>
    </row>
    <row r="662" spans="1:50" x14ac:dyDescent="0.3">
      <c r="A662" t="str">
        <f>"200232C0100"</f>
        <v>200232C0100</v>
      </c>
      <c r="B662" t="str">
        <f>"200232C01002"</f>
        <v>200232C01002</v>
      </c>
      <c r="C662" t="str">
        <f t="shared" si="30"/>
        <v>20</v>
      </c>
      <c r="D662" t="s">
        <v>67</v>
      </c>
      <c r="E662" t="str">
        <f t="shared" si="29"/>
        <v>004</v>
      </c>
      <c r="F662" t="s">
        <v>725</v>
      </c>
      <c r="G662" t="str">
        <f>"0232"</f>
        <v>0232</v>
      </c>
      <c r="H662" t="str">
        <f>"0001"</f>
        <v>0001</v>
      </c>
      <c r="I662" t="s">
        <v>75</v>
      </c>
      <c r="J662">
        <v>0</v>
      </c>
      <c r="K662">
        <v>1</v>
      </c>
      <c r="L662">
        <v>2</v>
      </c>
      <c r="M662">
        <v>141</v>
      </c>
      <c r="N662">
        <v>481</v>
      </c>
      <c r="O662">
        <v>0</v>
      </c>
      <c r="P662">
        <v>481</v>
      </c>
      <c r="Q662">
        <v>1</v>
      </c>
      <c r="R662">
        <v>151</v>
      </c>
      <c r="S662">
        <v>2</v>
      </c>
      <c r="T662">
        <v>0</v>
      </c>
      <c r="U662">
        <v>2</v>
      </c>
      <c r="V662">
        <v>3</v>
      </c>
      <c r="W662">
        <v>4</v>
      </c>
      <c r="X662">
        <v>265</v>
      </c>
      <c r="Y662">
        <v>3</v>
      </c>
      <c r="Z662">
        <v>2</v>
      </c>
      <c r="AA662">
        <v>26</v>
      </c>
      <c r="AB662">
        <v>3</v>
      </c>
      <c r="AD662">
        <v>0</v>
      </c>
      <c r="AE662">
        <v>0</v>
      </c>
      <c r="AF662">
        <v>0</v>
      </c>
      <c r="AG662">
        <v>0</v>
      </c>
      <c r="AI662">
        <v>0</v>
      </c>
      <c r="AJ662">
        <v>19</v>
      </c>
      <c r="AK662">
        <v>481</v>
      </c>
      <c r="AL662">
        <v>481</v>
      </c>
      <c r="AM662">
        <v>578</v>
      </c>
      <c r="AN662">
        <v>44</v>
      </c>
      <c r="AP662">
        <v>1</v>
      </c>
      <c r="AR662" t="s">
        <v>746</v>
      </c>
      <c r="AS662" s="1">
        <v>44354.066666666666</v>
      </c>
      <c r="AT662" s="1">
        <v>44354.071435185186</v>
      </c>
      <c r="AU662" s="1">
        <v>44354.072233796294</v>
      </c>
      <c r="AV662" t="s">
        <v>71</v>
      </c>
      <c r="AW662" t="s">
        <v>72</v>
      </c>
      <c r="AX662" t="s">
        <v>73</v>
      </c>
    </row>
    <row r="663" spans="1:50" x14ac:dyDescent="0.3">
      <c r="A663" t="str">
        <f>"200232C0200"</f>
        <v>200232C0200</v>
      </c>
      <c r="B663" t="str">
        <f>"200232C02002"</f>
        <v>200232C02002</v>
      </c>
      <c r="C663" t="str">
        <f t="shared" si="30"/>
        <v>20</v>
      </c>
      <c r="D663" t="s">
        <v>67</v>
      </c>
      <c r="E663" t="str">
        <f t="shared" si="29"/>
        <v>004</v>
      </c>
      <c r="F663" t="s">
        <v>725</v>
      </c>
      <c r="G663" t="str">
        <f>"0232"</f>
        <v>0232</v>
      </c>
      <c r="H663" t="str">
        <f>"0002"</f>
        <v>0002</v>
      </c>
      <c r="I663" t="s">
        <v>75</v>
      </c>
      <c r="J663">
        <v>0</v>
      </c>
      <c r="K663">
        <v>1</v>
      </c>
      <c r="L663">
        <v>2</v>
      </c>
      <c r="M663" t="s">
        <v>80</v>
      </c>
      <c r="N663">
        <v>487</v>
      </c>
      <c r="O663">
        <v>0</v>
      </c>
      <c r="P663">
        <v>486</v>
      </c>
      <c r="Q663">
        <v>2</v>
      </c>
      <c r="R663">
        <v>134</v>
      </c>
      <c r="S663">
        <v>3</v>
      </c>
      <c r="T663">
        <v>1</v>
      </c>
      <c r="U663">
        <v>5</v>
      </c>
      <c r="V663">
        <v>1</v>
      </c>
      <c r="W663" t="s">
        <v>77</v>
      </c>
      <c r="X663">
        <v>294</v>
      </c>
      <c r="Y663" t="s">
        <v>77</v>
      </c>
      <c r="Z663">
        <v>3</v>
      </c>
      <c r="AA663">
        <v>29</v>
      </c>
      <c r="AB663">
        <v>7</v>
      </c>
      <c r="AD663">
        <v>1</v>
      </c>
      <c r="AE663">
        <v>0</v>
      </c>
      <c r="AF663">
        <v>0</v>
      </c>
      <c r="AG663">
        <v>2</v>
      </c>
      <c r="AI663">
        <v>0</v>
      </c>
      <c r="AJ663">
        <v>4</v>
      </c>
      <c r="AK663">
        <v>486</v>
      </c>
      <c r="AL663">
        <v>486</v>
      </c>
      <c r="AM663">
        <v>578</v>
      </c>
      <c r="AN663">
        <v>44</v>
      </c>
      <c r="AO663" t="s">
        <v>78</v>
      </c>
      <c r="AP663">
        <v>1</v>
      </c>
      <c r="AR663" t="s">
        <v>747</v>
      </c>
      <c r="AS663" s="1">
        <v>44354.324305555558</v>
      </c>
      <c r="AT663" s="1">
        <v>44354.326851851853</v>
      </c>
      <c r="AU663" s="1">
        <v>44354.327361111114</v>
      </c>
      <c r="AV663" t="s">
        <v>71</v>
      </c>
      <c r="AW663" t="s">
        <v>72</v>
      </c>
      <c r="AX663" t="s">
        <v>73</v>
      </c>
    </row>
    <row r="664" spans="1:50" x14ac:dyDescent="0.3">
      <c r="A664" t="str">
        <f>"200233B0000"</f>
        <v>200233B0000</v>
      </c>
      <c r="B664" t="str">
        <f>"200233B00002"</f>
        <v>200233B00002</v>
      </c>
      <c r="C664" t="str">
        <f t="shared" si="30"/>
        <v>20</v>
      </c>
      <c r="D664" t="s">
        <v>67</v>
      </c>
      <c r="E664" t="str">
        <f t="shared" si="29"/>
        <v>004</v>
      </c>
      <c r="F664" t="s">
        <v>725</v>
      </c>
      <c r="G664" t="str">
        <f>"0233"</f>
        <v>0233</v>
      </c>
      <c r="H664" t="str">
        <f>"0000"</f>
        <v>0000</v>
      </c>
      <c r="I664" t="s">
        <v>69</v>
      </c>
      <c r="J664">
        <v>0</v>
      </c>
      <c r="K664">
        <v>1</v>
      </c>
      <c r="L664">
        <v>2</v>
      </c>
      <c r="M664">
        <v>104</v>
      </c>
      <c r="N664">
        <v>437</v>
      </c>
      <c r="O664">
        <v>7</v>
      </c>
      <c r="P664" t="s">
        <v>80</v>
      </c>
      <c r="Q664" t="s">
        <v>77</v>
      </c>
      <c r="R664">
        <v>195</v>
      </c>
      <c r="S664">
        <v>1</v>
      </c>
      <c r="T664">
        <v>2</v>
      </c>
      <c r="U664">
        <v>6</v>
      </c>
      <c r="V664">
        <v>2</v>
      </c>
      <c r="W664" t="s">
        <v>77</v>
      </c>
      <c r="X664">
        <v>195</v>
      </c>
      <c r="Y664" t="s">
        <v>77</v>
      </c>
      <c r="Z664">
        <v>2</v>
      </c>
      <c r="AA664">
        <v>23</v>
      </c>
      <c r="AB664">
        <v>1</v>
      </c>
      <c r="AD664" t="s">
        <v>77</v>
      </c>
      <c r="AE664" t="s">
        <v>77</v>
      </c>
      <c r="AF664" t="s">
        <v>77</v>
      </c>
      <c r="AG664" t="s">
        <v>77</v>
      </c>
      <c r="AI664" t="s">
        <v>77</v>
      </c>
      <c r="AJ664">
        <v>7</v>
      </c>
      <c r="AK664">
        <v>434</v>
      </c>
      <c r="AL664">
        <v>434</v>
      </c>
      <c r="AM664">
        <v>494</v>
      </c>
      <c r="AN664">
        <v>44</v>
      </c>
      <c r="AO664" t="s">
        <v>78</v>
      </c>
      <c r="AP664">
        <v>1</v>
      </c>
      <c r="AR664" t="s">
        <v>748</v>
      </c>
      <c r="AS664" s="1">
        <v>44354.321527777778</v>
      </c>
      <c r="AT664" s="1">
        <v>44354.323460648149</v>
      </c>
      <c r="AU664" s="1">
        <v>44354.324155092596</v>
      </c>
      <c r="AV664" t="s">
        <v>71</v>
      </c>
      <c r="AW664" t="s">
        <v>72</v>
      </c>
      <c r="AX664" t="s">
        <v>73</v>
      </c>
    </row>
    <row r="665" spans="1:50" x14ac:dyDescent="0.3">
      <c r="A665" t="str">
        <f>"200234B0000"</f>
        <v>200234B0000</v>
      </c>
      <c r="B665" t="str">
        <f>"200234B00002"</f>
        <v>200234B00002</v>
      </c>
      <c r="C665" t="str">
        <f t="shared" si="30"/>
        <v>20</v>
      </c>
      <c r="D665" t="s">
        <v>67</v>
      </c>
      <c r="E665" t="str">
        <f t="shared" si="29"/>
        <v>004</v>
      </c>
      <c r="F665" t="s">
        <v>725</v>
      </c>
      <c r="G665" t="str">
        <f>"0234"</f>
        <v>0234</v>
      </c>
      <c r="H665" t="str">
        <f>"0000"</f>
        <v>0000</v>
      </c>
      <c r="I665" t="s">
        <v>69</v>
      </c>
      <c r="J665">
        <v>0</v>
      </c>
      <c r="K665">
        <v>1</v>
      </c>
      <c r="L665">
        <v>2</v>
      </c>
      <c r="M665">
        <v>153</v>
      </c>
      <c r="N665">
        <v>348</v>
      </c>
      <c r="O665">
        <v>348</v>
      </c>
      <c r="P665">
        <v>348</v>
      </c>
      <c r="Q665">
        <v>0</v>
      </c>
      <c r="R665">
        <v>136</v>
      </c>
      <c r="S665">
        <v>3</v>
      </c>
      <c r="T665">
        <v>1</v>
      </c>
      <c r="U665">
        <v>2</v>
      </c>
      <c r="V665">
        <v>5</v>
      </c>
      <c r="W665">
        <v>2</v>
      </c>
      <c r="X665">
        <v>163</v>
      </c>
      <c r="Y665">
        <v>1</v>
      </c>
      <c r="Z665">
        <v>1</v>
      </c>
      <c r="AA665">
        <v>12</v>
      </c>
      <c r="AB665">
        <v>9</v>
      </c>
      <c r="AD665">
        <v>1</v>
      </c>
      <c r="AE665">
        <v>0</v>
      </c>
      <c r="AF665">
        <v>0</v>
      </c>
      <c r="AG665">
        <v>0</v>
      </c>
      <c r="AI665">
        <v>0</v>
      </c>
      <c r="AJ665">
        <v>12</v>
      </c>
      <c r="AK665">
        <v>348</v>
      </c>
      <c r="AL665">
        <v>348</v>
      </c>
      <c r="AM665">
        <v>457</v>
      </c>
      <c r="AN665">
        <v>44</v>
      </c>
      <c r="AP665">
        <v>1</v>
      </c>
      <c r="AR665" t="s">
        <v>749</v>
      </c>
      <c r="AS665" s="1">
        <v>44354.21597222222</v>
      </c>
      <c r="AT665" s="1">
        <v>44354.217604166668</v>
      </c>
      <c r="AU665" s="1">
        <v>44354.218576388892</v>
      </c>
      <c r="AV665" t="s">
        <v>71</v>
      </c>
      <c r="AW665" t="s">
        <v>72</v>
      </c>
      <c r="AX665" t="s">
        <v>73</v>
      </c>
    </row>
    <row r="666" spans="1:50" x14ac:dyDescent="0.3">
      <c r="A666" t="str">
        <f>"200234C0100"</f>
        <v>200234C0100</v>
      </c>
      <c r="B666" t="str">
        <f>"200234C01002"</f>
        <v>200234C01002</v>
      </c>
      <c r="C666" t="str">
        <f t="shared" si="30"/>
        <v>20</v>
      </c>
      <c r="D666" t="s">
        <v>67</v>
      </c>
      <c r="E666" t="str">
        <f t="shared" si="29"/>
        <v>004</v>
      </c>
      <c r="F666" t="s">
        <v>725</v>
      </c>
      <c r="G666" t="str">
        <f>"0234"</f>
        <v>0234</v>
      </c>
      <c r="H666" t="str">
        <f>"0001"</f>
        <v>0001</v>
      </c>
      <c r="I666" t="s">
        <v>75</v>
      </c>
      <c r="J666">
        <v>0</v>
      </c>
      <c r="K666">
        <v>1</v>
      </c>
      <c r="L666">
        <v>2</v>
      </c>
      <c r="M666">
        <v>128</v>
      </c>
      <c r="N666">
        <v>373</v>
      </c>
      <c r="O666">
        <v>1</v>
      </c>
      <c r="P666">
        <v>373</v>
      </c>
      <c r="Q666">
        <v>0</v>
      </c>
      <c r="R666">
        <v>170</v>
      </c>
      <c r="S666">
        <v>1</v>
      </c>
      <c r="T666">
        <v>0</v>
      </c>
      <c r="U666">
        <v>5</v>
      </c>
      <c r="V666">
        <v>1</v>
      </c>
      <c r="W666">
        <v>1</v>
      </c>
      <c r="X666">
        <v>156</v>
      </c>
      <c r="Y666">
        <v>0</v>
      </c>
      <c r="Z666">
        <v>2</v>
      </c>
      <c r="AA666">
        <v>11</v>
      </c>
      <c r="AB666">
        <v>9</v>
      </c>
      <c r="AD666">
        <v>0</v>
      </c>
      <c r="AE666">
        <v>1</v>
      </c>
      <c r="AF666">
        <v>0</v>
      </c>
      <c r="AG666">
        <v>0</v>
      </c>
      <c r="AI666">
        <v>0</v>
      </c>
      <c r="AJ666">
        <v>16</v>
      </c>
      <c r="AK666">
        <v>373</v>
      </c>
      <c r="AL666">
        <v>373</v>
      </c>
      <c r="AM666">
        <v>457</v>
      </c>
      <c r="AN666">
        <v>44</v>
      </c>
      <c r="AP666">
        <v>1</v>
      </c>
      <c r="AR666" t="s">
        <v>750</v>
      </c>
      <c r="AS666" s="1">
        <v>44354.215277777781</v>
      </c>
      <c r="AT666" s="1">
        <v>44354.217129629629</v>
      </c>
      <c r="AU666" s="1">
        <v>44354.217650462961</v>
      </c>
      <c r="AV666" t="s">
        <v>71</v>
      </c>
      <c r="AW666" t="s">
        <v>72</v>
      </c>
      <c r="AX666" t="s">
        <v>73</v>
      </c>
    </row>
    <row r="667" spans="1:50" x14ac:dyDescent="0.3">
      <c r="A667" t="str">
        <f>"200235B0000"</f>
        <v>200235B0000</v>
      </c>
      <c r="B667" t="str">
        <f>"200235B00002"</f>
        <v>200235B00002</v>
      </c>
      <c r="C667" t="str">
        <f t="shared" si="30"/>
        <v>20</v>
      </c>
      <c r="D667" t="s">
        <v>67</v>
      </c>
      <c r="E667" t="str">
        <f t="shared" si="29"/>
        <v>004</v>
      </c>
      <c r="F667" t="s">
        <v>725</v>
      </c>
      <c r="G667" t="str">
        <f>"0235"</f>
        <v>0235</v>
      </c>
      <c r="H667" t="str">
        <f>"0000"</f>
        <v>0000</v>
      </c>
      <c r="I667" t="s">
        <v>69</v>
      </c>
      <c r="J667">
        <v>0</v>
      </c>
      <c r="K667">
        <v>1</v>
      </c>
      <c r="L667">
        <v>2</v>
      </c>
      <c r="M667">
        <v>164</v>
      </c>
      <c r="N667">
        <v>475</v>
      </c>
      <c r="O667">
        <v>1</v>
      </c>
      <c r="P667">
        <v>467</v>
      </c>
      <c r="Q667">
        <v>7</v>
      </c>
      <c r="R667">
        <v>132</v>
      </c>
      <c r="S667">
        <v>0</v>
      </c>
      <c r="T667">
        <v>0</v>
      </c>
      <c r="U667">
        <v>9</v>
      </c>
      <c r="V667">
        <v>2</v>
      </c>
      <c r="W667">
        <v>1</v>
      </c>
      <c r="X667">
        <v>257</v>
      </c>
      <c r="Y667">
        <v>5</v>
      </c>
      <c r="Z667">
        <v>1</v>
      </c>
      <c r="AA667">
        <v>40</v>
      </c>
      <c r="AB667">
        <v>3</v>
      </c>
      <c r="AD667">
        <v>1</v>
      </c>
      <c r="AE667">
        <v>0</v>
      </c>
      <c r="AF667">
        <v>0</v>
      </c>
      <c r="AG667">
        <v>0</v>
      </c>
      <c r="AI667" t="s">
        <v>77</v>
      </c>
      <c r="AJ667">
        <v>14</v>
      </c>
      <c r="AK667">
        <v>467</v>
      </c>
      <c r="AL667">
        <v>472</v>
      </c>
      <c r="AM667">
        <v>594</v>
      </c>
      <c r="AN667">
        <v>44</v>
      </c>
      <c r="AO667" t="s">
        <v>78</v>
      </c>
      <c r="AP667">
        <v>1</v>
      </c>
      <c r="AR667" t="s">
        <v>751</v>
      </c>
      <c r="AS667" s="1">
        <v>44354.320138888892</v>
      </c>
      <c r="AT667" s="1">
        <v>44354.325960648152</v>
      </c>
      <c r="AU667" s="1">
        <v>44354.326840277776</v>
      </c>
      <c r="AV667" t="s">
        <v>71</v>
      </c>
      <c r="AW667" t="s">
        <v>72</v>
      </c>
      <c r="AX667" t="s">
        <v>73</v>
      </c>
    </row>
    <row r="668" spans="1:50" x14ac:dyDescent="0.3">
      <c r="A668" t="str">
        <f>"200235C0100"</f>
        <v>200235C0100</v>
      </c>
      <c r="B668" t="str">
        <f>"200235C01002"</f>
        <v>200235C01002</v>
      </c>
      <c r="C668" t="str">
        <f t="shared" si="30"/>
        <v>20</v>
      </c>
      <c r="D668" t="s">
        <v>67</v>
      </c>
      <c r="E668" t="str">
        <f t="shared" si="29"/>
        <v>004</v>
      </c>
      <c r="F668" t="s">
        <v>725</v>
      </c>
      <c r="G668" t="str">
        <f>"0235"</f>
        <v>0235</v>
      </c>
      <c r="H668" t="str">
        <f>"0001"</f>
        <v>0001</v>
      </c>
      <c r="I668" t="s">
        <v>75</v>
      </c>
      <c r="J668">
        <v>0</v>
      </c>
      <c r="K668">
        <v>1</v>
      </c>
      <c r="L668">
        <v>2</v>
      </c>
      <c r="M668">
        <v>150</v>
      </c>
      <c r="N668">
        <v>484</v>
      </c>
      <c r="O668">
        <v>0</v>
      </c>
      <c r="P668">
        <v>484</v>
      </c>
      <c r="Q668">
        <v>0</v>
      </c>
      <c r="R668">
        <v>137</v>
      </c>
      <c r="S668">
        <v>2</v>
      </c>
      <c r="T668">
        <v>1</v>
      </c>
      <c r="U668">
        <v>9</v>
      </c>
      <c r="V668">
        <v>1</v>
      </c>
      <c r="W668">
        <v>0</v>
      </c>
      <c r="X668">
        <v>272</v>
      </c>
      <c r="Y668">
        <v>0</v>
      </c>
      <c r="Z668">
        <v>3</v>
      </c>
      <c r="AA668">
        <v>49</v>
      </c>
      <c r="AB668">
        <v>3</v>
      </c>
      <c r="AD668">
        <v>0</v>
      </c>
      <c r="AE668">
        <v>0</v>
      </c>
      <c r="AF668">
        <v>0</v>
      </c>
      <c r="AG668">
        <v>1</v>
      </c>
      <c r="AI668">
        <v>0</v>
      </c>
      <c r="AJ668">
        <v>6</v>
      </c>
      <c r="AK668">
        <v>484</v>
      </c>
      <c r="AL668">
        <v>484</v>
      </c>
      <c r="AM668">
        <v>593</v>
      </c>
      <c r="AN668">
        <v>44</v>
      </c>
      <c r="AP668">
        <v>1</v>
      </c>
      <c r="AR668" t="s">
        <v>752</v>
      </c>
      <c r="AS668" s="1">
        <v>44354.336111111108</v>
      </c>
      <c r="AT668" s="1">
        <v>44354.338738425926</v>
      </c>
      <c r="AU668" s="1">
        <v>44354.339097222219</v>
      </c>
      <c r="AV668" t="s">
        <v>71</v>
      </c>
      <c r="AW668" t="s">
        <v>72</v>
      </c>
      <c r="AX668" t="s">
        <v>73</v>
      </c>
    </row>
    <row r="669" spans="1:50" x14ac:dyDescent="0.3">
      <c r="A669" t="str">
        <f>"200236B0000"</f>
        <v>200236B0000</v>
      </c>
      <c r="B669" t="str">
        <f>"200236B00002"</f>
        <v>200236B00002</v>
      </c>
      <c r="C669" t="str">
        <f t="shared" si="30"/>
        <v>20</v>
      </c>
      <c r="D669" t="s">
        <v>67</v>
      </c>
      <c r="E669" t="str">
        <f t="shared" si="29"/>
        <v>004</v>
      </c>
      <c r="F669" t="s">
        <v>725</v>
      </c>
      <c r="G669" t="str">
        <f>"0236"</f>
        <v>0236</v>
      </c>
      <c r="H669" t="str">
        <f>"0000"</f>
        <v>0000</v>
      </c>
      <c r="I669" t="s">
        <v>69</v>
      </c>
      <c r="J669">
        <v>0</v>
      </c>
      <c r="K669">
        <v>1</v>
      </c>
      <c r="L669">
        <v>2</v>
      </c>
      <c r="M669">
        <v>197</v>
      </c>
      <c r="N669">
        <v>478</v>
      </c>
      <c r="O669">
        <v>9</v>
      </c>
      <c r="P669">
        <v>478</v>
      </c>
      <c r="Q669">
        <v>19</v>
      </c>
      <c r="R669">
        <v>84</v>
      </c>
      <c r="S669">
        <v>85</v>
      </c>
      <c r="T669">
        <v>4</v>
      </c>
      <c r="U669">
        <v>30</v>
      </c>
      <c r="V669">
        <v>1</v>
      </c>
      <c r="W669">
        <v>0</v>
      </c>
      <c r="X669">
        <v>205</v>
      </c>
      <c r="Y669">
        <v>24</v>
      </c>
      <c r="Z669">
        <v>3</v>
      </c>
      <c r="AA669">
        <v>3</v>
      </c>
      <c r="AB669">
        <v>1</v>
      </c>
      <c r="AD669">
        <v>1</v>
      </c>
      <c r="AE669">
        <v>1</v>
      </c>
      <c r="AF669">
        <v>0</v>
      </c>
      <c r="AG669">
        <v>1</v>
      </c>
      <c r="AI669">
        <v>0</v>
      </c>
      <c r="AJ669">
        <v>16</v>
      </c>
      <c r="AK669">
        <v>478</v>
      </c>
      <c r="AL669">
        <v>478</v>
      </c>
      <c r="AM669">
        <v>631</v>
      </c>
      <c r="AN669">
        <v>44</v>
      </c>
      <c r="AP669">
        <v>1</v>
      </c>
      <c r="AR669" t="s">
        <v>753</v>
      </c>
      <c r="AS669" s="1">
        <v>44354.238888888889</v>
      </c>
      <c r="AT669" s="1">
        <v>44354.241226851853</v>
      </c>
      <c r="AU669" s="1">
        <v>44354.2419212963</v>
      </c>
      <c r="AV669" t="s">
        <v>71</v>
      </c>
      <c r="AW669" t="s">
        <v>72</v>
      </c>
      <c r="AX669" t="s">
        <v>73</v>
      </c>
    </row>
    <row r="670" spans="1:50" x14ac:dyDescent="0.3">
      <c r="A670" t="str">
        <f>"200236C0100"</f>
        <v>200236C0100</v>
      </c>
      <c r="B670" t="str">
        <f>"200236C01002"</f>
        <v>200236C01002</v>
      </c>
      <c r="C670" t="str">
        <f t="shared" si="30"/>
        <v>20</v>
      </c>
      <c r="D670" t="s">
        <v>67</v>
      </c>
      <c r="E670" t="str">
        <f t="shared" si="29"/>
        <v>004</v>
      </c>
      <c r="F670" t="s">
        <v>725</v>
      </c>
      <c r="G670" t="str">
        <f>"0236"</f>
        <v>0236</v>
      </c>
      <c r="H670" t="str">
        <f>"0001"</f>
        <v>0001</v>
      </c>
      <c r="I670" t="s">
        <v>75</v>
      </c>
      <c r="J670">
        <v>0</v>
      </c>
      <c r="K670">
        <v>1</v>
      </c>
      <c r="L670">
        <v>2</v>
      </c>
      <c r="M670">
        <v>206</v>
      </c>
      <c r="N670">
        <v>468</v>
      </c>
      <c r="O670">
        <v>6</v>
      </c>
      <c r="P670" t="s">
        <v>80</v>
      </c>
      <c r="Q670">
        <v>8</v>
      </c>
      <c r="R670">
        <v>85</v>
      </c>
      <c r="S670">
        <v>81</v>
      </c>
      <c r="T670">
        <v>0</v>
      </c>
      <c r="U670">
        <v>52</v>
      </c>
      <c r="V670">
        <v>3</v>
      </c>
      <c r="W670">
        <v>3</v>
      </c>
      <c r="X670">
        <v>181</v>
      </c>
      <c r="Y670">
        <v>25</v>
      </c>
      <c r="Z670">
        <v>7</v>
      </c>
      <c r="AA670">
        <v>3</v>
      </c>
      <c r="AB670">
        <v>1</v>
      </c>
      <c r="AD670">
        <v>1</v>
      </c>
      <c r="AE670" t="s">
        <v>77</v>
      </c>
      <c r="AF670" t="s">
        <v>77</v>
      </c>
      <c r="AG670" t="s">
        <v>77</v>
      </c>
      <c r="AI670" t="s">
        <v>77</v>
      </c>
      <c r="AJ670">
        <v>18</v>
      </c>
      <c r="AK670">
        <v>468</v>
      </c>
      <c r="AL670">
        <v>468</v>
      </c>
      <c r="AM670">
        <v>630</v>
      </c>
      <c r="AN670">
        <v>44</v>
      </c>
      <c r="AO670" t="s">
        <v>78</v>
      </c>
      <c r="AP670">
        <v>1</v>
      </c>
      <c r="AR670" t="s">
        <v>754</v>
      </c>
      <c r="AS670" s="1">
        <v>44354.318749999999</v>
      </c>
      <c r="AT670" s="1">
        <v>44354.324155092596</v>
      </c>
      <c r="AU670" s="1">
        <v>44354.324733796297</v>
      </c>
      <c r="AV670" t="s">
        <v>71</v>
      </c>
      <c r="AW670" t="s">
        <v>72</v>
      </c>
      <c r="AX670" t="s">
        <v>73</v>
      </c>
    </row>
    <row r="671" spans="1:50" x14ac:dyDescent="0.3">
      <c r="A671" t="str">
        <f>"200236C0200"</f>
        <v>200236C0200</v>
      </c>
      <c r="B671" t="str">
        <f>"200236C02002"</f>
        <v>200236C02002</v>
      </c>
      <c r="C671" t="str">
        <f t="shared" si="30"/>
        <v>20</v>
      </c>
      <c r="D671" t="s">
        <v>67</v>
      </c>
      <c r="E671" t="str">
        <f t="shared" si="29"/>
        <v>004</v>
      </c>
      <c r="F671" t="s">
        <v>725</v>
      </c>
      <c r="G671" t="str">
        <f>"0236"</f>
        <v>0236</v>
      </c>
      <c r="H671" t="str">
        <f>"0002"</f>
        <v>0002</v>
      </c>
      <c r="I671" t="s">
        <v>75</v>
      </c>
      <c r="J671">
        <v>0</v>
      </c>
      <c r="K671">
        <v>1</v>
      </c>
      <c r="L671">
        <v>2</v>
      </c>
      <c r="M671">
        <v>199</v>
      </c>
      <c r="N671">
        <v>475</v>
      </c>
      <c r="O671">
        <v>7</v>
      </c>
      <c r="P671" t="s">
        <v>80</v>
      </c>
      <c r="Q671">
        <v>9</v>
      </c>
      <c r="R671">
        <v>73</v>
      </c>
      <c r="S671">
        <v>96</v>
      </c>
      <c r="T671">
        <v>1</v>
      </c>
      <c r="U671">
        <v>64</v>
      </c>
      <c r="V671">
        <v>5</v>
      </c>
      <c r="W671">
        <v>2</v>
      </c>
      <c r="X671">
        <v>168</v>
      </c>
      <c r="Y671">
        <v>35</v>
      </c>
      <c r="Z671">
        <v>0</v>
      </c>
      <c r="AA671">
        <v>2</v>
      </c>
      <c r="AB671">
        <v>4</v>
      </c>
      <c r="AD671">
        <v>2</v>
      </c>
      <c r="AE671">
        <v>0</v>
      </c>
      <c r="AF671">
        <v>0</v>
      </c>
      <c r="AG671">
        <v>0</v>
      </c>
      <c r="AI671">
        <v>0</v>
      </c>
      <c r="AJ671">
        <v>14</v>
      </c>
      <c r="AK671">
        <v>475</v>
      </c>
      <c r="AL671">
        <v>475</v>
      </c>
      <c r="AM671">
        <v>630</v>
      </c>
      <c r="AN671">
        <v>44</v>
      </c>
      <c r="AP671">
        <v>1</v>
      </c>
      <c r="AR671" t="s">
        <v>755</v>
      </c>
      <c r="AS671" s="1">
        <v>44354.238194444442</v>
      </c>
      <c r="AT671" s="1">
        <v>44354.244398148148</v>
      </c>
      <c r="AU671" s="1">
        <v>44354.244837962964</v>
      </c>
      <c r="AV671" t="s">
        <v>71</v>
      </c>
      <c r="AW671" t="s">
        <v>72</v>
      </c>
      <c r="AX671" t="s">
        <v>73</v>
      </c>
    </row>
    <row r="672" spans="1:50" x14ac:dyDescent="0.3">
      <c r="A672" t="str">
        <f>"200237B0000"</f>
        <v>200237B0000</v>
      </c>
      <c r="B672" t="str">
        <f>"200237B00002"</f>
        <v>200237B00002</v>
      </c>
      <c r="C672" t="str">
        <f t="shared" si="30"/>
        <v>20</v>
      </c>
      <c r="D672" t="s">
        <v>67</v>
      </c>
      <c r="E672" t="str">
        <f t="shared" si="29"/>
        <v>004</v>
      </c>
      <c r="F672" t="s">
        <v>725</v>
      </c>
      <c r="G672" t="str">
        <f>"0237"</f>
        <v>0237</v>
      </c>
      <c r="H672" t="str">
        <f>"0000"</f>
        <v>0000</v>
      </c>
      <c r="I672" t="s">
        <v>69</v>
      </c>
      <c r="J672">
        <v>0</v>
      </c>
      <c r="K672">
        <v>1</v>
      </c>
      <c r="L672">
        <v>2</v>
      </c>
      <c r="M672">
        <v>181</v>
      </c>
      <c r="N672">
        <v>407</v>
      </c>
      <c r="O672">
        <v>8</v>
      </c>
      <c r="P672">
        <v>407</v>
      </c>
      <c r="Q672">
        <v>7</v>
      </c>
      <c r="R672">
        <v>87</v>
      </c>
      <c r="S672">
        <v>92</v>
      </c>
      <c r="T672">
        <v>0</v>
      </c>
      <c r="U672">
        <v>25</v>
      </c>
      <c r="V672">
        <v>5</v>
      </c>
      <c r="W672">
        <v>5</v>
      </c>
      <c r="X672">
        <v>125</v>
      </c>
      <c r="Y672">
        <v>22</v>
      </c>
      <c r="Z672">
        <v>3</v>
      </c>
      <c r="AA672">
        <v>4</v>
      </c>
      <c r="AB672">
        <v>0</v>
      </c>
      <c r="AD672">
        <v>1</v>
      </c>
      <c r="AE672">
        <v>0</v>
      </c>
      <c r="AF672">
        <v>0</v>
      </c>
      <c r="AG672">
        <v>0</v>
      </c>
      <c r="AI672">
        <v>0</v>
      </c>
      <c r="AJ672">
        <v>31</v>
      </c>
      <c r="AK672">
        <v>407</v>
      </c>
      <c r="AL672">
        <v>407</v>
      </c>
      <c r="AM672">
        <v>544</v>
      </c>
      <c r="AN672">
        <v>44</v>
      </c>
      <c r="AP672">
        <v>1</v>
      </c>
      <c r="AR672" t="s">
        <v>756</v>
      </c>
      <c r="AS672" s="1">
        <v>44354.336111111108</v>
      </c>
      <c r="AT672" s="1">
        <v>44354.339328703703</v>
      </c>
      <c r="AU672" s="1">
        <v>44354.339803240742</v>
      </c>
      <c r="AV672" t="s">
        <v>71</v>
      </c>
      <c r="AW672" t="s">
        <v>72</v>
      </c>
      <c r="AX672" t="s">
        <v>73</v>
      </c>
    </row>
    <row r="673" spans="1:50" x14ac:dyDescent="0.3">
      <c r="A673" t="str">
        <f>"200237C0100"</f>
        <v>200237C0100</v>
      </c>
      <c r="B673" t="str">
        <f>"200237C01002"</f>
        <v>200237C01002</v>
      </c>
      <c r="C673" t="str">
        <f t="shared" si="30"/>
        <v>20</v>
      </c>
      <c r="D673" t="s">
        <v>67</v>
      </c>
      <c r="E673" t="str">
        <f t="shared" si="29"/>
        <v>004</v>
      </c>
      <c r="F673" t="s">
        <v>725</v>
      </c>
      <c r="G673" t="str">
        <f>"0237"</f>
        <v>0237</v>
      </c>
      <c r="H673" t="str">
        <f>"0001"</f>
        <v>0001</v>
      </c>
      <c r="I673" t="s">
        <v>75</v>
      </c>
      <c r="J673">
        <v>0</v>
      </c>
      <c r="K673">
        <v>1</v>
      </c>
      <c r="L673">
        <v>2</v>
      </c>
      <c r="M673">
        <v>191</v>
      </c>
      <c r="N673">
        <v>397</v>
      </c>
      <c r="O673">
        <v>4</v>
      </c>
      <c r="P673">
        <v>397</v>
      </c>
      <c r="Q673">
        <v>6</v>
      </c>
      <c r="R673">
        <v>88</v>
      </c>
      <c r="S673">
        <v>92</v>
      </c>
      <c r="T673">
        <v>2</v>
      </c>
      <c r="U673">
        <v>25</v>
      </c>
      <c r="V673">
        <v>3</v>
      </c>
      <c r="W673">
        <v>5</v>
      </c>
      <c r="X673">
        <v>132</v>
      </c>
      <c r="Y673">
        <v>18</v>
      </c>
      <c r="Z673">
        <v>2</v>
      </c>
      <c r="AA673">
        <v>5</v>
      </c>
      <c r="AB673">
        <v>2</v>
      </c>
      <c r="AD673">
        <v>0</v>
      </c>
      <c r="AE673">
        <v>0</v>
      </c>
      <c r="AF673">
        <v>0</v>
      </c>
      <c r="AG673">
        <v>2</v>
      </c>
      <c r="AI673">
        <v>0</v>
      </c>
      <c r="AJ673">
        <v>15</v>
      </c>
      <c r="AK673">
        <v>397</v>
      </c>
      <c r="AL673">
        <v>397</v>
      </c>
      <c r="AM673">
        <v>544</v>
      </c>
      <c r="AN673">
        <v>44</v>
      </c>
      <c r="AP673">
        <v>1</v>
      </c>
      <c r="AR673" t="s">
        <v>757</v>
      </c>
      <c r="AS673" s="1">
        <v>44354.238194444442</v>
      </c>
      <c r="AT673" s="1">
        <v>44354.244803240741</v>
      </c>
      <c r="AU673" s="1">
        <v>44354.24560185185</v>
      </c>
      <c r="AV673" t="s">
        <v>71</v>
      </c>
      <c r="AW673" t="s">
        <v>72</v>
      </c>
      <c r="AX673" t="s">
        <v>73</v>
      </c>
    </row>
    <row r="674" spans="1:50" x14ac:dyDescent="0.3">
      <c r="A674" t="str">
        <f>"200237C0200"</f>
        <v>200237C0200</v>
      </c>
      <c r="B674" t="str">
        <f>"200237C02002"</f>
        <v>200237C02002</v>
      </c>
      <c r="C674" t="str">
        <f t="shared" si="30"/>
        <v>20</v>
      </c>
      <c r="D674" t="s">
        <v>67</v>
      </c>
      <c r="E674" t="str">
        <f t="shared" si="29"/>
        <v>004</v>
      </c>
      <c r="F674" t="s">
        <v>725</v>
      </c>
      <c r="G674" t="str">
        <f>"0237"</f>
        <v>0237</v>
      </c>
      <c r="H674" t="str">
        <f>"0002"</f>
        <v>0002</v>
      </c>
      <c r="I674" t="s">
        <v>75</v>
      </c>
      <c r="J674">
        <v>0</v>
      </c>
      <c r="K674">
        <v>1</v>
      </c>
      <c r="L674">
        <v>2</v>
      </c>
      <c r="M674">
        <v>221</v>
      </c>
      <c r="N674">
        <v>367</v>
      </c>
      <c r="O674">
        <v>5</v>
      </c>
      <c r="P674">
        <v>367</v>
      </c>
      <c r="Q674">
        <v>1</v>
      </c>
      <c r="R674">
        <v>63</v>
      </c>
      <c r="S674">
        <v>91</v>
      </c>
      <c r="T674">
        <v>2</v>
      </c>
      <c r="U674">
        <v>22</v>
      </c>
      <c r="V674">
        <v>3</v>
      </c>
      <c r="W674">
        <v>4</v>
      </c>
      <c r="X674">
        <v>122</v>
      </c>
      <c r="Y674">
        <v>25</v>
      </c>
      <c r="Z674">
        <v>3</v>
      </c>
      <c r="AA674">
        <v>4</v>
      </c>
      <c r="AB674">
        <v>1</v>
      </c>
      <c r="AD674">
        <v>1</v>
      </c>
      <c r="AE674">
        <v>0</v>
      </c>
      <c r="AF674">
        <v>1</v>
      </c>
      <c r="AG674">
        <v>2</v>
      </c>
      <c r="AI674">
        <v>0</v>
      </c>
      <c r="AJ674">
        <v>21</v>
      </c>
      <c r="AK674">
        <v>367</v>
      </c>
      <c r="AL674">
        <v>366</v>
      </c>
      <c r="AM674">
        <v>544</v>
      </c>
      <c r="AN674">
        <v>44</v>
      </c>
      <c r="AP674">
        <v>1</v>
      </c>
      <c r="AR674" t="s">
        <v>758</v>
      </c>
      <c r="AS674" s="1">
        <v>44354.336111111108</v>
      </c>
      <c r="AT674" s="1">
        <v>44354.3437037037</v>
      </c>
      <c r="AU674" s="1">
        <v>44354.344444444447</v>
      </c>
      <c r="AV674" t="s">
        <v>71</v>
      </c>
      <c r="AW674" t="s">
        <v>72</v>
      </c>
      <c r="AX674" t="s">
        <v>73</v>
      </c>
    </row>
    <row r="675" spans="1:50" x14ac:dyDescent="0.3">
      <c r="A675" t="str">
        <f>"200238B0000"</f>
        <v>200238B0000</v>
      </c>
      <c r="B675" t="str">
        <f>"200238B00002"</f>
        <v>200238B00002</v>
      </c>
      <c r="C675" t="str">
        <f t="shared" si="30"/>
        <v>20</v>
      </c>
      <c r="D675" t="s">
        <v>67</v>
      </c>
      <c r="E675" t="str">
        <f t="shared" si="29"/>
        <v>004</v>
      </c>
      <c r="F675" t="s">
        <v>725</v>
      </c>
      <c r="G675" t="str">
        <f>"0238"</f>
        <v>0238</v>
      </c>
      <c r="H675" t="str">
        <f>"0000"</f>
        <v>0000</v>
      </c>
      <c r="I675" t="s">
        <v>69</v>
      </c>
      <c r="J675">
        <v>0</v>
      </c>
      <c r="K675">
        <v>1</v>
      </c>
      <c r="L675">
        <v>2</v>
      </c>
      <c r="M675">
        <v>199</v>
      </c>
      <c r="N675">
        <v>518</v>
      </c>
      <c r="O675">
        <v>6</v>
      </c>
      <c r="P675">
        <v>518</v>
      </c>
      <c r="Q675">
        <v>11</v>
      </c>
      <c r="R675">
        <v>104</v>
      </c>
      <c r="S675">
        <v>98</v>
      </c>
      <c r="T675">
        <v>4</v>
      </c>
      <c r="U675">
        <v>57</v>
      </c>
      <c r="V675">
        <v>0</v>
      </c>
      <c r="W675">
        <v>8</v>
      </c>
      <c r="X675">
        <v>182</v>
      </c>
      <c r="Y675">
        <v>23</v>
      </c>
      <c r="Z675">
        <v>6</v>
      </c>
      <c r="AA675">
        <v>0</v>
      </c>
      <c r="AB675">
        <v>6</v>
      </c>
      <c r="AD675">
        <v>1</v>
      </c>
      <c r="AE675">
        <v>0</v>
      </c>
      <c r="AF675">
        <v>1</v>
      </c>
      <c r="AG675">
        <v>0</v>
      </c>
      <c r="AI675">
        <v>0</v>
      </c>
      <c r="AJ675">
        <v>17</v>
      </c>
      <c r="AK675">
        <v>518</v>
      </c>
      <c r="AL675">
        <v>518</v>
      </c>
      <c r="AM675">
        <v>673</v>
      </c>
      <c r="AN675">
        <v>44</v>
      </c>
      <c r="AP675">
        <v>1</v>
      </c>
      <c r="AR675" t="s">
        <v>759</v>
      </c>
      <c r="AS675" s="1">
        <v>44354.178472222222</v>
      </c>
      <c r="AT675" s="1">
        <v>44354.181990740741</v>
      </c>
      <c r="AU675" s="1">
        <v>44354.182743055557</v>
      </c>
      <c r="AV675" t="s">
        <v>71</v>
      </c>
      <c r="AW675" t="s">
        <v>72</v>
      </c>
      <c r="AX675" t="s">
        <v>73</v>
      </c>
    </row>
    <row r="676" spans="1:50" x14ac:dyDescent="0.3">
      <c r="A676" t="str">
        <f>"200238C0100"</f>
        <v>200238C0100</v>
      </c>
      <c r="B676" t="str">
        <f>"200238C01002"</f>
        <v>200238C01002</v>
      </c>
      <c r="C676" t="str">
        <f t="shared" si="30"/>
        <v>20</v>
      </c>
      <c r="D676" t="s">
        <v>67</v>
      </c>
      <c r="E676" t="str">
        <f t="shared" si="29"/>
        <v>004</v>
      </c>
      <c r="F676" t="s">
        <v>725</v>
      </c>
      <c r="G676" t="str">
        <f>"0238"</f>
        <v>0238</v>
      </c>
      <c r="H676" t="str">
        <f>"0001"</f>
        <v>0001</v>
      </c>
      <c r="I676" t="s">
        <v>75</v>
      </c>
      <c r="J676">
        <v>0</v>
      </c>
      <c r="K676">
        <v>1</v>
      </c>
      <c r="L676">
        <v>2</v>
      </c>
      <c r="M676">
        <v>186</v>
      </c>
      <c r="N676">
        <v>533</v>
      </c>
      <c r="O676">
        <v>3</v>
      </c>
      <c r="P676">
        <v>531</v>
      </c>
      <c r="Q676">
        <v>7</v>
      </c>
      <c r="R676">
        <v>90</v>
      </c>
      <c r="S676">
        <v>84</v>
      </c>
      <c r="T676">
        <v>2</v>
      </c>
      <c r="U676">
        <v>63</v>
      </c>
      <c r="V676">
        <v>5</v>
      </c>
      <c r="W676">
        <v>3</v>
      </c>
      <c r="X676">
        <v>221</v>
      </c>
      <c r="Y676">
        <v>23</v>
      </c>
      <c r="Z676">
        <v>6</v>
      </c>
      <c r="AA676">
        <v>3</v>
      </c>
      <c r="AB676">
        <v>6</v>
      </c>
      <c r="AD676">
        <v>0</v>
      </c>
      <c r="AE676">
        <v>0</v>
      </c>
      <c r="AF676">
        <v>0</v>
      </c>
      <c r="AG676">
        <v>0</v>
      </c>
      <c r="AI676">
        <v>0</v>
      </c>
      <c r="AJ676">
        <v>18</v>
      </c>
      <c r="AK676">
        <v>531</v>
      </c>
      <c r="AL676">
        <v>531</v>
      </c>
      <c r="AM676">
        <v>673</v>
      </c>
      <c r="AN676">
        <v>44</v>
      </c>
      <c r="AP676">
        <v>1</v>
      </c>
      <c r="AR676" t="s">
        <v>760</v>
      </c>
      <c r="AS676" s="1">
        <v>44354.135416666664</v>
      </c>
      <c r="AT676" s="1">
        <v>44354.138078703705</v>
      </c>
      <c r="AU676" s="1">
        <v>44354.138541666667</v>
      </c>
      <c r="AV676" t="s">
        <v>71</v>
      </c>
      <c r="AW676" t="s">
        <v>72</v>
      </c>
      <c r="AX676" t="s">
        <v>73</v>
      </c>
    </row>
    <row r="677" spans="1:50" x14ac:dyDescent="0.3">
      <c r="A677" t="str">
        <f>"200239B0000"</f>
        <v>200239B0000</v>
      </c>
      <c r="B677" t="str">
        <f>"200239B00002"</f>
        <v>200239B00002</v>
      </c>
      <c r="C677" t="str">
        <f t="shared" si="30"/>
        <v>20</v>
      </c>
      <c r="D677" t="s">
        <v>67</v>
      </c>
      <c r="E677" t="str">
        <f t="shared" si="29"/>
        <v>004</v>
      </c>
      <c r="F677" t="s">
        <v>725</v>
      </c>
      <c r="G677" t="str">
        <f>"0239"</f>
        <v>0239</v>
      </c>
      <c r="H677" t="str">
        <f>"0000"</f>
        <v>0000</v>
      </c>
      <c r="I677" t="s">
        <v>69</v>
      </c>
      <c r="J677">
        <v>0</v>
      </c>
      <c r="K677">
        <v>1</v>
      </c>
      <c r="L677">
        <v>2</v>
      </c>
      <c r="M677">
        <v>181</v>
      </c>
      <c r="N677">
        <v>471</v>
      </c>
      <c r="O677">
        <v>4</v>
      </c>
      <c r="P677">
        <v>471</v>
      </c>
      <c r="Q677">
        <v>9</v>
      </c>
      <c r="R677">
        <v>89</v>
      </c>
      <c r="S677">
        <v>75</v>
      </c>
      <c r="T677">
        <v>2</v>
      </c>
      <c r="U677">
        <v>83</v>
      </c>
      <c r="V677">
        <v>5</v>
      </c>
      <c r="W677">
        <v>0</v>
      </c>
      <c r="X677">
        <v>164</v>
      </c>
      <c r="Y677">
        <v>15</v>
      </c>
      <c r="Z677">
        <v>1</v>
      </c>
      <c r="AA677">
        <v>3</v>
      </c>
      <c r="AB677">
        <v>7</v>
      </c>
      <c r="AD677">
        <v>2</v>
      </c>
      <c r="AE677">
        <v>0</v>
      </c>
      <c r="AF677">
        <v>0</v>
      </c>
      <c r="AG677">
        <v>0</v>
      </c>
      <c r="AI677">
        <v>0</v>
      </c>
      <c r="AJ677">
        <v>16</v>
      </c>
      <c r="AK677">
        <v>471</v>
      </c>
      <c r="AL677">
        <v>471</v>
      </c>
      <c r="AM677">
        <v>608</v>
      </c>
      <c r="AN677">
        <v>44</v>
      </c>
      <c r="AP677">
        <v>1</v>
      </c>
      <c r="AR677" t="s">
        <v>761</v>
      </c>
      <c r="AS677" s="1">
        <v>44354.198611111111</v>
      </c>
      <c r="AT677" s="1">
        <v>44354.201365740744</v>
      </c>
      <c r="AU677" s="1">
        <v>44354.20239583333</v>
      </c>
      <c r="AV677" t="s">
        <v>71</v>
      </c>
      <c r="AW677" t="s">
        <v>72</v>
      </c>
      <c r="AX677" t="s">
        <v>73</v>
      </c>
    </row>
    <row r="678" spans="1:50" x14ac:dyDescent="0.3">
      <c r="A678" t="str">
        <f>"200239C0100"</f>
        <v>200239C0100</v>
      </c>
      <c r="B678" t="str">
        <f>"200239C01002"</f>
        <v>200239C01002</v>
      </c>
      <c r="C678" t="str">
        <f t="shared" si="30"/>
        <v>20</v>
      </c>
      <c r="D678" t="s">
        <v>67</v>
      </c>
      <c r="E678" t="str">
        <f t="shared" si="29"/>
        <v>004</v>
      </c>
      <c r="F678" t="s">
        <v>725</v>
      </c>
      <c r="G678" t="str">
        <f>"0239"</f>
        <v>0239</v>
      </c>
      <c r="H678" t="str">
        <f>"0001"</f>
        <v>0001</v>
      </c>
      <c r="I678" t="s">
        <v>75</v>
      </c>
      <c r="J678">
        <v>0</v>
      </c>
      <c r="K678">
        <v>1</v>
      </c>
      <c r="L678">
        <v>2</v>
      </c>
      <c r="M678">
        <v>197</v>
      </c>
      <c r="N678">
        <v>4</v>
      </c>
      <c r="O678">
        <v>450</v>
      </c>
      <c r="P678">
        <v>454</v>
      </c>
      <c r="Q678">
        <v>12</v>
      </c>
      <c r="R678">
        <v>100</v>
      </c>
      <c r="S678">
        <v>86</v>
      </c>
      <c r="T678">
        <v>3</v>
      </c>
      <c r="U678">
        <v>41</v>
      </c>
      <c r="V678">
        <v>5</v>
      </c>
      <c r="W678">
        <v>3</v>
      </c>
      <c r="X678">
        <v>151</v>
      </c>
      <c r="Y678">
        <v>21</v>
      </c>
      <c r="Z678">
        <v>2</v>
      </c>
      <c r="AA678">
        <v>3</v>
      </c>
      <c r="AB678">
        <v>3</v>
      </c>
      <c r="AD678">
        <v>0</v>
      </c>
      <c r="AE678">
        <v>0</v>
      </c>
      <c r="AF678">
        <v>0</v>
      </c>
      <c r="AG678">
        <v>1</v>
      </c>
      <c r="AI678">
        <v>0</v>
      </c>
      <c r="AJ678">
        <v>23</v>
      </c>
      <c r="AK678">
        <v>454</v>
      </c>
      <c r="AL678">
        <v>454</v>
      </c>
      <c r="AM678">
        <v>607</v>
      </c>
      <c r="AN678">
        <v>44</v>
      </c>
      <c r="AP678">
        <v>1</v>
      </c>
      <c r="AR678" t="s">
        <v>762</v>
      </c>
      <c r="AS678" s="1">
        <v>44354.198611111111</v>
      </c>
      <c r="AT678" s="1">
        <v>44354.201018518521</v>
      </c>
      <c r="AU678" s="1">
        <v>44354.201608796298</v>
      </c>
      <c r="AV678" t="s">
        <v>71</v>
      </c>
      <c r="AW678" t="s">
        <v>72</v>
      </c>
      <c r="AX678" t="s">
        <v>73</v>
      </c>
    </row>
    <row r="679" spans="1:50" x14ac:dyDescent="0.3">
      <c r="A679" t="str">
        <f>"200239C0200"</f>
        <v>200239C0200</v>
      </c>
      <c r="B679" t="str">
        <f>"200239C02002"</f>
        <v>200239C02002</v>
      </c>
      <c r="C679" t="str">
        <f t="shared" si="30"/>
        <v>20</v>
      </c>
      <c r="D679" t="s">
        <v>67</v>
      </c>
      <c r="E679" t="str">
        <f t="shared" si="29"/>
        <v>004</v>
      </c>
      <c r="F679" t="s">
        <v>725</v>
      </c>
      <c r="G679" t="str">
        <f>"0239"</f>
        <v>0239</v>
      </c>
      <c r="H679" t="str">
        <f>"0002"</f>
        <v>0002</v>
      </c>
      <c r="I679" t="s">
        <v>75</v>
      </c>
      <c r="J679">
        <v>0</v>
      </c>
      <c r="K679">
        <v>1</v>
      </c>
      <c r="L679">
        <v>2</v>
      </c>
      <c r="M679">
        <v>226</v>
      </c>
      <c r="N679">
        <v>425</v>
      </c>
      <c r="O679">
        <v>6</v>
      </c>
      <c r="P679">
        <v>425</v>
      </c>
      <c r="Q679">
        <v>10</v>
      </c>
      <c r="R679">
        <v>87</v>
      </c>
      <c r="S679">
        <v>92</v>
      </c>
      <c r="T679">
        <v>0</v>
      </c>
      <c r="U679">
        <v>41</v>
      </c>
      <c r="V679">
        <v>4</v>
      </c>
      <c r="W679">
        <v>0</v>
      </c>
      <c r="X679">
        <v>132</v>
      </c>
      <c r="Y679">
        <v>25</v>
      </c>
      <c r="Z679">
        <v>4</v>
      </c>
      <c r="AA679">
        <v>5</v>
      </c>
      <c r="AB679">
        <v>2</v>
      </c>
      <c r="AD679">
        <v>1</v>
      </c>
      <c r="AE679">
        <v>0</v>
      </c>
      <c r="AF679">
        <v>1</v>
      </c>
      <c r="AG679">
        <v>2</v>
      </c>
      <c r="AI679">
        <v>0</v>
      </c>
      <c r="AJ679">
        <v>19</v>
      </c>
      <c r="AK679">
        <v>425</v>
      </c>
      <c r="AL679">
        <v>425</v>
      </c>
      <c r="AM679">
        <v>607</v>
      </c>
      <c r="AN679">
        <v>44</v>
      </c>
      <c r="AP679">
        <v>1</v>
      </c>
      <c r="AR679" t="s">
        <v>763</v>
      </c>
      <c r="AS679" s="1">
        <v>44354.199305555558</v>
      </c>
      <c r="AT679" s="1">
        <v>44354.203229166669</v>
      </c>
      <c r="AU679" s="1">
        <v>44354.204270833332</v>
      </c>
      <c r="AV679" t="s">
        <v>71</v>
      </c>
      <c r="AW679" t="s">
        <v>72</v>
      </c>
      <c r="AX679" t="s">
        <v>73</v>
      </c>
    </row>
    <row r="680" spans="1:50" x14ac:dyDescent="0.3">
      <c r="A680" t="str">
        <f>"200240B0000"</f>
        <v>200240B0000</v>
      </c>
      <c r="B680" t="str">
        <f>"200240B00002"</f>
        <v>200240B00002</v>
      </c>
      <c r="C680" t="str">
        <f t="shared" si="30"/>
        <v>20</v>
      </c>
      <c r="D680" t="s">
        <v>67</v>
      </c>
      <c r="E680" t="str">
        <f t="shared" si="29"/>
        <v>004</v>
      </c>
      <c r="F680" t="s">
        <v>725</v>
      </c>
      <c r="G680" t="str">
        <f>"0240"</f>
        <v>0240</v>
      </c>
      <c r="H680" t="str">
        <f>"0000"</f>
        <v>0000</v>
      </c>
      <c r="I680" t="s">
        <v>69</v>
      </c>
      <c r="J680">
        <v>0</v>
      </c>
      <c r="K680">
        <v>1</v>
      </c>
      <c r="L680">
        <v>2</v>
      </c>
      <c r="M680">
        <v>194</v>
      </c>
      <c r="N680">
        <v>430</v>
      </c>
      <c r="O680">
        <v>424</v>
      </c>
      <c r="P680" t="s">
        <v>80</v>
      </c>
      <c r="Q680">
        <v>12</v>
      </c>
      <c r="R680">
        <v>81</v>
      </c>
      <c r="S680">
        <v>65</v>
      </c>
      <c r="T680">
        <v>1</v>
      </c>
      <c r="U680">
        <v>63</v>
      </c>
      <c r="V680">
        <v>3</v>
      </c>
      <c r="W680">
        <v>10</v>
      </c>
      <c r="X680">
        <v>150</v>
      </c>
      <c r="Y680">
        <v>20</v>
      </c>
      <c r="Z680">
        <v>3</v>
      </c>
      <c r="AA680">
        <v>0</v>
      </c>
      <c r="AB680">
        <v>3</v>
      </c>
      <c r="AD680">
        <v>1</v>
      </c>
      <c r="AE680">
        <v>0</v>
      </c>
      <c r="AF680">
        <v>1</v>
      </c>
      <c r="AG680">
        <v>1</v>
      </c>
      <c r="AI680">
        <v>0</v>
      </c>
      <c r="AJ680">
        <v>16</v>
      </c>
      <c r="AK680">
        <v>430</v>
      </c>
      <c r="AL680">
        <v>430</v>
      </c>
      <c r="AM680">
        <v>580</v>
      </c>
      <c r="AN680">
        <v>44</v>
      </c>
      <c r="AP680">
        <v>1</v>
      </c>
      <c r="AR680" t="s">
        <v>764</v>
      </c>
      <c r="AS680" s="1">
        <v>44354.192361111112</v>
      </c>
      <c r="AT680" s="1">
        <v>44354.198449074072</v>
      </c>
      <c r="AU680" s="1">
        <v>44354.198831018519</v>
      </c>
      <c r="AV680" t="s">
        <v>71</v>
      </c>
      <c r="AW680" t="s">
        <v>72</v>
      </c>
      <c r="AX680" t="s">
        <v>73</v>
      </c>
    </row>
    <row r="681" spans="1:50" x14ac:dyDescent="0.3">
      <c r="A681" t="str">
        <f>"200240C0100"</f>
        <v>200240C0100</v>
      </c>
      <c r="B681" t="str">
        <f>"200240C01002"</f>
        <v>200240C01002</v>
      </c>
      <c r="C681" t="str">
        <f t="shared" si="30"/>
        <v>20</v>
      </c>
      <c r="D681" t="s">
        <v>67</v>
      </c>
      <c r="E681" t="str">
        <f t="shared" si="29"/>
        <v>004</v>
      </c>
      <c r="F681" t="s">
        <v>725</v>
      </c>
      <c r="G681" t="str">
        <f>"0240"</f>
        <v>0240</v>
      </c>
      <c r="H681" t="str">
        <f>"0001"</f>
        <v>0001</v>
      </c>
      <c r="I681" t="s">
        <v>75</v>
      </c>
      <c r="J681">
        <v>0</v>
      </c>
      <c r="K681">
        <v>1</v>
      </c>
      <c r="L681">
        <v>2</v>
      </c>
      <c r="M681">
        <v>176</v>
      </c>
      <c r="N681">
        <v>447</v>
      </c>
      <c r="O681">
        <v>8</v>
      </c>
      <c r="P681">
        <v>447</v>
      </c>
      <c r="Q681">
        <v>5</v>
      </c>
      <c r="R681">
        <v>69</v>
      </c>
      <c r="S681">
        <v>67</v>
      </c>
      <c r="T681">
        <v>2</v>
      </c>
      <c r="U681">
        <v>57</v>
      </c>
      <c r="V681">
        <v>1</v>
      </c>
      <c r="W681">
        <v>5</v>
      </c>
      <c r="X681">
        <v>200</v>
      </c>
      <c r="Y681">
        <v>17</v>
      </c>
      <c r="Z681">
        <v>7</v>
      </c>
      <c r="AA681">
        <v>1</v>
      </c>
      <c r="AB681">
        <v>5</v>
      </c>
      <c r="AD681">
        <v>2</v>
      </c>
      <c r="AE681">
        <v>0</v>
      </c>
      <c r="AF681">
        <v>0</v>
      </c>
      <c r="AG681">
        <v>0</v>
      </c>
      <c r="AI681">
        <v>0</v>
      </c>
      <c r="AJ681">
        <v>9</v>
      </c>
      <c r="AK681">
        <v>447</v>
      </c>
      <c r="AL681">
        <v>447</v>
      </c>
      <c r="AM681">
        <v>580</v>
      </c>
      <c r="AN681">
        <v>44</v>
      </c>
      <c r="AP681">
        <v>1</v>
      </c>
      <c r="AR681" t="s">
        <v>765</v>
      </c>
      <c r="AS681" s="1">
        <v>44354.193749999999</v>
      </c>
      <c r="AT681" s="1">
        <v>44354.196111111109</v>
      </c>
      <c r="AU681" s="1">
        <v>44354.196793981479</v>
      </c>
      <c r="AV681" t="s">
        <v>71</v>
      </c>
      <c r="AW681" t="s">
        <v>72</v>
      </c>
      <c r="AX681" t="s">
        <v>73</v>
      </c>
    </row>
    <row r="682" spans="1:50" x14ac:dyDescent="0.3">
      <c r="A682" t="str">
        <f>"200240S0100"</f>
        <v>200240S0100</v>
      </c>
      <c r="B682" t="str">
        <f>"200240S01002EMR"</f>
        <v>200240S01002EMR</v>
      </c>
      <c r="C682" t="str">
        <f t="shared" si="30"/>
        <v>20</v>
      </c>
      <c r="D682" t="s">
        <v>67</v>
      </c>
      <c r="E682" t="str">
        <f t="shared" si="29"/>
        <v>004</v>
      </c>
      <c r="F682" t="s">
        <v>725</v>
      </c>
      <c r="G682" t="str">
        <f>"0240"</f>
        <v>0240</v>
      </c>
      <c r="H682" t="str">
        <f>"0001"</f>
        <v>0001</v>
      </c>
      <c r="I682" t="s">
        <v>85</v>
      </c>
      <c r="J682">
        <v>0</v>
      </c>
      <c r="K682">
        <v>1</v>
      </c>
      <c r="L682" t="s">
        <v>86</v>
      </c>
      <c r="M682">
        <v>891</v>
      </c>
      <c r="N682">
        <v>47</v>
      </c>
      <c r="O682">
        <v>0</v>
      </c>
      <c r="P682">
        <v>47</v>
      </c>
      <c r="Q682">
        <v>0</v>
      </c>
      <c r="R682">
        <v>8</v>
      </c>
      <c r="S682">
        <v>3</v>
      </c>
      <c r="T682">
        <v>0</v>
      </c>
      <c r="U682">
        <v>7</v>
      </c>
      <c r="V682">
        <v>0</v>
      </c>
      <c r="W682">
        <v>0</v>
      </c>
      <c r="X682">
        <v>21</v>
      </c>
      <c r="Y682">
        <v>1</v>
      </c>
      <c r="Z682">
        <v>2</v>
      </c>
      <c r="AA682">
        <v>0</v>
      </c>
      <c r="AB682">
        <v>1</v>
      </c>
      <c r="AD682">
        <v>1</v>
      </c>
      <c r="AE682">
        <v>0</v>
      </c>
      <c r="AF682">
        <v>0</v>
      </c>
      <c r="AG682">
        <v>0</v>
      </c>
      <c r="AI682">
        <v>0</v>
      </c>
      <c r="AJ682">
        <v>3</v>
      </c>
      <c r="AK682">
        <v>47</v>
      </c>
      <c r="AL682">
        <v>47</v>
      </c>
      <c r="AM682">
        <v>0</v>
      </c>
      <c r="AN682">
        <v>44</v>
      </c>
      <c r="AP682">
        <v>1</v>
      </c>
      <c r="AR682" t="s">
        <v>766</v>
      </c>
      <c r="AS682" s="1">
        <v>44354.193055555559</v>
      </c>
      <c r="AT682" s="1">
        <v>44354.666701388887</v>
      </c>
      <c r="AU682" s="1">
        <v>44354.667175925926</v>
      </c>
      <c r="AV682" t="s">
        <v>71</v>
      </c>
      <c r="AW682" t="s">
        <v>72</v>
      </c>
      <c r="AX682" t="s">
        <v>73</v>
      </c>
    </row>
    <row r="683" spans="1:50" x14ac:dyDescent="0.3">
      <c r="A683" t="str">
        <f>"200241B0000"</f>
        <v>200241B0000</v>
      </c>
      <c r="B683" t="str">
        <f>"200241B00002"</f>
        <v>200241B00002</v>
      </c>
      <c r="C683" t="str">
        <f t="shared" si="30"/>
        <v>20</v>
      </c>
      <c r="D683" t="s">
        <v>67</v>
      </c>
      <c r="E683" t="str">
        <f t="shared" si="29"/>
        <v>004</v>
      </c>
      <c r="F683" t="s">
        <v>725</v>
      </c>
      <c r="G683" t="str">
        <f>"0241"</f>
        <v>0241</v>
      </c>
      <c r="H683" t="str">
        <f>"0000"</f>
        <v>0000</v>
      </c>
      <c r="I683" t="s">
        <v>69</v>
      </c>
      <c r="J683">
        <v>0</v>
      </c>
      <c r="K683">
        <v>1</v>
      </c>
      <c r="L683">
        <v>2</v>
      </c>
      <c r="M683" t="s">
        <v>80</v>
      </c>
      <c r="N683" t="s">
        <v>80</v>
      </c>
      <c r="O683" t="s">
        <v>80</v>
      </c>
      <c r="P683" t="s">
        <v>80</v>
      </c>
      <c r="Q683">
        <v>6</v>
      </c>
      <c r="R683">
        <v>117</v>
      </c>
      <c r="S683">
        <v>109</v>
      </c>
      <c r="T683">
        <v>2</v>
      </c>
      <c r="U683">
        <v>43</v>
      </c>
      <c r="V683">
        <v>2</v>
      </c>
      <c r="W683">
        <v>3</v>
      </c>
      <c r="X683">
        <v>180</v>
      </c>
      <c r="Y683">
        <v>19</v>
      </c>
      <c r="Z683">
        <v>5</v>
      </c>
      <c r="AA683">
        <v>4</v>
      </c>
      <c r="AB683">
        <v>3</v>
      </c>
      <c r="AD683">
        <v>4</v>
      </c>
      <c r="AE683">
        <v>1</v>
      </c>
      <c r="AF683" t="s">
        <v>77</v>
      </c>
      <c r="AG683" t="s">
        <v>77</v>
      </c>
      <c r="AI683" t="s">
        <v>77</v>
      </c>
      <c r="AJ683">
        <v>30</v>
      </c>
      <c r="AK683">
        <v>528</v>
      </c>
      <c r="AL683">
        <v>528</v>
      </c>
      <c r="AM683">
        <v>715</v>
      </c>
      <c r="AN683">
        <v>44</v>
      </c>
      <c r="AO683" t="s">
        <v>78</v>
      </c>
      <c r="AP683">
        <v>1</v>
      </c>
      <c r="AR683" t="s">
        <v>767</v>
      </c>
      <c r="AS683" s="1">
        <v>44354.131944444445</v>
      </c>
      <c r="AT683" s="1">
        <v>44354.133946759262</v>
      </c>
      <c r="AU683" s="1">
        <v>44354.135196759256</v>
      </c>
      <c r="AV683" t="s">
        <v>71</v>
      </c>
      <c r="AW683" t="s">
        <v>72</v>
      </c>
      <c r="AX683" t="s">
        <v>73</v>
      </c>
    </row>
    <row r="684" spans="1:50" x14ac:dyDescent="0.3">
      <c r="A684" t="str">
        <f>"200241C0100"</f>
        <v>200241C0100</v>
      </c>
      <c r="B684" t="str">
        <f>"200241C01002"</f>
        <v>200241C01002</v>
      </c>
      <c r="C684" t="str">
        <f t="shared" si="30"/>
        <v>20</v>
      </c>
      <c r="D684" t="s">
        <v>67</v>
      </c>
      <c r="E684" t="str">
        <f t="shared" si="29"/>
        <v>004</v>
      </c>
      <c r="F684" t="s">
        <v>725</v>
      </c>
      <c r="G684" t="str">
        <f>"0241"</f>
        <v>0241</v>
      </c>
      <c r="H684" t="str">
        <f>"0001"</f>
        <v>0001</v>
      </c>
      <c r="I684" t="s">
        <v>75</v>
      </c>
      <c r="J684">
        <v>0</v>
      </c>
      <c r="K684">
        <v>1</v>
      </c>
      <c r="L684">
        <v>2</v>
      </c>
      <c r="M684">
        <v>261</v>
      </c>
      <c r="N684">
        <v>497</v>
      </c>
      <c r="O684">
        <v>6</v>
      </c>
      <c r="P684">
        <v>497</v>
      </c>
      <c r="Q684">
        <v>6</v>
      </c>
      <c r="R684">
        <v>100</v>
      </c>
      <c r="S684">
        <v>95</v>
      </c>
      <c r="T684">
        <v>0</v>
      </c>
      <c r="U684">
        <v>36</v>
      </c>
      <c r="V684">
        <v>8</v>
      </c>
      <c r="W684">
        <v>1</v>
      </c>
      <c r="X684">
        <v>214</v>
      </c>
      <c r="Y684">
        <v>13</v>
      </c>
      <c r="Z684">
        <v>3</v>
      </c>
      <c r="AA684">
        <v>7</v>
      </c>
      <c r="AB684">
        <v>3</v>
      </c>
      <c r="AD684">
        <v>0</v>
      </c>
      <c r="AE684">
        <v>0</v>
      </c>
      <c r="AF684">
        <v>0</v>
      </c>
      <c r="AG684">
        <v>0</v>
      </c>
      <c r="AI684">
        <v>0</v>
      </c>
      <c r="AJ684">
        <v>11</v>
      </c>
      <c r="AK684">
        <v>497</v>
      </c>
      <c r="AL684">
        <v>497</v>
      </c>
      <c r="AM684">
        <v>714</v>
      </c>
      <c r="AN684">
        <v>44</v>
      </c>
      <c r="AP684">
        <v>1</v>
      </c>
      <c r="AR684" t="s">
        <v>768</v>
      </c>
      <c r="AS684" s="1">
        <v>44354.178472222222</v>
      </c>
      <c r="AT684" s="1">
        <v>44354.180543981478</v>
      </c>
      <c r="AU684" s="1">
        <v>44354.181134259263</v>
      </c>
      <c r="AV684" t="s">
        <v>71</v>
      </c>
      <c r="AW684" t="s">
        <v>72</v>
      </c>
      <c r="AX684" t="s">
        <v>73</v>
      </c>
    </row>
    <row r="685" spans="1:50" x14ac:dyDescent="0.3">
      <c r="A685" t="str">
        <f>"200242B0000"</f>
        <v>200242B0000</v>
      </c>
      <c r="B685" t="str">
        <f>"200242B00002"</f>
        <v>200242B00002</v>
      </c>
      <c r="C685" t="str">
        <f t="shared" si="30"/>
        <v>20</v>
      </c>
      <c r="D685" t="s">
        <v>67</v>
      </c>
      <c r="E685" t="str">
        <f t="shared" si="29"/>
        <v>004</v>
      </c>
      <c r="F685" t="s">
        <v>725</v>
      </c>
      <c r="G685" t="str">
        <f>"0242"</f>
        <v>0242</v>
      </c>
      <c r="H685" t="str">
        <f>"0000"</f>
        <v>0000</v>
      </c>
      <c r="I685" t="s">
        <v>69</v>
      </c>
      <c r="J685">
        <v>0</v>
      </c>
      <c r="K685">
        <v>1</v>
      </c>
      <c r="L685">
        <v>2</v>
      </c>
      <c r="M685">
        <v>136</v>
      </c>
      <c r="N685">
        <v>276</v>
      </c>
      <c r="O685">
        <v>8</v>
      </c>
      <c r="P685">
        <v>276</v>
      </c>
      <c r="Q685">
        <v>6</v>
      </c>
      <c r="R685">
        <v>77</v>
      </c>
      <c r="S685">
        <v>38</v>
      </c>
      <c r="T685">
        <v>0</v>
      </c>
      <c r="U685">
        <v>8</v>
      </c>
      <c r="V685">
        <v>1</v>
      </c>
      <c r="W685">
        <v>0</v>
      </c>
      <c r="X685">
        <v>108</v>
      </c>
      <c r="Y685">
        <v>12</v>
      </c>
      <c r="Z685">
        <v>4</v>
      </c>
      <c r="AA685">
        <v>10</v>
      </c>
      <c r="AB685">
        <v>1</v>
      </c>
      <c r="AD685">
        <v>0</v>
      </c>
      <c r="AE685">
        <v>0</v>
      </c>
      <c r="AF685">
        <v>0</v>
      </c>
      <c r="AG685">
        <v>0</v>
      </c>
      <c r="AI685">
        <v>0</v>
      </c>
      <c r="AJ685">
        <v>11</v>
      </c>
      <c r="AK685">
        <v>276</v>
      </c>
      <c r="AL685">
        <v>276</v>
      </c>
      <c r="AM685">
        <v>368</v>
      </c>
      <c r="AN685">
        <v>44</v>
      </c>
      <c r="AP685">
        <v>1</v>
      </c>
      <c r="AR685" t="s">
        <v>769</v>
      </c>
      <c r="AS685" s="1">
        <v>44354.199305555558</v>
      </c>
      <c r="AT685" s="1">
        <v>44354.201157407406</v>
      </c>
      <c r="AU685" s="1">
        <v>44354.202766203707</v>
      </c>
      <c r="AV685" t="s">
        <v>71</v>
      </c>
      <c r="AW685" t="s">
        <v>72</v>
      </c>
      <c r="AX685" t="s">
        <v>73</v>
      </c>
    </row>
    <row r="686" spans="1:50" x14ac:dyDescent="0.3">
      <c r="A686" t="str">
        <f>"200243B0000"</f>
        <v>200243B0000</v>
      </c>
      <c r="B686" t="str">
        <f>"200243B00002"</f>
        <v>200243B00002</v>
      </c>
      <c r="C686" t="str">
        <f t="shared" si="30"/>
        <v>20</v>
      </c>
      <c r="D686" t="s">
        <v>67</v>
      </c>
      <c r="E686" t="str">
        <f t="shared" si="29"/>
        <v>004</v>
      </c>
      <c r="F686" t="s">
        <v>725</v>
      </c>
      <c r="G686" t="str">
        <f>"0243"</f>
        <v>0243</v>
      </c>
      <c r="H686" t="str">
        <f>"0000"</f>
        <v>0000</v>
      </c>
      <c r="I686" t="s">
        <v>69</v>
      </c>
      <c r="J686">
        <v>0</v>
      </c>
      <c r="K686">
        <v>1</v>
      </c>
      <c r="L686">
        <v>2</v>
      </c>
      <c r="M686">
        <v>179</v>
      </c>
      <c r="N686">
        <v>251</v>
      </c>
      <c r="O686">
        <v>7</v>
      </c>
      <c r="P686">
        <v>251</v>
      </c>
      <c r="Q686">
        <v>5</v>
      </c>
      <c r="R686">
        <v>49</v>
      </c>
      <c r="S686">
        <v>39</v>
      </c>
      <c r="T686">
        <v>0</v>
      </c>
      <c r="U686">
        <v>18</v>
      </c>
      <c r="V686">
        <v>5</v>
      </c>
      <c r="W686">
        <v>1</v>
      </c>
      <c r="X686">
        <v>102</v>
      </c>
      <c r="Y686">
        <v>12</v>
      </c>
      <c r="Z686">
        <v>4</v>
      </c>
      <c r="AA686">
        <v>1</v>
      </c>
      <c r="AB686">
        <v>1</v>
      </c>
      <c r="AD686">
        <v>0</v>
      </c>
      <c r="AE686">
        <v>0</v>
      </c>
      <c r="AF686">
        <v>0</v>
      </c>
      <c r="AG686">
        <v>0</v>
      </c>
      <c r="AI686">
        <v>0</v>
      </c>
      <c r="AJ686">
        <v>14</v>
      </c>
      <c r="AK686">
        <v>251</v>
      </c>
      <c r="AL686">
        <v>251</v>
      </c>
      <c r="AM686">
        <v>386</v>
      </c>
      <c r="AN686">
        <v>44</v>
      </c>
      <c r="AP686">
        <v>1</v>
      </c>
      <c r="AR686" t="s">
        <v>770</v>
      </c>
      <c r="AS686" s="1">
        <v>44354.199305555558</v>
      </c>
      <c r="AT686" s="1">
        <v>44354.202604166669</v>
      </c>
      <c r="AU686" s="1">
        <v>44354.203125</v>
      </c>
      <c r="AV686" t="s">
        <v>71</v>
      </c>
      <c r="AW686" t="s">
        <v>72</v>
      </c>
      <c r="AX686" t="s">
        <v>73</v>
      </c>
    </row>
    <row r="687" spans="1:50" x14ac:dyDescent="0.3">
      <c r="A687" t="str">
        <f>"200243C0100"</f>
        <v>200243C0100</v>
      </c>
      <c r="B687" t="str">
        <f>"200243C01002"</f>
        <v>200243C01002</v>
      </c>
      <c r="C687" t="str">
        <f t="shared" si="30"/>
        <v>20</v>
      </c>
      <c r="D687" t="s">
        <v>67</v>
      </c>
      <c r="E687" t="str">
        <f t="shared" si="29"/>
        <v>004</v>
      </c>
      <c r="F687" t="s">
        <v>725</v>
      </c>
      <c r="G687" t="str">
        <f>"0243"</f>
        <v>0243</v>
      </c>
      <c r="H687" t="str">
        <f>"0001"</f>
        <v>0001</v>
      </c>
      <c r="I687" t="s">
        <v>75</v>
      </c>
      <c r="J687">
        <v>0</v>
      </c>
      <c r="K687">
        <v>1</v>
      </c>
      <c r="L687">
        <v>2</v>
      </c>
      <c r="M687">
        <v>152</v>
      </c>
      <c r="N687">
        <v>278</v>
      </c>
      <c r="O687">
        <v>7</v>
      </c>
      <c r="P687">
        <v>278</v>
      </c>
      <c r="Q687">
        <v>7</v>
      </c>
      <c r="R687">
        <v>69</v>
      </c>
      <c r="S687">
        <v>27</v>
      </c>
      <c r="T687">
        <v>0</v>
      </c>
      <c r="U687">
        <v>25</v>
      </c>
      <c r="V687">
        <v>0</v>
      </c>
      <c r="W687">
        <v>0</v>
      </c>
      <c r="X687">
        <v>114</v>
      </c>
      <c r="Y687">
        <v>6</v>
      </c>
      <c r="Z687">
        <v>3</v>
      </c>
      <c r="AA687">
        <v>6</v>
      </c>
      <c r="AB687">
        <v>1</v>
      </c>
      <c r="AD687" t="s">
        <v>77</v>
      </c>
      <c r="AE687" t="s">
        <v>77</v>
      </c>
      <c r="AF687" t="s">
        <v>77</v>
      </c>
      <c r="AG687" t="s">
        <v>77</v>
      </c>
      <c r="AI687" t="s">
        <v>77</v>
      </c>
      <c r="AJ687">
        <v>20</v>
      </c>
      <c r="AK687">
        <v>278</v>
      </c>
      <c r="AL687">
        <v>278</v>
      </c>
      <c r="AM687">
        <v>386</v>
      </c>
      <c r="AN687">
        <v>44</v>
      </c>
      <c r="AO687" t="s">
        <v>78</v>
      </c>
      <c r="AP687">
        <v>1</v>
      </c>
      <c r="AR687" t="s">
        <v>771</v>
      </c>
      <c r="AS687" s="1">
        <v>44354.191666666666</v>
      </c>
      <c r="AT687" s="1">
        <v>44354.194467592592</v>
      </c>
      <c r="AU687" s="1">
        <v>44354.195173611108</v>
      </c>
      <c r="AV687" t="s">
        <v>71</v>
      </c>
      <c r="AW687" t="s">
        <v>72</v>
      </c>
      <c r="AX687" t="s">
        <v>73</v>
      </c>
    </row>
    <row r="688" spans="1:50" x14ac:dyDescent="0.3">
      <c r="A688" t="str">
        <f>"200244B0000"</f>
        <v>200244B0000</v>
      </c>
      <c r="B688" t="str">
        <f>"200244B00002"</f>
        <v>200244B00002</v>
      </c>
      <c r="C688" t="str">
        <f t="shared" si="30"/>
        <v>20</v>
      </c>
      <c r="D688" t="s">
        <v>67</v>
      </c>
      <c r="E688" t="str">
        <f t="shared" si="29"/>
        <v>004</v>
      </c>
      <c r="F688" t="s">
        <v>725</v>
      </c>
      <c r="G688" t="str">
        <f>"0244"</f>
        <v>0244</v>
      </c>
      <c r="H688" t="str">
        <f>"0000"</f>
        <v>0000</v>
      </c>
      <c r="I688" t="s">
        <v>69</v>
      </c>
      <c r="J688">
        <v>0</v>
      </c>
      <c r="K688">
        <v>1</v>
      </c>
      <c r="L688">
        <v>2</v>
      </c>
      <c r="M688">
        <v>251</v>
      </c>
      <c r="N688">
        <v>507</v>
      </c>
      <c r="O688">
        <v>3</v>
      </c>
      <c r="P688">
        <v>507</v>
      </c>
      <c r="Q688">
        <v>3</v>
      </c>
      <c r="R688">
        <v>187</v>
      </c>
      <c r="S688">
        <v>26</v>
      </c>
      <c r="T688">
        <v>2</v>
      </c>
      <c r="U688">
        <v>47</v>
      </c>
      <c r="V688">
        <v>5</v>
      </c>
      <c r="W688">
        <v>1</v>
      </c>
      <c r="X688">
        <v>188</v>
      </c>
      <c r="Y688">
        <v>9</v>
      </c>
      <c r="Z688">
        <v>13</v>
      </c>
      <c r="AA688">
        <v>4</v>
      </c>
      <c r="AB688">
        <v>4</v>
      </c>
      <c r="AD688">
        <v>0</v>
      </c>
      <c r="AE688">
        <v>0</v>
      </c>
      <c r="AF688">
        <v>0</v>
      </c>
      <c r="AG688">
        <v>2</v>
      </c>
      <c r="AI688">
        <v>0</v>
      </c>
      <c r="AJ688">
        <v>16</v>
      </c>
      <c r="AK688">
        <v>507</v>
      </c>
      <c r="AL688">
        <v>507</v>
      </c>
      <c r="AM688">
        <v>714</v>
      </c>
      <c r="AN688">
        <v>44</v>
      </c>
      <c r="AP688">
        <v>1</v>
      </c>
      <c r="AR688" t="s">
        <v>772</v>
      </c>
      <c r="AS688" s="1">
        <v>44354.193055555559</v>
      </c>
      <c r="AT688" s="1">
        <v>44354.201516203706</v>
      </c>
      <c r="AU688" s="1">
        <v>44354.202280092592</v>
      </c>
      <c r="AV688" t="s">
        <v>71</v>
      </c>
      <c r="AW688" t="s">
        <v>72</v>
      </c>
      <c r="AX688" t="s">
        <v>73</v>
      </c>
    </row>
    <row r="689" spans="1:50" x14ac:dyDescent="0.3">
      <c r="A689" t="str">
        <f>"200244E0100"</f>
        <v>200244E0100</v>
      </c>
      <c r="B689" t="str">
        <f>"200244E01002"</f>
        <v>200244E01002</v>
      </c>
      <c r="C689" t="str">
        <f t="shared" si="30"/>
        <v>20</v>
      </c>
      <c r="D689" t="s">
        <v>67</v>
      </c>
      <c r="E689" t="str">
        <f t="shared" si="29"/>
        <v>004</v>
      </c>
      <c r="F689" t="s">
        <v>725</v>
      </c>
      <c r="G689" t="str">
        <f>"0244"</f>
        <v>0244</v>
      </c>
      <c r="H689" t="str">
        <f>"0001"</f>
        <v>0001</v>
      </c>
      <c r="I689" t="s">
        <v>109</v>
      </c>
      <c r="J689">
        <v>0</v>
      </c>
      <c r="K689">
        <v>1</v>
      </c>
      <c r="L689">
        <v>2</v>
      </c>
      <c r="M689">
        <v>171</v>
      </c>
      <c r="N689">
        <v>229</v>
      </c>
      <c r="O689">
        <v>7</v>
      </c>
      <c r="P689" t="s">
        <v>80</v>
      </c>
      <c r="Q689">
        <v>3</v>
      </c>
      <c r="R689">
        <v>88</v>
      </c>
      <c r="S689">
        <v>49</v>
      </c>
      <c r="T689">
        <v>3</v>
      </c>
      <c r="U689">
        <v>9</v>
      </c>
      <c r="V689">
        <v>1</v>
      </c>
      <c r="W689">
        <v>0</v>
      </c>
      <c r="X689">
        <v>52</v>
      </c>
      <c r="Y689">
        <v>2</v>
      </c>
      <c r="Z689">
        <v>1</v>
      </c>
      <c r="AA689">
        <v>11</v>
      </c>
      <c r="AB689">
        <v>0</v>
      </c>
      <c r="AD689">
        <v>0</v>
      </c>
      <c r="AE689">
        <v>0</v>
      </c>
      <c r="AF689">
        <v>0</v>
      </c>
      <c r="AG689">
        <v>0</v>
      </c>
      <c r="AI689">
        <v>0</v>
      </c>
      <c r="AJ689">
        <v>11</v>
      </c>
      <c r="AK689">
        <v>230</v>
      </c>
      <c r="AL689">
        <v>230</v>
      </c>
      <c r="AM689">
        <v>357</v>
      </c>
      <c r="AN689">
        <v>44</v>
      </c>
      <c r="AP689">
        <v>1</v>
      </c>
      <c r="AR689" t="s">
        <v>773</v>
      </c>
      <c r="AS689" s="1">
        <v>44354.15</v>
      </c>
      <c r="AT689" s="1">
        <v>44354.152951388889</v>
      </c>
      <c r="AU689" s="1">
        <v>44354.153263888889</v>
      </c>
      <c r="AV689" t="s">
        <v>71</v>
      </c>
      <c r="AW689" t="s">
        <v>72</v>
      </c>
      <c r="AX689" t="s">
        <v>73</v>
      </c>
    </row>
    <row r="690" spans="1:50" x14ac:dyDescent="0.3">
      <c r="A690" t="str">
        <f>"200245B0000"</f>
        <v>200245B0000</v>
      </c>
      <c r="B690" t="str">
        <f>"200245B00002"</f>
        <v>200245B00002</v>
      </c>
      <c r="C690" t="str">
        <f t="shared" si="30"/>
        <v>20</v>
      </c>
      <c r="D690" t="s">
        <v>67</v>
      </c>
      <c r="E690" t="str">
        <f t="shared" si="29"/>
        <v>004</v>
      </c>
      <c r="F690" t="s">
        <v>725</v>
      </c>
      <c r="G690" t="str">
        <f>"0245"</f>
        <v>0245</v>
      </c>
      <c r="H690" t="str">
        <f>"0000"</f>
        <v>0000</v>
      </c>
      <c r="I690" t="s">
        <v>69</v>
      </c>
      <c r="J690">
        <v>0</v>
      </c>
      <c r="K690">
        <v>1</v>
      </c>
      <c r="L690">
        <v>2</v>
      </c>
      <c r="M690">
        <v>133</v>
      </c>
      <c r="N690">
        <v>223</v>
      </c>
      <c r="O690">
        <v>8</v>
      </c>
      <c r="P690">
        <v>223</v>
      </c>
      <c r="Q690">
        <v>2</v>
      </c>
      <c r="R690">
        <v>31</v>
      </c>
      <c r="S690">
        <v>51</v>
      </c>
      <c r="T690">
        <v>1</v>
      </c>
      <c r="U690">
        <v>4</v>
      </c>
      <c r="V690">
        <v>5</v>
      </c>
      <c r="W690">
        <v>0</v>
      </c>
      <c r="X690">
        <v>60</v>
      </c>
      <c r="Y690">
        <v>49</v>
      </c>
      <c r="Z690">
        <v>5</v>
      </c>
      <c r="AA690">
        <v>2</v>
      </c>
      <c r="AB690">
        <v>0</v>
      </c>
      <c r="AD690">
        <v>0</v>
      </c>
      <c r="AE690">
        <v>1</v>
      </c>
      <c r="AF690">
        <v>0</v>
      </c>
      <c r="AG690">
        <v>0</v>
      </c>
      <c r="AI690" t="s">
        <v>77</v>
      </c>
      <c r="AJ690">
        <v>12</v>
      </c>
      <c r="AK690">
        <v>223</v>
      </c>
      <c r="AL690">
        <v>223</v>
      </c>
      <c r="AM690">
        <v>312</v>
      </c>
      <c r="AN690">
        <v>44</v>
      </c>
      <c r="AO690" t="s">
        <v>78</v>
      </c>
      <c r="AP690">
        <v>1</v>
      </c>
      <c r="AR690" t="s">
        <v>774</v>
      </c>
      <c r="AS690" s="1">
        <v>44354.180555555555</v>
      </c>
      <c r="AT690" s="1">
        <v>44354.183067129627</v>
      </c>
      <c r="AU690" s="1">
        <v>44354.183506944442</v>
      </c>
      <c r="AV690" t="s">
        <v>71</v>
      </c>
      <c r="AW690" t="s">
        <v>72</v>
      </c>
      <c r="AX690" t="s">
        <v>73</v>
      </c>
    </row>
    <row r="691" spans="1:50" x14ac:dyDescent="0.3">
      <c r="A691" t="str">
        <f>"200246B0000"</f>
        <v>200246B0000</v>
      </c>
      <c r="B691" t="str">
        <f>"200246B00002"</f>
        <v>200246B00002</v>
      </c>
      <c r="C691" t="str">
        <f t="shared" si="30"/>
        <v>20</v>
      </c>
      <c r="D691" t="s">
        <v>67</v>
      </c>
      <c r="E691" t="str">
        <f t="shared" si="29"/>
        <v>004</v>
      </c>
      <c r="F691" t="s">
        <v>725</v>
      </c>
      <c r="G691" t="str">
        <f>"0246"</f>
        <v>0246</v>
      </c>
      <c r="H691" t="str">
        <f>"0000"</f>
        <v>0000</v>
      </c>
      <c r="I691" t="s">
        <v>69</v>
      </c>
      <c r="J691">
        <v>0</v>
      </c>
      <c r="K691">
        <v>1</v>
      </c>
      <c r="L691">
        <v>2</v>
      </c>
      <c r="M691">
        <v>260</v>
      </c>
      <c r="N691">
        <v>531</v>
      </c>
      <c r="O691">
        <v>9</v>
      </c>
      <c r="P691">
        <v>531</v>
      </c>
      <c r="Q691">
        <v>9</v>
      </c>
      <c r="R691">
        <v>29</v>
      </c>
      <c r="S691">
        <v>52</v>
      </c>
      <c r="T691">
        <v>4</v>
      </c>
      <c r="U691">
        <v>5</v>
      </c>
      <c r="V691">
        <v>10</v>
      </c>
      <c r="W691">
        <v>2</v>
      </c>
      <c r="X691">
        <v>124</v>
      </c>
      <c r="Y691">
        <v>241</v>
      </c>
      <c r="Z691">
        <v>7</v>
      </c>
      <c r="AA691">
        <v>5</v>
      </c>
      <c r="AB691">
        <v>5</v>
      </c>
      <c r="AD691">
        <v>3</v>
      </c>
      <c r="AE691">
        <v>0</v>
      </c>
      <c r="AF691">
        <v>0</v>
      </c>
      <c r="AG691">
        <v>0</v>
      </c>
      <c r="AI691">
        <v>0</v>
      </c>
      <c r="AJ691">
        <v>35</v>
      </c>
      <c r="AK691">
        <v>531</v>
      </c>
      <c r="AL691">
        <v>531</v>
      </c>
      <c r="AM691">
        <v>747</v>
      </c>
      <c r="AN691">
        <v>44</v>
      </c>
      <c r="AP691">
        <v>1</v>
      </c>
      <c r="AR691" t="s">
        <v>775</v>
      </c>
      <c r="AS691" s="1">
        <v>44354.310416666667</v>
      </c>
      <c r="AT691" s="1">
        <v>44354.313587962963</v>
      </c>
      <c r="AU691" s="1">
        <v>44354.31391203704</v>
      </c>
      <c r="AV691" t="s">
        <v>71</v>
      </c>
      <c r="AW691" t="s">
        <v>72</v>
      </c>
      <c r="AX691" t="s">
        <v>73</v>
      </c>
    </row>
    <row r="692" spans="1:50" x14ac:dyDescent="0.3">
      <c r="A692" t="str">
        <f>"200246E0100"</f>
        <v>200246E0100</v>
      </c>
      <c r="B692" t="str">
        <f>"200246E01002"</f>
        <v>200246E01002</v>
      </c>
      <c r="C692" t="str">
        <f t="shared" si="30"/>
        <v>20</v>
      </c>
      <c r="D692" t="s">
        <v>67</v>
      </c>
      <c r="E692" t="str">
        <f t="shared" si="29"/>
        <v>004</v>
      </c>
      <c r="F692" t="s">
        <v>725</v>
      </c>
      <c r="G692" t="str">
        <f>"0246"</f>
        <v>0246</v>
      </c>
      <c r="H692" t="str">
        <f>"0001"</f>
        <v>0001</v>
      </c>
      <c r="I692" t="s">
        <v>109</v>
      </c>
      <c r="J692">
        <v>0</v>
      </c>
      <c r="K692">
        <v>1</v>
      </c>
      <c r="L692">
        <v>2</v>
      </c>
      <c r="M692">
        <v>105</v>
      </c>
      <c r="N692">
        <v>150</v>
      </c>
      <c r="O692">
        <v>7</v>
      </c>
      <c r="P692">
        <v>150</v>
      </c>
      <c r="Q692">
        <v>0</v>
      </c>
      <c r="R692">
        <v>79</v>
      </c>
      <c r="S692">
        <v>23</v>
      </c>
      <c r="T692">
        <v>2</v>
      </c>
      <c r="U692">
        <v>5</v>
      </c>
      <c r="V692">
        <v>1</v>
      </c>
      <c r="W692">
        <v>1</v>
      </c>
      <c r="X692">
        <v>15</v>
      </c>
      <c r="Y692">
        <v>13</v>
      </c>
      <c r="Z692">
        <v>2</v>
      </c>
      <c r="AA692">
        <v>3</v>
      </c>
      <c r="AB692">
        <v>0</v>
      </c>
      <c r="AD692">
        <v>1</v>
      </c>
      <c r="AE692">
        <v>0</v>
      </c>
      <c r="AF692">
        <v>1</v>
      </c>
      <c r="AG692">
        <v>1</v>
      </c>
      <c r="AI692">
        <v>0</v>
      </c>
      <c r="AJ692">
        <v>3</v>
      </c>
      <c r="AK692">
        <v>150</v>
      </c>
      <c r="AL692">
        <v>150</v>
      </c>
      <c r="AM692">
        <v>211</v>
      </c>
      <c r="AN692">
        <v>44</v>
      </c>
      <c r="AP692">
        <v>1</v>
      </c>
      <c r="AR692" t="s">
        <v>776</v>
      </c>
      <c r="AS692" s="1">
        <v>44354.313194444447</v>
      </c>
      <c r="AT692" s="1">
        <v>44354.315162037034</v>
      </c>
      <c r="AU692" s="1">
        <v>44354.315891203703</v>
      </c>
      <c r="AV692" t="s">
        <v>71</v>
      </c>
      <c r="AW692" t="s">
        <v>72</v>
      </c>
      <c r="AX692" t="s">
        <v>73</v>
      </c>
    </row>
    <row r="693" spans="1:50" x14ac:dyDescent="0.3">
      <c r="A693" t="str">
        <f>"200247B0000"</f>
        <v>200247B0000</v>
      </c>
      <c r="B693" t="str">
        <f>"200247B00002"</f>
        <v>200247B00002</v>
      </c>
      <c r="C693" t="str">
        <f t="shared" si="30"/>
        <v>20</v>
      </c>
      <c r="D693" t="s">
        <v>67</v>
      </c>
      <c r="E693" t="str">
        <f t="shared" si="29"/>
        <v>004</v>
      </c>
      <c r="F693" t="s">
        <v>725</v>
      </c>
      <c r="G693" t="str">
        <f>"0247"</f>
        <v>0247</v>
      </c>
      <c r="H693" t="str">
        <f>"0000"</f>
        <v>0000</v>
      </c>
      <c r="I693" t="s">
        <v>69</v>
      </c>
      <c r="J693">
        <v>0</v>
      </c>
      <c r="K693">
        <v>1</v>
      </c>
      <c r="L693">
        <v>2</v>
      </c>
      <c r="M693">
        <v>254</v>
      </c>
      <c r="N693">
        <v>480</v>
      </c>
      <c r="O693">
        <v>6</v>
      </c>
      <c r="P693">
        <v>480</v>
      </c>
      <c r="Q693">
        <v>4</v>
      </c>
      <c r="R693">
        <v>174</v>
      </c>
      <c r="S693">
        <v>88</v>
      </c>
      <c r="T693">
        <v>1</v>
      </c>
      <c r="U693">
        <v>15</v>
      </c>
      <c r="V693">
        <v>15</v>
      </c>
      <c r="W693">
        <v>2</v>
      </c>
      <c r="X693">
        <v>148</v>
      </c>
      <c r="Y693">
        <v>3</v>
      </c>
      <c r="Z693">
        <v>8</v>
      </c>
      <c r="AA693">
        <v>7</v>
      </c>
      <c r="AB693">
        <v>1</v>
      </c>
      <c r="AD693">
        <v>0</v>
      </c>
      <c r="AE693">
        <v>0</v>
      </c>
      <c r="AF693">
        <v>0</v>
      </c>
      <c r="AG693">
        <v>0</v>
      </c>
      <c r="AI693">
        <v>0</v>
      </c>
      <c r="AJ693">
        <v>14</v>
      </c>
      <c r="AK693">
        <v>480</v>
      </c>
      <c r="AL693">
        <v>480</v>
      </c>
      <c r="AM693">
        <v>690</v>
      </c>
      <c r="AN693">
        <v>44</v>
      </c>
      <c r="AP693">
        <v>1</v>
      </c>
      <c r="AR693" t="s">
        <v>777</v>
      </c>
      <c r="AS693" s="1">
        <v>44354.460416666669</v>
      </c>
      <c r="AT693" s="1">
        <v>44354.463645833333</v>
      </c>
      <c r="AU693" s="1">
        <v>44354.464189814818</v>
      </c>
      <c r="AV693" t="s">
        <v>71</v>
      </c>
      <c r="AW693" t="s">
        <v>72</v>
      </c>
      <c r="AX693" t="s">
        <v>73</v>
      </c>
    </row>
    <row r="694" spans="1:50" x14ac:dyDescent="0.3">
      <c r="A694" t="str">
        <f>"200247E0100"</f>
        <v>200247E0100</v>
      </c>
      <c r="B694" t="str">
        <f>"200247E01002"</f>
        <v>200247E01002</v>
      </c>
      <c r="C694" t="str">
        <f t="shared" si="30"/>
        <v>20</v>
      </c>
      <c r="D694" t="s">
        <v>67</v>
      </c>
      <c r="E694" t="str">
        <f t="shared" si="29"/>
        <v>004</v>
      </c>
      <c r="F694" t="s">
        <v>725</v>
      </c>
      <c r="G694" t="str">
        <f>"0247"</f>
        <v>0247</v>
      </c>
      <c r="H694" t="str">
        <f>"0001"</f>
        <v>0001</v>
      </c>
      <c r="I694" t="s">
        <v>109</v>
      </c>
      <c r="J694">
        <v>0</v>
      </c>
      <c r="K694">
        <v>1</v>
      </c>
      <c r="L694">
        <v>2</v>
      </c>
      <c r="M694">
        <v>269</v>
      </c>
      <c r="N694">
        <v>506</v>
      </c>
      <c r="O694">
        <v>2</v>
      </c>
      <c r="P694">
        <v>506</v>
      </c>
      <c r="Q694">
        <v>9</v>
      </c>
      <c r="R694">
        <v>65</v>
      </c>
      <c r="S694">
        <v>165</v>
      </c>
      <c r="T694">
        <v>3</v>
      </c>
      <c r="U694">
        <v>7</v>
      </c>
      <c r="V694">
        <v>4</v>
      </c>
      <c r="W694">
        <v>0</v>
      </c>
      <c r="X694">
        <v>173</v>
      </c>
      <c r="Y694">
        <v>43</v>
      </c>
      <c r="Z694">
        <v>3</v>
      </c>
      <c r="AA694">
        <v>12</v>
      </c>
      <c r="AB694">
        <v>5</v>
      </c>
      <c r="AD694">
        <v>2</v>
      </c>
      <c r="AE694" t="s">
        <v>77</v>
      </c>
      <c r="AF694" t="s">
        <v>77</v>
      </c>
      <c r="AG694" t="s">
        <v>77</v>
      </c>
      <c r="AI694" t="s">
        <v>77</v>
      </c>
      <c r="AJ694">
        <v>14</v>
      </c>
      <c r="AK694">
        <v>506</v>
      </c>
      <c r="AL694">
        <v>505</v>
      </c>
      <c r="AM694">
        <v>732</v>
      </c>
      <c r="AN694">
        <v>44</v>
      </c>
      <c r="AO694" t="s">
        <v>78</v>
      </c>
      <c r="AP694">
        <v>1</v>
      </c>
      <c r="AR694" t="s">
        <v>778</v>
      </c>
      <c r="AS694" s="1">
        <v>44354.461111111108</v>
      </c>
      <c r="AT694" s="1">
        <v>44354.463483796295</v>
      </c>
      <c r="AU694" s="1">
        <v>44354.464120370372</v>
      </c>
      <c r="AV694" t="s">
        <v>71</v>
      </c>
      <c r="AW694" t="s">
        <v>72</v>
      </c>
      <c r="AX694" t="s">
        <v>73</v>
      </c>
    </row>
    <row r="695" spans="1:50" x14ac:dyDescent="0.3">
      <c r="A695" t="str">
        <f>"200247E0200"</f>
        <v>200247E0200</v>
      </c>
      <c r="B695" t="str">
        <f>"200247E02002"</f>
        <v>200247E02002</v>
      </c>
      <c r="C695" t="str">
        <f t="shared" si="30"/>
        <v>20</v>
      </c>
      <c r="D695" t="s">
        <v>67</v>
      </c>
      <c r="E695" t="str">
        <f t="shared" si="29"/>
        <v>004</v>
      </c>
      <c r="F695" t="s">
        <v>725</v>
      </c>
      <c r="G695" t="str">
        <f>"0247"</f>
        <v>0247</v>
      </c>
      <c r="H695" t="str">
        <f>"0002"</f>
        <v>0002</v>
      </c>
      <c r="I695" t="s">
        <v>109</v>
      </c>
      <c r="J695">
        <v>0</v>
      </c>
      <c r="K695">
        <v>1</v>
      </c>
      <c r="L695">
        <v>2</v>
      </c>
      <c r="M695" t="s">
        <v>80</v>
      </c>
      <c r="N695" t="s">
        <v>80</v>
      </c>
      <c r="O695" t="s">
        <v>80</v>
      </c>
      <c r="P695" t="s">
        <v>80</v>
      </c>
      <c r="Q695" t="s">
        <v>77</v>
      </c>
      <c r="R695" t="s">
        <v>77</v>
      </c>
      <c r="S695" t="s">
        <v>77</v>
      </c>
      <c r="T695" t="s">
        <v>77</v>
      </c>
      <c r="U695" t="s">
        <v>77</v>
      </c>
      <c r="V695" t="s">
        <v>77</v>
      </c>
      <c r="W695" t="s">
        <v>77</v>
      </c>
      <c r="X695" t="s">
        <v>77</v>
      </c>
      <c r="Y695" t="s">
        <v>77</v>
      </c>
      <c r="Z695" t="s">
        <v>77</v>
      </c>
      <c r="AA695" t="s">
        <v>77</v>
      </c>
      <c r="AB695" t="s">
        <v>77</v>
      </c>
      <c r="AD695" t="s">
        <v>77</v>
      </c>
      <c r="AE695" t="s">
        <v>77</v>
      </c>
      <c r="AF695" t="s">
        <v>77</v>
      </c>
      <c r="AG695" t="s">
        <v>77</v>
      </c>
      <c r="AI695" t="s">
        <v>77</v>
      </c>
      <c r="AJ695" t="s">
        <v>77</v>
      </c>
      <c r="AM695">
        <v>497</v>
      </c>
      <c r="AN695">
        <v>44</v>
      </c>
      <c r="AO695" t="s">
        <v>392</v>
      </c>
      <c r="AP695">
        <v>0</v>
      </c>
      <c r="AR695" t="s">
        <v>779</v>
      </c>
      <c r="AS695" s="1">
        <v>44354.461111111108</v>
      </c>
      <c r="AT695" s="1">
        <v>44354.467835648145</v>
      </c>
      <c r="AU695" s="1">
        <v>44354.478263888886</v>
      </c>
      <c r="AV695" t="s">
        <v>71</v>
      </c>
      <c r="AW695" t="s">
        <v>72</v>
      </c>
      <c r="AX695" t="s">
        <v>73</v>
      </c>
    </row>
    <row r="696" spans="1:50" x14ac:dyDescent="0.3">
      <c r="A696" t="str">
        <f>"200248B0000"</f>
        <v>200248B0000</v>
      </c>
      <c r="B696" t="str">
        <f>"200248B00002"</f>
        <v>200248B00002</v>
      </c>
      <c r="C696" t="str">
        <f t="shared" si="30"/>
        <v>20</v>
      </c>
      <c r="D696" t="s">
        <v>67</v>
      </c>
      <c r="E696" t="str">
        <f t="shared" si="29"/>
        <v>004</v>
      </c>
      <c r="F696" t="s">
        <v>725</v>
      </c>
      <c r="G696" t="str">
        <f>"0248"</f>
        <v>0248</v>
      </c>
      <c r="H696" t="str">
        <f>"0000"</f>
        <v>0000</v>
      </c>
      <c r="I696" t="s">
        <v>69</v>
      </c>
      <c r="J696">
        <v>0</v>
      </c>
      <c r="K696">
        <v>1</v>
      </c>
      <c r="L696">
        <v>2</v>
      </c>
      <c r="M696">
        <v>218</v>
      </c>
      <c r="N696">
        <v>438</v>
      </c>
      <c r="O696">
        <v>5</v>
      </c>
      <c r="P696">
        <v>438</v>
      </c>
      <c r="Q696">
        <v>8</v>
      </c>
      <c r="R696">
        <v>126</v>
      </c>
      <c r="S696">
        <v>164</v>
      </c>
      <c r="T696">
        <v>1</v>
      </c>
      <c r="U696">
        <v>13</v>
      </c>
      <c r="V696">
        <v>7</v>
      </c>
      <c r="W696">
        <v>2</v>
      </c>
      <c r="X696">
        <v>88</v>
      </c>
      <c r="Y696">
        <v>6</v>
      </c>
      <c r="Z696">
        <v>4</v>
      </c>
      <c r="AA696">
        <v>7</v>
      </c>
      <c r="AB696">
        <v>6</v>
      </c>
      <c r="AD696">
        <v>0</v>
      </c>
      <c r="AE696">
        <v>0</v>
      </c>
      <c r="AF696">
        <v>0</v>
      </c>
      <c r="AG696">
        <v>0</v>
      </c>
      <c r="AI696">
        <v>0</v>
      </c>
      <c r="AJ696">
        <v>6</v>
      </c>
      <c r="AK696">
        <v>438</v>
      </c>
      <c r="AL696">
        <v>438</v>
      </c>
      <c r="AM696">
        <v>612</v>
      </c>
      <c r="AN696">
        <v>44</v>
      </c>
      <c r="AP696">
        <v>1</v>
      </c>
      <c r="AR696" t="s">
        <v>780</v>
      </c>
      <c r="AS696" s="1">
        <v>44354.181250000001</v>
      </c>
      <c r="AT696" s="1">
        <v>44354.183819444443</v>
      </c>
      <c r="AU696" s="1">
        <v>44354.184513888889</v>
      </c>
      <c r="AV696" t="s">
        <v>71</v>
      </c>
      <c r="AW696" t="s">
        <v>72</v>
      </c>
      <c r="AX696" t="s">
        <v>73</v>
      </c>
    </row>
    <row r="697" spans="1:50" x14ac:dyDescent="0.3">
      <c r="A697" t="str">
        <f>"200248C0100"</f>
        <v>200248C0100</v>
      </c>
      <c r="B697" t="str">
        <f>"200248C01002"</f>
        <v>200248C01002</v>
      </c>
      <c r="C697" t="str">
        <f t="shared" si="30"/>
        <v>20</v>
      </c>
      <c r="D697" t="s">
        <v>67</v>
      </c>
      <c r="E697" t="str">
        <f t="shared" si="29"/>
        <v>004</v>
      </c>
      <c r="F697" t="s">
        <v>725</v>
      </c>
      <c r="G697" t="str">
        <f>"0248"</f>
        <v>0248</v>
      </c>
      <c r="H697" t="str">
        <f>"0001"</f>
        <v>0001</v>
      </c>
      <c r="I697" t="s">
        <v>75</v>
      </c>
      <c r="J697">
        <v>0</v>
      </c>
      <c r="K697">
        <v>1</v>
      </c>
      <c r="L697">
        <v>2</v>
      </c>
      <c r="M697">
        <v>236</v>
      </c>
      <c r="N697">
        <v>417</v>
      </c>
      <c r="O697">
        <v>5</v>
      </c>
      <c r="P697" t="s">
        <v>80</v>
      </c>
      <c r="Q697">
        <v>1</v>
      </c>
      <c r="R697">
        <v>108</v>
      </c>
      <c r="S697">
        <v>160</v>
      </c>
      <c r="T697">
        <v>1</v>
      </c>
      <c r="U697">
        <v>10</v>
      </c>
      <c r="V697">
        <v>3</v>
      </c>
      <c r="W697">
        <v>2</v>
      </c>
      <c r="X697">
        <v>103</v>
      </c>
      <c r="Y697">
        <v>7</v>
      </c>
      <c r="Z697">
        <v>2</v>
      </c>
      <c r="AA697">
        <v>3</v>
      </c>
      <c r="AB697">
        <v>4</v>
      </c>
      <c r="AD697" t="s">
        <v>77</v>
      </c>
      <c r="AE697" t="s">
        <v>77</v>
      </c>
      <c r="AF697" t="s">
        <v>77</v>
      </c>
      <c r="AG697" t="s">
        <v>77</v>
      </c>
      <c r="AI697" t="s">
        <v>77</v>
      </c>
      <c r="AJ697">
        <v>15</v>
      </c>
      <c r="AK697">
        <v>419</v>
      </c>
      <c r="AL697">
        <v>419</v>
      </c>
      <c r="AM697">
        <v>611</v>
      </c>
      <c r="AN697">
        <v>44</v>
      </c>
      <c r="AO697" t="s">
        <v>78</v>
      </c>
      <c r="AP697">
        <v>1</v>
      </c>
      <c r="AR697" t="s">
        <v>781</v>
      </c>
      <c r="AS697" s="1">
        <v>44354.182638888888</v>
      </c>
      <c r="AT697" s="1">
        <v>44354.197164351855</v>
      </c>
      <c r="AU697" s="1">
        <v>44354.205289351848</v>
      </c>
      <c r="AV697" t="s">
        <v>71</v>
      </c>
      <c r="AW697" t="s">
        <v>72</v>
      </c>
      <c r="AX697" t="s">
        <v>73</v>
      </c>
    </row>
    <row r="698" spans="1:50" x14ac:dyDescent="0.3">
      <c r="A698" t="str">
        <f>"200249B0000"</f>
        <v>200249B0000</v>
      </c>
      <c r="B698" t="str">
        <f>"200249B00002"</f>
        <v>200249B00002</v>
      </c>
      <c r="C698" t="str">
        <f t="shared" si="30"/>
        <v>20</v>
      </c>
      <c r="D698" t="s">
        <v>67</v>
      </c>
      <c r="E698" t="str">
        <f t="shared" si="29"/>
        <v>004</v>
      </c>
      <c r="F698" t="s">
        <v>725</v>
      </c>
      <c r="G698" t="str">
        <f>"0249"</f>
        <v>0249</v>
      </c>
      <c r="H698" t="str">
        <f>"0000"</f>
        <v>0000</v>
      </c>
      <c r="I698" t="s">
        <v>69</v>
      </c>
      <c r="J698">
        <v>0</v>
      </c>
      <c r="K698">
        <v>1</v>
      </c>
      <c r="L698">
        <v>2</v>
      </c>
      <c r="M698">
        <v>168</v>
      </c>
      <c r="N698">
        <v>295</v>
      </c>
      <c r="O698">
        <v>7</v>
      </c>
      <c r="P698">
        <v>295</v>
      </c>
      <c r="Q698">
        <v>7</v>
      </c>
      <c r="R698">
        <v>77</v>
      </c>
      <c r="S698">
        <v>62</v>
      </c>
      <c r="T698">
        <v>0</v>
      </c>
      <c r="U698">
        <v>10</v>
      </c>
      <c r="V698">
        <v>4</v>
      </c>
      <c r="W698">
        <v>1</v>
      </c>
      <c r="X698">
        <v>89</v>
      </c>
      <c r="Y698">
        <v>25</v>
      </c>
      <c r="Z698">
        <v>2</v>
      </c>
      <c r="AA698">
        <v>2</v>
      </c>
      <c r="AB698">
        <v>1</v>
      </c>
      <c r="AD698">
        <v>0</v>
      </c>
      <c r="AE698">
        <v>0</v>
      </c>
      <c r="AF698">
        <v>1</v>
      </c>
      <c r="AG698">
        <v>3</v>
      </c>
      <c r="AI698">
        <v>0</v>
      </c>
      <c r="AJ698">
        <v>11</v>
      </c>
      <c r="AK698">
        <v>295</v>
      </c>
      <c r="AL698">
        <v>295</v>
      </c>
      <c r="AM698">
        <v>419</v>
      </c>
      <c r="AN698">
        <v>44</v>
      </c>
      <c r="AP698">
        <v>1</v>
      </c>
      <c r="AR698" t="s">
        <v>782</v>
      </c>
      <c r="AS698" s="1">
        <v>44354.173611111109</v>
      </c>
      <c r="AT698" s="1">
        <v>44354.179236111115</v>
      </c>
      <c r="AU698" s="1">
        <v>44354.180208333331</v>
      </c>
      <c r="AV698" t="s">
        <v>71</v>
      </c>
      <c r="AW698" t="s">
        <v>72</v>
      </c>
      <c r="AX698" t="s">
        <v>73</v>
      </c>
    </row>
    <row r="699" spans="1:50" x14ac:dyDescent="0.3">
      <c r="A699" t="str">
        <f>"200249C0100"</f>
        <v>200249C0100</v>
      </c>
      <c r="B699" t="str">
        <f>"200249C01002"</f>
        <v>200249C01002</v>
      </c>
      <c r="C699" t="str">
        <f t="shared" si="30"/>
        <v>20</v>
      </c>
      <c r="D699" t="s">
        <v>67</v>
      </c>
      <c r="E699" t="str">
        <f t="shared" si="29"/>
        <v>004</v>
      </c>
      <c r="F699" t="s">
        <v>725</v>
      </c>
      <c r="G699" t="str">
        <f>"0249"</f>
        <v>0249</v>
      </c>
      <c r="H699" t="str">
        <f>"0001"</f>
        <v>0001</v>
      </c>
      <c r="I699" t="s">
        <v>75</v>
      </c>
      <c r="J699">
        <v>0</v>
      </c>
      <c r="K699">
        <v>1</v>
      </c>
      <c r="L699">
        <v>2</v>
      </c>
      <c r="M699">
        <v>180</v>
      </c>
      <c r="N699">
        <v>283</v>
      </c>
      <c r="O699">
        <v>7</v>
      </c>
      <c r="P699">
        <v>283</v>
      </c>
      <c r="Q699">
        <v>2</v>
      </c>
      <c r="R699">
        <v>79</v>
      </c>
      <c r="S699">
        <v>55</v>
      </c>
      <c r="T699">
        <v>2</v>
      </c>
      <c r="U699">
        <v>14</v>
      </c>
      <c r="V699">
        <v>6</v>
      </c>
      <c r="W699">
        <v>4</v>
      </c>
      <c r="X699">
        <v>90</v>
      </c>
      <c r="Y699">
        <v>8</v>
      </c>
      <c r="Z699">
        <v>1</v>
      </c>
      <c r="AA699">
        <v>5</v>
      </c>
      <c r="AB699">
        <v>0</v>
      </c>
      <c r="AD699">
        <v>0</v>
      </c>
      <c r="AE699">
        <v>0</v>
      </c>
      <c r="AF699">
        <v>0</v>
      </c>
      <c r="AG699">
        <v>0</v>
      </c>
      <c r="AI699">
        <v>0</v>
      </c>
      <c r="AJ699" t="s">
        <v>99</v>
      </c>
      <c r="AK699">
        <v>283</v>
      </c>
      <c r="AL699">
        <v>266</v>
      </c>
      <c r="AM699">
        <v>419</v>
      </c>
      <c r="AN699">
        <v>44</v>
      </c>
      <c r="AO699" t="s">
        <v>78</v>
      </c>
      <c r="AP699">
        <v>1</v>
      </c>
      <c r="AR699" t="s">
        <v>783</v>
      </c>
      <c r="AS699" s="1">
        <v>44354.181944444441</v>
      </c>
      <c r="AT699" s="1">
        <v>44354.186030092591</v>
      </c>
      <c r="AU699" s="1">
        <v>44354.1872337963</v>
      </c>
      <c r="AV699" t="s">
        <v>71</v>
      </c>
      <c r="AW699" t="s">
        <v>72</v>
      </c>
      <c r="AX699" t="s">
        <v>73</v>
      </c>
    </row>
    <row r="700" spans="1:50" x14ac:dyDescent="0.3">
      <c r="A700" t="str">
        <f>"200250B0000"</f>
        <v>200250B0000</v>
      </c>
      <c r="B700" t="str">
        <f>"200250B00002"</f>
        <v>200250B00002</v>
      </c>
      <c r="C700" t="str">
        <f t="shared" si="30"/>
        <v>20</v>
      </c>
      <c r="D700" t="s">
        <v>67</v>
      </c>
      <c r="E700" t="str">
        <f t="shared" si="29"/>
        <v>004</v>
      </c>
      <c r="F700" t="s">
        <v>725</v>
      </c>
      <c r="G700" t="str">
        <f>"0250"</f>
        <v>0250</v>
      </c>
      <c r="H700" t="str">
        <f>"0000"</f>
        <v>0000</v>
      </c>
      <c r="I700" t="s">
        <v>69</v>
      </c>
      <c r="J700">
        <v>0</v>
      </c>
      <c r="K700">
        <v>1</v>
      </c>
      <c r="L700">
        <v>2</v>
      </c>
      <c r="M700">
        <v>138</v>
      </c>
      <c r="N700">
        <v>264</v>
      </c>
      <c r="O700">
        <v>9</v>
      </c>
      <c r="P700" t="s">
        <v>80</v>
      </c>
      <c r="Q700">
        <v>10</v>
      </c>
      <c r="R700">
        <v>68</v>
      </c>
      <c r="S700">
        <v>90</v>
      </c>
      <c r="T700">
        <v>2</v>
      </c>
      <c r="U700">
        <v>15</v>
      </c>
      <c r="V700">
        <v>1</v>
      </c>
      <c r="W700">
        <v>1</v>
      </c>
      <c r="X700">
        <v>57</v>
      </c>
      <c r="Y700">
        <v>2</v>
      </c>
      <c r="Z700">
        <v>5</v>
      </c>
      <c r="AA700">
        <v>7</v>
      </c>
      <c r="AB700">
        <v>0</v>
      </c>
      <c r="AD700">
        <v>0</v>
      </c>
      <c r="AE700">
        <v>0</v>
      </c>
      <c r="AF700">
        <v>0</v>
      </c>
      <c r="AG700">
        <v>1</v>
      </c>
      <c r="AI700">
        <v>4</v>
      </c>
      <c r="AJ700">
        <v>4</v>
      </c>
      <c r="AK700">
        <v>264</v>
      </c>
      <c r="AL700">
        <v>267</v>
      </c>
      <c r="AM700">
        <v>358</v>
      </c>
      <c r="AN700">
        <v>44</v>
      </c>
      <c r="AP700">
        <v>1</v>
      </c>
      <c r="AR700" t="s">
        <v>784</v>
      </c>
      <c r="AS700" s="1">
        <v>44354.177777777775</v>
      </c>
      <c r="AT700" s="1">
        <v>44354.184560185182</v>
      </c>
      <c r="AU700" s="1">
        <v>44354.185439814813</v>
      </c>
      <c r="AV700" t="s">
        <v>71</v>
      </c>
      <c r="AW700" t="s">
        <v>72</v>
      </c>
      <c r="AX700" t="s">
        <v>73</v>
      </c>
    </row>
    <row r="701" spans="1:50" x14ac:dyDescent="0.3">
      <c r="A701" t="str">
        <f>"200250E0100"</f>
        <v>200250E0100</v>
      </c>
      <c r="B701" t="str">
        <f>"200250E01002"</f>
        <v>200250E01002</v>
      </c>
      <c r="C701" t="str">
        <f t="shared" si="30"/>
        <v>20</v>
      </c>
      <c r="D701" t="s">
        <v>67</v>
      </c>
      <c r="E701" t="str">
        <f t="shared" si="29"/>
        <v>004</v>
      </c>
      <c r="F701" t="s">
        <v>725</v>
      </c>
      <c r="G701" t="str">
        <f>"0250"</f>
        <v>0250</v>
      </c>
      <c r="H701" t="str">
        <f>"0001"</f>
        <v>0001</v>
      </c>
      <c r="I701" t="s">
        <v>109</v>
      </c>
      <c r="J701">
        <v>0</v>
      </c>
      <c r="K701">
        <v>1</v>
      </c>
      <c r="L701">
        <v>2</v>
      </c>
      <c r="M701">
        <v>202</v>
      </c>
      <c r="N701">
        <v>403</v>
      </c>
      <c r="O701">
        <v>10</v>
      </c>
      <c r="P701">
        <v>403</v>
      </c>
      <c r="Q701">
        <v>29</v>
      </c>
      <c r="R701">
        <v>57</v>
      </c>
      <c r="S701">
        <v>130</v>
      </c>
      <c r="T701">
        <v>1</v>
      </c>
      <c r="U701">
        <v>14</v>
      </c>
      <c r="V701">
        <v>1</v>
      </c>
      <c r="W701">
        <v>2</v>
      </c>
      <c r="X701">
        <v>130</v>
      </c>
      <c r="Y701">
        <v>14</v>
      </c>
      <c r="Z701">
        <v>2</v>
      </c>
      <c r="AA701">
        <v>8</v>
      </c>
      <c r="AB701">
        <v>3</v>
      </c>
      <c r="AD701">
        <v>2</v>
      </c>
      <c r="AE701">
        <v>0</v>
      </c>
      <c r="AF701">
        <v>1</v>
      </c>
      <c r="AG701">
        <v>0</v>
      </c>
      <c r="AI701">
        <v>0</v>
      </c>
      <c r="AJ701">
        <v>9</v>
      </c>
      <c r="AK701">
        <v>403</v>
      </c>
      <c r="AL701">
        <v>403</v>
      </c>
      <c r="AM701">
        <v>561</v>
      </c>
      <c r="AN701">
        <v>44</v>
      </c>
      <c r="AP701">
        <v>1</v>
      </c>
      <c r="AR701" t="s">
        <v>785</v>
      </c>
      <c r="AS701" s="1">
        <v>44354.150694444441</v>
      </c>
      <c r="AT701" s="1">
        <v>44354.153831018521</v>
      </c>
      <c r="AU701" s="1">
        <v>44354.154409722221</v>
      </c>
      <c r="AV701" t="s">
        <v>71</v>
      </c>
      <c r="AW701" t="s">
        <v>72</v>
      </c>
      <c r="AX701" t="s">
        <v>73</v>
      </c>
    </row>
    <row r="702" spans="1:50" x14ac:dyDescent="0.3">
      <c r="A702" t="str">
        <f>"200250E0101"</f>
        <v>200250E0101</v>
      </c>
      <c r="B702" t="str">
        <f>"200250E01012"</f>
        <v>200250E01012</v>
      </c>
      <c r="C702" t="str">
        <f t="shared" si="30"/>
        <v>20</v>
      </c>
      <c r="D702" t="s">
        <v>67</v>
      </c>
      <c r="E702" t="str">
        <f t="shared" si="29"/>
        <v>004</v>
      </c>
      <c r="F702" t="s">
        <v>725</v>
      </c>
      <c r="G702" t="str">
        <f>"0250"</f>
        <v>0250</v>
      </c>
      <c r="H702" t="str">
        <f>"0001"</f>
        <v>0001</v>
      </c>
      <c r="I702" t="s">
        <v>109</v>
      </c>
      <c r="J702">
        <v>1</v>
      </c>
      <c r="K702">
        <v>1</v>
      </c>
      <c r="L702">
        <v>2</v>
      </c>
      <c r="M702">
        <v>192</v>
      </c>
      <c r="N702">
        <v>413</v>
      </c>
      <c r="O702">
        <v>10</v>
      </c>
      <c r="P702">
        <v>413</v>
      </c>
      <c r="Q702">
        <v>30</v>
      </c>
      <c r="R702">
        <v>51</v>
      </c>
      <c r="S702">
        <v>104</v>
      </c>
      <c r="T702">
        <v>1</v>
      </c>
      <c r="U702">
        <v>27</v>
      </c>
      <c r="V702">
        <v>5</v>
      </c>
      <c r="W702">
        <v>3</v>
      </c>
      <c r="X702">
        <v>151</v>
      </c>
      <c r="Y702">
        <v>16</v>
      </c>
      <c r="Z702">
        <v>5</v>
      </c>
      <c r="AA702">
        <v>5</v>
      </c>
      <c r="AB702">
        <v>4</v>
      </c>
      <c r="AD702">
        <v>0</v>
      </c>
      <c r="AE702">
        <v>0</v>
      </c>
      <c r="AF702">
        <v>0</v>
      </c>
      <c r="AG702">
        <v>1</v>
      </c>
      <c r="AI702">
        <v>0</v>
      </c>
      <c r="AJ702">
        <v>10</v>
      </c>
      <c r="AK702">
        <v>413</v>
      </c>
      <c r="AL702">
        <v>413</v>
      </c>
      <c r="AM702">
        <v>561</v>
      </c>
      <c r="AN702">
        <v>44</v>
      </c>
      <c r="AP702">
        <v>1</v>
      </c>
      <c r="AR702" t="s">
        <v>786</v>
      </c>
      <c r="AS702" s="1">
        <v>44354.177777777775</v>
      </c>
      <c r="AT702" s="1">
        <v>44354.180543981478</v>
      </c>
      <c r="AU702" s="1">
        <v>44354.181006944447</v>
      </c>
      <c r="AV702" t="s">
        <v>71</v>
      </c>
      <c r="AW702" t="s">
        <v>72</v>
      </c>
      <c r="AX702" t="s">
        <v>73</v>
      </c>
    </row>
    <row r="703" spans="1:50" x14ac:dyDescent="0.3">
      <c r="A703" t="str">
        <f>"200251B0000"</f>
        <v>200251B0000</v>
      </c>
      <c r="B703" t="str">
        <f>"200251B00002"</f>
        <v>200251B00002</v>
      </c>
      <c r="C703" t="str">
        <f t="shared" si="30"/>
        <v>20</v>
      </c>
      <c r="D703" t="s">
        <v>67</v>
      </c>
      <c r="E703" t="str">
        <f t="shared" si="29"/>
        <v>004</v>
      </c>
      <c r="F703" t="s">
        <v>725</v>
      </c>
      <c r="G703" t="str">
        <f>"0251"</f>
        <v>0251</v>
      </c>
      <c r="H703" t="str">
        <f>"0000"</f>
        <v>0000</v>
      </c>
      <c r="I703" t="s">
        <v>69</v>
      </c>
      <c r="J703">
        <v>0</v>
      </c>
      <c r="K703">
        <v>1</v>
      </c>
      <c r="L703">
        <v>2</v>
      </c>
      <c r="M703">
        <v>172</v>
      </c>
      <c r="N703">
        <v>404</v>
      </c>
      <c r="O703">
        <v>7</v>
      </c>
      <c r="P703">
        <v>404</v>
      </c>
      <c r="Q703">
        <v>2</v>
      </c>
      <c r="R703">
        <v>29</v>
      </c>
      <c r="S703">
        <v>181</v>
      </c>
      <c r="T703">
        <v>3</v>
      </c>
      <c r="U703">
        <v>25</v>
      </c>
      <c r="V703">
        <v>8</v>
      </c>
      <c r="W703">
        <v>3</v>
      </c>
      <c r="X703">
        <v>113</v>
      </c>
      <c r="Y703">
        <v>16</v>
      </c>
      <c r="Z703">
        <v>2</v>
      </c>
      <c r="AA703">
        <v>4</v>
      </c>
      <c r="AB703">
        <v>5</v>
      </c>
      <c r="AD703">
        <v>0</v>
      </c>
      <c r="AE703">
        <v>0</v>
      </c>
      <c r="AF703">
        <v>0</v>
      </c>
      <c r="AG703">
        <v>0</v>
      </c>
      <c r="AI703">
        <v>0</v>
      </c>
      <c r="AJ703">
        <v>13</v>
      </c>
      <c r="AK703">
        <v>404</v>
      </c>
      <c r="AL703">
        <v>404</v>
      </c>
      <c r="AM703">
        <v>532</v>
      </c>
      <c r="AN703">
        <v>44</v>
      </c>
      <c r="AP703">
        <v>1</v>
      </c>
      <c r="AR703" t="s">
        <v>787</v>
      </c>
      <c r="AS703" s="1">
        <v>44354.13958333333</v>
      </c>
      <c r="AT703" s="1">
        <v>44354.142581018517</v>
      </c>
      <c r="AU703" s="1">
        <v>44354.143379629626</v>
      </c>
      <c r="AV703" t="s">
        <v>71</v>
      </c>
      <c r="AW703" t="s">
        <v>72</v>
      </c>
      <c r="AX703" t="s">
        <v>73</v>
      </c>
    </row>
    <row r="704" spans="1:50" x14ac:dyDescent="0.3">
      <c r="A704" t="str">
        <f>"200251C0100"</f>
        <v>200251C0100</v>
      </c>
      <c r="B704" t="str">
        <f>"200251C01002"</f>
        <v>200251C01002</v>
      </c>
      <c r="C704" t="str">
        <f t="shared" si="30"/>
        <v>20</v>
      </c>
      <c r="D704" t="s">
        <v>67</v>
      </c>
      <c r="E704" t="str">
        <f t="shared" si="29"/>
        <v>004</v>
      </c>
      <c r="F704" t="s">
        <v>725</v>
      </c>
      <c r="G704" t="str">
        <f>"0251"</f>
        <v>0251</v>
      </c>
      <c r="H704" t="str">
        <f>"0001"</f>
        <v>0001</v>
      </c>
      <c r="I704" t="s">
        <v>75</v>
      </c>
      <c r="J704">
        <v>0</v>
      </c>
      <c r="K704">
        <v>1</v>
      </c>
      <c r="L704">
        <v>2</v>
      </c>
      <c r="M704">
        <v>172</v>
      </c>
      <c r="N704">
        <v>404</v>
      </c>
      <c r="O704">
        <v>8</v>
      </c>
      <c r="P704">
        <v>404</v>
      </c>
      <c r="Q704">
        <v>5</v>
      </c>
      <c r="R704">
        <v>31</v>
      </c>
      <c r="S704">
        <v>173</v>
      </c>
      <c r="T704">
        <v>1</v>
      </c>
      <c r="U704">
        <v>12</v>
      </c>
      <c r="V704">
        <v>8</v>
      </c>
      <c r="W704">
        <v>1</v>
      </c>
      <c r="X704">
        <v>134</v>
      </c>
      <c r="Y704">
        <v>12</v>
      </c>
      <c r="Z704">
        <v>7</v>
      </c>
      <c r="AA704">
        <v>1</v>
      </c>
      <c r="AB704">
        <v>4</v>
      </c>
      <c r="AD704">
        <v>0</v>
      </c>
      <c r="AE704">
        <v>0</v>
      </c>
      <c r="AF704">
        <v>0</v>
      </c>
      <c r="AG704">
        <v>2</v>
      </c>
      <c r="AI704">
        <v>0</v>
      </c>
      <c r="AJ704">
        <v>13</v>
      </c>
      <c r="AK704">
        <v>404</v>
      </c>
      <c r="AL704">
        <v>404</v>
      </c>
      <c r="AM704">
        <v>532</v>
      </c>
      <c r="AN704">
        <v>44</v>
      </c>
      <c r="AP704">
        <v>1</v>
      </c>
      <c r="AR704" t="s">
        <v>788</v>
      </c>
      <c r="AS704" s="1">
        <v>44354.137499999997</v>
      </c>
      <c r="AT704" s="1">
        <v>44354.140115740738</v>
      </c>
      <c r="AU704" s="1">
        <v>44354.140821759262</v>
      </c>
      <c r="AV704" t="s">
        <v>71</v>
      </c>
      <c r="AW704" t="s">
        <v>72</v>
      </c>
      <c r="AX704" t="s">
        <v>73</v>
      </c>
    </row>
    <row r="705" spans="1:50" x14ac:dyDescent="0.3">
      <c r="A705" t="str">
        <f>"200251E0100"</f>
        <v>200251E0100</v>
      </c>
      <c r="B705" t="str">
        <f>"200251E01002"</f>
        <v>200251E01002</v>
      </c>
      <c r="C705" t="str">
        <f t="shared" si="30"/>
        <v>20</v>
      </c>
      <c r="D705" t="s">
        <v>67</v>
      </c>
      <c r="E705" t="str">
        <f t="shared" si="29"/>
        <v>004</v>
      </c>
      <c r="F705" t="s">
        <v>725</v>
      </c>
      <c r="G705" t="str">
        <f>"0251"</f>
        <v>0251</v>
      </c>
      <c r="H705" t="str">
        <f>"0001"</f>
        <v>0001</v>
      </c>
      <c r="I705" t="s">
        <v>109</v>
      </c>
      <c r="J705">
        <v>0</v>
      </c>
      <c r="K705">
        <v>1</v>
      </c>
      <c r="L705">
        <v>2</v>
      </c>
      <c r="M705">
        <v>90</v>
      </c>
      <c r="N705">
        <v>199</v>
      </c>
      <c r="O705">
        <v>8</v>
      </c>
      <c r="P705">
        <v>199</v>
      </c>
      <c r="Q705">
        <v>3</v>
      </c>
      <c r="R705">
        <v>65</v>
      </c>
      <c r="S705">
        <v>49</v>
      </c>
      <c r="T705">
        <v>1</v>
      </c>
      <c r="U705">
        <v>8</v>
      </c>
      <c r="V705">
        <v>2</v>
      </c>
      <c r="W705">
        <v>1</v>
      </c>
      <c r="X705">
        <v>52</v>
      </c>
      <c r="Y705">
        <v>4</v>
      </c>
      <c r="Z705">
        <v>0</v>
      </c>
      <c r="AA705">
        <v>1</v>
      </c>
      <c r="AB705">
        <v>3</v>
      </c>
      <c r="AD705" t="s">
        <v>77</v>
      </c>
      <c r="AE705" t="s">
        <v>77</v>
      </c>
      <c r="AF705" t="s">
        <v>77</v>
      </c>
      <c r="AG705" t="s">
        <v>77</v>
      </c>
      <c r="AI705" t="s">
        <v>77</v>
      </c>
      <c r="AJ705">
        <v>10</v>
      </c>
      <c r="AK705">
        <v>199</v>
      </c>
      <c r="AL705">
        <v>199</v>
      </c>
      <c r="AM705">
        <v>245</v>
      </c>
      <c r="AN705">
        <v>44</v>
      </c>
      <c r="AO705" t="s">
        <v>78</v>
      </c>
      <c r="AP705">
        <v>1</v>
      </c>
      <c r="AR705" t="s">
        <v>789</v>
      </c>
      <c r="AS705" s="1">
        <v>44354.123611111114</v>
      </c>
      <c r="AT705" s="1">
        <v>44354.126493055555</v>
      </c>
      <c r="AU705" s="1">
        <v>44354.126944444448</v>
      </c>
      <c r="AV705" t="s">
        <v>71</v>
      </c>
      <c r="AW705" t="s">
        <v>72</v>
      </c>
      <c r="AX705" t="s">
        <v>73</v>
      </c>
    </row>
    <row r="706" spans="1:50" x14ac:dyDescent="0.3">
      <c r="A706" t="str">
        <f>"200252B0000"</f>
        <v>200252B0000</v>
      </c>
      <c r="B706" t="str">
        <f>"200252B00002"</f>
        <v>200252B00002</v>
      </c>
      <c r="C706" t="str">
        <f t="shared" si="30"/>
        <v>20</v>
      </c>
      <c r="D706" t="s">
        <v>67</v>
      </c>
      <c r="E706" t="str">
        <f t="shared" ref="E706:E769" si="31">"004"</f>
        <v>004</v>
      </c>
      <c r="F706" t="s">
        <v>725</v>
      </c>
      <c r="G706" t="str">
        <f>"0252"</f>
        <v>0252</v>
      </c>
      <c r="H706" t="str">
        <f>"0000"</f>
        <v>0000</v>
      </c>
      <c r="I706" t="s">
        <v>69</v>
      </c>
      <c r="J706">
        <v>0</v>
      </c>
      <c r="K706">
        <v>1</v>
      </c>
      <c r="L706">
        <v>2</v>
      </c>
      <c r="M706">
        <v>191</v>
      </c>
      <c r="N706">
        <v>417</v>
      </c>
      <c r="O706">
        <v>1</v>
      </c>
      <c r="P706" t="s">
        <v>80</v>
      </c>
      <c r="Q706">
        <v>7</v>
      </c>
      <c r="R706">
        <v>78</v>
      </c>
      <c r="S706">
        <v>130</v>
      </c>
      <c r="T706">
        <v>4</v>
      </c>
      <c r="U706">
        <v>23</v>
      </c>
      <c r="V706">
        <v>4</v>
      </c>
      <c r="W706">
        <v>1</v>
      </c>
      <c r="X706">
        <v>111</v>
      </c>
      <c r="Y706">
        <v>29</v>
      </c>
      <c r="Z706">
        <v>4</v>
      </c>
      <c r="AA706">
        <v>5</v>
      </c>
      <c r="AB706">
        <v>0</v>
      </c>
      <c r="AD706">
        <v>0</v>
      </c>
      <c r="AE706">
        <v>0</v>
      </c>
      <c r="AF706">
        <v>0</v>
      </c>
      <c r="AG706">
        <v>0</v>
      </c>
      <c r="AI706">
        <v>0</v>
      </c>
      <c r="AJ706">
        <v>21</v>
      </c>
      <c r="AK706">
        <v>417</v>
      </c>
      <c r="AL706">
        <v>417</v>
      </c>
      <c r="AM706">
        <v>564</v>
      </c>
      <c r="AN706">
        <v>44</v>
      </c>
      <c r="AP706">
        <v>1</v>
      </c>
      <c r="AR706" t="s">
        <v>790</v>
      </c>
      <c r="AS706" s="1">
        <v>44354.177083333336</v>
      </c>
      <c r="AT706" s="1">
        <v>44354.184907407405</v>
      </c>
      <c r="AU706" s="1">
        <v>44354.185555555552</v>
      </c>
      <c r="AV706" t="s">
        <v>71</v>
      </c>
      <c r="AW706" t="s">
        <v>72</v>
      </c>
      <c r="AX706" t="s">
        <v>73</v>
      </c>
    </row>
    <row r="707" spans="1:50" x14ac:dyDescent="0.3">
      <c r="A707" t="str">
        <f>"200252C0100"</f>
        <v>200252C0100</v>
      </c>
      <c r="B707" t="str">
        <f>"200252C01002"</f>
        <v>200252C01002</v>
      </c>
      <c r="C707" t="str">
        <f t="shared" si="30"/>
        <v>20</v>
      </c>
      <c r="D707" t="s">
        <v>67</v>
      </c>
      <c r="E707" t="str">
        <f t="shared" si="31"/>
        <v>004</v>
      </c>
      <c r="F707" t="s">
        <v>725</v>
      </c>
      <c r="G707" t="str">
        <f>"0252"</f>
        <v>0252</v>
      </c>
      <c r="H707" t="str">
        <f>"0001"</f>
        <v>0001</v>
      </c>
      <c r="I707" t="s">
        <v>75</v>
      </c>
      <c r="J707">
        <v>0</v>
      </c>
      <c r="K707">
        <v>1</v>
      </c>
      <c r="L707">
        <v>2</v>
      </c>
      <c r="M707">
        <v>199</v>
      </c>
      <c r="N707">
        <v>407</v>
      </c>
      <c r="O707">
        <v>1</v>
      </c>
      <c r="P707">
        <v>407</v>
      </c>
      <c r="Q707">
        <v>3</v>
      </c>
      <c r="R707">
        <v>79</v>
      </c>
      <c r="S707">
        <v>117</v>
      </c>
      <c r="T707">
        <v>1</v>
      </c>
      <c r="U707">
        <v>16</v>
      </c>
      <c r="V707">
        <v>3</v>
      </c>
      <c r="W707">
        <v>7</v>
      </c>
      <c r="X707">
        <v>105</v>
      </c>
      <c r="Y707">
        <v>29</v>
      </c>
      <c r="Z707">
        <v>6</v>
      </c>
      <c r="AA707">
        <v>1</v>
      </c>
      <c r="AB707">
        <v>1</v>
      </c>
      <c r="AD707">
        <v>1</v>
      </c>
      <c r="AE707">
        <v>0</v>
      </c>
      <c r="AF707">
        <v>0</v>
      </c>
      <c r="AG707">
        <v>3</v>
      </c>
      <c r="AI707">
        <v>0</v>
      </c>
      <c r="AJ707">
        <v>35</v>
      </c>
      <c r="AK707">
        <v>407</v>
      </c>
      <c r="AL707">
        <v>407</v>
      </c>
      <c r="AM707">
        <v>563</v>
      </c>
      <c r="AN707">
        <v>44</v>
      </c>
      <c r="AP707">
        <v>1</v>
      </c>
      <c r="AR707" s="2" t="s">
        <v>791</v>
      </c>
      <c r="AS707" s="1">
        <v>44354.160416666666</v>
      </c>
      <c r="AT707" s="1">
        <v>44354.162858796299</v>
      </c>
      <c r="AU707" s="1">
        <v>44354.163900462961</v>
      </c>
      <c r="AV707" t="s">
        <v>71</v>
      </c>
      <c r="AW707" t="s">
        <v>72</v>
      </c>
      <c r="AX707" t="s">
        <v>73</v>
      </c>
    </row>
    <row r="708" spans="1:50" x14ac:dyDescent="0.3">
      <c r="A708" t="str">
        <f>"200253B0000"</f>
        <v>200253B0000</v>
      </c>
      <c r="B708" t="str">
        <f>"200253B00002"</f>
        <v>200253B00002</v>
      </c>
      <c r="C708" t="str">
        <f t="shared" si="30"/>
        <v>20</v>
      </c>
      <c r="D708" t="s">
        <v>67</v>
      </c>
      <c r="E708" t="str">
        <f t="shared" si="31"/>
        <v>004</v>
      </c>
      <c r="F708" t="s">
        <v>725</v>
      </c>
      <c r="G708" t="str">
        <f>"0253"</f>
        <v>0253</v>
      </c>
      <c r="H708" t="str">
        <f>"0000"</f>
        <v>0000</v>
      </c>
      <c r="I708" t="s">
        <v>69</v>
      </c>
      <c r="J708">
        <v>0</v>
      </c>
      <c r="K708">
        <v>1</v>
      </c>
      <c r="L708">
        <v>2</v>
      </c>
      <c r="M708">
        <v>156</v>
      </c>
      <c r="N708">
        <v>392</v>
      </c>
      <c r="O708">
        <v>3</v>
      </c>
      <c r="P708">
        <v>389</v>
      </c>
      <c r="Q708">
        <v>1</v>
      </c>
      <c r="R708">
        <v>49</v>
      </c>
      <c r="S708">
        <v>114</v>
      </c>
      <c r="T708">
        <v>2</v>
      </c>
      <c r="U708">
        <v>6</v>
      </c>
      <c r="V708">
        <v>0</v>
      </c>
      <c r="W708">
        <v>5</v>
      </c>
      <c r="X708">
        <v>116</v>
      </c>
      <c r="Y708">
        <v>59</v>
      </c>
      <c r="Z708">
        <v>5</v>
      </c>
      <c r="AA708">
        <v>3</v>
      </c>
      <c r="AB708">
        <v>4</v>
      </c>
      <c r="AD708">
        <v>1</v>
      </c>
      <c r="AE708">
        <v>0</v>
      </c>
      <c r="AF708">
        <v>0</v>
      </c>
      <c r="AG708">
        <v>0</v>
      </c>
      <c r="AI708">
        <v>0</v>
      </c>
      <c r="AJ708">
        <v>26</v>
      </c>
      <c r="AK708">
        <v>392</v>
      </c>
      <c r="AL708">
        <v>391</v>
      </c>
      <c r="AM708">
        <v>504</v>
      </c>
      <c r="AN708">
        <v>44</v>
      </c>
      <c r="AP708">
        <v>1</v>
      </c>
      <c r="AR708" t="s">
        <v>792</v>
      </c>
      <c r="AS708" s="1">
        <v>44354.177083333336</v>
      </c>
      <c r="AT708" s="1">
        <v>44354.181388888886</v>
      </c>
      <c r="AU708" s="1">
        <v>44354.182349537034</v>
      </c>
      <c r="AV708" t="s">
        <v>71</v>
      </c>
      <c r="AW708" t="s">
        <v>72</v>
      </c>
      <c r="AX708" t="s">
        <v>73</v>
      </c>
    </row>
    <row r="709" spans="1:50" x14ac:dyDescent="0.3">
      <c r="A709" t="str">
        <f>"200253C0100"</f>
        <v>200253C0100</v>
      </c>
      <c r="B709" t="str">
        <f>"200253C01002"</f>
        <v>200253C01002</v>
      </c>
      <c r="C709" t="str">
        <f t="shared" si="30"/>
        <v>20</v>
      </c>
      <c r="D709" t="s">
        <v>67</v>
      </c>
      <c r="E709" t="str">
        <f t="shared" si="31"/>
        <v>004</v>
      </c>
      <c r="F709" t="s">
        <v>725</v>
      </c>
      <c r="G709" t="str">
        <f>"0253"</f>
        <v>0253</v>
      </c>
      <c r="H709" t="str">
        <f>"0001"</f>
        <v>0001</v>
      </c>
      <c r="I709" t="s">
        <v>75</v>
      </c>
      <c r="J709">
        <v>0</v>
      </c>
      <c r="K709">
        <v>1</v>
      </c>
      <c r="L709">
        <v>2</v>
      </c>
      <c r="M709">
        <v>159</v>
      </c>
      <c r="N709">
        <v>388</v>
      </c>
      <c r="O709">
        <v>4</v>
      </c>
      <c r="P709">
        <v>388</v>
      </c>
      <c r="Q709">
        <v>0</v>
      </c>
      <c r="R709">
        <v>72</v>
      </c>
      <c r="S709">
        <v>92</v>
      </c>
      <c r="T709">
        <v>0</v>
      </c>
      <c r="U709">
        <v>11</v>
      </c>
      <c r="V709">
        <v>3</v>
      </c>
      <c r="W709">
        <v>10</v>
      </c>
      <c r="X709">
        <v>100</v>
      </c>
      <c r="Y709">
        <v>64</v>
      </c>
      <c r="Z709">
        <v>4</v>
      </c>
      <c r="AA709">
        <v>0</v>
      </c>
      <c r="AB709">
        <v>1</v>
      </c>
      <c r="AD709">
        <v>0</v>
      </c>
      <c r="AE709">
        <v>0</v>
      </c>
      <c r="AF709">
        <v>0</v>
      </c>
      <c r="AG709">
        <v>2</v>
      </c>
      <c r="AI709">
        <v>0</v>
      </c>
      <c r="AJ709">
        <v>29</v>
      </c>
      <c r="AK709">
        <v>388</v>
      </c>
      <c r="AL709">
        <v>388</v>
      </c>
      <c r="AM709">
        <v>503</v>
      </c>
      <c r="AN709">
        <v>44</v>
      </c>
      <c r="AP709">
        <v>1</v>
      </c>
      <c r="AR709" t="s">
        <v>793</v>
      </c>
      <c r="AS709" s="1">
        <v>44354.161805555559</v>
      </c>
      <c r="AT709" s="1">
        <v>44354.164074074077</v>
      </c>
      <c r="AU709" s="1">
        <v>44354.164733796293</v>
      </c>
      <c r="AV709" t="s">
        <v>71</v>
      </c>
      <c r="AW709" t="s">
        <v>72</v>
      </c>
      <c r="AX709" t="s">
        <v>73</v>
      </c>
    </row>
    <row r="710" spans="1:50" x14ac:dyDescent="0.3">
      <c r="A710" t="str">
        <f>"200254B0000"</f>
        <v>200254B0000</v>
      </c>
      <c r="B710" t="str">
        <f>"200254B00002"</f>
        <v>200254B00002</v>
      </c>
      <c r="C710" t="str">
        <f t="shared" si="30"/>
        <v>20</v>
      </c>
      <c r="D710" t="s">
        <v>67</v>
      </c>
      <c r="E710" t="str">
        <f t="shared" si="31"/>
        <v>004</v>
      </c>
      <c r="F710" t="s">
        <v>725</v>
      </c>
      <c r="G710" t="str">
        <f>"0254"</f>
        <v>0254</v>
      </c>
      <c r="H710" t="str">
        <f>"0000"</f>
        <v>0000</v>
      </c>
      <c r="I710" t="s">
        <v>69</v>
      </c>
      <c r="J710">
        <v>0</v>
      </c>
      <c r="K710">
        <v>1</v>
      </c>
      <c r="L710">
        <v>2</v>
      </c>
      <c r="M710">
        <v>181</v>
      </c>
      <c r="N710">
        <v>371</v>
      </c>
      <c r="O710">
        <v>5</v>
      </c>
      <c r="P710">
        <v>371</v>
      </c>
      <c r="Q710">
        <v>12</v>
      </c>
      <c r="R710">
        <v>37</v>
      </c>
      <c r="S710">
        <v>111</v>
      </c>
      <c r="T710">
        <v>0</v>
      </c>
      <c r="U710">
        <v>11</v>
      </c>
      <c r="V710">
        <v>1</v>
      </c>
      <c r="W710">
        <v>1</v>
      </c>
      <c r="X710">
        <v>156</v>
      </c>
      <c r="Y710">
        <v>5</v>
      </c>
      <c r="Z710">
        <v>2</v>
      </c>
      <c r="AA710">
        <v>6</v>
      </c>
      <c r="AB710">
        <v>6</v>
      </c>
      <c r="AD710">
        <v>1</v>
      </c>
      <c r="AE710">
        <v>0</v>
      </c>
      <c r="AF710">
        <v>0</v>
      </c>
      <c r="AG710">
        <v>2</v>
      </c>
      <c r="AI710">
        <v>0</v>
      </c>
      <c r="AJ710">
        <v>9</v>
      </c>
      <c r="AK710">
        <v>371</v>
      </c>
      <c r="AL710">
        <v>360</v>
      </c>
      <c r="AM710">
        <v>508</v>
      </c>
      <c r="AN710">
        <v>44</v>
      </c>
      <c r="AP710">
        <v>1</v>
      </c>
      <c r="AR710" t="s">
        <v>794</v>
      </c>
      <c r="AS710" s="1">
        <v>44354.061041666668</v>
      </c>
      <c r="AT710" s="1">
        <v>44354.092743055553</v>
      </c>
      <c r="AU710" s="1">
        <v>44354.095671296294</v>
      </c>
      <c r="AV710" t="s">
        <v>269</v>
      </c>
      <c r="AW710" t="s">
        <v>270</v>
      </c>
      <c r="AX710" t="s">
        <v>73</v>
      </c>
    </row>
    <row r="711" spans="1:50" x14ac:dyDescent="0.3">
      <c r="A711" t="str">
        <f>"200422B0000"</f>
        <v>200422B0000</v>
      </c>
      <c r="B711" t="str">
        <f>"200422B00002"</f>
        <v>200422B00002</v>
      </c>
      <c r="C711" t="str">
        <f t="shared" ref="C711:C774" si="32">"20"</f>
        <v>20</v>
      </c>
      <c r="D711" t="s">
        <v>67</v>
      </c>
      <c r="E711" t="str">
        <f t="shared" si="31"/>
        <v>004</v>
      </c>
      <c r="F711" t="s">
        <v>725</v>
      </c>
      <c r="G711" t="str">
        <f>"0422"</f>
        <v>0422</v>
      </c>
      <c r="H711" t="str">
        <f>"0000"</f>
        <v>0000</v>
      </c>
      <c r="I711" t="s">
        <v>69</v>
      </c>
      <c r="J711">
        <v>0</v>
      </c>
      <c r="K711">
        <v>1</v>
      </c>
      <c r="L711">
        <v>2</v>
      </c>
      <c r="M711">
        <v>365</v>
      </c>
      <c r="N711">
        <v>0</v>
      </c>
      <c r="O711">
        <v>0</v>
      </c>
      <c r="P711">
        <v>226</v>
      </c>
      <c r="Q711">
        <v>6</v>
      </c>
      <c r="R711">
        <v>81</v>
      </c>
      <c r="S711">
        <v>4</v>
      </c>
      <c r="T711">
        <v>3</v>
      </c>
      <c r="U711">
        <v>11</v>
      </c>
      <c r="V711">
        <v>6</v>
      </c>
      <c r="W711">
        <v>3</v>
      </c>
      <c r="X711">
        <v>80</v>
      </c>
      <c r="Y711">
        <v>5</v>
      </c>
      <c r="Z711">
        <v>6</v>
      </c>
      <c r="AA711">
        <v>3</v>
      </c>
      <c r="AB711">
        <v>2</v>
      </c>
      <c r="AD711">
        <v>2</v>
      </c>
      <c r="AE711">
        <v>0</v>
      </c>
      <c r="AF711">
        <v>0</v>
      </c>
      <c r="AG711">
        <v>0</v>
      </c>
      <c r="AI711">
        <v>0</v>
      </c>
      <c r="AJ711">
        <v>14</v>
      </c>
      <c r="AK711">
        <v>226</v>
      </c>
      <c r="AL711">
        <v>226</v>
      </c>
      <c r="AM711">
        <v>547</v>
      </c>
      <c r="AN711">
        <v>44</v>
      </c>
      <c r="AP711">
        <v>1</v>
      </c>
      <c r="AR711" t="s">
        <v>795</v>
      </c>
      <c r="AS711" s="1">
        <v>44354.118055555555</v>
      </c>
      <c r="AT711" s="1">
        <v>44354.120196759257</v>
      </c>
      <c r="AU711" s="1">
        <v>44354.120787037034</v>
      </c>
      <c r="AV711" t="s">
        <v>71</v>
      </c>
      <c r="AW711" t="s">
        <v>72</v>
      </c>
      <c r="AX711" t="s">
        <v>73</v>
      </c>
    </row>
    <row r="712" spans="1:50" x14ac:dyDescent="0.3">
      <c r="A712" t="str">
        <f>"200422C0100"</f>
        <v>200422C0100</v>
      </c>
      <c r="B712" t="str">
        <f>"200422C01002"</f>
        <v>200422C01002</v>
      </c>
      <c r="C712" t="str">
        <f t="shared" si="32"/>
        <v>20</v>
      </c>
      <c r="D712" t="s">
        <v>67</v>
      </c>
      <c r="E712" t="str">
        <f t="shared" si="31"/>
        <v>004</v>
      </c>
      <c r="F712" t="s">
        <v>725</v>
      </c>
      <c r="G712" t="str">
        <f>"0422"</f>
        <v>0422</v>
      </c>
      <c r="H712" t="str">
        <f>"0001"</f>
        <v>0001</v>
      </c>
      <c r="I712" t="s">
        <v>75</v>
      </c>
      <c r="J712">
        <v>0</v>
      </c>
      <c r="K712">
        <v>1</v>
      </c>
      <c r="L712">
        <v>2</v>
      </c>
      <c r="M712">
        <v>357</v>
      </c>
      <c r="N712">
        <v>234</v>
      </c>
      <c r="O712">
        <v>0</v>
      </c>
      <c r="P712" t="s">
        <v>80</v>
      </c>
      <c r="Q712">
        <v>4</v>
      </c>
      <c r="R712">
        <v>96</v>
      </c>
      <c r="S712">
        <v>4</v>
      </c>
      <c r="T712">
        <v>4</v>
      </c>
      <c r="U712">
        <v>11</v>
      </c>
      <c r="V712">
        <v>1</v>
      </c>
      <c r="W712">
        <v>0</v>
      </c>
      <c r="X712">
        <v>76</v>
      </c>
      <c r="Y712">
        <v>6</v>
      </c>
      <c r="Z712">
        <v>3</v>
      </c>
      <c r="AA712">
        <v>5</v>
      </c>
      <c r="AB712">
        <v>5</v>
      </c>
      <c r="AD712">
        <v>1</v>
      </c>
      <c r="AE712">
        <v>0</v>
      </c>
      <c r="AF712">
        <v>0</v>
      </c>
      <c r="AG712">
        <v>0</v>
      </c>
      <c r="AI712">
        <v>0</v>
      </c>
      <c r="AJ712">
        <v>13</v>
      </c>
      <c r="AK712">
        <v>234</v>
      </c>
      <c r="AL712">
        <v>229</v>
      </c>
      <c r="AM712">
        <v>547</v>
      </c>
      <c r="AN712">
        <v>44</v>
      </c>
      <c r="AP712">
        <v>1</v>
      </c>
      <c r="AR712" t="s">
        <v>796</v>
      </c>
      <c r="AS712" s="1">
        <v>44354.116666666669</v>
      </c>
      <c r="AT712" s="1">
        <v>44354.118703703702</v>
      </c>
      <c r="AU712" s="1">
        <v>44354.119201388887</v>
      </c>
      <c r="AV712" t="s">
        <v>71</v>
      </c>
      <c r="AW712" t="s">
        <v>72</v>
      </c>
      <c r="AX712" t="s">
        <v>73</v>
      </c>
    </row>
    <row r="713" spans="1:50" x14ac:dyDescent="0.3">
      <c r="A713" t="str">
        <f>"200422C0200"</f>
        <v>200422C0200</v>
      </c>
      <c r="B713" t="str">
        <f>"200422C02002"</f>
        <v>200422C02002</v>
      </c>
      <c r="C713" t="str">
        <f t="shared" si="32"/>
        <v>20</v>
      </c>
      <c r="D713" t="s">
        <v>67</v>
      </c>
      <c r="E713" t="str">
        <f t="shared" si="31"/>
        <v>004</v>
      </c>
      <c r="F713" t="s">
        <v>725</v>
      </c>
      <c r="G713" t="str">
        <f>"0422"</f>
        <v>0422</v>
      </c>
      <c r="H713" t="str">
        <f>"0002"</f>
        <v>0002</v>
      </c>
      <c r="I713" t="s">
        <v>75</v>
      </c>
      <c r="J713">
        <v>0</v>
      </c>
      <c r="K713">
        <v>1</v>
      </c>
      <c r="L713">
        <v>2</v>
      </c>
      <c r="M713">
        <v>361</v>
      </c>
      <c r="N713">
        <v>228</v>
      </c>
      <c r="O713">
        <v>1</v>
      </c>
      <c r="P713">
        <v>228</v>
      </c>
      <c r="Q713">
        <v>8</v>
      </c>
      <c r="R713">
        <v>89</v>
      </c>
      <c r="S713">
        <v>4</v>
      </c>
      <c r="T713">
        <v>0</v>
      </c>
      <c r="U713">
        <v>12</v>
      </c>
      <c r="V713">
        <v>3</v>
      </c>
      <c r="W713">
        <v>4</v>
      </c>
      <c r="X713">
        <v>74</v>
      </c>
      <c r="Y713">
        <v>2</v>
      </c>
      <c r="Z713">
        <v>4</v>
      </c>
      <c r="AA713">
        <v>9</v>
      </c>
      <c r="AB713">
        <v>2</v>
      </c>
      <c r="AD713">
        <v>0</v>
      </c>
      <c r="AE713">
        <v>4</v>
      </c>
      <c r="AF713">
        <v>1</v>
      </c>
      <c r="AG713">
        <v>1</v>
      </c>
      <c r="AI713">
        <v>0</v>
      </c>
      <c r="AJ713">
        <v>12</v>
      </c>
      <c r="AK713">
        <v>229</v>
      </c>
      <c r="AL713">
        <v>229</v>
      </c>
      <c r="AM713">
        <v>546</v>
      </c>
      <c r="AN713">
        <v>44</v>
      </c>
      <c r="AP713">
        <v>1</v>
      </c>
      <c r="AR713" t="s">
        <v>797</v>
      </c>
      <c r="AS713" s="1">
        <v>44354.113888888889</v>
      </c>
      <c r="AT713" s="1">
        <v>44354.117037037038</v>
      </c>
      <c r="AU713" s="1">
        <v>44354.11755787037</v>
      </c>
      <c r="AV713" t="s">
        <v>71</v>
      </c>
      <c r="AW713" t="s">
        <v>72</v>
      </c>
      <c r="AX713" t="s">
        <v>73</v>
      </c>
    </row>
    <row r="714" spans="1:50" x14ac:dyDescent="0.3">
      <c r="A714" t="str">
        <f>"200422E0100"</f>
        <v>200422E0100</v>
      </c>
      <c r="B714" t="str">
        <f>"200422E01002"</f>
        <v>200422E01002</v>
      </c>
      <c r="C714" t="str">
        <f t="shared" si="32"/>
        <v>20</v>
      </c>
      <c r="D714" t="s">
        <v>67</v>
      </c>
      <c r="E714" t="str">
        <f t="shared" si="31"/>
        <v>004</v>
      </c>
      <c r="F714" t="s">
        <v>725</v>
      </c>
      <c r="G714" t="str">
        <f>"0422"</f>
        <v>0422</v>
      </c>
      <c r="H714" t="str">
        <f>"0001"</f>
        <v>0001</v>
      </c>
      <c r="I714" t="s">
        <v>109</v>
      </c>
      <c r="J714">
        <v>0</v>
      </c>
      <c r="K714">
        <v>1</v>
      </c>
      <c r="L714">
        <v>2</v>
      </c>
      <c r="M714">
        <v>283</v>
      </c>
      <c r="N714">
        <v>255</v>
      </c>
      <c r="O714">
        <v>5</v>
      </c>
      <c r="P714">
        <v>255</v>
      </c>
      <c r="Q714">
        <v>2</v>
      </c>
      <c r="R714">
        <v>96</v>
      </c>
      <c r="S714">
        <v>12</v>
      </c>
      <c r="T714">
        <v>6</v>
      </c>
      <c r="U714">
        <v>6</v>
      </c>
      <c r="V714">
        <v>3</v>
      </c>
      <c r="W714">
        <v>2</v>
      </c>
      <c r="X714">
        <v>102</v>
      </c>
      <c r="Y714">
        <v>1</v>
      </c>
      <c r="Z714">
        <v>0</v>
      </c>
      <c r="AA714">
        <v>5</v>
      </c>
      <c r="AB714">
        <v>2</v>
      </c>
      <c r="AD714">
        <v>2</v>
      </c>
      <c r="AE714">
        <v>2</v>
      </c>
      <c r="AF714">
        <v>0</v>
      </c>
      <c r="AG714">
        <v>0</v>
      </c>
      <c r="AI714">
        <v>0</v>
      </c>
      <c r="AJ714">
        <v>14</v>
      </c>
      <c r="AK714">
        <v>255</v>
      </c>
      <c r="AL714">
        <v>255</v>
      </c>
      <c r="AM714">
        <v>494</v>
      </c>
      <c r="AN714">
        <v>44</v>
      </c>
      <c r="AP714">
        <v>1</v>
      </c>
      <c r="AR714" t="s">
        <v>798</v>
      </c>
      <c r="AS714" s="1">
        <v>44354.12777777778</v>
      </c>
      <c r="AT714" s="1">
        <v>44354.13071759259</v>
      </c>
      <c r="AU714" s="1">
        <v>44354.131122685183</v>
      </c>
      <c r="AV714" t="s">
        <v>71</v>
      </c>
      <c r="AW714" t="s">
        <v>72</v>
      </c>
      <c r="AX714" t="s">
        <v>73</v>
      </c>
    </row>
    <row r="715" spans="1:50" x14ac:dyDescent="0.3">
      <c r="A715" t="str">
        <f>"200423B0000"</f>
        <v>200423B0000</v>
      </c>
      <c r="B715" t="str">
        <f>"200423B00002"</f>
        <v>200423B00002</v>
      </c>
      <c r="C715" t="str">
        <f t="shared" si="32"/>
        <v>20</v>
      </c>
      <c r="D715" t="s">
        <v>67</v>
      </c>
      <c r="E715" t="str">
        <f t="shared" si="31"/>
        <v>004</v>
      </c>
      <c r="F715" t="s">
        <v>725</v>
      </c>
      <c r="G715" t="str">
        <f>"0423"</f>
        <v>0423</v>
      </c>
      <c r="H715" t="str">
        <f>"0000"</f>
        <v>0000</v>
      </c>
      <c r="I715" t="s">
        <v>69</v>
      </c>
      <c r="J715">
        <v>0</v>
      </c>
      <c r="K715">
        <v>1</v>
      </c>
      <c r="L715">
        <v>2</v>
      </c>
      <c r="M715">
        <v>330</v>
      </c>
      <c r="N715">
        <v>184</v>
      </c>
      <c r="O715">
        <v>0</v>
      </c>
      <c r="P715">
        <v>184</v>
      </c>
      <c r="Q715">
        <v>4</v>
      </c>
      <c r="R715">
        <v>72</v>
      </c>
      <c r="S715">
        <v>6</v>
      </c>
      <c r="T715">
        <v>8</v>
      </c>
      <c r="U715">
        <v>4</v>
      </c>
      <c r="V715">
        <v>3</v>
      </c>
      <c r="W715">
        <v>2</v>
      </c>
      <c r="X715">
        <v>52</v>
      </c>
      <c r="Y715">
        <v>9</v>
      </c>
      <c r="Z715">
        <v>5</v>
      </c>
      <c r="AA715">
        <v>3</v>
      </c>
      <c r="AB715">
        <v>1</v>
      </c>
      <c r="AD715">
        <v>1</v>
      </c>
      <c r="AE715">
        <v>1</v>
      </c>
      <c r="AF715">
        <v>0</v>
      </c>
      <c r="AG715">
        <v>0</v>
      </c>
      <c r="AI715">
        <v>0</v>
      </c>
      <c r="AJ715">
        <v>13</v>
      </c>
      <c r="AK715">
        <v>184</v>
      </c>
      <c r="AL715">
        <v>184</v>
      </c>
      <c r="AM715">
        <v>470</v>
      </c>
      <c r="AN715">
        <v>44</v>
      </c>
      <c r="AP715">
        <v>1</v>
      </c>
      <c r="AR715" s="2" t="s">
        <v>799</v>
      </c>
      <c r="AS715" s="1">
        <v>44354.117361111108</v>
      </c>
      <c r="AT715" s="1">
        <v>44354.120011574072</v>
      </c>
      <c r="AU715" s="1">
        <v>44354.120740740742</v>
      </c>
      <c r="AV715" t="s">
        <v>71</v>
      </c>
      <c r="AW715" t="s">
        <v>72</v>
      </c>
      <c r="AX715" t="s">
        <v>73</v>
      </c>
    </row>
    <row r="716" spans="1:50" x14ac:dyDescent="0.3">
      <c r="A716" t="str">
        <f>"200424B0000"</f>
        <v>200424B0000</v>
      </c>
      <c r="B716" t="str">
        <f>"200424B00002"</f>
        <v>200424B00002</v>
      </c>
      <c r="C716" t="str">
        <f t="shared" si="32"/>
        <v>20</v>
      </c>
      <c r="D716" t="s">
        <v>67</v>
      </c>
      <c r="E716" t="str">
        <f t="shared" si="31"/>
        <v>004</v>
      </c>
      <c r="F716" t="s">
        <v>725</v>
      </c>
      <c r="G716" t="str">
        <f>"0424"</f>
        <v>0424</v>
      </c>
      <c r="H716" t="str">
        <f>"0000"</f>
        <v>0000</v>
      </c>
      <c r="I716" t="s">
        <v>69</v>
      </c>
      <c r="J716">
        <v>0</v>
      </c>
      <c r="K716">
        <v>1</v>
      </c>
      <c r="L716">
        <v>2</v>
      </c>
      <c r="M716">
        <v>256</v>
      </c>
      <c r="N716">
        <v>199</v>
      </c>
      <c r="O716">
        <v>6</v>
      </c>
      <c r="P716">
        <v>199</v>
      </c>
      <c r="Q716">
        <v>10</v>
      </c>
      <c r="R716">
        <v>91</v>
      </c>
      <c r="S716">
        <v>7</v>
      </c>
      <c r="T716">
        <v>2</v>
      </c>
      <c r="U716">
        <v>2</v>
      </c>
      <c r="V716">
        <v>2</v>
      </c>
      <c r="W716">
        <v>1</v>
      </c>
      <c r="X716">
        <v>58</v>
      </c>
      <c r="Y716">
        <v>0</v>
      </c>
      <c r="Z716">
        <v>3</v>
      </c>
      <c r="AA716">
        <v>6</v>
      </c>
      <c r="AB716">
        <v>3</v>
      </c>
      <c r="AD716">
        <v>2</v>
      </c>
      <c r="AE716" t="s">
        <v>77</v>
      </c>
      <c r="AF716" t="s">
        <v>77</v>
      </c>
      <c r="AG716" t="s">
        <v>77</v>
      </c>
      <c r="AI716" t="s">
        <v>77</v>
      </c>
      <c r="AJ716">
        <v>12</v>
      </c>
      <c r="AK716">
        <v>199</v>
      </c>
      <c r="AL716">
        <v>199</v>
      </c>
      <c r="AM716">
        <v>411</v>
      </c>
      <c r="AN716">
        <v>44</v>
      </c>
      <c r="AO716" t="s">
        <v>78</v>
      </c>
      <c r="AP716">
        <v>1</v>
      </c>
      <c r="AR716" t="s">
        <v>800</v>
      </c>
      <c r="AS716" s="1">
        <v>44354.160416666666</v>
      </c>
      <c r="AT716" s="1">
        <v>44354.163194444445</v>
      </c>
      <c r="AU716" s="1">
        <v>44354.16375</v>
      </c>
      <c r="AV716" t="s">
        <v>71</v>
      </c>
      <c r="AW716" t="s">
        <v>72</v>
      </c>
      <c r="AX716" t="s">
        <v>73</v>
      </c>
    </row>
    <row r="717" spans="1:50" x14ac:dyDescent="0.3">
      <c r="A717" t="str">
        <f>"200424E0100"</f>
        <v>200424E0100</v>
      </c>
      <c r="B717" t="str">
        <f>"200424E01002"</f>
        <v>200424E01002</v>
      </c>
      <c r="C717" t="str">
        <f t="shared" si="32"/>
        <v>20</v>
      </c>
      <c r="D717" t="s">
        <v>67</v>
      </c>
      <c r="E717" t="str">
        <f t="shared" si="31"/>
        <v>004</v>
      </c>
      <c r="F717" t="s">
        <v>725</v>
      </c>
      <c r="G717" t="str">
        <f>"0424"</f>
        <v>0424</v>
      </c>
      <c r="H717" t="str">
        <f>"0001"</f>
        <v>0001</v>
      </c>
      <c r="I717" t="s">
        <v>109</v>
      </c>
      <c r="J717">
        <v>0</v>
      </c>
      <c r="K717">
        <v>1</v>
      </c>
      <c r="L717">
        <v>2</v>
      </c>
      <c r="M717">
        <v>158</v>
      </c>
      <c r="N717">
        <v>159</v>
      </c>
      <c r="O717">
        <v>5</v>
      </c>
      <c r="P717">
        <v>159</v>
      </c>
      <c r="Q717">
        <v>1</v>
      </c>
      <c r="R717">
        <v>49</v>
      </c>
      <c r="S717">
        <v>3</v>
      </c>
      <c r="T717">
        <v>0</v>
      </c>
      <c r="U717">
        <v>4</v>
      </c>
      <c r="V717">
        <v>2</v>
      </c>
      <c r="W717">
        <v>0</v>
      </c>
      <c r="X717">
        <v>89</v>
      </c>
      <c r="Y717">
        <v>0</v>
      </c>
      <c r="Z717">
        <v>0</v>
      </c>
      <c r="AA717">
        <v>3</v>
      </c>
      <c r="AB717">
        <v>1</v>
      </c>
      <c r="AD717">
        <v>0</v>
      </c>
      <c r="AE717">
        <v>0</v>
      </c>
      <c r="AF717">
        <v>0</v>
      </c>
      <c r="AG717">
        <v>0</v>
      </c>
      <c r="AI717">
        <v>0</v>
      </c>
      <c r="AJ717">
        <v>7</v>
      </c>
      <c r="AK717">
        <v>159</v>
      </c>
      <c r="AL717">
        <v>159</v>
      </c>
      <c r="AM717">
        <v>273</v>
      </c>
      <c r="AN717">
        <v>44</v>
      </c>
      <c r="AP717">
        <v>1</v>
      </c>
      <c r="AR717" t="s">
        <v>801</v>
      </c>
      <c r="AS717" s="1">
        <v>44354.163194444445</v>
      </c>
      <c r="AT717" s="1">
        <v>44354.165219907409</v>
      </c>
      <c r="AU717" s="1">
        <v>44354.165775462963</v>
      </c>
      <c r="AV717" t="s">
        <v>71</v>
      </c>
      <c r="AW717" t="s">
        <v>72</v>
      </c>
      <c r="AX717" t="s">
        <v>73</v>
      </c>
    </row>
    <row r="718" spans="1:50" x14ac:dyDescent="0.3">
      <c r="A718" t="str">
        <f>"200425B0000"</f>
        <v>200425B0000</v>
      </c>
      <c r="B718" t="str">
        <f>"200425B00002"</f>
        <v>200425B00002</v>
      </c>
      <c r="C718" t="str">
        <f t="shared" si="32"/>
        <v>20</v>
      </c>
      <c r="D718" t="s">
        <v>67</v>
      </c>
      <c r="E718" t="str">
        <f t="shared" si="31"/>
        <v>004</v>
      </c>
      <c r="F718" t="s">
        <v>725</v>
      </c>
      <c r="G718" t="str">
        <f>"0425"</f>
        <v>0425</v>
      </c>
      <c r="H718" t="str">
        <f>"0000"</f>
        <v>0000</v>
      </c>
      <c r="I718" t="s">
        <v>69</v>
      </c>
      <c r="J718">
        <v>0</v>
      </c>
      <c r="K718">
        <v>1</v>
      </c>
      <c r="L718">
        <v>2</v>
      </c>
      <c r="M718">
        <v>297</v>
      </c>
      <c r="N718">
        <v>226</v>
      </c>
      <c r="O718">
        <v>0</v>
      </c>
      <c r="P718">
        <v>228</v>
      </c>
      <c r="Q718">
        <v>12</v>
      </c>
      <c r="R718">
        <v>60</v>
      </c>
      <c r="S718">
        <v>3</v>
      </c>
      <c r="T718">
        <v>4</v>
      </c>
      <c r="U718">
        <v>13</v>
      </c>
      <c r="V718">
        <v>2</v>
      </c>
      <c r="W718">
        <v>6</v>
      </c>
      <c r="X718">
        <v>103</v>
      </c>
      <c r="Y718">
        <v>1</v>
      </c>
      <c r="Z718">
        <v>3</v>
      </c>
      <c r="AA718">
        <v>6</v>
      </c>
      <c r="AB718">
        <v>2</v>
      </c>
      <c r="AD718">
        <v>1</v>
      </c>
      <c r="AE718">
        <v>2</v>
      </c>
      <c r="AF718">
        <v>1</v>
      </c>
      <c r="AG718">
        <v>1</v>
      </c>
      <c r="AI718">
        <v>1</v>
      </c>
      <c r="AJ718">
        <v>8</v>
      </c>
      <c r="AK718">
        <v>228</v>
      </c>
      <c r="AL718">
        <v>229</v>
      </c>
      <c r="AM718">
        <v>479</v>
      </c>
      <c r="AN718">
        <v>44</v>
      </c>
      <c r="AP718">
        <v>1</v>
      </c>
      <c r="AR718" t="s">
        <v>802</v>
      </c>
      <c r="AS718" s="1">
        <v>44354.090277777781</v>
      </c>
      <c r="AT718" s="1">
        <v>44354.097094907411</v>
      </c>
      <c r="AU718" s="1">
        <v>44354.097511574073</v>
      </c>
      <c r="AV718" t="s">
        <v>71</v>
      </c>
      <c r="AW718" t="s">
        <v>72</v>
      </c>
      <c r="AX718" t="s">
        <v>73</v>
      </c>
    </row>
    <row r="719" spans="1:50" x14ac:dyDescent="0.3">
      <c r="A719" t="str">
        <f>"200425C0100"</f>
        <v>200425C0100</v>
      </c>
      <c r="B719" t="str">
        <f>"200425C01002"</f>
        <v>200425C01002</v>
      </c>
      <c r="C719" t="str">
        <f t="shared" si="32"/>
        <v>20</v>
      </c>
      <c r="D719" t="s">
        <v>67</v>
      </c>
      <c r="E719" t="str">
        <f t="shared" si="31"/>
        <v>004</v>
      </c>
      <c r="F719" t="s">
        <v>725</v>
      </c>
      <c r="G719" t="str">
        <f>"0425"</f>
        <v>0425</v>
      </c>
      <c r="H719" t="str">
        <f>"0001"</f>
        <v>0001</v>
      </c>
      <c r="I719" t="s">
        <v>75</v>
      </c>
      <c r="J719">
        <v>0</v>
      </c>
      <c r="K719">
        <v>1</v>
      </c>
      <c r="L719">
        <v>2</v>
      </c>
      <c r="M719">
        <v>322</v>
      </c>
      <c r="N719">
        <v>200</v>
      </c>
      <c r="O719">
        <v>0</v>
      </c>
      <c r="P719">
        <v>198</v>
      </c>
      <c r="Q719">
        <v>8</v>
      </c>
      <c r="R719">
        <v>34</v>
      </c>
      <c r="S719">
        <v>0</v>
      </c>
      <c r="T719">
        <v>1</v>
      </c>
      <c r="U719">
        <v>10</v>
      </c>
      <c r="V719">
        <v>1</v>
      </c>
      <c r="W719">
        <v>6</v>
      </c>
      <c r="X719">
        <v>119</v>
      </c>
      <c r="Y719">
        <v>0</v>
      </c>
      <c r="Z719">
        <v>6</v>
      </c>
      <c r="AA719">
        <v>2</v>
      </c>
      <c r="AB719">
        <v>0</v>
      </c>
      <c r="AD719">
        <v>0</v>
      </c>
      <c r="AE719">
        <v>2</v>
      </c>
      <c r="AF719">
        <v>0</v>
      </c>
      <c r="AG719">
        <v>0</v>
      </c>
      <c r="AI719">
        <v>0</v>
      </c>
      <c r="AJ719">
        <v>9</v>
      </c>
      <c r="AK719">
        <v>198</v>
      </c>
      <c r="AL719">
        <v>198</v>
      </c>
      <c r="AM719">
        <v>478</v>
      </c>
      <c r="AN719">
        <v>44</v>
      </c>
      <c r="AP719">
        <v>1</v>
      </c>
      <c r="AR719" t="s">
        <v>803</v>
      </c>
      <c r="AS719" s="1">
        <v>44354.093055555553</v>
      </c>
      <c r="AT719" s="1">
        <v>44354.098136574074</v>
      </c>
      <c r="AU719" s="1">
        <v>44354.099120370367</v>
      </c>
      <c r="AV719" t="s">
        <v>71</v>
      </c>
      <c r="AW719" t="s">
        <v>72</v>
      </c>
      <c r="AX719" t="s">
        <v>73</v>
      </c>
    </row>
    <row r="720" spans="1:50" x14ac:dyDescent="0.3">
      <c r="A720" t="str">
        <f>"200426B0000"</f>
        <v>200426B0000</v>
      </c>
      <c r="B720" t="str">
        <f>"200426B00002"</f>
        <v>200426B00002</v>
      </c>
      <c r="C720" t="str">
        <f t="shared" si="32"/>
        <v>20</v>
      </c>
      <c r="D720" t="s">
        <v>67</v>
      </c>
      <c r="E720" t="str">
        <f t="shared" si="31"/>
        <v>004</v>
      </c>
      <c r="F720" t="s">
        <v>725</v>
      </c>
      <c r="G720" t="str">
        <f>"0426"</f>
        <v>0426</v>
      </c>
      <c r="H720" t="str">
        <f>"0000"</f>
        <v>0000</v>
      </c>
      <c r="I720" t="s">
        <v>69</v>
      </c>
      <c r="J720">
        <v>0</v>
      </c>
      <c r="K720">
        <v>1</v>
      </c>
      <c r="L720">
        <v>2</v>
      </c>
      <c r="M720">
        <v>306</v>
      </c>
      <c r="N720">
        <v>268</v>
      </c>
      <c r="O720">
        <v>0</v>
      </c>
      <c r="P720">
        <v>268</v>
      </c>
      <c r="Q720">
        <v>6</v>
      </c>
      <c r="R720">
        <v>93</v>
      </c>
      <c r="S720">
        <v>4</v>
      </c>
      <c r="T720">
        <v>5</v>
      </c>
      <c r="U720">
        <v>15</v>
      </c>
      <c r="V720">
        <v>5</v>
      </c>
      <c r="W720">
        <v>3</v>
      </c>
      <c r="X720">
        <v>111</v>
      </c>
      <c r="Y720">
        <v>2</v>
      </c>
      <c r="Z720">
        <v>1</v>
      </c>
      <c r="AA720">
        <v>4</v>
      </c>
      <c r="AB720">
        <v>1</v>
      </c>
      <c r="AD720">
        <v>5</v>
      </c>
      <c r="AE720">
        <v>0</v>
      </c>
      <c r="AF720">
        <v>1</v>
      </c>
      <c r="AG720">
        <v>1</v>
      </c>
      <c r="AI720">
        <v>0</v>
      </c>
      <c r="AJ720">
        <v>11</v>
      </c>
      <c r="AK720">
        <v>268</v>
      </c>
      <c r="AL720">
        <v>268</v>
      </c>
      <c r="AM720">
        <v>530</v>
      </c>
      <c r="AN720">
        <v>44</v>
      </c>
      <c r="AP720">
        <v>1</v>
      </c>
      <c r="AR720" t="s">
        <v>804</v>
      </c>
      <c r="AS720" s="1">
        <v>44354.036111111112</v>
      </c>
      <c r="AT720" s="1">
        <v>44354.044178240743</v>
      </c>
      <c r="AU720" s="1">
        <v>44354.044687499998</v>
      </c>
      <c r="AV720" t="s">
        <v>71</v>
      </c>
      <c r="AW720" t="s">
        <v>72</v>
      </c>
      <c r="AX720" t="s">
        <v>73</v>
      </c>
    </row>
    <row r="721" spans="1:50" x14ac:dyDescent="0.3">
      <c r="A721" t="str">
        <f>"200426C0100"</f>
        <v>200426C0100</v>
      </c>
      <c r="B721" t="str">
        <f>"200426C01002"</f>
        <v>200426C01002</v>
      </c>
      <c r="C721" t="str">
        <f t="shared" si="32"/>
        <v>20</v>
      </c>
      <c r="D721" t="s">
        <v>67</v>
      </c>
      <c r="E721" t="str">
        <f t="shared" si="31"/>
        <v>004</v>
      </c>
      <c r="F721" t="s">
        <v>725</v>
      </c>
      <c r="G721" t="str">
        <f>"0426"</f>
        <v>0426</v>
      </c>
      <c r="H721" t="str">
        <f>"0001"</f>
        <v>0001</v>
      </c>
      <c r="I721" t="s">
        <v>75</v>
      </c>
      <c r="J721">
        <v>0</v>
      </c>
      <c r="K721">
        <v>1</v>
      </c>
      <c r="L721">
        <v>2</v>
      </c>
      <c r="M721">
        <v>333</v>
      </c>
      <c r="N721">
        <v>240</v>
      </c>
      <c r="O721">
        <v>0</v>
      </c>
      <c r="P721">
        <v>240</v>
      </c>
      <c r="Q721">
        <v>3</v>
      </c>
      <c r="R721" t="s">
        <v>99</v>
      </c>
      <c r="S721">
        <v>1</v>
      </c>
      <c r="T721">
        <v>1</v>
      </c>
      <c r="U721">
        <v>5</v>
      </c>
      <c r="V721">
        <v>2</v>
      </c>
      <c r="W721">
        <v>3</v>
      </c>
      <c r="X721">
        <v>103</v>
      </c>
      <c r="Y721">
        <v>2</v>
      </c>
      <c r="Z721">
        <v>6</v>
      </c>
      <c r="AA721">
        <v>3</v>
      </c>
      <c r="AB721">
        <v>2</v>
      </c>
      <c r="AD721">
        <v>6</v>
      </c>
      <c r="AE721">
        <v>0</v>
      </c>
      <c r="AF721">
        <v>0</v>
      </c>
      <c r="AG721">
        <v>0</v>
      </c>
      <c r="AI721">
        <v>0</v>
      </c>
      <c r="AJ721">
        <v>12</v>
      </c>
      <c r="AK721">
        <v>240</v>
      </c>
      <c r="AL721">
        <v>149</v>
      </c>
      <c r="AM721">
        <v>530</v>
      </c>
      <c r="AN721">
        <v>44</v>
      </c>
      <c r="AO721" t="s">
        <v>78</v>
      </c>
      <c r="AP721">
        <v>1</v>
      </c>
      <c r="AR721" t="s">
        <v>805</v>
      </c>
      <c r="AS721" s="1">
        <v>44354.03402777778</v>
      </c>
      <c r="AT721" s="1">
        <v>44354.043217592596</v>
      </c>
      <c r="AU721" s="1">
        <v>44354.044537037036</v>
      </c>
      <c r="AV721" t="s">
        <v>71</v>
      </c>
      <c r="AW721" t="s">
        <v>72</v>
      </c>
      <c r="AX721" t="s">
        <v>73</v>
      </c>
    </row>
    <row r="722" spans="1:50" x14ac:dyDescent="0.3">
      <c r="A722" t="str">
        <f>"200426E0100"</f>
        <v>200426E0100</v>
      </c>
      <c r="B722" t="str">
        <f>"200426E01002"</f>
        <v>200426E01002</v>
      </c>
      <c r="C722" t="str">
        <f t="shared" si="32"/>
        <v>20</v>
      </c>
      <c r="D722" t="s">
        <v>67</v>
      </c>
      <c r="E722" t="str">
        <f t="shared" si="31"/>
        <v>004</v>
      </c>
      <c r="F722" t="s">
        <v>725</v>
      </c>
      <c r="G722" t="str">
        <f>"0426"</f>
        <v>0426</v>
      </c>
      <c r="H722" t="str">
        <f>"0001"</f>
        <v>0001</v>
      </c>
      <c r="I722" t="s">
        <v>109</v>
      </c>
      <c r="J722">
        <v>0</v>
      </c>
      <c r="K722">
        <v>1</v>
      </c>
      <c r="L722">
        <v>2</v>
      </c>
      <c r="M722">
        <v>192</v>
      </c>
      <c r="N722">
        <v>126</v>
      </c>
      <c r="O722">
        <v>5</v>
      </c>
      <c r="P722">
        <v>126</v>
      </c>
      <c r="Q722">
        <v>7</v>
      </c>
      <c r="R722">
        <v>38</v>
      </c>
      <c r="S722">
        <v>3</v>
      </c>
      <c r="T722">
        <v>0</v>
      </c>
      <c r="U722">
        <v>1</v>
      </c>
      <c r="V722">
        <v>1</v>
      </c>
      <c r="W722">
        <v>0</v>
      </c>
      <c r="X722">
        <v>61</v>
      </c>
      <c r="Y722">
        <v>0</v>
      </c>
      <c r="Z722">
        <v>3</v>
      </c>
      <c r="AA722">
        <v>2</v>
      </c>
      <c r="AB722">
        <v>2</v>
      </c>
      <c r="AD722">
        <v>1</v>
      </c>
      <c r="AE722">
        <v>3</v>
      </c>
      <c r="AF722">
        <v>0</v>
      </c>
      <c r="AG722">
        <v>0</v>
      </c>
      <c r="AI722">
        <v>0</v>
      </c>
      <c r="AJ722">
        <v>4</v>
      </c>
      <c r="AK722">
        <v>126</v>
      </c>
      <c r="AL722">
        <v>126</v>
      </c>
      <c r="AM722">
        <v>274</v>
      </c>
      <c r="AN722">
        <v>44</v>
      </c>
      <c r="AP722">
        <v>1</v>
      </c>
      <c r="AR722" t="s">
        <v>806</v>
      </c>
      <c r="AS722" s="1">
        <v>44354.157638888886</v>
      </c>
      <c r="AT722" s="1">
        <v>44354.168321759258</v>
      </c>
      <c r="AU722" s="1">
        <v>44354.174050925925</v>
      </c>
      <c r="AV722" t="s">
        <v>71</v>
      </c>
      <c r="AW722" t="s">
        <v>72</v>
      </c>
      <c r="AX722" t="s">
        <v>73</v>
      </c>
    </row>
    <row r="723" spans="1:50" x14ac:dyDescent="0.3">
      <c r="A723" t="str">
        <f>"200427B0000"</f>
        <v>200427B0000</v>
      </c>
      <c r="B723" t="str">
        <f>"200427B00002"</f>
        <v>200427B00002</v>
      </c>
      <c r="C723" t="str">
        <f t="shared" si="32"/>
        <v>20</v>
      </c>
      <c r="D723" t="s">
        <v>67</v>
      </c>
      <c r="E723" t="str">
        <f t="shared" si="31"/>
        <v>004</v>
      </c>
      <c r="F723" t="s">
        <v>725</v>
      </c>
      <c r="G723" t="str">
        <f>"0427"</f>
        <v>0427</v>
      </c>
      <c r="H723" t="str">
        <f>"0000"</f>
        <v>0000</v>
      </c>
      <c r="I723" t="s">
        <v>69</v>
      </c>
      <c r="J723">
        <v>0</v>
      </c>
      <c r="K723">
        <v>1</v>
      </c>
      <c r="L723">
        <v>2</v>
      </c>
      <c r="M723">
        <v>183</v>
      </c>
      <c r="N723">
        <v>177</v>
      </c>
      <c r="O723">
        <v>0</v>
      </c>
      <c r="P723">
        <v>177</v>
      </c>
      <c r="Q723">
        <v>0</v>
      </c>
      <c r="R723">
        <v>73</v>
      </c>
      <c r="S723">
        <v>5</v>
      </c>
      <c r="T723">
        <v>4</v>
      </c>
      <c r="U723">
        <v>3</v>
      </c>
      <c r="V723">
        <v>3</v>
      </c>
      <c r="W723">
        <v>7</v>
      </c>
      <c r="X723">
        <v>69</v>
      </c>
      <c r="Y723">
        <v>2</v>
      </c>
      <c r="Z723">
        <v>1</v>
      </c>
      <c r="AA723">
        <v>2</v>
      </c>
      <c r="AB723">
        <v>1</v>
      </c>
      <c r="AD723">
        <v>0</v>
      </c>
      <c r="AE723">
        <v>0</v>
      </c>
      <c r="AF723">
        <v>0</v>
      </c>
      <c r="AG723">
        <v>0</v>
      </c>
      <c r="AI723">
        <v>0</v>
      </c>
      <c r="AJ723">
        <v>7</v>
      </c>
      <c r="AK723">
        <v>177</v>
      </c>
      <c r="AL723">
        <v>177</v>
      </c>
      <c r="AM723">
        <v>316</v>
      </c>
      <c r="AN723">
        <v>44</v>
      </c>
      <c r="AP723">
        <v>1</v>
      </c>
      <c r="AR723" t="s">
        <v>807</v>
      </c>
      <c r="AS723" s="1">
        <v>44354.090277777781</v>
      </c>
      <c r="AT723" s="1">
        <v>44354.096099537041</v>
      </c>
      <c r="AU723" s="1">
        <v>44354.096724537034</v>
      </c>
      <c r="AV723" t="s">
        <v>71</v>
      </c>
      <c r="AW723" t="s">
        <v>72</v>
      </c>
      <c r="AX723" t="s">
        <v>73</v>
      </c>
    </row>
    <row r="724" spans="1:50" x14ac:dyDescent="0.3">
      <c r="A724" t="str">
        <f>"200427E0100"</f>
        <v>200427E0100</v>
      </c>
      <c r="B724" t="str">
        <f>"200427E01002"</f>
        <v>200427E01002</v>
      </c>
      <c r="C724" t="str">
        <f t="shared" si="32"/>
        <v>20</v>
      </c>
      <c r="D724" t="s">
        <v>67</v>
      </c>
      <c r="E724" t="str">
        <f t="shared" si="31"/>
        <v>004</v>
      </c>
      <c r="F724" t="s">
        <v>725</v>
      </c>
      <c r="G724" t="str">
        <f>"0427"</f>
        <v>0427</v>
      </c>
      <c r="H724" t="str">
        <f>"0001"</f>
        <v>0001</v>
      </c>
      <c r="I724" t="s">
        <v>109</v>
      </c>
      <c r="J724">
        <v>0</v>
      </c>
      <c r="K724">
        <v>1</v>
      </c>
      <c r="L724">
        <v>2</v>
      </c>
      <c r="M724">
        <v>99</v>
      </c>
      <c r="N724">
        <v>83</v>
      </c>
      <c r="O724">
        <v>1</v>
      </c>
      <c r="P724">
        <v>79</v>
      </c>
      <c r="Q724">
        <v>4</v>
      </c>
      <c r="R724">
        <v>45</v>
      </c>
      <c r="S724">
        <v>2</v>
      </c>
      <c r="T724">
        <v>1</v>
      </c>
      <c r="U724">
        <v>1</v>
      </c>
      <c r="V724">
        <v>2</v>
      </c>
      <c r="W724">
        <v>1</v>
      </c>
      <c r="X724">
        <v>18</v>
      </c>
      <c r="Y724">
        <v>0</v>
      </c>
      <c r="Z724">
        <v>1</v>
      </c>
      <c r="AA724">
        <v>1</v>
      </c>
      <c r="AB724">
        <v>1</v>
      </c>
      <c r="AD724">
        <v>1</v>
      </c>
      <c r="AE724">
        <v>0</v>
      </c>
      <c r="AF724">
        <v>0</v>
      </c>
      <c r="AG724">
        <v>1</v>
      </c>
      <c r="AI724">
        <v>0</v>
      </c>
      <c r="AJ724">
        <v>4</v>
      </c>
      <c r="AK724">
        <v>83</v>
      </c>
      <c r="AL724">
        <v>83</v>
      </c>
      <c r="AM724">
        <v>138</v>
      </c>
      <c r="AN724">
        <v>44</v>
      </c>
      <c r="AP724">
        <v>1</v>
      </c>
      <c r="AR724" t="s">
        <v>808</v>
      </c>
      <c r="AS724" s="1">
        <v>44354.099305555559</v>
      </c>
      <c r="AT724" s="1">
        <v>44354.101111111115</v>
      </c>
      <c r="AU724" s="1">
        <v>44354.101921296293</v>
      </c>
      <c r="AV724" t="s">
        <v>71</v>
      </c>
      <c r="AW724" t="s">
        <v>72</v>
      </c>
      <c r="AX724" t="s">
        <v>73</v>
      </c>
    </row>
    <row r="725" spans="1:50" x14ac:dyDescent="0.3">
      <c r="A725" t="str">
        <f>"200428B0000"</f>
        <v>200428B0000</v>
      </c>
      <c r="B725" t="str">
        <f>"200428B00002"</f>
        <v>200428B00002</v>
      </c>
      <c r="C725" t="str">
        <f t="shared" si="32"/>
        <v>20</v>
      </c>
      <c r="D725" t="s">
        <v>67</v>
      </c>
      <c r="E725" t="str">
        <f t="shared" si="31"/>
        <v>004</v>
      </c>
      <c r="F725" t="s">
        <v>725</v>
      </c>
      <c r="G725" t="str">
        <f>"0428"</f>
        <v>0428</v>
      </c>
      <c r="H725" t="str">
        <f>"0000"</f>
        <v>0000</v>
      </c>
      <c r="I725" t="s">
        <v>69</v>
      </c>
      <c r="J725">
        <v>0</v>
      </c>
      <c r="K725">
        <v>1</v>
      </c>
      <c r="L725">
        <v>2</v>
      </c>
      <c r="M725">
        <v>295</v>
      </c>
      <c r="N725">
        <v>161</v>
      </c>
      <c r="O725">
        <v>0</v>
      </c>
      <c r="P725" t="s">
        <v>80</v>
      </c>
      <c r="Q725">
        <v>7</v>
      </c>
      <c r="R725">
        <v>44</v>
      </c>
      <c r="S725">
        <v>13</v>
      </c>
      <c r="T725">
        <v>3</v>
      </c>
      <c r="U725">
        <v>4</v>
      </c>
      <c r="V725">
        <v>2</v>
      </c>
      <c r="W725">
        <v>7</v>
      </c>
      <c r="X725">
        <v>47</v>
      </c>
      <c r="Y725">
        <v>1</v>
      </c>
      <c r="Z725">
        <v>5</v>
      </c>
      <c r="AA725">
        <v>4</v>
      </c>
      <c r="AB725">
        <v>8</v>
      </c>
      <c r="AD725">
        <v>1</v>
      </c>
      <c r="AE725">
        <v>1</v>
      </c>
      <c r="AF725">
        <v>0</v>
      </c>
      <c r="AG725">
        <v>0</v>
      </c>
      <c r="AI725">
        <v>0</v>
      </c>
      <c r="AJ725">
        <v>14</v>
      </c>
      <c r="AK725">
        <v>161</v>
      </c>
      <c r="AL725">
        <v>161</v>
      </c>
      <c r="AM725">
        <v>412</v>
      </c>
      <c r="AN725">
        <v>44</v>
      </c>
      <c r="AP725">
        <v>1</v>
      </c>
      <c r="AR725" t="s">
        <v>809</v>
      </c>
      <c r="AS725" s="1">
        <v>44354.238194444442</v>
      </c>
      <c r="AT725" s="1">
        <v>44354.241886574076</v>
      </c>
      <c r="AU725" s="1">
        <v>44354.2421412037</v>
      </c>
      <c r="AV725" t="s">
        <v>71</v>
      </c>
      <c r="AW725" t="s">
        <v>72</v>
      </c>
      <c r="AX725" t="s">
        <v>73</v>
      </c>
    </row>
    <row r="726" spans="1:50" x14ac:dyDescent="0.3">
      <c r="A726" t="str">
        <f>"200428C0100"</f>
        <v>200428C0100</v>
      </c>
      <c r="B726" t="str">
        <f>"200428C01002"</f>
        <v>200428C01002</v>
      </c>
      <c r="C726" t="str">
        <f t="shared" si="32"/>
        <v>20</v>
      </c>
      <c r="D726" t="s">
        <v>67</v>
      </c>
      <c r="E726" t="str">
        <f t="shared" si="31"/>
        <v>004</v>
      </c>
      <c r="F726" t="s">
        <v>725</v>
      </c>
      <c r="G726" t="str">
        <f>"0428"</f>
        <v>0428</v>
      </c>
      <c r="H726" t="str">
        <f>"0001"</f>
        <v>0001</v>
      </c>
      <c r="I726" t="s">
        <v>75</v>
      </c>
      <c r="J726">
        <v>0</v>
      </c>
      <c r="K726">
        <v>1</v>
      </c>
      <c r="L726">
        <v>2</v>
      </c>
      <c r="M726">
        <v>313</v>
      </c>
      <c r="N726">
        <v>142</v>
      </c>
      <c r="O726">
        <v>0</v>
      </c>
      <c r="P726">
        <v>142</v>
      </c>
      <c r="Q726">
        <v>2</v>
      </c>
      <c r="R726">
        <v>44</v>
      </c>
      <c r="S726">
        <v>5</v>
      </c>
      <c r="T726">
        <v>3</v>
      </c>
      <c r="U726">
        <v>4</v>
      </c>
      <c r="V726">
        <v>0</v>
      </c>
      <c r="W726">
        <v>2</v>
      </c>
      <c r="X726">
        <v>54</v>
      </c>
      <c r="Y726">
        <v>0</v>
      </c>
      <c r="Z726">
        <v>5</v>
      </c>
      <c r="AA726">
        <v>3</v>
      </c>
      <c r="AB726">
        <v>4</v>
      </c>
      <c r="AD726">
        <v>1</v>
      </c>
      <c r="AE726">
        <v>2</v>
      </c>
      <c r="AF726">
        <v>0</v>
      </c>
      <c r="AG726">
        <v>0</v>
      </c>
      <c r="AI726">
        <v>0</v>
      </c>
      <c r="AJ726">
        <v>13</v>
      </c>
      <c r="AK726">
        <v>142</v>
      </c>
      <c r="AL726">
        <v>142</v>
      </c>
      <c r="AM726">
        <v>411</v>
      </c>
      <c r="AN726">
        <v>44</v>
      </c>
      <c r="AP726">
        <v>1</v>
      </c>
      <c r="AR726" t="s">
        <v>810</v>
      </c>
      <c r="AS726" s="1">
        <v>44354.177083333336</v>
      </c>
      <c r="AT726" s="1">
        <v>44354.185219907406</v>
      </c>
      <c r="AU726" s="1">
        <v>44354.185706018521</v>
      </c>
      <c r="AV726" t="s">
        <v>71</v>
      </c>
      <c r="AW726" t="s">
        <v>72</v>
      </c>
      <c r="AX726" t="s">
        <v>73</v>
      </c>
    </row>
    <row r="727" spans="1:50" x14ac:dyDescent="0.3">
      <c r="A727" t="str">
        <f>"200429B0000"</f>
        <v>200429B0000</v>
      </c>
      <c r="B727" t="str">
        <f>"200429B00002"</f>
        <v>200429B00002</v>
      </c>
      <c r="C727" t="str">
        <f t="shared" si="32"/>
        <v>20</v>
      </c>
      <c r="D727" t="s">
        <v>67</v>
      </c>
      <c r="E727" t="str">
        <f t="shared" si="31"/>
        <v>004</v>
      </c>
      <c r="F727" t="s">
        <v>725</v>
      </c>
      <c r="G727" t="str">
        <f>"0429"</f>
        <v>0429</v>
      </c>
      <c r="H727" t="str">
        <f>"0000"</f>
        <v>0000</v>
      </c>
      <c r="I727" t="s">
        <v>69</v>
      </c>
      <c r="J727">
        <v>0</v>
      </c>
      <c r="K727">
        <v>1</v>
      </c>
      <c r="L727">
        <v>2</v>
      </c>
      <c r="M727">
        <v>222</v>
      </c>
      <c r="N727">
        <v>152</v>
      </c>
      <c r="O727">
        <v>0</v>
      </c>
      <c r="P727">
        <v>152</v>
      </c>
      <c r="Q727">
        <v>9</v>
      </c>
      <c r="R727">
        <v>56</v>
      </c>
      <c r="S727">
        <v>7</v>
      </c>
      <c r="T727">
        <v>3</v>
      </c>
      <c r="U727">
        <v>4</v>
      </c>
      <c r="V727">
        <v>3</v>
      </c>
      <c r="W727">
        <v>4</v>
      </c>
      <c r="X727">
        <v>45</v>
      </c>
      <c r="Y727">
        <v>1</v>
      </c>
      <c r="Z727">
        <v>2</v>
      </c>
      <c r="AA727">
        <v>3</v>
      </c>
      <c r="AB727">
        <v>2</v>
      </c>
      <c r="AD727">
        <v>3</v>
      </c>
      <c r="AE727">
        <v>2</v>
      </c>
      <c r="AF727">
        <v>1</v>
      </c>
      <c r="AG727">
        <v>0</v>
      </c>
      <c r="AI727">
        <v>0</v>
      </c>
      <c r="AJ727">
        <v>7</v>
      </c>
      <c r="AK727">
        <v>152</v>
      </c>
      <c r="AL727">
        <v>152</v>
      </c>
      <c r="AM727">
        <v>330</v>
      </c>
      <c r="AN727">
        <v>44</v>
      </c>
      <c r="AP727">
        <v>1</v>
      </c>
      <c r="AR727" t="s">
        <v>811</v>
      </c>
      <c r="AS727" s="1">
        <v>44354.177083333336</v>
      </c>
      <c r="AT727" s="1">
        <v>44354.180300925924</v>
      </c>
      <c r="AU727" s="1">
        <v>44354.180937500001</v>
      </c>
      <c r="AV727" t="s">
        <v>71</v>
      </c>
      <c r="AW727" t="s">
        <v>72</v>
      </c>
      <c r="AX727" t="s">
        <v>73</v>
      </c>
    </row>
    <row r="728" spans="1:50" x14ac:dyDescent="0.3">
      <c r="A728" t="str">
        <f>"200429E0100"</f>
        <v>200429E0100</v>
      </c>
      <c r="B728" t="str">
        <f>"200429E01002"</f>
        <v>200429E01002</v>
      </c>
      <c r="C728" t="str">
        <f t="shared" si="32"/>
        <v>20</v>
      </c>
      <c r="D728" t="s">
        <v>67</v>
      </c>
      <c r="E728" t="str">
        <f t="shared" si="31"/>
        <v>004</v>
      </c>
      <c r="F728" t="s">
        <v>725</v>
      </c>
      <c r="G728" t="str">
        <f>"0429"</f>
        <v>0429</v>
      </c>
      <c r="H728" t="str">
        <f>"0001"</f>
        <v>0001</v>
      </c>
      <c r="I728" t="s">
        <v>109</v>
      </c>
      <c r="J728">
        <v>0</v>
      </c>
      <c r="K728">
        <v>1</v>
      </c>
      <c r="L728">
        <v>2</v>
      </c>
      <c r="M728">
        <v>191</v>
      </c>
      <c r="N728">
        <v>170</v>
      </c>
      <c r="O728">
        <v>0</v>
      </c>
      <c r="P728">
        <v>170</v>
      </c>
      <c r="Q728">
        <v>6</v>
      </c>
      <c r="R728">
        <v>60</v>
      </c>
      <c r="S728">
        <v>4</v>
      </c>
      <c r="T728">
        <v>3</v>
      </c>
      <c r="U728">
        <v>5</v>
      </c>
      <c r="V728">
        <v>3</v>
      </c>
      <c r="W728">
        <v>5</v>
      </c>
      <c r="X728">
        <v>66</v>
      </c>
      <c r="Y728">
        <v>0</v>
      </c>
      <c r="Z728">
        <v>5</v>
      </c>
      <c r="AA728">
        <v>2</v>
      </c>
      <c r="AB728">
        <v>2</v>
      </c>
      <c r="AD728">
        <v>1</v>
      </c>
      <c r="AE728">
        <v>0</v>
      </c>
      <c r="AF728">
        <v>0</v>
      </c>
      <c r="AG728">
        <v>1</v>
      </c>
      <c r="AI728">
        <v>0</v>
      </c>
      <c r="AJ728">
        <v>7</v>
      </c>
      <c r="AK728">
        <v>170</v>
      </c>
      <c r="AL728">
        <v>170</v>
      </c>
      <c r="AM728">
        <v>317</v>
      </c>
      <c r="AN728">
        <v>44</v>
      </c>
      <c r="AP728">
        <v>1</v>
      </c>
      <c r="AR728" t="s">
        <v>812</v>
      </c>
      <c r="AS728" s="1">
        <v>44354.03125</v>
      </c>
      <c r="AT728" s="1">
        <v>44354.040069444447</v>
      </c>
      <c r="AU728" s="1">
        <v>44354.040590277778</v>
      </c>
      <c r="AV728" t="s">
        <v>71</v>
      </c>
      <c r="AW728" t="s">
        <v>72</v>
      </c>
      <c r="AX728" t="s">
        <v>73</v>
      </c>
    </row>
    <row r="729" spans="1:50" x14ac:dyDescent="0.3">
      <c r="A729" t="str">
        <f>"200430B0000"</f>
        <v>200430B0000</v>
      </c>
      <c r="B729" t="str">
        <f>"200430B00002"</f>
        <v>200430B00002</v>
      </c>
      <c r="C729" t="str">
        <f t="shared" si="32"/>
        <v>20</v>
      </c>
      <c r="D729" t="s">
        <v>67</v>
      </c>
      <c r="E729" t="str">
        <f t="shared" si="31"/>
        <v>004</v>
      </c>
      <c r="F729" t="s">
        <v>725</v>
      </c>
      <c r="G729" t="str">
        <f>"0430"</f>
        <v>0430</v>
      </c>
      <c r="H729" t="str">
        <f>"0000"</f>
        <v>0000</v>
      </c>
      <c r="I729" t="s">
        <v>69</v>
      </c>
      <c r="J729">
        <v>0</v>
      </c>
      <c r="K729">
        <v>1</v>
      </c>
      <c r="L729">
        <v>2</v>
      </c>
      <c r="M729">
        <v>140</v>
      </c>
      <c r="N729">
        <v>136</v>
      </c>
      <c r="O729">
        <v>0</v>
      </c>
      <c r="P729">
        <v>136</v>
      </c>
      <c r="Q729">
        <v>3</v>
      </c>
      <c r="R729">
        <v>31</v>
      </c>
      <c r="S729">
        <v>4</v>
      </c>
      <c r="T729">
        <v>3</v>
      </c>
      <c r="U729">
        <v>2</v>
      </c>
      <c r="V729">
        <v>3</v>
      </c>
      <c r="W729">
        <v>2</v>
      </c>
      <c r="X729">
        <v>50</v>
      </c>
      <c r="Y729">
        <v>3</v>
      </c>
      <c r="Z729">
        <v>8</v>
      </c>
      <c r="AA729">
        <v>4</v>
      </c>
      <c r="AB729">
        <v>3</v>
      </c>
      <c r="AD729">
        <v>2</v>
      </c>
      <c r="AE729">
        <v>5</v>
      </c>
      <c r="AF729">
        <v>0</v>
      </c>
      <c r="AG729">
        <v>1</v>
      </c>
      <c r="AI729">
        <v>0</v>
      </c>
      <c r="AJ729">
        <v>12</v>
      </c>
      <c r="AK729">
        <v>136</v>
      </c>
      <c r="AL729">
        <v>136</v>
      </c>
      <c r="AM729">
        <v>232</v>
      </c>
      <c r="AN729">
        <v>44</v>
      </c>
      <c r="AP729">
        <v>1</v>
      </c>
      <c r="AR729" t="s">
        <v>813</v>
      </c>
      <c r="AS729" s="1">
        <v>44354.093055555553</v>
      </c>
      <c r="AT729" s="1">
        <v>44354.098113425927</v>
      </c>
      <c r="AU729" s="1">
        <v>44354.098541666666</v>
      </c>
      <c r="AV729" t="s">
        <v>71</v>
      </c>
      <c r="AW729" t="s">
        <v>72</v>
      </c>
      <c r="AX729" t="s">
        <v>73</v>
      </c>
    </row>
    <row r="730" spans="1:50" x14ac:dyDescent="0.3">
      <c r="A730" t="str">
        <f>"200430E0100"</f>
        <v>200430E0100</v>
      </c>
      <c r="B730" t="str">
        <f>"200430E01002"</f>
        <v>200430E01002</v>
      </c>
      <c r="C730" t="str">
        <f t="shared" si="32"/>
        <v>20</v>
      </c>
      <c r="D730" t="s">
        <v>67</v>
      </c>
      <c r="E730" t="str">
        <f t="shared" si="31"/>
        <v>004</v>
      </c>
      <c r="F730" t="s">
        <v>725</v>
      </c>
      <c r="G730" t="str">
        <f>"0430"</f>
        <v>0430</v>
      </c>
      <c r="H730" t="str">
        <f>"0001"</f>
        <v>0001</v>
      </c>
      <c r="I730" t="s">
        <v>109</v>
      </c>
      <c r="J730">
        <v>0</v>
      </c>
      <c r="K730">
        <v>1</v>
      </c>
      <c r="L730">
        <v>2</v>
      </c>
      <c r="M730">
        <v>133</v>
      </c>
      <c r="N730">
        <v>170</v>
      </c>
      <c r="O730">
        <v>170</v>
      </c>
      <c r="P730">
        <v>170</v>
      </c>
      <c r="Q730">
        <v>2</v>
      </c>
      <c r="R730">
        <v>56</v>
      </c>
      <c r="S730">
        <v>2</v>
      </c>
      <c r="T730">
        <v>0</v>
      </c>
      <c r="U730">
        <v>2</v>
      </c>
      <c r="V730">
        <v>2</v>
      </c>
      <c r="W730">
        <v>7</v>
      </c>
      <c r="X730">
        <v>86</v>
      </c>
      <c r="Y730">
        <v>0</v>
      </c>
      <c r="Z730">
        <v>4</v>
      </c>
      <c r="AA730">
        <v>2</v>
      </c>
      <c r="AB730">
        <v>0</v>
      </c>
      <c r="AD730">
        <v>0</v>
      </c>
      <c r="AE730">
        <v>0</v>
      </c>
      <c r="AF730">
        <v>0</v>
      </c>
      <c r="AG730">
        <v>0</v>
      </c>
      <c r="AI730">
        <v>0</v>
      </c>
      <c r="AJ730">
        <v>0</v>
      </c>
      <c r="AK730">
        <v>0</v>
      </c>
      <c r="AL730">
        <v>163</v>
      </c>
      <c r="AM730">
        <v>259</v>
      </c>
      <c r="AN730">
        <v>44</v>
      </c>
      <c r="AP730">
        <v>1</v>
      </c>
      <c r="AR730" t="s">
        <v>814</v>
      </c>
      <c r="AS730" s="1">
        <v>44354.107638888891</v>
      </c>
      <c r="AT730" s="1">
        <v>44354.110775462963</v>
      </c>
      <c r="AU730" s="1">
        <v>44354.111620370371</v>
      </c>
      <c r="AV730" t="s">
        <v>71</v>
      </c>
      <c r="AW730" t="s">
        <v>72</v>
      </c>
      <c r="AX730" t="s">
        <v>73</v>
      </c>
    </row>
    <row r="731" spans="1:50" x14ac:dyDescent="0.3">
      <c r="A731" t="str">
        <f>"200431B0000"</f>
        <v>200431B0000</v>
      </c>
      <c r="B731" t="str">
        <f>"200431B00002"</f>
        <v>200431B00002</v>
      </c>
      <c r="C731" t="str">
        <f t="shared" si="32"/>
        <v>20</v>
      </c>
      <c r="D731" t="s">
        <v>67</v>
      </c>
      <c r="E731" t="str">
        <f t="shared" si="31"/>
        <v>004</v>
      </c>
      <c r="F731" t="s">
        <v>725</v>
      </c>
      <c r="G731" t="str">
        <f>"0431"</f>
        <v>0431</v>
      </c>
      <c r="H731" t="str">
        <f>"0000"</f>
        <v>0000</v>
      </c>
      <c r="I731" t="s">
        <v>69</v>
      </c>
      <c r="J731">
        <v>0</v>
      </c>
      <c r="K731">
        <v>1</v>
      </c>
      <c r="L731">
        <v>2</v>
      </c>
      <c r="M731">
        <v>306</v>
      </c>
      <c r="N731">
        <v>0</v>
      </c>
      <c r="O731">
        <v>0</v>
      </c>
      <c r="P731">
        <v>272</v>
      </c>
      <c r="Q731">
        <v>8</v>
      </c>
      <c r="R731">
        <v>92</v>
      </c>
      <c r="S731">
        <v>6</v>
      </c>
      <c r="T731">
        <v>3</v>
      </c>
      <c r="U731">
        <v>2</v>
      </c>
      <c r="V731">
        <v>1</v>
      </c>
      <c r="W731">
        <v>5</v>
      </c>
      <c r="X731">
        <v>119</v>
      </c>
      <c r="Y731">
        <v>0</v>
      </c>
      <c r="Z731">
        <v>7</v>
      </c>
      <c r="AA731">
        <v>3</v>
      </c>
      <c r="AB731">
        <v>4</v>
      </c>
      <c r="AD731">
        <v>4</v>
      </c>
      <c r="AE731">
        <v>0</v>
      </c>
      <c r="AF731">
        <v>0</v>
      </c>
      <c r="AG731">
        <v>0</v>
      </c>
      <c r="AI731">
        <v>0</v>
      </c>
      <c r="AJ731">
        <v>18</v>
      </c>
      <c r="AK731">
        <v>272</v>
      </c>
      <c r="AL731">
        <v>272</v>
      </c>
      <c r="AM731">
        <v>534</v>
      </c>
      <c r="AN731">
        <v>44</v>
      </c>
      <c r="AP731">
        <v>1</v>
      </c>
      <c r="AR731" t="s">
        <v>815</v>
      </c>
      <c r="AS731" s="1">
        <v>44354.109722222223</v>
      </c>
      <c r="AT731" s="1">
        <v>44354.114479166667</v>
      </c>
      <c r="AU731" s="1">
        <v>44354.115011574075</v>
      </c>
      <c r="AV731" t="s">
        <v>71</v>
      </c>
      <c r="AW731" t="s">
        <v>72</v>
      </c>
      <c r="AX731" t="s">
        <v>73</v>
      </c>
    </row>
    <row r="732" spans="1:50" x14ac:dyDescent="0.3">
      <c r="A732" t="str">
        <f>"200759B0000"</f>
        <v>200759B0000</v>
      </c>
      <c r="B732" t="str">
        <f>"200759B00002"</f>
        <v>200759B00002</v>
      </c>
      <c r="C732" t="str">
        <f t="shared" si="32"/>
        <v>20</v>
      </c>
      <c r="D732" t="s">
        <v>67</v>
      </c>
      <c r="E732" t="str">
        <f t="shared" si="31"/>
        <v>004</v>
      </c>
      <c r="F732" t="s">
        <v>725</v>
      </c>
      <c r="G732" t="str">
        <f>"0759"</f>
        <v>0759</v>
      </c>
      <c r="H732" t="str">
        <f>"0000"</f>
        <v>0000</v>
      </c>
      <c r="I732" t="s">
        <v>69</v>
      </c>
      <c r="J732">
        <v>0</v>
      </c>
      <c r="K732">
        <v>1</v>
      </c>
      <c r="L732">
        <v>2</v>
      </c>
      <c r="M732">
        <v>263</v>
      </c>
      <c r="N732">
        <v>456</v>
      </c>
      <c r="O732">
        <v>2</v>
      </c>
      <c r="P732">
        <v>456</v>
      </c>
      <c r="Q732">
        <v>12</v>
      </c>
      <c r="R732">
        <v>86</v>
      </c>
      <c r="S732">
        <v>3</v>
      </c>
      <c r="T732">
        <v>2</v>
      </c>
      <c r="U732">
        <v>4</v>
      </c>
      <c r="V732">
        <v>1</v>
      </c>
      <c r="W732">
        <v>3</v>
      </c>
      <c r="X732">
        <v>290</v>
      </c>
      <c r="Y732">
        <v>4</v>
      </c>
      <c r="Z732">
        <v>18</v>
      </c>
      <c r="AA732">
        <v>13</v>
      </c>
      <c r="AB732">
        <v>5</v>
      </c>
      <c r="AD732">
        <v>1</v>
      </c>
      <c r="AE732">
        <v>1</v>
      </c>
      <c r="AF732">
        <v>0</v>
      </c>
      <c r="AG732">
        <v>0</v>
      </c>
      <c r="AI732">
        <v>0</v>
      </c>
      <c r="AJ732">
        <v>13</v>
      </c>
      <c r="AK732">
        <v>456</v>
      </c>
      <c r="AL732">
        <v>456</v>
      </c>
      <c r="AM732">
        <v>675</v>
      </c>
      <c r="AN732">
        <v>44</v>
      </c>
      <c r="AP732">
        <v>1</v>
      </c>
      <c r="AR732" t="s">
        <v>816</v>
      </c>
      <c r="AS732" s="1">
        <v>44354.246527777781</v>
      </c>
      <c r="AT732" s="1">
        <v>44354.249166666668</v>
      </c>
      <c r="AU732" s="1">
        <v>44354.250358796293</v>
      </c>
      <c r="AV732" t="s">
        <v>71</v>
      </c>
      <c r="AW732" t="s">
        <v>72</v>
      </c>
      <c r="AX732" t="s">
        <v>73</v>
      </c>
    </row>
    <row r="733" spans="1:50" x14ac:dyDescent="0.3">
      <c r="A733" t="str">
        <f>"200759C0100"</f>
        <v>200759C0100</v>
      </c>
      <c r="B733" t="str">
        <f>"200759C01002"</f>
        <v>200759C01002</v>
      </c>
      <c r="C733" t="str">
        <f t="shared" si="32"/>
        <v>20</v>
      </c>
      <c r="D733" t="s">
        <v>67</v>
      </c>
      <c r="E733" t="str">
        <f t="shared" si="31"/>
        <v>004</v>
      </c>
      <c r="F733" t="s">
        <v>725</v>
      </c>
      <c r="G733" t="str">
        <f>"0759"</f>
        <v>0759</v>
      </c>
      <c r="H733" t="str">
        <f>"0001"</f>
        <v>0001</v>
      </c>
      <c r="I733" t="s">
        <v>75</v>
      </c>
      <c r="J733">
        <v>0</v>
      </c>
      <c r="K733">
        <v>1</v>
      </c>
      <c r="L733">
        <v>2</v>
      </c>
      <c r="M733">
        <v>255</v>
      </c>
      <c r="N733">
        <v>462</v>
      </c>
      <c r="O733">
        <v>4</v>
      </c>
      <c r="P733">
        <v>460</v>
      </c>
      <c r="Q733">
        <v>11</v>
      </c>
      <c r="R733">
        <v>72</v>
      </c>
      <c r="S733">
        <v>1</v>
      </c>
      <c r="T733">
        <v>6</v>
      </c>
      <c r="U733">
        <v>5</v>
      </c>
      <c r="V733">
        <v>2</v>
      </c>
      <c r="W733">
        <v>6</v>
      </c>
      <c r="X733">
        <v>294</v>
      </c>
      <c r="Y733">
        <v>11</v>
      </c>
      <c r="Z733">
        <v>11</v>
      </c>
      <c r="AA733">
        <v>28</v>
      </c>
      <c r="AB733">
        <v>1</v>
      </c>
      <c r="AD733">
        <v>3</v>
      </c>
      <c r="AE733">
        <v>2</v>
      </c>
      <c r="AF733">
        <v>0</v>
      </c>
      <c r="AG733">
        <v>0</v>
      </c>
      <c r="AI733">
        <v>0</v>
      </c>
      <c r="AJ733">
        <v>10</v>
      </c>
      <c r="AK733">
        <v>460</v>
      </c>
      <c r="AL733">
        <v>463</v>
      </c>
      <c r="AM733">
        <v>674</v>
      </c>
      <c r="AN733">
        <v>44</v>
      </c>
      <c r="AP733">
        <v>1</v>
      </c>
      <c r="AR733" t="s">
        <v>817</v>
      </c>
      <c r="AS733" s="1">
        <v>44354.320833333331</v>
      </c>
      <c r="AT733" s="1">
        <v>44354.322974537034</v>
      </c>
      <c r="AU733" s="1">
        <v>44354.323784722219</v>
      </c>
      <c r="AV733" t="s">
        <v>71</v>
      </c>
      <c r="AW733" t="s">
        <v>72</v>
      </c>
      <c r="AX733" t="s">
        <v>73</v>
      </c>
    </row>
    <row r="734" spans="1:50" x14ac:dyDescent="0.3">
      <c r="A734" t="str">
        <f>"200759E0100"</f>
        <v>200759E0100</v>
      </c>
      <c r="B734" t="str">
        <f>"200759E01002"</f>
        <v>200759E01002</v>
      </c>
      <c r="C734" t="str">
        <f t="shared" si="32"/>
        <v>20</v>
      </c>
      <c r="D734" t="s">
        <v>67</v>
      </c>
      <c r="E734" t="str">
        <f t="shared" si="31"/>
        <v>004</v>
      </c>
      <c r="F734" t="s">
        <v>725</v>
      </c>
      <c r="G734" t="str">
        <f>"0759"</f>
        <v>0759</v>
      </c>
      <c r="H734" t="str">
        <f>"0001"</f>
        <v>0001</v>
      </c>
      <c r="I734" t="s">
        <v>109</v>
      </c>
      <c r="J734">
        <v>0</v>
      </c>
      <c r="K734">
        <v>1</v>
      </c>
      <c r="L734">
        <v>2</v>
      </c>
      <c r="M734">
        <v>102</v>
      </c>
      <c r="N734">
        <v>110</v>
      </c>
      <c r="O734">
        <v>5</v>
      </c>
      <c r="P734">
        <v>110</v>
      </c>
      <c r="Q734">
        <v>4</v>
      </c>
      <c r="R734">
        <v>30</v>
      </c>
      <c r="S734">
        <v>0</v>
      </c>
      <c r="T734">
        <v>0</v>
      </c>
      <c r="U734">
        <v>0</v>
      </c>
      <c r="V734">
        <v>1</v>
      </c>
      <c r="W734">
        <v>3</v>
      </c>
      <c r="X734">
        <v>69</v>
      </c>
      <c r="Y734">
        <v>0</v>
      </c>
      <c r="Z734">
        <v>1</v>
      </c>
      <c r="AA734">
        <v>0</v>
      </c>
      <c r="AB734">
        <v>0</v>
      </c>
      <c r="AD734">
        <v>0</v>
      </c>
      <c r="AE734">
        <v>0</v>
      </c>
      <c r="AF734">
        <v>0</v>
      </c>
      <c r="AG734">
        <v>0</v>
      </c>
      <c r="AI734">
        <v>0</v>
      </c>
      <c r="AJ734">
        <v>2</v>
      </c>
      <c r="AK734">
        <v>110</v>
      </c>
      <c r="AL734">
        <v>110</v>
      </c>
      <c r="AM734">
        <v>168</v>
      </c>
      <c r="AN734">
        <v>44</v>
      </c>
      <c r="AP734">
        <v>1</v>
      </c>
      <c r="AR734" t="s">
        <v>818</v>
      </c>
      <c r="AS734" s="1">
        <v>44354.238194444442</v>
      </c>
      <c r="AT734" s="1">
        <v>44354.245405092595</v>
      </c>
      <c r="AU734" s="1">
        <v>44354.245925925927</v>
      </c>
      <c r="AV734" t="s">
        <v>71</v>
      </c>
      <c r="AW734" t="s">
        <v>72</v>
      </c>
      <c r="AX734" t="s">
        <v>73</v>
      </c>
    </row>
    <row r="735" spans="1:50" x14ac:dyDescent="0.3">
      <c r="A735" t="str">
        <f>"200759E0200"</f>
        <v>200759E0200</v>
      </c>
      <c r="B735" t="str">
        <f>"200759E02002"</f>
        <v>200759E02002</v>
      </c>
      <c r="C735" t="str">
        <f t="shared" si="32"/>
        <v>20</v>
      </c>
      <c r="D735" t="s">
        <v>67</v>
      </c>
      <c r="E735" t="str">
        <f t="shared" si="31"/>
        <v>004</v>
      </c>
      <c r="F735" t="s">
        <v>725</v>
      </c>
      <c r="G735" t="str">
        <f>"0759"</f>
        <v>0759</v>
      </c>
      <c r="H735" t="str">
        <f>"0002"</f>
        <v>0002</v>
      </c>
      <c r="I735" t="s">
        <v>109</v>
      </c>
      <c r="J735">
        <v>0</v>
      </c>
      <c r="K735">
        <v>1</v>
      </c>
      <c r="L735">
        <v>2</v>
      </c>
      <c r="M735">
        <v>91</v>
      </c>
      <c r="N735">
        <v>174</v>
      </c>
      <c r="O735">
        <v>0</v>
      </c>
      <c r="P735">
        <v>83</v>
      </c>
      <c r="Q735">
        <v>0</v>
      </c>
      <c r="R735">
        <v>23</v>
      </c>
      <c r="S735">
        <v>0</v>
      </c>
      <c r="T735">
        <v>1</v>
      </c>
      <c r="U735">
        <v>1</v>
      </c>
      <c r="V735">
        <v>1</v>
      </c>
      <c r="W735">
        <v>1</v>
      </c>
      <c r="X735">
        <v>50</v>
      </c>
      <c r="Y735">
        <v>0</v>
      </c>
      <c r="Z735">
        <v>1</v>
      </c>
      <c r="AA735">
        <v>3</v>
      </c>
      <c r="AB735">
        <v>0</v>
      </c>
      <c r="AD735">
        <v>0</v>
      </c>
      <c r="AE735">
        <v>0</v>
      </c>
      <c r="AF735">
        <v>0</v>
      </c>
      <c r="AG735">
        <v>0</v>
      </c>
      <c r="AI735">
        <v>0</v>
      </c>
      <c r="AJ735">
        <v>2</v>
      </c>
      <c r="AK735">
        <v>83</v>
      </c>
      <c r="AL735">
        <v>83</v>
      </c>
      <c r="AM735">
        <v>130</v>
      </c>
      <c r="AN735">
        <v>44</v>
      </c>
      <c r="AP735">
        <v>1</v>
      </c>
      <c r="AR735" t="s">
        <v>819</v>
      </c>
      <c r="AS735" s="1">
        <v>44354.238194444442</v>
      </c>
      <c r="AT735" s="1">
        <v>44354.242951388886</v>
      </c>
      <c r="AU735" s="1">
        <v>44354.243298611109</v>
      </c>
      <c r="AV735" t="s">
        <v>71</v>
      </c>
      <c r="AW735" t="s">
        <v>72</v>
      </c>
      <c r="AX735" t="s">
        <v>73</v>
      </c>
    </row>
    <row r="736" spans="1:50" x14ac:dyDescent="0.3">
      <c r="A736" t="str">
        <f>"200759E0300"</f>
        <v>200759E0300</v>
      </c>
      <c r="B736" t="str">
        <f>"200759E03002"</f>
        <v>200759E03002</v>
      </c>
      <c r="C736" t="str">
        <f t="shared" si="32"/>
        <v>20</v>
      </c>
      <c r="D736" t="s">
        <v>67</v>
      </c>
      <c r="E736" t="str">
        <f t="shared" si="31"/>
        <v>004</v>
      </c>
      <c r="F736" t="s">
        <v>725</v>
      </c>
      <c r="G736" t="str">
        <f>"0759"</f>
        <v>0759</v>
      </c>
      <c r="H736" t="str">
        <f>"0003"</f>
        <v>0003</v>
      </c>
      <c r="I736" t="s">
        <v>109</v>
      </c>
      <c r="J736">
        <v>0</v>
      </c>
      <c r="K736">
        <v>1</v>
      </c>
      <c r="L736">
        <v>2</v>
      </c>
      <c r="M736">
        <v>136</v>
      </c>
      <c r="N736">
        <v>215</v>
      </c>
      <c r="O736">
        <v>1</v>
      </c>
      <c r="P736">
        <v>215</v>
      </c>
      <c r="Q736">
        <v>1</v>
      </c>
      <c r="R736">
        <v>68</v>
      </c>
      <c r="S736">
        <v>0</v>
      </c>
      <c r="T736">
        <v>3</v>
      </c>
      <c r="U736">
        <v>5</v>
      </c>
      <c r="V736">
        <v>5</v>
      </c>
      <c r="W736">
        <v>2</v>
      </c>
      <c r="X736">
        <v>105</v>
      </c>
      <c r="Y736">
        <v>4</v>
      </c>
      <c r="Z736">
        <v>2</v>
      </c>
      <c r="AA736">
        <v>6</v>
      </c>
      <c r="AB736">
        <v>0</v>
      </c>
      <c r="AD736">
        <v>1</v>
      </c>
      <c r="AE736">
        <v>1</v>
      </c>
      <c r="AF736">
        <v>0</v>
      </c>
      <c r="AG736">
        <v>0</v>
      </c>
      <c r="AI736">
        <v>0</v>
      </c>
      <c r="AJ736">
        <v>12</v>
      </c>
      <c r="AK736">
        <v>215</v>
      </c>
      <c r="AL736">
        <v>215</v>
      </c>
      <c r="AM736">
        <v>307</v>
      </c>
      <c r="AN736">
        <v>44</v>
      </c>
      <c r="AP736">
        <v>1</v>
      </c>
      <c r="AR736" t="s">
        <v>820</v>
      </c>
      <c r="AS736" s="1">
        <v>44354.245138888888</v>
      </c>
      <c r="AT736" s="1">
        <v>44354.247060185182</v>
      </c>
      <c r="AU736" s="1">
        <v>44354.247789351852</v>
      </c>
      <c r="AV736" t="s">
        <v>71</v>
      </c>
      <c r="AW736" t="s">
        <v>72</v>
      </c>
      <c r="AX736" t="s">
        <v>73</v>
      </c>
    </row>
    <row r="737" spans="1:50" x14ac:dyDescent="0.3">
      <c r="A737" t="str">
        <f>"200760B0000"</f>
        <v>200760B0000</v>
      </c>
      <c r="B737" t="str">
        <f>"200760B00002"</f>
        <v>200760B00002</v>
      </c>
      <c r="C737" t="str">
        <f t="shared" si="32"/>
        <v>20</v>
      </c>
      <c r="D737" t="s">
        <v>67</v>
      </c>
      <c r="E737" t="str">
        <f t="shared" si="31"/>
        <v>004</v>
      </c>
      <c r="F737" t="s">
        <v>725</v>
      </c>
      <c r="G737" t="str">
        <f>"0760"</f>
        <v>0760</v>
      </c>
      <c r="H737" t="str">
        <f>"0000"</f>
        <v>0000</v>
      </c>
      <c r="I737" t="s">
        <v>69</v>
      </c>
      <c r="J737">
        <v>0</v>
      </c>
      <c r="K737">
        <v>1</v>
      </c>
      <c r="L737">
        <v>2</v>
      </c>
      <c r="M737">
        <v>247</v>
      </c>
      <c r="N737">
        <v>224</v>
      </c>
      <c r="O737">
        <v>5</v>
      </c>
      <c r="P737">
        <v>224</v>
      </c>
      <c r="Q737">
        <v>3</v>
      </c>
      <c r="R737">
        <v>67</v>
      </c>
      <c r="S737">
        <v>2</v>
      </c>
      <c r="T737">
        <v>1</v>
      </c>
      <c r="U737">
        <v>1</v>
      </c>
      <c r="V737">
        <v>3</v>
      </c>
      <c r="W737">
        <v>2</v>
      </c>
      <c r="X737">
        <v>120</v>
      </c>
      <c r="Y737">
        <v>0</v>
      </c>
      <c r="Z737">
        <v>6</v>
      </c>
      <c r="AA737">
        <v>2</v>
      </c>
      <c r="AB737">
        <v>1</v>
      </c>
      <c r="AD737">
        <v>0</v>
      </c>
      <c r="AE737">
        <v>0</v>
      </c>
      <c r="AF737">
        <v>1</v>
      </c>
      <c r="AG737">
        <v>0</v>
      </c>
      <c r="AI737">
        <v>0</v>
      </c>
      <c r="AJ737">
        <v>15</v>
      </c>
      <c r="AK737">
        <v>224</v>
      </c>
      <c r="AL737">
        <v>224</v>
      </c>
      <c r="AM737">
        <v>427</v>
      </c>
      <c r="AN737">
        <v>44</v>
      </c>
      <c r="AP737">
        <v>1</v>
      </c>
      <c r="AR737" t="s">
        <v>821</v>
      </c>
      <c r="AS737" s="1">
        <v>44354.198611111111</v>
      </c>
      <c r="AT737" s="1">
        <v>44354.200428240743</v>
      </c>
      <c r="AU737" s="1">
        <v>44354.200937499998</v>
      </c>
      <c r="AV737" t="s">
        <v>71</v>
      </c>
      <c r="AW737" t="s">
        <v>72</v>
      </c>
      <c r="AX737" t="s">
        <v>73</v>
      </c>
    </row>
    <row r="738" spans="1:50" x14ac:dyDescent="0.3">
      <c r="A738" t="str">
        <f>"200760C0100"</f>
        <v>200760C0100</v>
      </c>
      <c r="B738" t="str">
        <f>"200760C01002"</f>
        <v>200760C01002</v>
      </c>
      <c r="C738" t="str">
        <f t="shared" si="32"/>
        <v>20</v>
      </c>
      <c r="D738" t="s">
        <v>67</v>
      </c>
      <c r="E738" t="str">
        <f t="shared" si="31"/>
        <v>004</v>
      </c>
      <c r="F738" t="s">
        <v>725</v>
      </c>
      <c r="G738" t="str">
        <f>"0760"</f>
        <v>0760</v>
      </c>
      <c r="H738" t="str">
        <f>"0001"</f>
        <v>0001</v>
      </c>
      <c r="I738" t="s">
        <v>75</v>
      </c>
      <c r="J738">
        <v>0</v>
      </c>
      <c r="K738">
        <v>1</v>
      </c>
      <c r="L738">
        <v>2</v>
      </c>
      <c r="M738">
        <v>244</v>
      </c>
      <c r="N738">
        <v>227</v>
      </c>
      <c r="O738">
        <v>5</v>
      </c>
      <c r="P738">
        <v>227</v>
      </c>
      <c r="Q738">
        <v>5</v>
      </c>
      <c r="R738">
        <v>82</v>
      </c>
      <c r="S738">
        <v>1</v>
      </c>
      <c r="T738">
        <v>1</v>
      </c>
      <c r="U738">
        <v>2</v>
      </c>
      <c r="V738">
        <v>4</v>
      </c>
      <c r="W738">
        <v>1</v>
      </c>
      <c r="X738">
        <v>108</v>
      </c>
      <c r="Y738">
        <v>0</v>
      </c>
      <c r="Z738">
        <v>5</v>
      </c>
      <c r="AA738">
        <v>3</v>
      </c>
      <c r="AB738">
        <v>0</v>
      </c>
      <c r="AD738">
        <v>0</v>
      </c>
      <c r="AE738">
        <v>0</v>
      </c>
      <c r="AF738">
        <v>0</v>
      </c>
      <c r="AG738">
        <v>0</v>
      </c>
      <c r="AI738">
        <v>0</v>
      </c>
      <c r="AJ738">
        <v>0</v>
      </c>
      <c r="AK738">
        <v>0</v>
      </c>
      <c r="AL738">
        <v>212</v>
      </c>
      <c r="AM738">
        <v>427</v>
      </c>
      <c r="AN738">
        <v>44</v>
      </c>
      <c r="AP738">
        <v>1</v>
      </c>
      <c r="AR738" t="s">
        <v>822</v>
      </c>
      <c r="AS738" s="1">
        <v>44354.197916666664</v>
      </c>
      <c r="AT738" s="1">
        <v>44354.200254629628</v>
      </c>
      <c r="AU738" s="1">
        <v>44354.200949074075</v>
      </c>
      <c r="AV738" t="s">
        <v>71</v>
      </c>
      <c r="AW738" t="s">
        <v>72</v>
      </c>
      <c r="AX738" t="s">
        <v>73</v>
      </c>
    </row>
    <row r="739" spans="1:50" x14ac:dyDescent="0.3">
      <c r="A739" t="str">
        <f>"200788B0000"</f>
        <v>200788B0000</v>
      </c>
      <c r="B739" t="str">
        <f>"200788B00002"</f>
        <v>200788B00002</v>
      </c>
      <c r="C739" t="str">
        <f t="shared" si="32"/>
        <v>20</v>
      </c>
      <c r="D739" t="s">
        <v>67</v>
      </c>
      <c r="E739" t="str">
        <f t="shared" si="31"/>
        <v>004</v>
      </c>
      <c r="F739" t="s">
        <v>725</v>
      </c>
      <c r="G739" t="str">
        <f>"0788"</f>
        <v>0788</v>
      </c>
      <c r="H739" t="str">
        <f>"0000"</f>
        <v>0000</v>
      </c>
      <c r="I739" t="s">
        <v>69</v>
      </c>
      <c r="J739">
        <v>0</v>
      </c>
      <c r="K739">
        <v>1</v>
      </c>
      <c r="L739">
        <v>2</v>
      </c>
      <c r="M739">
        <v>401</v>
      </c>
      <c r="N739">
        <v>781</v>
      </c>
      <c r="O739">
        <v>0</v>
      </c>
      <c r="P739">
        <v>380</v>
      </c>
      <c r="Q739">
        <v>2</v>
      </c>
      <c r="R739">
        <v>73</v>
      </c>
      <c r="S739">
        <v>4</v>
      </c>
      <c r="T739">
        <v>5</v>
      </c>
      <c r="U739">
        <v>8</v>
      </c>
      <c r="V739">
        <v>3</v>
      </c>
      <c r="W739">
        <v>0</v>
      </c>
      <c r="X739">
        <v>275</v>
      </c>
      <c r="Y739">
        <v>1</v>
      </c>
      <c r="Z739">
        <v>2</v>
      </c>
      <c r="AA739">
        <v>2</v>
      </c>
      <c r="AB739">
        <v>1</v>
      </c>
      <c r="AD739">
        <v>3</v>
      </c>
      <c r="AE739">
        <v>1</v>
      </c>
      <c r="AF739">
        <v>0</v>
      </c>
      <c r="AG739">
        <v>0</v>
      </c>
      <c r="AI739">
        <v>0</v>
      </c>
      <c r="AJ739">
        <v>0</v>
      </c>
      <c r="AK739">
        <v>380</v>
      </c>
      <c r="AL739">
        <v>380</v>
      </c>
      <c r="AM739">
        <v>737</v>
      </c>
      <c r="AN739">
        <v>44</v>
      </c>
      <c r="AP739">
        <v>1</v>
      </c>
      <c r="AR739" t="s">
        <v>823</v>
      </c>
      <c r="AS739" s="1">
        <v>44353.970833333333</v>
      </c>
      <c r="AT739" s="1">
        <v>44353.973182870373</v>
      </c>
      <c r="AU739" s="1">
        <v>44353.973796296297</v>
      </c>
      <c r="AV739" t="s">
        <v>71</v>
      </c>
      <c r="AW739" t="s">
        <v>72</v>
      </c>
      <c r="AX739" t="s">
        <v>73</v>
      </c>
    </row>
    <row r="740" spans="1:50" x14ac:dyDescent="0.3">
      <c r="A740" t="str">
        <f>"200788E0100"</f>
        <v>200788E0100</v>
      </c>
      <c r="B740" t="str">
        <f>"200788E01002"</f>
        <v>200788E01002</v>
      </c>
      <c r="C740" t="str">
        <f t="shared" si="32"/>
        <v>20</v>
      </c>
      <c r="D740" t="s">
        <v>67</v>
      </c>
      <c r="E740" t="str">
        <f t="shared" si="31"/>
        <v>004</v>
      </c>
      <c r="F740" t="s">
        <v>725</v>
      </c>
      <c r="G740" t="str">
        <f>"0788"</f>
        <v>0788</v>
      </c>
      <c r="H740" t="str">
        <f>"0001"</f>
        <v>0001</v>
      </c>
      <c r="I740" t="s">
        <v>109</v>
      </c>
      <c r="J740">
        <v>0</v>
      </c>
      <c r="K740">
        <v>1</v>
      </c>
      <c r="L740">
        <v>2</v>
      </c>
      <c r="M740">
        <v>117</v>
      </c>
      <c r="N740">
        <v>218</v>
      </c>
      <c r="O740">
        <v>4</v>
      </c>
      <c r="P740">
        <v>218</v>
      </c>
      <c r="Q740">
        <v>8</v>
      </c>
      <c r="R740">
        <v>26</v>
      </c>
      <c r="S740">
        <v>2</v>
      </c>
      <c r="T740">
        <v>0</v>
      </c>
      <c r="U740">
        <v>4</v>
      </c>
      <c r="V740">
        <v>1</v>
      </c>
      <c r="W740">
        <v>2</v>
      </c>
      <c r="X740">
        <v>172</v>
      </c>
      <c r="Y740">
        <v>0</v>
      </c>
      <c r="Z740">
        <v>1</v>
      </c>
      <c r="AA740">
        <v>0</v>
      </c>
      <c r="AB740">
        <v>1</v>
      </c>
      <c r="AD740">
        <v>0</v>
      </c>
      <c r="AE740">
        <v>1</v>
      </c>
      <c r="AF740">
        <v>0</v>
      </c>
      <c r="AG740">
        <v>0</v>
      </c>
      <c r="AI740">
        <v>0</v>
      </c>
      <c r="AJ740">
        <v>0</v>
      </c>
      <c r="AK740">
        <v>218</v>
      </c>
      <c r="AL740">
        <v>218</v>
      </c>
      <c r="AM740">
        <v>291</v>
      </c>
      <c r="AN740">
        <v>44</v>
      </c>
      <c r="AP740">
        <v>1</v>
      </c>
      <c r="AR740" t="s">
        <v>824</v>
      </c>
      <c r="AS740" s="1">
        <v>44353.96875</v>
      </c>
      <c r="AT740" s="1">
        <v>44353.972592592596</v>
      </c>
      <c r="AU740" s="1">
        <v>44353.973194444443</v>
      </c>
      <c r="AV740" t="s">
        <v>71</v>
      </c>
      <c r="AW740" t="s">
        <v>72</v>
      </c>
      <c r="AX740" t="s">
        <v>73</v>
      </c>
    </row>
    <row r="741" spans="1:50" x14ac:dyDescent="0.3">
      <c r="A741" t="str">
        <f>"200804B0000"</f>
        <v>200804B0000</v>
      </c>
      <c r="B741" t="str">
        <f>"200804B00002"</f>
        <v>200804B00002</v>
      </c>
      <c r="C741" t="str">
        <f t="shared" si="32"/>
        <v>20</v>
      </c>
      <c r="D741" t="s">
        <v>67</v>
      </c>
      <c r="E741" t="str">
        <f t="shared" si="31"/>
        <v>004</v>
      </c>
      <c r="F741" t="s">
        <v>725</v>
      </c>
      <c r="G741" t="str">
        <f>"0804"</f>
        <v>0804</v>
      </c>
      <c r="H741" t="str">
        <f>"0000"</f>
        <v>0000</v>
      </c>
      <c r="I741" t="s">
        <v>69</v>
      </c>
      <c r="J741">
        <v>0</v>
      </c>
      <c r="K741">
        <v>1</v>
      </c>
      <c r="L741">
        <v>2</v>
      </c>
      <c r="M741">
        <v>169</v>
      </c>
      <c r="N741">
        <v>505</v>
      </c>
      <c r="O741">
        <v>0</v>
      </c>
      <c r="P741">
        <v>504</v>
      </c>
      <c r="Q741">
        <v>9</v>
      </c>
      <c r="R741">
        <v>95</v>
      </c>
      <c r="S741">
        <v>2</v>
      </c>
      <c r="T741">
        <v>41</v>
      </c>
      <c r="U741">
        <v>66</v>
      </c>
      <c r="V741">
        <v>1</v>
      </c>
      <c r="W741">
        <v>4</v>
      </c>
      <c r="X741">
        <v>87</v>
      </c>
      <c r="Y741">
        <v>115</v>
      </c>
      <c r="Z741">
        <v>44</v>
      </c>
      <c r="AA741">
        <v>5</v>
      </c>
      <c r="AB741">
        <v>11</v>
      </c>
      <c r="AD741">
        <v>0</v>
      </c>
      <c r="AE741">
        <v>0</v>
      </c>
      <c r="AF741">
        <v>1</v>
      </c>
      <c r="AG741">
        <v>0</v>
      </c>
      <c r="AI741">
        <v>0</v>
      </c>
      <c r="AJ741">
        <v>23</v>
      </c>
      <c r="AK741">
        <v>504</v>
      </c>
      <c r="AL741">
        <v>504</v>
      </c>
      <c r="AM741">
        <v>629</v>
      </c>
      <c r="AN741">
        <v>44</v>
      </c>
      <c r="AP741">
        <v>1</v>
      </c>
      <c r="AR741" t="s">
        <v>825</v>
      </c>
      <c r="AS741" s="1">
        <v>44354.027777777781</v>
      </c>
      <c r="AT741" s="1">
        <v>44354.197604166664</v>
      </c>
      <c r="AU741" s="1">
        <v>44354.198773148149</v>
      </c>
      <c r="AV741" t="s">
        <v>71</v>
      </c>
      <c r="AW741" t="s">
        <v>72</v>
      </c>
      <c r="AX741" t="s">
        <v>73</v>
      </c>
    </row>
    <row r="742" spans="1:50" x14ac:dyDescent="0.3">
      <c r="A742" t="str">
        <f>"200804C0100"</f>
        <v>200804C0100</v>
      </c>
      <c r="B742" t="str">
        <f>"200804C01002"</f>
        <v>200804C01002</v>
      </c>
      <c r="C742" t="str">
        <f t="shared" si="32"/>
        <v>20</v>
      </c>
      <c r="D742" t="s">
        <v>67</v>
      </c>
      <c r="E742" t="str">
        <f t="shared" si="31"/>
        <v>004</v>
      </c>
      <c r="F742" t="s">
        <v>725</v>
      </c>
      <c r="G742" t="str">
        <f>"0804"</f>
        <v>0804</v>
      </c>
      <c r="H742" t="str">
        <f>"0001"</f>
        <v>0001</v>
      </c>
      <c r="I742" t="s">
        <v>75</v>
      </c>
      <c r="J742">
        <v>0</v>
      </c>
      <c r="K742">
        <v>1</v>
      </c>
      <c r="L742">
        <v>2</v>
      </c>
      <c r="M742">
        <v>169</v>
      </c>
      <c r="N742">
        <v>504</v>
      </c>
      <c r="O742">
        <v>0</v>
      </c>
      <c r="P742">
        <v>504</v>
      </c>
      <c r="Q742">
        <v>1</v>
      </c>
      <c r="R742">
        <v>86</v>
      </c>
      <c r="S742">
        <v>2</v>
      </c>
      <c r="T742">
        <v>36</v>
      </c>
      <c r="U742">
        <v>70</v>
      </c>
      <c r="V742">
        <v>3</v>
      </c>
      <c r="W742">
        <v>1</v>
      </c>
      <c r="X742">
        <v>77</v>
      </c>
      <c r="Y742">
        <v>134</v>
      </c>
      <c r="Z742">
        <v>40</v>
      </c>
      <c r="AA742">
        <v>5</v>
      </c>
      <c r="AB742">
        <v>24</v>
      </c>
      <c r="AD742">
        <v>0</v>
      </c>
      <c r="AE742">
        <v>0</v>
      </c>
      <c r="AF742">
        <v>0</v>
      </c>
      <c r="AG742">
        <v>0</v>
      </c>
      <c r="AI742">
        <v>0</v>
      </c>
      <c r="AJ742">
        <v>25</v>
      </c>
      <c r="AK742">
        <v>504</v>
      </c>
      <c r="AL742">
        <v>504</v>
      </c>
      <c r="AM742">
        <v>629</v>
      </c>
      <c r="AN742">
        <v>44</v>
      </c>
      <c r="AP742">
        <v>1</v>
      </c>
      <c r="AR742" t="s">
        <v>826</v>
      </c>
      <c r="AS742" s="1">
        <v>44354.029166666667</v>
      </c>
      <c r="AT742" s="1">
        <v>44354.197951388887</v>
      </c>
      <c r="AU742" s="1">
        <v>44354.198634259257</v>
      </c>
      <c r="AV742" t="s">
        <v>71</v>
      </c>
      <c r="AW742" t="s">
        <v>72</v>
      </c>
      <c r="AX742" t="s">
        <v>73</v>
      </c>
    </row>
    <row r="743" spans="1:50" x14ac:dyDescent="0.3">
      <c r="A743" t="str">
        <f>"200805B0000"</f>
        <v>200805B0000</v>
      </c>
      <c r="B743" t="str">
        <f>"200805B00002"</f>
        <v>200805B00002</v>
      </c>
      <c r="C743" t="str">
        <f t="shared" si="32"/>
        <v>20</v>
      </c>
      <c r="D743" t="s">
        <v>67</v>
      </c>
      <c r="E743" t="str">
        <f t="shared" si="31"/>
        <v>004</v>
      </c>
      <c r="F743" t="s">
        <v>725</v>
      </c>
      <c r="G743" t="str">
        <f>"0805"</f>
        <v>0805</v>
      </c>
      <c r="H743" t="str">
        <f>"0000"</f>
        <v>0000</v>
      </c>
      <c r="I743" t="s">
        <v>69</v>
      </c>
      <c r="J743">
        <v>0</v>
      </c>
      <c r="K743">
        <v>1</v>
      </c>
      <c r="L743">
        <v>2</v>
      </c>
      <c r="M743">
        <v>124</v>
      </c>
      <c r="N743">
        <v>362</v>
      </c>
      <c r="O743">
        <v>0</v>
      </c>
      <c r="P743">
        <v>362</v>
      </c>
      <c r="Q743">
        <v>11</v>
      </c>
      <c r="R743">
        <v>63</v>
      </c>
      <c r="S743">
        <v>1</v>
      </c>
      <c r="T743">
        <v>30</v>
      </c>
      <c r="U743">
        <v>37</v>
      </c>
      <c r="V743">
        <v>0</v>
      </c>
      <c r="W743">
        <v>8</v>
      </c>
      <c r="X743">
        <v>59</v>
      </c>
      <c r="Y743">
        <v>77</v>
      </c>
      <c r="Z743">
        <v>50</v>
      </c>
      <c r="AA743">
        <v>3</v>
      </c>
      <c r="AB743">
        <v>7</v>
      </c>
      <c r="AD743">
        <v>1</v>
      </c>
      <c r="AE743">
        <v>0</v>
      </c>
      <c r="AF743">
        <v>0</v>
      </c>
      <c r="AG743">
        <v>0</v>
      </c>
      <c r="AI743">
        <v>0</v>
      </c>
      <c r="AJ743">
        <v>15</v>
      </c>
      <c r="AK743">
        <v>362</v>
      </c>
      <c r="AL743">
        <v>362</v>
      </c>
      <c r="AM743">
        <v>442</v>
      </c>
      <c r="AN743">
        <v>44</v>
      </c>
      <c r="AP743">
        <v>1</v>
      </c>
      <c r="AR743" t="s">
        <v>827</v>
      </c>
      <c r="AS743" s="1">
        <v>44354.193749999999</v>
      </c>
      <c r="AT743" s="1">
        <v>44354.198645833334</v>
      </c>
      <c r="AU743" s="1">
        <v>44354.199548611112</v>
      </c>
      <c r="AV743" t="s">
        <v>71</v>
      </c>
      <c r="AW743" t="s">
        <v>72</v>
      </c>
      <c r="AX743" t="s">
        <v>73</v>
      </c>
    </row>
    <row r="744" spans="1:50" x14ac:dyDescent="0.3">
      <c r="A744" t="str">
        <f>"200805C0100"</f>
        <v>200805C0100</v>
      </c>
      <c r="B744" t="str">
        <f>"200805C01002"</f>
        <v>200805C01002</v>
      </c>
      <c r="C744" t="str">
        <f t="shared" si="32"/>
        <v>20</v>
      </c>
      <c r="D744" t="s">
        <v>67</v>
      </c>
      <c r="E744" t="str">
        <f t="shared" si="31"/>
        <v>004</v>
      </c>
      <c r="F744" t="s">
        <v>725</v>
      </c>
      <c r="G744" t="str">
        <f>"0805"</f>
        <v>0805</v>
      </c>
      <c r="H744" t="str">
        <f>"0001"</f>
        <v>0001</v>
      </c>
      <c r="I744" t="s">
        <v>75</v>
      </c>
      <c r="J744">
        <v>0</v>
      </c>
      <c r="K744">
        <v>1</v>
      </c>
      <c r="L744">
        <v>2</v>
      </c>
      <c r="M744">
        <v>124</v>
      </c>
      <c r="N744">
        <v>361</v>
      </c>
      <c r="O744">
        <v>5</v>
      </c>
      <c r="P744" t="s">
        <v>80</v>
      </c>
      <c r="Q744">
        <v>10</v>
      </c>
      <c r="R744">
        <v>42</v>
      </c>
      <c r="S744">
        <v>3</v>
      </c>
      <c r="T744">
        <v>24</v>
      </c>
      <c r="U744">
        <v>39</v>
      </c>
      <c r="V744">
        <v>2</v>
      </c>
      <c r="W744">
        <v>2</v>
      </c>
      <c r="X744">
        <v>60</v>
      </c>
      <c r="Y744">
        <v>86</v>
      </c>
      <c r="Z744">
        <v>41</v>
      </c>
      <c r="AA744">
        <v>2</v>
      </c>
      <c r="AB744">
        <v>16</v>
      </c>
      <c r="AD744">
        <v>0</v>
      </c>
      <c r="AE744">
        <v>0</v>
      </c>
      <c r="AF744">
        <v>0</v>
      </c>
      <c r="AG744">
        <v>0</v>
      </c>
      <c r="AI744">
        <v>0</v>
      </c>
      <c r="AJ744">
        <v>25</v>
      </c>
      <c r="AK744">
        <v>361</v>
      </c>
      <c r="AL744">
        <v>352</v>
      </c>
      <c r="AM744">
        <v>441</v>
      </c>
      <c r="AN744">
        <v>44</v>
      </c>
      <c r="AP744">
        <v>1</v>
      </c>
      <c r="AR744" t="s">
        <v>828</v>
      </c>
      <c r="AS744" s="1">
        <v>44354.192361111112</v>
      </c>
      <c r="AT744" s="1">
        <v>44354.194305555553</v>
      </c>
      <c r="AU744" s="1">
        <v>44354.195428240739</v>
      </c>
      <c r="AV744" t="s">
        <v>71</v>
      </c>
      <c r="AW744" t="s">
        <v>72</v>
      </c>
      <c r="AX744" t="s">
        <v>73</v>
      </c>
    </row>
    <row r="745" spans="1:50" x14ac:dyDescent="0.3">
      <c r="A745" t="str">
        <f>"200806B0000"</f>
        <v>200806B0000</v>
      </c>
      <c r="B745" t="str">
        <f>"200806B00002"</f>
        <v>200806B00002</v>
      </c>
      <c r="C745" t="str">
        <f t="shared" si="32"/>
        <v>20</v>
      </c>
      <c r="D745" t="s">
        <v>67</v>
      </c>
      <c r="E745" t="str">
        <f t="shared" si="31"/>
        <v>004</v>
      </c>
      <c r="F745" t="s">
        <v>725</v>
      </c>
      <c r="G745" t="str">
        <f>"0806"</f>
        <v>0806</v>
      </c>
      <c r="H745" t="str">
        <f>"0000"</f>
        <v>0000</v>
      </c>
      <c r="I745" t="s">
        <v>69</v>
      </c>
      <c r="J745">
        <v>0</v>
      </c>
      <c r="K745">
        <v>1</v>
      </c>
      <c r="L745">
        <v>2</v>
      </c>
      <c r="M745">
        <v>166</v>
      </c>
      <c r="N745">
        <v>612</v>
      </c>
      <c r="O745">
        <v>0</v>
      </c>
      <c r="P745">
        <v>778</v>
      </c>
      <c r="Q745">
        <v>2</v>
      </c>
      <c r="R745">
        <v>46</v>
      </c>
      <c r="S745">
        <v>1</v>
      </c>
      <c r="T745">
        <v>87</v>
      </c>
      <c r="U745">
        <v>26</v>
      </c>
      <c r="V745">
        <v>2</v>
      </c>
      <c r="W745">
        <v>0</v>
      </c>
      <c r="X745">
        <v>123</v>
      </c>
      <c r="Y745">
        <v>161</v>
      </c>
      <c r="Z745">
        <v>113</v>
      </c>
      <c r="AA745">
        <v>10</v>
      </c>
      <c r="AB745">
        <v>24</v>
      </c>
      <c r="AD745">
        <v>0</v>
      </c>
      <c r="AE745">
        <v>0</v>
      </c>
      <c r="AF745">
        <v>0</v>
      </c>
      <c r="AG745">
        <v>0</v>
      </c>
      <c r="AI745">
        <v>0</v>
      </c>
      <c r="AJ745">
        <v>16</v>
      </c>
      <c r="AK745">
        <v>778</v>
      </c>
      <c r="AL745">
        <v>611</v>
      </c>
      <c r="AM745">
        <v>734</v>
      </c>
      <c r="AN745">
        <v>44</v>
      </c>
      <c r="AP745">
        <v>1</v>
      </c>
      <c r="AR745" t="s">
        <v>829</v>
      </c>
      <c r="AS745" s="1">
        <v>44354.193055555559</v>
      </c>
      <c r="AT745" s="1">
        <v>44354.194675925923</v>
      </c>
      <c r="AU745" s="1">
        <v>44354.195162037038</v>
      </c>
      <c r="AV745" t="s">
        <v>71</v>
      </c>
      <c r="AW745" t="s">
        <v>72</v>
      </c>
      <c r="AX745" t="s">
        <v>73</v>
      </c>
    </row>
    <row r="746" spans="1:50" x14ac:dyDescent="0.3">
      <c r="A746" t="str">
        <f>"200875B0000"</f>
        <v>200875B0000</v>
      </c>
      <c r="B746" t="str">
        <f>"200875B00002"</f>
        <v>200875B00002</v>
      </c>
      <c r="C746" t="str">
        <f t="shared" si="32"/>
        <v>20</v>
      </c>
      <c r="D746" t="s">
        <v>67</v>
      </c>
      <c r="E746" t="str">
        <f t="shared" si="31"/>
        <v>004</v>
      </c>
      <c r="F746" t="s">
        <v>725</v>
      </c>
      <c r="G746" t="str">
        <f>"0875"</f>
        <v>0875</v>
      </c>
      <c r="H746" t="str">
        <f>"0000"</f>
        <v>0000</v>
      </c>
      <c r="I746" t="s">
        <v>69</v>
      </c>
      <c r="J746">
        <v>0</v>
      </c>
      <c r="K746">
        <v>1</v>
      </c>
      <c r="L746">
        <v>2</v>
      </c>
      <c r="M746">
        <v>304</v>
      </c>
      <c r="N746">
        <v>304</v>
      </c>
      <c r="O746">
        <v>0</v>
      </c>
      <c r="P746">
        <v>331</v>
      </c>
      <c r="Q746">
        <v>2</v>
      </c>
      <c r="R746">
        <v>139</v>
      </c>
      <c r="S746">
        <v>2</v>
      </c>
      <c r="T746">
        <v>4</v>
      </c>
      <c r="U746">
        <v>6</v>
      </c>
      <c r="V746">
        <v>3</v>
      </c>
      <c r="W746">
        <v>2</v>
      </c>
      <c r="X746">
        <v>136</v>
      </c>
      <c r="Y746">
        <v>0</v>
      </c>
      <c r="Z746">
        <v>5</v>
      </c>
      <c r="AA746">
        <v>7</v>
      </c>
      <c r="AB746">
        <v>3</v>
      </c>
      <c r="AD746">
        <v>3</v>
      </c>
      <c r="AE746">
        <v>2</v>
      </c>
      <c r="AF746">
        <v>0</v>
      </c>
      <c r="AG746">
        <v>1</v>
      </c>
      <c r="AI746">
        <v>0</v>
      </c>
      <c r="AJ746">
        <v>16</v>
      </c>
      <c r="AK746">
        <v>331</v>
      </c>
      <c r="AL746">
        <v>331</v>
      </c>
      <c r="AM746">
        <v>594</v>
      </c>
      <c r="AN746">
        <v>44</v>
      </c>
      <c r="AP746">
        <v>1</v>
      </c>
      <c r="AR746" t="s">
        <v>830</v>
      </c>
      <c r="AS746" s="1">
        <v>44354.138888888891</v>
      </c>
      <c r="AT746" s="1">
        <v>44354.140925925924</v>
      </c>
      <c r="AU746" s="1">
        <v>44354.141851851855</v>
      </c>
      <c r="AV746" t="s">
        <v>71</v>
      </c>
      <c r="AW746" t="s">
        <v>72</v>
      </c>
      <c r="AX746" t="s">
        <v>73</v>
      </c>
    </row>
    <row r="747" spans="1:50" x14ac:dyDescent="0.3">
      <c r="A747" t="str">
        <f>"200875E0100"</f>
        <v>200875E0100</v>
      </c>
      <c r="B747" t="str">
        <f>"200875E01002"</f>
        <v>200875E01002</v>
      </c>
      <c r="C747" t="str">
        <f t="shared" si="32"/>
        <v>20</v>
      </c>
      <c r="D747" t="s">
        <v>67</v>
      </c>
      <c r="E747" t="str">
        <f t="shared" si="31"/>
        <v>004</v>
      </c>
      <c r="F747" t="s">
        <v>725</v>
      </c>
      <c r="G747" t="str">
        <f>"0875"</f>
        <v>0875</v>
      </c>
      <c r="H747" t="str">
        <f>"0001"</f>
        <v>0001</v>
      </c>
      <c r="I747" t="s">
        <v>109</v>
      </c>
      <c r="J747">
        <v>0</v>
      </c>
      <c r="K747">
        <v>1</v>
      </c>
      <c r="L747">
        <v>2</v>
      </c>
      <c r="M747" t="s">
        <v>80</v>
      </c>
      <c r="N747">
        <v>255</v>
      </c>
      <c r="O747" t="s">
        <v>80</v>
      </c>
      <c r="P747">
        <v>252</v>
      </c>
      <c r="Q747">
        <v>1</v>
      </c>
      <c r="R747">
        <v>122</v>
      </c>
      <c r="S747">
        <v>4</v>
      </c>
      <c r="T747">
        <v>9</v>
      </c>
      <c r="U747">
        <v>19</v>
      </c>
      <c r="V747">
        <v>2</v>
      </c>
      <c r="W747">
        <v>3</v>
      </c>
      <c r="X747">
        <v>74</v>
      </c>
      <c r="Y747">
        <v>0</v>
      </c>
      <c r="Z747">
        <v>6</v>
      </c>
      <c r="AA747">
        <v>1</v>
      </c>
      <c r="AB747">
        <v>3</v>
      </c>
      <c r="AD747">
        <v>0</v>
      </c>
      <c r="AE747">
        <v>1</v>
      </c>
      <c r="AF747">
        <v>0</v>
      </c>
      <c r="AG747">
        <v>1</v>
      </c>
      <c r="AI747">
        <v>0</v>
      </c>
      <c r="AJ747">
        <v>6</v>
      </c>
      <c r="AK747">
        <v>252</v>
      </c>
      <c r="AL747">
        <v>252</v>
      </c>
      <c r="AM747">
        <v>549</v>
      </c>
      <c r="AN747">
        <v>44</v>
      </c>
      <c r="AP747">
        <v>1</v>
      </c>
      <c r="AR747" t="s">
        <v>831</v>
      </c>
      <c r="AS747" s="1">
        <v>44354.590277777781</v>
      </c>
      <c r="AT747" s="1">
        <v>44354.591932870368</v>
      </c>
      <c r="AU747" s="1">
        <v>44354.592407407406</v>
      </c>
      <c r="AV747" t="s">
        <v>71</v>
      </c>
      <c r="AW747" t="s">
        <v>72</v>
      </c>
      <c r="AX747" t="s">
        <v>347</v>
      </c>
    </row>
    <row r="748" spans="1:50" x14ac:dyDescent="0.3">
      <c r="A748" t="str">
        <f>"200875E0200"</f>
        <v>200875E0200</v>
      </c>
      <c r="B748" t="str">
        <f>"200875E02002"</f>
        <v>200875E02002</v>
      </c>
      <c r="C748" t="str">
        <f t="shared" si="32"/>
        <v>20</v>
      </c>
      <c r="D748" t="s">
        <v>67</v>
      </c>
      <c r="E748" t="str">
        <f t="shared" si="31"/>
        <v>004</v>
      </c>
      <c r="F748" t="s">
        <v>725</v>
      </c>
      <c r="G748" t="str">
        <f>"0875"</f>
        <v>0875</v>
      </c>
      <c r="H748" t="str">
        <f>"0002"</f>
        <v>0002</v>
      </c>
      <c r="I748" t="s">
        <v>109</v>
      </c>
      <c r="J748">
        <v>0</v>
      </c>
      <c r="K748">
        <v>1</v>
      </c>
      <c r="L748">
        <v>2</v>
      </c>
      <c r="M748">
        <v>121</v>
      </c>
      <c r="N748">
        <v>137</v>
      </c>
      <c r="O748" t="s">
        <v>99</v>
      </c>
      <c r="P748">
        <v>137</v>
      </c>
      <c r="Q748">
        <v>0</v>
      </c>
      <c r="R748">
        <v>96</v>
      </c>
      <c r="S748">
        <v>0</v>
      </c>
      <c r="T748">
        <v>0</v>
      </c>
      <c r="U748">
        <v>4</v>
      </c>
      <c r="V748">
        <v>1</v>
      </c>
      <c r="W748">
        <v>4</v>
      </c>
      <c r="X748">
        <v>26</v>
      </c>
      <c r="Y748">
        <v>0</v>
      </c>
      <c r="Z748">
        <v>1</v>
      </c>
      <c r="AA748">
        <v>2</v>
      </c>
      <c r="AB748">
        <v>0</v>
      </c>
      <c r="AD748">
        <v>0</v>
      </c>
      <c r="AE748">
        <v>1</v>
      </c>
      <c r="AF748">
        <v>0</v>
      </c>
      <c r="AG748">
        <v>0</v>
      </c>
      <c r="AI748">
        <v>0</v>
      </c>
      <c r="AJ748">
        <v>2</v>
      </c>
      <c r="AK748">
        <v>137</v>
      </c>
      <c r="AL748">
        <v>137</v>
      </c>
      <c r="AM748">
        <v>214</v>
      </c>
      <c r="AN748">
        <v>44</v>
      </c>
      <c r="AP748">
        <v>1</v>
      </c>
      <c r="AR748" t="s">
        <v>832</v>
      </c>
      <c r="AS748" s="1">
        <v>44354.318749999999</v>
      </c>
      <c r="AT748" s="1">
        <v>44354.324432870373</v>
      </c>
      <c r="AU748" s="1">
        <v>44354.341111111113</v>
      </c>
      <c r="AV748" t="s">
        <v>71</v>
      </c>
      <c r="AW748" t="s">
        <v>72</v>
      </c>
      <c r="AX748" t="s">
        <v>73</v>
      </c>
    </row>
    <row r="749" spans="1:50" x14ac:dyDescent="0.3">
      <c r="A749" t="str">
        <f>"200882B0000"</f>
        <v>200882B0000</v>
      </c>
      <c r="B749" t="str">
        <f>"200882B00002"</f>
        <v>200882B00002</v>
      </c>
      <c r="C749" t="str">
        <f t="shared" si="32"/>
        <v>20</v>
      </c>
      <c r="D749" t="s">
        <v>67</v>
      </c>
      <c r="E749" t="str">
        <f t="shared" si="31"/>
        <v>004</v>
      </c>
      <c r="F749" t="s">
        <v>725</v>
      </c>
      <c r="G749" t="str">
        <f>"0882"</f>
        <v>0882</v>
      </c>
      <c r="H749" t="str">
        <f>"0000"</f>
        <v>0000</v>
      </c>
      <c r="I749" t="s">
        <v>69</v>
      </c>
      <c r="J749">
        <v>0</v>
      </c>
      <c r="K749">
        <v>1</v>
      </c>
      <c r="L749">
        <v>2</v>
      </c>
      <c r="M749">
        <v>366</v>
      </c>
      <c r="N749">
        <v>294</v>
      </c>
      <c r="O749">
        <v>0</v>
      </c>
      <c r="P749">
        <v>0</v>
      </c>
      <c r="Q749">
        <v>5</v>
      </c>
      <c r="R749">
        <v>68</v>
      </c>
      <c r="S749">
        <v>8</v>
      </c>
      <c r="T749">
        <v>5</v>
      </c>
      <c r="U749">
        <v>6</v>
      </c>
      <c r="V749">
        <v>8</v>
      </c>
      <c r="W749">
        <v>6</v>
      </c>
      <c r="X749">
        <v>134</v>
      </c>
      <c r="Y749">
        <v>1</v>
      </c>
      <c r="Z749">
        <v>8</v>
      </c>
      <c r="AA749">
        <v>7</v>
      </c>
      <c r="AB749">
        <v>5</v>
      </c>
      <c r="AD749">
        <v>0</v>
      </c>
      <c r="AE749">
        <v>0</v>
      </c>
      <c r="AF749">
        <v>0</v>
      </c>
      <c r="AG749">
        <v>1</v>
      </c>
      <c r="AI749">
        <v>0</v>
      </c>
      <c r="AJ749">
        <v>32</v>
      </c>
      <c r="AK749">
        <v>294</v>
      </c>
      <c r="AL749">
        <v>294</v>
      </c>
      <c r="AM749">
        <v>616</v>
      </c>
      <c r="AN749">
        <v>44</v>
      </c>
      <c r="AP749">
        <v>1</v>
      </c>
      <c r="AR749" t="s">
        <v>833</v>
      </c>
      <c r="AS749" s="1">
        <v>44354.319444444445</v>
      </c>
      <c r="AT749" s="1">
        <v>44354.323541666665</v>
      </c>
      <c r="AU749" s="1">
        <v>44354.324305555558</v>
      </c>
      <c r="AV749" t="s">
        <v>71</v>
      </c>
      <c r="AW749" t="s">
        <v>72</v>
      </c>
      <c r="AX749" t="s">
        <v>73</v>
      </c>
    </row>
    <row r="750" spans="1:50" x14ac:dyDescent="0.3">
      <c r="A750" t="str">
        <f>"200932B0000"</f>
        <v>200932B0000</v>
      </c>
      <c r="B750" t="str">
        <f>"200932B00002"</f>
        <v>200932B00002</v>
      </c>
      <c r="C750" t="str">
        <f t="shared" si="32"/>
        <v>20</v>
      </c>
      <c r="D750" t="s">
        <v>67</v>
      </c>
      <c r="E750" t="str">
        <f t="shared" si="31"/>
        <v>004</v>
      </c>
      <c r="F750" t="s">
        <v>725</v>
      </c>
      <c r="G750" t="str">
        <f>"0932"</f>
        <v>0932</v>
      </c>
      <c r="H750" t="str">
        <f>"0000"</f>
        <v>0000</v>
      </c>
      <c r="I750" t="s">
        <v>69</v>
      </c>
      <c r="J750">
        <v>0</v>
      </c>
      <c r="K750">
        <v>1</v>
      </c>
      <c r="L750">
        <v>2</v>
      </c>
      <c r="M750">
        <v>348</v>
      </c>
      <c r="N750">
        <v>350</v>
      </c>
      <c r="O750">
        <v>12</v>
      </c>
      <c r="P750">
        <v>350</v>
      </c>
      <c r="Q750">
        <v>3</v>
      </c>
      <c r="R750">
        <v>100</v>
      </c>
      <c r="S750">
        <v>15</v>
      </c>
      <c r="T750">
        <v>12</v>
      </c>
      <c r="U750">
        <v>40</v>
      </c>
      <c r="V750">
        <v>0</v>
      </c>
      <c r="W750">
        <v>5</v>
      </c>
      <c r="X750">
        <v>122</v>
      </c>
      <c r="Y750">
        <v>1</v>
      </c>
      <c r="Z750">
        <v>4</v>
      </c>
      <c r="AA750">
        <v>6</v>
      </c>
      <c r="AB750">
        <v>8</v>
      </c>
      <c r="AD750">
        <v>4</v>
      </c>
      <c r="AE750">
        <v>2</v>
      </c>
      <c r="AF750">
        <v>0</v>
      </c>
      <c r="AG750">
        <v>1</v>
      </c>
      <c r="AI750">
        <v>1</v>
      </c>
      <c r="AJ750">
        <v>26</v>
      </c>
      <c r="AK750">
        <v>350</v>
      </c>
      <c r="AL750">
        <v>350</v>
      </c>
      <c r="AM750">
        <v>654</v>
      </c>
      <c r="AN750">
        <v>44</v>
      </c>
      <c r="AP750">
        <v>1</v>
      </c>
      <c r="AR750" t="s">
        <v>834</v>
      </c>
      <c r="AS750" s="1">
        <v>44354.054861111108</v>
      </c>
      <c r="AT750" s="1">
        <v>44354.061041666668</v>
      </c>
      <c r="AU750" s="1">
        <v>44354.061678240738</v>
      </c>
      <c r="AV750" t="s">
        <v>71</v>
      </c>
      <c r="AW750" t="s">
        <v>72</v>
      </c>
      <c r="AX750" t="s">
        <v>73</v>
      </c>
    </row>
    <row r="751" spans="1:50" x14ac:dyDescent="0.3">
      <c r="A751" t="str">
        <f>"200932E0100"</f>
        <v>200932E0100</v>
      </c>
      <c r="B751" t="str">
        <f>"200932E01002"</f>
        <v>200932E01002</v>
      </c>
      <c r="C751" t="str">
        <f t="shared" si="32"/>
        <v>20</v>
      </c>
      <c r="D751" t="s">
        <v>67</v>
      </c>
      <c r="E751" t="str">
        <f t="shared" si="31"/>
        <v>004</v>
      </c>
      <c r="F751" t="s">
        <v>725</v>
      </c>
      <c r="G751" t="str">
        <f>"0932"</f>
        <v>0932</v>
      </c>
      <c r="H751" t="str">
        <f>"0001"</f>
        <v>0001</v>
      </c>
      <c r="I751" t="s">
        <v>109</v>
      </c>
      <c r="J751">
        <v>0</v>
      </c>
      <c r="K751">
        <v>1</v>
      </c>
      <c r="L751">
        <v>2</v>
      </c>
      <c r="M751">
        <v>193</v>
      </c>
      <c r="N751">
        <v>97</v>
      </c>
      <c r="O751">
        <v>0</v>
      </c>
      <c r="P751">
        <v>97</v>
      </c>
      <c r="Q751">
        <v>3</v>
      </c>
      <c r="R751">
        <v>48</v>
      </c>
      <c r="S751">
        <v>2</v>
      </c>
      <c r="T751">
        <v>1</v>
      </c>
      <c r="U751">
        <v>3</v>
      </c>
      <c r="V751">
        <v>2</v>
      </c>
      <c r="W751">
        <v>1</v>
      </c>
      <c r="X751">
        <v>21</v>
      </c>
      <c r="Y751">
        <v>0</v>
      </c>
      <c r="Z751">
        <v>1</v>
      </c>
      <c r="AA751">
        <v>2</v>
      </c>
      <c r="AB751">
        <v>5</v>
      </c>
      <c r="AD751">
        <v>1</v>
      </c>
      <c r="AE751">
        <v>1</v>
      </c>
      <c r="AF751">
        <v>0</v>
      </c>
      <c r="AG751">
        <v>1</v>
      </c>
      <c r="AI751">
        <v>0</v>
      </c>
      <c r="AJ751">
        <v>5</v>
      </c>
      <c r="AK751">
        <v>97</v>
      </c>
      <c r="AL751">
        <v>97</v>
      </c>
      <c r="AM751">
        <v>246</v>
      </c>
      <c r="AN751">
        <v>44</v>
      </c>
      <c r="AP751">
        <v>1</v>
      </c>
      <c r="AR751" t="s">
        <v>835</v>
      </c>
      <c r="AS751" s="1">
        <v>44354.055555555555</v>
      </c>
      <c r="AT751" s="1">
        <v>44354.061712962961</v>
      </c>
      <c r="AU751" s="1">
        <v>44354.062164351853</v>
      </c>
      <c r="AV751" t="s">
        <v>71</v>
      </c>
      <c r="AW751" t="s">
        <v>72</v>
      </c>
      <c r="AX751" t="s">
        <v>73</v>
      </c>
    </row>
    <row r="752" spans="1:50" x14ac:dyDescent="0.3">
      <c r="A752" t="str">
        <f>"200933B0000"</f>
        <v>200933B0000</v>
      </c>
      <c r="B752" t="str">
        <f>"200933B00002"</f>
        <v>200933B00002</v>
      </c>
      <c r="C752" t="str">
        <f t="shared" si="32"/>
        <v>20</v>
      </c>
      <c r="D752" t="s">
        <v>67</v>
      </c>
      <c r="E752" t="str">
        <f t="shared" si="31"/>
        <v>004</v>
      </c>
      <c r="F752" t="s">
        <v>725</v>
      </c>
      <c r="G752" t="str">
        <f>"0933"</f>
        <v>0933</v>
      </c>
      <c r="H752" t="str">
        <f>"0000"</f>
        <v>0000</v>
      </c>
      <c r="I752" t="s">
        <v>69</v>
      </c>
      <c r="J752">
        <v>0</v>
      </c>
      <c r="K752">
        <v>1</v>
      </c>
      <c r="L752">
        <v>2</v>
      </c>
      <c r="M752">
        <v>122</v>
      </c>
      <c r="N752">
        <v>91</v>
      </c>
      <c r="O752">
        <v>1</v>
      </c>
      <c r="P752">
        <v>91</v>
      </c>
      <c r="Q752">
        <v>0</v>
      </c>
      <c r="R752">
        <v>23</v>
      </c>
      <c r="S752">
        <v>1</v>
      </c>
      <c r="T752">
        <v>2</v>
      </c>
      <c r="U752">
        <v>8</v>
      </c>
      <c r="V752">
        <v>0</v>
      </c>
      <c r="W752">
        <v>0</v>
      </c>
      <c r="X752">
        <v>45</v>
      </c>
      <c r="Y752">
        <v>0</v>
      </c>
      <c r="Z752">
        <v>1</v>
      </c>
      <c r="AA752">
        <v>0</v>
      </c>
      <c r="AB752">
        <v>3</v>
      </c>
      <c r="AD752">
        <v>0</v>
      </c>
      <c r="AE752">
        <v>0</v>
      </c>
      <c r="AF752">
        <v>0</v>
      </c>
      <c r="AG752">
        <v>0</v>
      </c>
      <c r="AI752">
        <v>0</v>
      </c>
      <c r="AJ752">
        <v>8</v>
      </c>
      <c r="AK752">
        <v>91</v>
      </c>
      <c r="AL752">
        <v>91</v>
      </c>
      <c r="AM752">
        <v>169</v>
      </c>
      <c r="AN752">
        <v>44</v>
      </c>
      <c r="AP752">
        <v>1</v>
      </c>
      <c r="AR752" t="s">
        <v>836</v>
      </c>
      <c r="AS752" s="1">
        <v>44354.238194444442</v>
      </c>
      <c r="AT752" s="1">
        <v>44354.242326388892</v>
      </c>
      <c r="AU752" s="1">
        <v>44354.243298611109</v>
      </c>
      <c r="AV752" t="s">
        <v>71</v>
      </c>
      <c r="AW752" t="s">
        <v>72</v>
      </c>
      <c r="AX752" t="s">
        <v>73</v>
      </c>
    </row>
    <row r="753" spans="1:50" x14ac:dyDescent="0.3">
      <c r="A753" t="str">
        <f>"200986B0000"</f>
        <v>200986B0000</v>
      </c>
      <c r="B753" t="str">
        <f>"200986B00002"</f>
        <v>200986B00002</v>
      </c>
      <c r="C753" t="str">
        <f t="shared" si="32"/>
        <v>20</v>
      </c>
      <c r="D753" t="s">
        <v>67</v>
      </c>
      <c r="E753" t="str">
        <f t="shared" si="31"/>
        <v>004</v>
      </c>
      <c r="F753" t="s">
        <v>725</v>
      </c>
      <c r="G753" t="str">
        <f>"0986"</f>
        <v>0986</v>
      </c>
      <c r="H753" t="str">
        <f>"0000"</f>
        <v>0000</v>
      </c>
      <c r="I753" t="s">
        <v>69</v>
      </c>
      <c r="J753">
        <v>0</v>
      </c>
      <c r="K753">
        <v>1</v>
      </c>
      <c r="L753">
        <v>2</v>
      </c>
      <c r="M753">
        <v>220</v>
      </c>
      <c r="N753" t="s">
        <v>99</v>
      </c>
      <c r="O753">
        <v>0</v>
      </c>
      <c r="P753" t="s">
        <v>80</v>
      </c>
      <c r="Q753">
        <v>20</v>
      </c>
      <c r="R753">
        <v>91</v>
      </c>
      <c r="S753">
        <v>1</v>
      </c>
      <c r="T753">
        <v>2</v>
      </c>
      <c r="U753">
        <v>3</v>
      </c>
      <c r="V753">
        <v>3</v>
      </c>
      <c r="W753">
        <v>20</v>
      </c>
      <c r="X753">
        <v>267</v>
      </c>
      <c r="Y753">
        <v>2</v>
      </c>
      <c r="Z753">
        <v>2</v>
      </c>
      <c r="AA753">
        <v>0</v>
      </c>
      <c r="AB753">
        <v>6</v>
      </c>
      <c r="AD753">
        <v>4</v>
      </c>
      <c r="AE753">
        <v>0</v>
      </c>
      <c r="AF753">
        <v>0</v>
      </c>
      <c r="AG753">
        <v>0</v>
      </c>
      <c r="AI753">
        <v>0</v>
      </c>
      <c r="AJ753">
        <v>23</v>
      </c>
      <c r="AK753">
        <v>444</v>
      </c>
      <c r="AL753">
        <v>444</v>
      </c>
      <c r="AM753">
        <v>620</v>
      </c>
      <c r="AN753">
        <v>44</v>
      </c>
      <c r="AP753">
        <v>1</v>
      </c>
      <c r="AR753" t="s">
        <v>837</v>
      </c>
      <c r="AS753" s="1">
        <v>44354.308333333334</v>
      </c>
      <c r="AT753" s="1">
        <v>44354.311319444445</v>
      </c>
      <c r="AU753" s="1">
        <v>44354.312418981484</v>
      </c>
      <c r="AV753" t="s">
        <v>71</v>
      </c>
      <c r="AW753" t="s">
        <v>72</v>
      </c>
      <c r="AX753" t="s">
        <v>73</v>
      </c>
    </row>
    <row r="754" spans="1:50" x14ac:dyDescent="0.3">
      <c r="A754" t="str">
        <f>"200986C0100"</f>
        <v>200986C0100</v>
      </c>
      <c r="B754" t="str">
        <f>"200986C01002"</f>
        <v>200986C01002</v>
      </c>
      <c r="C754" t="str">
        <f t="shared" si="32"/>
        <v>20</v>
      </c>
      <c r="D754" t="s">
        <v>67</v>
      </c>
      <c r="E754" t="str">
        <f t="shared" si="31"/>
        <v>004</v>
      </c>
      <c r="F754" t="s">
        <v>725</v>
      </c>
      <c r="G754" t="str">
        <f>"0986"</f>
        <v>0986</v>
      </c>
      <c r="H754" t="str">
        <f>"0001"</f>
        <v>0001</v>
      </c>
      <c r="I754" t="s">
        <v>75</v>
      </c>
      <c r="J754">
        <v>0</v>
      </c>
      <c r="K754">
        <v>1</v>
      </c>
      <c r="L754">
        <v>2</v>
      </c>
      <c r="M754">
        <v>245</v>
      </c>
      <c r="N754">
        <v>418</v>
      </c>
      <c r="O754">
        <v>2</v>
      </c>
      <c r="P754">
        <v>418</v>
      </c>
      <c r="Q754">
        <v>10</v>
      </c>
      <c r="R754">
        <v>92</v>
      </c>
      <c r="S754">
        <v>5</v>
      </c>
      <c r="T754">
        <v>2</v>
      </c>
      <c r="U754">
        <v>5</v>
      </c>
      <c r="V754">
        <v>5</v>
      </c>
      <c r="W754">
        <v>14</v>
      </c>
      <c r="X754">
        <v>238</v>
      </c>
      <c r="Y754">
        <v>2</v>
      </c>
      <c r="Z754">
        <v>7</v>
      </c>
      <c r="AA754">
        <v>6</v>
      </c>
      <c r="AB754">
        <v>8</v>
      </c>
      <c r="AD754">
        <v>2</v>
      </c>
      <c r="AE754" t="s">
        <v>77</v>
      </c>
      <c r="AF754" t="s">
        <v>77</v>
      </c>
      <c r="AG754" t="s">
        <v>77</v>
      </c>
      <c r="AI754" t="s">
        <v>77</v>
      </c>
      <c r="AJ754" t="s">
        <v>77</v>
      </c>
      <c r="AK754">
        <v>418</v>
      </c>
      <c r="AL754">
        <v>396</v>
      </c>
      <c r="AM754">
        <v>619</v>
      </c>
      <c r="AN754">
        <v>44</v>
      </c>
      <c r="AO754" t="s">
        <v>78</v>
      </c>
      <c r="AP754">
        <v>1</v>
      </c>
      <c r="AR754" t="s">
        <v>838</v>
      </c>
      <c r="AS754" s="1">
        <v>44354.307638888888</v>
      </c>
      <c r="AT754" s="1">
        <v>44354.309965277775</v>
      </c>
      <c r="AU754" s="1">
        <v>44354.310543981483</v>
      </c>
      <c r="AV754" t="s">
        <v>71</v>
      </c>
      <c r="AW754" t="s">
        <v>72</v>
      </c>
      <c r="AX754" t="s">
        <v>73</v>
      </c>
    </row>
    <row r="755" spans="1:50" x14ac:dyDescent="0.3">
      <c r="A755" t="str">
        <f>"200987B0000"</f>
        <v>200987B0000</v>
      </c>
      <c r="B755" t="str">
        <f>"200987B00002"</f>
        <v>200987B00002</v>
      </c>
      <c r="C755" t="str">
        <f t="shared" si="32"/>
        <v>20</v>
      </c>
      <c r="D755" t="s">
        <v>67</v>
      </c>
      <c r="E755" t="str">
        <f t="shared" si="31"/>
        <v>004</v>
      </c>
      <c r="F755" t="s">
        <v>725</v>
      </c>
      <c r="G755" t="str">
        <f>"0987"</f>
        <v>0987</v>
      </c>
      <c r="H755" t="str">
        <f>"0000"</f>
        <v>0000</v>
      </c>
      <c r="I755" t="s">
        <v>69</v>
      </c>
      <c r="J755">
        <v>0</v>
      </c>
      <c r="K755">
        <v>1</v>
      </c>
      <c r="L755">
        <v>2</v>
      </c>
      <c r="M755">
        <v>206</v>
      </c>
      <c r="N755">
        <v>388</v>
      </c>
      <c r="O755">
        <v>5</v>
      </c>
      <c r="P755">
        <v>387</v>
      </c>
      <c r="Q755">
        <v>11</v>
      </c>
      <c r="R755">
        <v>77</v>
      </c>
      <c r="S755">
        <v>4</v>
      </c>
      <c r="T755">
        <v>3</v>
      </c>
      <c r="U755">
        <v>4</v>
      </c>
      <c r="V755">
        <v>0</v>
      </c>
      <c r="W755">
        <v>22</v>
      </c>
      <c r="X755">
        <v>237</v>
      </c>
      <c r="Y755">
        <v>3</v>
      </c>
      <c r="Z755">
        <v>4</v>
      </c>
      <c r="AA755">
        <v>3</v>
      </c>
      <c r="AB755">
        <v>10</v>
      </c>
      <c r="AD755">
        <v>0</v>
      </c>
      <c r="AE755">
        <v>0</v>
      </c>
      <c r="AF755">
        <v>0</v>
      </c>
      <c r="AG755">
        <v>0</v>
      </c>
      <c r="AI755">
        <v>0</v>
      </c>
      <c r="AJ755">
        <v>9</v>
      </c>
      <c r="AK755">
        <v>387</v>
      </c>
      <c r="AL755">
        <v>387</v>
      </c>
      <c r="AM755">
        <v>549</v>
      </c>
      <c r="AN755">
        <v>44</v>
      </c>
      <c r="AP755">
        <v>1</v>
      </c>
      <c r="AR755" t="s">
        <v>839</v>
      </c>
      <c r="AS755" s="1">
        <v>44354.300694444442</v>
      </c>
      <c r="AT755" s="1">
        <v>44354.303055555552</v>
      </c>
      <c r="AU755" s="1">
        <v>44354.303622685184</v>
      </c>
      <c r="AV755" t="s">
        <v>71</v>
      </c>
      <c r="AW755" t="s">
        <v>72</v>
      </c>
      <c r="AX755" t="s">
        <v>73</v>
      </c>
    </row>
    <row r="756" spans="1:50" x14ac:dyDescent="0.3">
      <c r="A756" t="str">
        <f>"200987C0100"</f>
        <v>200987C0100</v>
      </c>
      <c r="B756" t="str">
        <f>"200987C01002"</f>
        <v>200987C01002</v>
      </c>
      <c r="C756" t="str">
        <f t="shared" si="32"/>
        <v>20</v>
      </c>
      <c r="D756" t="s">
        <v>67</v>
      </c>
      <c r="E756" t="str">
        <f t="shared" si="31"/>
        <v>004</v>
      </c>
      <c r="F756" t="s">
        <v>725</v>
      </c>
      <c r="G756" t="str">
        <f>"0987"</f>
        <v>0987</v>
      </c>
      <c r="H756" t="str">
        <f>"0001"</f>
        <v>0001</v>
      </c>
      <c r="I756" t="s">
        <v>75</v>
      </c>
      <c r="J756">
        <v>0</v>
      </c>
      <c r="K756">
        <v>1</v>
      </c>
      <c r="L756">
        <v>2</v>
      </c>
      <c r="M756">
        <v>201</v>
      </c>
      <c r="N756">
        <v>391</v>
      </c>
      <c r="O756">
        <v>3</v>
      </c>
      <c r="P756">
        <v>391</v>
      </c>
      <c r="Q756" t="s">
        <v>77</v>
      </c>
      <c r="R756">
        <v>79</v>
      </c>
      <c r="S756">
        <v>4</v>
      </c>
      <c r="T756">
        <v>4</v>
      </c>
      <c r="U756">
        <v>3</v>
      </c>
      <c r="V756">
        <v>3</v>
      </c>
      <c r="W756">
        <v>18</v>
      </c>
      <c r="X756">
        <v>240</v>
      </c>
      <c r="Y756">
        <v>2</v>
      </c>
      <c r="Z756">
        <v>4</v>
      </c>
      <c r="AA756">
        <v>1</v>
      </c>
      <c r="AB756">
        <v>3</v>
      </c>
      <c r="AD756">
        <v>0</v>
      </c>
      <c r="AE756">
        <v>0</v>
      </c>
      <c r="AF756">
        <v>0</v>
      </c>
      <c r="AG756">
        <v>1</v>
      </c>
      <c r="AI756">
        <v>0</v>
      </c>
      <c r="AJ756">
        <v>18</v>
      </c>
      <c r="AK756" t="s">
        <v>99</v>
      </c>
      <c r="AL756">
        <v>380</v>
      </c>
      <c r="AM756">
        <v>548</v>
      </c>
      <c r="AN756">
        <v>44</v>
      </c>
      <c r="AO756" t="s">
        <v>78</v>
      </c>
      <c r="AP756">
        <v>1</v>
      </c>
      <c r="AR756" t="s">
        <v>840</v>
      </c>
      <c r="AS756" s="1">
        <v>44354.300694444442</v>
      </c>
      <c r="AT756" s="1">
        <v>44354.305393518516</v>
      </c>
      <c r="AU756" s="1">
        <v>44354.306168981479</v>
      </c>
      <c r="AV756" t="s">
        <v>71</v>
      </c>
      <c r="AW756" t="s">
        <v>72</v>
      </c>
      <c r="AX756" t="s">
        <v>73</v>
      </c>
    </row>
    <row r="757" spans="1:50" x14ac:dyDescent="0.3">
      <c r="A757" t="str">
        <f>"200987C0200"</f>
        <v>200987C0200</v>
      </c>
      <c r="B757" t="str">
        <f>"200987C02002"</f>
        <v>200987C02002</v>
      </c>
      <c r="C757" t="str">
        <f t="shared" si="32"/>
        <v>20</v>
      </c>
      <c r="D757" t="s">
        <v>67</v>
      </c>
      <c r="E757" t="str">
        <f t="shared" si="31"/>
        <v>004</v>
      </c>
      <c r="F757" t="s">
        <v>725</v>
      </c>
      <c r="G757" t="str">
        <f>"0987"</f>
        <v>0987</v>
      </c>
      <c r="H757" t="str">
        <f>"0002"</f>
        <v>0002</v>
      </c>
      <c r="I757" t="s">
        <v>75</v>
      </c>
      <c r="J757">
        <v>0</v>
      </c>
      <c r="K757">
        <v>1</v>
      </c>
      <c r="L757">
        <v>2</v>
      </c>
      <c r="M757">
        <v>222</v>
      </c>
      <c r="N757">
        <v>370</v>
      </c>
      <c r="O757">
        <v>0</v>
      </c>
      <c r="P757">
        <v>370</v>
      </c>
      <c r="Q757">
        <v>11</v>
      </c>
      <c r="R757">
        <v>84</v>
      </c>
      <c r="S757">
        <v>7</v>
      </c>
      <c r="T757">
        <v>2</v>
      </c>
      <c r="U757">
        <v>8</v>
      </c>
      <c r="V757">
        <v>4</v>
      </c>
      <c r="W757">
        <v>14</v>
      </c>
      <c r="X757">
        <v>203</v>
      </c>
      <c r="Y757">
        <v>2</v>
      </c>
      <c r="Z757">
        <v>0</v>
      </c>
      <c r="AA757">
        <v>3</v>
      </c>
      <c r="AB757">
        <v>0</v>
      </c>
      <c r="AD757">
        <v>0</v>
      </c>
      <c r="AE757">
        <v>0</v>
      </c>
      <c r="AF757">
        <v>0</v>
      </c>
      <c r="AG757">
        <v>0</v>
      </c>
      <c r="AI757">
        <v>0</v>
      </c>
      <c r="AJ757">
        <v>23</v>
      </c>
      <c r="AK757">
        <v>370</v>
      </c>
      <c r="AL757">
        <v>361</v>
      </c>
      <c r="AM757">
        <v>548</v>
      </c>
      <c r="AN757">
        <v>44</v>
      </c>
      <c r="AP757">
        <v>1</v>
      </c>
      <c r="AR757" t="s">
        <v>841</v>
      </c>
      <c r="AS757" s="1">
        <v>44354.318055555559</v>
      </c>
      <c r="AT757" s="1">
        <v>44354.665810185186</v>
      </c>
      <c r="AU757" s="1">
        <v>44354.667002314818</v>
      </c>
      <c r="AV757" t="s">
        <v>71</v>
      </c>
      <c r="AW757" t="s">
        <v>72</v>
      </c>
      <c r="AX757" t="s">
        <v>73</v>
      </c>
    </row>
    <row r="758" spans="1:50" x14ac:dyDescent="0.3">
      <c r="A758" t="str">
        <f>"200988B0000"</f>
        <v>200988B0000</v>
      </c>
      <c r="B758" t="str">
        <f>"200988B00002"</f>
        <v>200988B00002</v>
      </c>
      <c r="C758" t="str">
        <f t="shared" si="32"/>
        <v>20</v>
      </c>
      <c r="D758" t="s">
        <v>67</v>
      </c>
      <c r="E758" t="str">
        <f t="shared" si="31"/>
        <v>004</v>
      </c>
      <c r="F758" t="s">
        <v>725</v>
      </c>
      <c r="G758" t="str">
        <f>"0988"</f>
        <v>0988</v>
      </c>
      <c r="H758" t="str">
        <f>"0000"</f>
        <v>0000</v>
      </c>
      <c r="I758" t="s">
        <v>69</v>
      </c>
      <c r="J758">
        <v>0</v>
      </c>
      <c r="K758">
        <v>1</v>
      </c>
      <c r="L758">
        <v>2</v>
      </c>
      <c r="M758">
        <v>172</v>
      </c>
      <c r="N758">
        <v>358</v>
      </c>
      <c r="O758">
        <v>5</v>
      </c>
      <c r="P758">
        <v>358</v>
      </c>
      <c r="Q758">
        <v>7</v>
      </c>
      <c r="R758">
        <v>76</v>
      </c>
      <c r="S758">
        <v>2</v>
      </c>
      <c r="T758">
        <v>1</v>
      </c>
      <c r="U758">
        <v>2</v>
      </c>
      <c r="V758">
        <v>2</v>
      </c>
      <c r="W758">
        <v>9</v>
      </c>
      <c r="X758">
        <v>234</v>
      </c>
      <c r="Y758">
        <v>1</v>
      </c>
      <c r="Z758">
        <v>1</v>
      </c>
      <c r="AA758">
        <v>2</v>
      </c>
      <c r="AB758">
        <v>7</v>
      </c>
      <c r="AD758">
        <v>0</v>
      </c>
      <c r="AE758">
        <v>1</v>
      </c>
      <c r="AF758">
        <v>0</v>
      </c>
      <c r="AG758">
        <v>1</v>
      </c>
      <c r="AI758">
        <v>0</v>
      </c>
      <c r="AJ758">
        <v>12</v>
      </c>
      <c r="AK758">
        <v>358</v>
      </c>
      <c r="AL758">
        <v>358</v>
      </c>
      <c r="AM758">
        <v>486</v>
      </c>
      <c r="AN758">
        <v>44</v>
      </c>
      <c r="AP758">
        <v>1</v>
      </c>
      <c r="AR758" t="s">
        <v>842</v>
      </c>
      <c r="AS758" s="1">
        <v>44354.310416666667</v>
      </c>
      <c r="AT758" s="1">
        <v>44354.312534722223</v>
      </c>
      <c r="AU758" s="1">
        <v>44354.313090277778</v>
      </c>
      <c r="AV758" t="s">
        <v>71</v>
      </c>
      <c r="AW758" t="s">
        <v>72</v>
      </c>
      <c r="AX758" t="s">
        <v>73</v>
      </c>
    </row>
    <row r="759" spans="1:50" x14ac:dyDescent="0.3">
      <c r="A759" t="str">
        <f>"200988C0100"</f>
        <v>200988C0100</v>
      </c>
      <c r="B759" t="str">
        <f>"200988C01002"</f>
        <v>200988C01002</v>
      </c>
      <c r="C759" t="str">
        <f t="shared" si="32"/>
        <v>20</v>
      </c>
      <c r="D759" t="s">
        <v>67</v>
      </c>
      <c r="E759" t="str">
        <f t="shared" si="31"/>
        <v>004</v>
      </c>
      <c r="F759" t="s">
        <v>725</v>
      </c>
      <c r="G759" t="str">
        <f>"0988"</f>
        <v>0988</v>
      </c>
      <c r="H759" t="str">
        <f>"0001"</f>
        <v>0001</v>
      </c>
      <c r="I759" t="s">
        <v>75</v>
      </c>
      <c r="J759">
        <v>0</v>
      </c>
      <c r="K759">
        <v>1</v>
      </c>
      <c r="L759">
        <v>2</v>
      </c>
      <c r="M759">
        <v>195</v>
      </c>
      <c r="N759">
        <v>334</v>
      </c>
      <c r="O759">
        <v>8</v>
      </c>
      <c r="P759">
        <v>334</v>
      </c>
      <c r="Q759">
        <v>9</v>
      </c>
      <c r="R759">
        <v>70</v>
      </c>
      <c r="S759">
        <v>5</v>
      </c>
      <c r="T759">
        <v>1</v>
      </c>
      <c r="U759">
        <v>3</v>
      </c>
      <c r="V759">
        <v>2</v>
      </c>
      <c r="W759">
        <v>11</v>
      </c>
      <c r="X759">
        <v>205</v>
      </c>
      <c r="Y759">
        <v>4</v>
      </c>
      <c r="Z759">
        <v>3</v>
      </c>
      <c r="AA759">
        <v>2</v>
      </c>
      <c r="AB759">
        <v>6</v>
      </c>
      <c r="AD759">
        <v>1</v>
      </c>
      <c r="AE759" t="s">
        <v>77</v>
      </c>
      <c r="AF759">
        <v>1</v>
      </c>
      <c r="AG759" t="s">
        <v>77</v>
      </c>
      <c r="AI759" t="s">
        <v>77</v>
      </c>
      <c r="AJ759">
        <v>11</v>
      </c>
      <c r="AK759">
        <v>334</v>
      </c>
      <c r="AL759">
        <v>334</v>
      </c>
      <c r="AM759">
        <v>485</v>
      </c>
      <c r="AN759">
        <v>44</v>
      </c>
      <c r="AO759" t="s">
        <v>78</v>
      </c>
      <c r="AP759">
        <v>1</v>
      </c>
      <c r="AR759" t="s">
        <v>843</v>
      </c>
      <c r="AS759" s="1">
        <v>44354.301388888889</v>
      </c>
      <c r="AT759" s="1">
        <v>44354.304282407407</v>
      </c>
      <c r="AU759" s="1">
        <v>44354.304861111108</v>
      </c>
      <c r="AV759" t="s">
        <v>71</v>
      </c>
      <c r="AW759" t="s">
        <v>72</v>
      </c>
      <c r="AX759" t="s">
        <v>73</v>
      </c>
    </row>
    <row r="760" spans="1:50" x14ac:dyDescent="0.3">
      <c r="A760" t="str">
        <f>"200988S0100"</f>
        <v>200988S0100</v>
      </c>
      <c r="B760" t="str">
        <f>"200988S01002EMR"</f>
        <v>200988S01002EMR</v>
      </c>
      <c r="C760" t="str">
        <f t="shared" si="32"/>
        <v>20</v>
      </c>
      <c r="D760" t="s">
        <v>67</v>
      </c>
      <c r="E760" t="str">
        <f t="shared" si="31"/>
        <v>004</v>
      </c>
      <c r="F760" t="s">
        <v>725</v>
      </c>
      <c r="G760" t="str">
        <f>"0988"</f>
        <v>0988</v>
      </c>
      <c r="H760" t="str">
        <f>"0001"</f>
        <v>0001</v>
      </c>
      <c r="I760" t="s">
        <v>85</v>
      </c>
      <c r="J760">
        <v>0</v>
      </c>
      <c r="K760">
        <v>1</v>
      </c>
      <c r="L760" t="s">
        <v>86</v>
      </c>
      <c r="M760">
        <v>802</v>
      </c>
      <c r="N760">
        <v>198</v>
      </c>
      <c r="O760">
        <v>0</v>
      </c>
      <c r="P760">
        <v>198</v>
      </c>
      <c r="Q760">
        <v>7</v>
      </c>
      <c r="R760">
        <v>26</v>
      </c>
      <c r="S760">
        <v>3</v>
      </c>
      <c r="T760">
        <v>3</v>
      </c>
      <c r="U760">
        <v>3</v>
      </c>
      <c r="V760">
        <v>2</v>
      </c>
      <c r="W760">
        <v>8</v>
      </c>
      <c r="X760">
        <v>136</v>
      </c>
      <c r="Y760">
        <v>1</v>
      </c>
      <c r="Z760">
        <v>1</v>
      </c>
      <c r="AA760">
        <v>0</v>
      </c>
      <c r="AB760">
        <v>1</v>
      </c>
      <c r="AD760">
        <v>0</v>
      </c>
      <c r="AE760">
        <v>0</v>
      </c>
      <c r="AF760">
        <v>0</v>
      </c>
      <c r="AG760">
        <v>0</v>
      </c>
      <c r="AI760">
        <v>0</v>
      </c>
      <c r="AJ760">
        <v>6</v>
      </c>
      <c r="AK760">
        <v>198</v>
      </c>
      <c r="AL760">
        <v>197</v>
      </c>
      <c r="AM760">
        <v>0</v>
      </c>
      <c r="AN760">
        <v>44</v>
      </c>
      <c r="AP760">
        <v>1</v>
      </c>
      <c r="AR760" t="s">
        <v>844</v>
      </c>
      <c r="AS760" s="1">
        <v>44354.302083333336</v>
      </c>
      <c r="AT760" s="1">
        <v>44354.305879629632</v>
      </c>
      <c r="AU760" s="1">
        <v>44354.306539351855</v>
      </c>
      <c r="AV760" t="s">
        <v>71</v>
      </c>
      <c r="AW760" t="s">
        <v>72</v>
      </c>
      <c r="AX760" t="s">
        <v>73</v>
      </c>
    </row>
    <row r="761" spans="1:50" x14ac:dyDescent="0.3">
      <c r="A761" t="str">
        <f>"200989B0000"</f>
        <v>200989B0000</v>
      </c>
      <c r="B761" t="str">
        <f>"200989B00002"</f>
        <v>200989B00002</v>
      </c>
      <c r="C761" t="str">
        <f t="shared" si="32"/>
        <v>20</v>
      </c>
      <c r="D761" t="s">
        <v>67</v>
      </c>
      <c r="E761" t="str">
        <f t="shared" si="31"/>
        <v>004</v>
      </c>
      <c r="F761" t="s">
        <v>725</v>
      </c>
      <c r="G761" t="str">
        <f>"0989"</f>
        <v>0989</v>
      </c>
      <c r="H761" t="str">
        <f>"0000"</f>
        <v>0000</v>
      </c>
      <c r="I761" t="s">
        <v>69</v>
      </c>
      <c r="J761">
        <v>0</v>
      </c>
      <c r="K761">
        <v>1</v>
      </c>
      <c r="L761">
        <v>2</v>
      </c>
      <c r="M761">
        <v>171</v>
      </c>
      <c r="N761">
        <v>321</v>
      </c>
      <c r="O761">
        <v>11</v>
      </c>
      <c r="P761">
        <v>321</v>
      </c>
      <c r="Q761">
        <v>6</v>
      </c>
      <c r="R761">
        <v>157</v>
      </c>
      <c r="S761">
        <v>6</v>
      </c>
      <c r="T761">
        <v>0</v>
      </c>
      <c r="U761">
        <v>0</v>
      </c>
      <c r="V761">
        <v>0</v>
      </c>
      <c r="W761">
        <v>4</v>
      </c>
      <c r="X761">
        <v>110</v>
      </c>
      <c r="Y761">
        <v>27</v>
      </c>
      <c r="Z761">
        <v>3</v>
      </c>
      <c r="AA761">
        <v>2</v>
      </c>
      <c r="AB761">
        <v>0</v>
      </c>
      <c r="AD761">
        <v>0</v>
      </c>
      <c r="AE761">
        <v>0</v>
      </c>
      <c r="AF761">
        <v>0</v>
      </c>
      <c r="AG761">
        <v>0</v>
      </c>
      <c r="AI761">
        <v>0</v>
      </c>
      <c r="AJ761">
        <v>6</v>
      </c>
      <c r="AK761">
        <v>321</v>
      </c>
      <c r="AL761">
        <v>321</v>
      </c>
      <c r="AM761">
        <v>448</v>
      </c>
      <c r="AN761">
        <v>44</v>
      </c>
      <c r="AP761">
        <v>1</v>
      </c>
      <c r="AR761" t="s">
        <v>845</v>
      </c>
      <c r="AS761" s="1">
        <v>44354.289583333331</v>
      </c>
      <c r="AT761" s="1">
        <v>44354.291712962964</v>
      </c>
      <c r="AU761" s="1">
        <v>44354.292916666665</v>
      </c>
      <c r="AV761" t="s">
        <v>71</v>
      </c>
      <c r="AW761" t="s">
        <v>72</v>
      </c>
      <c r="AX761" t="s">
        <v>73</v>
      </c>
    </row>
    <row r="762" spans="1:50" x14ac:dyDescent="0.3">
      <c r="A762" t="str">
        <f>"200990B0000"</f>
        <v>200990B0000</v>
      </c>
      <c r="B762" t="str">
        <f>"200990B00002"</f>
        <v>200990B00002</v>
      </c>
      <c r="C762" t="str">
        <f t="shared" si="32"/>
        <v>20</v>
      </c>
      <c r="D762" t="s">
        <v>67</v>
      </c>
      <c r="E762" t="str">
        <f t="shared" si="31"/>
        <v>004</v>
      </c>
      <c r="F762" t="s">
        <v>725</v>
      </c>
      <c r="G762" t="str">
        <f>"0990"</f>
        <v>0990</v>
      </c>
      <c r="H762" t="str">
        <f>"0000"</f>
        <v>0000</v>
      </c>
      <c r="I762" t="s">
        <v>69</v>
      </c>
      <c r="J762">
        <v>0</v>
      </c>
      <c r="K762">
        <v>1</v>
      </c>
      <c r="L762">
        <v>2</v>
      </c>
      <c r="M762">
        <v>70</v>
      </c>
      <c r="N762">
        <v>193</v>
      </c>
      <c r="O762">
        <v>4</v>
      </c>
      <c r="P762">
        <v>193</v>
      </c>
      <c r="Q762">
        <v>8</v>
      </c>
      <c r="R762">
        <v>72</v>
      </c>
      <c r="S762">
        <v>31</v>
      </c>
      <c r="T762">
        <v>3</v>
      </c>
      <c r="U762">
        <v>2</v>
      </c>
      <c r="V762">
        <v>1</v>
      </c>
      <c r="W762">
        <v>1</v>
      </c>
      <c r="X762">
        <v>70</v>
      </c>
      <c r="Y762">
        <v>0</v>
      </c>
      <c r="Z762">
        <v>1</v>
      </c>
      <c r="AA762">
        <v>0</v>
      </c>
      <c r="AB762">
        <v>0</v>
      </c>
      <c r="AD762">
        <v>0</v>
      </c>
      <c r="AE762">
        <v>0</v>
      </c>
      <c r="AF762">
        <v>1</v>
      </c>
      <c r="AG762">
        <v>1</v>
      </c>
      <c r="AI762">
        <v>0</v>
      </c>
      <c r="AJ762">
        <v>2</v>
      </c>
      <c r="AK762">
        <v>193</v>
      </c>
      <c r="AL762">
        <v>193</v>
      </c>
      <c r="AM762">
        <v>219</v>
      </c>
      <c r="AN762">
        <v>44</v>
      </c>
      <c r="AP762">
        <v>1</v>
      </c>
      <c r="AR762" t="s">
        <v>846</v>
      </c>
      <c r="AS762" s="1">
        <v>44354.138888888891</v>
      </c>
      <c r="AT762" s="1">
        <v>44354.141608796293</v>
      </c>
      <c r="AU762" s="1">
        <v>44354.143206018518</v>
      </c>
      <c r="AV762" t="s">
        <v>71</v>
      </c>
      <c r="AW762" t="s">
        <v>72</v>
      </c>
      <c r="AX762" t="s">
        <v>73</v>
      </c>
    </row>
    <row r="763" spans="1:50" x14ac:dyDescent="0.3">
      <c r="A763" t="str">
        <f>"200991B0000"</f>
        <v>200991B0000</v>
      </c>
      <c r="B763" t="str">
        <f>"200991B00002"</f>
        <v>200991B00002</v>
      </c>
      <c r="C763" t="str">
        <f t="shared" si="32"/>
        <v>20</v>
      </c>
      <c r="D763" t="s">
        <v>67</v>
      </c>
      <c r="E763" t="str">
        <f t="shared" si="31"/>
        <v>004</v>
      </c>
      <c r="F763" t="s">
        <v>725</v>
      </c>
      <c r="G763" t="str">
        <f>"0991"</f>
        <v>0991</v>
      </c>
      <c r="H763" t="str">
        <f>"0000"</f>
        <v>0000</v>
      </c>
      <c r="I763" t="s">
        <v>69</v>
      </c>
      <c r="J763">
        <v>0</v>
      </c>
      <c r="K763">
        <v>1</v>
      </c>
      <c r="L763">
        <v>2</v>
      </c>
      <c r="M763">
        <v>92</v>
      </c>
      <c r="N763">
        <v>134</v>
      </c>
      <c r="O763">
        <v>0</v>
      </c>
      <c r="P763">
        <v>134</v>
      </c>
      <c r="Q763">
        <v>0</v>
      </c>
      <c r="R763">
        <v>72</v>
      </c>
      <c r="S763">
        <v>13</v>
      </c>
      <c r="T763">
        <v>0</v>
      </c>
      <c r="U763">
        <v>1</v>
      </c>
      <c r="V763">
        <v>0</v>
      </c>
      <c r="W763">
        <v>1</v>
      </c>
      <c r="X763">
        <v>42</v>
      </c>
      <c r="Y763">
        <v>0</v>
      </c>
      <c r="Z763">
        <v>0</v>
      </c>
      <c r="AA763">
        <v>1</v>
      </c>
      <c r="AB763">
        <v>0</v>
      </c>
      <c r="AD763">
        <v>0</v>
      </c>
      <c r="AE763">
        <v>0</v>
      </c>
      <c r="AF763">
        <v>0</v>
      </c>
      <c r="AG763">
        <v>0</v>
      </c>
      <c r="AI763">
        <v>0</v>
      </c>
      <c r="AJ763">
        <v>3</v>
      </c>
      <c r="AK763">
        <v>134</v>
      </c>
      <c r="AL763">
        <v>133</v>
      </c>
      <c r="AM763">
        <v>182</v>
      </c>
      <c r="AN763">
        <v>44</v>
      </c>
      <c r="AP763">
        <v>1</v>
      </c>
      <c r="AR763" t="s">
        <v>847</v>
      </c>
      <c r="AS763" s="1">
        <v>44354.347222222219</v>
      </c>
      <c r="AT763" s="1">
        <v>44354.349641203706</v>
      </c>
      <c r="AU763" s="1">
        <v>44354.350023148145</v>
      </c>
      <c r="AV763" t="s">
        <v>71</v>
      </c>
      <c r="AW763" t="s">
        <v>72</v>
      </c>
      <c r="AX763" t="s">
        <v>73</v>
      </c>
    </row>
    <row r="764" spans="1:50" x14ac:dyDescent="0.3">
      <c r="A764" t="str">
        <f>"200992B0000"</f>
        <v>200992B0000</v>
      </c>
      <c r="B764" t="str">
        <f>"200992B00002"</f>
        <v>200992B00002</v>
      </c>
      <c r="C764" t="str">
        <f t="shared" si="32"/>
        <v>20</v>
      </c>
      <c r="D764" t="s">
        <v>67</v>
      </c>
      <c r="E764" t="str">
        <f t="shared" si="31"/>
        <v>004</v>
      </c>
      <c r="F764" t="s">
        <v>725</v>
      </c>
      <c r="G764" t="str">
        <f>"0992"</f>
        <v>0992</v>
      </c>
      <c r="H764" t="str">
        <f>"0000"</f>
        <v>0000</v>
      </c>
      <c r="I764" t="s">
        <v>69</v>
      </c>
      <c r="J764">
        <v>0</v>
      </c>
      <c r="K764">
        <v>1</v>
      </c>
      <c r="L764">
        <v>2</v>
      </c>
      <c r="M764">
        <v>87</v>
      </c>
      <c r="N764">
        <v>121</v>
      </c>
      <c r="O764">
        <v>3</v>
      </c>
      <c r="P764">
        <v>121</v>
      </c>
      <c r="Q764">
        <v>4</v>
      </c>
      <c r="R764">
        <v>33</v>
      </c>
      <c r="S764">
        <v>1</v>
      </c>
      <c r="T764">
        <v>1</v>
      </c>
      <c r="U764">
        <v>3</v>
      </c>
      <c r="V764">
        <v>1</v>
      </c>
      <c r="W764">
        <v>10</v>
      </c>
      <c r="X764">
        <v>59</v>
      </c>
      <c r="Y764">
        <v>0</v>
      </c>
      <c r="Z764">
        <v>0</v>
      </c>
      <c r="AA764">
        <v>0</v>
      </c>
      <c r="AB764">
        <v>2</v>
      </c>
      <c r="AD764">
        <v>4</v>
      </c>
      <c r="AE764">
        <v>0</v>
      </c>
      <c r="AF764">
        <v>0</v>
      </c>
      <c r="AG764">
        <v>0</v>
      </c>
      <c r="AI764">
        <v>0</v>
      </c>
      <c r="AJ764">
        <v>3</v>
      </c>
      <c r="AK764">
        <v>121</v>
      </c>
      <c r="AL764">
        <v>121</v>
      </c>
      <c r="AM764">
        <v>164</v>
      </c>
      <c r="AN764">
        <v>44</v>
      </c>
      <c r="AP764">
        <v>1</v>
      </c>
      <c r="AR764" t="s">
        <v>848</v>
      </c>
      <c r="AS764" s="1">
        <v>44354.100694444445</v>
      </c>
      <c r="AT764" s="1">
        <v>44354.103680555556</v>
      </c>
      <c r="AU764" s="1">
        <v>44354.10465277778</v>
      </c>
      <c r="AV764" t="s">
        <v>71</v>
      </c>
      <c r="AW764" t="s">
        <v>72</v>
      </c>
      <c r="AX764" t="s">
        <v>73</v>
      </c>
    </row>
    <row r="765" spans="1:50" x14ac:dyDescent="0.3">
      <c r="A765" t="str">
        <f>"200992E0100"</f>
        <v>200992E0100</v>
      </c>
      <c r="B765" t="str">
        <f>"200992E01002"</f>
        <v>200992E01002</v>
      </c>
      <c r="C765" t="str">
        <f t="shared" si="32"/>
        <v>20</v>
      </c>
      <c r="D765" t="s">
        <v>67</v>
      </c>
      <c r="E765" t="str">
        <f t="shared" si="31"/>
        <v>004</v>
      </c>
      <c r="F765" t="s">
        <v>725</v>
      </c>
      <c r="G765" t="str">
        <f>"0992"</f>
        <v>0992</v>
      </c>
      <c r="H765" t="str">
        <f>"0001"</f>
        <v>0001</v>
      </c>
      <c r="I765" t="s">
        <v>109</v>
      </c>
      <c r="J765">
        <v>0</v>
      </c>
      <c r="K765">
        <v>1</v>
      </c>
      <c r="L765">
        <v>2</v>
      </c>
      <c r="M765">
        <v>74</v>
      </c>
      <c r="N765">
        <v>177</v>
      </c>
      <c r="O765">
        <v>10</v>
      </c>
      <c r="P765">
        <v>177</v>
      </c>
      <c r="Q765">
        <v>9</v>
      </c>
      <c r="R765">
        <v>50</v>
      </c>
      <c r="S765">
        <v>4</v>
      </c>
      <c r="T765">
        <v>1</v>
      </c>
      <c r="U765">
        <v>1</v>
      </c>
      <c r="V765">
        <v>1</v>
      </c>
      <c r="W765">
        <v>3</v>
      </c>
      <c r="X765">
        <v>90</v>
      </c>
      <c r="Y765">
        <v>0</v>
      </c>
      <c r="Z765">
        <v>0</v>
      </c>
      <c r="AA765">
        <v>0</v>
      </c>
      <c r="AB765">
        <v>2</v>
      </c>
      <c r="AD765">
        <v>0</v>
      </c>
      <c r="AE765">
        <v>2</v>
      </c>
      <c r="AF765">
        <v>0</v>
      </c>
      <c r="AG765">
        <v>0</v>
      </c>
      <c r="AI765">
        <v>0</v>
      </c>
      <c r="AJ765">
        <v>14</v>
      </c>
      <c r="AK765">
        <v>177</v>
      </c>
      <c r="AL765">
        <v>177</v>
      </c>
      <c r="AM765">
        <v>207</v>
      </c>
      <c r="AN765">
        <v>44</v>
      </c>
      <c r="AP765">
        <v>1</v>
      </c>
      <c r="AR765" s="2" t="s">
        <v>849</v>
      </c>
      <c r="AS765" s="1">
        <v>44354.099305555559</v>
      </c>
      <c r="AT765" s="1">
        <v>44354.101458333331</v>
      </c>
      <c r="AU765" s="1">
        <v>44354.101956018516</v>
      </c>
      <c r="AV765" t="s">
        <v>71</v>
      </c>
      <c r="AW765" t="s">
        <v>72</v>
      </c>
      <c r="AX765" t="s">
        <v>73</v>
      </c>
    </row>
    <row r="766" spans="1:50" x14ac:dyDescent="0.3">
      <c r="A766" t="str">
        <f>"200993B0000"</f>
        <v>200993B0000</v>
      </c>
      <c r="B766" t="str">
        <f>"200993B00002"</f>
        <v>200993B00002</v>
      </c>
      <c r="C766" t="str">
        <f t="shared" si="32"/>
        <v>20</v>
      </c>
      <c r="D766" t="s">
        <v>67</v>
      </c>
      <c r="E766" t="str">
        <f t="shared" si="31"/>
        <v>004</v>
      </c>
      <c r="F766" t="s">
        <v>725</v>
      </c>
      <c r="G766" t="str">
        <f>"0993"</f>
        <v>0993</v>
      </c>
      <c r="H766" t="str">
        <f>"0000"</f>
        <v>0000</v>
      </c>
      <c r="I766" t="s">
        <v>69</v>
      </c>
      <c r="J766">
        <v>0</v>
      </c>
      <c r="K766">
        <v>1</v>
      </c>
      <c r="L766">
        <v>2</v>
      </c>
      <c r="M766">
        <v>132</v>
      </c>
      <c r="N766">
        <v>336</v>
      </c>
      <c r="O766">
        <v>4</v>
      </c>
      <c r="P766">
        <v>336</v>
      </c>
      <c r="Q766">
        <v>3</v>
      </c>
      <c r="R766">
        <v>127</v>
      </c>
      <c r="S766">
        <v>8</v>
      </c>
      <c r="T766">
        <v>1</v>
      </c>
      <c r="U766">
        <v>0</v>
      </c>
      <c r="V766">
        <v>3</v>
      </c>
      <c r="W766">
        <v>7</v>
      </c>
      <c r="X766">
        <v>170</v>
      </c>
      <c r="Y766">
        <v>0</v>
      </c>
      <c r="Z766">
        <v>0</v>
      </c>
      <c r="AA766">
        <v>4</v>
      </c>
      <c r="AB766">
        <v>2</v>
      </c>
      <c r="AD766">
        <v>2</v>
      </c>
      <c r="AE766">
        <v>0</v>
      </c>
      <c r="AF766">
        <v>0</v>
      </c>
      <c r="AG766">
        <v>1</v>
      </c>
      <c r="AI766">
        <v>0</v>
      </c>
      <c r="AJ766">
        <v>8</v>
      </c>
      <c r="AK766">
        <v>336</v>
      </c>
      <c r="AL766">
        <v>336</v>
      </c>
      <c r="AM766">
        <v>424</v>
      </c>
      <c r="AN766">
        <v>44</v>
      </c>
      <c r="AP766">
        <v>1</v>
      </c>
      <c r="AR766" t="s">
        <v>850</v>
      </c>
      <c r="AS766" s="1">
        <v>44354.095138888886</v>
      </c>
      <c r="AT766" s="1">
        <v>44354.09878472222</v>
      </c>
      <c r="AU766" s="1">
        <v>44354.099641203706</v>
      </c>
      <c r="AV766" t="s">
        <v>71</v>
      </c>
      <c r="AW766" t="s">
        <v>72</v>
      </c>
      <c r="AX766" t="s">
        <v>73</v>
      </c>
    </row>
    <row r="767" spans="1:50" x14ac:dyDescent="0.3">
      <c r="A767" t="str">
        <f>"200993C0100"</f>
        <v>200993C0100</v>
      </c>
      <c r="B767" t="str">
        <f>"200993C01002"</f>
        <v>200993C01002</v>
      </c>
      <c r="C767" t="str">
        <f t="shared" si="32"/>
        <v>20</v>
      </c>
      <c r="D767" t="s">
        <v>67</v>
      </c>
      <c r="E767" t="str">
        <f t="shared" si="31"/>
        <v>004</v>
      </c>
      <c r="F767" t="s">
        <v>725</v>
      </c>
      <c r="G767" t="str">
        <f>"0993"</f>
        <v>0993</v>
      </c>
      <c r="H767" t="str">
        <f>"0001"</f>
        <v>0001</v>
      </c>
      <c r="I767" t="s">
        <v>75</v>
      </c>
      <c r="J767">
        <v>0</v>
      </c>
      <c r="K767">
        <v>1</v>
      </c>
      <c r="L767">
        <v>2</v>
      </c>
      <c r="M767">
        <v>149</v>
      </c>
      <c r="N767">
        <v>318</v>
      </c>
      <c r="O767">
        <v>0</v>
      </c>
      <c r="P767">
        <v>318</v>
      </c>
      <c r="Q767">
        <v>8</v>
      </c>
      <c r="R767">
        <v>123</v>
      </c>
      <c r="S767">
        <v>2</v>
      </c>
      <c r="T767">
        <v>0</v>
      </c>
      <c r="U767">
        <v>1</v>
      </c>
      <c r="V767">
        <v>1</v>
      </c>
      <c r="W767">
        <v>7</v>
      </c>
      <c r="X767">
        <v>159</v>
      </c>
      <c r="Y767">
        <v>0</v>
      </c>
      <c r="Z767">
        <v>4</v>
      </c>
      <c r="AA767">
        <v>3</v>
      </c>
      <c r="AB767">
        <v>2</v>
      </c>
      <c r="AD767">
        <v>1</v>
      </c>
      <c r="AE767">
        <v>2</v>
      </c>
      <c r="AF767">
        <v>0</v>
      </c>
      <c r="AG767">
        <v>0</v>
      </c>
      <c r="AI767">
        <v>0</v>
      </c>
      <c r="AJ767">
        <v>5</v>
      </c>
      <c r="AK767">
        <v>318</v>
      </c>
      <c r="AL767">
        <v>318</v>
      </c>
      <c r="AM767">
        <v>423</v>
      </c>
      <c r="AN767">
        <v>44</v>
      </c>
      <c r="AP767">
        <v>1</v>
      </c>
      <c r="AR767" t="s">
        <v>851</v>
      </c>
      <c r="AS767" s="1">
        <v>44354.128472222219</v>
      </c>
      <c r="AT767" s="1">
        <v>44354.130555555559</v>
      </c>
      <c r="AU767" s="1">
        <v>44354.131226851852</v>
      </c>
      <c r="AV767" t="s">
        <v>71</v>
      </c>
      <c r="AW767" t="s">
        <v>72</v>
      </c>
      <c r="AX767" t="s">
        <v>73</v>
      </c>
    </row>
    <row r="768" spans="1:50" x14ac:dyDescent="0.3">
      <c r="A768" t="str">
        <f>"200994B0000"</f>
        <v>200994B0000</v>
      </c>
      <c r="B768" t="str">
        <f>"200994B00002"</f>
        <v>200994B00002</v>
      </c>
      <c r="C768" t="str">
        <f t="shared" si="32"/>
        <v>20</v>
      </c>
      <c r="D768" t="s">
        <v>67</v>
      </c>
      <c r="E768" t="str">
        <f t="shared" si="31"/>
        <v>004</v>
      </c>
      <c r="F768" t="s">
        <v>725</v>
      </c>
      <c r="G768" t="str">
        <f>"0994"</f>
        <v>0994</v>
      </c>
      <c r="H768" t="str">
        <f t="shared" ref="H768:H774" si="33">"0000"</f>
        <v>0000</v>
      </c>
      <c r="I768" t="s">
        <v>69</v>
      </c>
      <c r="J768">
        <v>0</v>
      </c>
      <c r="K768">
        <v>1</v>
      </c>
      <c r="L768">
        <v>2</v>
      </c>
      <c r="M768">
        <v>187</v>
      </c>
      <c r="N768">
        <v>390</v>
      </c>
      <c r="O768">
        <v>7</v>
      </c>
      <c r="P768">
        <v>390</v>
      </c>
      <c r="Q768">
        <v>17</v>
      </c>
      <c r="R768">
        <v>169</v>
      </c>
      <c r="S768">
        <v>15</v>
      </c>
      <c r="T768">
        <v>2</v>
      </c>
      <c r="U768">
        <v>5</v>
      </c>
      <c r="V768">
        <v>2</v>
      </c>
      <c r="W768">
        <v>14</v>
      </c>
      <c r="X768">
        <v>106</v>
      </c>
      <c r="Y768">
        <v>9</v>
      </c>
      <c r="Z768">
        <v>5</v>
      </c>
      <c r="AA768">
        <v>2</v>
      </c>
      <c r="AB768">
        <v>12</v>
      </c>
      <c r="AD768">
        <v>2</v>
      </c>
      <c r="AE768">
        <v>3</v>
      </c>
      <c r="AF768">
        <v>0</v>
      </c>
      <c r="AG768">
        <v>2</v>
      </c>
      <c r="AI768">
        <v>0</v>
      </c>
      <c r="AJ768">
        <v>25</v>
      </c>
      <c r="AK768">
        <v>390</v>
      </c>
      <c r="AL768">
        <v>390</v>
      </c>
      <c r="AM768">
        <v>533</v>
      </c>
      <c r="AN768">
        <v>44</v>
      </c>
      <c r="AP768">
        <v>1</v>
      </c>
      <c r="AR768" t="s">
        <v>852</v>
      </c>
      <c r="AS768" s="1">
        <v>44354.285416666666</v>
      </c>
      <c r="AT768" s="1">
        <v>44354.287627314814</v>
      </c>
      <c r="AU768" s="1">
        <v>44354.288402777776</v>
      </c>
      <c r="AV768" t="s">
        <v>71</v>
      </c>
      <c r="AW768" t="s">
        <v>72</v>
      </c>
      <c r="AX768" t="s">
        <v>73</v>
      </c>
    </row>
    <row r="769" spans="1:50" x14ac:dyDescent="0.3">
      <c r="A769" t="str">
        <f>"200995B0000"</f>
        <v>200995B0000</v>
      </c>
      <c r="B769" t="str">
        <f>"200995B00002"</f>
        <v>200995B00002</v>
      </c>
      <c r="C769" t="str">
        <f t="shared" si="32"/>
        <v>20</v>
      </c>
      <c r="D769" t="s">
        <v>67</v>
      </c>
      <c r="E769" t="str">
        <f t="shared" si="31"/>
        <v>004</v>
      </c>
      <c r="F769" t="s">
        <v>725</v>
      </c>
      <c r="G769" t="str">
        <f>"0995"</f>
        <v>0995</v>
      </c>
      <c r="H769" t="str">
        <f t="shared" si="33"/>
        <v>0000</v>
      </c>
      <c r="I769" t="s">
        <v>69</v>
      </c>
      <c r="J769">
        <v>0</v>
      </c>
      <c r="K769">
        <v>1</v>
      </c>
      <c r="L769">
        <v>2</v>
      </c>
      <c r="M769">
        <v>175</v>
      </c>
      <c r="N769">
        <v>413</v>
      </c>
      <c r="O769">
        <v>11</v>
      </c>
      <c r="P769">
        <v>413</v>
      </c>
      <c r="Q769">
        <v>13</v>
      </c>
      <c r="R769">
        <v>161</v>
      </c>
      <c r="S769">
        <v>2</v>
      </c>
      <c r="T769">
        <v>3</v>
      </c>
      <c r="U769">
        <v>7</v>
      </c>
      <c r="V769">
        <v>3</v>
      </c>
      <c r="W769">
        <v>18</v>
      </c>
      <c r="X769">
        <v>180</v>
      </c>
      <c r="Y769">
        <v>1</v>
      </c>
      <c r="Z769">
        <v>0</v>
      </c>
      <c r="AA769">
        <v>0</v>
      </c>
      <c r="AB769">
        <v>2</v>
      </c>
      <c r="AD769">
        <v>1</v>
      </c>
      <c r="AE769">
        <v>0</v>
      </c>
      <c r="AF769">
        <v>0</v>
      </c>
      <c r="AG769">
        <v>0</v>
      </c>
      <c r="AI769">
        <v>0</v>
      </c>
      <c r="AJ769">
        <v>23</v>
      </c>
      <c r="AK769">
        <v>413</v>
      </c>
      <c r="AL769">
        <v>414</v>
      </c>
      <c r="AM769">
        <v>544</v>
      </c>
      <c r="AN769">
        <v>44</v>
      </c>
      <c r="AP769">
        <v>1</v>
      </c>
      <c r="AR769" t="s">
        <v>853</v>
      </c>
      <c r="AS769" s="1">
        <v>44354.294444444444</v>
      </c>
      <c r="AT769" s="1">
        <v>44354.299814814818</v>
      </c>
      <c r="AU769" s="1">
        <v>44354.300150462965</v>
      </c>
      <c r="AV769" t="s">
        <v>71</v>
      </c>
      <c r="AW769" t="s">
        <v>72</v>
      </c>
      <c r="AX769" t="s">
        <v>73</v>
      </c>
    </row>
    <row r="770" spans="1:50" x14ac:dyDescent="0.3">
      <c r="A770" t="str">
        <f>"200996B0000"</f>
        <v>200996B0000</v>
      </c>
      <c r="B770" t="str">
        <f>"200996B00002"</f>
        <v>200996B00002</v>
      </c>
      <c r="C770" t="str">
        <f t="shared" si="32"/>
        <v>20</v>
      </c>
      <c r="D770" t="s">
        <v>67</v>
      </c>
      <c r="E770" t="str">
        <f t="shared" ref="E770:E833" si="34">"004"</f>
        <v>004</v>
      </c>
      <c r="F770" t="s">
        <v>725</v>
      </c>
      <c r="G770" t="str">
        <f>"0996"</f>
        <v>0996</v>
      </c>
      <c r="H770" t="str">
        <f t="shared" si="33"/>
        <v>0000</v>
      </c>
      <c r="I770" t="s">
        <v>69</v>
      </c>
      <c r="J770">
        <v>0</v>
      </c>
      <c r="K770">
        <v>1</v>
      </c>
      <c r="L770">
        <v>2</v>
      </c>
      <c r="M770">
        <v>112</v>
      </c>
      <c r="N770">
        <v>199</v>
      </c>
      <c r="O770">
        <v>12</v>
      </c>
      <c r="P770">
        <v>199</v>
      </c>
      <c r="Q770">
        <v>19</v>
      </c>
      <c r="R770">
        <v>81</v>
      </c>
      <c r="S770">
        <v>6</v>
      </c>
      <c r="T770">
        <v>2</v>
      </c>
      <c r="U770">
        <v>2</v>
      </c>
      <c r="V770">
        <v>1</v>
      </c>
      <c r="W770">
        <v>6</v>
      </c>
      <c r="X770">
        <v>77</v>
      </c>
      <c r="Y770">
        <v>0</v>
      </c>
      <c r="Z770">
        <v>0</v>
      </c>
      <c r="AA770">
        <v>1</v>
      </c>
      <c r="AB770">
        <v>1</v>
      </c>
      <c r="AD770">
        <v>0</v>
      </c>
      <c r="AE770">
        <v>0</v>
      </c>
      <c r="AF770">
        <v>0</v>
      </c>
      <c r="AG770">
        <v>0</v>
      </c>
      <c r="AI770">
        <v>0</v>
      </c>
      <c r="AJ770">
        <v>3</v>
      </c>
      <c r="AK770">
        <v>199</v>
      </c>
      <c r="AL770">
        <v>199</v>
      </c>
      <c r="AM770">
        <v>267</v>
      </c>
      <c r="AN770">
        <v>44</v>
      </c>
      <c r="AP770">
        <v>1</v>
      </c>
      <c r="AR770" t="s">
        <v>854</v>
      </c>
      <c r="AS770" s="1">
        <v>44354.294444444444</v>
      </c>
      <c r="AT770" s="1">
        <v>44354.297175925924</v>
      </c>
      <c r="AU770" s="1">
        <v>44354.298784722225</v>
      </c>
      <c r="AV770" t="s">
        <v>71</v>
      </c>
      <c r="AW770" t="s">
        <v>72</v>
      </c>
      <c r="AX770" t="s">
        <v>73</v>
      </c>
    </row>
    <row r="771" spans="1:50" x14ac:dyDescent="0.3">
      <c r="A771" t="str">
        <f>"200997B0000"</f>
        <v>200997B0000</v>
      </c>
      <c r="B771" t="str">
        <f>"200997B00002"</f>
        <v>200997B00002</v>
      </c>
      <c r="C771" t="str">
        <f t="shared" si="32"/>
        <v>20</v>
      </c>
      <c r="D771" t="s">
        <v>67</v>
      </c>
      <c r="E771" t="str">
        <f t="shared" si="34"/>
        <v>004</v>
      </c>
      <c r="F771" t="s">
        <v>725</v>
      </c>
      <c r="G771" t="str">
        <f>"0997"</f>
        <v>0997</v>
      </c>
      <c r="H771" t="str">
        <f t="shared" si="33"/>
        <v>0000</v>
      </c>
      <c r="I771" t="s">
        <v>69</v>
      </c>
      <c r="J771">
        <v>0</v>
      </c>
      <c r="K771">
        <v>1</v>
      </c>
      <c r="L771">
        <v>2</v>
      </c>
      <c r="M771">
        <v>104</v>
      </c>
      <c r="N771">
        <v>173</v>
      </c>
      <c r="O771">
        <v>8</v>
      </c>
      <c r="P771">
        <v>173</v>
      </c>
      <c r="Q771">
        <v>5</v>
      </c>
      <c r="R771">
        <v>50</v>
      </c>
      <c r="S771">
        <v>3</v>
      </c>
      <c r="T771">
        <v>2</v>
      </c>
      <c r="U771">
        <v>1</v>
      </c>
      <c r="V771">
        <v>1</v>
      </c>
      <c r="W771">
        <v>3</v>
      </c>
      <c r="X771">
        <v>95</v>
      </c>
      <c r="Y771">
        <v>1</v>
      </c>
      <c r="Z771">
        <v>2</v>
      </c>
      <c r="AA771">
        <v>1</v>
      </c>
      <c r="AB771">
        <v>1</v>
      </c>
      <c r="AD771">
        <v>0</v>
      </c>
      <c r="AE771">
        <v>0</v>
      </c>
      <c r="AF771">
        <v>0</v>
      </c>
      <c r="AG771">
        <v>0</v>
      </c>
      <c r="AI771">
        <v>0</v>
      </c>
      <c r="AJ771">
        <v>8</v>
      </c>
      <c r="AK771">
        <v>173</v>
      </c>
      <c r="AL771">
        <v>173</v>
      </c>
      <c r="AM771">
        <v>233</v>
      </c>
      <c r="AN771">
        <v>44</v>
      </c>
      <c r="AP771">
        <v>1</v>
      </c>
      <c r="AR771" t="s">
        <v>855</v>
      </c>
      <c r="AS771" s="1">
        <v>44354.320833333331</v>
      </c>
      <c r="AT771" s="1">
        <v>44354.322129629632</v>
      </c>
      <c r="AU771" s="1">
        <v>44354.323148148149</v>
      </c>
      <c r="AV771" t="s">
        <v>71</v>
      </c>
      <c r="AW771" t="s">
        <v>72</v>
      </c>
      <c r="AX771" t="s">
        <v>73</v>
      </c>
    </row>
    <row r="772" spans="1:50" x14ac:dyDescent="0.3">
      <c r="A772" t="str">
        <f>"200998B0000"</f>
        <v>200998B0000</v>
      </c>
      <c r="B772" t="str">
        <f>"200998B00002"</f>
        <v>200998B00002</v>
      </c>
      <c r="C772" t="str">
        <f t="shared" si="32"/>
        <v>20</v>
      </c>
      <c r="D772" t="s">
        <v>67</v>
      </c>
      <c r="E772" t="str">
        <f t="shared" si="34"/>
        <v>004</v>
      </c>
      <c r="F772" t="s">
        <v>725</v>
      </c>
      <c r="G772" t="str">
        <f>"0998"</f>
        <v>0998</v>
      </c>
      <c r="H772" t="str">
        <f t="shared" si="33"/>
        <v>0000</v>
      </c>
      <c r="I772" t="s">
        <v>69</v>
      </c>
      <c r="J772">
        <v>0</v>
      </c>
      <c r="K772">
        <v>1</v>
      </c>
      <c r="L772">
        <v>2</v>
      </c>
      <c r="M772">
        <v>62</v>
      </c>
      <c r="N772">
        <v>33</v>
      </c>
      <c r="O772">
        <v>0</v>
      </c>
      <c r="P772">
        <v>0</v>
      </c>
      <c r="Q772">
        <v>1</v>
      </c>
      <c r="R772">
        <v>17</v>
      </c>
      <c r="S772">
        <v>0</v>
      </c>
      <c r="T772">
        <v>0</v>
      </c>
      <c r="U772">
        <v>0</v>
      </c>
      <c r="V772">
        <v>1</v>
      </c>
      <c r="W772">
        <v>1</v>
      </c>
      <c r="X772">
        <v>9</v>
      </c>
      <c r="Y772">
        <v>0</v>
      </c>
      <c r="Z772">
        <v>0</v>
      </c>
      <c r="AA772">
        <v>0</v>
      </c>
      <c r="AB772">
        <v>1</v>
      </c>
      <c r="AD772">
        <v>0</v>
      </c>
      <c r="AE772">
        <v>0</v>
      </c>
      <c r="AF772">
        <v>0</v>
      </c>
      <c r="AG772">
        <v>0</v>
      </c>
      <c r="AI772">
        <v>0</v>
      </c>
      <c r="AJ772">
        <v>3</v>
      </c>
      <c r="AK772">
        <v>33</v>
      </c>
      <c r="AL772">
        <v>33</v>
      </c>
      <c r="AM772">
        <v>51</v>
      </c>
      <c r="AN772">
        <v>44</v>
      </c>
      <c r="AP772">
        <v>1</v>
      </c>
      <c r="AR772" t="s">
        <v>856</v>
      </c>
      <c r="AS772" s="1">
        <v>44354.099305555559</v>
      </c>
      <c r="AT772" s="1">
        <v>44354.103888888887</v>
      </c>
      <c r="AU772" s="1">
        <v>44354.104375000003</v>
      </c>
      <c r="AV772" t="s">
        <v>71</v>
      </c>
      <c r="AW772" t="s">
        <v>72</v>
      </c>
      <c r="AX772" t="s">
        <v>73</v>
      </c>
    </row>
    <row r="773" spans="1:50" x14ac:dyDescent="0.3">
      <c r="A773" t="str">
        <f>"201108B0000"</f>
        <v>201108B0000</v>
      </c>
      <c r="B773" t="str">
        <f>"201108B00002"</f>
        <v>201108B00002</v>
      </c>
      <c r="C773" t="str">
        <f t="shared" si="32"/>
        <v>20</v>
      </c>
      <c r="D773" t="s">
        <v>67</v>
      </c>
      <c r="E773" t="str">
        <f t="shared" si="34"/>
        <v>004</v>
      </c>
      <c r="F773" t="s">
        <v>725</v>
      </c>
      <c r="G773" t="str">
        <f>"1108"</f>
        <v>1108</v>
      </c>
      <c r="H773" t="str">
        <f t="shared" si="33"/>
        <v>0000</v>
      </c>
      <c r="I773" t="s">
        <v>69</v>
      </c>
      <c r="J773">
        <v>0</v>
      </c>
      <c r="K773">
        <v>1</v>
      </c>
      <c r="L773">
        <v>2</v>
      </c>
      <c r="M773">
        <v>306</v>
      </c>
      <c r="N773">
        <v>379</v>
      </c>
      <c r="O773">
        <v>0</v>
      </c>
      <c r="P773">
        <v>379</v>
      </c>
      <c r="Q773">
        <v>9</v>
      </c>
      <c r="R773">
        <v>110</v>
      </c>
      <c r="S773">
        <v>8</v>
      </c>
      <c r="T773">
        <v>5</v>
      </c>
      <c r="U773">
        <v>7</v>
      </c>
      <c r="V773">
        <v>6</v>
      </c>
      <c r="W773">
        <v>5</v>
      </c>
      <c r="X773">
        <v>156</v>
      </c>
      <c r="Y773">
        <v>0</v>
      </c>
      <c r="Z773">
        <v>15</v>
      </c>
      <c r="AA773">
        <v>30</v>
      </c>
      <c r="AB773">
        <v>11</v>
      </c>
      <c r="AD773">
        <v>4</v>
      </c>
      <c r="AE773">
        <v>0</v>
      </c>
      <c r="AF773">
        <v>0</v>
      </c>
      <c r="AG773">
        <v>1</v>
      </c>
      <c r="AI773">
        <v>0</v>
      </c>
      <c r="AJ773">
        <v>11</v>
      </c>
      <c r="AK773">
        <v>379</v>
      </c>
      <c r="AL773">
        <v>378</v>
      </c>
      <c r="AM773">
        <v>641</v>
      </c>
      <c r="AN773">
        <v>44</v>
      </c>
      <c r="AP773">
        <v>1</v>
      </c>
      <c r="AR773" t="s">
        <v>857</v>
      </c>
      <c r="AS773" s="1">
        <v>44354.157638888886</v>
      </c>
      <c r="AT773" s="1">
        <v>44354.160474537035</v>
      </c>
      <c r="AU773" s="1">
        <v>44354.160960648151</v>
      </c>
      <c r="AV773" t="s">
        <v>71</v>
      </c>
      <c r="AW773" t="s">
        <v>72</v>
      </c>
      <c r="AX773" t="s">
        <v>73</v>
      </c>
    </row>
    <row r="774" spans="1:50" x14ac:dyDescent="0.3">
      <c r="A774" t="str">
        <f>"201109B0000"</f>
        <v>201109B0000</v>
      </c>
      <c r="B774" t="str">
        <f>"201109B00002"</f>
        <v>201109B00002</v>
      </c>
      <c r="C774" t="str">
        <f t="shared" si="32"/>
        <v>20</v>
      </c>
      <c r="D774" t="s">
        <v>67</v>
      </c>
      <c r="E774" t="str">
        <f t="shared" si="34"/>
        <v>004</v>
      </c>
      <c r="F774" t="s">
        <v>725</v>
      </c>
      <c r="G774" t="str">
        <f>"1109"</f>
        <v>1109</v>
      </c>
      <c r="H774" t="str">
        <f t="shared" si="33"/>
        <v>0000</v>
      </c>
      <c r="I774" t="s">
        <v>69</v>
      </c>
      <c r="J774">
        <v>0</v>
      </c>
      <c r="K774">
        <v>1</v>
      </c>
      <c r="L774">
        <v>2</v>
      </c>
      <c r="M774">
        <v>371</v>
      </c>
      <c r="N774">
        <v>410</v>
      </c>
      <c r="O774">
        <v>1</v>
      </c>
      <c r="P774">
        <v>410</v>
      </c>
      <c r="Q774">
        <v>6</v>
      </c>
      <c r="R774">
        <v>158</v>
      </c>
      <c r="S774">
        <v>6</v>
      </c>
      <c r="T774">
        <v>5</v>
      </c>
      <c r="U774">
        <v>10</v>
      </c>
      <c r="V774">
        <v>7</v>
      </c>
      <c r="W774">
        <v>6</v>
      </c>
      <c r="X774">
        <v>147</v>
      </c>
      <c r="Y774">
        <v>1</v>
      </c>
      <c r="Z774">
        <v>16</v>
      </c>
      <c r="AA774">
        <v>15</v>
      </c>
      <c r="AB774">
        <v>13</v>
      </c>
      <c r="AD774">
        <v>1</v>
      </c>
      <c r="AE774">
        <v>0</v>
      </c>
      <c r="AF774">
        <v>0</v>
      </c>
      <c r="AG774">
        <v>0</v>
      </c>
      <c r="AI774">
        <v>1</v>
      </c>
      <c r="AJ774">
        <v>18</v>
      </c>
      <c r="AK774">
        <v>410</v>
      </c>
      <c r="AL774">
        <v>410</v>
      </c>
      <c r="AM774">
        <v>737</v>
      </c>
      <c r="AN774">
        <v>44</v>
      </c>
      <c r="AP774">
        <v>1</v>
      </c>
      <c r="AR774" t="s">
        <v>858</v>
      </c>
      <c r="AS774" s="1">
        <v>44354.160416666666</v>
      </c>
      <c r="AT774" s="1">
        <v>44354.163414351853</v>
      </c>
      <c r="AU774" s="1">
        <v>44354.164050925923</v>
      </c>
      <c r="AV774" t="s">
        <v>71</v>
      </c>
      <c r="AW774" t="s">
        <v>72</v>
      </c>
      <c r="AX774" t="s">
        <v>73</v>
      </c>
    </row>
    <row r="775" spans="1:50" x14ac:dyDescent="0.3">
      <c r="A775" t="str">
        <f>"201109E0100"</f>
        <v>201109E0100</v>
      </c>
      <c r="B775" t="str">
        <f>"201109E01002"</f>
        <v>201109E01002</v>
      </c>
      <c r="C775" t="str">
        <f t="shared" ref="C775:C838" si="35">"20"</f>
        <v>20</v>
      </c>
      <c r="D775" t="s">
        <v>67</v>
      </c>
      <c r="E775" t="str">
        <f t="shared" si="34"/>
        <v>004</v>
      </c>
      <c r="F775" t="s">
        <v>725</v>
      </c>
      <c r="G775" t="str">
        <f>"1109"</f>
        <v>1109</v>
      </c>
      <c r="H775" t="str">
        <f>"0001"</f>
        <v>0001</v>
      </c>
      <c r="I775" t="s">
        <v>109</v>
      </c>
      <c r="J775">
        <v>0</v>
      </c>
      <c r="K775">
        <v>1</v>
      </c>
      <c r="L775">
        <v>2</v>
      </c>
      <c r="M775">
        <v>136</v>
      </c>
      <c r="N775">
        <v>135</v>
      </c>
      <c r="O775">
        <v>5</v>
      </c>
      <c r="P775">
        <v>135</v>
      </c>
      <c r="Q775">
        <v>2</v>
      </c>
      <c r="R775">
        <v>43</v>
      </c>
      <c r="S775">
        <v>2</v>
      </c>
      <c r="T775">
        <v>1</v>
      </c>
      <c r="U775">
        <v>1</v>
      </c>
      <c r="V775">
        <v>3</v>
      </c>
      <c r="W775">
        <v>2</v>
      </c>
      <c r="X775">
        <v>65</v>
      </c>
      <c r="Y775">
        <v>0</v>
      </c>
      <c r="Z775">
        <v>4</v>
      </c>
      <c r="AA775">
        <v>5</v>
      </c>
      <c r="AB775">
        <v>2</v>
      </c>
      <c r="AD775">
        <v>0</v>
      </c>
      <c r="AE775">
        <v>0</v>
      </c>
      <c r="AF775">
        <v>0</v>
      </c>
      <c r="AG775">
        <v>0</v>
      </c>
      <c r="AI775">
        <v>0</v>
      </c>
      <c r="AJ775">
        <v>5</v>
      </c>
      <c r="AK775">
        <v>135</v>
      </c>
      <c r="AL775">
        <v>135</v>
      </c>
      <c r="AM775">
        <v>227</v>
      </c>
      <c r="AN775">
        <v>44</v>
      </c>
      <c r="AP775">
        <v>1</v>
      </c>
      <c r="AR775" t="s">
        <v>859</v>
      </c>
      <c r="AS775" s="1">
        <v>44354.158333333333</v>
      </c>
      <c r="AT775" s="1">
        <v>44354.164780092593</v>
      </c>
      <c r="AU775" s="1">
        <v>44354.165381944447</v>
      </c>
      <c r="AV775" t="s">
        <v>71</v>
      </c>
      <c r="AW775" t="s">
        <v>72</v>
      </c>
      <c r="AX775" t="s">
        <v>73</v>
      </c>
    </row>
    <row r="776" spans="1:50" x14ac:dyDescent="0.3">
      <c r="A776" t="str">
        <f>"201111B0000"</f>
        <v>201111B0000</v>
      </c>
      <c r="B776" t="str">
        <f>"201111B00002"</f>
        <v>201111B00002</v>
      </c>
      <c r="C776" t="str">
        <f t="shared" si="35"/>
        <v>20</v>
      </c>
      <c r="D776" t="s">
        <v>67</v>
      </c>
      <c r="E776" t="str">
        <f t="shared" si="34"/>
        <v>004</v>
      </c>
      <c r="F776" t="s">
        <v>725</v>
      </c>
      <c r="G776" t="str">
        <f>"1111"</f>
        <v>1111</v>
      </c>
      <c r="H776" t="str">
        <f>"0000"</f>
        <v>0000</v>
      </c>
      <c r="I776" t="s">
        <v>69</v>
      </c>
      <c r="J776">
        <v>0</v>
      </c>
      <c r="K776">
        <v>1</v>
      </c>
      <c r="L776">
        <v>2</v>
      </c>
      <c r="M776">
        <v>147</v>
      </c>
      <c r="N776">
        <v>421</v>
      </c>
      <c r="O776">
        <v>0</v>
      </c>
      <c r="P776" t="s">
        <v>80</v>
      </c>
      <c r="Q776">
        <v>13</v>
      </c>
      <c r="R776">
        <v>103</v>
      </c>
      <c r="S776">
        <v>10</v>
      </c>
      <c r="T776">
        <v>35</v>
      </c>
      <c r="U776">
        <v>73</v>
      </c>
      <c r="V776">
        <v>1</v>
      </c>
      <c r="W776">
        <v>1</v>
      </c>
      <c r="X776">
        <v>57</v>
      </c>
      <c r="Y776">
        <v>2</v>
      </c>
      <c r="Z776">
        <v>6</v>
      </c>
      <c r="AA776">
        <v>0</v>
      </c>
      <c r="AB776">
        <v>95</v>
      </c>
      <c r="AD776">
        <v>8</v>
      </c>
      <c r="AE776">
        <v>1</v>
      </c>
      <c r="AF776">
        <v>0</v>
      </c>
      <c r="AG776">
        <v>2</v>
      </c>
      <c r="AI776">
        <v>0</v>
      </c>
      <c r="AJ776">
        <v>14</v>
      </c>
      <c r="AK776">
        <v>421</v>
      </c>
      <c r="AL776">
        <v>421</v>
      </c>
      <c r="AM776">
        <v>524</v>
      </c>
      <c r="AN776">
        <v>44</v>
      </c>
      <c r="AP776">
        <v>1</v>
      </c>
      <c r="AR776" t="s">
        <v>860</v>
      </c>
      <c r="AS776" s="1">
        <v>44354.141400462962</v>
      </c>
      <c r="AT776" s="1">
        <v>44354.297592592593</v>
      </c>
      <c r="AU776" s="1">
        <v>44354.298402777778</v>
      </c>
      <c r="AV776" t="s">
        <v>269</v>
      </c>
      <c r="AW776" t="s">
        <v>270</v>
      </c>
      <c r="AX776" t="s">
        <v>73</v>
      </c>
    </row>
    <row r="777" spans="1:50" x14ac:dyDescent="0.3">
      <c r="A777" t="str">
        <f>"201111C0100"</f>
        <v>201111C0100</v>
      </c>
      <c r="B777" t="str">
        <f>"201111C01002"</f>
        <v>201111C01002</v>
      </c>
      <c r="C777" t="str">
        <f t="shared" si="35"/>
        <v>20</v>
      </c>
      <c r="D777" t="s">
        <v>67</v>
      </c>
      <c r="E777" t="str">
        <f t="shared" si="34"/>
        <v>004</v>
      </c>
      <c r="F777" t="s">
        <v>725</v>
      </c>
      <c r="G777" t="str">
        <f>"1111"</f>
        <v>1111</v>
      </c>
      <c r="H777" t="str">
        <f>"0001"</f>
        <v>0001</v>
      </c>
      <c r="I777" t="s">
        <v>75</v>
      </c>
      <c r="J777">
        <v>0</v>
      </c>
      <c r="K777">
        <v>1</v>
      </c>
      <c r="L777">
        <v>2</v>
      </c>
      <c r="M777">
        <v>137</v>
      </c>
      <c r="N777">
        <v>431</v>
      </c>
      <c r="O777">
        <v>2</v>
      </c>
      <c r="P777">
        <v>431</v>
      </c>
      <c r="Q777">
        <v>8</v>
      </c>
      <c r="R777">
        <v>111</v>
      </c>
      <c r="S777">
        <v>5</v>
      </c>
      <c r="T777">
        <v>44</v>
      </c>
      <c r="U777">
        <v>81</v>
      </c>
      <c r="V777">
        <v>1</v>
      </c>
      <c r="W777">
        <v>0</v>
      </c>
      <c r="X777">
        <v>27</v>
      </c>
      <c r="Y777">
        <v>0</v>
      </c>
      <c r="Z777">
        <v>8</v>
      </c>
      <c r="AA777">
        <v>0</v>
      </c>
      <c r="AB777">
        <v>118</v>
      </c>
      <c r="AD777">
        <v>9</v>
      </c>
      <c r="AE777">
        <v>0</v>
      </c>
      <c r="AF777">
        <v>0</v>
      </c>
      <c r="AG777">
        <v>1</v>
      </c>
      <c r="AI777">
        <v>0</v>
      </c>
      <c r="AJ777">
        <v>18</v>
      </c>
      <c r="AK777">
        <v>431</v>
      </c>
      <c r="AL777">
        <v>431</v>
      </c>
      <c r="AM777">
        <v>524</v>
      </c>
      <c r="AN777">
        <v>44</v>
      </c>
      <c r="AP777">
        <v>1</v>
      </c>
      <c r="AR777" t="s">
        <v>861</v>
      </c>
      <c r="AS777" s="1">
        <v>44354.150833333333</v>
      </c>
      <c r="AT777" s="1">
        <v>44354.299201388887</v>
      </c>
      <c r="AU777" s="1">
        <v>44354.299699074072</v>
      </c>
      <c r="AV777" t="s">
        <v>269</v>
      </c>
      <c r="AW777" t="s">
        <v>270</v>
      </c>
      <c r="AX777" t="s">
        <v>73</v>
      </c>
    </row>
    <row r="778" spans="1:50" x14ac:dyDescent="0.3">
      <c r="A778" t="str">
        <f>"201111C0200"</f>
        <v>201111C0200</v>
      </c>
      <c r="B778" t="str">
        <f>"201111C02002"</f>
        <v>201111C02002</v>
      </c>
      <c r="C778" t="str">
        <f t="shared" si="35"/>
        <v>20</v>
      </c>
      <c r="D778" t="s">
        <v>67</v>
      </c>
      <c r="E778" t="str">
        <f t="shared" si="34"/>
        <v>004</v>
      </c>
      <c r="F778" t="s">
        <v>725</v>
      </c>
      <c r="G778" t="str">
        <f>"1111"</f>
        <v>1111</v>
      </c>
      <c r="H778" t="str">
        <f>"0002"</f>
        <v>0002</v>
      </c>
      <c r="I778" t="s">
        <v>75</v>
      </c>
      <c r="J778">
        <v>0</v>
      </c>
      <c r="K778">
        <v>1</v>
      </c>
      <c r="L778">
        <v>2</v>
      </c>
      <c r="M778">
        <v>125</v>
      </c>
      <c r="N778">
        <v>442</v>
      </c>
      <c r="O778">
        <v>0</v>
      </c>
      <c r="P778">
        <v>442</v>
      </c>
      <c r="Q778">
        <v>10</v>
      </c>
      <c r="R778">
        <v>80</v>
      </c>
      <c r="S778">
        <v>5</v>
      </c>
      <c r="T778">
        <v>30</v>
      </c>
      <c r="U778">
        <v>135</v>
      </c>
      <c r="V778">
        <v>0</v>
      </c>
      <c r="W778">
        <v>1</v>
      </c>
      <c r="X778">
        <v>47</v>
      </c>
      <c r="Y778">
        <v>0</v>
      </c>
      <c r="Z778">
        <v>12</v>
      </c>
      <c r="AA778">
        <v>1</v>
      </c>
      <c r="AB778">
        <v>96</v>
      </c>
      <c r="AD778">
        <v>7</v>
      </c>
      <c r="AE778">
        <v>0</v>
      </c>
      <c r="AF778">
        <v>0</v>
      </c>
      <c r="AG778">
        <v>0</v>
      </c>
      <c r="AI778">
        <v>0</v>
      </c>
      <c r="AJ778">
        <v>18</v>
      </c>
      <c r="AK778">
        <v>442</v>
      </c>
      <c r="AL778">
        <v>442</v>
      </c>
      <c r="AM778">
        <v>523</v>
      </c>
      <c r="AN778">
        <v>44</v>
      </c>
      <c r="AP778">
        <v>1</v>
      </c>
      <c r="AR778" t="s">
        <v>862</v>
      </c>
      <c r="AS778" s="1">
        <v>44354.03261574074</v>
      </c>
      <c r="AT778" s="1">
        <v>44354.087905092594</v>
      </c>
      <c r="AU778" s="1">
        <v>44354.088425925926</v>
      </c>
      <c r="AV778" t="s">
        <v>269</v>
      </c>
      <c r="AW778" t="s">
        <v>270</v>
      </c>
      <c r="AX778" t="s">
        <v>73</v>
      </c>
    </row>
    <row r="779" spans="1:50" x14ac:dyDescent="0.3">
      <c r="A779" t="str">
        <f>"201129B0000"</f>
        <v>201129B0000</v>
      </c>
      <c r="B779" t="str">
        <f>"201129B00002"</f>
        <v>201129B00002</v>
      </c>
      <c r="C779" t="str">
        <f t="shared" si="35"/>
        <v>20</v>
      </c>
      <c r="D779" t="s">
        <v>67</v>
      </c>
      <c r="E779" t="str">
        <f t="shared" si="34"/>
        <v>004</v>
      </c>
      <c r="F779" t="s">
        <v>725</v>
      </c>
      <c r="G779" t="str">
        <f>"1129"</f>
        <v>1129</v>
      </c>
      <c r="H779" t="str">
        <f>"0000"</f>
        <v>0000</v>
      </c>
      <c r="I779" t="s">
        <v>69</v>
      </c>
      <c r="J779">
        <v>0</v>
      </c>
      <c r="K779">
        <v>1</v>
      </c>
      <c r="L779">
        <v>2</v>
      </c>
      <c r="M779">
        <v>385</v>
      </c>
      <c r="N779">
        <v>258</v>
      </c>
      <c r="O779">
        <v>0</v>
      </c>
      <c r="P779">
        <v>258</v>
      </c>
      <c r="Q779">
        <v>9</v>
      </c>
      <c r="R779">
        <v>54</v>
      </c>
      <c r="S779">
        <v>2</v>
      </c>
      <c r="T779">
        <v>2</v>
      </c>
      <c r="U779">
        <v>2</v>
      </c>
      <c r="V779">
        <v>3</v>
      </c>
      <c r="W779">
        <v>13</v>
      </c>
      <c r="X779">
        <v>146</v>
      </c>
      <c r="Y779">
        <v>1</v>
      </c>
      <c r="Z779">
        <v>8</v>
      </c>
      <c r="AA779">
        <v>2</v>
      </c>
      <c r="AB779">
        <v>0</v>
      </c>
      <c r="AD779">
        <v>3</v>
      </c>
      <c r="AE779">
        <v>1</v>
      </c>
      <c r="AF779">
        <v>0</v>
      </c>
      <c r="AG779">
        <v>0</v>
      </c>
      <c r="AI779">
        <v>0</v>
      </c>
      <c r="AJ779">
        <v>12</v>
      </c>
      <c r="AK779">
        <v>258</v>
      </c>
      <c r="AL779">
        <v>258</v>
      </c>
      <c r="AM779">
        <v>599</v>
      </c>
      <c r="AN779">
        <v>44</v>
      </c>
      <c r="AP779">
        <v>1</v>
      </c>
      <c r="AR779" t="s">
        <v>863</v>
      </c>
      <c r="AS779" s="1">
        <v>44353.975694444445</v>
      </c>
      <c r="AT779" s="1">
        <v>44353.978252314817</v>
      </c>
      <c r="AU779" s="1">
        <v>44353.978819444441</v>
      </c>
      <c r="AV779" t="s">
        <v>71</v>
      </c>
      <c r="AW779" t="s">
        <v>72</v>
      </c>
      <c r="AX779" t="s">
        <v>73</v>
      </c>
    </row>
    <row r="780" spans="1:50" x14ac:dyDescent="0.3">
      <c r="A780" t="str">
        <f>"201129C0100"</f>
        <v>201129C0100</v>
      </c>
      <c r="B780" t="str">
        <f>"201129C01002"</f>
        <v>201129C01002</v>
      </c>
      <c r="C780" t="str">
        <f t="shared" si="35"/>
        <v>20</v>
      </c>
      <c r="D780" t="s">
        <v>67</v>
      </c>
      <c r="E780" t="str">
        <f t="shared" si="34"/>
        <v>004</v>
      </c>
      <c r="F780" t="s">
        <v>725</v>
      </c>
      <c r="G780" t="str">
        <f>"1129"</f>
        <v>1129</v>
      </c>
      <c r="H780" t="str">
        <f>"0001"</f>
        <v>0001</v>
      </c>
      <c r="I780" t="s">
        <v>75</v>
      </c>
      <c r="J780">
        <v>0</v>
      </c>
      <c r="K780">
        <v>1</v>
      </c>
      <c r="L780">
        <v>2</v>
      </c>
      <c r="M780">
        <v>386</v>
      </c>
      <c r="N780">
        <v>257</v>
      </c>
      <c r="O780">
        <v>0</v>
      </c>
      <c r="P780">
        <v>257</v>
      </c>
      <c r="Q780">
        <v>8</v>
      </c>
      <c r="R780">
        <v>86</v>
      </c>
      <c r="S780">
        <v>2</v>
      </c>
      <c r="T780">
        <v>2</v>
      </c>
      <c r="U780">
        <v>3</v>
      </c>
      <c r="V780">
        <v>0</v>
      </c>
      <c r="W780">
        <v>7</v>
      </c>
      <c r="X780">
        <v>133</v>
      </c>
      <c r="Y780">
        <v>1</v>
      </c>
      <c r="Z780">
        <v>5</v>
      </c>
      <c r="AA780">
        <v>0</v>
      </c>
      <c r="AB780">
        <v>2</v>
      </c>
      <c r="AD780">
        <v>0</v>
      </c>
      <c r="AE780">
        <v>0</v>
      </c>
      <c r="AF780">
        <v>0</v>
      </c>
      <c r="AG780">
        <v>1</v>
      </c>
      <c r="AI780">
        <v>0</v>
      </c>
      <c r="AJ780">
        <v>7</v>
      </c>
      <c r="AK780">
        <v>257</v>
      </c>
      <c r="AL780">
        <v>257</v>
      </c>
      <c r="AM780">
        <v>599</v>
      </c>
      <c r="AN780">
        <v>44</v>
      </c>
      <c r="AP780">
        <v>1</v>
      </c>
      <c r="AR780" t="s">
        <v>864</v>
      </c>
      <c r="AS780" s="1">
        <v>44353.98333333333</v>
      </c>
      <c r="AT780" s="1">
        <v>44353.985312500001</v>
      </c>
      <c r="AU780" s="1">
        <v>44353.986006944448</v>
      </c>
      <c r="AV780" t="s">
        <v>71</v>
      </c>
      <c r="AW780" t="s">
        <v>72</v>
      </c>
      <c r="AX780" t="s">
        <v>73</v>
      </c>
    </row>
    <row r="781" spans="1:50" x14ac:dyDescent="0.3">
      <c r="A781" t="str">
        <f>"201129E0100"</f>
        <v>201129E0100</v>
      </c>
      <c r="B781" t="str">
        <f>"201129E01002"</f>
        <v>201129E01002</v>
      </c>
      <c r="C781" t="str">
        <f t="shared" si="35"/>
        <v>20</v>
      </c>
      <c r="D781" t="s">
        <v>67</v>
      </c>
      <c r="E781" t="str">
        <f t="shared" si="34"/>
        <v>004</v>
      </c>
      <c r="F781" t="s">
        <v>725</v>
      </c>
      <c r="G781" t="str">
        <f>"1129"</f>
        <v>1129</v>
      </c>
      <c r="H781" t="str">
        <f>"0001"</f>
        <v>0001</v>
      </c>
      <c r="I781" t="s">
        <v>109</v>
      </c>
      <c r="J781">
        <v>0</v>
      </c>
      <c r="K781">
        <v>1</v>
      </c>
      <c r="L781">
        <v>2</v>
      </c>
      <c r="M781">
        <v>76</v>
      </c>
      <c r="N781">
        <v>103</v>
      </c>
      <c r="O781">
        <v>4</v>
      </c>
      <c r="P781">
        <v>105</v>
      </c>
      <c r="Q781">
        <v>1</v>
      </c>
      <c r="R781">
        <v>55</v>
      </c>
      <c r="S781">
        <v>0</v>
      </c>
      <c r="T781">
        <v>0</v>
      </c>
      <c r="U781">
        <v>0</v>
      </c>
      <c r="V781">
        <v>1</v>
      </c>
      <c r="W781">
        <v>8</v>
      </c>
      <c r="X781">
        <v>21</v>
      </c>
      <c r="Y781">
        <v>0</v>
      </c>
      <c r="Z781">
        <v>14</v>
      </c>
      <c r="AA781">
        <v>2</v>
      </c>
      <c r="AB781">
        <v>0</v>
      </c>
      <c r="AD781">
        <v>0</v>
      </c>
      <c r="AE781">
        <v>0</v>
      </c>
      <c r="AF781">
        <v>0</v>
      </c>
      <c r="AG781">
        <v>0</v>
      </c>
      <c r="AI781">
        <v>0</v>
      </c>
      <c r="AJ781">
        <v>3</v>
      </c>
      <c r="AK781">
        <v>105</v>
      </c>
      <c r="AL781">
        <v>105</v>
      </c>
      <c r="AM781">
        <v>137</v>
      </c>
      <c r="AN781">
        <v>44</v>
      </c>
      <c r="AP781">
        <v>1</v>
      </c>
      <c r="AR781" t="s">
        <v>865</v>
      </c>
      <c r="AS781" s="1">
        <v>44353.984722222223</v>
      </c>
      <c r="AT781" s="1">
        <v>44353.987060185187</v>
      </c>
      <c r="AU781" s="1">
        <v>44353.987615740742</v>
      </c>
      <c r="AV781" t="s">
        <v>71</v>
      </c>
      <c r="AW781" t="s">
        <v>72</v>
      </c>
      <c r="AX781" t="s">
        <v>73</v>
      </c>
    </row>
    <row r="782" spans="1:50" x14ac:dyDescent="0.3">
      <c r="A782" t="str">
        <f>"201130B0000"</f>
        <v>201130B0000</v>
      </c>
      <c r="B782" t="str">
        <f>"201130B00002"</f>
        <v>201130B00002</v>
      </c>
      <c r="C782" t="str">
        <f t="shared" si="35"/>
        <v>20</v>
      </c>
      <c r="D782" t="s">
        <v>67</v>
      </c>
      <c r="E782" t="str">
        <f t="shared" si="34"/>
        <v>004</v>
      </c>
      <c r="F782" t="s">
        <v>725</v>
      </c>
      <c r="G782" t="str">
        <f>"1130"</f>
        <v>1130</v>
      </c>
      <c r="H782" t="str">
        <f>"0000"</f>
        <v>0000</v>
      </c>
      <c r="I782" t="s">
        <v>69</v>
      </c>
      <c r="J782">
        <v>0</v>
      </c>
      <c r="K782">
        <v>1</v>
      </c>
      <c r="L782">
        <v>2</v>
      </c>
      <c r="M782">
        <v>255</v>
      </c>
      <c r="N782">
        <v>305</v>
      </c>
      <c r="O782">
        <v>0</v>
      </c>
      <c r="P782">
        <v>305</v>
      </c>
      <c r="Q782">
        <v>10</v>
      </c>
      <c r="R782">
        <v>103</v>
      </c>
      <c r="S782">
        <v>8</v>
      </c>
      <c r="T782">
        <v>2</v>
      </c>
      <c r="U782">
        <v>5</v>
      </c>
      <c r="V782">
        <v>1</v>
      </c>
      <c r="W782">
        <v>8</v>
      </c>
      <c r="X782">
        <v>155</v>
      </c>
      <c r="Y782">
        <v>8</v>
      </c>
      <c r="Z782">
        <v>4</v>
      </c>
      <c r="AA782">
        <v>2</v>
      </c>
      <c r="AB782">
        <v>0</v>
      </c>
      <c r="AD782">
        <v>3</v>
      </c>
      <c r="AE782">
        <v>0</v>
      </c>
      <c r="AF782">
        <v>1</v>
      </c>
      <c r="AG782">
        <v>0</v>
      </c>
      <c r="AI782">
        <v>3</v>
      </c>
      <c r="AJ782">
        <v>305</v>
      </c>
      <c r="AK782">
        <v>305</v>
      </c>
      <c r="AL782">
        <v>618</v>
      </c>
      <c r="AM782">
        <v>521</v>
      </c>
      <c r="AN782">
        <v>44</v>
      </c>
      <c r="AO782" t="s">
        <v>245</v>
      </c>
      <c r="AP782">
        <v>0</v>
      </c>
      <c r="AR782" t="s">
        <v>866</v>
      </c>
      <c r="AS782" s="1">
        <v>44354.100694444445</v>
      </c>
      <c r="AT782" s="1">
        <v>44354.104317129626</v>
      </c>
      <c r="AU782" s="1">
        <v>44354.105810185189</v>
      </c>
      <c r="AV782" t="s">
        <v>71</v>
      </c>
      <c r="AW782" t="s">
        <v>72</v>
      </c>
      <c r="AX782" t="s">
        <v>73</v>
      </c>
    </row>
    <row r="783" spans="1:50" x14ac:dyDescent="0.3">
      <c r="A783" t="str">
        <f>"201228B0000"</f>
        <v>201228B0000</v>
      </c>
      <c r="B783" t="str">
        <f>"201228B00002"</f>
        <v>201228B00002</v>
      </c>
      <c r="C783" t="str">
        <f t="shared" si="35"/>
        <v>20</v>
      </c>
      <c r="D783" t="s">
        <v>67</v>
      </c>
      <c r="E783" t="str">
        <f t="shared" si="34"/>
        <v>004</v>
      </c>
      <c r="F783" t="s">
        <v>725</v>
      </c>
      <c r="G783" t="str">
        <f>"1228"</f>
        <v>1228</v>
      </c>
      <c r="H783" t="str">
        <f>"0000"</f>
        <v>0000</v>
      </c>
      <c r="I783" t="s">
        <v>69</v>
      </c>
      <c r="J783">
        <v>0</v>
      </c>
      <c r="K783">
        <v>1</v>
      </c>
      <c r="L783">
        <v>2</v>
      </c>
      <c r="M783">
        <v>236</v>
      </c>
      <c r="N783">
        <v>164</v>
      </c>
      <c r="O783">
        <v>7</v>
      </c>
      <c r="P783">
        <v>164</v>
      </c>
      <c r="Q783">
        <v>0</v>
      </c>
      <c r="R783">
        <v>17</v>
      </c>
      <c r="S783">
        <v>1</v>
      </c>
      <c r="T783">
        <v>1</v>
      </c>
      <c r="U783">
        <v>1</v>
      </c>
      <c r="V783">
        <v>0</v>
      </c>
      <c r="W783">
        <v>0</v>
      </c>
      <c r="X783">
        <v>142</v>
      </c>
      <c r="Y783">
        <v>1</v>
      </c>
      <c r="Z783">
        <v>0</v>
      </c>
      <c r="AA783">
        <v>0</v>
      </c>
      <c r="AB783">
        <v>0</v>
      </c>
      <c r="AD783">
        <v>1</v>
      </c>
      <c r="AE783">
        <v>0</v>
      </c>
      <c r="AF783">
        <v>0</v>
      </c>
      <c r="AG783">
        <v>0</v>
      </c>
      <c r="AI783" t="s">
        <v>77</v>
      </c>
      <c r="AJ783" t="s">
        <v>77</v>
      </c>
      <c r="AK783" t="s">
        <v>99</v>
      </c>
      <c r="AL783">
        <v>164</v>
      </c>
      <c r="AM783">
        <v>356</v>
      </c>
      <c r="AN783">
        <v>44</v>
      </c>
      <c r="AO783" t="s">
        <v>78</v>
      </c>
      <c r="AP783">
        <v>1</v>
      </c>
      <c r="AR783" t="s">
        <v>867</v>
      </c>
      <c r="AS783" s="1">
        <v>44354.286111111112</v>
      </c>
      <c r="AT783" s="1">
        <v>44354.288958333331</v>
      </c>
      <c r="AU783" s="1">
        <v>44354.289513888885</v>
      </c>
      <c r="AV783" t="s">
        <v>71</v>
      </c>
      <c r="AW783" t="s">
        <v>72</v>
      </c>
      <c r="AX783" t="s">
        <v>73</v>
      </c>
    </row>
    <row r="784" spans="1:50" x14ac:dyDescent="0.3">
      <c r="A784" t="str">
        <f>"201229B0000"</f>
        <v>201229B0000</v>
      </c>
      <c r="B784" t="str">
        <f>"201229B00002"</f>
        <v>201229B00002</v>
      </c>
      <c r="C784" t="str">
        <f t="shared" si="35"/>
        <v>20</v>
      </c>
      <c r="D784" t="s">
        <v>67</v>
      </c>
      <c r="E784" t="str">
        <f t="shared" si="34"/>
        <v>004</v>
      </c>
      <c r="F784" t="s">
        <v>725</v>
      </c>
      <c r="G784" t="str">
        <f>"1229"</f>
        <v>1229</v>
      </c>
      <c r="H784" t="str">
        <f>"0000"</f>
        <v>0000</v>
      </c>
      <c r="I784" t="s">
        <v>69</v>
      </c>
      <c r="J784">
        <v>0</v>
      </c>
      <c r="K784">
        <v>1</v>
      </c>
      <c r="L784">
        <v>2</v>
      </c>
      <c r="M784">
        <v>252</v>
      </c>
      <c r="N784">
        <v>257</v>
      </c>
      <c r="O784">
        <v>0</v>
      </c>
      <c r="P784">
        <v>257</v>
      </c>
      <c r="Q784">
        <v>8</v>
      </c>
      <c r="R784">
        <v>72</v>
      </c>
      <c r="S784">
        <v>5</v>
      </c>
      <c r="T784">
        <v>3</v>
      </c>
      <c r="U784">
        <v>24</v>
      </c>
      <c r="V784">
        <v>5</v>
      </c>
      <c r="W784">
        <v>4</v>
      </c>
      <c r="X784">
        <v>129</v>
      </c>
      <c r="Y784">
        <v>0</v>
      </c>
      <c r="Z784">
        <v>2</v>
      </c>
      <c r="AA784">
        <v>0</v>
      </c>
      <c r="AB784">
        <v>0</v>
      </c>
      <c r="AD784">
        <v>1</v>
      </c>
      <c r="AE784">
        <v>0</v>
      </c>
      <c r="AF784">
        <v>0</v>
      </c>
      <c r="AG784">
        <v>0</v>
      </c>
      <c r="AI784">
        <v>0</v>
      </c>
      <c r="AJ784">
        <v>4</v>
      </c>
      <c r="AK784">
        <v>257</v>
      </c>
      <c r="AL784">
        <v>257</v>
      </c>
      <c r="AM784">
        <v>465</v>
      </c>
      <c r="AN784">
        <v>44</v>
      </c>
      <c r="AP784">
        <v>1</v>
      </c>
      <c r="AR784" t="s">
        <v>868</v>
      </c>
      <c r="AS784" s="1">
        <v>44354.29583333333</v>
      </c>
      <c r="AT784" s="1">
        <v>44354.298645833333</v>
      </c>
      <c r="AU784" s="1">
        <v>44354.299120370371</v>
      </c>
      <c r="AV784" t="s">
        <v>71</v>
      </c>
      <c r="AW784" t="s">
        <v>72</v>
      </c>
      <c r="AX784" t="s">
        <v>73</v>
      </c>
    </row>
    <row r="785" spans="1:50" x14ac:dyDescent="0.3">
      <c r="A785" t="str">
        <f>"201229E0100"</f>
        <v>201229E0100</v>
      </c>
      <c r="B785" t="str">
        <f>"201229E01002"</f>
        <v>201229E01002</v>
      </c>
      <c r="C785" t="str">
        <f t="shared" si="35"/>
        <v>20</v>
      </c>
      <c r="D785" t="s">
        <v>67</v>
      </c>
      <c r="E785" t="str">
        <f t="shared" si="34"/>
        <v>004</v>
      </c>
      <c r="F785" t="s">
        <v>725</v>
      </c>
      <c r="G785" t="str">
        <f>"1229"</f>
        <v>1229</v>
      </c>
      <c r="H785" t="str">
        <f>"0001"</f>
        <v>0001</v>
      </c>
      <c r="I785" t="s">
        <v>109</v>
      </c>
      <c r="J785">
        <v>0</v>
      </c>
      <c r="K785">
        <v>1</v>
      </c>
      <c r="L785">
        <v>2</v>
      </c>
      <c r="M785">
        <v>156</v>
      </c>
      <c r="N785">
        <v>180</v>
      </c>
      <c r="O785">
        <v>5</v>
      </c>
      <c r="P785">
        <v>180</v>
      </c>
      <c r="Q785">
        <v>5</v>
      </c>
      <c r="R785">
        <v>5</v>
      </c>
      <c r="S785">
        <v>2</v>
      </c>
      <c r="T785">
        <v>1</v>
      </c>
      <c r="U785">
        <v>4</v>
      </c>
      <c r="V785">
        <v>2</v>
      </c>
      <c r="W785">
        <v>5</v>
      </c>
      <c r="X785">
        <v>144</v>
      </c>
      <c r="Y785">
        <v>1</v>
      </c>
      <c r="Z785">
        <v>3</v>
      </c>
      <c r="AA785">
        <v>0</v>
      </c>
      <c r="AB785">
        <v>1</v>
      </c>
      <c r="AD785">
        <v>0</v>
      </c>
      <c r="AE785">
        <v>0</v>
      </c>
      <c r="AF785">
        <v>0</v>
      </c>
      <c r="AG785">
        <v>0</v>
      </c>
      <c r="AI785">
        <v>0</v>
      </c>
      <c r="AJ785">
        <v>7</v>
      </c>
      <c r="AK785">
        <v>180</v>
      </c>
      <c r="AL785">
        <v>180</v>
      </c>
      <c r="AM785">
        <v>292</v>
      </c>
      <c r="AN785">
        <v>44</v>
      </c>
      <c r="AP785">
        <v>1</v>
      </c>
      <c r="AR785" t="s">
        <v>869</v>
      </c>
      <c r="AS785" s="1">
        <v>44354.316666666666</v>
      </c>
      <c r="AT785" s="1">
        <v>44354.320393518516</v>
      </c>
      <c r="AU785" s="1">
        <v>44354.320960648147</v>
      </c>
      <c r="AV785" t="s">
        <v>71</v>
      </c>
      <c r="AW785" t="s">
        <v>72</v>
      </c>
      <c r="AX785" t="s">
        <v>73</v>
      </c>
    </row>
    <row r="786" spans="1:50" x14ac:dyDescent="0.3">
      <c r="A786" t="str">
        <f>"201230B0000"</f>
        <v>201230B0000</v>
      </c>
      <c r="B786" t="str">
        <f>"201230B00002"</f>
        <v>201230B00002</v>
      </c>
      <c r="C786" t="str">
        <f t="shared" si="35"/>
        <v>20</v>
      </c>
      <c r="D786" t="s">
        <v>67</v>
      </c>
      <c r="E786" t="str">
        <f t="shared" si="34"/>
        <v>004</v>
      </c>
      <c r="F786" t="s">
        <v>725</v>
      </c>
      <c r="G786" t="str">
        <f>"1230"</f>
        <v>1230</v>
      </c>
      <c r="H786" t="str">
        <f>"0000"</f>
        <v>0000</v>
      </c>
      <c r="I786" t="s">
        <v>69</v>
      </c>
      <c r="J786">
        <v>0</v>
      </c>
      <c r="K786">
        <v>1</v>
      </c>
      <c r="L786">
        <v>2</v>
      </c>
      <c r="M786">
        <v>316</v>
      </c>
      <c r="N786">
        <v>166</v>
      </c>
      <c r="O786">
        <v>0</v>
      </c>
      <c r="P786">
        <v>166</v>
      </c>
      <c r="Q786">
        <v>7</v>
      </c>
      <c r="R786">
        <v>87</v>
      </c>
      <c r="S786">
        <v>6</v>
      </c>
      <c r="T786">
        <v>0</v>
      </c>
      <c r="U786">
        <v>0</v>
      </c>
      <c r="V786">
        <v>0</v>
      </c>
      <c r="W786">
        <v>4</v>
      </c>
      <c r="X786">
        <v>52</v>
      </c>
      <c r="Y786">
        <v>0</v>
      </c>
      <c r="Z786">
        <v>2</v>
      </c>
      <c r="AA786">
        <v>0</v>
      </c>
      <c r="AB786">
        <v>1</v>
      </c>
      <c r="AD786">
        <v>1</v>
      </c>
      <c r="AE786">
        <v>4</v>
      </c>
      <c r="AF786">
        <v>0</v>
      </c>
      <c r="AG786">
        <v>0</v>
      </c>
      <c r="AI786">
        <v>0</v>
      </c>
      <c r="AJ786">
        <v>2</v>
      </c>
      <c r="AK786">
        <v>166</v>
      </c>
      <c r="AL786">
        <v>166</v>
      </c>
      <c r="AM786">
        <v>438</v>
      </c>
      <c r="AN786">
        <v>44</v>
      </c>
      <c r="AP786">
        <v>1</v>
      </c>
      <c r="AR786" t="s">
        <v>870</v>
      </c>
      <c r="AS786" s="1">
        <v>44354.305555555555</v>
      </c>
      <c r="AT786" s="1">
        <v>44354.30773148148</v>
      </c>
      <c r="AU786" s="1">
        <v>44354.308263888888</v>
      </c>
      <c r="AV786" t="s">
        <v>71</v>
      </c>
      <c r="AW786" t="s">
        <v>72</v>
      </c>
      <c r="AX786" t="s">
        <v>73</v>
      </c>
    </row>
    <row r="787" spans="1:50" x14ac:dyDescent="0.3">
      <c r="A787" t="str">
        <f>"201231B0000"</f>
        <v>201231B0000</v>
      </c>
      <c r="B787" t="str">
        <f>"201231B00002"</f>
        <v>201231B00002</v>
      </c>
      <c r="C787" t="str">
        <f t="shared" si="35"/>
        <v>20</v>
      </c>
      <c r="D787" t="s">
        <v>67</v>
      </c>
      <c r="E787" t="str">
        <f t="shared" si="34"/>
        <v>004</v>
      </c>
      <c r="F787" t="s">
        <v>725</v>
      </c>
      <c r="G787" t="str">
        <f>"1231"</f>
        <v>1231</v>
      </c>
      <c r="H787" t="str">
        <f>"0000"</f>
        <v>0000</v>
      </c>
      <c r="I787" t="s">
        <v>69</v>
      </c>
      <c r="J787">
        <v>0</v>
      </c>
      <c r="K787">
        <v>1</v>
      </c>
      <c r="L787">
        <v>2</v>
      </c>
      <c r="M787">
        <v>204</v>
      </c>
      <c r="N787">
        <v>168</v>
      </c>
      <c r="O787">
        <v>0</v>
      </c>
      <c r="P787">
        <v>168</v>
      </c>
      <c r="Q787">
        <v>3</v>
      </c>
      <c r="R787">
        <v>64</v>
      </c>
      <c r="S787">
        <v>2</v>
      </c>
      <c r="T787">
        <v>1</v>
      </c>
      <c r="U787">
        <v>2</v>
      </c>
      <c r="V787">
        <v>1</v>
      </c>
      <c r="W787">
        <v>13</v>
      </c>
      <c r="X787">
        <v>71</v>
      </c>
      <c r="Y787">
        <v>1</v>
      </c>
      <c r="Z787">
        <v>3</v>
      </c>
      <c r="AA787">
        <v>2</v>
      </c>
      <c r="AB787">
        <v>1</v>
      </c>
      <c r="AD787">
        <v>0</v>
      </c>
      <c r="AE787">
        <v>0</v>
      </c>
      <c r="AF787">
        <v>0</v>
      </c>
      <c r="AG787">
        <v>0</v>
      </c>
      <c r="AI787">
        <v>0</v>
      </c>
      <c r="AJ787">
        <v>4</v>
      </c>
      <c r="AK787">
        <v>168</v>
      </c>
      <c r="AL787">
        <v>168</v>
      </c>
      <c r="AM787">
        <v>328</v>
      </c>
      <c r="AN787">
        <v>44</v>
      </c>
      <c r="AP787">
        <v>1</v>
      </c>
      <c r="AR787" t="s">
        <v>871</v>
      </c>
      <c r="AS787" s="1">
        <v>44354.309027777781</v>
      </c>
      <c r="AT787" s="1">
        <v>44354.313854166663</v>
      </c>
      <c r="AU787" s="1">
        <v>44354.314398148148</v>
      </c>
      <c r="AV787" t="s">
        <v>71</v>
      </c>
      <c r="AW787" t="s">
        <v>72</v>
      </c>
      <c r="AX787" t="s">
        <v>73</v>
      </c>
    </row>
    <row r="788" spans="1:50" x14ac:dyDescent="0.3">
      <c r="A788" t="str">
        <f>"201248B0000"</f>
        <v>201248B0000</v>
      </c>
      <c r="B788" t="str">
        <f>"201248B00002"</f>
        <v>201248B00002</v>
      </c>
      <c r="C788" t="str">
        <f t="shared" si="35"/>
        <v>20</v>
      </c>
      <c r="D788" t="s">
        <v>67</v>
      </c>
      <c r="E788" t="str">
        <f t="shared" si="34"/>
        <v>004</v>
      </c>
      <c r="F788" t="s">
        <v>725</v>
      </c>
      <c r="G788" t="str">
        <f>"1248"</f>
        <v>1248</v>
      </c>
      <c r="H788" t="str">
        <f>"0000"</f>
        <v>0000</v>
      </c>
      <c r="I788" t="s">
        <v>69</v>
      </c>
      <c r="J788">
        <v>0</v>
      </c>
      <c r="K788">
        <v>1</v>
      </c>
      <c r="L788">
        <v>2</v>
      </c>
      <c r="M788">
        <v>249</v>
      </c>
      <c r="N788">
        <v>270</v>
      </c>
      <c r="O788">
        <v>0</v>
      </c>
      <c r="P788">
        <v>270</v>
      </c>
      <c r="Q788">
        <v>14</v>
      </c>
      <c r="R788">
        <v>119</v>
      </c>
      <c r="S788">
        <v>1</v>
      </c>
      <c r="T788">
        <v>2</v>
      </c>
      <c r="U788">
        <v>19</v>
      </c>
      <c r="V788">
        <v>2</v>
      </c>
      <c r="W788">
        <v>2</v>
      </c>
      <c r="X788">
        <v>82</v>
      </c>
      <c r="Y788">
        <v>10</v>
      </c>
      <c r="Z788">
        <v>5</v>
      </c>
      <c r="AA788">
        <v>3</v>
      </c>
      <c r="AB788">
        <v>2</v>
      </c>
      <c r="AD788">
        <v>1</v>
      </c>
      <c r="AE788">
        <v>3</v>
      </c>
      <c r="AF788">
        <v>0</v>
      </c>
      <c r="AG788">
        <v>0</v>
      </c>
      <c r="AI788">
        <v>0</v>
      </c>
      <c r="AJ788">
        <v>5</v>
      </c>
      <c r="AK788">
        <v>270</v>
      </c>
      <c r="AL788">
        <v>270</v>
      </c>
      <c r="AM788">
        <v>475</v>
      </c>
      <c r="AN788">
        <v>44</v>
      </c>
      <c r="AP788">
        <v>1</v>
      </c>
      <c r="AR788" t="s">
        <v>872</v>
      </c>
      <c r="AS788" s="1">
        <v>44354.049305555556</v>
      </c>
      <c r="AT788" s="1">
        <v>44354.05572916667</v>
      </c>
      <c r="AU788" s="1">
        <v>44354.056493055556</v>
      </c>
      <c r="AV788" t="s">
        <v>71</v>
      </c>
      <c r="AW788" t="s">
        <v>72</v>
      </c>
      <c r="AX788" t="s">
        <v>73</v>
      </c>
    </row>
    <row r="789" spans="1:50" x14ac:dyDescent="0.3">
      <c r="A789" t="str">
        <f>"201267B0000"</f>
        <v>201267B0000</v>
      </c>
      <c r="B789" t="str">
        <f>"201267B00002"</f>
        <v>201267B00002</v>
      </c>
      <c r="C789" t="str">
        <f t="shared" si="35"/>
        <v>20</v>
      </c>
      <c r="D789" t="s">
        <v>67</v>
      </c>
      <c r="E789" t="str">
        <f t="shared" si="34"/>
        <v>004</v>
      </c>
      <c r="F789" t="s">
        <v>725</v>
      </c>
      <c r="G789" t="str">
        <f>"1267"</f>
        <v>1267</v>
      </c>
      <c r="H789" t="str">
        <f>"0000"</f>
        <v>0000</v>
      </c>
      <c r="I789" t="s">
        <v>69</v>
      </c>
      <c r="J789">
        <v>0</v>
      </c>
      <c r="K789">
        <v>1</v>
      </c>
      <c r="L789">
        <v>2</v>
      </c>
      <c r="M789">
        <v>294</v>
      </c>
      <c r="N789">
        <v>254</v>
      </c>
      <c r="O789">
        <v>2</v>
      </c>
      <c r="P789">
        <v>252</v>
      </c>
      <c r="Q789">
        <v>86</v>
      </c>
      <c r="R789">
        <v>83</v>
      </c>
      <c r="S789">
        <v>2</v>
      </c>
      <c r="T789">
        <v>1</v>
      </c>
      <c r="U789">
        <v>14</v>
      </c>
      <c r="V789">
        <v>1</v>
      </c>
      <c r="W789">
        <v>2</v>
      </c>
      <c r="X789">
        <v>36</v>
      </c>
      <c r="Y789">
        <v>3</v>
      </c>
      <c r="Z789">
        <v>2</v>
      </c>
      <c r="AA789">
        <v>2</v>
      </c>
      <c r="AB789">
        <v>3</v>
      </c>
      <c r="AD789">
        <v>3</v>
      </c>
      <c r="AE789">
        <v>2</v>
      </c>
      <c r="AF789">
        <v>0</v>
      </c>
      <c r="AG789">
        <v>1</v>
      </c>
      <c r="AI789" t="s">
        <v>77</v>
      </c>
      <c r="AJ789" t="s">
        <v>77</v>
      </c>
      <c r="AK789" t="s">
        <v>77</v>
      </c>
      <c r="AL789">
        <v>241</v>
      </c>
      <c r="AM789">
        <v>504</v>
      </c>
      <c r="AN789">
        <v>44</v>
      </c>
      <c r="AO789" t="s">
        <v>78</v>
      </c>
      <c r="AP789">
        <v>1</v>
      </c>
      <c r="AR789" t="s">
        <v>873</v>
      </c>
      <c r="AS789" s="1">
        <v>44354.034722222219</v>
      </c>
      <c r="AT789" s="1">
        <v>44354.042013888888</v>
      </c>
      <c r="AU789" s="1">
        <v>44354.042627314811</v>
      </c>
      <c r="AV789" t="s">
        <v>71</v>
      </c>
      <c r="AW789" t="s">
        <v>72</v>
      </c>
      <c r="AX789" t="s">
        <v>73</v>
      </c>
    </row>
    <row r="790" spans="1:50" x14ac:dyDescent="0.3">
      <c r="A790" t="str">
        <f>"201267C0100"</f>
        <v>201267C0100</v>
      </c>
      <c r="B790" t="str">
        <f>"201267C01002"</f>
        <v>201267C01002</v>
      </c>
      <c r="C790" t="str">
        <f t="shared" si="35"/>
        <v>20</v>
      </c>
      <c r="D790" t="s">
        <v>67</v>
      </c>
      <c r="E790" t="str">
        <f t="shared" si="34"/>
        <v>004</v>
      </c>
      <c r="F790" t="s">
        <v>725</v>
      </c>
      <c r="G790" t="str">
        <f>"1267"</f>
        <v>1267</v>
      </c>
      <c r="H790" t="str">
        <f>"0001"</f>
        <v>0001</v>
      </c>
      <c r="I790" t="s">
        <v>75</v>
      </c>
      <c r="J790">
        <v>0</v>
      </c>
      <c r="K790">
        <v>1</v>
      </c>
      <c r="L790">
        <v>2</v>
      </c>
      <c r="M790">
        <v>281</v>
      </c>
      <c r="N790">
        <v>266</v>
      </c>
      <c r="O790">
        <v>0</v>
      </c>
      <c r="P790">
        <v>266</v>
      </c>
      <c r="Q790">
        <v>90</v>
      </c>
      <c r="R790">
        <v>112</v>
      </c>
      <c r="S790">
        <v>1</v>
      </c>
      <c r="T790">
        <v>3</v>
      </c>
      <c r="U790">
        <v>16</v>
      </c>
      <c r="V790">
        <v>3</v>
      </c>
      <c r="W790">
        <v>1</v>
      </c>
      <c r="X790">
        <v>29</v>
      </c>
      <c r="Y790">
        <v>1</v>
      </c>
      <c r="Z790">
        <v>1</v>
      </c>
      <c r="AA790">
        <v>1</v>
      </c>
      <c r="AB790">
        <v>2</v>
      </c>
      <c r="AD790">
        <v>0</v>
      </c>
      <c r="AE790">
        <v>2</v>
      </c>
      <c r="AF790">
        <v>0</v>
      </c>
      <c r="AG790">
        <v>0</v>
      </c>
      <c r="AI790">
        <v>0</v>
      </c>
      <c r="AJ790">
        <v>4</v>
      </c>
      <c r="AK790">
        <v>266</v>
      </c>
      <c r="AL790">
        <v>266</v>
      </c>
      <c r="AM790">
        <v>503</v>
      </c>
      <c r="AN790">
        <v>44</v>
      </c>
      <c r="AP790">
        <v>1</v>
      </c>
      <c r="AR790" t="s">
        <v>874</v>
      </c>
      <c r="AS790" s="1">
        <v>44354.038194444445</v>
      </c>
      <c r="AT790" s="1">
        <v>44354.048333333332</v>
      </c>
      <c r="AU790" s="1">
        <v>44354.049004629633</v>
      </c>
      <c r="AV790" t="s">
        <v>71</v>
      </c>
      <c r="AW790" t="s">
        <v>72</v>
      </c>
      <c r="AX790" t="s">
        <v>73</v>
      </c>
    </row>
    <row r="791" spans="1:50" x14ac:dyDescent="0.3">
      <c r="A791" t="str">
        <f>"201267E0100"</f>
        <v>201267E0100</v>
      </c>
      <c r="B791" t="str">
        <f>"201267E01002"</f>
        <v>201267E01002</v>
      </c>
      <c r="C791" t="str">
        <f t="shared" si="35"/>
        <v>20</v>
      </c>
      <c r="D791" t="s">
        <v>67</v>
      </c>
      <c r="E791" t="str">
        <f t="shared" si="34"/>
        <v>004</v>
      </c>
      <c r="F791" t="s">
        <v>725</v>
      </c>
      <c r="G791" t="str">
        <f>"1267"</f>
        <v>1267</v>
      </c>
      <c r="H791" t="str">
        <f>"0001"</f>
        <v>0001</v>
      </c>
      <c r="I791" t="s">
        <v>109</v>
      </c>
      <c r="J791">
        <v>0</v>
      </c>
      <c r="K791">
        <v>1</v>
      </c>
      <c r="L791">
        <v>2</v>
      </c>
      <c r="M791">
        <v>95</v>
      </c>
      <c r="N791">
        <v>138</v>
      </c>
      <c r="O791">
        <v>5</v>
      </c>
      <c r="P791">
        <v>138</v>
      </c>
      <c r="Q791">
        <v>25</v>
      </c>
      <c r="R791">
        <v>58</v>
      </c>
      <c r="S791">
        <v>1</v>
      </c>
      <c r="T791">
        <v>2</v>
      </c>
      <c r="U791">
        <v>1</v>
      </c>
      <c r="V791">
        <v>0</v>
      </c>
      <c r="W791">
        <v>0</v>
      </c>
      <c r="X791">
        <v>29</v>
      </c>
      <c r="Y791">
        <v>0</v>
      </c>
      <c r="Z791">
        <v>0</v>
      </c>
      <c r="AA791">
        <v>1</v>
      </c>
      <c r="AB791">
        <v>0</v>
      </c>
      <c r="AD791">
        <v>0</v>
      </c>
      <c r="AE791">
        <v>0</v>
      </c>
      <c r="AF791">
        <v>0</v>
      </c>
      <c r="AG791">
        <v>0</v>
      </c>
      <c r="AI791">
        <v>0</v>
      </c>
      <c r="AJ791">
        <v>21</v>
      </c>
      <c r="AK791">
        <v>138</v>
      </c>
      <c r="AL791">
        <v>138</v>
      </c>
      <c r="AM791">
        <v>189</v>
      </c>
      <c r="AN791">
        <v>44</v>
      </c>
      <c r="AP791">
        <v>1</v>
      </c>
      <c r="AR791" t="s">
        <v>875</v>
      </c>
      <c r="AS791" s="1">
        <v>44354.131944444445</v>
      </c>
      <c r="AT791" s="1">
        <v>44354.134444444448</v>
      </c>
      <c r="AU791" s="1">
        <v>44354.13490740741</v>
      </c>
      <c r="AV791" t="s">
        <v>71</v>
      </c>
      <c r="AW791" t="s">
        <v>72</v>
      </c>
      <c r="AX791" t="s">
        <v>73</v>
      </c>
    </row>
    <row r="792" spans="1:50" x14ac:dyDescent="0.3">
      <c r="A792" t="str">
        <f>"201267E0200"</f>
        <v>201267E0200</v>
      </c>
      <c r="B792" t="str">
        <f>"201267E02002"</f>
        <v>201267E02002</v>
      </c>
      <c r="C792" t="str">
        <f t="shared" si="35"/>
        <v>20</v>
      </c>
      <c r="D792" t="s">
        <v>67</v>
      </c>
      <c r="E792" t="str">
        <f t="shared" si="34"/>
        <v>004</v>
      </c>
      <c r="F792" t="s">
        <v>725</v>
      </c>
      <c r="G792" t="str">
        <f>"1267"</f>
        <v>1267</v>
      </c>
      <c r="H792" t="str">
        <f>"0002"</f>
        <v>0002</v>
      </c>
      <c r="I792" t="s">
        <v>109</v>
      </c>
      <c r="J792">
        <v>0</v>
      </c>
      <c r="K792">
        <v>1</v>
      </c>
      <c r="L792">
        <v>2</v>
      </c>
      <c r="M792">
        <v>91</v>
      </c>
      <c r="N792">
        <v>109</v>
      </c>
      <c r="O792">
        <v>4</v>
      </c>
      <c r="P792">
        <v>109</v>
      </c>
      <c r="Q792">
        <v>1</v>
      </c>
      <c r="R792">
        <v>46</v>
      </c>
      <c r="S792">
        <v>2</v>
      </c>
      <c r="T792">
        <v>1</v>
      </c>
      <c r="U792">
        <v>1</v>
      </c>
      <c r="V792">
        <v>1</v>
      </c>
      <c r="W792">
        <v>0</v>
      </c>
      <c r="X792">
        <v>51</v>
      </c>
      <c r="Y792">
        <v>0</v>
      </c>
      <c r="Z792">
        <v>3</v>
      </c>
      <c r="AA792">
        <v>0</v>
      </c>
      <c r="AB792">
        <v>0</v>
      </c>
      <c r="AD792">
        <v>1</v>
      </c>
      <c r="AE792">
        <v>0</v>
      </c>
      <c r="AF792">
        <v>0</v>
      </c>
      <c r="AG792">
        <v>0</v>
      </c>
      <c r="AI792">
        <v>0</v>
      </c>
      <c r="AJ792">
        <v>2</v>
      </c>
      <c r="AK792">
        <v>109</v>
      </c>
      <c r="AL792">
        <v>109</v>
      </c>
      <c r="AM792">
        <v>156</v>
      </c>
      <c r="AN792">
        <v>44</v>
      </c>
      <c r="AP792">
        <v>1</v>
      </c>
      <c r="AR792" t="s">
        <v>876</v>
      </c>
      <c r="AS792" s="1">
        <v>44354.152777777781</v>
      </c>
      <c r="AT792" s="1">
        <v>44354.15625</v>
      </c>
      <c r="AU792" s="1">
        <v>44354.156782407408</v>
      </c>
      <c r="AV792" t="s">
        <v>71</v>
      </c>
      <c r="AW792" t="s">
        <v>72</v>
      </c>
      <c r="AX792" t="s">
        <v>73</v>
      </c>
    </row>
    <row r="793" spans="1:50" x14ac:dyDescent="0.3">
      <c r="A793" t="str">
        <f>"201268B0000"</f>
        <v>201268B0000</v>
      </c>
      <c r="B793" t="str">
        <f>"201268B00002"</f>
        <v>201268B00002</v>
      </c>
      <c r="C793" t="str">
        <f t="shared" si="35"/>
        <v>20</v>
      </c>
      <c r="D793" t="s">
        <v>67</v>
      </c>
      <c r="E793" t="str">
        <f t="shared" si="34"/>
        <v>004</v>
      </c>
      <c r="F793" t="s">
        <v>725</v>
      </c>
      <c r="G793" t="str">
        <f>"1268"</f>
        <v>1268</v>
      </c>
      <c r="H793" t="str">
        <f>"0000"</f>
        <v>0000</v>
      </c>
      <c r="I793" t="s">
        <v>69</v>
      </c>
      <c r="J793">
        <v>0</v>
      </c>
      <c r="K793">
        <v>1</v>
      </c>
      <c r="L793">
        <v>2</v>
      </c>
      <c r="M793">
        <v>296</v>
      </c>
      <c r="N793">
        <v>295</v>
      </c>
      <c r="O793">
        <v>1</v>
      </c>
      <c r="P793">
        <v>295</v>
      </c>
      <c r="Q793">
        <v>15</v>
      </c>
      <c r="R793">
        <v>126</v>
      </c>
      <c r="S793">
        <v>2</v>
      </c>
      <c r="T793">
        <v>2</v>
      </c>
      <c r="U793">
        <v>9</v>
      </c>
      <c r="V793">
        <v>2</v>
      </c>
      <c r="W793">
        <v>2</v>
      </c>
      <c r="X793">
        <v>94</v>
      </c>
      <c r="Y793">
        <v>5</v>
      </c>
      <c r="Z793">
        <v>11</v>
      </c>
      <c r="AA793">
        <v>10</v>
      </c>
      <c r="AB793">
        <v>3</v>
      </c>
      <c r="AD793">
        <v>3</v>
      </c>
      <c r="AE793">
        <v>2</v>
      </c>
      <c r="AF793">
        <v>0</v>
      </c>
      <c r="AG793">
        <v>0</v>
      </c>
      <c r="AI793">
        <v>1</v>
      </c>
      <c r="AJ793">
        <v>8</v>
      </c>
      <c r="AK793">
        <v>295</v>
      </c>
      <c r="AL793">
        <v>295</v>
      </c>
      <c r="AM793">
        <v>547</v>
      </c>
      <c r="AN793">
        <v>44</v>
      </c>
      <c r="AP793">
        <v>1</v>
      </c>
      <c r="AR793" t="s">
        <v>877</v>
      </c>
      <c r="AS793" s="1">
        <v>44354.035416666666</v>
      </c>
      <c r="AT793" s="1">
        <v>44354.043946759259</v>
      </c>
      <c r="AU793" s="1">
        <v>44354.044594907406</v>
      </c>
      <c r="AV793" t="s">
        <v>71</v>
      </c>
      <c r="AW793" t="s">
        <v>72</v>
      </c>
      <c r="AX793" t="s">
        <v>73</v>
      </c>
    </row>
    <row r="794" spans="1:50" x14ac:dyDescent="0.3">
      <c r="A794" t="str">
        <f>"201268E0100"</f>
        <v>201268E0100</v>
      </c>
      <c r="B794" t="str">
        <f>"201268E01002"</f>
        <v>201268E01002</v>
      </c>
      <c r="C794" t="str">
        <f t="shared" si="35"/>
        <v>20</v>
      </c>
      <c r="D794" t="s">
        <v>67</v>
      </c>
      <c r="E794" t="str">
        <f t="shared" si="34"/>
        <v>004</v>
      </c>
      <c r="F794" t="s">
        <v>725</v>
      </c>
      <c r="G794" t="str">
        <f>"1268"</f>
        <v>1268</v>
      </c>
      <c r="H794" t="str">
        <f>"0001"</f>
        <v>0001</v>
      </c>
      <c r="I794" t="s">
        <v>109</v>
      </c>
      <c r="J794">
        <v>0</v>
      </c>
      <c r="K794">
        <v>1</v>
      </c>
      <c r="L794">
        <v>2</v>
      </c>
      <c r="M794">
        <v>114</v>
      </c>
      <c r="N794">
        <v>121</v>
      </c>
      <c r="O794">
        <v>4</v>
      </c>
      <c r="P794">
        <v>122</v>
      </c>
      <c r="Q794">
        <v>17</v>
      </c>
      <c r="R794">
        <v>69</v>
      </c>
      <c r="S794">
        <v>2</v>
      </c>
      <c r="T794">
        <v>2</v>
      </c>
      <c r="U794">
        <v>3</v>
      </c>
      <c r="V794">
        <v>0</v>
      </c>
      <c r="W794">
        <v>2</v>
      </c>
      <c r="X794">
        <v>15</v>
      </c>
      <c r="Y794">
        <v>0</v>
      </c>
      <c r="Z794">
        <v>1</v>
      </c>
      <c r="AA794">
        <v>2</v>
      </c>
      <c r="AB794">
        <v>0</v>
      </c>
      <c r="AD794">
        <v>0</v>
      </c>
      <c r="AE794">
        <v>2</v>
      </c>
      <c r="AF794">
        <v>0</v>
      </c>
      <c r="AG794">
        <v>0</v>
      </c>
      <c r="AI794">
        <v>0</v>
      </c>
      <c r="AJ794">
        <v>7</v>
      </c>
      <c r="AK794">
        <v>122</v>
      </c>
      <c r="AL794">
        <v>122</v>
      </c>
      <c r="AM794">
        <v>192</v>
      </c>
      <c r="AN794">
        <v>44</v>
      </c>
      <c r="AP794">
        <v>1</v>
      </c>
      <c r="AR794" t="s">
        <v>878</v>
      </c>
      <c r="AS794" s="1">
        <v>44354.032638888886</v>
      </c>
      <c r="AT794" s="1">
        <v>44354.04111111111</v>
      </c>
      <c r="AU794" s="1">
        <v>44354.041701388887</v>
      </c>
      <c r="AV794" t="s">
        <v>71</v>
      </c>
      <c r="AW794" t="s">
        <v>72</v>
      </c>
      <c r="AX794" t="s">
        <v>73</v>
      </c>
    </row>
    <row r="795" spans="1:50" x14ac:dyDescent="0.3">
      <c r="A795" t="str">
        <f>"201269B0000"</f>
        <v>201269B0000</v>
      </c>
      <c r="B795" t="str">
        <f>"201269B00002"</f>
        <v>201269B00002</v>
      </c>
      <c r="C795" t="str">
        <f t="shared" si="35"/>
        <v>20</v>
      </c>
      <c r="D795" t="s">
        <v>67</v>
      </c>
      <c r="E795" t="str">
        <f t="shared" si="34"/>
        <v>004</v>
      </c>
      <c r="F795" t="s">
        <v>725</v>
      </c>
      <c r="G795" t="str">
        <f>"1269"</f>
        <v>1269</v>
      </c>
      <c r="H795" t="str">
        <f>"0000"</f>
        <v>0000</v>
      </c>
      <c r="I795" t="s">
        <v>69</v>
      </c>
      <c r="J795">
        <v>0</v>
      </c>
      <c r="K795">
        <v>1</v>
      </c>
      <c r="L795">
        <v>2</v>
      </c>
      <c r="M795">
        <v>379</v>
      </c>
      <c r="N795">
        <v>335</v>
      </c>
      <c r="O795">
        <v>1</v>
      </c>
      <c r="P795">
        <v>335</v>
      </c>
      <c r="Q795">
        <v>4</v>
      </c>
      <c r="R795">
        <v>183</v>
      </c>
      <c r="S795">
        <v>6</v>
      </c>
      <c r="T795">
        <v>3</v>
      </c>
      <c r="U795">
        <v>3</v>
      </c>
      <c r="V795">
        <v>1</v>
      </c>
      <c r="W795">
        <v>0</v>
      </c>
      <c r="X795">
        <v>89</v>
      </c>
      <c r="Y795">
        <v>3</v>
      </c>
      <c r="Z795">
        <v>0</v>
      </c>
      <c r="AA795">
        <v>6</v>
      </c>
      <c r="AB795">
        <v>4</v>
      </c>
      <c r="AD795">
        <v>6</v>
      </c>
      <c r="AE795">
        <v>11</v>
      </c>
      <c r="AF795">
        <v>0</v>
      </c>
      <c r="AG795">
        <v>2</v>
      </c>
      <c r="AI795">
        <v>0</v>
      </c>
      <c r="AJ795">
        <v>14</v>
      </c>
      <c r="AK795">
        <v>335</v>
      </c>
      <c r="AL795">
        <v>335</v>
      </c>
      <c r="AM795">
        <v>670</v>
      </c>
      <c r="AN795">
        <v>44</v>
      </c>
      <c r="AP795">
        <v>1</v>
      </c>
      <c r="AR795" t="s">
        <v>879</v>
      </c>
      <c r="AS795" s="1">
        <v>44354.102083333331</v>
      </c>
      <c r="AT795" s="1">
        <v>44354.104768518519</v>
      </c>
      <c r="AU795" s="1">
        <v>44354.105636574073</v>
      </c>
      <c r="AV795" t="s">
        <v>71</v>
      </c>
      <c r="AW795" t="s">
        <v>72</v>
      </c>
      <c r="AX795" t="s">
        <v>73</v>
      </c>
    </row>
    <row r="796" spans="1:50" x14ac:dyDescent="0.3">
      <c r="A796" t="str">
        <f>"201269E0100"</f>
        <v>201269E0100</v>
      </c>
      <c r="B796" t="str">
        <f>"201269E01002"</f>
        <v>201269E01002</v>
      </c>
      <c r="C796" t="str">
        <f t="shared" si="35"/>
        <v>20</v>
      </c>
      <c r="D796" t="s">
        <v>67</v>
      </c>
      <c r="E796" t="str">
        <f t="shared" si="34"/>
        <v>004</v>
      </c>
      <c r="F796" t="s">
        <v>725</v>
      </c>
      <c r="G796" t="str">
        <f>"1269"</f>
        <v>1269</v>
      </c>
      <c r="H796" t="str">
        <f>"0001"</f>
        <v>0001</v>
      </c>
      <c r="I796" t="s">
        <v>109</v>
      </c>
      <c r="J796">
        <v>0</v>
      </c>
      <c r="K796">
        <v>1</v>
      </c>
      <c r="L796">
        <v>2</v>
      </c>
      <c r="M796">
        <v>57</v>
      </c>
      <c r="N796">
        <v>198</v>
      </c>
      <c r="O796">
        <v>0</v>
      </c>
      <c r="P796">
        <v>198</v>
      </c>
      <c r="Q796">
        <v>1</v>
      </c>
      <c r="R796">
        <v>66</v>
      </c>
      <c r="S796">
        <v>17</v>
      </c>
      <c r="T796">
        <v>0</v>
      </c>
      <c r="U796">
        <v>7</v>
      </c>
      <c r="V796">
        <v>0</v>
      </c>
      <c r="W796">
        <v>2</v>
      </c>
      <c r="X796">
        <v>87</v>
      </c>
      <c r="Y796">
        <v>0</v>
      </c>
      <c r="Z796">
        <v>2</v>
      </c>
      <c r="AA796">
        <v>3</v>
      </c>
      <c r="AB796">
        <v>2</v>
      </c>
      <c r="AD796">
        <v>1</v>
      </c>
      <c r="AE796">
        <v>0</v>
      </c>
      <c r="AF796">
        <v>0</v>
      </c>
      <c r="AG796">
        <v>2</v>
      </c>
      <c r="AI796">
        <v>0</v>
      </c>
      <c r="AJ796">
        <v>13</v>
      </c>
      <c r="AK796">
        <v>198</v>
      </c>
      <c r="AL796">
        <v>203</v>
      </c>
      <c r="AM796">
        <v>313</v>
      </c>
      <c r="AN796">
        <v>44</v>
      </c>
      <c r="AP796">
        <v>1</v>
      </c>
      <c r="AR796" t="s">
        <v>880</v>
      </c>
      <c r="AS796" s="1">
        <v>44354.163888888892</v>
      </c>
      <c r="AT796" s="1">
        <v>44354.166284722225</v>
      </c>
      <c r="AU796" s="1">
        <v>44354.166967592595</v>
      </c>
      <c r="AV796" t="s">
        <v>71</v>
      </c>
      <c r="AW796" t="s">
        <v>72</v>
      </c>
      <c r="AX796" t="s">
        <v>73</v>
      </c>
    </row>
    <row r="797" spans="1:50" x14ac:dyDescent="0.3">
      <c r="A797" t="str">
        <f>"201270B0000"</f>
        <v>201270B0000</v>
      </c>
      <c r="B797" t="str">
        <f>"201270B00002"</f>
        <v>201270B00002</v>
      </c>
      <c r="C797" t="str">
        <f t="shared" si="35"/>
        <v>20</v>
      </c>
      <c r="D797" t="s">
        <v>67</v>
      </c>
      <c r="E797" t="str">
        <f t="shared" si="34"/>
        <v>004</v>
      </c>
      <c r="F797" t="s">
        <v>725</v>
      </c>
      <c r="G797" t="str">
        <f>"1270"</f>
        <v>1270</v>
      </c>
      <c r="H797" t="str">
        <f>"0000"</f>
        <v>0000</v>
      </c>
      <c r="I797" t="s">
        <v>69</v>
      </c>
      <c r="J797">
        <v>0</v>
      </c>
      <c r="K797">
        <v>1</v>
      </c>
      <c r="L797">
        <v>2</v>
      </c>
      <c r="M797">
        <v>198</v>
      </c>
      <c r="N797">
        <v>246</v>
      </c>
      <c r="O797">
        <v>2</v>
      </c>
      <c r="P797">
        <v>246</v>
      </c>
      <c r="Q797">
        <v>68</v>
      </c>
      <c r="R797">
        <v>70</v>
      </c>
      <c r="S797">
        <v>6</v>
      </c>
      <c r="T797">
        <v>3</v>
      </c>
      <c r="U797">
        <v>6</v>
      </c>
      <c r="V797">
        <v>0</v>
      </c>
      <c r="W797">
        <v>7</v>
      </c>
      <c r="X797">
        <v>67</v>
      </c>
      <c r="Y797">
        <v>3</v>
      </c>
      <c r="Z797">
        <v>3</v>
      </c>
      <c r="AA797">
        <v>3</v>
      </c>
      <c r="AB797">
        <v>1</v>
      </c>
      <c r="AD797">
        <v>2</v>
      </c>
      <c r="AE797">
        <v>1</v>
      </c>
      <c r="AF797">
        <v>0</v>
      </c>
      <c r="AG797">
        <v>0</v>
      </c>
      <c r="AI797">
        <v>0</v>
      </c>
      <c r="AJ797">
        <v>6</v>
      </c>
      <c r="AK797">
        <v>246</v>
      </c>
      <c r="AL797">
        <v>246</v>
      </c>
      <c r="AM797">
        <v>400</v>
      </c>
      <c r="AN797">
        <v>44</v>
      </c>
      <c r="AP797">
        <v>1</v>
      </c>
      <c r="AR797" t="s">
        <v>881</v>
      </c>
      <c r="AS797" s="1">
        <v>44354.138888888891</v>
      </c>
      <c r="AT797" s="1">
        <v>44354.141435185185</v>
      </c>
      <c r="AU797" s="1">
        <v>44354.142152777778</v>
      </c>
      <c r="AV797" t="s">
        <v>71</v>
      </c>
      <c r="AW797" t="s">
        <v>72</v>
      </c>
      <c r="AX797" t="s">
        <v>73</v>
      </c>
    </row>
    <row r="798" spans="1:50" x14ac:dyDescent="0.3">
      <c r="A798" t="str">
        <f>"201270C0100"</f>
        <v>201270C0100</v>
      </c>
      <c r="B798" t="str">
        <f>"201270C01002"</f>
        <v>201270C01002</v>
      </c>
      <c r="C798" t="str">
        <f t="shared" si="35"/>
        <v>20</v>
      </c>
      <c r="D798" t="s">
        <v>67</v>
      </c>
      <c r="E798" t="str">
        <f t="shared" si="34"/>
        <v>004</v>
      </c>
      <c r="F798" t="s">
        <v>725</v>
      </c>
      <c r="G798" t="str">
        <f>"1270"</f>
        <v>1270</v>
      </c>
      <c r="H798" t="str">
        <f>"0001"</f>
        <v>0001</v>
      </c>
      <c r="I798" t="s">
        <v>75</v>
      </c>
      <c r="J798">
        <v>0</v>
      </c>
      <c r="K798">
        <v>1</v>
      </c>
      <c r="L798">
        <v>2</v>
      </c>
      <c r="M798">
        <v>211</v>
      </c>
      <c r="N798">
        <v>233</v>
      </c>
      <c r="O798">
        <v>4</v>
      </c>
      <c r="P798">
        <v>233</v>
      </c>
      <c r="Q798">
        <v>66</v>
      </c>
      <c r="R798">
        <v>68</v>
      </c>
      <c r="S798">
        <v>3</v>
      </c>
      <c r="T798">
        <v>3</v>
      </c>
      <c r="U798">
        <v>4</v>
      </c>
      <c r="V798">
        <v>0</v>
      </c>
      <c r="W798">
        <v>5</v>
      </c>
      <c r="X798">
        <v>62</v>
      </c>
      <c r="Y798">
        <v>1</v>
      </c>
      <c r="Z798">
        <v>5</v>
      </c>
      <c r="AA798">
        <v>3</v>
      </c>
      <c r="AB798">
        <v>1</v>
      </c>
      <c r="AD798">
        <v>1</v>
      </c>
      <c r="AE798">
        <v>0</v>
      </c>
      <c r="AF798">
        <v>0</v>
      </c>
      <c r="AG798">
        <v>0</v>
      </c>
      <c r="AI798">
        <v>0</v>
      </c>
      <c r="AJ798">
        <v>12</v>
      </c>
      <c r="AK798">
        <v>233</v>
      </c>
      <c r="AL798">
        <v>234</v>
      </c>
      <c r="AM798">
        <v>400</v>
      </c>
      <c r="AN798">
        <v>44</v>
      </c>
      <c r="AP798">
        <v>1</v>
      </c>
      <c r="AR798" t="s">
        <v>882</v>
      </c>
      <c r="AS798" s="1">
        <v>44354.140972222223</v>
      </c>
      <c r="AT798" s="1">
        <v>44354.143391203703</v>
      </c>
      <c r="AU798" s="1">
        <v>44354.144259259258</v>
      </c>
      <c r="AV798" t="s">
        <v>71</v>
      </c>
      <c r="AW798" t="s">
        <v>72</v>
      </c>
      <c r="AX798" t="s">
        <v>73</v>
      </c>
    </row>
    <row r="799" spans="1:50" x14ac:dyDescent="0.3">
      <c r="A799" t="str">
        <f>"201270E0100"</f>
        <v>201270E0100</v>
      </c>
      <c r="B799" t="str">
        <f>"201270E01002"</f>
        <v>201270E01002</v>
      </c>
      <c r="C799" t="str">
        <f t="shared" si="35"/>
        <v>20</v>
      </c>
      <c r="D799" t="s">
        <v>67</v>
      </c>
      <c r="E799" t="str">
        <f t="shared" si="34"/>
        <v>004</v>
      </c>
      <c r="F799" t="s">
        <v>725</v>
      </c>
      <c r="G799" t="str">
        <f>"1270"</f>
        <v>1270</v>
      </c>
      <c r="H799" t="str">
        <f>"0001"</f>
        <v>0001</v>
      </c>
      <c r="I799" t="s">
        <v>109</v>
      </c>
      <c r="J799">
        <v>0</v>
      </c>
      <c r="K799">
        <v>1</v>
      </c>
      <c r="L799">
        <v>2</v>
      </c>
      <c r="M799">
        <v>393</v>
      </c>
      <c r="N799">
        <v>390</v>
      </c>
      <c r="O799">
        <v>5</v>
      </c>
      <c r="P799">
        <v>390</v>
      </c>
      <c r="Q799">
        <v>8</v>
      </c>
      <c r="R799">
        <v>257</v>
      </c>
      <c r="S799">
        <v>5</v>
      </c>
      <c r="T799">
        <v>4</v>
      </c>
      <c r="U799">
        <v>5</v>
      </c>
      <c r="V799">
        <v>0</v>
      </c>
      <c r="W799">
        <v>4</v>
      </c>
      <c r="X799">
        <v>66</v>
      </c>
      <c r="Y799">
        <v>1</v>
      </c>
      <c r="Z799">
        <v>2</v>
      </c>
      <c r="AA799">
        <v>6</v>
      </c>
      <c r="AB799">
        <v>5</v>
      </c>
      <c r="AD799">
        <v>0</v>
      </c>
      <c r="AE799">
        <v>0</v>
      </c>
      <c r="AF799">
        <v>1</v>
      </c>
      <c r="AG799">
        <v>0</v>
      </c>
      <c r="AI799">
        <v>0</v>
      </c>
      <c r="AJ799">
        <v>26</v>
      </c>
      <c r="AK799">
        <v>390</v>
      </c>
      <c r="AL799">
        <v>390</v>
      </c>
      <c r="AM799">
        <v>739</v>
      </c>
      <c r="AN799">
        <v>44</v>
      </c>
      <c r="AP799">
        <v>1</v>
      </c>
      <c r="AR799" t="s">
        <v>883</v>
      </c>
      <c r="AS799" s="1">
        <v>44354.152083333334</v>
      </c>
      <c r="AT799" s="1">
        <v>44354.155671296299</v>
      </c>
      <c r="AU799" s="1">
        <v>44354.156284722223</v>
      </c>
      <c r="AV799" t="s">
        <v>71</v>
      </c>
      <c r="AW799" t="s">
        <v>72</v>
      </c>
      <c r="AX799" t="s">
        <v>73</v>
      </c>
    </row>
    <row r="800" spans="1:50" x14ac:dyDescent="0.3">
      <c r="A800" t="str">
        <f>"201292B0000"</f>
        <v>201292B0000</v>
      </c>
      <c r="B800" t="str">
        <f>"201292B00002"</f>
        <v>201292B00002</v>
      </c>
      <c r="C800" t="str">
        <f t="shared" si="35"/>
        <v>20</v>
      </c>
      <c r="D800" t="s">
        <v>67</v>
      </c>
      <c r="E800" t="str">
        <f t="shared" si="34"/>
        <v>004</v>
      </c>
      <c r="F800" t="s">
        <v>725</v>
      </c>
      <c r="G800" t="str">
        <f>"1292"</f>
        <v>1292</v>
      </c>
      <c r="H800" t="str">
        <f>"0000"</f>
        <v>0000</v>
      </c>
      <c r="I800" t="s">
        <v>69</v>
      </c>
      <c r="J800">
        <v>0</v>
      </c>
      <c r="K800">
        <v>1</v>
      </c>
      <c r="L800">
        <v>2</v>
      </c>
      <c r="M800">
        <v>366</v>
      </c>
      <c r="N800">
        <v>247</v>
      </c>
      <c r="O800" t="s">
        <v>80</v>
      </c>
      <c r="P800">
        <v>247</v>
      </c>
      <c r="Q800">
        <v>1</v>
      </c>
      <c r="R800">
        <v>67</v>
      </c>
      <c r="S800">
        <v>5</v>
      </c>
      <c r="T800">
        <v>0</v>
      </c>
      <c r="U800">
        <v>2</v>
      </c>
      <c r="V800">
        <v>0</v>
      </c>
      <c r="W800">
        <v>15</v>
      </c>
      <c r="X800">
        <v>141</v>
      </c>
      <c r="Y800">
        <v>0</v>
      </c>
      <c r="Z800">
        <v>4</v>
      </c>
      <c r="AA800">
        <v>3</v>
      </c>
      <c r="AB800">
        <v>0</v>
      </c>
      <c r="AD800">
        <v>1</v>
      </c>
      <c r="AE800">
        <v>1</v>
      </c>
      <c r="AF800">
        <v>0</v>
      </c>
      <c r="AG800">
        <v>0</v>
      </c>
      <c r="AI800">
        <v>0</v>
      </c>
      <c r="AJ800">
        <v>7</v>
      </c>
      <c r="AK800">
        <v>247</v>
      </c>
      <c r="AL800">
        <v>247</v>
      </c>
      <c r="AM800">
        <v>566</v>
      </c>
      <c r="AN800">
        <v>44</v>
      </c>
      <c r="AP800">
        <v>1</v>
      </c>
      <c r="AR800" t="s">
        <v>884</v>
      </c>
      <c r="AS800" s="1">
        <v>44353.981944444444</v>
      </c>
      <c r="AT800" s="1">
        <v>44353.984305555554</v>
      </c>
      <c r="AU800" s="1">
        <v>44353.984918981485</v>
      </c>
      <c r="AV800" t="s">
        <v>71</v>
      </c>
      <c r="AW800" t="s">
        <v>72</v>
      </c>
      <c r="AX800" t="s">
        <v>73</v>
      </c>
    </row>
    <row r="801" spans="1:50" x14ac:dyDescent="0.3">
      <c r="A801" t="str">
        <f>"201292C0100"</f>
        <v>201292C0100</v>
      </c>
      <c r="B801" t="str">
        <f>"201292C01002"</f>
        <v>201292C01002</v>
      </c>
      <c r="C801" t="str">
        <f t="shared" si="35"/>
        <v>20</v>
      </c>
      <c r="D801" t="s">
        <v>67</v>
      </c>
      <c r="E801" t="str">
        <f t="shared" si="34"/>
        <v>004</v>
      </c>
      <c r="F801" t="s">
        <v>725</v>
      </c>
      <c r="G801" t="str">
        <f>"1292"</f>
        <v>1292</v>
      </c>
      <c r="H801" t="str">
        <f>"0001"</f>
        <v>0001</v>
      </c>
      <c r="I801" t="s">
        <v>75</v>
      </c>
      <c r="J801">
        <v>0</v>
      </c>
      <c r="K801">
        <v>1</v>
      </c>
      <c r="L801">
        <v>2</v>
      </c>
      <c r="M801">
        <v>362</v>
      </c>
      <c r="N801">
        <v>249</v>
      </c>
      <c r="O801">
        <v>1</v>
      </c>
      <c r="P801">
        <v>248</v>
      </c>
      <c r="Q801">
        <v>0</v>
      </c>
      <c r="R801">
        <v>72</v>
      </c>
      <c r="S801">
        <v>1</v>
      </c>
      <c r="T801">
        <v>1</v>
      </c>
      <c r="U801">
        <v>2</v>
      </c>
      <c r="V801">
        <v>2</v>
      </c>
      <c r="W801">
        <v>21</v>
      </c>
      <c r="X801">
        <v>132</v>
      </c>
      <c r="Y801">
        <v>0</v>
      </c>
      <c r="Z801">
        <v>5</v>
      </c>
      <c r="AA801">
        <v>1</v>
      </c>
      <c r="AB801">
        <v>0</v>
      </c>
      <c r="AD801">
        <v>4</v>
      </c>
      <c r="AE801">
        <v>1</v>
      </c>
      <c r="AF801">
        <v>0</v>
      </c>
      <c r="AG801">
        <v>0</v>
      </c>
      <c r="AI801">
        <v>0</v>
      </c>
      <c r="AJ801">
        <v>6</v>
      </c>
      <c r="AK801">
        <v>248</v>
      </c>
      <c r="AL801">
        <v>248</v>
      </c>
      <c r="AM801">
        <v>566</v>
      </c>
      <c r="AN801">
        <v>44</v>
      </c>
      <c r="AP801">
        <v>1</v>
      </c>
      <c r="AR801" t="s">
        <v>885</v>
      </c>
      <c r="AS801" s="1">
        <v>44353.75</v>
      </c>
      <c r="AT801" s="1">
        <v>44353.982210648152</v>
      </c>
      <c r="AU801" s="1">
        <v>44353.983078703706</v>
      </c>
      <c r="AV801" t="s">
        <v>71</v>
      </c>
      <c r="AW801" t="s">
        <v>72</v>
      </c>
      <c r="AX801" t="s">
        <v>73</v>
      </c>
    </row>
    <row r="802" spans="1:50" x14ac:dyDescent="0.3">
      <c r="A802" t="str">
        <f>"201292C0200"</f>
        <v>201292C0200</v>
      </c>
      <c r="B802" t="str">
        <f>"201292C02002"</f>
        <v>201292C02002</v>
      </c>
      <c r="C802" t="str">
        <f t="shared" si="35"/>
        <v>20</v>
      </c>
      <c r="D802" t="s">
        <v>67</v>
      </c>
      <c r="E802" t="str">
        <f t="shared" si="34"/>
        <v>004</v>
      </c>
      <c r="F802" t="s">
        <v>725</v>
      </c>
      <c r="G802" t="str">
        <f>"1292"</f>
        <v>1292</v>
      </c>
      <c r="H802" t="str">
        <f>"0002"</f>
        <v>0002</v>
      </c>
      <c r="I802" t="s">
        <v>75</v>
      </c>
      <c r="J802">
        <v>0</v>
      </c>
      <c r="K802">
        <v>1</v>
      </c>
      <c r="L802">
        <v>2</v>
      </c>
      <c r="M802">
        <v>344</v>
      </c>
      <c r="N802">
        <v>266</v>
      </c>
      <c r="O802">
        <v>0</v>
      </c>
      <c r="P802">
        <v>266</v>
      </c>
      <c r="Q802">
        <v>5</v>
      </c>
      <c r="R802">
        <v>69</v>
      </c>
      <c r="S802">
        <v>1</v>
      </c>
      <c r="T802">
        <v>2</v>
      </c>
      <c r="U802">
        <v>2</v>
      </c>
      <c r="V802">
        <v>3</v>
      </c>
      <c r="W802">
        <v>29</v>
      </c>
      <c r="X802">
        <v>137</v>
      </c>
      <c r="Y802">
        <v>0</v>
      </c>
      <c r="Z802">
        <v>6</v>
      </c>
      <c r="AA802">
        <v>2</v>
      </c>
      <c r="AB802">
        <v>0</v>
      </c>
      <c r="AD802">
        <v>1</v>
      </c>
      <c r="AE802">
        <v>3</v>
      </c>
      <c r="AF802">
        <v>0</v>
      </c>
      <c r="AG802">
        <v>1</v>
      </c>
      <c r="AI802">
        <v>0</v>
      </c>
      <c r="AJ802">
        <v>11</v>
      </c>
      <c r="AK802">
        <v>266</v>
      </c>
      <c r="AL802">
        <v>272</v>
      </c>
      <c r="AM802">
        <v>566</v>
      </c>
      <c r="AN802">
        <v>44</v>
      </c>
      <c r="AP802">
        <v>1</v>
      </c>
      <c r="AR802" t="s">
        <v>886</v>
      </c>
      <c r="AS802" s="1">
        <v>44353.979861111111</v>
      </c>
      <c r="AT802" s="1">
        <v>44353.982881944445</v>
      </c>
      <c r="AU802" s="1">
        <v>44353.984652777777</v>
      </c>
      <c r="AV802" t="s">
        <v>71</v>
      </c>
      <c r="AW802" t="s">
        <v>72</v>
      </c>
      <c r="AX802" t="s">
        <v>73</v>
      </c>
    </row>
    <row r="803" spans="1:50" x14ac:dyDescent="0.3">
      <c r="A803" t="str">
        <f>"201293B0000"</f>
        <v>201293B0000</v>
      </c>
      <c r="B803" t="str">
        <f>"201293B00002"</f>
        <v>201293B00002</v>
      </c>
      <c r="C803" t="str">
        <f t="shared" si="35"/>
        <v>20</v>
      </c>
      <c r="D803" t="s">
        <v>67</v>
      </c>
      <c r="E803" t="str">
        <f t="shared" si="34"/>
        <v>004</v>
      </c>
      <c r="F803" t="s">
        <v>725</v>
      </c>
      <c r="G803" t="str">
        <f>"1293"</f>
        <v>1293</v>
      </c>
      <c r="H803" t="str">
        <f>"0000"</f>
        <v>0000</v>
      </c>
      <c r="I803" t="s">
        <v>69</v>
      </c>
      <c r="J803">
        <v>0</v>
      </c>
      <c r="K803">
        <v>1</v>
      </c>
      <c r="L803">
        <v>2</v>
      </c>
      <c r="M803">
        <v>209</v>
      </c>
      <c r="N803">
        <v>84</v>
      </c>
      <c r="O803">
        <v>3</v>
      </c>
      <c r="P803">
        <v>84</v>
      </c>
      <c r="Q803">
        <v>1</v>
      </c>
      <c r="R803">
        <v>29</v>
      </c>
      <c r="S803">
        <v>1</v>
      </c>
      <c r="T803">
        <v>5</v>
      </c>
      <c r="U803">
        <v>1</v>
      </c>
      <c r="V803">
        <v>3</v>
      </c>
      <c r="W803">
        <v>0</v>
      </c>
      <c r="X803">
        <v>43</v>
      </c>
      <c r="Y803">
        <v>0</v>
      </c>
      <c r="Z803">
        <v>0</v>
      </c>
      <c r="AA803">
        <v>0</v>
      </c>
      <c r="AB803">
        <v>0</v>
      </c>
      <c r="AD803" t="s">
        <v>77</v>
      </c>
      <c r="AE803" t="s">
        <v>77</v>
      </c>
      <c r="AF803" t="s">
        <v>77</v>
      </c>
      <c r="AG803" t="s">
        <v>77</v>
      </c>
      <c r="AI803" t="s">
        <v>77</v>
      </c>
      <c r="AJ803" t="s">
        <v>77</v>
      </c>
      <c r="AK803" t="s">
        <v>77</v>
      </c>
      <c r="AL803">
        <v>83</v>
      </c>
      <c r="AM803">
        <v>249</v>
      </c>
      <c r="AN803">
        <v>44</v>
      </c>
      <c r="AO803" t="s">
        <v>78</v>
      </c>
      <c r="AP803">
        <v>1</v>
      </c>
      <c r="AR803" t="s">
        <v>887</v>
      </c>
      <c r="AS803" s="1">
        <v>44354.15</v>
      </c>
      <c r="AT803" s="1">
        <v>44354.152349537035</v>
      </c>
      <c r="AU803" s="1">
        <v>44354.152685185189</v>
      </c>
      <c r="AV803" t="s">
        <v>71</v>
      </c>
      <c r="AW803" t="s">
        <v>72</v>
      </c>
      <c r="AX803" t="s">
        <v>73</v>
      </c>
    </row>
    <row r="804" spans="1:50" x14ac:dyDescent="0.3">
      <c r="A804" t="str">
        <f>"201293E0100"</f>
        <v>201293E0100</v>
      </c>
      <c r="B804" t="str">
        <f>"201293E01002"</f>
        <v>201293E01002</v>
      </c>
      <c r="C804" t="str">
        <f t="shared" si="35"/>
        <v>20</v>
      </c>
      <c r="D804" t="s">
        <v>67</v>
      </c>
      <c r="E804" t="str">
        <f t="shared" si="34"/>
        <v>004</v>
      </c>
      <c r="F804" t="s">
        <v>725</v>
      </c>
      <c r="G804" t="str">
        <f>"1293"</f>
        <v>1293</v>
      </c>
      <c r="H804" t="str">
        <f>"0001"</f>
        <v>0001</v>
      </c>
      <c r="I804" t="s">
        <v>109</v>
      </c>
      <c r="J804">
        <v>0</v>
      </c>
      <c r="K804">
        <v>1</v>
      </c>
      <c r="L804">
        <v>2</v>
      </c>
      <c r="M804">
        <v>225</v>
      </c>
      <c r="N804">
        <v>115</v>
      </c>
      <c r="O804">
        <v>5</v>
      </c>
      <c r="P804">
        <v>111</v>
      </c>
      <c r="Q804">
        <v>4</v>
      </c>
      <c r="R804">
        <v>10</v>
      </c>
      <c r="S804">
        <v>0</v>
      </c>
      <c r="T804">
        <v>0</v>
      </c>
      <c r="U804">
        <v>4</v>
      </c>
      <c r="V804">
        <v>0</v>
      </c>
      <c r="W804">
        <v>1</v>
      </c>
      <c r="X804">
        <v>87</v>
      </c>
      <c r="Y804">
        <v>0</v>
      </c>
      <c r="Z804">
        <v>3</v>
      </c>
      <c r="AA804">
        <v>1</v>
      </c>
      <c r="AB804">
        <v>1</v>
      </c>
      <c r="AD804" t="s">
        <v>77</v>
      </c>
      <c r="AE804" t="s">
        <v>77</v>
      </c>
      <c r="AF804" t="s">
        <v>77</v>
      </c>
      <c r="AG804" t="s">
        <v>77</v>
      </c>
      <c r="AI804" t="s">
        <v>77</v>
      </c>
      <c r="AJ804">
        <v>4</v>
      </c>
      <c r="AK804">
        <v>115</v>
      </c>
      <c r="AL804">
        <v>115</v>
      </c>
      <c r="AM804">
        <v>296</v>
      </c>
      <c r="AN804">
        <v>44</v>
      </c>
      <c r="AO804" t="s">
        <v>78</v>
      </c>
      <c r="AP804">
        <v>1</v>
      </c>
      <c r="AR804" t="s">
        <v>888</v>
      </c>
      <c r="AS804" s="1">
        <v>44354.177777777775</v>
      </c>
      <c r="AT804" s="1">
        <v>44354.180104166669</v>
      </c>
      <c r="AU804" s="1">
        <v>44354.180289351854</v>
      </c>
      <c r="AV804" t="s">
        <v>71</v>
      </c>
      <c r="AW804" t="s">
        <v>72</v>
      </c>
      <c r="AX804" t="s">
        <v>73</v>
      </c>
    </row>
    <row r="805" spans="1:50" x14ac:dyDescent="0.3">
      <c r="A805" t="str">
        <f>"201293E0200"</f>
        <v>201293E0200</v>
      </c>
      <c r="B805" t="str">
        <f>"201293E02002"</f>
        <v>201293E02002</v>
      </c>
      <c r="C805" t="str">
        <f t="shared" si="35"/>
        <v>20</v>
      </c>
      <c r="D805" t="s">
        <v>67</v>
      </c>
      <c r="E805" t="str">
        <f t="shared" si="34"/>
        <v>004</v>
      </c>
      <c r="F805" t="s">
        <v>725</v>
      </c>
      <c r="G805" t="str">
        <f>"1293"</f>
        <v>1293</v>
      </c>
      <c r="H805" t="str">
        <f>"0002"</f>
        <v>0002</v>
      </c>
      <c r="I805" t="s">
        <v>109</v>
      </c>
      <c r="J805">
        <v>0</v>
      </c>
      <c r="K805">
        <v>1</v>
      </c>
      <c r="L805">
        <v>2</v>
      </c>
      <c r="M805">
        <v>254</v>
      </c>
      <c r="N805">
        <v>124</v>
      </c>
      <c r="O805">
        <v>3</v>
      </c>
      <c r="P805">
        <v>124</v>
      </c>
      <c r="Q805">
        <v>1</v>
      </c>
      <c r="R805">
        <v>68</v>
      </c>
      <c r="S805">
        <v>2</v>
      </c>
      <c r="T805">
        <v>3</v>
      </c>
      <c r="U805">
        <v>2</v>
      </c>
      <c r="V805">
        <v>0</v>
      </c>
      <c r="W805">
        <v>8</v>
      </c>
      <c r="X805">
        <v>27</v>
      </c>
      <c r="Y805">
        <v>0</v>
      </c>
      <c r="Z805">
        <v>4</v>
      </c>
      <c r="AA805">
        <v>2</v>
      </c>
      <c r="AB805">
        <v>1</v>
      </c>
      <c r="AD805">
        <v>2</v>
      </c>
      <c r="AE805">
        <v>0</v>
      </c>
      <c r="AF805">
        <v>0</v>
      </c>
      <c r="AG805">
        <v>0</v>
      </c>
      <c r="AI805">
        <v>0</v>
      </c>
      <c r="AJ805">
        <v>4</v>
      </c>
      <c r="AK805">
        <v>124</v>
      </c>
      <c r="AL805">
        <v>124</v>
      </c>
      <c r="AM805">
        <v>334</v>
      </c>
      <c r="AN805">
        <v>44</v>
      </c>
      <c r="AP805">
        <v>1</v>
      </c>
      <c r="AR805" t="s">
        <v>889</v>
      </c>
      <c r="AS805" s="1">
        <v>44354.148611111108</v>
      </c>
      <c r="AT805" s="1">
        <v>44354.15215277778</v>
      </c>
      <c r="AU805" s="1">
        <v>44354.152615740742</v>
      </c>
      <c r="AV805" t="s">
        <v>71</v>
      </c>
      <c r="AW805" t="s">
        <v>72</v>
      </c>
      <c r="AX805" t="s">
        <v>73</v>
      </c>
    </row>
    <row r="806" spans="1:50" x14ac:dyDescent="0.3">
      <c r="A806" t="str">
        <f>"201293E0300"</f>
        <v>201293E0300</v>
      </c>
      <c r="B806" t="str">
        <f>"201293E03002"</f>
        <v>201293E03002</v>
      </c>
      <c r="C806" t="str">
        <f t="shared" si="35"/>
        <v>20</v>
      </c>
      <c r="D806" t="s">
        <v>67</v>
      </c>
      <c r="E806" t="str">
        <f t="shared" si="34"/>
        <v>004</v>
      </c>
      <c r="F806" t="s">
        <v>725</v>
      </c>
      <c r="G806" t="str">
        <f>"1293"</f>
        <v>1293</v>
      </c>
      <c r="H806" t="str">
        <f>"0003"</f>
        <v>0003</v>
      </c>
      <c r="I806" t="s">
        <v>109</v>
      </c>
      <c r="J806">
        <v>0</v>
      </c>
      <c r="K806">
        <v>1</v>
      </c>
      <c r="L806">
        <v>2</v>
      </c>
      <c r="M806">
        <v>55</v>
      </c>
      <c r="N806">
        <v>104</v>
      </c>
      <c r="O806">
        <v>3</v>
      </c>
      <c r="P806">
        <v>104</v>
      </c>
      <c r="Q806">
        <v>1</v>
      </c>
      <c r="R806">
        <v>15</v>
      </c>
      <c r="S806">
        <v>1</v>
      </c>
      <c r="T806">
        <v>2</v>
      </c>
      <c r="U806">
        <v>1</v>
      </c>
      <c r="V806">
        <v>0</v>
      </c>
      <c r="W806">
        <v>3</v>
      </c>
      <c r="X806">
        <v>63</v>
      </c>
      <c r="Y806">
        <v>1</v>
      </c>
      <c r="Z806">
        <v>3</v>
      </c>
      <c r="AA806">
        <v>5</v>
      </c>
      <c r="AB806">
        <v>2</v>
      </c>
      <c r="AD806">
        <v>0</v>
      </c>
      <c r="AE806">
        <v>0</v>
      </c>
      <c r="AF806">
        <v>0</v>
      </c>
      <c r="AG806">
        <v>0</v>
      </c>
      <c r="AI806">
        <v>0</v>
      </c>
      <c r="AJ806">
        <v>7</v>
      </c>
      <c r="AK806">
        <v>104</v>
      </c>
      <c r="AL806">
        <v>104</v>
      </c>
      <c r="AM806">
        <v>189</v>
      </c>
      <c r="AN806">
        <v>44</v>
      </c>
      <c r="AP806">
        <v>1</v>
      </c>
      <c r="AR806" t="s">
        <v>890</v>
      </c>
      <c r="AS806" s="1">
        <v>44354.151388888888</v>
      </c>
      <c r="AT806" s="1">
        <v>44354.154872685183</v>
      </c>
      <c r="AU806" s="1">
        <v>44354.155243055553</v>
      </c>
      <c r="AV806" t="s">
        <v>71</v>
      </c>
      <c r="AW806" t="s">
        <v>72</v>
      </c>
      <c r="AX806" t="s">
        <v>73</v>
      </c>
    </row>
    <row r="807" spans="1:50" x14ac:dyDescent="0.3">
      <c r="A807" t="str">
        <f>"201316B0000"</f>
        <v>201316B0000</v>
      </c>
      <c r="B807" t="str">
        <f>"201316B00002"</f>
        <v>201316B00002</v>
      </c>
      <c r="C807" t="str">
        <f t="shared" si="35"/>
        <v>20</v>
      </c>
      <c r="D807" t="s">
        <v>67</v>
      </c>
      <c r="E807" t="str">
        <f t="shared" si="34"/>
        <v>004</v>
      </c>
      <c r="F807" t="s">
        <v>725</v>
      </c>
      <c r="G807" t="str">
        <f>"1316"</f>
        <v>1316</v>
      </c>
      <c r="H807" t="str">
        <f>"0000"</f>
        <v>0000</v>
      </c>
      <c r="I807" t="s">
        <v>69</v>
      </c>
      <c r="J807">
        <v>0</v>
      </c>
      <c r="K807">
        <v>1</v>
      </c>
      <c r="L807">
        <v>2</v>
      </c>
      <c r="M807" t="s">
        <v>80</v>
      </c>
      <c r="N807" t="s">
        <v>80</v>
      </c>
      <c r="O807" t="s">
        <v>80</v>
      </c>
      <c r="P807" t="s">
        <v>80</v>
      </c>
      <c r="Q807">
        <v>7</v>
      </c>
      <c r="R807">
        <v>59</v>
      </c>
      <c r="S807">
        <v>3</v>
      </c>
      <c r="T807">
        <v>2</v>
      </c>
      <c r="U807">
        <v>34</v>
      </c>
      <c r="V807">
        <v>1</v>
      </c>
      <c r="W807">
        <v>2</v>
      </c>
      <c r="X807" t="s">
        <v>99</v>
      </c>
      <c r="Y807">
        <v>30</v>
      </c>
      <c r="Z807">
        <v>1</v>
      </c>
      <c r="AA807">
        <v>10</v>
      </c>
      <c r="AB807">
        <v>0</v>
      </c>
      <c r="AD807">
        <v>2</v>
      </c>
      <c r="AE807">
        <v>2</v>
      </c>
      <c r="AF807">
        <v>0</v>
      </c>
      <c r="AG807">
        <v>0</v>
      </c>
      <c r="AI807">
        <v>0</v>
      </c>
      <c r="AJ807">
        <v>11</v>
      </c>
      <c r="AK807" t="s">
        <v>99</v>
      </c>
      <c r="AL807">
        <v>164</v>
      </c>
      <c r="AM807">
        <v>683</v>
      </c>
      <c r="AN807">
        <v>44</v>
      </c>
      <c r="AO807" t="s">
        <v>78</v>
      </c>
      <c r="AP807">
        <v>1</v>
      </c>
      <c r="AR807" t="s">
        <v>891</v>
      </c>
      <c r="AS807" s="1">
        <v>44354.177777777775</v>
      </c>
      <c r="AT807" s="1">
        <v>44354.211805555555</v>
      </c>
      <c r="AU807" s="1">
        <v>44354.230833333335</v>
      </c>
      <c r="AV807" t="s">
        <v>71</v>
      </c>
      <c r="AW807" t="s">
        <v>72</v>
      </c>
      <c r="AX807" t="s">
        <v>73</v>
      </c>
    </row>
    <row r="808" spans="1:50" x14ac:dyDescent="0.3">
      <c r="A808" t="str">
        <f>"201316C0100"</f>
        <v>201316C0100</v>
      </c>
      <c r="B808" t="str">
        <f>"201316C01002"</f>
        <v>201316C01002</v>
      </c>
      <c r="C808" t="str">
        <f t="shared" si="35"/>
        <v>20</v>
      </c>
      <c r="D808" t="s">
        <v>67</v>
      </c>
      <c r="E808" t="str">
        <f t="shared" si="34"/>
        <v>004</v>
      </c>
      <c r="F808" t="s">
        <v>725</v>
      </c>
      <c r="G808" t="str">
        <f>"1316"</f>
        <v>1316</v>
      </c>
      <c r="H808" t="str">
        <f>"0001"</f>
        <v>0001</v>
      </c>
      <c r="I808" t="s">
        <v>75</v>
      </c>
      <c r="J808">
        <v>0</v>
      </c>
      <c r="K808">
        <v>1</v>
      </c>
      <c r="L808">
        <v>2</v>
      </c>
      <c r="M808">
        <v>390</v>
      </c>
      <c r="N808">
        <v>336</v>
      </c>
      <c r="O808">
        <v>3</v>
      </c>
      <c r="P808">
        <v>336</v>
      </c>
      <c r="Q808">
        <v>6</v>
      </c>
      <c r="R808">
        <v>80</v>
      </c>
      <c r="S808">
        <v>1</v>
      </c>
      <c r="T808">
        <v>0</v>
      </c>
      <c r="U808">
        <v>40</v>
      </c>
      <c r="V808">
        <v>1</v>
      </c>
      <c r="W808">
        <v>3</v>
      </c>
      <c r="X808">
        <v>150</v>
      </c>
      <c r="Y808">
        <v>24</v>
      </c>
      <c r="Z808">
        <v>6</v>
      </c>
      <c r="AA808">
        <v>11</v>
      </c>
      <c r="AB808">
        <v>4</v>
      </c>
      <c r="AD808">
        <v>4</v>
      </c>
      <c r="AE808">
        <v>2</v>
      </c>
      <c r="AF808">
        <v>0</v>
      </c>
      <c r="AG808">
        <v>0</v>
      </c>
      <c r="AI808">
        <v>0</v>
      </c>
      <c r="AJ808">
        <v>4</v>
      </c>
      <c r="AK808">
        <v>336</v>
      </c>
      <c r="AL808">
        <v>336</v>
      </c>
      <c r="AM808">
        <v>682</v>
      </c>
      <c r="AN808">
        <v>44</v>
      </c>
      <c r="AP808">
        <v>1</v>
      </c>
      <c r="AR808" t="s">
        <v>892</v>
      </c>
      <c r="AS808" s="1">
        <v>44354.093055555553</v>
      </c>
      <c r="AT808" s="1">
        <v>44354.098182870373</v>
      </c>
      <c r="AU808" s="1">
        <v>44354.098668981482</v>
      </c>
      <c r="AV808" t="s">
        <v>71</v>
      </c>
      <c r="AW808" t="s">
        <v>72</v>
      </c>
      <c r="AX808" t="s">
        <v>73</v>
      </c>
    </row>
    <row r="809" spans="1:50" x14ac:dyDescent="0.3">
      <c r="A809" t="str">
        <f>"201317B0000"</f>
        <v>201317B0000</v>
      </c>
      <c r="B809" t="str">
        <f>"201317B00002"</f>
        <v>201317B00002</v>
      </c>
      <c r="C809" t="str">
        <f t="shared" si="35"/>
        <v>20</v>
      </c>
      <c r="D809" t="s">
        <v>67</v>
      </c>
      <c r="E809" t="str">
        <f t="shared" si="34"/>
        <v>004</v>
      </c>
      <c r="F809" t="s">
        <v>725</v>
      </c>
      <c r="G809" t="str">
        <f>"1317"</f>
        <v>1317</v>
      </c>
      <c r="H809" t="str">
        <f>"0000"</f>
        <v>0000</v>
      </c>
      <c r="I809" t="s">
        <v>69</v>
      </c>
      <c r="J809">
        <v>0</v>
      </c>
      <c r="K809">
        <v>1</v>
      </c>
      <c r="L809">
        <v>2</v>
      </c>
      <c r="M809">
        <v>345</v>
      </c>
      <c r="N809">
        <v>349</v>
      </c>
      <c r="O809">
        <v>6</v>
      </c>
      <c r="P809">
        <v>349</v>
      </c>
      <c r="Q809">
        <v>8</v>
      </c>
      <c r="R809">
        <v>89</v>
      </c>
      <c r="S809">
        <v>2</v>
      </c>
      <c r="T809">
        <v>1</v>
      </c>
      <c r="U809">
        <v>40</v>
      </c>
      <c r="V809">
        <v>4</v>
      </c>
      <c r="W809">
        <v>0</v>
      </c>
      <c r="X809">
        <v>149</v>
      </c>
      <c r="Y809">
        <v>20</v>
      </c>
      <c r="Z809">
        <v>3</v>
      </c>
      <c r="AA809">
        <v>3</v>
      </c>
      <c r="AB809">
        <v>12</v>
      </c>
      <c r="AD809">
        <v>0</v>
      </c>
      <c r="AE809">
        <v>0</v>
      </c>
      <c r="AF809">
        <v>0</v>
      </c>
      <c r="AG809">
        <v>0</v>
      </c>
      <c r="AI809">
        <v>0</v>
      </c>
      <c r="AJ809">
        <v>18</v>
      </c>
      <c r="AK809">
        <v>349</v>
      </c>
      <c r="AL809">
        <v>349</v>
      </c>
      <c r="AM809">
        <v>650</v>
      </c>
      <c r="AN809">
        <v>44</v>
      </c>
      <c r="AP809">
        <v>1</v>
      </c>
      <c r="AR809" t="s">
        <v>893</v>
      </c>
      <c r="AS809" s="1">
        <v>44354.091666666667</v>
      </c>
      <c r="AT809" s="1">
        <v>44354.097129629627</v>
      </c>
      <c r="AU809" s="1">
        <v>44354.097604166665</v>
      </c>
      <c r="AV809" t="s">
        <v>71</v>
      </c>
      <c r="AW809" t="s">
        <v>72</v>
      </c>
      <c r="AX809" t="s">
        <v>73</v>
      </c>
    </row>
    <row r="810" spans="1:50" x14ac:dyDescent="0.3">
      <c r="A810" t="str">
        <f>"201317E0100"</f>
        <v>201317E0100</v>
      </c>
      <c r="B810" t="str">
        <f>"201317E01002"</f>
        <v>201317E01002</v>
      </c>
      <c r="C810" t="str">
        <f t="shared" si="35"/>
        <v>20</v>
      </c>
      <c r="D810" t="s">
        <v>67</v>
      </c>
      <c r="E810" t="str">
        <f t="shared" si="34"/>
        <v>004</v>
      </c>
      <c r="F810" t="s">
        <v>725</v>
      </c>
      <c r="G810" t="str">
        <f>"1317"</f>
        <v>1317</v>
      </c>
      <c r="H810" t="str">
        <f>"0001"</f>
        <v>0001</v>
      </c>
      <c r="I810" t="s">
        <v>109</v>
      </c>
      <c r="J810">
        <v>0</v>
      </c>
      <c r="K810">
        <v>1</v>
      </c>
      <c r="L810">
        <v>2</v>
      </c>
      <c r="M810">
        <v>268</v>
      </c>
      <c r="N810">
        <v>248</v>
      </c>
      <c r="O810">
        <v>6</v>
      </c>
      <c r="P810">
        <v>248</v>
      </c>
      <c r="Q810">
        <v>0</v>
      </c>
      <c r="R810">
        <v>124</v>
      </c>
      <c r="S810">
        <v>5</v>
      </c>
      <c r="T810">
        <v>2</v>
      </c>
      <c r="U810">
        <v>36</v>
      </c>
      <c r="V810">
        <v>0</v>
      </c>
      <c r="W810">
        <v>3</v>
      </c>
      <c r="X810">
        <v>56</v>
      </c>
      <c r="Y810">
        <v>2</v>
      </c>
      <c r="Z810">
        <v>2</v>
      </c>
      <c r="AA810">
        <v>1</v>
      </c>
      <c r="AB810">
        <v>3</v>
      </c>
      <c r="AD810">
        <v>0</v>
      </c>
      <c r="AE810">
        <v>1</v>
      </c>
      <c r="AF810">
        <v>0</v>
      </c>
      <c r="AG810">
        <v>0</v>
      </c>
      <c r="AI810">
        <v>0</v>
      </c>
      <c r="AJ810">
        <v>13</v>
      </c>
      <c r="AK810">
        <v>248</v>
      </c>
      <c r="AL810">
        <v>248</v>
      </c>
      <c r="AM810">
        <v>472</v>
      </c>
      <c r="AN810">
        <v>44</v>
      </c>
      <c r="AP810">
        <v>1</v>
      </c>
      <c r="AR810" t="s">
        <v>894</v>
      </c>
      <c r="AS810" s="1">
        <v>44354.091666666667</v>
      </c>
      <c r="AT810" s="1">
        <v>44354.098124999997</v>
      </c>
      <c r="AU810" s="1">
        <v>44354.09847222222</v>
      </c>
      <c r="AV810" t="s">
        <v>71</v>
      </c>
      <c r="AW810" t="s">
        <v>72</v>
      </c>
      <c r="AX810" t="s">
        <v>73</v>
      </c>
    </row>
    <row r="811" spans="1:50" x14ac:dyDescent="0.3">
      <c r="A811" t="str">
        <f>"201371B0000"</f>
        <v>201371B0000</v>
      </c>
      <c r="B811" t="str">
        <f>"201371B00002"</f>
        <v>201371B00002</v>
      </c>
      <c r="C811" t="str">
        <f t="shared" si="35"/>
        <v>20</v>
      </c>
      <c r="D811" t="s">
        <v>67</v>
      </c>
      <c r="E811" t="str">
        <f t="shared" si="34"/>
        <v>004</v>
      </c>
      <c r="F811" t="s">
        <v>725</v>
      </c>
      <c r="G811" t="str">
        <f>"1371"</f>
        <v>1371</v>
      </c>
      <c r="H811" t="str">
        <f>"0000"</f>
        <v>0000</v>
      </c>
      <c r="I811" t="s">
        <v>69</v>
      </c>
      <c r="J811">
        <v>0</v>
      </c>
      <c r="K811">
        <v>1</v>
      </c>
      <c r="L811">
        <v>2</v>
      </c>
      <c r="M811">
        <v>323</v>
      </c>
      <c r="N811">
        <v>281</v>
      </c>
      <c r="O811">
        <v>0</v>
      </c>
      <c r="P811">
        <v>281</v>
      </c>
      <c r="Q811">
        <v>14</v>
      </c>
      <c r="R811">
        <v>95</v>
      </c>
      <c r="S811">
        <v>10</v>
      </c>
      <c r="T811">
        <v>7</v>
      </c>
      <c r="U811">
        <v>6</v>
      </c>
      <c r="V811">
        <v>10</v>
      </c>
      <c r="W811">
        <v>6</v>
      </c>
      <c r="X811">
        <v>79</v>
      </c>
      <c r="Y811">
        <v>2</v>
      </c>
      <c r="Z811">
        <v>8</v>
      </c>
      <c r="AA811">
        <v>6</v>
      </c>
      <c r="AB811">
        <v>7</v>
      </c>
      <c r="AD811">
        <v>6</v>
      </c>
      <c r="AE811">
        <v>0</v>
      </c>
      <c r="AF811">
        <v>0</v>
      </c>
      <c r="AG811">
        <v>0</v>
      </c>
      <c r="AI811">
        <v>0</v>
      </c>
      <c r="AJ811">
        <v>25</v>
      </c>
      <c r="AK811">
        <v>281</v>
      </c>
      <c r="AL811">
        <v>281</v>
      </c>
      <c r="AM811">
        <v>560</v>
      </c>
      <c r="AN811">
        <v>44</v>
      </c>
      <c r="AP811">
        <v>1</v>
      </c>
      <c r="AR811" t="s">
        <v>895</v>
      </c>
      <c r="AS811" s="1">
        <v>44354.125</v>
      </c>
      <c r="AT811" s="1">
        <v>44354.12767361111</v>
      </c>
      <c r="AU811" s="1">
        <v>44354.128680555557</v>
      </c>
      <c r="AV811" t="s">
        <v>71</v>
      </c>
      <c r="AW811" t="s">
        <v>72</v>
      </c>
      <c r="AX811" t="s">
        <v>73</v>
      </c>
    </row>
    <row r="812" spans="1:50" x14ac:dyDescent="0.3">
      <c r="A812" t="str">
        <f>"201484B0000"</f>
        <v>201484B0000</v>
      </c>
      <c r="B812" t="str">
        <f>"201484B00002"</f>
        <v>201484B00002</v>
      </c>
      <c r="C812" t="str">
        <f t="shared" si="35"/>
        <v>20</v>
      </c>
      <c r="D812" t="s">
        <v>67</v>
      </c>
      <c r="E812" t="str">
        <f t="shared" si="34"/>
        <v>004</v>
      </c>
      <c r="F812" t="s">
        <v>725</v>
      </c>
      <c r="G812" t="str">
        <f>"1484"</f>
        <v>1484</v>
      </c>
      <c r="H812" t="str">
        <f>"0000"</f>
        <v>0000</v>
      </c>
      <c r="I812" t="s">
        <v>69</v>
      </c>
      <c r="J812">
        <v>0</v>
      </c>
      <c r="K812">
        <v>1</v>
      </c>
      <c r="L812">
        <v>2</v>
      </c>
      <c r="M812">
        <v>224</v>
      </c>
      <c r="N812">
        <v>186</v>
      </c>
      <c r="O812" t="s">
        <v>80</v>
      </c>
      <c r="P812">
        <v>186</v>
      </c>
      <c r="Q812">
        <v>0</v>
      </c>
      <c r="R812">
        <v>21</v>
      </c>
      <c r="S812">
        <v>3</v>
      </c>
      <c r="T812">
        <v>0</v>
      </c>
      <c r="U812">
        <v>4</v>
      </c>
      <c r="V812">
        <v>0</v>
      </c>
      <c r="W812">
        <v>7</v>
      </c>
      <c r="X812">
        <v>138</v>
      </c>
      <c r="Y812">
        <v>0</v>
      </c>
      <c r="Z812">
        <v>2</v>
      </c>
      <c r="AA812">
        <v>3</v>
      </c>
      <c r="AB812">
        <v>0</v>
      </c>
      <c r="AD812">
        <v>2</v>
      </c>
      <c r="AE812">
        <v>0</v>
      </c>
      <c r="AF812">
        <v>0</v>
      </c>
      <c r="AG812">
        <v>0</v>
      </c>
      <c r="AI812">
        <v>0</v>
      </c>
      <c r="AJ812">
        <v>6</v>
      </c>
      <c r="AK812" t="s">
        <v>77</v>
      </c>
      <c r="AL812">
        <v>186</v>
      </c>
      <c r="AM812">
        <v>366</v>
      </c>
      <c r="AN812">
        <v>44</v>
      </c>
      <c r="AP812">
        <v>1</v>
      </c>
      <c r="AR812" t="s">
        <v>896</v>
      </c>
      <c r="AS812" s="1">
        <v>44354.328472222223</v>
      </c>
      <c r="AT812" s="1">
        <v>44354.329710648148</v>
      </c>
      <c r="AU812" s="1">
        <v>44354.330509259256</v>
      </c>
      <c r="AV812" t="s">
        <v>71</v>
      </c>
      <c r="AW812" t="s">
        <v>72</v>
      </c>
      <c r="AX812" t="s">
        <v>73</v>
      </c>
    </row>
    <row r="813" spans="1:50" x14ac:dyDescent="0.3">
      <c r="A813" t="str">
        <f>"201492B0000"</f>
        <v>201492B0000</v>
      </c>
      <c r="B813" t="str">
        <f>"201492B00002"</f>
        <v>201492B00002</v>
      </c>
      <c r="C813" t="str">
        <f t="shared" si="35"/>
        <v>20</v>
      </c>
      <c r="D813" t="s">
        <v>67</v>
      </c>
      <c r="E813" t="str">
        <f t="shared" si="34"/>
        <v>004</v>
      </c>
      <c r="F813" t="s">
        <v>725</v>
      </c>
      <c r="G813" t="str">
        <f>"1492"</f>
        <v>1492</v>
      </c>
      <c r="H813" t="str">
        <f>"0000"</f>
        <v>0000</v>
      </c>
      <c r="I813" t="s">
        <v>69</v>
      </c>
      <c r="J813">
        <v>0</v>
      </c>
      <c r="K813">
        <v>1</v>
      </c>
      <c r="L813">
        <v>2</v>
      </c>
      <c r="M813">
        <v>393</v>
      </c>
      <c r="N813">
        <v>286</v>
      </c>
      <c r="O813">
        <v>6</v>
      </c>
      <c r="P813">
        <v>286</v>
      </c>
      <c r="Q813">
        <v>1</v>
      </c>
      <c r="R813">
        <v>95</v>
      </c>
      <c r="S813">
        <v>6</v>
      </c>
      <c r="T813">
        <v>4</v>
      </c>
      <c r="U813">
        <v>8</v>
      </c>
      <c r="V813">
        <v>3</v>
      </c>
      <c r="W813">
        <v>5</v>
      </c>
      <c r="X813">
        <v>139</v>
      </c>
      <c r="Y813">
        <v>1</v>
      </c>
      <c r="Z813">
        <v>13</v>
      </c>
      <c r="AA813">
        <v>2</v>
      </c>
      <c r="AB813">
        <v>2</v>
      </c>
      <c r="AD813">
        <v>1</v>
      </c>
      <c r="AE813">
        <v>0</v>
      </c>
      <c r="AF813">
        <v>0</v>
      </c>
      <c r="AG813">
        <v>0</v>
      </c>
      <c r="AI813">
        <v>0</v>
      </c>
      <c r="AJ813">
        <v>0</v>
      </c>
      <c r="AK813">
        <v>286</v>
      </c>
      <c r="AL813">
        <v>280</v>
      </c>
      <c r="AM813">
        <v>635</v>
      </c>
      <c r="AN813">
        <v>44</v>
      </c>
      <c r="AP813">
        <v>1</v>
      </c>
      <c r="AR813" t="s">
        <v>897</v>
      </c>
      <c r="AS813" s="1">
        <v>44354.350694444445</v>
      </c>
      <c r="AT813" s="1">
        <v>44354.352337962962</v>
      </c>
      <c r="AU813" s="1">
        <v>44354.352962962963</v>
      </c>
      <c r="AV813" t="s">
        <v>71</v>
      </c>
      <c r="AW813" t="s">
        <v>72</v>
      </c>
      <c r="AX813" t="s">
        <v>73</v>
      </c>
    </row>
    <row r="814" spans="1:50" x14ac:dyDescent="0.3">
      <c r="A814" t="str">
        <f>"201514B0000"</f>
        <v>201514B0000</v>
      </c>
      <c r="B814" t="str">
        <f>"201514B00002"</f>
        <v>201514B00002</v>
      </c>
      <c r="C814" t="str">
        <f t="shared" si="35"/>
        <v>20</v>
      </c>
      <c r="D814" t="s">
        <v>67</v>
      </c>
      <c r="E814" t="str">
        <f t="shared" si="34"/>
        <v>004</v>
      </c>
      <c r="F814" t="s">
        <v>725</v>
      </c>
      <c r="G814" t="str">
        <f>"1514"</f>
        <v>1514</v>
      </c>
      <c r="H814" t="str">
        <f>"0000"</f>
        <v>0000</v>
      </c>
      <c r="I814" t="s">
        <v>69</v>
      </c>
      <c r="J814">
        <v>0</v>
      </c>
      <c r="K814">
        <v>1</v>
      </c>
      <c r="L814">
        <v>2</v>
      </c>
      <c r="M814">
        <v>278</v>
      </c>
      <c r="N814">
        <v>322</v>
      </c>
      <c r="O814">
        <v>0</v>
      </c>
      <c r="P814">
        <v>322</v>
      </c>
      <c r="Q814">
        <v>2</v>
      </c>
      <c r="R814">
        <v>215</v>
      </c>
      <c r="S814">
        <v>6</v>
      </c>
      <c r="T814">
        <v>2</v>
      </c>
      <c r="U814">
        <v>9</v>
      </c>
      <c r="V814">
        <v>4</v>
      </c>
      <c r="W814">
        <v>2</v>
      </c>
      <c r="X814">
        <v>43</v>
      </c>
      <c r="Y814">
        <v>3</v>
      </c>
      <c r="Z814">
        <v>7</v>
      </c>
      <c r="AA814">
        <v>1</v>
      </c>
      <c r="AB814">
        <v>4</v>
      </c>
      <c r="AD814">
        <v>2</v>
      </c>
      <c r="AE814">
        <v>3</v>
      </c>
      <c r="AF814">
        <v>0</v>
      </c>
      <c r="AG814">
        <v>0</v>
      </c>
      <c r="AI814">
        <v>0</v>
      </c>
      <c r="AJ814">
        <v>19</v>
      </c>
      <c r="AK814">
        <v>322</v>
      </c>
      <c r="AL814">
        <v>322</v>
      </c>
      <c r="AM814">
        <v>556</v>
      </c>
      <c r="AN814">
        <v>44</v>
      </c>
      <c r="AP814">
        <v>1</v>
      </c>
      <c r="AR814" t="s">
        <v>898</v>
      </c>
      <c r="AS814" s="1">
        <v>44354.074999999997</v>
      </c>
      <c r="AT814" s="1">
        <v>44354.082037037035</v>
      </c>
      <c r="AU814" s="1">
        <v>44354.082488425927</v>
      </c>
      <c r="AV814" t="s">
        <v>71</v>
      </c>
      <c r="AW814" t="s">
        <v>72</v>
      </c>
      <c r="AX814" t="s">
        <v>73</v>
      </c>
    </row>
    <row r="815" spans="1:50" x14ac:dyDescent="0.3">
      <c r="A815" t="str">
        <f>"201541B0000"</f>
        <v>201541B0000</v>
      </c>
      <c r="B815" t="str">
        <f>"201541B00002"</f>
        <v>201541B00002</v>
      </c>
      <c r="C815" t="str">
        <f t="shared" si="35"/>
        <v>20</v>
      </c>
      <c r="D815" t="s">
        <v>67</v>
      </c>
      <c r="E815" t="str">
        <f t="shared" si="34"/>
        <v>004</v>
      </c>
      <c r="F815" t="s">
        <v>725</v>
      </c>
      <c r="G815" t="str">
        <f>"1541"</f>
        <v>1541</v>
      </c>
      <c r="H815" t="str">
        <f>"0000"</f>
        <v>0000</v>
      </c>
      <c r="I815" t="s">
        <v>69</v>
      </c>
      <c r="J815">
        <v>0</v>
      </c>
      <c r="K815">
        <v>1</v>
      </c>
      <c r="L815">
        <v>2</v>
      </c>
      <c r="M815">
        <v>414</v>
      </c>
      <c r="N815">
        <v>325</v>
      </c>
      <c r="O815">
        <v>5</v>
      </c>
      <c r="P815">
        <v>325</v>
      </c>
      <c r="Q815">
        <v>4</v>
      </c>
      <c r="R815">
        <v>138</v>
      </c>
      <c r="S815">
        <v>0</v>
      </c>
      <c r="T815">
        <v>7</v>
      </c>
      <c r="U815">
        <v>8</v>
      </c>
      <c r="V815">
        <v>3</v>
      </c>
      <c r="W815">
        <v>6</v>
      </c>
      <c r="X815">
        <v>139</v>
      </c>
      <c r="Y815">
        <v>0</v>
      </c>
      <c r="Z815">
        <v>5</v>
      </c>
      <c r="AA815">
        <v>2</v>
      </c>
      <c r="AB815">
        <v>3</v>
      </c>
      <c r="AD815">
        <v>2</v>
      </c>
      <c r="AE815">
        <v>0</v>
      </c>
      <c r="AF815">
        <v>0</v>
      </c>
      <c r="AG815">
        <v>0</v>
      </c>
      <c r="AI815">
        <v>0</v>
      </c>
      <c r="AJ815">
        <v>8</v>
      </c>
      <c r="AK815">
        <v>325</v>
      </c>
      <c r="AL815">
        <v>325</v>
      </c>
      <c r="AM815">
        <v>695</v>
      </c>
      <c r="AN815">
        <v>44</v>
      </c>
      <c r="AP815">
        <v>1</v>
      </c>
      <c r="AR815" t="s">
        <v>899</v>
      </c>
      <c r="AS815" s="1">
        <v>44354.287499999999</v>
      </c>
      <c r="AT815" s="1">
        <v>44354.290543981479</v>
      </c>
      <c r="AU815" s="1">
        <v>44354.290856481479</v>
      </c>
      <c r="AV815" t="s">
        <v>71</v>
      </c>
      <c r="AW815" t="s">
        <v>72</v>
      </c>
      <c r="AX815" t="s">
        <v>73</v>
      </c>
    </row>
    <row r="816" spans="1:50" x14ac:dyDescent="0.3">
      <c r="A816" t="str">
        <f>"201541C0100"</f>
        <v>201541C0100</v>
      </c>
      <c r="B816" t="str">
        <f>"201541C01002"</f>
        <v>201541C01002</v>
      </c>
      <c r="C816" t="str">
        <f t="shared" si="35"/>
        <v>20</v>
      </c>
      <c r="D816" t="s">
        <v>67</v>
      </c>
      <c r="E816" t="str">
        <f t="shared" si="34"/>
        <v>004</v>
      </c>
      <c r="F816" t="s">
        <v>725</v>
      </c>
      <c r="G816" t="str">
        <f>"1541"</f>
        <v>1541</v>
      </c>
      <c r="H816" t="str">
        <f>"0001"</f>
        <v>0001</v>
      </c>
      <c r="I816" t="s">
        <v>75</v>
      </c>
      <c r="J816">
        <v>0</v>
      </c>
      <c r="K816">
        <v>1</v>
      </c>
      <c r="L816">
        <v>2</v>
      </c>
      <c r="M816">
        <v>422</v>
      </c>
      <c r="N816">
        <v>317</v>
      </c>
      <c r="O816">
        <v>4</v>
      </c>
      <c r="P816">
        <v>317</v>
      </c>
      <c r="Q816">
        <v>11</v>
      </c>
      <c r="R816">
        <v>136</v>
      </c>
      <c r="S816">
        <v>4</v>
      </c>
      <c r="T816">
        <v>4</v>
      </c>
      <c r="U816">
        <v>4</v>
      </c>
      <c r="V816">
        <v>2</v>
      </c>
      <c r="W816">
        <v>2</v>
      </c>
      <c r="X816">
        <v>129</v>
      </c>
      <c r="Y816">
        <v>3</v>
      </c>
      <c r="Z816">
        <v>8</v>
      </c>
      <c r="AA816">
        <v>4</v>
      </c>
      <c r="AB816">
        <v>3</v>
      </c>
      <c r="AD816">
        <v>1</v>
      </c>
      <c r="AE816">
        <v>0</v>
      </c>
      <c r="AF816">
        <v>0</v>
      </c>
      <c r="AG816">
        <v>0</v>
      </c>
      <c r="AI816">
        <v>0</v>
      </c>
      <c r="AJ816">
        <v>6</v>
      </c>
      <c r="AK816">
        <v>317</v>
      </c>
      <c r="AL816">
        <v>317</v>
      </c>
      <c r="AM816">
        <v>695</v>
      </c>
      <c r="AN816">
        <v>44</v>
      </c>
      <c r="AP816">
        <v>1</v>
      </c>
      <c r="AR816" t="s">
        <v>900</v>
      </c>
      <c r="AS816" s="1">
        <v>44354.290277777778</v>
      </c>
      <c r="AT816" s="1">
        <v>44354.292581018519</v>
      </c>
      <c r="AU816" s="1">
        <v>44354.29346064815</v>
      </c>
      <c r="AV816" t="s">
        <v>71</v>
      </c>
      <c r="AW816" t="s">
        <v>72</v>
      </c>
      <c r="AX816" t="s">
        <v>73</v>
      </c>
    </row>
    <row r="817" spans="1:50" x14ac:dyDescent="0.3">
      <c r="A817" t="str">
        <f>"201541E0100"</f>
        <v>201541E0100</v>
      </c>
      <c r="B817" t="str">
        <f>"201541E01002"</f>
        <v>201541E01002</v>
      </c>
      <c r="C817" t="str">
        <f t="shared" si="35"/>
        <v>20</v>
      </c>
      <c r="D817" t="s">
        <v>67</v>
      </c>
      <c r="E817" t="str">
        <f t="shared" si="34"/>
        <v>004</v>
      </c>
      <c r="F817" t="s">
        <v>725</v>
      </c>
      <c r="G817" t="str">
        <f>"1541"</f>
        <v>1541</v>
      </c>
      <c r="H817" t="str">
        <f>"0001"</f>
        <v>0001</v>
      </c>
      <c r="I817" t="s">
        <v>109</v>
      </c>
      <c r="J817">
        <v>0</v>
      </c>
      <c r="K817">
        <v>1</v>
      </c>
      <c r="L817">
        <v>2</v>
      </c>
      <c r="M817">
        <v>205</v>
      </c>
      <c r="N817">
        <v>84</v>
      </c>
      <c r="O817">
        <v>0</v>
      </c>
      <c r="P817">
        <v>84</v>
      </c>
      <c r="Q817">
        <v>0</v>
      </c>
      <c r="R817">
        <v>17</v>
      </c>
      <c r="S817">
        <v>6</v>
      </c>
      <c r="T817">
        <v>2</v>
      </c>
      <c r="U817">
        <v>4</v>
      </c>
      <c r="V817">
        <v>1</v>
      </c>
      <c r="W817">
        <v>3</v>
      </c>
      <c r="X817">
        <v>39</v>
      </c>
      <c r="Y817">
        <v>1</v>
      </c>
      <c r="Z817">
        <v>2</v>
      </c>
      <c r="AA817">
        <v>3</v>
      </c>
      <c r="AB817">
        <v>0</v>
      </c>
      <c r="AD817">
        <v>0</v>
      </c>
      <c r="AE817">
        <v>0</v>
      </c>
      <c r="AF817">
        <v>0</v>
      </c>
      <c r="AG817">
        <v>0</v>
      </c>
      <c r="AI817">
        <v>0</v>
      </c>
      <c r="AJ817">
        <v>6</v>
      </c>
      <c r="AK817">
        <v>84</v>
      </c>
      <c r="AL817">
        <v>84</v>
      </c>
      <c r="AM817">
        <v>245</v>
      </c>
      <c r="AN817">
        <v>44</v>
      </c>
      <c r="AP817">
        <v>1</v>
      </c>
      <c r="AR817" t="s">
        <v>901</v>
      </c>
      <c r="AS817" s="1">
        <v>44354.318055555559</v>
      </c>
      <c r="AT817" s="1">
        <v>44354.321261574078</v>
      </c>
      <c r="AU817" s="1">
        <v>44354.321898148148</v>
      </c>
      <c r="AV817" t="s">
        <v>71</v>
      </c>
      <c r="AW817" t="s">
        <v>72</v>
      </c>
      <c r="AX817" t="s">
        <v>73</v>
      </c>
    </row>
    <row r="818" spans="1:50" x14ac:dyDescent="0.3">
      <c r="A818" t="str">
        <f>"201541E0200"</f>
        <v>201541E0200</v>
      </c>
      <c r="B818" t="str">
        <f>"201541E02002"</f>
        <v>201541E02002</v>
      </c>
      <c r="C818" t="str">
        <f t="shared" si="35"/>
        <v>20</v>
      </c>
      <c r="D818" t="s">
        <v>67</v>
      </c>
      <c r="E818" t="str">
        <f t="shared" si="34"/>
        <v>004</v>
      </c>
      <c r="F818" t="s">
        <v>725</v>
      </c>
      <c r="G818" t="str">
        <f>"1541"</f>
        <v>1541</v>
      </c>
      <c r="H818" t="str">
        <f>"0002"</f>
        <v>0002</v>
      </c>
      <c r="I818" t="s">
        <v>109</v>
      </c>
      <c r="J818">
        <v>0</v>
      </c>
      <c r="K818">
        <v>1</v>
      </c>
      <c r="L818">
        <v>2</v>
      </c>
      <c r="M818">
        <v>91</v>
      </c>
      <c r="N818">
        <v>92</v>
      </c>
      <c r="O818">
        <v>5</v>
      </c>
      <c r="P818">
        <v>92</v>
      </c>
      <c r="Q818">
        <v>0</v>
      </c>
      <c r="R818">
        <v>37</v>
      </c>
      <c r="S818">
        <v>0</v>
      </c>
      <c r="T818">
        <v>1</v>
      </c>
      <c r="U818">
        <v>1</v>
      </c>
      <c r="V818">
        <v>0</v>
      </c>
      <c r="W818">
        <v>7</v>
      </c>
      <c r="X818">
        <v>44</v>
      </c>
      <c r="Y818">
        <v>0</v>
      </c>
      <c r="Z818">
        <v>0</v>
      </c>
      <c r="AA818">
        <v>1</v>
      </c>
      <c r="AB818">
        <v>0</v>
      </c>
      <c r="AD818">
        <v>0</v>
      </c>
      <c r="AE818">
        <v>0</v>
      </c>
      <c r="AF818">
        <v>0</v>
      </c>
      <c r="AG818">
        <v>0</v>
      </c>
      <c r="AI818">
        <v>0</v>
      </c>
      <c r="AJ818">
        <v>1</v>
      </c>
      <c r="AK818">
        <v>92</v>
      </c>
      <c r="AL818">
        <v>92</v>
      </c>
      <c r="AM818">
        <v>139</v>
      </c>
      <c r="AN818">
        <v>44</v>
      </c>
      <c r="AP818">
        <v>1</v>
      </c>
      <c r="AR818" t="s">
        <v>902</v>
      </c>
      <c r="AS818" s="1">
        <v>44354.246527777781</v>
      </c>
      <c r="AT818" s="1">
        <v>44354.248773148145</v>
      </c>
      <c r="AU818" s="1">
        <v>44354.249363425923</v>
      </c>
      <c r="AV818" t="s">
        <v>71</v>
      </c>
      <c r="AW818" t="s">
        <v>72</v>
      </c>
      <c r="AX818" t="s">
        <v>73</v>
      </c>
    </row>
    <row r="819" spans="1:50" x14ac:dyDescent="0.3">
      <c r="A819" t="str">
        <f>"201542B0000"</f>
        <v>201542B0000</v>
      </c>
      <c r="B819" t="str">
        <f>"201542B00002"</f>
        <v>201542B00002</v>
      </c>
      <c r="C819" t="str">
        <f t="shared" si="35"/>
        <v>20</v>
      </c>
      <c r="D819" t="s">
        <v>67</v>
      </c>
      <c r="E819" t="str">
        <f t="shared" si="34"/>
        <v>004</v>
      </c>
      <c r="F819" t="s">
        <v>725</v>
      </c>
      <c r="G819" t="str">
        <f>"1542"</f>
        <v>1542</v>
      </c>
      <c r="H819" t="str">
        <f>"0000"</f>
        <v>0000</v>
      </c>
      <c r="I819" t="s">
        <v>69</v>
      </c>
      <c r="J819">
        <v>0</v>
      </c>
      <c r="K819">
        <v>1</v>
      </c>
      <c r="L819">
        <v>2</v>
      </c>
      <c r="M819">
        <v>252</v>
      </c>
      <c r="N819">
        <v>170</v>
      </c>
      <c r="O819">
        <v>3</v>
      </c>
      <c r="P819">
        <v>170</v>
      </c>
      <c r="Q819">
        <v>1</v>
      </c>
      <c r="R819">
        <v>53</v>
      </c>
      <c r="S819">
        <v>1</v>
      </c>
      <c r="T819">
        <v>1</v>
      </c>
      <c r="U819">
        <v>1</v>
      </c>
      <c r="V819">
        <v>4</v>
      </c>
      <c r="W819">
        <v>47</v>
      </c>
      <c r="X819">
        <v>44</v>
      </c>
      <c r="Y819">
        <v>0</v>
      </c>
      <c r="Z819">
        <v>2</v>
      </c>
      <c r="AA819">
        <v>1</v>
      </c>
      <c r="AB819">
        <v>0</v>
      </c>
      <c r="AD819">
        <v>0</v>
      </c>
      <c r="AE819">
        <v>0</v>
      </c>
      <c r="AF819">
        <v>0</v>
      </c>
      <c r="AG819">
        <v>1</v>
      </c>
      <c r="AI819">
        <v>0</v>
      </c>
      <c r="AJ819">
        <v>14</v>
      </c>
      <c r="AK819">
        <v>170</v>
      </c>
      <c r="AL819">
        <v>170</v>
      </c>
      <c r="AM819">
        <v>378</v>
      </c>
      <c r="AN819">
        <v>44</v>
      </c>
      <c r="AP819">
        <v>1</v>
      </c>
      <c r="AR819" t="s">
        <v>903</v>
      </c>
      <c r="AS819" s="1">
        <v>44354.298611111109</v>
      </c>
      <c r="AT819" s="1">
        <v>44354.30091435185</v>
      </c>
      <c r="AU819" s="1">
        <v>44354.301504629628</v>
      </c>
      <c r="AV819" t="s">
        <v>71</v>
      </c>
      <c r="AW819" t="s">
        <v>72</v>
      </c>
      <c r="AX819" t="s">
        <v>73</v>
      </c>
    </row>
    <row r="820" spans="1:50" x14ac:dyDescent="0.3">
      <c r="A820" t="str">
        <f>"201542C0100"</f>
        <v>201542C0100</v>
      </c>
      <c r="B820" t="str">
        <f>"201542C01002"</f>
        <v>201542C01002</v>
      </c>
      <c r="C820" t="str">
        <f t="shared" si="35"/>
        <v>20</v>
      </c>
      <c r="D820" t="s">
        <v>67</v>
      </c>
      <c r="E820" t="str">
        <f t="shared" si="34"/>
        <v>004</v>
      </c>
      <c r="F820" t="s">
        <v>725</v>
      </c>
      <c r="G820" t="str">
        <f>"1542"</f>
        <v>1542</v>
      </c>
      <c r="H820" t="str">
        <f>"0001"</f>
        <v>0001</v>
      </c>
      <c r="I820" t="s">
        <v>75</v>
      </c>
      <c r="J820">
        <v>0</v>
      </c>
      <c r="K820">
        <v>1</v>
      </c>
      <c r="L820">
        <v>2</v>
      </c>
      <c r="M820">
        <v>266</v>
      </c>
      <c r="N820">
        <v>156</v>
      </c>
      <c r="O820">
        <v>0</v>
      </c>
      <c r="P820">
        <v>156</v>
      </c>
      <c r="Q820">
        <v>0</v>
      </c>
      <c r="R820">
        <v>43</v>
      </c>
      <c r="S820">
        <v>0</v>
      </c>
      <c r="T820">
        <v>1</v>
      </c>
      <c r="U820">
        <v>3</v>
      </c>
      <c r="V820">
        <v>0</v>
      </c>
      <c r="W820">
        <v>60</v>
      </c>
      <c r="X820">
        <v>43</v>
      </c>
      <c r="Y820">
        <v>0</v>
      </c>
      <c r="Z820">
        <v>0</v>
      </c>
      <c r="AA820">
        <v>1</v>
      </c>
      <c r="AB820">
        <v>0</v>
      </c>
      <c r="AD820">
        <v>0</v>
      </c>
      <c r="AE820">
        <v>0</v>
      </c>
      <c r="AF820">
        <v>0</v>
      </c>
      <c r="AG820">
        <v>0</v>
      </c>
      <c r="AI820">
        <v>0</v>
      </c>
      <c r="AJ820">
        <v>5</v>
      </c>
      <c r="AK820">
        <v>156</v>
      </c>
      <c r="AL820">
        <v>156</v>
      </c>
      <c r="AM820">
        <v>378</v>
      </c>
      <c r="AN820">
        <v>44</v>
      </c>
      <c r="AP820">
        <v>1</v>
      </c>
      <c r="AR820" t="s">
        <v>904</v>
      </c>
      <c r="AS820" s="1">
        <v>44354.29791666667</v>
      </c>
      <c r="AT820" s="1">
        <v>44354.299837962964</v>
      </c>
      <c r="AU820" s="1">
        <v>44354.300243055557</v>
      </c>
      <c r="AV820" t="s">
        <v>71</v>
      </c>
      <c r="AW820" t="s">
        <v>72</v>
      </c>
      <c r="AX820" t="s">
        <v>73</v>
      </c>
    </row>
    <row r="821" spans="1:50" x14ac:dyDescent="0.3">
      <c r="A821" t="str">
        <f>"201543B0000"</f>
        <v>201543B0000</v>
      </c>
      <c r="B821" t="str">
        <f>"201543B00002"</f>
        <v>201543B00002</v>
      </c>
      <c r="C821" t="str">
        <f t="shared" si="35"/>
        <v>20</v>
      </c>
      <c r="D821" t="s">
        <v>67</v>
      </c>
      <c r="E821" t="str">
        <f t="shared" si="34"/>
        <v>004</v>
      </c>
      <c r="F821" t="s">
        <v>725</v>
      </c>
      <c r="G821" t="str">
        <f>"1543"</f>
        <v>1543</v>
      </c>
      <c r="H821" t="str">
        <f>"0000"</f>
        <v>0000</v>
      </c>
      <c r="I821" t="s">
        <v>69</v>
      </c>
      <c r="J821">
        <v>0</v>
      </c>
      <c r="K821">
        <v>1</v>
      </c>
      <c r="L821">
        <v>2</v>
      </c>
      <c r="M821">
        <v>395</v>
      </c>
      <c r="N821">
        <v>336</v>
      </c>
      <c r="O821">
        <v>7</v>
      </c>
      <c r="P821">
        <v>336</v>
      </c>
      <c r="Q821">
        <v>6</v>
      </c>
      <c r="R821">
        <v>201</v>
      </c>
      <c r="S821">
        <v>8</v>
      </c>
      <c r="T821">
        <v>3</v>
      </c>
      <c r="U821">
        <v>3</v>
      </c>
      <c r="V821">
        <v>1</v>
      </c>
      <c r="W821">
        <v>8</v>
      </c>
      <c r="X821">
        <v>75</v>
      </c>
      <c r="Y821">
        <v>0</v>
      </c>
      <c r="Z821">
        <v>3</v>
      </c>
      <c r="AA821">
        <v>3</v>
      </c>
      <c r="AB821">
        <v>4</v>
      </c>
      <c r="AD821">
        <v>3</v>
      </c>
      <c r="AE821">
        <v>1</v>
      </c>
      <c r="AF821">
        <v>0</v>
      </c>
      <c r="AG821">
        <v>1</v>
      </c>
      <c r="AI821">
        <v>0</v>
      </c>
      <c r="AJ821">
        <v>16</v>
      </c>
      <c r="AK821">
        <v>336</v>
      </c>
      <c r="AL821">
        <v>336</v>
      </c>
      <c r="AM821">
        <v>687</v>
      </c>
      <c r="AN821">
        <v>44</v>
      </c>
      <c r="AP821">
        <v>1</v>
      </c>
      <c r="AR821" t="s">
        <v>905</v>
      </c>
      <c r="AS821" s="1">
        <v>44354.246527777781</v>
      </c>
      <c r="AT821" s="1">
        <v>44354.24895833333</v>
      </c>
      <c r="AU821" s="1">
        <v>44354.249537037038</v>
      </c>
      <c r="AV821" t="s">
        <v>71</v>
      </c>
      <c r="AW821" t="s">
        <v>72</v>
      </c>
      <c r="AX821" t="s">
        <v>73</v>
      </c>
    </row>
    <row r="822" spans="1:50" x14ac:dyDescent="0.3">
      <c r="A822" t="str">
        <f>"201555B0000"</f>
        <v>201555B0000</v>
      </c>
      <c r="B822" t="str">
        <f>"201555B00002"</f>
        <v>201555B00002</v>
      </c>
      <c r="C822" t="str">
        <f t="shared" si="35"/>
        <v>20</v>
      </c>
      <c r="D822" t="s">
        <v>67</v>
      </c>
      <c r="E822" t="str">
        <f t="shared" si="34"/>
        <v>004</v>
      </c>
      <c r="F822" t="s">
        <v>725</v>
      </c>
      <c r="G822" t="str">
        <f>"1555"</f>
        <v>1555</v>
      </c>
      <c r="H822" t="str">
        <f>"0000"</f>
        <v>0000</v>
      </c>
      <c r="I822" t="s">
        <v>69</v>
      </c>
      <c r="J822">
        <v>0</v>
      </c>
      <c r="K822">
        <v>1</v>
      </c>
      <c r="L822">
        <v>2</v>
      </c>
      <c r="M822">
        <v>245</v>
      </c>
      <c r="N822">
        <v>647</v>
      </c>
      <c r="O822">
        <v>0</v>
      </c>
      <c r="P822">
        <v>402</v>
      </c>
      <c r="Q822">
        <v>11</v>
      </c>
      <c r="R822">
        <v>109</v>
      </c>
      <c r="S822">
        <v>9</v>
      </c>
      <c r="T822">
        <v>6</v>
      </c>
      <c r="U822">
        <v>18</v>
      </c>
      <c r="V822">
        <v>5</v>
      </c>
      <c r="W822">
        <v>3</v>
      </c>
      <c r="X822">
        <v>214</v>
      </c>
      <c r="Y822">
        <v>5</v>
      </c>
      <c r="Z822">
        <v>6</v>
      </c>
      <c r="AA822">
        <v>5</v>
      </c>
      <c r="AB822">
        <v>1</v>
      </c>
      <c r="AD822" t="s">
        <v>77</v>
      </c>
      <c r="AE822" t="s">
        <v>77</v>
      </c>
      <c r="AF822">
        <v>1</v>
      </c>
      <c r="AG822">
        <v>1</v>
      </c>
      <c r="AI822">
        <v>8</v>
      </c>
      <c r="AJ822">
        <v>8</v>
      </c>
      <c r="AK822">
        <v>402</v>
      </c>
      <c r="AL822">
        <v>410</v>
      </c>
      <c r="AM822">
        <v>603</v>
      </c>
      <c r="AN822">
        <v>44</v>
      </c>
      <c r="AO822" t="s">
        <v>78</v>
      </c>
      <c r="AP822">
        <v>1</v>
      </c>
      <c r="AR822" t="s">
        <v>906</v>
      </c>
      <c r="AS822" s="1">
        <v>44354.15902777778</v>
      </c>
      <c r="AT822" s="1">
        <v>44354.161145833335</v>
      </c>
      <c r="AU822" s="1">
        <v>44354.161608796298</v>
      </c>
      <c r="AV822" t="s">
        <v>71</v>
      </c>
      <c r="AW822" t="s">
        <v>72</v>
      </c>
      <c r="AX822" t="s">
        <v>73</v>
      </c>
    </row>
    <row r="823" spans="1:50" x14ac:dyDescent="0.3">
      <c r="A823" t="str">
        <f>"201555C0100"</f>
        <v>201555C0100</v>
      </c>
      <c r="B823" t="str">
        <f>"201555C01002"</f>
        <v>201555C01002</v>
      </c>
      <c r="C823" t="str">
        <f t="shared" si="35"/>
        <v>20</v>
      </c>
      <c r="D823" t="s">
        <v>67</v>
      </c>
      <c r="E823" t="str">
        <f t="shared" si="34"/>
        <v>004</v>
      </c>
      <c r="F823" t="s">
        <v>725</v>
      </c>
      <c r="G823" t="str">
        <f>"1555"</f>
        <v>1555</v>
      </c>
      <c r="H823" t="str">
        <f>"0001"</f>
        <v>0001</v>
      </c>
      <c r="I823" t="s">
        <v>75</v>
      </c>
      <c r="J823">
        <v>0</v>
      </c>
      <c r="K823">
        <v>1</v>
      </c>
      <c r="L823">
        <v>2</v>
      </c>
      <c r="M823">
        <v>265</v>
      </c>
      <c r="N823">
        <v>381</v>
      </c>
      <c r="O823">
        <v>0</v>
      </c>
      <c r="P823">
        <v>381</v>
      </c>
      <c r="Q823">
        <v>8</v>
      </c>
      <c r="R823">
        <v>92</v>
      </c>
      <c r="S823">
        <v>6</v>
      </c>
      <c r="T823">
        <v>1</v>
      </c>
      <c r="U823">
        <v>15</v>
      </c>
      <c r="V823">
        <v>1</v>
      </c>
      <c r="W823">
        <v>4</v>
      </c>
      <c r="X823">
        <v>229</v>
      </c>
      <c r="Y823">
        <v>3</v>
      </c>
      <c r="Z823">
        <v>4</v>
      </c>
      <c r="AA823">
        <v>7</v>
      </c>
      <c r="AB823">
        <v>1</v>
      </c>
      <c r="AD823">
        <v>0</v>
      </c>
      <c r="AE823">
        <v>0</v>
      </c>
      <c r="AF823">
        <v>0</v>
      </c>
      <c r="AG823">
        <v>0</v>
      </c>
      <c r="AI823">
        <v>0</v>
      </c>
      <c r="AJ823">
        <v>10</v>
      </c>
      <c r="AK823">
        <v>381</v>
      </c>
      <c r="AL823">
        <v>381</v>
      </c>
      <c r="AM823">
        <v>602</v>
      </c>
      <c r="AN823">
        <v>44</v>
      </c>
      <c r="AP823">
        <v>1</v>
      </c>
      <c r="AR823" t="s">
        <v>907</v>
      </c>
      <c r="AS823" s="1">
        <v>44354.162499999999</v>
      </c>
      <c r="AT823" s="1">
        <v>44354.164444444446</v>
      </c>
      <c r="AU823" s="1">
        <v>44354.165185185186</v>
      </c>
      <c r="AV823" t="s">
        <v>71</v>
      </c>
      <c r="AW823" t="s">
        <v>72</v>
      </c>
      <c r="AX823" t="s">
        <v>73</v>
      </c>
    </row>
    <row r="824" spans="1:50" x14ac:dyDescent="0.3">
      <c r="A824" t="str">
        <f>"201556B0000"</f>
        <v>201556B0000</v>
      </c>
      <c r="B824" t="str">
        <f>"201556B00002"</f>
        <v>201556B00002</v>
      </c>
      <c r="C824" t="str">
        <f t="shared" si="35"/>
        <v>20</v>
      </c>
      <c r="D824" t="s">
        <v>67</v>
      </c>
      <c r="E824" t="str">
        <f t="shared" si="34"/>
        <v>004</v>
      </c>
      <c r="F824" t="s">
        <v>725</v>
      </c>
      <c r="G824" t="str">
        <f>"1556"</f>
        <v>1556</v>
      </c>
      <c r="H824" t="str">
        <f>"0000"</f>
        <v>0000</v>
      </c>
      <c r="I824" t="s">
        <v>69</v>
      </c>
      <c r="J824">
        <v>0</v>
      </c>
      <c r="K824">
        <v>1</v>
      </c>
      <c r="L824">
        <v>2</v>
      </c>
      <c r="M824">
        <v>224</v>
      </c>
      <c r="N824">
        <v>232</v>
      </c>
      <c r="O824">
        <v>3</v>
      </c>
      <c r="P824" t="s">
        <v>80</v>
      </c>
      <c r="Q824">
        <v>2</v>
      </c>
      <c r="R824">
        <v>51</v>
      </c>
      <c r="S824">
        <v>5</v>
      </c>
      <c r="T824">
        <v>1</v>
      </c>
      <c r="U824">
        <v>2</v>
      </c>
      <c r="V824">
        <v>2</v>
      </c>
      <c r="W824">
        <v>1</v>
      </c>
      <c r="X824">
        <v>128</v>
      </c>
      <c r="Y824">
        <v>17</v>
      </c>
      <c r="Z824">
        <v>5</v>
      </c>
      <c r="AA824">
        <v>8</v>
      </c>
      <c r="AB824">
        <v>0</v>
      </c>
      <c r="AD824">
        <v>1</v>
      </c>
      <c r="AE824">
        <v>1</v>
      </c>
      <c r="AF824">
        <v>0</v>
      </c>
      <c r="AG824">
        <v>0</v>
      </c>
      <c r="AI824">
        <v>0</v>
      </c>
      <c r="AJ824">
        <v>8</v>
      </c>
      <c r="AK824">
        <v>232</v>
      </c>
      <c r="AL824">
        <v>232</v>
      </c>
      <c r="AM824">
        <v>412</v>
      </c>
      <c r="AN824">
        <v>44</v>
      </c>
      <c r="AP824">
        <v>1</v>
      </c>
      <c r="AR824" t="s">
        <v>908</v>
      </c>
      <c r="AS824" s="1">
        <v>44354.245833333334</v>
      </c>
      <c r="AT824" s="1">
        <v>44354.247986111113</v>
      </c>
      <c r="AU824" s="1">
        <v>44354.248506944445</v>
      </c>
      <c r="AV824" t="s">
        <v>71</v>
      </c>
      <c r="AW824" t="s">
        <v>72</v>
      </c>
      <c r="AX824" t="s">
        <v>73</v>
      </c>
    </row>
    <row r="825" spans="1:50" x14ac:dyDescent="0.3">
      <c r="A825" t="str">
        <f>"201556C0100"</f>
        <v>201556C0100</v>
      </c>
      <c r="B825" t="str">
        <f>"201556C01002"</f>
        <v>201556C01002</v>
      </c>
      <c r="C825" t="str">
        <f t="shared" si="35"/>
        <v>20</v>
      </c>
      <c r="D825" t="s">
        <v>67</v>
      </c>
      <c r="E825" t="str">
        <f t="shared" si="34"/>
        <v>004</v>
      </c>
      <c r="F825" t="s">
        <v>725</v>
      </c>
      <c r="G825" t="str">
        <f>"1556"</f>
        <v>1556</v>
      </c>
      <c r="H825" t="str">
        <f>"0001"</f>
        <v>0001</v>
      </c>
      <c r="I825" t="s">
        <v>75</v>
      </c>
      <c r="J825">
        <v>0</v>
      </c>
      <c r="K825">
        <v>1</v>
      </c>
      <c r="L825">
        <v>2</v>
      </c>
      <c r="M825">
        <v>235</v>
      </c>
      <c r="N825">
        <v>220</v>
      </c>
      <c r="O825">
        <v>3</v>
      </c>
      <c r="P825">
        <v>220</v>
      </c>
      <c r="Q825">
        <v>3</v>
      </c>
      <c r="R825">
        <v>47</v>
      </c>
      <c r="S825">
        <v>3</v>
      </c>
      <c r="T825">
        <v>0</v>
      </c>
      <c r="U825">
        <v>2</v>
      </c>
      <c r="V825">
        <v>1</v>
      </c>
      <c r="W825">
        <v>4</v>
      </c>
      <c r="X825">
        <v>144</v>
      </c>
      <c r="Y825">
        <v>8</v>
      </c>
      <c r="Z825">
        <v>3</v>
      </c>
      <c r="AA825">
        <v>3</v>
      </c>
      <c r="AB825">
        <v>0</v>
      </c>
      <c r="AD825">
        <v>1</v>
      </c>
      <c r="AE825">
        <v>0</v>
      </c>
      <c r="AF825">
        <v>0</v>
      </c>
      <c r="AG825">
        <v>0</v>
      </c>
      <c r="AI825">
        <v>0</v>
      </c>
      <c r="AJ825">
        <v>1</v>
      </c>
      <c r="AK825">
        <v>220</v>
      </c>
      <c r="AL825">
        <v>220</v>
      </c>
      <c r="AM825">
        <v>411</v>
      </c>
      <c r="AN825">
        <v>44</v>
      </c>
      <c r="AP825">
        <v>1</v>
      </c>
      <c r="AR825" t="s">
        <v>909</v>
      </c>
      <c r="AS825" s="1">
        <v>44354.237500000003</v>
      </c>
      <c r="AT825" s="1">
        <v>44354.249814814815</v>
      </c>
      <c r="AU825" s="1">
        <v>44354.250428240739</v>
      </c>
      <c r="AV825" t="s">
        <v>71</v>
      </c>
      <c r="AW825" t="s">
        <v>72</v>
      </c>
      <c r="AX825" t="s">
        <v>73</v>
      </c>
    </row>
    <row r="826" spans="1:50" x14ac:dyDescent="0.3">
      <c r="A826" t="str">
        <f>"201556E0100"</f>
        <v>201556E0100</v>
      </c>
      <c r="B826" t="str">
        <f>"201556E01002"</f>
        <v>201556E01002</v>
      </c>
      <c r="C826" t="str">
        <f t="shared" si="35"/>
        <v>20</v>
      </c>
      <c r="D826" t="s">
        <v>67</v>
      </c>
      <c r="E826" t="str">
        <f t="shared" si="34"/>
        <v>004</v>
      </c>
      <c r="F826" t="s">
        <v>725</v>
      </c>
      <c r="G826" t="str">
        <f>"1556"</f>
        <v>1556</v>
      </c>
      <c r="H826" t="str">
        <f>"0001"</f>
        <v>0001</v>
      </c>
      <c r="I826" t="s">
        <v>109</v>
      </c>
      <c r="J826">
        <v>0</v>
      </c>
      <c r="K826">
        <v>1</v>
      </c>
      <c r="L826">
        <v>2</v>
      </c>
      <c r="M826">
        <v>194</v>
      </c>
      <c r="N826">
        <v>235</v>
      </c>
      <c r="O826">
        <v>0</v>
      </c>
      <c r="P826">
        <v>235</v>
      </c>
      <c r="Q826">
        <v>3</v>
      </c>
      <c r="R826">
        <v>94</v>
      </c>
      <c r="S826">
        <v>0</v>
      </c>
      <c r="T826">
        <v>1</v>
      </c>
      <c r="U826">
        <v>0</v>
      </c>
      <c r="V826">
        <v>0</v>
      </c>
      <c r="W826">
        <v>14</v>
      </c>
      <c r="X826">
        <v>89</v>
      </c>
      <c r="Y826">
        <v>14</v>
      </c>
      <c r="Z826">
        <v>1</v>
      </c>
      <c r="AA826">
        <v>7</v>
      </c>
      <c r="AB826">
        <v>6</v>
      </c>
      <c r="AD826">
        <v>0</v>
      </c>
      <c r="AE826">
        <v>0</v>
      </c>
      <c r="AF826">
        <v>0</v>
      </c>
      <c r="AG826">
        <v>1</v>
      </c>
      <c r="AI826">
        <v>0</v>
      </c>
      <c r="AJ826">
        <v>5</v>
      </c>
      <c r="AK826">
        <v>235</v>
      </c>
      <c r="AL826">
        <v>235</v>
      </c>
      <c r="AM826">
        <v>385</v>
      </c>
      <c r="AN826">
        <v>44</v>
      </c>
      <c r="AP826">
        <v>1</v>
      </c>
      <c r="AR826" t="s">
        <v>910</v>
      </c>
      <c r="AS826" s="1">
        <v>44354.2</v>
      </c>
      <c r="AT826" s="1">
        <v>44354.202118055553</v>
      </c>
      <c r="AU826" s="1">
        <v>44354.202893518515</v>
      </c>
      <c r="AV826" t="s">
        <v>71</v>
      </c>
      <c r="AW826" t="s">
        <v>72</v>
      </c>
      <c r="AX826" t="s">
        <v>73</v>
      </c>
    </row>
    <row r="827" spans="1:50" x14ac:dyDescent="0.3">
      <c r="A827" t="str">
        <f>"201556E0101"</f>
        <v>201556E0101</v>
      </c>
      <c r="B827" t="str">
        <f>"201556E01012"</f>
        <v>201556E01012</v>
      </c>
      <c r="C827" t="str">
        <f t="shared" si="35"/>
        <v>20</v>
      </c>
      <c r="D827" t="s">
        <v>67</v>
      </c>
      <c r="E827" t="str">
        <f t="shared" si="34"/>
        <v>004</v>
      </c>
      <c r="F827" t="s">
        <v>725</v>
      </c>
      <c r="G827" t="str">
        <f>"1556"</f>
        <v>1556</v>
      </c>
      <c r="H827" t="str">
        <f>"0001"</f>
        <v>0001</v>
      </c>
      <c r="I827" t="s">
        <v>109</v>
      </c>
      <c r="J827">
        <v>1</v>
      </c>
      <c r="K827">
        <v>1</v>
      </c>
      <c r="L827">
        <v>2</v>
      </c>
      <c r="M827">
        <v>208</v>
      </c>
      <c r="N827">
        <v>220</v>
      </c>
      <c r="O827">
        <v>1</v>
      </c>
      <c r="P827">
        <v>220</v>
      </c>
      <c r="Q827">
        <v>0</v>
      </c>
      <c r="R827">
        <v>81</v>
      </c>
      <c r="S827">
        <v>2</v>
      </c>
      <c r="T827">
        <v>0</v>
      </c>
      <c r="U827">
        <v>0</v>
      </c>
      <c r="V827">
        <v>0</v>
      </c>
      <c r="W827">
        <v>2</v>
      </c>
      <c r="X827">
        <v>96</v>
      </c>
      <c r="Y827">
        <v>13</v>
      </c>
      <c r="Z827">
        <v>1</v>
      </c>
      <c r="AA827">
        <v>4</v>
      </c>
      <c r="AB827">
        <v>9</v>
      </c>
      <c r="AD827">
        <v>0</v>
      </c>
      <c r="AE827">
        <v>4</v>
      </c>
      <c r="AF827">
        <v>0</v>
      </c>
      <c r="AG827">
        <v>0</v>
      </c>
      <c r="AI827">
        <v>0</v>
      </c>
      <c r="AJ827">
        <v>8</v>
      </c>
      <c r="AK827">
        <v>220</v>
      </c>
      <c r="AL827">
        <v>220</v>
      </c>
      <c r="AM827">
        <v>384</v>
      </c>
      <c r="AN827">
        <v>44</v>
      </c>
      <c r="AP827">
        <v>1</v>
      </c>
      <c r="AR827" t="s">
        <v>911</v>
      </c>
      <c r="AS827" s="1">
        <v>44354.238888888889</v>
      </c>
      <c r="AT827" s="1">
        <v>44354.241446759261</v>
      </c>
      <c r="AU827" s="1">
        <v>44354.242083333331</v>
      </c>
      <c r="AV827" t="s">
        <v>71</v>
      </c>
      <c r="AW827" t="s">
        <v>72</v>
      </c>
      <c r="AX827" t="s">
        <v>73</v>
      </c>
    </row>
    <row r="828" spans="1:50" x14ac:dyDescent="0.3">
      <c r="A828" t="str">
        <f>"201557B0000"</f>
        <v>201557B0000</v>
      </c>
      <c r="B828" t="str">
        <f>"201557B00002"</f>
        <v>201557B00002</v>
      </c>
      <c r="C828" t="str">
        <f t="shared" si="35"/>
        <v>20</v>
      </c>
      <c r="D828" t="s">
        <v>67</v>
      </c>
      <c r="E828" t="str">
        <f t="shared" si="34"/>
        <v>004</v>
      </c>
      <c r="F828" t="s">
        <v>725</v>
      </c>
      <c r="G828" t="str">
        <f>"1557"</f>
        <v>1557</v>
      </c>
      <c r="H828" t="str">
        <f>"0000"</f>
        <v>0000</v>
      </c>
      <c r="I828" t="s">
        <v>69</v>
      </c>
      <c r="J828">
        <v>0</v>
      </c>
      <c r="K828">
        <v>1</v>
      </c>
      <c r="L828">
        <v>2</v>
      </c>
      <c r="M828">
        <v>165</v>
      </c>
      <c r="N828">
        <v>106</v>
      </c>
      <c r="O828">
        <v>0</v>
      </c>
      <c r="P828">
        <v>106</v>
      </c>
      <c r="Q828">
        <v>10</v>
      </c>
      <c r="R828">
        <v>41</v>
      </c>
      <c r="S828">
        <v>0</v>
      </c>
      <c r="T828">
        <v>1</v>
      </c>
      <c r="U828">
        <v>2</v>
      </c>
      <c r="V828">
        <v>1</v>
      </c>
      <c r="W828">
        <v>0</v>
      </c>
      <c r="X828">
        <v>46</v>
      </c>
      <c r="Y828">
        <v>0</v>
      </c>
      <c r="Z828">
        <v>1</v>
      </c>
      <c r="AA828">
        <v>0</v>
      </c>
      <c r="AB828">
        <v>0</v>
      </c>
      <c r="AD828">
        <v>1</v>
      </c>
      <c r="AE828">
        <v>1</v>
      </c>
      <c r="AF828">
        <v>0</v>
      </c>
      <c r="AG828">
        <v>0</v>
      </c>
      <c r="AI828">
        <v>0</v>
      </c>
      <c r="AJ828">
        <v>2</v>
      </c>
      <c r="AK828">
        <v>106</v>
      </c>
      <c r="AL828">
        <v>106</v>
      </c>
      <c r="AM828">
        <v>227</v>
      </c>
      <c r="AN828">
        <v>44</v>
      </c>
      <c r="AP828">
        <v>1</v>
      </c>
      <c r="AR828" t="s">
        <v>912</v>
      </c>
      <c r="AS828" s="1">
        <v>44354.23333333333</v>
      </c>
      <c r="AT828" s="1">
        <v>44354.236134259256</v>
      </c>
      <c r="AU828" s="1">
        <v>44354.236863425926</v>
      </c>
      <c r="AV828" t="s">
        <v>71</v>
      </c>
      <c r="AW828" t="s">
        <v>72</v>
      </c>
      <c r="AX828" t="s">
        <v>73</v>
      </c>
    </row>
    <row r="829" spans="1:50" x14ac:dyDescent="0.3">
      <c r="A829" t="str">
        <f>"201642B0000"</f>
        <v>201642B0000</v>
      </c>
      <c r="B829" t="str">
        <f>"201642B00002"</f>
        <v>201642B00002</v>
      </c>
      <c r="C829" t="str">
        <f t="shared" si="35"/>
        <v>20</v>
      </c>
      <c r="D829" t="s">
        <v>67</v>
      </c>
      <c r="E829" t="str">
        <f t="shared" si="34"/>
        <v>004</v>
      </c>
      <c r="F829" t="s">
        <v>725</v>
      </c>
      <c r="G829" t="str">
        <f>"1642"</f>
        <v>1642</v>
      </c>
      <c r="H829" t="str">
        <f>"0000"</f>
        <v>0000</v>
      </c>
      <c r="I829" t="s">
        <v>69</v>
      </c>
      <c r="J829">
        <v>0</v>
      </c>
      <c r="K829">
        <v>1</v>
      </c>
      <c r="L829">
        <v>2</v>
      </c>
      <c r="M829">
        <v>183</v>
      </c>
      <c r="N829">
        <v>180</v>
      </c>
      <c r="O829">
        <v>0</v>
      </c>
      <c r="P829">
        <v>180</v>
      </c>
      <c r="Q829">
        <v>0</v>
      </c>
      <c r="R829">
        <v>81</v>
      </c>
      <c r="S829">
        <v>5</v>
      </c>
      <c r="T829">
        <v>0</v>
      </c>
      <c r="U829">
        <v>5</v>
      </c>
      <c r="V829">
        <v>1</v>
      </c>
      <c r="W829">
        <v>6</v>
      </c>
      <c r="X829">
        <v>52</v>
      </c>
      <c r="Y829">
        <v>2</v>
      </c>
      <c r="Z829">
        <v>2</v>
      </c>
      <c r="AA829">
        <v>2</v>
      </c>
      <c r="AB829">
        <v>7</v>
      </c>
      <c r="AD829">
        <v>1</v>
      </c>
      <c r="AE829">
        <v>3</v>
      </c>
      <c r="AF829">
        <v>0</v>
      </c>
      <c r="AG829">
        <v>1</v>
      </c>
      <c r="AI829">
        <v>0</v>
      </c>
      <c r="AJ829">
        <v>12</v>
      </c>
      <c r="AK829">
        <v>180</v>
      </c>
      <c r="AL829">
        <v>180</v>
      </c>
      <c r="AM829">
        <v>321</v>
      </c>
      <c r="AN829">
        <v>44</v>
      </c>
      <c r="AP829">
        <v>1</v>
      </c>
      <c r="AR829" s="2" t="s">
        <v>913</v>
      </c>
      <c r="AS829" s="1">
        <v>44354.052083333336</v>
      </c>
      <c r="AT829" s="1">
        <v>44354.05940972222</v>
      </c>
      <c r="AU829" s="1">
        <v>44354.060034722221</v>
      </c>
      <c r="AV829" t="s">
        <v>71</v>
      </c>
      <c r="AW829" t="s">
        <v>72</v>
      </c>
      <c r="AX829" t="s">
        <v>73</v>
      </c>
    </row>
    <row r="830" spans="1:50" x14ac:dyDescent="0.3">
      <c r="A830" t="str">
        <f>"201643B0000"</f>
        <v>201643B0000</v>
      </c>
      <c r="B830" t="str">
        <f>"201643B00002"</f>
        <v>201643B00002</v>
      </c>
      <c r="C830" t="str">
        <f t="shared" si="35"/>
        <v>20</v>
      </c>
      <c r="D830" t="s">
        <v>67</v>
      </c>
      <c r="E830" t="str">
        <f t="shared" si="34"/>
        <v>004</v>
      </c>
      <c r="F830" t="s">
        <v>725</v>
      </c>
      <c r="G830" t="str">
        <f>"1643"</f>
        <v>1643</v>
      </c>
      <c r="H830" t="str">
        <f>"0000"</f>
        <v>0000</v>
      </c>
      <c r="I830" t="s">
        <v>69</v>
      </c>
      <c r="J830">
        <v>0</v>
      </c>
      <c r="K830">
        <v>1</v>
      </c>
      <c r="L830">
        <v>2</v>
      </c>
      <c r="M830">
        <v>226</v>
      </c>
      <c r="N830">
        <v>313</v>
      </c>
      <c r="O830">
        <v>0</v>
      </c>
      <c r="P830">
        <v>313</v>
      </c>
      <c r="Q830">
        <v>1</v>
      </c>
      <c r="R830">
        <v>93</v>
      </c>
      <c r="S830">
        <v>7</v>
      </c>
      <c r="T830">
        <v>3</v>
      </c>
      <c r="U830">
        <v>5</v>
      </c>
      <c r="V830">
        <v>5</v>
      </c>
      <c r="W830">
        <v>6</v>
      </c>
      <c r="X830">
        <v>166</v>
      </c>
      <c r="Y830">
        <v>0</v>
      </c>
      <c r="Z830">
        <v>5</v>
      </c>
      <c r="AA830">
        <v>1</v>
      </c>
      <c r="AB830">
        <v>1</v>
      </c>
      <c r="AD830">
        <v>1</v>
      </c>
      <c r="AE830">
        <v>0</v>
      </c>
      <c r="AF830">
        <v>1</v>
      </c>
      <c r="AG830">
        <v>0</v>
      </c>
      <c r="AI830" t="s">
        <v>77</v>
      </c>
      <c r="AJ830">
        <v>18</v>
      </c>
      <c r="AK830">
        <v>313</v>
      </c>
      <c r="AL830">
        <v>313</v>
      </c>
      <c r="AM830">
        <v>495</v>
      </c>
      <c r="AN830">
        <v>44</v>
      </c>
      <c r="AO830" t="s">
        <v>78</v>
      </c>
      <c r="AP830">
        <v>1</v>
      </c>
      <c r="AR830" t="s">
        <v>914</v>
      </c>
      <c r="AS830" s="1">
        <v>44354.179166666669</v>
      </c>
      <c r="AT830" s="1">
        <v>44354.182280092595</v>
      </c>
      <c r="AU830" s="1">
        <v>44354.183148148149</v>
      </c>
      <c r="AV830" t="s">
        <v>71</v>
      </c>
      <c r="AW830" t="s">
        <v>72</v>
      </c>
      <c r="AX830" t="s">
        <v>73</v>
      </c>
    </row>
    <row r="831" spans="1:50" x14ac:dyDescent="0.3">
      <c r="A831" t="str">
        <f>"201685B0000"</f>
        <v>201685B0000</v>
      </c>
      <c r="B831" t="str">
        <f>"201685B00002"</f>
        <v>201685B00002</v>
      </c>
      <c r="C831" t="str">
        <f t="shared" si="35"/>
        <v>20</v>
      </c>
      <c r="D831" t="s">
        <v>67</v>
      </c>
      <c r="E831" t="str">
        <f t="shared" si="34"/>
        <v>004</v>
      </c>
      <c r="F831" t="s">
        <v>725</v>
      </c>
      <c r="G831" t="str">
        <f>"1685"</f>
        <v>1685</v>
      </c>
      <c r="H831" t="str">
        <f>"0000"</f>
        <v>0000</v>
      </c>
      <c r="I831" t="s">
        <v>69</v>
      </c>
      <c r="J831">
        <v>0</v>
      </c>
      <c r="K831">
        <v>1</v>
      </c>
      <c r="L831">
        <v>2</v>
      </c>
      <c r="M831">
        <v>213</v>
      </c>
      <c r="N831">
        <v>337</v>
      </c>
      <c r="O831">
        <v>0</v>
      </c>
      <c r="P831">
        <v>337</v>
      </c>
      <c r="Q831">
        <v>7</v>
      </c>
      <c r="R831">
        <v>137</v>
      </c>
      <c r="S831">
        <v>1</v>
      </c>
      <c r="T831">
        <v>3</v>
      </c>
      <c r="U831">
        <v>3</v>
      </c>
      <c r="V831">
        <v>2</v>
      </c>
      <c r="W831">
        <v>4</v>
      </c>
      <c r="X831">
        <v>117</v>
      </c>
      <c r="Y831">
        <v>38</v>
      </c>
      <c r="Z831">
        <v>4</v>
      </c>
      <c r="AA831">
        <v>4</v>
      </c>
      <c r="AB831">
        <v>2</v>
      </c>
      <c r="AD831">
        <v>0</v>
      </c>
      <c r="AE831">
        <v>2</v>
      </c>
      <c r="AF831">
        <v>0</v>
      </c>
      <c r="AG831">
        <v>0</v>
      </c>
      <c r="AI831">
        <v>0</v>
      </c>
      <c r="AJ831">
        <v>14</v>
      </c>
      <c r="AK831">
        <v>337</v>
      </c>
      <c r="AL831">
        <v>338</v>
      </c>
      <c r="AM831">
        <v>506</v>
      </c>
      <c r="AN831">
        <v>44</v>
      </c>
      <c r="AP831">
        <v>1</v>
      </c>
      <c r="AR831" t="s">
        <v>915</v>
      </c>
      <c r="AS831" s="1">
        <v>44354.051388888889</v>
      </c>
      <c r="AT831" s="1">
        <v>44354.058206018519</v>
      </c>
      <c r="AU831" s="1">
        <v>44354.058865740742</v>
      </c>
      <c r="AV831" t="s">
        <v>71</v>
      </c>
      <c r="AW831" t="s">
        <v>72</v>
      </c>
      <c r="AX831" t="s">
        <v>73</v>
      </c>
    </row>
    <row r="832" spans="1:50" x14ac:dyDescent="0.3">
      <c r="A832" t="str">
        <f>"201685C0100"</f>
        <v>201685C0100</v>
      </c>
      <c r="B832" t="str">
        <f>"201685C01002"</f>
        <v>201685C01002</v>
      </c>
      <c r="C832" t="str">
        <f t="shared" si="35"/>
        <v>20</v>
      </c>
      <c r="D832" t="s">
        <v>67</v>
      </c>
      <c r="E832" t="str">
        <f t="shared" si="34"/>
        <v>004</v>
      </c>
      <c r="F832" t="s">
        <v>725</v>
      </c>
      <c r="G832" t="str">
        <f>"1685"</f>
        <v>1685</v>
      </c>
      <c r="H832" t="str">
        <f>"0001"</f>
        <v>0001</v>
      </c>
      <c r="I832" t="s">
        <v>75</v>
      </c>
      <c r="J832">
        <v>0</v>
      </c>
      <c r="K832">
        <v>1</v>
      </c>
      <c r="L832">
        <v>2</v>
      </c>
      <c r="M832">
        <v>202</v>
      </c>
      <c r="N832">
        <v>348</v>
      </c>
      <c r="O832">
        <v>0</v>
      </c>
      <c r="P832">
        <v>348</v>
      </c>
      <c r="Q832">
        <v>5</v>
      </c>
      <c r="R832">
        <v>148</v>
      </c>
      <c r="S832">
        <v>1</v>
      </c>
      <c r="T832">
        <v>1</v>
      </c>
      <c r="U832">
        <v>10</v>
      </c>
      <c r="V832">
        <v>1</v>
      </c>
      <c r="W832">
        <v>0</v>
      </c>
      <c r="X832">
        <v>112</v>
      </c>
      <c r="Y832">
        <v>33</v>
      </c>
      <c r="Z832">
        <v>8</v>
      </c>
      <c r="AA832">
        <v>6</v>
      </c>
      <c r="AB832">
        <v>3</v>
      </c>
      <c r="AD832">
        <v>2</v>
      </c>
      <c r="AE832">
        <v>0</v>
      </c>
      <c r="AF832">
        <v>0</v>
      </c>
      <c r="AG832">
        <v>0</v>
      </c>
      <c r="AI832">
        <v>1</v>
      </c>
      <c r="AJ832">
        <v>17</v>
      </c>
      <c r="AK832">
        <v>348</v>
      </c>
      <c r="AL832">
        <v>348</v>
      </c>
      <c r="AM832">
        <v>506</v>
      </c>
      <c r="AN832">
        <v>44</v>
      </c>
      <c r="AP832">
        <v>1</v>
      </c>
      <c r="AR832" t="s">
        <v>916</v>
      </c>
      <c r="AS832" s="1">
        <v>44354.091666666667</v>
      </c>
      <c r="AT832" s="1">
        <v>44354.097337962965</v>
      </c>
      <c r="AU832" s="1">
        <v>44354.098587962966</v>
      </c>
      <c r="AV832" t="s">
        <v>71</v>
      </c>
      <c r="AW832" t="s">
        <v>72</v>
      </c>
      <c r="AX832" t="s">
        <v>73</v>
      </c>
    </row>
    <row r="833" spans="1:50" x14ac:dyDescent="0.3">
      <c r="A833" t="str">
        <f>"201782B0000"</f>
        <v>201782B0000</v>
      </c>
      <c r="B833" t="str">
        <f>"201782B00002"</f>
        <v>201782B00002</v>
      </c>
      <c r="C833" t="str">
        <f t="shared" si="35"/>
        <v>20</v>
      </c>
      <c r="D833" t="s">
        <v>67</v>
      </c>
      <c r="E833" t="str">
        <f t="shared" si="34"/>
        <v>004</v>
      </c>
      <c r="F833" t="s">
        <v>725</v>
      </c>
      <c r="G833" t="str">
        <f>"1782"</f>
        <v>1782</v>
      </c>
      <c r="H833" t="str">
        <f>"0000"</f>
        <v>0000</v>
      </c>
      <c r="I833" t="s">
        <v>69</v>
      </c>
      <c r="J833">
        <v>0</v>
      </c>
      <c r="K833">
        <v>1</v>
      </c>
      <c r="L833">
        <v>2</v>
      </c>
      <c r="M833">
        <v>229</v>
      </c>
      <c r="N833">
        <v>362</v>
      </c>
      <c r="O833">
        <v>1</v>
      </c>
      <c r="P833">
        <v>362</v>
      </c>
      <c r="Q833">
        <v>45</v>
      </c>
      <c r="R833">
        <v>135</v>
      </c>
      <c r="S833">
        <v>10</v>
      </c>
      <c r="T833">
        <v>3</v>
      </c>
      <c r="U833">
        <v>9</v>
      </c>
      <c r="V833">
        <v>6</v>
      </c>
      <c r="W833">
        <v>6</v>
      </c>
      <c r="X833">
        <v>71</v>
      </c>
      <c r="Y833">
        <v>23</v>
      </c>
      <c r="Z833">
        <v>7</v>
      </c>
      <c r="AA833">
        <v>15</v>
      </c>
      <c r="AB833">
        <v>7</v>
      </c>
      <c r="AD833">
        <v>4</v>
      </c>
      <c r="AE833">
        <v>4</v>
      </c>
      <c r="AF833">
        <v>0</v>
      </c>
      <c r="AG833">
        <v>2</v>
      </c>
      <c r="AI833">
        <v>0</v>
      </c>
      <c r="AJ833">
        <v>15</v>
      </c>
      <c r="AK833">
        <v>362</v>
      </c>
      <c r="AL833">
        <v>362</v>
      </c>
      <c r="AM833">
        <v>547</v>
      </c>
      <c r="AN833">
        <v>44</v>
      </c>
      <c r="AP833">
        <v>1</v>
      </c>
      <c r="AR833" t="s">
        <v>917</v>
      </c>
      <c r="AS833" s="1">
        <v>44354.129166666666</v>
      </c>
      <c r="AT833" s="1">
        <v>44354.131076388891</v>
      </c>
      <c r="AU833" s="1">
        <v>44354.131585648145</v>
      </c>
      <c r="AV833" t="s">
        <v>71</v>
      </c>
      <c r="AW833" t="s">
        <v>72</v>
      </c>
      <c r="AX833" t="s">
        <v>73</v>
      </c>
    </row>
    <row r="834" spans="1:50" x14ac:dyDescent="0.3">
      <c r="A834" t="str">
        <f>"201782C0100"</f>
        <v>201782C0100</v>
      </c>
      <c r="B834" t="str">
        <f>"201782C01002"</f>
        <v>201782C01002</v>
      </c>
      <c r="C834" t="str">
        <f t="shared" si="35"/>
        <v>20</v>
      </c>
      <c r="D834" t="s">
        <v>67</v>
      </c>
      <c r="E834" t="str">
        <f t="shared" ref="E834:E877" si="36">"004"</f>
        <v>004</v>
      </c>
      <c r="F834" t="s">
        <v>725</v>
      </c>
      <c r="G834" t="str">
        <f>"1782"</f>
        <v>1782</v>
      </c>
      <c r="H834" t="str">
        <f>"0001"</f>
        <v>0001</v>
      </c>
      <c r="I834" t="s">
        <v>75</v>
      </c>
      <c r="J834">
        <v>0</v>
      </c>
      <c r="K834">
        <v>1</v>
      </c>
      <c r="L834">
        <v>2</v>
      </c>
      <c r="M834">
        <v>220</v>
      </c>
      <c r="N834">
        <v>370</v>
      </c>
      <c r="O834">
        <v>0</v>
      </c>
      <c r="P834">
        <v>370</v>
      </c>
      <c r="Q834">
        <v>48</v>
      </c>
      <c r="R834">
        <v>106</v>
      </c>
      <c r="S834">
        <v>6</v>
      </c>
      <c r="T834">
        <v>3</v>
      </c>
      <c r="U834">
        <v>8</v>
      </c>
      <c r="V834">
        <v>5</v>
      </c>
      <c r="W834">
        <v>1</v>
      </c>
      <c r="X834">
        <v>101</v>
      </c>
      <c r="Y834">
        <v>15</v>
      </c>
      <c r="Z834">
        <v>7</v>
      </c>
      <c r="AA834">
        <v>31</v>
      </c>
      <c r="AB834">
        <v>4</v>
      </c>
      <c r="AD834">
        <v>2</v>
      </c>
      <c r="AE834">
        <v>4</v>
      </c>
      <c r="AF834">
        <v>0</v>
      </c>
      <c r="AG834">
        <v>1</v>
      </c>
      <c r="AI834">
        <v>0</v>
      </c>
      <c r="AJ834">
        <v>28</v>
      </c>
      <c r="AK834">
        <v>370</v>
      </c>
      <c r="AL834">
        <v>370</v>
      </c>
      <c r="AM834">
        <v>546</v>
      </c>
      <c r="AN834">
        <v>44</v>
      </c>
      <c r="AP834">
        <v>1</v>
      </c>
      <c r="AR834" t="s">
        <v>918</v>
      </c>
      <c r="AS834" s="1">
        <v>44354.177083333336</v>
      </c>
      <c r="AT834" s="1">
        <v>44354.186296296299</v>
      </c>
      <c r="AU834" s="1">
        <v>44354.187094907407</v>
      </c>
      <c r="AV834" t="s">
        <v>71</v>
      </c>
      <c r="AW834" t="s">
        <v>72</v>
      </c>
      <c r="AX834" t="s">
        <v>73</v>
      </c>
    </row>
    <row r="835" spans="1:50" x14ac:dyDescent="0.3">
      <c r="A835" t="str">
        <f>"201783B0000"</f>
        <v>201783B0000</v>
      </c>
      <c r="B835" t="str">
        <f>"201783B00002"</f>
        <v>201783B00002</v>
      </c>
      <c r="C835" t="str">
        <f t="shared" si="35"/>
        <v>20</v>
      </c>
      <c r="D835" t="s">
        <v>67</v>
      </c>
      <c r="E835" t="str">
        <f t="shared" si="36"/>
        <v>004</v>
      </c>
      <c r="F835" t="s">
        <v>725</v>
      </c>
      <c r="G835" t="str">
        <f>"1783"</f>
        <v>1783</v>
      </c>
      <c r="H835" t="str">
        <f>"0000"</f>
        <v>0000</v>
      </c>
      <c r="I835" t="s">
        <v>69</v>
      </c>
      <c r="J835">
        <v>0</v>
      </c>
      <c r="K835">
        <v>1</v>
      </c>
      <c r="L835">
        <v>2</v>
      </c>
      <c r="M835">
        <v>223</v>
      </c>
      <c r="N835">
        <v>217</v>
      </c>
      <c r="O835">
        <v>0</v>
      </c>
      <c r="P835" t="s">
        <v>99</v>
      </c>
      <c r="Q835">
        <v>35</v>
      </c>
      <c r="R835">
        <v>50</v>
      </c>
      <c r="S835">
        <v>4</v>
      </c>
      <c r="T835">
        <v>1</v>
      </c>
      <c r="U835">
        <v>31</v>
      </c>
      <c r="V835">
        <v>0</v>
      </c>
      <c r="W835">
        <v>0</v>
      </c>
      <c r="X835">
        <v>56</v>
      </c>
      <c r="Y835">
        <v>4</v>
      </c>
      <c r="Z835">
        <v>3</v>
      </c>
      <c r="AA835">
        <v>5</v>
      </c>
      <c r="AB835">
        <v>3</v>
      </c>
      <c r="AD835">
        <v>0</v>
      </c>
      <c r="AE835">
        <v>6</v>
      </c>
      <c r="AF835">
        <v>0</v>
      </c>
      <c r="AG835" t="s">
        <v>99</v>
      </c>
      <c r="AI835">
        <v>0</v>
      </c>
      <c r="AJ835">
        <v>18</v>
      </c>
      <c r="AK835">
        <v>217</v>
      </c>
      <c r="AL835">
        <v>216</v>
      </c>
      <c r="AM835">
        <v>396</v>
      </c>
      <c r="AN835">
        <v>44</v>
      </c>
      <c r="AO835" t="s">
        <v>78</v>
      </c>
      <c r="AP835">
        <v>1</v>
      </c>
      <c r="AR835" t="s">
        <v>919</v>
      </c>
      <c r="AS835" s="1">
        <v>44354.132638888892</v>
      </c>
      <c r="AT835" s="1">
        <v>44354.135023148148</v>
      </c>
      <c r="AU835" s="1">
        <v>44354.13590277778</v>
      </c>
      <c r="AV835" t="s">
        <v>71</v>
      </c>
      <c r="AW835" t="s">
        <v>72</v>
      </c>
      <c r="AX835" t="s">
        <v>73</v>
      </c>
    </row>
    <row r="836" spans="1:50" x14ac:dyDescent="0.3">
      <c r="A836" t="str">
        <f>"201783C0100"</f>
        <v>201783C0100</v>
      </c>
      <c r="B836" t="str">
        <f>"201783C01002"</f>
        <v>201783C01002</v>
      </c>
      <c r="C836" t="str">
        <f t="shared" si="35"/>
        <v>20</v>
      </c>
      <c r="D836" t="s">
        <v>67</v>
      </c>
      <c r="E836" t="str">
        <f t="shared" si="36"/>
        <v>004</v>
      </c>
      <c r="F836" t="s">
        <v>725</v>
      </c>
      <c r="G836" t="str">
        <f>"1783"</f>
        <v>1783</v>
      </c>
      <c r="H836" t="str">
        <f>"0001"</f>
        <v>0001</v>
      </c>
      <c r="I836" t="s">
        <v>75</v>
      </c>
      <c r="J836">
        <v>0</v>
      </c>
      <c r="K836">
        <v>1</v>
      </c>
      <c r="L836">
        <v>2</v>
      </c>
      <c r="M836" t="s">
        <v>80</v>
      </c>
      <c r="N836" t="s">
        <v>80</v>
      </c>
      <c r="O836" t="s">
        <v>80</v>
      </c>
      <c r="P836" t="s">
        <v>80</v>
      </c>
      <c r="Q836" t="s">
        <v>77</v>
      </c>
      <c r="R836" t="s">
        <v>77</v>
      </c>
      <c r="S836" t="s">
        <v>77</v>
      </c>
      <c r="T836" t="s">
        <v>77</v>
      </c>
      <c r="U836" t="s">
        <v>77</v>
      </c>
      <c r="V836" t="s">
        <v>77</v>
      </c>
      <c r="W836" t="s">
        <v>77</v>
      </c>
      <c r="X836" t="s">
        <v>77</v>
      </c>
      <c r="Y836" t="s">
        <v>77</v>
      </c>
      <c r="Z836" t="s">
        <v>77</v>
      </c>
      <c r="AA836" t="s">
        <v>77</v>
      </c>
      <c r="AB836" t="s">
        <v>77</v>
      </c>
      <c r="AD836" t="s">
        <v>77</v>
      </c>
      <c r="AE836" t="s">
        <v>77</v>
      </c>
      <c r="AF836" t="s">
        <v>77</v>
      </c>
      <c r="AG836" t="s">
        <v>77</v>
      </c>
      <c r="AI836" t="s">
        <v>77</v>
      </c>
      <c r="AJ836" t="s">
        <v>77</v>
      </c>
      <c r="AM836">
        <v>396</v>
      </c>
      <c r="AN836">
        <v>44</v>
      </c>
      <c r="AO836" t="s">
        <v>392</v>
      </c>
      <c r="AP836">
        <v>0</v>
      </c>
      <c r="AR836" t="s">
        <v>920</v>
      </c>
      <c r="AS836" s="1">
        <v>44354.179861111108</v>
      </c>
      <c r="AT836" s="1">
        <v>44354.182071759256</v>
      </c>
      <c r="AU836" s="1">
        <v>44354.192002314812</v>
      </c>
      <c r="AV836" t="s">
        <v>71</v>
      </c>
      <c r="AW836" t="s">
        <v>72</v>
      </c>
      <c r="AX836" t="s">
        <v>73</v>
      </c>
    </row>
    <row r="837" spans="1:50" x14ac:dyDescent="0.3">
      <c r="A837" t="str">
        <f>"201783E0100"</f>
        <v>201783E0100</v>
      </c>
      <c r="B837" t="str">
        <f>"201783E01002"</f>
        <v>201783E01002</v>
      </c>
      <c r="C837" t="str">
        <f t="shared" si="35"/>
        <v>20</v>
      </c>
      <c r="D837" t="s">
        <v>67</v>
      </c>
      <c r="E837" t="str">
        <f t="shared" si="36"/>
        <v>004</v>
      </c>
      <c r="F837" t="s">
        <v>725</v>
      </c>
      <c r="G837" t="str">
        <f>"1783"</f>
        <v>1783</v>
      </c>
      <c r="H837" t="str">
        <f>"0001"</f>
        <v>0001</v>
      </c>
      <c r="I837" t="s">
        <v>109</v>
      </c>
      <c r="J837">
        <v>0</v>
      </c>
      <c r="K837">
        <v>1</v>
      </c>
      <c r="L837">
        <v>2</v>
      </c>
      <c r="M837">
        <v>107</v>
      </c>
      <c r="N837">
        <v>167</v>
      </c>
      <c r="O837">
        <v>3</v>
      </c>
      <c r="P837">
        <v>167</v>
      </c>
      <c r="Q837">
        <v>35</v>
      </c>
      <c r="R837">
        <v>85</v>
      </c>
      <c r="S837">
        <v>3</v>
      </c>
      <c r="T837" t="s">
        <v>77</v>
      </c>
      <c r="U837" t="s">
        <v>77</v>
      </c>
      <c r="V837" t="s">
        <v>77</v>
      </c>
      <c r="W837" t="s">
        <v>77</v>
      </c>
      <c r="X837">
        <v>26</v>
      </c>
      <c r="Y837" t="s">
        <v>77</v>
      </c>
      <c r="Z837">
        <v>1</v>
      </c>
      <c r="AA837">
        <v>6</v>
      </c>
      <c r="AB837" t="s">
        <v>77</v>
      </c>
      <c r="AD837" t="s">
        <v>77</v>
      </c>
      <c r="AE837">
        <v>2</v>
      </c>
      <c r="AF837" t="s">
        <v>77</v>
      </c>
      <c r="AG837">
        <v>1</v>
      </c>
      <c r="AI837" t="s">
        <v>77</v>
      </c>
      <c r="AJ837">
        <v>8</v>
      </c>
      <c r="AK837">
        <v>167</v>
      </c>
      <c r="AL837">
        <v>167</v>
      </c>
      <c r="AM837">
        <v>230</v>
      </c>
      <c r="AN837">
        <v>44</v>
      </c>
      <c r="AO837" t="s">
        <v>78</v>
      </c>
      <c r="AP837">
        <v>1</v>
      </c>
      <c r="AR837" t="s">
        <v>921</v>
      </c>
      <c r="AS837" s="1">
        <v>44354.59097222222</v>
      </c>
      <c r="AT837" s="1">
        <v>44354.593854166669</v>
      </c>
      <c r="AU837" s="1">
        <v>44354.594444444447</v>
      </c>
      <c r="AV837" t="s">
        <v>71</v>
      </c>
      <c r="AW837" t="s">
        <v>72</v>
      </c>
      <c r="AX837" t="s">
        <v>347</v>
      </c>
    </row>
    <row r="838" spans="1:50" x14ac:dyDescent="0.3">
      <c r="A838" t="str">
        <f>"201859B0000"</f>
        <v>201859B0000</v>
      </c>
      <c r="B838" t="str">
        <f>"201859B00002"</f>
        <v>201859B00002</v>
      </c>
      <c r="C838" t="str">
        <f t="shared" si="35"/>
        <v>20</v>
      </c>
      <c r="D838" t="s">
        <v>67</v>
      </c>
      <c r="E838" t="str">
        <f t="shared" si="36"/>
        <v>004</v>
      </c>
      <c r="F838" t="s">
        <v>725</v>
      </c>
      <c r="G838" t="str">
        <f>"1859"</f>
        <v>1859</v>
      </c>
      <c r="H838" t="str">
        <f>"0000"</f>
        <v>0000</v>
      </c>
      <c r="I838" t="s">
        <v>69</v>
      </c>
      <c r="J838">
        <v>0</v>
      </c>
      <c r="K838">
        <v>1</v>
      </c>
      <c r="L838">
        <v>2</v>
      </c>
      <c r="M838">
        <v>185</v>
      </c>
      <c r="N838">
        <v>222</v>
      </c>
      <c r="O838">
        <v>0</v>
      </c>
      <c r="P838">
        <v>222</v>
      </c>
      <c r="Q838">
        <v>2</v>
      </c>
      <c r="R838">
        <v>78</v>
      </c>
      <c r="S838">
        <v>6</v>
      </c>
      <c r="T838">
        <v>0</v>
      </c>
      <c r="U838">
        <v>5</v>
      </c>
      <c r="V838">
        <v>3</v>
      </c>
      <c r="W838">
        <v>3</v>
      </c>
      <c r="X838">
        <v>114</v>
      </c>
      <c r="Y838">
        <v>2</v>
      </c>
      <c r="Z838">
        <v>2</v>
      </c>
      <c r="AA838">
        <v>0</v>
      </c>
      <c r="AB838">
        <v>0</v>
      </c>
      <c r="AD838">
        <v>0</v>
      </c>
      <c r="AE838">
        <v>0</v>
      </c>
      <c r="AF838">
        <v>0</v>
      </c>
      <c r="AG838">
        <v>0</v>
      </c>
      <c r="AI838">
        <v>0</v>
      </c>
      <c r="AJ838">
        <v>7</v>
      </c>
      <c r="AK838">
        <v>222</v>
      </c>
      <c r="AL838">
        <v>222</v>
      </c>
      <c r="AM838">
        <v>368</v>
      </c>
      <c r="AN838">
        <v>44</v>
      </c>
      <c r="AP838">
        <v>1</v>
      </c>
      <c r="AR838" t="s">
        <v>922</v>
      </c>
      <c r="AS838" s="1">
        <v>44354.35</v>
      </c>
      <c r="AT838" s="1">
        <v>44354.351087962961</v>
      </c>
      <c r="AU838" s="1">
        <v>44354.351527777777</v>
      </c>
      <c r="AV838" t="s">
        <v>71</v>
      </c>
      <c r="AW838" t="s">
        <v>72</v>
      </c>
      <c r="AX838" t="s">
        <v>73</v>
      </c>
    </row>
    <row r="839" spans="1:50" x14ac:dyDescent="0.3">
      <c r="A839" t="str">
        <f>"201887B0000"</f>
        <v>201887B0000</v>
      </c>
      <c r="B839" t="str">
        <f>"201887B00002"</f>
        <v>201887B00002</v>
      </c>
      <c r="C839" t="str">
        <f t="shared" ref="C839:C902" si="37">"20"</f>
        <v>20</v>
      </c>
      <c r="D839" t="s">
        <v>67</v>
      </c>
      <c r="E839" t="str">
        <f t="shared" si="36"/>
        <v>004</v>
      </c>
      <c r="F839" t="s">
        <v>725</v>
      </c>
      <c r="G839" t="str">
        <f>"1887"</f>
        <v>1887</v>
      </c>
      <c r="H839" t="str">
        <f>"0000"</f>
        <v>0000</v>
      </c>
      <c r="I839" t="s">
        <v>69</v>
      </c>
      <c r="J839">
        <v>0</v>
      </c>
      <c r="K839">
        <v>1</v>
      </c>
      <c r="L839">
        <v>2</v>
      </c>
      <c r="M839">
        <v>286</v>
      </c>
      <c r="N839">
        <v>302</v>
      </c>
      <c r="O839">
        <v>0</v>
      </c>
      <c r="P839">
        <v>302</v>
      </c>
      <c r="Q839">
        <v>4</v>
      </c>
      <c r="R839">
        <v>98</v>
      </c>
      <c r="S839">
        <v>8</v>
      </c>
      <c r="T839">
        <v>3</v>
      </c>
      <c r="U839">
        <v>7</v>
      </c>
      <c r="V839">
        <v>5</v>
      </c>
      <c r="W839">
        <v>15</v>
      </c>
      <c r="X839">
        <v>139</v>
      </c>
      <c r="Y839">
        <v>2</v>
      </c>
      <c r="Z839">
        <v>5</v>
      </c>
      <c r="AA839">
        <v>2</v>
      </c>
      <c r="AB839">
        <v>0</v>
      </c>
      <c r="AD839">
        <v>0</v>
      </c>
      <c r="AE839">
        <v>0</v>
      </c>
      <c r="AF839">
        <v>0</v>
      </c>
      <c r="AG839">
        <v>0</v>
      </c>
      <c r="AI839">
        <v>0</v>
      </c>
      <c r="AJ839">
        <v>14</v>
      </c>
      <c r="AK839">
        <v>302</v>
      </c>
      <c r="AL839">
        <v>302</v>
      </c>
      <c r="AM839">
        <v>544</v>
      </c>
      <c r="AN839">
        <v>44</v>
      </c>
      <c r="AP839">
        <v>1</v>
      </c>
      <c r="AR839" t="s">
        <v>923</v>
      </c>
      <c r="AS839" s="1">
        <v>44354.318055555559</v>
      </c>
      <c r="AT839" s="1">
        <v>44354.32130787037</v>
      </c>
      <c r="AU839" s="1">
        <v>44354.321886574071</v>
      </c>
      <c r="AV839" t="s">
        <v>71</v>
      </c>
      <c r="AW839" t="s">
        <v>72</v>
      </c>
      <c r="AX839" t="s">
        <v>73</v>
      </c>
    </row>
    <row r="840" spans="1:50" x14ac:dyDescent="0.3">
      <c r="A840" t="str">
        <f>"201887C0100"</f>
        <v>201887C0100</v>
      </c>
      <c r="B840" t="str">
        <f>"201887C01002"</f>
        <v>201887C01002</v>
      </c>
      <c r="C840" t="str">
        <f t="shared" si="37"/>
        <v>20</v>
      </c>
      <c r="D840" t="s">
        <v>67</v>
      </c>
      <c r="E840" t="str">
        <f t="shared" si="36"/>
        <v>004</v>
      </c>
      <c r="F840" t="s">
        <v>725</v>
      </c>
      <c r="G840" t="str">
        <f>"1887"</f>
        <v>1887</v>
      </c>
      <c r="H840" t="str">
        <f>"0001"</f>
        <v>0001</v>
      </c>
      <c r="I840" t="s">
        <v>75</v>
      </c>
      <c r="J840">
        <v>0</v>
      </c>
      <c r="K840">
        <v>1</v>
      </c>
      <c r="L840">
        <v>2</v>
      </c>
      <c r="M840">
        <v>302</v>
      </c>
      <c r="N840">
        <v>286</v>
      </c>
      <c r="O840">
        <v>0</v>
      </c>
      <c r="P840">
        <v>286</v>
      </c>
      <c r="Q840">
        <v>4</v>
      </c>
      <c r="R840">
        <v>91</v>
      </c>
      <c r="S840">
        <v>7</v>
      </c>
      <c r="T840">
        <v>3</v>
      </c>
      <c r="U840">
        <v>5</v>
      </c>
      <c r="V840">
        <v>1</v>
      </c>
      <c r="W840">
        <v>18</v>
      </c>
      <c r="X840">
        <v>123</v>
      </c>
      <c r="Y840">
        <v>0</v>
      </c>
      <c r="Z840">
        <v>7</v>
      </c>
      <c r="AA840">
        <v>2</v>
      </c>
      <c r="AB840">
        <v>4</v>
      </c>
      <c r="AD840">
        <v>0</v>
      </c>
      <c r="AE840">
        <v>1</v>
      </c>
      <c r="AF840">
        <v>0</v>
      </c>
      <c r="AG840">
        <v>1</v>
      </c>
      <c r="AI840">
        <v>0</v>
      </c>
      <c r="AJ840">
        <v>19</v>
      </c>
      <c r="AK840">
        <v>286</v>
      </c>
      <c r="AL840">
        <v>286</v>
      </c>
      <c r="AM840">
        <v>544</v>
      </c>
      <c r="AN840">
        <v>44</v>
      </c>
      <c r="AP840">
        <v>1</v>
      </c>
      <c r="AR840" t="s">
        <v>924</v>
      </c>
      <c r="AS840" s="1">
        <v>44354.317361111112</v>
      </c>
      <c r="AT840" s="1">
        <v>44354.321620370371</v>
      </c>
      <c r="AU840" s="1">
        <v>44354.322164351855</v>
      </c>
      <c r="AV840" t="s">
        <v>71</v>
      </c>
      <c r="AW840" t="s">
        <v>72</v>
      </c>
      <c r="AX840" t="s">
        <v>73</v>
      </c>
    </row>
    <row r="841" spans="1:50" x14ac:dyDescent="0.3">
      <c r="A841" t="str">
        <f>"201887E0100"</f>
        <v>201887E0100</v>
      </c>
      <c r="B841" t="str">
        <f>"201887E01002"</f>
        <v>201887E01002</v>
      </c>
      <c r="C841" t="str">
        <f t="shared" si="37"/>
        <v>20</v>
      </c>
      <c r="D841" t="s">
        <v>67</v>
      </c>
      <c r="E841" t="str">
        <f t="shared" si="36"/>
        <v>004</v>
      </c>
      <c r="F841" t="s">
        <v>725</v>
      </c>
      <c r="G841" t="str">
        <f>"1887"</f>
        <v>1887</v>
      </c>
      <c r="H841" t="str">
        <f>"0001"</f>
        <v>0001</v>
      </c>
      <c r="I841" t="s">
        <v>109</v>
      </c>
      <c r="J841">
        <v>0</v>
      </c>
      <c r="K841">
        <v>1</v>
      </c>
      <c r="L841">
        <v>2</v>
      </c>
      <c r="M841">
        <v>158</v>
      </c>
      <c r="N841">
        <v>304</v>
      </c>
      <c r="O841">
        <v>7</v>
      </c>
      <c r="P841">
        <v>304</v>
      </c>
      <c r="Q841">
        <v>7</v>
      </c>
      <c r="R841">
        <v>65</v>
      </c>
      <c r="S841">
        <v>17</v>
      </c>
      <c r="T841">
        <v>1</v>
      </c>
      <c r="U841">
        <v>5</v>
      </c>
      <c r="V841">
        <v>6</v>
      </c>
      <c r="W841">
        <v>10</v>
      </c>
      <c r="X841">
        <v>169</v>
      </c>
      <c r="Y841">
        <v>1</v>
      </c>
      <c r="Z841">
        <v>8</v>
      </c>
      <c r="AA841">
        <v>2</v>
      </c>
      <c r="AB841">
        <v>3</v>
      </c>
      <c r="AD841">
        <v>0</v>
      </c>
      <c r="AE841">
        <v>1</v>
      </c>
      <c r="AF841">
        <v>0</v>
      </c>
      <c r="AG841">
        <v>3</v>
      </c>
      <c r="AI841">
        <v>0</v>
      </c>
      <c r="AJ841">
        <v>6</v>
      </c>
      <c r="AK841">
        <v>304</v>
      </c>
      <c r="AL841">
        <v>304</v>
      </c>
      <c r="AM841">
        <v>418</v>
      </c>
      <c r="AN841">
        <v>44</v>
      </c>
      <c r="AP841">
        <v>1</v>
      </c>
      <c r="AR841" t="s">
        <v>925</v>
      </c>
      <c r="AS841" s="1">
        <v>44354.29791666667</v>
      </c>
      <c r="AT841" s="1">
        <v>44354.299930555557</v>
      </c>
      <c r="AU841" s="1">
        <v>44354.300509259258</v>
      </c>
      <c r="AV841" t="s">
        <v>71</v>
      </c>
      <c r="AW841" t="s">
        <v>72</v>
      </c>
      <c r="AX841" t="s">
        <v>73</v>
      </c>
    </row>
    <row r="842" spans="1:50" x14ac:dyDescent="0.3">
      <c r="A842" t="str">
        <f>"201906B0000"</f>
        <v>201906B0000</v>
      </c>
      <c r="B842" t="str">
        <f>"201906B00002"</f>
        <v>201906B00002</v>
      </c>
      <c r="C842" t="str">
        <f t="shared" si="37"/>
        <v>20</v>
      </c>
      <c r="D842" t="s">
        <v>67</v>
      </c>
      <c r="E842" t="str">
        <f t="shared" si="36"/>
        <v>004</v>
      </c>
      <c r="F842" t="s">
        <v>725</v>
      </c>
      <c r="G842" t="str">
        <f>"1906"</f>
        <v>1906</v>
      </c>
      <c r="H842" t="str">
        <f>"0000"</f>
        <v>0000</v>
      </c>
      <c r="I842" t="s">
        <v>69</v>
      </c>
      <c r="J842">
        <v>0</v>
      </c>
      <c r="K842">
        <v>1</v>
      </c>
      <c r="L842">
        <v>2</v>
      </c>
      <c r="M842">
        <v>153</v>
      </c>
      <c r="N842">
        <v>399</v>
      </c>
      <c r="O842">
        <v>1</v>
      </c>
      <c r="P842">
        <v>399</v>
      </c>
      <c r="Q842">
        <v>0</v>
      </c>
      <c r="R842">
        <v>116</v>
      </c>
      <c r="S842">
        <v>1</v>
      </c>
      <c r="T842">
        <v>1</v>
      </c>
      <c r="U842">
        <v>3</v>
      </c>
      <c r="V842">
        <v>0</v>
      </c>
      <c r="W842">
        <v>119</v>
      </c>
      <c r="X842">
        <v>146</v>
      </c>
      <c r="Y842">
        <v>0</v>
      </c>
      <c r="Z842">
        <v>3</v>
      </c>
      <c r="AA842">
        <v>0</v>
      </c>
      <c r="AB842">
        <v>1</v>
      </c>
      <c r="AD842">
        <v>3</v>
      </c>
      <c r="AE842">
        <v>0</v>
      </c>
      <c r="AF842">
        <v>0</v>
      </c>
      <c r="AG842">
        <v>0</v>
      </c>
      <c r="AI842">
        <v>0</v>
      </c>
      <c r="AJ842">
        <v>6</v>
      </c>
      <c r="AK842">
        <v>399</v>
      </c>
      <c r="AL842">
        <v>399</v>
      </c>
      <c r="AM842">
        <v>508</v>
      </c>
      <c r="AN842">
        <v>44</v>
      </c>
      <c r="AP842">
        <v>1</v>
      </c>
      <c r="AR842" t="s">
        <v>926</v>
      </c>
      <c r="AS842" s="1">
        <v>44354.104166666664</v>
      </c>
      <c r="AT842" s="1">
        <v>44354.107499999998</v>
      </c>
      <c r="AU842" s="1">
        <v>44354.110046296293</v>
      </c>
      <c r="AV842" t="s">
        <v>71</v>
      </c>
      <c r="AW842" t="s">
        <v>72</v>
      </c>
      <c r="AX842" t="s">
        <v>73</v>
      </c>
    </row>
    <row r="843" spans="1:50" x14ac:dyDescent="0.3">
      <c r="A843" t="str">
        <f>"201906C0100"</f>
        <v>201906C0100</v>
      </c>
      <c r="B843" t="str">
        <f>"201906C01002"</f>
        <v>201906C01002</v>
      </c>
      <c r="C843" t="str">
        <f t="shared" si="37"/>
        <v>20</v>
      </c>
      <c r="D843" t="s">
        <v>67</v>
      </c>
      <c r="E843" t="str">
        <f t="shared" si="36"/>
        <v>004</v>
      </c>
      <c r="F843" t="s">
        <v>725</v>
      </c>
      <c r="G843" t="str">
        <f>"1906"</f>
        <v>1906</v>
      </c>
      <c r="H843" t="str">
        <f>"0001"</f>
        <v>0001</v>
      </c>
      <c r="I843" t="s">
        <v>75</v>
      </c>
      <c r="J843">
        <v>0</v>
      </c>
      <c r="K843">
        <v>1</v>
      </c>
      <c r="L843">
        <v>2</v>
      </c>
      <c r="M843">
        <v>147</v>
      </c>
      <c r="N843">
        <v>405</v>
      </c>
      <c r="O843">
        <v>1</v>
      </c>
      <c r="P843">
        <v>405</v>
      </c>
      <c r="Q843">
        <v>0</v>
      </c>
      <c r="R843">
        <v>124</v>
      </c>
      <c r="S843">
        <v>4</v>
      </c>
      <c r="T843">
        <v>0</v>
      </c>
      <c r="U843">
        <v>3</v>
      </c>
      <c r="V843">
        <v>3</v>
      </c>
      <c r="W843">
        <v>93</v>
      </c>
      <c r="X843">
        <v>161</v>
      </c>
      <c r="Y843">
        <v>1</v>
      </c>
      <c r="Z843">
        <v>0</v>
      </c>
      <c r="AA843">
        <v>0</v>
      </c>
      <c r="AB843">
        <v>1</v>
      </c>
      <c r="AD843">
        <v>6</v>
      </c>
      <c r="AE843">
        <v>0</v>
      </c>
      <c r="AF843">
        <v>0</v>
      </c>
      <c r="AG843">
        <v>0</v>
      </c>
      <c r="AI843">
        <v>0</v>
      </c>
      <c r="AJ843">
        <v>9</v>
      </c>
      <c r="AK843">
        <v>405</v>
      </c>
      <c r="AL843">
        <v>405</v>
      </c>
      <c r="AM843">
        <v>508</v>
      </c>
      <c r="AN843">
        <v>44</v>
      </c>
      <c r="AP843">
        <v>1</v>
      </c>
      <c r="AR843" t="s">
        <v>927</v>
      </c>
      <c r="AS843" s="1">
        <v>44354.104166666664</v>
      </c>
      <c r="AT843" s="1">
        <v>44354.10796296296</v>
      </c>
      <c r="AU843" s="1">
        <v>44354.108738425923</v>
      </c>
      <c r="AV843" t="s">
        <v>71</v>
      </c>
      <c r="AW843" t="s">
        <v>72</v>
      </c>
      <c r="AX843" t="s">
        <v>73</v>
      </c>
    </row>
    <row r="844" spans="1:50" x14ac:dyDescent="0.3">
      <c r="A844" t="str">
        <f>"201906C0200"</f>
        <v>201906C0200</v>
      </c>
      <c r="B844" t="str">
        <f>"201906C02002"</f>
        <v>201906C02002</v>
      </c>
      <c r="C844" t="str">
        <f t="shared" si="37"/>
        <v>20</v>
      </c>
      <c r="D844" t="s">
        <v>67</v>
      </c>
      <c r="E844" t="str">
        <f t="shared" si="36"/>
        <v>004</v>
      </c>
      <c r="F844" t="s">
        <v>725</v>
      </c>
      <c r="G844" t="str">
        <f>"1906"</f>
        <v>1906</v>
      </c>
      <c r="H844" t="str">
        <f>"0002"</f>
        <v>0002</v>
      </c>
      <c r="I844" t="s">
        <v>75</v>
      </c>
      <c r="J844">
        <v>0</v>
      </c>
      <c r="K844">
        <v>1</v>
      </c>
      <c r="L844">
        <v>2</v>
      </c>
      <c r="M844">
        <v>152</v>
      </c>
      <c r="N844">
        <v>399</v>
      </c>
      <c r="O844">
        <v>1</v>
      </c>
      <c r="P844">
        <v>399</v>
      </c>
      <c r="Q844">
        <v>0</v>
      </c>
      <c r="R844">
        <v>113</v>
      </c>
      <c r="S844">
        <v>2</v>
      </c>
      <c r="T844">
        <v>1</v>
      </c>
      <c r="U844">
        <v>8</v>
      </c>
      <c r="V844">
        <v>3</v>
      </c>
      <c r="W844">
        <v>106</v>
      </c>
      <c r="X844">
        <v>149</v>
      </c>
      <c r="Y844">
        <v>1</v>
      </c>
      <c r="Z844">
        <v>1</v>
      </c>
      <c r="AA844">
        <v>2</v>
      </c>
      <c r="AB844">
        <v>0</v>
      </c>
      <c r="AD844">
        <v>5</v>
      </c>
      <c r="AE844">
        <v>0</v>
      </c>
      <c r="AF844">
        <v>0</v>
      </c>
      <c r="AG844">
        <v>0</v>
      </c>
      <c r="AI844">
        <v>0</v>
      </c>
      <c r="AJ844">
        <v>8</v>
      </c>
      <c r="AK844">
        <v>399</v>
      </c>
      <c r="AL844">
        <v>399</v>
      </c>
      <c r="AM844">
        <v>507</v>
      </c>
      <c r="AN844">
        <v>44</v>
      </c>
      <c r="AP844">
        <v>1</v>
      </c>
      <c r="AR844" t="s">
        <v>928</v>
      </c>
      <c r="AS844" s="1">
        <v>44354.107638888891</v>
      </c>
      <c r="AT844" s="1">
        <v>44354.111331018517</v>
      </c>
      <c r="AU844" s="1">
        <v>44354.111747685187</v>
      </c>
      <c r="AV844" t="s">
        <v>71</v>
      </c>
      <c r="AW844" t="s">
        <v>72</v>
      </c>
      <c r="AX844" t="s">
        <v>73</v>
      </c>
    </row>
    <row r="845" spans="1:50" x14ac:dyDescent="0.3">
      <c r="A845" t="str">
        <f>"201909B0000"</f>
        <v>201909B0000</v>
      </c>
      <c r="B845" t="str">
        <f>"201909B00002"</f>
        <v>201909B00002</v>
      </c>
      <c r="C845" t="str">
        <f t="shared" si="37"/>
        <v>20</v>
      </c>
      <c r="D845" t="s">
        <v>67</v>
      </c>
      <c r="E845" t="str">
        <f t="shared" si="36"/>
        <v>004</v>
      </c>
      <c r="F845" t="s">
        <v>725</v>
      </c>
      <c r="G845" t="str">
        <f>"1909"</f>
        <v>1909</v>
      </c>
      <c r="H845" t="str">
        <f>"0000"</f>
        <v>0000</v>
      </c>
      <c r="I845" t="s">
        <v>69</v>
      </c>
      <c r="J845">
        <v>0</v>
      </c>
      <c r="K845">
        <v>1</v>
      </c>
      <c r="L845">
        <v>2</v>
      </c>
      <c r="M845">
        <v>275</v>
      </c>
      <c r="N845">
        <v>512</v>
      </c>
      <c r="O845">
        <v>3</v>
      </c>
      <c r="P845">
        <v>512</v>
      </c>
      <c r="Q845">
        <v>8</v>
      </c>
      <c r="R845">
        <v>227</v>
      </c>
      <c r="S845">
        <v>9</v>
      </c>
      <c r="T845">
        <v>2</v>
      </c>
      <c r="U845">
        <v>3</v>
      </c>
      <c r="V845">
        <v>0</v>
      </c>
      <c r="W845">
        <v>1</v>
      </c>
      <c r="X845">
        <v>172</v>
      </c>
      <c r="Y845">
        <v>1</v>
      </c>
      <c r="Z845">
        <v>52</v>
      </c>
      <c r="AA845">
        <v>7</v>
      </c>
      <c r="AB845">
        <v>0</v>
      </c>
      <c r="AD845">
        <v>11</v>
      </c>
      <c r="AE845">
        <v>0</v>
      </c>
      <c r="AF845">
        <v>0</v>
      </c>
      <c r="AG845">
        <v>0</v>
      </c>
      <c r="AI845">
        <v>0</v>
      </c>
      <c r="AJ845">
        <v>14</v>
      </c>
      <c r="AK845">
        <v>508</v>
      </c>
      <c r="AL845">
        <v>507</v>
      </c>
      <c r="AM845">
        <v>743</v>
      </c>
      <c r="AN845">
        <v>44</v>
      </c>
      <c r="AP845">
        <v>1</v>
      </c>
      <c r="AR845" t="s">
        <v>929</v>
      </c>
      <c r="AS845" s="1">
        <v>44354.013425925928</v>
      </c>
      <c r="AT845" s="1">
        <v>44354.020046296297</v>
      </c>
      <c r="AU845" s="1">
        <v>44354.020937499998</v>
      </c>
      <c r="AV845" t="s">
        <v>269</v>
      </c>
      <c r="AW845" t="s">
        <v>270</v>
      </c>
      <c r="AX845" t="s">
        <v>73</v>
      </c>
    </row>
    <row r="846" spans="1:50" x14ac:dyDescent="0.3">
      <c r="A846" t="str">
        <f>"201909C0100"</f>
        <v>201909C0100</v>
      </c>
      <c r="B846" t="str">
        <f>"201909C01002"</f>
        <v>201909C01002</v>
      </c>
      <c r="C846" t="str">
        <f t="shared" si="37"/>
        <v>20</v>
      </c>
      <c r="D846" t="s">
        <v>67</v>
      </c>
      <c r="E846" t="str">
        <f t="shared" si="36"/>
        <v>004</v>
      </c>
      <c r="F846" t="s">
        <v>725</v>
      </c>
      <c r="G846" t="str">
        <f>"1909"</f>
        <v>1909</v>
      </c>
      <c r="H846" t="str">
        <f>"0001"</f>
        <v>0001</v>
      </c>
      <c r="I846" t="s">
        <v>75</v>
      </c>
      <c r="J846">
        <v>0</v>
      </c>
      <c r="K846">
        <v>1</v>
      </c>
      <c r="L846">
        <v>2</v>
      </c>
      <c r="M846">
        <v>296</v>
      </c>
      <c r="N846">
        <v>787</v>
      </c>
      <c r="O846">
        <v>3</v>
      </c>
      <c r="P846">
        <v>491</v>
      </c>
      <c r="Q846">
        <v>5</v>
      </c>
      <c r="R846">
        <v>200</v>
      </c>
      <c r="S846">
        <v>3</v>
      </c>
      <c r="T846">
        <v>3</v>
      </c>
      <c r="U846">
        <v>5</v>
      </c>
      <c r="V846">
        <v>1</v>
      </c>
      <c r="W846">
        <v>2</v>
      </c>
      <c r="X846">
        <v>171</v>
      </c>
      <c r="Y846">
        <v>2</v>
      </c>
      <c r="Z846">
        <v>52</v>
      </c>
      <c r="AA846">
        <v>3</v>
      </c>
      <c r="AB846" t="s">
        <v>77</v>
      </c>
      <c r="AD846">
        <v>19</v>
      </c>
      <c r="AE846">
        <v>2</v>
      </c>
      <c r="AF846" t="s">
        <v>77</v>
      </c>
      <c r="AG846">
        <v>2</v>
      </c>
      <c r="AI846" t="s">
        <v>77</v>
      </c>
      <c r="AJ846">
        <v>21</v>
      </c>
      <c r="AK846">
        <v>491</v>
      </c>
      <c r="AL846">
        <v>491</v>
      </c>
      <c r="AM846">
        <v>743</v>
      </c>
      <c r="AN846">
        <v>44</v>
      </c>
      <c r="AO846" t="s">
        <v>78</v>
      </c>
      <c r="AP846">
        <v>1</v>
      </c>
      <c r="AR846" t="s">
        <v>930</v>
      </c>
      <c r="AS846" s="1">
        <v>44353.970659722225</v>
      </c>
      <c r="AT846" s="1">
        <v>44353.973171296297</v>
      </c>
      <c r="AU846" s="1">
        <v>44353.974108796298</v>
      </c>
      <c r="AV846" t="s">
        <v>269</v>
      </c>
      <c r="AW846" t="s">
        <v>270</v>
      </c>
      <c r="AX846" t="s">
        <v>73</v>
      </c>
    </row>
    <row r="847" spans="1:50" x14ac:dyDescent="0.3">
      <c r="A847" t="str">
        <f>"201910B0000"</f>
        <v>201910B0000</v>
      </c>
      <c r="B847" t="str">
        <f>"201910B00002"</f>
        <v>201910B00002</v>
      </c>
      <c r="C847" t="str">
        <f t="shared" si="37"/>
        <v>20</v>
      </c>
      <c r="D847" t="s">
        <v>67</v>
      </c>
      <c r="E847" t="str">
        <f t="shared" si="36"/>
        <v>004</v>
      </c>
      <c r="F847" t="s">
        <v>725</v>
      </c>
      <c r="G847" t="str">
        <f>"1910"</f>
        <v>1910</v>
      </c>
      <c r="H847" t="str">
        <f>"0000"</f>
        <v>0000</v>
      </c>
      <c r="I847" t="s">
        <v>69</v>
      </c>
      <c r="J847">
        <v>0</v>
      </c>
      <c r="K847">
        <v>1</v>
      </c>
      <c r="L847">
        <v>2</v>
      </c>
      <c r="M847">
        <v>199</v>
      </c>
      <c r="N847">
        <v>266</v>
      </c>
      <c r="O847">
        <v>4</v>
      </c>
      <c r="P847">
        <v>266</v>
      </c>
      <c r="Q847">
        <v>1</v>
      </c>
      <c r="R847">
        <v>74</v>
      </c>
      <c r="S847">
        <v>1</v>
      </c>
      <c r="T847">
        <v>1</v>
      </c>
      <c r="U847">
        <v>2</v>
      </c>
      <c r="V847">
        <v>1</v>
      </c>
      <c r="W847">
        <v>3</v>
      </c>
      <c r="X847">
        <v>149</v>
      </c>
      <c r="Y847">
        <v>2</v>
      </c>
      <c r="Z847">
        <v>12</v>
      </c>
      <c r="AA847">
        <v>2</v>
      </c>
      <c r="AB847">
        <v>2</v>
      </c>
      <c r="AD847">
        <v>3</v>
      </c>
      <c r="AE847">
        <v>1</v>
      </c>
      <c r="AF847">
        <v>0</v>
      </c>
      <c r="AG847">
        <v>2</v>
      </c>
      <c r="AI847">
        <v>0</v>
      </c>
      <c r="AJ847">
        <v>10</v>
      </c>
      <c r="AK847">
        <v>266</v>
      </c>
      <c r="AL847">
        <v>266</v>
      </c>
      <c r="AM847">
        <v>421</v>
      </c>
      <c r="AN847">
        <v>44</v>
      </c>
      <c r="AP847">
        <v>1</v>
      </c>
      <c r="AR847" t="s">
        <v>931</v>
      </c>
      <c r="AS847" s="1">
        <v>44353.987662037034</v>
      </c>
      <c r="AT847" s="1">
        <v>44353.99019675926</v>
      </c>
      <c r="AU847" s="1">
        <v>44353.990717592591</v>
      </c>
      <c r="AV847" t="s">
        <v>269</v>
      </c>
      <c r="AW847" t="s">
        <v>270</v>
      </c>
      <c r="AX847" t="s">
        <v>73</v>
      </c>
    </row>
    <row r="848" spans="1:50" x14ac:dyDescent="0.3">
      <c r="A848" t="str">
        <f>"201910C0100"</f>
        <v>201910C0100</v>
      </c>
      <c r="B848" t="str">
        <f>"201910C01002"</f>
        <v>201910C01002</v>
      </c>
      <c r="C848" t="str">
        <f t="shared" si="37"/>
        <v>20</v>
      </c>
      <c r="D848" t="s">
        <v>67</v>
      </c>
      <c r="E848" t="str">
        <f t="shared" si="36"/>
        <v>004</v>
      </c>
      <c r="F848" t="s">
        <v>725</v>
      </c>
      <c r="G848" t="str">
        <f>"1910"</f>
        <v>1910</v>
      </c>
      <c r="H848" t="str">
        <f>"0001"</f>
        <v>0001</v>
      </c>
      <c r="I848" t="s">
        <v>75</v>
      </c>
      <c r="J848">
        <v>0</v>
      </c>
      <c r="K848">
        <v>1</v>
      </c>
      <c r="L848">
        <v>2</v>
      </c>
      <c r="M848">
        <v>171</v>
      </c>
      <c r="N848">
        <v>293</v>
      </c>
      <c r="O848">
        <v>6</v>
      </c>
      <c r="P848">
        <v>293</v>
      </c>
      <c r="Q848">
        <v>1</v>
      </c>
      <c r="R848">
        <v>70</v>
      </c>
      <c r="S848">
        <v>1</v>
      </c>
      <c r="T848">
        <v>2</v>
      </c>
      <c r="U848">
        <v>3</v>
      </c>
      <c r="V848">
        <v>4</v>
      </c>
      <c r="W848">
        <v>1</v>
      </c>
      <c r="X848">
        <v>179</v>
      </c>
      <c r="Y848">
        <v>0</v>
      </c>
      <c r="Z848">
        <v>18</v>
      </c>
      <c r="AA848">
        <v>3</v>
      </c>
      <c r="AB848">
        <v>2</v>
      </c>
      <c r="AD848">
        <v>3</v>
      </c>
      <c r="AE848">
        <v>0</v>
      </c>
      <c r="AF848">
        <v>0</v>
      </c>
      <c r="AG848">
        <v>0</v>
      </c>
      <c r="AI848">
        <v>0</v>
      </c>
      <c r="AJ848">
        <v>6</v>
      </c>
      <c r="AK848" t="s">
        <v>99</v>
      </c>
      <c r="AL848">
        <v>293</v>
      </c>
      <c r="AM848">
        <v>420</v>
      </c>
      <c r="AN848">
        <v>44</v>
      </c>
      <c r="AP848">
        <v>1</v>
      </c>
      <c r="AR848" t="s">
        <v>932</v>
      </c>
      <c r="AS848" s="1">
        <v>44354.052233796298</v>
      </c>
      <c r="AT848" s="1">
        <v>44354.059976851851</v>
      </c>
      <c r="AU848" s="1">
        <v>44354.061979166669</v>
      </c>
      <c r="AV848" t="s">
        <v>269</v>
      </c>
      <c r="AW848" t="s">
        <v>270</v>
      </c>
      <c r="AX848" t="s">
        <v>73</v>
      </c>
    </row>
    <row r="849" spans="1:50" x14ac:dyDescent="0.3">
      <c r="A849" t="str">
        <f>"201910E0100"</f>
        <v>201910E0100</v>
      </c>
      <c r="B849" t="str">
        <f>"201910E01002"</f>
        <v>201910E01002</v>
      </c>
      <c r="C849" t="str">
        <f t="shared" si="37"/>
        <v>20</v>
      </c>
      <c r="D849" t="s">
        <v>67</v>
      </c>
      <c r="E849" t="str">
        <f t="shared" si="36"/>
        <v>004</v>
      </c>
      <c r="F849" t="s">
        <v>725</v>
      </c>
      <c r="G849" t="str">
        <f>"1910"</f>
        <v>1910</v>
      </c>
      <c r="H849" t="str">
        <f>"0001"</f>
        <v>0001</v>
      </c>
      <c r="I849" t="s">
        <v>109</v>
      </c>
      <c r="J849">
        <v>0</v>
      </c>
      <c r="K849">
        <v>1</v>
      </c>
      <c r="L849">
        <v>2</v>
      </c>
      <c r="M849">
        <v>152</v>
      </c>
      <c r="N849">
        <v>247</v>
      </c>
      <c r="O849">
        <v>1</v>
      </c>
      <c r="P849">
        <v>247</v>
      </c>
      <c r="Q849">
        <v>3</v>
      </c>
      <c r="R849">
        <v>8</v>
      </c>
      <c r="S849">
        <v>3</v>
      </c>
      <c r="T849">
        <v>4</v>
      </c>
      <c r="U849">
        <v>1</v>
      </c>
      <c r="V849">
        <v>0</v>
      </c>
      <c r="W849">
        <v>2</v>
      </c>
      <c r="X849">
        <v>98</v>
      </c>
      <c r="Y849">
        <v>1</v>
      </c>
      <c r="Z849">
        <v>16</v>
      </c>
      <c r="AA849">
        <v>3</v>
      </c>
      <c r="AB849">
        <v>1</v>
      </c>
      <c r="AD849">
        <v>1</v>
      </c>
      <c r="AE849">
        <v>1</v>
      </c>
      <c r="AF849">
        <v>0</v>
      </c>
      <c r="AG849">
        <v>0</v>
      </c>
      <c r="AI849">
        <v>0</v>
      </c>
      <c r="AJ849">
        <v>4</v>
      </c>
      <c r="AK849">
        <v>247</v>
      </c>
      <c r="AL849">
        <v>146</v>
      </c>
      <c r="AM849">
        <v>355</v>
      </c>
      <c r="AN849">
        <v>44</v>
      </c>
      <c r="AP849">
        <v>1</v>
      </c>
      <c r="AR849" t="s">
        <v>933</v>
      </c>
      <c r="AS849" s="1">
        <v>44353.924293981479</v>
      </c>
      <c r="AT849" s="1">
        <v>44353.926307870373</v>
      </c>
      <c r="AU849" s="1">
        <v>44353.927349537036</v>
      </c>
      <c r="AV849" t="s">
        <v>269</v>
      </c>
      <c r="AW849" t="s">
        <v>270</v>
      </c>
      <c r="AX849" t="s">
        <v>73</v>
      </c>
    </row>
    <row r="850" spans="1:50" x14ac:dyDescent="0.3">
      <c r="A850" t="str">
        <f>"201910E0200"</f>
        <v>201910E0200</v>
      </c>
      <c r="B850" t="str">
        <f>"201910E02002"</f>
        <v>201910E02002</v>
      </c>
      <c r="C850" t="str">
        <f t="shared" si="37"/>
        <v>20</v>
      </c>
      <c r="D850" t="s">
        <v>67</v>
      </c>
      <c r="E850" t="str">
        <f t="shared" si="36"/>
        <v>004</v>
      </c>
      <c r="F850" t="s">
        <v>725</v>
      </c>
      <c r="G850" t="str">
        <f>"1910"</f>
        <v>1910</v>
      </c>
      <c r="H850" t="str">
        <f>"0002"</f>
        <v>0002</v>
      </c>
      <c r="I850" t="s">
        <v>109</v>
      </c>
      <c r="J850">
        <v>0</v>
      </c>
      <c r="K850">
        <v>1</v>
      </c>
      <c r="L850">
        <v>2</v>
      </c>
      <c r="M850">
        <v>171</v>
      </c>
      <c r="N850">
        <v>210</v>
      </c>
      <c r="O850">
        <v>3</v>
      </c>
      <c r="P850">
        <v>210</v>
      </c>
      <c r="Q850">
        <v>1</v>
      </c>
      <c r="R850">
        <v>63</v>
      </c>
      <c r="S850">
        <v>1</v>
      </c>
      <c r="T850">
        <v>0</v>
      </c>
      <c r="U850">
        <v>1</v>
      </c>
      <c r="V850">
        <v>0</v>
      </c>
      <c r="W850">
        <v>1</v>
      </c>
      <c r="X850">
        <v>115</v>
      </c>
      <c r="Y850">
        <v>0</v>
      </c>
      <c r="Z850">
        <v>12</v>
      </c>
      <c r="AA850">
        <v>3</v>
      </c>
      <c r="AB850">
        <v>0</v>
      </c>
      <c r="AD850">
        <v>2</v>
      </c>
      <c r="AE850">
        <v>0</v>
      </c>
      <c r="AF850">
        <v>0</v>
      </c>
      <c r="AG850">
        <v>1</v>
      </c>
      <c r="AI850">
        <v>0</v>
      </c>
      <c r="AJ850">
        <v>10</v>
      </c>
      <c r="AK850">
        <v>210</v>
      </c>
      <c r="AL850">
        <v>210</v>
      </c>
      <c r="AM850">
        <v>337</v>
      </c>
      <c r="AN850">
        <v>44</v>
      </c>
      <c r="AP850">
        <v>1</v>
      </c>
      <c r="AR850" t="s">
        <v>934</v>
      </c>
      <c r="AS850" s="1">
        <v>44354.081956018519</v>
      </c>
      <c r="AT850" s="1">
        <v>44354.08929398148</v>
      </c>
      <c r="AU850" s="1">
        <v>44354.089918981481</v>
      </c>
      <c r="AV850" t="s">
        <v>269</v>
      </c>
      <c r="AW850" t="s">
        <v>270</v>
      </c>
      <c r="AX850" t="s">
        <v>73</v>
      </c>
    </row>
    <row r="851" spans="1:50" x14ac:dyDescent="0.3">
      <c r="A851" t="str">
        <f>"201913B0000"</f>
        <v>201913B0000</v>
      </c>
      <c r="B851" t="str">
        <f>"201913B00002"</f>
        <v>201913B00002</v>
      </c>
      <c r="C851" t="str">
        <f t="shared" si="37"/>
        <v>20</v>
      </c>
      <c r="D851" t="s">
        <v>67</v>
      </c>
      <c r="E851" t="str">
        <f t="shared" si="36"/>
        <v>004</v>
      </c>
      <c r="F851" t="s">
        <v>725</v>
      </c>
      <c r="G851" t="str">
        <f>"1913"</f>
        <v>1913</v>
      </c>
      <c r="H851" t="str">
        <f>"0000"</f>
        <v>0000</v>
      </c>
      <c r="I851" t="s">
        <v>69</v>
      </c>
      <c r="J851">
        <v>0</v>
      </c>
      <c r="K851">
        <v>1</v>
      </c>
      <c r="L851">
        <v>2</v>
      </c>
      <c r="M851">
        <v>277</v>
      </c>
      <c r="N851">
        <v>510</v>
      </c>
      <c r="O851">
        <v>4</v>
      </c>
      <c r="P851">
        <v>509</v>
      </c>
      <c r="Q851">
        <v>2</v>
      </c>
      <c r="R851">
        <v>224</v>
      </c>
      <c r="S851">
        <v>3</v>
      </c>
      <c r="T851">
        <v>1</v>
      </c>
      <c r="U851">
        <v>1</v>
      </c>
      <c r="V851">
        <v>1</v>
      </c>
      <c r="W851">
        <v>3</v>
      </c>
      <c r="X851">
        <v>263</v>
      </c>
      <c r="Y851">
        <v>0</v>
      </c>
      <c r="Z851">
        <v>0</v>
      </c>
      <c r="AA851">
        <v>1</v>
      </c>
      <c r="AB851">
        <v>0</v>
      </c>
      <c r="AD851">
        <v>3</v>
      </c>
      <c r="AE851">
        <v>0</v>
      </c>
      <c r="AF851">
        <v>0</v>
      </c>
      <c r="AG851">
        <v>0</v>
      </c>
      <c r="AI851">
        <v>0</v>
      </c>
      <c r="AJ851">
        <v>7</v>
      </c>
      <c r="AK851">
        <v>509</v>
      </c>
      <c r="AL851">
        <v>509</v>
      </c>
      <c r="AM851">
        <v>742</v>
      </c>
      <c r="AN851">
        <v>44</v>
      </c>
      <c r="AP851">
        <v>1</v>
      </c>
      <c r="AR851" t="s">
        <v>935</v>
      </c>
      <c r="AS851" s="1">
        <v>44354.324305555558</v>
      </c>
      <c r="AT851" s="1">
        <v>44354.327210648145</v>
      </c>
      <c r="AU851" s="1">
        <v>44354.328518518516</v>
      </c>
      <c r="AV851" t="s">
        <v>71</v>
      </c>
      <c r="AW851" t="s">
        <v>72</v>
      </c>
      <c r="AX851" t="s">
        <v>73</v>
      </c>
    </row>
    <row r="852" spans="1:50" x14ac:dyDescent="0.3">
      <c r="A852" t="str">
        <f>"201918B0000"</f>
        <v>201918B0000</v>
      </c>
      <c r="B852" t="str">
        <f>"201918B00002"</f>
        <v>201918B00002</v>
      </c>
      <c r="C852" t="str">
        <f t="shared" si="37"/>
        <v>20</v>
      </c>
      <c r="D852" t="s">
        <v>67</v>
      </c>
      <c r="E852" t="str">
        <f t="shared" si="36"/>
        <v>004</v>
      </c>
      <c r="F852" t="s">
        <v>725</v>
      </c>
      <c r="G852" t="str">
        <f>"1918"</f>
        <v>1918</v>
      </c>
      <c r="H852" t="str">
        <f>"0000"</f>
        <v>0000</v>
      </c>
      <c r="I852" t="s">
        <v>69</v>
      </c>
      <c r="J852">
        <v>0</v>
      </c>
      <c r="K852">
        <v>1</v>
      </c>
      <c r="L852">
        <v>2</v>
      </c>
      <c r="M852">
        <v>199</v>
      </c>
      <c r="N852">
        <v>292</v>
      </c>
      <c r="O852">
        <v>0</v>
      </c>
      <c r="P852">
        <v>292</v>
      </c>
      <c r="Q852">
        <v>8</v>
      </c>
      <c r="R852">
        <v>99</v>
      </c>
      <c r="S852">
        <v>2</v>
      </c>
      <c r="T852">
        <v>1</v>
      </c>
      <c r="U852">
        <v>13</v>
      </c>
      <c r="V852">
        <v>1</v>
      </c>
      <c r="W852">
        <v>2</v>
      </c>
      <c r="X852">
        <v>136</v>
      </c>
      <c r="Y852">
        <v>1</v>
      </c>
      <c r="Z852">
        <v>4</v>
      </c>
      <c r="AA852">
        <v>4</v>
      </c>
      <c r="AB852">
        <v>7</v>
      </c>
      <c r="AD852">
        <v>3</v>
      </c>
      <c r="AE852">
        <v>0</v>
      </c>
      <c r="AF852">
        <v>0</v>
      </c>
      <c r="AG852">
        <v>0</v>
      </c>
      <c r="AI852">
        <v>0</v>
      </c>
      <c r="AJ852">
        <v>11</v>
      </c>
      <c r="AK852">
        <v>292</v>
      </c>
      <c r="AL852">
        <v>292</v>
      </c>
      <c r="AM852">
        <v>447</v>
      </c>
      <c r="AN852">
        <v>44</v>
      </c>
      <c r="AP852">
        <v>1</v>
      </c>
      <c r="AR852" t="s">
        <v>936</v>
      </c>
      <c r="AS852" s="1">
        <v>44354.159722222219</v>
      </c>
      <c r="AT852" s="1">
        <v>44354.162546296298</v>
      </c>
      <c r="AU852" s="1">
        <v>44354.163356481484</v>
      </c>
      <c r="AV852" t="s">
        <v>71</v>
      </c>
      <c r="AW852" t="s">
        <v>72</v>
      </c>
      <c r="AX852" t="s">
        <v>73</v>
      </c>
    </row>
    <row r="853" spans="1:50" x14ac:dyDescent="0.3">
      <c r="A853" t="str">
        <f>"201918C0100"</f>
        <v>201918C0100</v>
      </c>
      <c r="B853" t="str">
        <f>"201918C01002"</f>
        <v>201918C01002</v>
      </c>
      <c r="C853" t="str">
        <f t="shared" si="37"/>
        <v>20</v>
      </c>
      <c r="D853" t="s">
        <v>67</v>
      </c>
      <c r="E853" t="str">
        <f t="shared" si="36"/>
        <v>004</v>
      </c>
      <c r="F853" t="s">
        <v>725</v>
      </c>
      <c r="G853" t="str">
        <f>"1918"</f>
        <v>1918</v>
      </c>
      <c r="H853" t="str">
        <f>"0001"</f>
        <v>0001</v>
      </c>
      <c r="I853" t="s">
        <v>75</v>
      </c>
      <c r="J853">
        <v>0</v>
      </c>
      <c r="K853">
        <v>1</v>
      </c>
      <c r="L853">
        <v>2</v>
      </c>
      <c r="M853">
        <v>213</v>
      </c>
      <c r="N853">
        <v>278</v>
      </c>
      <c r="O853">
        <v>1</v>
      </c>
      <c r="P853">
        <v>278</v>
      </c>
      <c r="Q853">
        <v>6</v>
      </c>
      <c r="R853">
        <v>100</v>
      </c>
      <c r="S853">
        <v>1</v>
      </c>
      <c r="T853">
        <v>3</v>
      </c>
      <c r="U853">
        <v>21</v>
      </c>
      <c r="V853">
        <v>4</v>
      </c>
      <c r="W853">
        <v>3</v>
      </c>
      <c r="X853">
        <v>13</v>
      </c>
      <c r="Y853">
        <v>1</v>
      </c>
      <c r="Z853">
        <v>4</v>
      </c>
      <c r="AA853">
        <v>8</v>
      </c>
      <c r="AB853">
        <v>2</v>
      </c>
      <c r="AD853">
        <v>3</v>
      </c>
      <c r="AE853">
        <v>0</v>
      </c>
      <c r="AF853">
        <v>0</v>
      </c>
      <c r="AG853">
        <v>0</v>
      </c>
      <c r="AI853">
        <v>0</v>
      </c>
      <c r="AJ853">
        <v>9</v>
      </c>
      <c r="AK853" t="s">
        <v>77</v>
      </c>
      <c r="AL853">
        <v>178</v>
      </c>
      <c r="AM853">
        <v>447</v>
      </c>
      <c r="AN853">
        <v>44</v>
      </c>
      <c r="AP853">
        <v>1</v>
      </c>
      <c r="AR853" t="s">
        <v>937</v>
      </c>
      <c r="AS853" s="1">
        <v>44354.177083333336</v>
      </c>
      <c r="AT853" s="1">
        <v>44354.197604166664</v>
      </c>
      <c r="AU853" s="1">
        <v>44354.205590277779</v>
      </c>
      <c r="AV853" t="s">
        <v>71</v>
      </c>
      <c r="AW853" t="s">
        <v>72</v>
      </c>
      <c r="AX853" t="s">
        <v>73</v>
      </c>
    </row>
    <row r="854" spans="1:50" x14ac:dyDescent="0.3">
      <c r="A854" t="str">
        <f>"201918E0100"</f>
        <v>201918E0100</v>
      </c>
      <c r="B854" t="str">
        <f>"201918E01002"</f>
        <v>201918E01002</v>
      </c>
      <c r="C854" t="str">
        <f t="shared" si="37"/>
        <v>20</v>
      </c>
      <c r="D854" t="s">
        <v>67</v>
      </c>
      <c r="E854" t="str">
        <f t="shared" si="36"/>
        <v>004</v>
      </c>
      <c r="F854" t="s">
        <v>725</v>
      </c>
      <c r="G854" t="str">
        <f>"1918"</f>
        <v>1918</v>
      </c>
      <c r="H854" t="str">
        <f>"0001"</f>
        <v>0001</v>
      </c>
      <c r="I854" t="s">
        <v>109</v>
      </c>
      <c r="J854">
        <v>0</v>
      </c>
      <c r="K854">
        <v>1</v>
      </c>
      <c r="L854">
        <v>2</v>
      </c>
      <c r="M854">
        <v>123</v>
      </c>
      <c r="N854">
        <v>189</v>
      </c>
      <c r="O854">
        <v>4</v>
      </c>
      <c r="P854" t="s">
        <v>80</v>
      </c>
      <c r="Q854">
        <v>12</v>
      </c>
      <c r="R854">
        <v>96</v>
      </c>
      <c r="S854">
        <v>2</v>
      </c>
      <c r="T854">
        <v>3</v>
      </c>
      <c r="U854">
        <v>4</v>
      </c>
      <c r="V854">
        <v>2</v>
      </c>
      <c r="W854">
        <v>2</v>
      </c>
      <c r="X854">
        <v>51</v>
      </c>
      <c r="Y854">
        <v>2</v>
      </c>
      <c r="Z854">
        <v>5</v>
      </c>
      <c r="AA854">
        <v>3</v>
      </c>
      <c r="AB854">
        <v>2</v>
      </c>
      <c r="AD854">
        <v>2</v>
      </c>
      <c r="AE854">
        <v>0</v>
      </c>
      <c r="AF854">
        <v>0</v>
      </c>
      <c r="AG854">
        <v>0</v>
      </c>
      <c r="AI854">
        <v>0</v>
      </c>
      <c r="AJ854">
        <v>3</v>
      </c>
      <c r="AK854">
        <v>189</v>
      </c>
      <c r="AL854">
        <v>189</v>
      </c>
      <c r="AM854">
        <v>268</v>
      </c>
      <c r="AN854">
        <v>44</v>
      </c>
      <c r="AP854">
        <v>1</v>
      </c>
      <c r="AR854" t="s">
        <v>938</v>
      </c>
      <c r="AS854" s="1">
        <v>44354.284722222219</v>
      </c>
      <c r="AT854" s="1">
        <v>44354.288055555553</v>
      </c>
      <c r="AU854" s="1">
        <v>44354.288761574076</v>
      </c>
      <c r="AV854" t="s">
        <v>71</v>
      </c>
      <c r="AW854" t="s">
        <v>72</v>
      </c>
      <c r="AX854" t="s">
        <v>73</v>
      </c>
    </row>
    <row r="855" spans="1:50" x14ac:dyDescent="0.3">
      <c r="A855" t="str">
        <f>"202131B0000"</f>
        <v>202131B0000</v>
      </c>
      <c r="B855" t="str">
        <f>"202131B00002"</f>
        <v>202131B00002</v>
      </c>
      <c r="C855" t="str">
        <f t="shared" si="37"/>
        <v>20</v>
      </c>
      <c r="D855" t="s">
        <v>67</v>
      </c>
      <c r="E855" t="str">
        <f t="shared" si="36"/>
        <v>004</v>
      </c>
      <c r="F855" t="s">
        <v>725</v>
      </c>
      <c r="G855" t="str">
        <f>"2131"</f>
        <v>2131</v>
      </c>
      <c r="H855" t="str">
        <f>"0000"</f>
        <v>0000</v>
      </c>
      <c r="I855" t="s">
        <v>69</v>
      </c>
      <c r="J855">
        <v>0</v>
      </c>
      <c r="K855">
        <v>1</v>
      </c>
      <c r="L855">
        <v>2</v>
      </c>
      <c r="M855">
        <v>277</v>
      </c>
      <c r="N855">
        <v>237</v>
      </c>
      <c r="O855">
        <v>5</v>
      </c>
      <c r="P855">
        <v>237</v>
      </c>
      <c r="Q855">
        <v>3</v>
      </c>
      <c r="R855">
        <v>197</v>
      </c>
      <c r="S855">
        <v>1</v>
      </c>
      <c r="T855">
        <v>2</v>
      </c>
      <c r="U855">
        <v>0</v>
      </c>
      <c r="V855">
        <v>0</v>
      </c>
      <c r="W855">
        <v>0</v>
      </c>
      <c r="X855">
        <v>13</v>
      </c>
      <c r="Y855">
        <v>0</v>
      </c>
      <c r="Z855">
        <v>2</v>
      </c>
      <c r="AA855">
        <v>2</v>
      </c>
      <c r="AB855">
        <v>3</v>
      </c>
      <c r="AD855">
        <v>0</v>
      </c>
      <c r="AE855">
        <v>0</v>
      </c>
      <c r="AF855">
        <v>0</v>
      </c>
      <c r="AG855">
        <v>0</v>
      </c>
      <c r="AI855">
        <v>0</v>
      </c>
      <c r="AJ855">
        <v>14</v>
      </c>
      <c r="AK855">
        <v>237</v>
      </c>
      <c r="AL855">
        <v>237</v>
      </c>
      <c r="AM855">
        <v>470</v>
      </c>
      <c r="AN855">
        <v>44</v>
      </c>
      <c r="AP855">
        <v>1</v>
      </c>
      <c r="AR855" t="s">
        <v>939</v>
      </c>
      <c r="AS855" s="1">
        <v>44354.068749999999</v>
      </c>
      <c r="AT855" s="1">
        <v>44354.074861111112</v>
      </c>
      <c r="AU855" s="1">
        <v>44354.075879629629</v>
      </c>
      <c r="AV855" t="s">
        <v>71</v>
      </c>
      <c r="AW855" t="s">
        <v>72</v>
      </c>
      <c r="AX855" t="s">
        <v>73</v>
      </c>
    </row>
    <row r="856" spans="1:50" x14ac:dyDescent="0.3">
      <c r="A856" t="str">
        <f>"202131C0100"</f>
        <v>202131C0100</v>
      </c>
      <c r="B856" t="str">
        <f>"202131C01002"</f>
        <v>202131C01002</v>
      </c>
      <c r="C856" t="str">
        <f t="shared" si="37"/>
        <v>20</v>
      </c>
      <c r="D856" t="s">
        <v>67</v>
      </c>
      <c r="E856" t="str">
        <f t="shared" si="36"/>
        <v>004</v>
      </c>
      <c r="F856" t="s">
        <v>725</v>
      </c>
      <c r="G856" t="str">
        <f>"2131"</f>
        <v>2131</v>
      </c>
      <c r="H856" t="str">
        <f>"0001"</f>
        <v>0001</v>
      </c>
      <c r="I856" t="s">
        <v>75</v>
      </c>
      <c r="J856">
        <v>0</v>
      </c>
      <c r="K856">
        <v>1</v>
      </c>
      <c r="L856">
        <v>2</v>
      </c>
      <c r="M856">
        <v>277</v>
      </c>
      <c r="N856">
        <v>231</v>
      </c>
      <c r="O856">
        <v>0</v>
      </c>
      <c r="P856">
        <v>231</v>
      </c>
      <c r="Q856">
        <v>1</v>
      </c>
      <c r="R856">
        <v>192</v>
      </c>
      <c r="S856">
        <v>0</v>
      </c>
      <c r="T856">
        <v>2</v>
      </c>
      <c r="U856">
        <v>1</v>
      </c>
      <c r="V856">
        <v>1</v>
      </c>
      <c r="W856">
        <v>0</v>
      </c>
      <c r="X856">
        <v>17</v>
      </c>
      <c r="Y856">
        <v>1</v>
      </c>
      <c r="Z856">
        <v>5</v>
      </c>
      <c r="AA856">
        <v>1</v>
      </c>
      <c r="AB856">
        <v>10</v>
      </c>
      <c r="AD856">
        <v>0</v>
      </c>
      <c r="AE856">
        <v>1</v>
      </c>
      <c r="AF856">
        <v>0</v>
      </c>
      <c r="AG856">
        <v>0</v>
      </c>
      <c r="AI856">
        <v>0</v>
      </c>
      <c r="AJ856">
        <v>5</v>
      </c>
      <c r="AK856">
        <v>231</v>
      </c>
      <c r="AL856">
        <v>237</v>
      </c>
      <c r="AM856">
        <v>470</v>
      </c>
      <c r="AN856">
        <v>44</v>
      </c>
      <c r="AP856">
        <v>1</v>
      </c>
      <c r="AR856" t="s">
        <v>940</v>
      </c>
      <c r="AS856" s="1">
        <v>44354.074999999997</v>
      </c>
      <c r="AT856" s="1">
        <v>44354.083668981482</v>
      </c>
      <c r="AU856" s="1">
        <v>44354.084328703706</v>
      </c>
      <c r="AV856" t="s">
        <v>71</v>
      </c>
      <c r="AW856" t="s">
        <v>72</v>
      </c>
      <c r="AX856" t="s">
        <v>73</v>
      </c>
    </row>
    <row r="857" spans="1:50" x14ac:dyDescent="0.3">
      <c r="A857" t="str">
        <f>"202132B0000"</f>
        <v>202132B0000</v>
      </c>
      <c r="B857" t="str">
        <f>"202132B00002"</f>
        <v>202132B00002</v>
      </c>
      <c r="C857" t="str">
        <f t="shared" si="37"/>
        <v>20</v>
      </c>
      <c r="D857" t="s">
        <v>67</v>
      </c>
      <c r="E857" t="str">
        <f t="shared" si="36"/>
        <v>004</v>
      </c>
      <c r="F857" t="s">
        <v>725</v>
      </c>
      <c r="G857" t="str">
        <f>"2132"</f>
        <v>2132</v>
      </c>
      <c r="H857" t="str">
        <f>"0000"</f>
        <v>0000</v>
      </c>
      <c r="I857" t="s">
        <v>69</v>
      </c>
      <c r="J857">
        <v>0</v>
      </c>
      <c r="K857">
        <v>1</v>
      </c>
      <c r="L857">
        <v>2</v>
      </c>
      <c r="M857">
        <v>243</v>
      </c>
      <c r="N857">
        <v>264</v>
      </c>
      <c r="O857">
        <v>2</v>
      </c>
      <c r="P857" t="s">
        <v>99</v>
      </c>
      <c r="Q857">
        <v>2</v>
      </c>
      <c r="R857">
        <v>223</v>
      </c>
      <c r="S857">
        <v>2</v>
      </c>
      <c r="T857">
        <v>3</v>
      </c>
      <c r="U857">
        <v>2</v>
      </c>
      <c r="V857">
        <v>0</v>
      </c>
      <c r="W857">
        <v>1</v>
      </c>
      <c r="X857">
        <v>11</v>
      </c>
      <c r="Y857">
        <v>1</v>
      </c>
      <c r="Z857">
        <v>3</v>
      </c>
      <c r="AA857">
        <v>1</v>
      </c>
      <c r="AB857">
        <v>2</v>
      </c>
      <c r="AD857">
        <v>2</v>
      </c>
      <c r="AE857">
        <v>3</v>
      </c>
      <c r="AF857">
        <v>1</v>
      </c>
      <c r="AG857">
        <v>0</v>
      </c>
      <c r="AI857">
        <v>0</v>
      </c>
      <c r="AJ857">
        <v>6</v>
      </c>
      <c r="AK857">
        <v>264</v>
      </c>
      <c r="AL857">
        <v>263</v>
      </c>
      <c r="AM857">
        <v>463</v>
      </c>
      <c r="AN857">
        <v>44</v>
      </c>
      <c r="AP857">
        <v>1</v>
      </c>
      <c r="AR857" t="s">
        <v>941</v>
      </c>
      <c r="AS857" s="1">
        <v>44354.47152777778</v>
      </c>
      <c r="AT857" s="1">
        <v>44354.481504629628</v>
      </c>
      <c r="AU857" s="1">
        <v>44354.482245370367</v>
      </c>
      <c r="AV857" t="s">
        <v>71</v>
      </c>
      <c r="AW857" t="s">
        <v>72</v>
      </c>
      <c r="AX857" t="s">
        <v>73</v>
      </c>
    </row>
    <row r="858" spans="1:50" x14ac:dyDescent="0.3">
      <c r="A858" t="str">
        <f>"202132C0100"</f>
        <v>202132C0100</v>
      </c>
      <c r="B858" t="str">
        <f>"202132C01002"</f>
        <v>202132C01002</v>
      </c>
      <c r="C858" t="str">
        <f t="shared" si="37"/>
        <v>20</v>
      </c>
      <c r="D858" t="s">
        <v>67</v>
      </c>
      <c r="E858" t="str">
        <f t="shared" si="36"/>
        <v>004</v>
      </c>
      <c r="F858" t="s">
        <v>725</v>
      </c>
      <c r="G858" t="str">
        <f>"2132"</f>
        <v>2132</v>
      </c>
      <c r="H858" t="str">
        <f>"0001"</f>
        <v>0001</v>
      </c>
      <c r="I858" t="s">
        <v>75</v>
      </c>
      <c r="J858">
        <v>0</v>
      </c>
      <c r="K858">
        <v>1</v>
      </c>
      <c r="L858">
        <v>2</v>
      </c>
      <c r="M858">
        <v>271</v>
      </c>
      <c r="N858" t="s">
        <v>99</v>
      </c>
      <c r="O858">
        <v>4</v>
      </c>
      <c r="P858">
        <v>236</v>
      </c>
      <c r="Q858">
        <v>3</v>
      </c>
      <c r="R858">
        <v>202</v>
      </c>
      <c r="S858">
        <v>0</v>
      </c>
      <c r="T858">
        <v>3</v>
      </c>
      <c r="U858">
        <v>2</v>
      </c>
      <c r="V858">
        <v>0</v>
      </c>
      <c r="W858">
        <v>1</v>
      </c>
      <c r="X858">
        <v>11</v>
      </c>
      <c r="Y858">
        <v>0</v>
      </c>
      <c r="Z858">
        <v>0</v>
      </c>
      <c r="AA858">
        <v>0</v>
      </c>
      <c r="AB858">
        <v>6</v>
      </c>
      <c r="AD858">
        <v>3</v>
      </c>
      <c r="AE858">
        <v>0</v>
      </c>
      <c r="AF858">
        <v>0</v>
      </c>
      <c r="AG858">
        <v>1</v>
      </c>
      <c r="AI858">
        <v>0</v>
      </c>
      <c r="AJ858">
        <v>4</v>
      </c>
      <c r="AK858">
        <v>236</v>
      </c>
      <c r="AL858">
        <v>236</v>
      </c>
      <c r="AM858">
        <v>462</v>
      </c>
      <c r="AN858">
        <v>44</v>
      </c>
      <c r="AP858">
        <v>1</v>
      </c>
      <c r="AR858" t="s">
        <v>942</v>
      </c>
      <c r="AS858" s="1">
        <v>44354.092361111114</v>
      </c>
      <c r="AT858" s="1">
        <v>44354.097696759258</v>
      </c>
      <c r="AU858" s="1">
        <v>44354.09814814815</v>
      </c>
      <c r="AV858" t="s">
        <v>71</v>
      </c>
      <c r="AW858" t="s">
        <v>72</v>
      </c>
      <c r="AX858" t="s">
        <v>73</v>
      </c>
    </row>
    <row r="859" spans="1:50" x14ac:dyDescent="0.3">
      <c r="A859" t="str">
        <f>"202272B0000"</f>
        <v>202272B0000</v>
      </c>
      <c r="B859" t="str">
        <f>"202272B00002"</f>
        <v>202272B00002</v>
      </c>
      <c r="C859" t="str">
        <f t="shared" si="37"/>
        <v>20</v>
      </c>
      <c r="D859" t="s">
        <v>67</v>
      </c>
      <c r="E859" t="str">
        <f t="shared" si="36"/>
        <v>004</v>
      </c>
      <c r="F859" t="s">
        <v>725</v>
      </c>
      <c r="G859" t="str">
        <f>"2272"</f>
        <v>2272</v>
      </c>
      <c r="H859" t="str">
        <f>"0000"</f>
        <v>0000</v>
      </c>
      <c r="I859" t="s">
        <v>69</v>
      </c>
      <c r="J859">
        <v>0</v>
      </c>
      <c r="K859">
        <v>1</v>
      </c>
      <c r="L859">
        <v>2</v>
      </c>
      <c r="M859">
        <v>643</v>
      </c>
      <c r="N859">
        <v>788</v>
      </c>
      <c r="O859">
        <v>4</v>
      </c>
      <c r="P859" t="s">
        <v>80</v>
      </c>
      <c r="Q859">
        <v>4</v>
      </c>
      <c r="R859">
        <v>77</v>
      </c>
      <c r="S859">
        <v>1</v>
      </c>
      <c r="T859">
        <v>0</v>
      </c>
      <c r="U859">
        <v>2</v>
      </c>
      <c r="V859">
        <v>1</v>
      </c>
      <c r="W859">
        <v>1</v>
      </c>
      <c r="X859">
        <v>49</v>
      </c>
      <c r="Y859">
        <v>1</v>
      </c>
      <c r="Z859">
        <v>1</v>
      </c>
      <c r="AA859">
        <v>0</v>
      </c>
      <c r="AB859">
        <v>1</v>
      </c>
      <c r="AD859">
        <v>0</v>
      </c>
      <c r="AE859">
        <v>0</v>
      </c>
      <c r="AF859">
        <v>0</v>
      </c>
      <c r="AG859">
        <v>0</v>
      </c>
      <c r="AI859">
        <v>0</v>
      </c>
      <c r="AJ859">
        <v>7</v>
      </c>
      <c r="AK859">
        <v>145</v>
      </c>
      <c r="AL859">
        <v>145</v>
      </c>
      <c r="AM859">
        <v>744</v>
      </c>
      <c r="AN859">
        <v>44</v>
      </c>
      <c r="AP859">
        <v>1</v>
      </c>
      <c r="AR859" t="s">
        <v>943</v>
      </c>
      <c r="AS859" s="1">
        <v>44354.317361111112</v>
      </c>
      <c r="AT859" s="1">
        <v>44354.318865740737</v>
      </c>
      <c r="AU859" s="1">
        <v>44354.319351851853</v>
      </c>
      <c r="AV859" t="s">
        <v>71</v>
      </c>
      <c r="AW859" t="s">
        <v>72</v>
      </c>
      <c r="AX859" t="s">
        <v>73</v>
      </c>
    </row>
    <row r="860" spans="1:50" x14ac:dyDescent="0.3">
      <c r="A860" t="str">
        <f>"202272C0100"</f>
        <v>202272C0100</v>
      </c>
      <c r="B860" t="str">
        <f>"202272C01002"</f>
        <v>202272C01002</v>
      </c>
      <c r="C860" t="str">
        <f t="shared" si="37"/>
        <v>20</v>
      </c>
      <c r="D860" t="s">
        <v>67</v>
      </c>
      <c r="E860" t="str">
        <f t="shared" si="36"/>
        <v>004</v>
      </c>
      <c r="F860" t="s">
        <v>725</v>
      </c>
      <c r="G860" t="str">
        <f>"2272"</f>
        <v>2272</v>
      </c>
      <c r="H860" t="str">
        <f>"0001"</f>
        <v>0001</v>
      </c>
      <c r="I860" t="s">
        <v>75</v>
      </c>
      <c r="J860">
        <v>0</v>
      </c>
      <c r="K860">
        <v>1</v>
      </c>
      <c r="L860">
        <v>2</v>
      </c>
      <c r="AM860">
        <v>743</v>
      </c>
      <c r="AN860">
        <v>44</v>
      </c>
      <c r="AO860" t="s">
        <v>143</v>
      </c>
      <c r="AP860">
        <v>0</v>
      </c>
      <c r="AR860" t="s">
        <v>944</v>
      </c>
      <c r="AS860" s="1">
        <v>44354.615277777775</v>
      </c>
      <c r="AT860" s="1">
        <v>44354.638715277775</v>
      </c>
      <c r="AU860" s="1">
        <v>44354.638715277775</v>
      </c>
      <c r="AV860" t="s">
        <v>71</v>
      </c>
      <c r="AW860" t="s">
        <v>72</v>
      </c>
      <c r="AX860" t="s">
        <v>73</v>
      </c>
    </row>
    <row r="861" spans="1:50" x14ac:dyDescent="0.3">
      <c r="A861" t="str">
        <f>"202272E0100"</f>
        <v>202272E0100</v>
      </c>
      <c r="B861" t="str">
        <f>"202272E01002"</f>
        <v>202272E01002</v>
      </c>
      <c r="C861" t="str">
        <f t="shared" si="37"/>
        <v>20</v>
      </c>
      <c r="D861" t="s">
        <v>67</v>
      </c>
      <c r="E861" t="str">
        <f t="shared" si="36"/>
        <v>004</v>
      </c>
      <c r="F861" t="s">
        <v>725</v>
      </c>
      <c r="G861" t="str">
        <f>"2272"</f>
        <v>2272</v>
      </c>
      <c r="H861" t="str">
        <f>"0001"</f>
        <v>0001</v>
      </c>
      <c r="I861" t="s">
        <v>109</v>
      </c>
      <c r="J861">
        <v>0</v>
      </c>
      <c r="K861">
        <v>1</v>
      </c>
      <c r="L861">
        <v>2</v>
      </c>
      <c r="M861">
        <v>170</v>
      </c>
      <c r="N861">
        <v>126</v>
      </c>
      <c r="O861">
        <v>0</v>
      </c>
      <c r="P861">
        <v>126</v>
      </c>
      <c r="Q861">
        <v>0</v>
      </c>
      <c r="R861">
        <v>89</v>
      </c>
      <c r="S861">
        <v>2</v>
      </c>
      <c r="T861">
        <v>1</v>
      </c>
      <c r="U861">
        <v>0</v>
      </c>
      <c r="V861">
        <v>0</v>
      </c>
      <c r="W861">
        <v>1</v>
      </c>
      <c r="X861">
        <v>30</v>
      </c>
      <c r="Y861">
        <v>0</v>
      </c>
      <c r="Z861">
        <v>0</v>
      </c>
      <c r="AA861">
        <v>3</v>
      </c>
      <c r="AB861">
        <v>0</v>
      </c>
      <c r="AD861">
        <v>0</v>
      </c>
      <c r="AE861">
        <v>0</v>
      </c>
      <c r="AF861">
        <v>0</v>
      </c>
      <c r="AG861">
        <v>0</v>
      </c>
      <c r="AI861">
        <v>0</v>
      </c>
      <c r="AJ861">
        <v>0</v>
      </c>
      <c r="AK861">
        <v>126</v>
      </c>
      <c r="AL861">
        <v>126</v>
      </c>
      <c r="AM861">
        <v>252</v>
      </c>
      <c r="AN861">
        <v>44</v>
      </c>
      <c r="AP861">
        <v>1</v>
      </c>
      <c r="AR861" t="s">
        <v>945</v>
      </c>
      <c r="AS861" s="1">
        <v>44354.286111111112</v>
      </c>
      <c r="AT861" s="1">
        <v>44354.288831018515</v>
      </c>
      <c r="AU861" s="1">
        <v>44354.289317129631</v>
      </c>
      <c r="AV861" t="s">
        <v>71</v>
      </c>
      <c r="AW861" t="s">
        <v>72</v>
      </c>
      <c r="AX861" t="s">
        <v>73</v>
      </c>
    </row>
    <row r="862" spans="1:50" x14ac:dyDescent="0.3">
      <c r="A862" t="str">
        <f>"202325B0000"</f>
        <v>202325B0000</v>
      </c>
      <c r="B862" t="str">
        <f>"202325B00002"</f>
        <v>202325B00002</v>
      </c>
      <c r="C862" t="str">
        <f t="shared" si="37"/>
        <v>20</v>
      </c>
      <c r="D862" t="s">
        <v>67</v>
      </c>
      <c r="E862" t="str">
        <f t="shared" si="36"/>
        <v>004</v>
      </c>
      <c r="F862" t="s">
        <v>725</v>
      </c>
      <c r="G862" t="str">
        <f>"2325"</f>
        <v>2325</v>
      </c>
      <c r="H862" t="str">
        <f>"0000"</f>
        <v>0000</v>
      </c>
      <c r="I862" t="s">
        <v>69</v>
      </c>
      <c r="J862">
        <v>0</v>
      </c>
      <c r="K862">
        <v>1</v>
      </c>
      <c r="L862">
        <v>2</v>
      </c>
      <c r="M862">
        <v>302</v>
      </c>
      <c r="N862">
        <v>430</v>
      </c>
      <c r="O862" t="s">
        <v>80</v>
      </c>
      <c r="P862" t="s">
        <v>80</v>
      </c>
      <c r="Q862">
        <v>5</v>
      </c>
      <c r="R862">
        <v>75</v>
      </c>
      <c r="S862">
        <v>12</v>
      </c>
      <c r="T862">
        <v>18</v>
      </c>
      <c r="U862">
        <v>70</v>
      </c>
      <c r="V862">
        <v>4</v>
      </c>
      <c r="W862">
        <v>21</v>
      </c>
      <c r="X862">
        <v>155</v>
      </c>
      <c r="Y862">
        <v>1</v>
      </c>
      <c r="Z862">
        <v>38</v>
      </c>
      <c r="AA862">
        <v>6</v>
      </c>
      <c r="AB862">
        <v>15</v>
      </c>
      <c r="AD862">
        <v>0</v>
      </c>
      <c r="AE862">
        <v>0</v>
      </c>
      <c r="AF862">
        <v>0</v>
      </c>
      <c r="AG862">
        <v>0</v>
      </c>
      <c r="AI862">
        <v>0</v>
      </c>
      <c r="AJ862">
        <v>10</v>
      </c>
      <c r="AK862">
        <v>430</v>
      </c>
      <c r="AL862">
        <v>430</v>
      </c>
      <c r="AM862">
        <v>688</v>
      </c>
      <c r="AN862">
        <v>44</v>
      </c>
      <c r="AP862">
        <v>1</v>
      </c>
      <c r="AR862" t="s">
        <v>946</v>
      </c>
      <c r="AS862" s="1">
        <v>44354.090277777781</v>
      </c>
      <c r="AT862" s="1">
        <v>44354.096122685187</v>
      </c>
      <c r="AU862" s="1">
        <v>44354.097025462965</v>
      </c>
      <c r="AV862" t="s">
        <v>71</v>
      </c>
      <c r="AW862" t="s">
        <v>72</v>
      </c>
      <c r="AX862" t="s">
        <v>73</v>
      </c>
    </row>
    <row r="863" spans="1:50" x14ac:dyDescent="0.3">
      <c r="A863" t="str">
        <f>"202325C0100"</f>
        <v>202325C0100</v>
      </c>
      <c r="B863" t="str">
        <f>"202325C01002"</f>
        <v>202325C01002</v>
      </c>
      <c r="C863" t="str">
        <f t="shared" si="37"/>
        <v>20</v>
      </c>
      <c r="D863" t="s">
        <v>67</v>
      </c>
      <c r="E863" t="str">
        <f t="shared" si="36"/>
        <v>004</v>
      </c>
      <c r="F863" t="s">
        <v>725</v>
      </c>
      <c r="G863" t="str">
        <f>"2325"</f>
        <v>2325</v>
      </c>
      <c r="H863" t="str">
        <f>"0001"</f>
        <v>0001</v>
      </c>
      <c r="I863" t="s">
        <v>75</v>
      </c>
      <c r="J863">
        <v>0</v>
      </c>
      <c r="K863">
        <v>1</v>
      </c>
      <c r="L863">
        <v>2</v>
      </c>
      <c r="M863">
        <v>281</v>
      </c>
      <c r="N863">
        <v>452</v>
      </c>
      <c r="O863">
        <v>12</v>
      </c>
      <c r="P863" t="s">
        <v>80</v>
      </c>
      <c r="Q863">
        <v>5</v>
      </c>
      <c r="R863">
        <v>71</v>
      </c>
      <c r="S863">
        <v>12</v>
      </c>
      <c r="T863">
        <v>19</v>
      </c>
      <c r="U863">
        <v>59</v>
      </c>
      <c r="V863">
        <v>11</v>
      </c>
      <c r="W863">
        <v>20</v>
      </c>
      <c r="X863">
        <v>166</v>
      </c>
      <c r="Y863">
        <v>5</v>
      </c>
      <c r="Z863">
        <v>37</v>
      </c>
      <c r="AA863">
        <v>5</v>
      </c>
      <c r="AB863">
        <v>22</v>
      </c>
      <c r="AD863">
        <v>4</v>
      </c>
      <c r="AE863">
        <v>0</v>
      </c>
      <c r="AF863">
        <v>0</v>
      </c>
      <c r="AG863">
        <v>0</v>
      </c>
      <c r="AI863">
        <v>0</v>
      </c>
      <c r="AJ863">
        <v>16</v>
      </c>
      <c r="AK863">
        <v>452</v>
      </c>
      <c r="AL863">
        <v>452</v>
      </c>
      <c r="AM863">
        <v>688</v>
      </c>
      <c r="AN863">
        <v>44</v>
      </c>
      <c r="AP863">
        <v>1</v>
      </c>
      <c r="AR863" t="s">
        <v>947</v>
      </c>
      <c r="AS863" s="1">
        <v>44354.071527777778</v>
      </c>
      <c r="AT863" s="1">
        <v>44354.078888888886</v>
      </c>
      <c r="AU863" s="1">
        <v>44354.079664351855</v>
      </c>
      <c r="AV863" t="s">
        <v>71</v>
      </c>
      <c r="AW863" t="s">
        <v>72</v>
      </c>
      <c r="AX863" t="s">
        <v>73</v>
      </c>
    </row>
    <row r="864" spans="1:50" x14ac:dyDescent="0.3">
      <c r="A864" t="str">
        <f>"202325S0100"</f>
        <v>202325S0100</v>
      </c>
      <c r="B864" t="str">
        <f>"202325S01002EMR"</f>
        <v>202325S01002EMR</v>
      </c>
      <c r="C864" t="str">
        <f t="shared" si="37"/>
        <v>20</v>
      </c>
      <c r="D864" t="s">
        <v>67</v>
      </c>
      <c r="E864" t="str">
        <f t="shared" si="36"/>
        <v>004</v>
      </c>
      <c r="F864" t="s">
        <v>725</v>
      </c>
      <c r="G864" t="str">
        <f>"2325"</f>
        <v>2325</v>
      </c>
      <c r="H864" t="str">
        <f>"0001"</f>
        <v>0001</v>
      </c>
      <c r="I864" t="s">
        <v>85</v>
      </c>
      <c r="J864">
        <v>0</v>
      </c>
      <c r="K864">
        <v>1</v>
      </c>
      <c r="L864" t="s">
        <v>86</v>
      </c>
      <c r="M864">
        <v>776</v>
      </c>
      <c r="N864">
        <v>127</v>
      </c>
      <c r="O864">
        <v>0</v>
      </c>
      <c r="P864" t="s">
        <v>80</v>
      </c>
      <c r="Q864">
        <v>4</v>
      </c>
      <c r="R864">
        <v>20</v>
      </c>
      <c r="S864">
        <v>4</v>
      </c>
      <c r="T864">
        <v>4</v>
      </c>
      <c r="U864">
        <v>19</v>
      </c>
      <c r="V864">
        <v>2</v>
      </c>
      <c r="W864">
        <v>7</v>
      </c>
      <c r="X864">
        <v>47</v>
      </c>
      <c r="Y864">
        <v>0</v>
      </c>
      <c r="Z864">
        <v>10</v>
      </c>
      <c r="AA864">
        <v>2</v>
      </c>
      <c r="AB864">
        <v>5</v>
      </c>
      <c r="AD864">
        <v>0</v>
      </c>
      <c r="AE864">
        <v>0</v>
      </c>
      <c r="AF864">
        <v>0</v>
      </c>
      <c r="AG864">
        <v>1</v>
      </c>
      <c r="AI864">
        <v>0</v>
      </c>
      <c r="AJ864">
        <v>2</v>
      </c>
      <c r="AK864">
        <v>127</v>
      </c>
      <c r="AL864">
        <v>127</v>
      </c>
      <c r="AM864">
        <v>0</v>
      </c>
      <c r="AN864">
        <v>44</v>
      </c>
      <c r="AP864">
        <v>1</v>
      </c>
      <c r="AR864" t="s">
        <v>948</v>
      </c>
      <c r="AS864" s="1">
        <v>44354.027083333334</v>
      </c>
      <c r="AT864" s="1">
        <v>44354.666261574072</v>
      </c>
      <c r="AU864" s="1">
        <v>44354.667719907404</v>
      </c>
      <c r="AV864" t="s">
        <v>71</v>
      </c>
      <c r="AW864" t="s">
        <v>72</v>
      </c>
      <c r="AX864" t="s">
        <v>73</v>
      </c>
    </row>
    <row r="865" spans="1:50" x14ac:dyDescent="0.3">
      <c r="A865" t="str">
        <f>"202326B0000"</f>
        <v>202326B0000</v>
      </c>
      <c r="B865" t="str">
        <f>"202326B00002"</f>
        <v>202326B00002</v>
      </c>
      <c r="C865" t="str">
        <f t="shared" si="37"/>
        <v>20</v>
      </c>
      <c r="D865" t="s">
        <v>67</v>
      </c>
      <c r="E865" t="str">
        <f t="shared" si="36"/>
        <v>004</v>
      </c>
      <c r="F865" t="s">
        <v>725</v>
      </c>
      <c r="G865" t="str">
        <f>"2326"</f>
        <v>2326</v>
      </c>
      <c r="H865" t="str">
        <f>"0000"</f>
        <v>0000</v>
      </c>
      <c r="I865" t="s">
        <v>69</v>
      </c>
      <c r="J865">
        <v>0</v>
      </c>
      <c r="K865">
        <v>1</v>
      </c>
      <c r="L865">
        <v>2</v>
      </c>
      <c r="M865">
        <v>288</v>
      </c>
      <c r="N865">
        <v>449</v>
      </c>
      <c r="O865">
        <v>8</v>
      </c>
      <c r="P865" t="s">
        <v>80</v>
      </c>
      <c r="Q865">
        <v>7</v>
      </c>
      <c r="R865">
        <v>73</v>
      </c>
      <c r="S865">
        <v>6</v>
      </c>
      <c r="T865">
        <v>17</v>
      </c>
      <c r="U865">
        <v>43</v>
      </c>
      <c r="V865">
        <v>5</v>
      </c>
      <c r="W865">
        <v>24</v>
      </c>
      <c r="X865">
        <v>146</v>
      </c>
      <c r="Y865">
        <v>2</v>
      </c>
      <c r="Z865">
        <v>62</v>
      </c>
      <c r="AA865">
        <v>8</v>
      </c>
      <c r="AB865">
        <v>23</v>
      </c>
      <c r="AD865" t="s">
        <v>77</v>
      </c>
      <c r="AE865" t="s">
        <v>77</v>
      </c>
      <c r="AF865" t="s">
        <v>77</v>
      </c>
      <c r="AG865" t="s">
        <v>77</v>
      </c>
      <c r="AI865" t="s">
        <v>77</v>
      </c>
      <c r="AJ865" t="s">
        <v>77</v>
      </c>
      <c r="AK865" t="s">
        <v>77</v>
      </c>
      <c r="AL865">
        <v>416</v>
      </c>
      <c r="AM865">
        <v>693</v>
      </c>
      <c r="AN865">
        <v>44</v>
      </c>
      <c r="AO865" t="s">
        <v>78</v>
      </c>
      <c r="AP865">
        <v>1</v>
      </c>
      <c r="AR865" t="s">
        <v>949</v>
      </c>
      <c r="AS865" s="1">
        <v>44354.212500000001</v>
      </c>
      <c r="AT865" s="1">
        <v>44354.241863425923</v>
      </c>
      <c r="AU865" s="1">
        <v>44354.2425</v>
      </c>
      <c r="AV865" t="s">
        <v>71</v>
      </c>
      <c r="AW865" t="s">
        <v>72</v>
      </c>
      <c r="AX865" t="s">
        <v>73</v>
      </c>
    </row>
    <row r="866" spans="1:50" x14ac:dyDescent="0.3">
      <c r="A866" t="str">
        <f>"202326C0100"</f>
        <v>202326C0100</v>
      </c>
      <c r="B866" t="str">
        <f>"202326C01002"</f>
        <v>202326C01002</v>
      </c>
      <c r="C866" t="str">
        <f t="shared" si="37"/>
        <v>20</v>
      </c>
      <c r="D866" t="s">
        <v>67</v>
      </c>
      <c r="E866" t="str">
        <f t="shared" si="36"/>
        <v>004</v>
      </c>
      <c r="F866" t="s">
        <v>725</v>
      </c>
      <c r="G866" t="str">
        <f>"2326"</f>
        <v>2326</v>
      </c>
      <c r="H866" t="str">
        <f>"0001"</f>
        <v>0001</v>
      </c>
      <c r="I866" t="s">
        <v>75</v>
      </c>
      <c r="J866">
        <v>0</v>
      </c>
      <c r="K866">
        <v>1</v>
      </c>
      <c r="L866">
        <v>2</v>
      </c>
      <c r="M866">
        <v>290</v>
      </c>
      <c r="N866">
        <v>446</v>
      </c>
      <c r="O866">
        <v>7</v>
      </c>
      <c r="P866" t="s">
        <v>80</v>
      </c>
      <c r="Q866">
        <v>17</v>
      </c>
      <c r="R866">
        <v>82</v>
      </c>
      <c r="S866">
        <v>6</v>
      </c>
      <c r="T866">
        <v>20</v>
      </c>
      <c r="U866">
        <v>53</v>
      </c>
      <c r="V866">
        <v>5</v>
      </c>
      <c r="W866">
        <v>19</v>
      </c>
      <c r="X866">
        <v>130</v>
      </c>
      <c r="Y866">
        <v>1</v>
      </c>
      <c r="Z866">
        <v>60</v>
      </c>
      <c r="AA866">
        <v>18</v>
      </c>
      <c r="AB866">
        <v>19</v>
      </c>
      <c r="AD866">
        <v>3</v>
      </c>
      <c r="AE866" t="s">
        <v>77</v>
      </c>
      <c r="AF866" t="s">
        <v>77</v>
      </c>
      <c r="AG866" t="s">
        <v>77</v>
      </c>
      <c r="AI866" t="s">
        <v>77</v>
      </c>
      <c r="AJ866">
        <v>13</v>
      </c>
      <c r="AK866">
        <v>446</v>
      </c>
      <c r="AL866">
        <v>446</v>
      </c>
      <c r="AM866">
        <v>692</v>
      </c>
      <c r="AN866">
        <v>44</v>
      </c>
      <c r="AO866" t="s">
        <v>78</v>
      </c>
      <c r="AP866">
        <v>1</v>
      </c>
      <c r="AR866" t="s">
        <v>950</v>
      </c>
      <c r="AS866" s="1">
        <v>44354.107638888891</v>
      </c>
      <c r="AT866" s="1">
        <v>44354.110555555555</v>
      </c>
      <c r="AU866" s="1">
        <v>44354.114583333336</v>
      </c>
      <c r="AV866" t="s">
        <v>71</v>
      </c>
      <c r="AW866" t="s">
        <v>72</v>
      </c>
      <c r="AX866" t="s">
        <v>73</v>
      </c>
    </row>
    <row r="867" spans="1:50" x14ac:dyDescent="0.3">
      <c r="A867" t="str">
        <f>"202326C0200"</f>
        <v>202326C0200</v>
      </c>
      <c r="B867" t="str">
        <f>"202326C02002"</f>
        <v>202326C02002</v>
      </c>
      <c r="C867" t="str">
        <f t="shared" si="37"/>
        <v>20</v>
      </c>
      <c r="D867" t="s">
        <v>67</v>
      </c>
      <c r="E867" t="str">
        <f t="shared" si="36"/>
        <v>004</v>
      </c>
      <c r="F867" t="s">
        <v>725</v>
      </c>
      <c r="G867" t="str">
        <f>"2326"</f>
        <v>2326</v>
      </c>
      <c r="H867" t="str">
        <f>"0002"</f>
        <v>0002</v>
      </c>
      <c r="I867" t="s">
        <v>75</v>
      </c>
      <c r="J867">
        <v>0</v>
      </c>
      <c r="K867">
        <v>1</v>
      </c>
      <c r="L867">
        <v>2</v>
      </c>
      <c r="M867">
        <v>277</v>
      </c>
      <c r="N867">
        <v>459</v>
      </c>
      <c r="O867">
        <v>6</v>
      </c>
      <c r="P867">
        <v>459</v>
      </c>
      <c r="Q867">
        <v>8</v>
      </c>
      <c r="R867">
        <v>68</v>
      </c>
      <c r="S867">
        <v>19</v>
      </c>
      <c r="T867">
        <v>10</v>
      </c>
      <c r="U867">
        <v>64</v>
      </c>
      <c r="V867">
        <v>4</v>
      </c>
      <c r="W867">
        <v>17</v>
      </c>
      <c r="X867">
        <v>166</v>
      </c>
      <c r="Y867">
        <v>2</v>
      </c>
      <c r="Z867">
        <v>48</v>
      </c>
      <c r="AA867">
        <v>13</v>
      </c>
      <c r="AB867">
        <v>21</v>
      </c>
      <c r="AD867">
        <v>1</v>
      </c>
      <c r="AE867">
        <v>0</v>
      </c>
      <c r="AF867">
        <v>0</v>
      </c>
      <c r="AG867">
        <v>0</v>
      </c>
      <c r="AI867">
        <v>0</v>
      </c>
      <c r="AJ867">
        <v>18</v>
      </c>
      <c r="AK867">
        <v>459</v>
      </c>
      <c r="AL867">
        <v>459</v>
      </c>
      <c r="AM867">
        <v>692</v>
      </c>
      <c r="AN867">
        <v>44</v>
      </c>
      <c r="AP867">
        <v>1</v>
      </c>
      <c r="AR867" t="s">
        <v>951</v>
      </c>
      <c r="AS867" s="1">
        <v>44354.109722222223</v>
      </c>
      <c r="AT867" s="1">
        <v>44354.114328703705</v>
      </c>
      <c r="AU867" s="1">
        <v>44354.115231481483</v>
      </c>
      <c r="AV867" t="s">
        <v>71</v>
      </c>
      <c r="AW867" t="s">
        <v>72</v>
      </c>
      <c r="AX867" t="s">
        <v>73</v>
      </c>
    </row>
    <row r="868" spans="1:50" x14ac:dyDescent="0.3">
      <c r="A868" t="str">
        <f>"202326E0100"</f>
        <v>202326E0100</v>
      </c>
      <c r="B868" t="str">
        <f>"202326E01002"</f>
        <v>202326E01002</v>
      </c>
      <c r="C868" t="str">
        <f t="shared" si="37"/>
        <v>20</v>
      </c>
      <c r="D868" t="s">
        <v>67</v>
      </c>
      <c r="E868" t="str">
        <f t="shared" si="36"/>
        <v>004</v>
      </c>
      <c r="F868" t="s">
        <v>725</v>
      </c>
      <c r="G868" t="str">
        <f>"2326"</f>
        <v>2326</v>
      </c>
      <c r="H868" t="str">
        <f>"0001"</f>
        <v>0001</v>
      </c>
      <c r="I868" t="s">
        <v>109</v>
      </c>
      <c r="J868">
        <v>0</v>
      </c>
      <c r="K868">
        <v>1</v>
      </c>
      <c r="L868">
        <v>2</v>
      </c>
      <c r="M868">
        <v>65</v>
      </c>
      <c r="N868">
        <v>88</v>
      </c>
      <c r="O868">
        <v>8</v>
      </c>
      <c r="P868">
        <v>88</v>
      </c>
      <c r="Q868">
        <v>0</v>
      </c>
      <c r="R868">
        <v>25</v>
      </c>
      <c r="S868">
        <v>0</v>
      </c>
      <c r="T868">
        <v>1</v>
      </c>
      <c r="U868">
        <v>7</v>
      </c>
      <c r="V868">
        <v>2</v>
      </c>
      <c r="W868">
        <v>0</v>
      </c>
      <c r="X868">
        <v>28</v>
      </c>
      <c r="Y868">
        <v>0</v>
      </c>
      <c r="Z868">
        <v>9</v>
      </c>
      <c r="AA868">
        <v>1</v>
      </c>
      <c r="AB868">
        <v>13</v>
      </c>
      <c r="AD868">
        <v>0</v>
      </c>
      <c r="AE868">
        <v>0</v>
      </c>
      <c r="AF868">
        <v>0</v>
      </c>
      <c r="AG868">
        <v>0</v>
      </c>
      <c r="AI868">
        <v>0</v>
      </c>
      <c r="AJ868">
        <v>2</v>
      </c>
      <c r="AK868">
        <v>88</v>
      </c>
      <c r="AL868">
        <v>88</v>
      </c>
      <c r="AM868">
        <v>109</v>
      </c>
      <c r="AN868">
        <v>44</v>
      </c>
      <c r="AP868">
        <v>1</v>
      </c>
      <c r="AR868" t="s">
        <v>952</v>
      </c>
      <c r="AS868" s="1">
        <v>44354.1</v>
      </c>
      <c r="AT868" s="1">
        <v>44354.102060185185</v>
      </c>
      <c r="AU868" s="1">
        <v>44354.102500000001</v>
      </c>
      <c r="AV868" t="s">
        <v>71</v>
      </c>
      <c r="AW868" t="s">
        <v>72</v>
      </c>
      <c r="AX868" t="s">
        <v>73</v>
      </c>
    </row>
    <row r="869" spans="1:50" x14ac:dyDescent="0.3">
      <c r="A869" t="str">
        <f>"202327B0000"</f>
        <v>202327B0000</v>
      </c>
      <c r="B869" t="str">
        <f>"202327B00002"</f>
        <v>202327B00002</v>
      </c>
      <c r="C869" t="str">
        <f t="shared" si="37"/>
        <v>20</v>
      </c>
      <c r="D869" t="s">
        <v>67</v>
      </c>
      <c r="E869" t="str">
        <f t="shared" si="36"/>
        <v>004</v>
      </c>
      <c r="F869" t="s">
        <v>725</v>
      </c>
      <c r="G869" t="str">
        <f>"2327"</f>
        <v>2327</v>
      </c>
      <c r="H869" t="str">
        <f>"0000"</f>
        <v>0000</v>
      </c>
      <c r="I869" t="s">
        <v>69</v>
      </c>
      <c r="J869">
        <v>0</v>
      </c>
      <c r="K869">
        <v>1</v>
      </c>
      <c r="L869">
        <v>2</v>
      </c>
      <c r="M869">
        <v>295</v>
      </c>
      <c r="N869">
        <v>483</v>
      </c>
      <c r="O869">
        <v>7</v>
      </c>
      <c r="P869">
        <v>483</v>
      </c>
      <c r="Q869">
        <v>8</v>
      </c>
      <c r="R869">
        <v>80</v>
      </c>
      <c r="S869">
        <v>18</v>
      </c>
      <c r="T869">
        <v>13</v>
      </c>
      <c r="U869">
        <v>82</v>
      </c>
      <c r="V869">
        <v>10</v>
      </c>
      <c r="W869">
        <v>15</v>
      </c>
      <c r="X869">
        <v>159</v>
      </c>
      <c r="Y869">
        <v>2</v>
      </c>
      <c r="Z869">
        <v>48</v>
      </c>
      <c r="AA869">
        <v>5</v>
      </c>
      <c r="AB869">
        <v>25</v>
      </c>
      <c r="AD869">
        <v>1</v>
      </c>
      <c r="AE869">
        <v>0</v>
      </c>
      <c r="AF869">
        <v>0</v>
      </c>
      <c r="AG869">
        <v>0</v>
      </c>
      <c r="AI869">
        <v>0</v>
      </c>
      <c r="AJ869">
        <v>16</v>
      </c>
      <c r="AK869">
        <v>483</v>
      </c>
      <c r="AL869">
        <v>482</v>
      </c>
      <c r="AM869">
        <v>734</v>
      </c>
      <c r="AN869">
        <v>44</v>
      </c>
      <c r="AP869">
        <v>1</v>
      </c>
      <c r="AR869" t="s">
        <v>953</v>
      </c>
      <c r="AS869" s="1">
        <v>44354.004861111112</v>
      </c>
      <c r="AT869" s="1">
        <v>44354.011006944442</v>
      </c>
      <c r="AU869" s="1">
        <v>44354.011655092596</v>
      </c>
      <c r="AV869" t="s">
        <v>71</v>
      </c>
      <c r="AW869" t="s">
        <v>72</v>
      </c>
      <c r="AX869" t="s">
        <v>73</v>
      </c>
    </row>
    <row r="870" spans="1:50" x14ac:dyDescent="0.3">
      <c r="A870" t="str">
        <f>"202327C0100"</f>
        <v>202327C0100</v>
      </c>
      <c r="B870" t="str">
        <f>"202327C01002"</f>
        <v>202327C01002</v>
      </c>
      <c r="C870" t="str">
        <f t="shared" si="37"/>
        <v>20</v>
      </c>
      <c r="D870" t="s">
        <v>67</v>
      </c>
      <c r="E870" t="str">
        <f t="shared" si="36"/>
        <v>004</v>
      </c>
      <c r="F870" t="s">
        <v>725</v>
      </c>
      <c r="G870" t="str">
        <f>"2327"</f>
        <v>2327</v>
      </c>
      <c r="H870" t="str">
        <f>"0001"</f>
        <v>0001</v>
      </c>
      <c r="I870" t="s">
        <v>75</v>
      </c>
      <c r="J870">
        <v>0</v>
      </c>
      <c r="K870">
        <v>1</v>
      </c>
      <c r="L870">
        <v>2</v>
      </c>
      <c r="M870">
        <v>278</v>
      </c>
      <c r="N870">
        <v>500</v>
      </c>
      <c r="O870">
        <v>6</v>
      </c>
      <c r="P870">
        <v>500</v>
      </c>
      <c r="Q870">
        <v>12</v>
      </c>
      <c r="R870">
        <v>77</v>
      </c>
      <c r="S870">
        <v>5</v>
      </c>
      <c r="T870">
        <v>28</v>
      </c>
      <c r="U870">
        <v>69</v>
      </c>
      <c r="V870">
        <v>8</v>
      </c>
      <c r="W870">
        <v>14</v>
      </c>
      <c r="X870">
        <v>178</v>
      </c>
      <c r="Y870">
        <v>2</v>
      </c>
      <c r="Z870">
        <v>57</v>
      </c>
      <c r="AA870">
        <v>10</v>
      </c>
      <c r="AB870">
        <v>25</v>
      </c>
      <c r="AD870">
        <v>2</v>
      </c>
      <c r="AE870">
        <v>0</v>
      </c>
      <c r="AF870">
        <v>0</v>
      </c>
      <c r="AG870">
        <v>0</v>
      </c>
      <c r="AI870">
        <v>0</v>
      </c>
      <c r="AJ870">
        <v>13</v>
      </c>
      <c r="AK870">
        <v>500</v>
      </c>
      <c r="AL870">
        <v>500</v>
      </c>
      <c r="AM870">
        <v>734</v>
      </c>
      <c r="AN870">
        <v>44</v>
      </c>
      <c r="AP870">
        <v>1</v>
      </c>
      <c r="AR870" t="s">
        <v>954</v>
      </c>
      <c r="AS870" s="1">
        <v>44354.008333333331</v>
      </c>
      <c r="AT870" s="1">
        <v>44354.013726851852</v>
      </c>
      <c r="AU870" s="1">
        <v>44354.014374999999</v>
      </c>
      <c r="AV870" t="s">
        <v>71</v>
      </c>
      <c r="AW870" t="s">
        <v>72</v>
      </c>
      <c r="AX870" t="s">
        <v>73</v>
      </c>
    </row>
    <row r="871" spans="1:50" x14ac:dyDescent="0.3">
      <c r="A871" t="str">
        <f>"202328B0000"</f>
        <v>202328B0000</v>
      </c>
      <c r="B871" t="str">
        <f>"202328B00002"</f>
        <v>202328B00002</v>
      </c>
      <c r="C871" t="str">
        <f t="shared" si="37"/>
        <v>20</v>
      </c>
      <c r="D871" t="s">
        <v>67</v>
      </c>
      <c r="E871" t="str">
        <f t="shared" si="36"/>
        <v>004</v>
      </c>
      <c r="F871" t="s">
        <v>725</v>
      </c>
      <c r="G871" t="str">
        <f>"2328"</f>
        <v>2328</v>
      </c>
      <c r="H871" t="str">
        <f>"0000"</f>
        <v>0000</v>
      </c>
      <c r="I871" t="s">
        <v>69</v>
      </c>
      <c r="J871">
        <v>0</v>
      </c>
      <c r="K871">
        <v>1</v>
      </c>
      <c r="L871">
        <v>2</v>
      </c>
      <c r="M871">
        <v>241</v>
      </c>
      <c r="N871">
        <v>336</v>
      </c>
      <c r="O871">
        <v>6</v>
      </c>
      <c r="P871">
        <v>336</v>
      </c>
      <c r="Q871">
        <v>5</v>
      </c>
      <c r="R871">
        <v>44</v>
      </c>
      <c r="S871">
        <v>4</v>
      </c>
      <c r="T871">
        <v>11</v>
      </c>
      <c r="U871">
        <v>43</v>
      </c>
      <c r="V871">
        <v>3</v>
      </c>
      <c r="W871">
        <v>17</v>
      </c>
      <c r="X871">
        <v>143</v>
      </c>
      <c r="Y871">
        <v>3</v>
      </c>
      <c r="Z871">
        <v>38</v>
      </c>
      <c r="AA871">
        <v>3</v>
      </c>
      <c r="AB871">
        <v>7</v>
      </c>
      <c r="AD871">
        <v>0</v>
      </c>
      <c r="AE871">
        <v>0</v>
      </c>
      <c r="AF871">
        <v>0</v>
      </c>
      <c r="AG871">
        <v>0</v>
      </c>
      <c r="AI871">
        <v>0</v>
      </c>
      <c r="AJ871">
        <v>15</v>
      </c>
      <c r="AK871">
        <v>336</v>
      </c>
      <c r="AL871">
        <v>336</v>
      </c>
      <c r="AM871">
        <v>533</v>
      </c>
      <c r="AN871">
        <v>44</v>
      </c>
      <c r="AP871">
        <v>1</v>
      </c>
      <c r="AR871" t="s">
        <v>955</v>
      </c>
      <c r="AS871" s="1">
        <v>44354.009722222225</v>
      </c>
      <c r="AT871" s="1">
        <v>44354.016145833331</v>
      </c>
      <c r="AU871" s="1">
        <v>44354.016458333332</v>
      </c>
      <c r="AV871" t="s">
        <v>71</v>
      </c>
      <c r="AW871" t="s">
        <v>72</v>
      </c>
      <c r="AX871" t="s">
        <v>73</v>
      </c>
    </row>
    <row r="872" spans="1:50" x14ac:dyDescent="0.3">
      <c r="A872" t="str">
        <f>"202328C0100"</f>
        <v>202328C0100</v>
      </c>
      <c r="B872" t="str">
        <f>"202328C01002"</f>
        <v>202328C01002</v>
      </c>
      <c r="C872" t="str">
        <f t="shared" si="37"/>
        <v>20</v>
      </c>
      <c r="D872" t="s">
        <v>67</v>
      </c>
      <c r="E872" t="str">
        <f t="shared" si="36"/>
        <v>004</v>
      </c>
      <c r="F872" t="s">
        <v>725</v>
      </c>
      <c r="G872" t="str">
        <f>"2328"</f>
        <v>2328</v>
      </c>
      <c r="H872" t="str">
        <f>"0001"</f>
        <v>0001</v>
      </c>
      <c r="I872" t="s">
        <v>75</v>
      </c>
      <c r="J872">
        <v>0</v>
      </c>
      <c r="K872">
        <v>1</v>
      </c>
      <c r="L872">
        <v>2</v>
      </c>
      <c r="M872">
        <v>228</v>
      </c>
      <c r="N872">
        <v>349</v>
      </c>
      <c r="O872">
        <v>14</v>
      </c>
      <c r="P872">
        <v>349</v>
      </c>
      <c r="Q872">
        <v>3</v>
      </c>
      <c r="R872">
        <v>52</v>
      </c>
      <c r="S872">
        <v>8</v>
      </c>
      <c r="T872">
        <v>17</v>
      </c>
      <c r="U872">
        <v>41</v>
      </c>
      <c r="V872">
        <v>7</v>
      </c>
      <c r="W872">
        <v>8</v>
      </c>
      <c r="X872">
        <v>134</v>
      </c>
      <c r="Y872">
        <v>1</v>
      </c>
      <c r="Z872">
        <v>45</v>
      </c>
      <c r="AA872">
        <v>3</v>
      </c>
      <c r="AB872">
        <v>14</v>
      </c>
      <c r="AD872">
        <v>0</v>
      </c>
      <c r="AE872">
        <v>2</v>
      </c>
      <c r="AF872">
        <v>0</v>
      </c>
      <c r="AG872">
        <v>0</v>
      </c>
      <c r="AI872">
        <v>0</v>
      </c>
      <c r="AJ872">
        <v>14</v>
      </c>
      <c r="AK872">
        <v>349</v>
      </c>
      <c r="AL872">
        <v>349</v>
      </c>
      <c r="AM872">
        <v>533</v>
      </c>
      <c r="AN872">
        <v>44</v>
      </c>
      <c r="AP872">
        <v>1</v>
      </c>
      <c r="AR872" t="s">
        <v>956</v>
      </c>
      <c r="AS872" s="1">
        <v>44354.010416666664</v>
      </c>
      <c r="AT872" s="1">
        <v>44354.018506944441</v>
      </c>
      <c r="AU872" s="1">
        <v>44354.019155092596</v>
      </c>
      <c r="AV872" t="s">
        <v>71</v>
      </c>
      <c r="AW872" t="s">
        <v>72</v>
      </c>
      <c r="AX872" t="s">
        <v>73</v>
      </c>
    </row>
    <row r="873" spans="1:50" x14ac:dyDescent="0.3">
      <c r="A873" t="str">
        <f>"202328C0200"</f>
        <v>202328C0200</v>
      </c>
      <c r="B873" t="str">
        <f>"202328C02002"</f>
        <v>202328C02002</v>
      </c>
      <c r="C873" t="str">
        <f t="shared" si="37"/>
        <v>20</v>
      </c>
      <c r="D873" t="s">
        <v>67</v>
      </c>
      <c r="E873" t="str">
        <f t="shared" si="36"/>
        <v>004</v>
      </c>
      <c r="F873" t="s">
        <v>725</v>
      </c>
      <c r="G873" t="str">
        <f>"2328"</f>
        <v>2328</v>
      </c>
      <c r="H873" t="str">
        <f>"0002"</f>
        <v>0002</v>
      </c>
      <c r="I873" t="s">
        <v>75</v>
      </c>
      <c r="J873">
        <v>0</v>
      </c>
      <c r="K873">
        <v>1</v>
      </c>
      <c r="L873">
        <v>2</v>
      </c>
      <c r="M873">
        <v>237</v>
      </c>
      <c r="N873">
        <v>340</v>
      </c>
      <c r="O873">
        <v>10</v>
      </c>
      <c r="P873">
        <v>331</v>
      </c>
      <c r="Q873">
        <v>6</v>
      </c>
      <c r="R873">
        <v>41</v>
      </c>
      <c r="S873">
        <v>5</v>
      </c>
      <c r="T873">
        <v>11</v>
      </c>
      <c r="U873">
        <v>42</v>
      </c>
      <c r="V873">
        <v>8</v>
      </c>
      <c r="W873">
        <v>11</v>
      </c>
      <c r="X873">
        <v>130</v>
      </c>
      <c r="Y873">
        <v>6</v>
      </c>
      <c r="Z873">
        <v>55</v>
      </c>
      <c r="AA873">
        <v>5</v>
      </c>
      <c r="AB873">
        <v>11</v>
      </c>
      <c r="AD873" t="s">
        <v>77</v>
      </c>
      <c r="AE873" t="s">
        <v>77</v>
      </c>
      <c r="AF873" t="s">
        <v>77</v>
      </c>
      <c r="AG873" t="s">
        <v>77</v>
      </c>
      <c r="AI873" t="s">
        <v>77</v>
      </c>
      <c r="AJ873">
        <v>9</v>
      </c>
      <c r="AK873">
        <v>340</v>
      </c>
      <c r="AL873">
        <v>340</v>
      </c>
      <c r="AM873">
        <v>533</v>
      </c>
      <c r="AN873">
        <v>44</v>
      </c>
      <c r="AO873" t="s">
        <v>78</v>
      </c>
      <c r="AP873">
        <v>1</v>
      </c>
      <c r="AR873" t="s">
        <v>957</v>
      </c>
      <c r="AS873" s="1">
        <v>44354.011111111111</v>
      </c>
      <c r="AT873" s="1">
        <v>44354.018900462965</v>
      </c>
      <c r="AU873" s="1">
        <v>44354.019305555557</v>
      </c>
      <c r="AV873" t="s">
        <v>71</v>
      </c>
      <c r="AW873" t="s">
        <v>72</v>
      </c>
      <c r="AX873" t="s">
        <v>73</v>
      </c>
    </row>
    <row r="874" spans="1:50" x14ac:dyDescent="0.3">
      <c r="A874" t="str">
        <f>"202329B0000"</f>
        <v>202329B0000</v>
      </c>
      <c r="B874" t="str">
        <f>"202329B00002"</f>
        <v>202329B00002</v>
      </c>
      <c r="C874" t="str">
        <f t="shared" si="37"/>
        <v>20</v>
      </c>
      <c r="D874" t="s">
        <v>67</v>
      </c>
      <c r="E874" t="str">
        <f t="shared" si="36"/>
        <v>004</v>
      </c>
      <c r="F874" t="s">
        <v>725</v>
      </c>
      <c r="G874" t="str">
        <f>"2329"</f>
        <v>2329</v>
      </c>
      <c r="H874" t="str">
        <f>"0000"</f>
        <v>0000</v>
      </c>
      <c r="I874" t="s">
        <v>69</v>
      </c>
      <c r="J874">
        <v>0</v>
      </c>
      <c r="K874">
        <v>1</v>
      </c>
      <c r="L874">
        <v>2</v>
      </c>
      <c r="M874">
        <v>121</v>
      </c>
      <c r="N874">
        <v>270</v>
      </c>
      <c r="O874">
        <v>13</v>
      </c>
      <c r="P874">
        <v>270</v>
      </c>
      <c r="Q874">
        <v>1</v>
      </c>
      <c r="R874">
        <v>59</v>
      </c>
      <c r="S874">
        <v>0</v>
      </c>
      <c r="T874">
        <v>6</v>
      </c>
      <c r="U874">
        <v>10</v>
      </c>
      <c r="V874">
        <v>0</v>
      </c>
      <c r="W874">
        <v>103</v>
      </c>
      <c r="X874">
        <v>44</v>
      </c>
      <c r="Y874">
        <v>4</v>
      </c>
      <c r="Z874">
        <v>4</v>
      </c>
      <c r="AA874">
        <v>1</v>
      </c>
      <c r="AB874">
        <v>28</v>
      </c>
      <c r="AD874">
        <v>0</v>
      </c>
      <c r="AE874">
        <v>0</v>
      </c>
      <c r="AF874">
        <v>0</v>
      </c>
      <c r="AG874">
        <v>0</v>
      </c>
      <c r="AI874">
        <v>0</v>
      </c>
      <c r="AJ874">
        <v>10</v>
      </c>
      <c r="AK874">
        <v>270</v>
      </c>
      <c r="AL874">
        <v>270</v>
      </c>
      <c r="AM874">
        <v>349</v>
      </c>
      <c r="AN874">
        <v>44</v>
      </c>
      <c r="AP874">
        <v>1</v>
      </c>
      <c r="AR874" t="s">
        <v>958</v>
      </c>
      <c r="AS874" s="1">
        <v>44354.143055555556</v>
      </c>
      <c r="AT874" s="1">
        <v>44354.146354166667</v>
      </c>
      <c r="AU874" s="1">
        <v>44354.146828703706</v>
      </c>
      <c r="AV874" t="s">
        <v>71</v>
      </c>
      <c r="AW874" t="s">
        <v>72</v>
      </c>
      <c r="AX874" t="s">
        <v>73</v>
      </c>
    </row>
    <row r="875" spans="1:50" x14ac:dyDescent="0.3">
      <c r="A875" t="str">
        <f>"202330B0000"</f>
        <v>202330B0000</v>
      </c>
      <c r="B875" t="str">
        <f>"202330B00002"</f>
        <v>202330B00002</v>
      </c>
      <c r="C875" t="str">
        <f t="shared" si="37"/>
        <v>20</v>
      </c>
      <c r="D875" t="s">
        <v>67</v>
      </c>
      <c r="E875" t="str">
        <f t="shared" si="36"/>
        <v>004</v>
      </c>
      <c r="F875" t="s">
        <v>725</v>
      </c>
      <c r="G875" t="str">
        <f>"2330"</f>
        <v>2330</v>
      </c>
      <c r="H875" t="str">
        <f>"0000"</f>
        <v>0000</v>
      </c>
      <c r="I875" t="s">
        <v>69</v>
      </c>
      <c r="J875">
        <v>0</v>
      </c>
      <c r="K875">
        <v>1</v>
      </c>
      <c r="L875">
        <v>2</v>
      </c>
      <c r="M875">
        <v>179</v>
      </c>
      <c r="N875">
        <v>325</v>
      </c>
      <c r="O875">
        <v>1</v>
      </c>
      <c r="P875">
        <v>325</v>
      </c>
      <c r="Q875">
        <v>2</v>
      </c>
      <c r="R875">
        <v>70</v>
      </c>
      <c r="S875">
        <v>2</v>
      </c>
      <c r="T875">
        <v>5</v>
      </c>
      <c r="U875">
        <v>21</v>
      </c>
      <c r="V875">
        <v>3</v>
      </c>
      <c r="W875">
        <v>19</v>
      </c>
      <c r="X875">
        <v>132</v>
      </c>
      <c r="Y875">
        <v>0</v>
      </c>
      <c r="Z875">
        <v>48</v>
      </c>
      <c r="AA875">
        <v>3</v>
      </c>
      <c r="AB875">
        <v>4</v>
      </c>
      <c r="AD875">
        <v>1</v>
      </c>
      <c r="AE875">
        <v>0</v>
      </c>
      <c r="AF875">
        <v>0</v>
      </c>
      <c r="AG875">
        <v>0</v>
      </c>
      <c r="AI875">
        <v>0</v>
      </c>
      <c r="AJ875">
        <v>15</v>
      </c>
      <c r="AK875">
        <v>325</v>
      </c>
      <c r="AL875">
        <v>325</v>
      </c>
      <c r="AM875">
        <v>461</v>
      </c>
      <c r="AN875">
        <v>44</v>
      </c>
      <c r="AP875">
        <v>1</v>
      </c>
      <c r="AR875" t="s">
        <v>959</v>
      </c>
      <c r="AS875" s="1">
        <v>44353.963888888888</v>
      </c>
      <c r="AT875" s="1">
        <v>44353.966365740744</v>
      </c>
      <c r="AU875" s="1">
        <v>44353.966874999998</v>
      </c>
      <c r="AV875" t="s">
        <v>71</v>
      </c>
      <c r="AW875" t="s">
        <v>72</v>
      </c>
      <c r="AX875" t="s">
        <v>73</v>
      </c>
    </row>
    <row r="876" spans="1:50" x14ac:dyDescent="0.3">
      <c r="A876" t="str">
        <f>"202405B0000"</f>
        <v>202405B0000</v>
      </c>
      <c r="B876" t="str">
        <f>"202405B00002"</f>
        <v>202405B00002</v>
      </c>
      <c r="C876" t="str">
        <f t="shared" si="37"/>
        <v>20</v>
      </c>
      <c r="D876" t="s">
        <v>67</v>
      </c>
      <c r="E876" t="str">
        <f t="shared" si="36"/>
        <v>004</v>
      </c>
      <c r="F876" t="s">
        <v>725</v>
      </c>
      <c r="G876" t="str">
        <f>"2405"</f>
        <v>2405</v>
      </c>
      <c r="H876" t="str">
        <f>"0000"</f>
        <v>0000</v>
      </c>
      <c r="I876" t="s">
        <v>69</v>
      </c>
      <c r="J876">
        <v>0</v>
      </c>
      <c r="K876">
        <v>1</v>
      </c>
      <c r="L876">
        <v>2</v>
      </c>
      <c r="M876">
        <v>163</v>
      </c>
      <c r="N876">
        <v>592</v>
      </c>
      <c r="O876">
        <v>0</v>
      </c>
      <c r="P876">
        <v>592</v>
      </c>
      <c r="Q876">
        <v>1</v>
      </c>
      <c r="R876">
        <v>144</v>
      </c>
      <c r="S876">
        <v>6</v>
      </c>
      <c r="T876">
        <v>6</v>
      </c>
      <c r="U876">
        <v>0</v>
      </c>
      <c r="V876">
        <v>6</v>
      </c>
      <c r="W876">
        <v>87</v>
      </c>
      <c r="X876">
        <v>303</v>
      </c>
      <c r="Y876">
        <v>11</v>
      </c>
      <c r="Z876">
        <v>3</v>
      </c>
      <c r="AA876">
        <v>3</v>
      </c>
      <c r="AB876">
        <v>1</v>
      </c>
      <c r="AD876">
        <v>2</v>
      </c>
      <c r="AE876">
        <v>1</v>
      </c>
      <c r="AF876">
        <v>0</v>
      </c>
      <c r="AG876">
        <v>0</v>
      </c>
      <c r="AI876">
        <v>0</v>
      </c>
      <c r="AJ876">
        <v>18</v>
      </c>
      <c r="AK876">
        <v>592</v>
      </c>
      <c r="AL876">
        <v>592</v>
      </c>
      <c r="AM876">
        <v>711</v>
      </c>
      <c r="AN876">
        <v>44</v>
      </c>
      <c r="AP876">
        <v>1</v>
      </c>
      <c r="AR876" t="s">
        <v>960</v>
      </c>
      <c r="AS876" s="1">
        <v>44353.924710648149</v>
      </c>
      <c r="AT876" s="1">
        <v>44353.927314814813</v>
      </c>
      <c r="AU876" s="1">
        <v>44353.927986111114</v>
      </c>
      <c r="AV876" t="s">
        <v>269</v>
      </c>
      <c r="AW876" t="s">
        <v>270</v>
      </c>
      <c r="AX876" t="s">
        <v>73</v>
      </c>
    </row>
    <row r="877" spans="1:50" x14ac:dyDescent="0.3">
      <c r="A877" t="str">
        <f>"202406B0000"</f>
        <v>202406B0000</v>
      </c>
      <c r="B877" t="str">
        <f>"202406B00002"</f>
        <v>202406B00002</v>
      </c>
      <c r="C877" t="str">
        <f t="shared" si="37"/>
        <v>20</v>
      </c>
      <c r="D877" t="s">
        <v>67</v>
      </c>
      <c r="E877" t="str">
        <f t="shared" si="36"/>
        <v>004</v>
      </c>
      <c r="F877" t="s">
        <v>725</v>
      </c>
      <c r="G877" t="str">
        <f>"2406"</f>
        <v>2406</v>
      </c>
      <c r="H877" t="str">
        <f>"0000"</f>
        <v>0000</v>
      </c>
      <c r="I877" t="s">
        <v>69</v>
      </c>
      <c r="J877">
        <v>0</v>
      </c>
      <c r="K877">
        <v>1</v>
      </c>
      <c r="L877">
        <v>2</v>
      </c>
      <c r="M877">
        <v>148</v>
      </c>
      <c r="N877">
        <v>405</v>
      </c>
      <c r="O877">
        <v>4</v>
      </c>
      <c r="P877">
        <v>405</v>
      </c>
      <c r="Q877">
        <v>1</v>
      </c>
      <c r="R877">
        <v>59</v>
      </c>
      <c r="S877">
        <v>4</v>
      </c>
      <c r="T877">
        <v>3</v>
      </c>
      <c r="U877">
        <v>0</v>
      </c>
      <c r="V877">
        <v>3</v>
      </c>
      <c r="W877">
        <v>67</v>
      </c>
      <c r="X877">
        <v>242</v>
      </c>
      <c r="Y877">
        <v>2</v>
      </c>
      <c r="Z877">
        <v>1</v>
      </c>
      <c r="AA877">
        <v>4</v>
      </c>
      <c r="AB877">
        <v>2</v>
      </c>
      <c r="AD877">
        <v>3</v>
      </c>
      <c r="AE877">
        <v>0</v>
      </c>
      <c r="AF877">
        <v>0</v>
      </c>
      <c r="AG877">
        <v>0</v>
      </c>
      <c r="AI877">
        <v>0</v>
      </c>
      <c r="AJ877">
        <v>14</v>
      </c>
      <c r="AK877">
        <v>405</v>
      </c>
      <c r="AL877">
        <v>405</v>
      </c>
      <c r="AM877">
        <v>509</v>
      </c>
      <c r="AN877">
        <v>44</v>
      </c>
      <c r="AP877">
        <v>1</v>
      </c>
      <c r="AR877" t="s">
        <v>961</v>
      </c>
      <c r="AS877" s="1">
        <v>44353.990995370368</v>
      </c>
      <c r="AT877" s="1">
        <v>44353.994340277779</v>
      </c>
      <c r="AU877" s="1">
        <v>44353.994953703703</v>
      </c>
      <c r="AV877" t="s">
        <v>269</v>
      </c>
      <c r="AW877" t="s">
        <v>270</v>
      </c>
      <c r="AX877" t="s">
        <v>73</v>
      </c>
    </row>
    <row r="878" spans="1:50" x14ac:dyDescent="0.3">
      <c r="A878" t="str">
        <f>"200057B0000"</f>
        <v>200057B0000</v>
      </c>
      <c r="B878" t="str">
        <f>"200057B00002"</f>
        <v>200057B00002</v>
      </c>
      <c r="C878" t="str">
        <f t="shared" si="37"/>
        <v>20</v>
      </c>
      <c r="D878" t="s">
        <v>67</v>
      </c>
      <c r="E878" t="str">
        <f t="shared" ref="E878:E941" si="38">"005"</f>
        <v>005</v>
      </c>
      <c r="F878" t="s">
        <v>962</v>
      </c>
      <c r="G878" t="str">
        <f>"0057"</f>
        <v>0057</v>
      </c>
      <c r="H878" t="str">
        <f>"0000"</f>
        <v>0000</v>
      </c>
      <c r="I878" t="s">
        <v>69</v>
      </c>
      <c r="J878">
        <v>0</v>
      </c>
      <c r="K878">
        <v>1</v>
      </c>
      <c r="L878">
        <v>2</v>
      </c>
      <c r="M878">
        <v>316</v>
      </c>
      <c r="N878">
        <v>415</v>
      </c>
      <c r="O878">
        <v>5</v>
      </c>
      <c r="P878">
        <v>415</v>
      </c>
      <c r="Q878">
        <v>62</v>
      </c>
      <c r="R878">
        <v>32</v>
      </c>
      <c r="S878">
        <v>17</v>
      </c>
      <c r="T878">
        <v>26</v>
      </c>
      <c r="U878">
        <v>30</v>
      </c>
      <c r="V878">
        <v>16</v>
      </c>
      <c r="W878">
        <v>27</v>
      </c>
      <c r="X878">
        <v>112</v>
      </c>
      <c r="Y878">
        <v>52</v>
      </c>
      <c r="Z878">
        <v>5</v>
      </c>
      <c r="AA878">
        <v>10</v>
      </c>
      <c r="AB878">
        <v>8</v>
      </c>
      <c r="AD878" t="s">
        <v>77</v>
      </c>
      <c r="AE878" t="s">
        <v>77</v>
      </c>
      <c r="AF878">
        <v>1</v>
      </c>
      <c r="AG878">
        <v>1</v>
      </c>
      <c r="AI878" t="s">
        <v>77</v>
      </c>
      <c r="AJ878">
        <v>17</v>
      </c>
      <c r="AK878">
        <v>415</v>
      </c>
      <c r="AL878">
        <v>416</v>
      </c>
      <c r="AM878">
        <v>687</v>
      </c>
      <c r="AN878">
        <v>44</v>
      </c>
      <c r="AO878" t="s">
        <v>78</v>
      </c>
      <c r="AP878">
        <v>1</v>
      </c>
      <c r="AR878" t="s">
        <v>963</v>
      </c>
      <c r="AS878" s="1">
        <v>44353.993055555555</v>
      </c>
      <c r="AT878" s="1">
        <v>44354.003113425926</v>
      </c>
      <c r="AU878" s="1">
        <v>44354.004004629627</v>
      </c>
      <c r="AV878" t="s">
        <v>71</v>
      </c>
      <c r="AW878" t="s">
        <v>72</v>
      </c>
      <c r="AX878" t="s">
        <v>73</v>
      </c>
    </row>
    <row r="879" spans="1:50" x14ac:dyDescent="0.3">
      <c r="A879" t="str">
        <f>"200057C0100"</f>
        <v>200057C0100</v>
      </c>
      <c r="B879" t="str">
        <f>"200057C01002"</f>
        <v>200057C01002</v>
      </c>
      <c r="C879" t="str">
        <f t="shared" si="37"/>
        <v>20</v>
      </c>
      <c r="D879" t="s">
        <v>67</v>
      </c>
      <c r="E879" t="str">
        <f t="shared" si="38"/>
        <v>005</v>
      </c>
      <c r="F879" t="s">
        <v>962</v>
      </c>
      <c r="G879" t="str">
        <f>"0057"</f>
        <v>0057</v>
      </c>
      <c r="H879" t="str">
        <f>"0001"</f>
        <v>0001</v>
      </c>
      <c r="I879" t="s">
        <v>75</v>
      </c>
      <c r="J879">
        <v>0</v>
      </c>
      <c r="K879">
        <v>1</v>
      </c>
      <c r="L879">
        <v>2</v>
      </c>
      <c r="M879">
        <v>305</v>
      </c>
      <c r="N879">
        <v>426</v>
      </c>
      <c r="O879">
        <v>4</v>
      </c>
      <c r="P879">
        <v>426</v>
      </c>
      <c r="Q879">
        <v>66</v>
      </c>
      <c r="R879">
        <v>47</v>
      </c>
      <c r="S879">
        <v>25</v>
      </c>
      <c r="T879">
        <v>18</v>
      </c>
      <c r="U879">
        <v>28</v>
      </c>
      <c r="V879">
        <v>14</v>
      </c>
      <c r="W879">
        <v>31</v>
      </c>
      <c r="X879">
        <v>107</v>
      </c>
      <c r="Y879">
        <v>57</v>
      </c>
      <c r="Z879">
        <v>2</v>
      </c>
      <c r="AA879">
        <v>10</v>
      </c>
      <c r="AB879">
        <v>9</v>
      </c>
      <c r="AD879">
        <v>0</v>
      </c>
      <c r="AE879">
        <v>1</v>
      </c>
      <c r="AF879">
        <v>0</v>
      </c>
      <c r="AG879">
        <v>0</v>
      </c>
      <c r="AI879">
        <v>0</v>
      </c>
      <c r="AJ879">
        <v>11</v>
      </c>
      <c r="AK879">
        <v>426</v>
      </c>
      <c r="AL879">
        <v>426</v>
      </c>
      <c r="AM879">
        <v>687</v>
      </c>
      <c r="AN879">
        <v>44</v>
      </c>
      <c r="AP879">
        <v>1</v>
      </c>
      <c r="AR879" t="s">
        <v>964</v>
      </c>
      <c r="AS879" s="1">
        <v>44353.993750000001</v>
      </c>
      <c r="AT879" s="1">
        <v>44354.003854166665</v>
      </c>
      <c r="AU879" s="1">
        <v>44354.004340277781</v>
      </c>
      <c r="AV879" t="s">
        <v>71</v>
      </c>
      <c r="AW879" t="s">
        <v>72</v>
      </c>
      <c r="AX879" t="s">
        <v>73</v>
      </c>
    </row>
    <row r="880" spans="1:50" x14ac:dyDescent="0.3">
      <c r="A880" t="str">
        <f>"200057C0200"</f>
        <v>200057C0200</v>
      </c>
      <c r="B880" t="str">
        <f>"200057C02002"</f>
        <v>200057C02002</v>
      </c>
      <c r="C880" t="str">
        <f t="shared" si="37"/>
        <v>20</v>
      </c>
      <c r="D880" t="s">
        <v>67</v>
      </c>
      <c r="E880" t="str">
        <f t="shared" si="38"/>
        <v>005</v>
      </c>
      <c r="F880" t="s">
        <v>962</v>
      </c>
      <c r="G880" t="str">
        <f>"0057"</f>
        <v>0057</v>
      </c>
      <c r="H880" t="str">
        <f>"0002"</f>
        <v>0002</v>
      </c>
      <c r="I880" t="s">
        <v>75</v>
      </c>
      <c r="J880">
        <v>0</v>
      </c>
      <c r="K880">
        <v>1</v>
      </c>
      <c r="L880">
        <v>2</v>
      </c>
      <c r="M880">
        <v>294</v>
      </c>
      <c r="N880">
        <v>437</v>
      </c>
      <c r="O880">
        <v>3</v>
      </c>
      <c r="P880">
        <v>437</v>
      </c>
      <c r="Q880">
        <v>69</v>
      </c>
      <c r="R880">
        <v>31</v>
      </c>
      <c r="S880">
        <v>23</v>
      </c>
      <c r="T880">
        <v>29</v>
      </c>
      <c r="U880">
        <v>26</v>
      </c>
      <c r="V880">
        <v>12</v>
      </c>
      <c r="W880">
        <v>39</v>
      </c>
      <c r="X880">
        <v>115</v>
      </c>
      <c r="Y880">
        <v>50</v>
      </c>
      <c r="Z880">
        <v>4</v>
      </c>
      <c r="AA880">
        <v>11</v>
      </c>
      <c r="AB880">
        <v>11</v>
      </c>
      <c r="AD880">
        <v>1</v>
      </c>
      <c r="AE880">
        <v>0</v>
      </c>
      <c r="AF880">
        <v>0</v>
      </c>
      <c r="AG880">
        <v>0</v>
      </c>
      <c r="AI880">
        <v>0</v>
      </c>
      <c r="AJ880">
        <v>16</v>
      </c>
      <c r="AK880">
        <v>437</v>
      </c>
      <c r="AL880">
        <v>437</v>
      </c>
      <c r="AM880">
        <v>687</v>
      </c>
      <c r="AN880">
        <v>44</v>
      </c>
      <c r="AP880">
        <v>1</v>
      </c>
      <c r="AR880" t="s">
        <v>965</v>
      </c>
      <c r="AS880" s="1">
        <v>44353.993750000001</v>
      </c>
      <c r="AT880" s="1">
        <v>44354.004004629627</v>
      </c>
      <c r="AU880" s="1">
        <v>44354.004386574074</v>
      </c>
      <c r="AV880" t="s">
        <v>71</v>
      </c>
      <c r="AW880" t="s">
        <v>72</v>
      </c>
      <c r="AX880" t="s">
        <v>73</v>
      </c>
    </row>
    <row r="881" spans="1:50" x14ac:dyDescent="0.3">
      <c r="A881" t="str">
        <f>"200057C0300"</f>
        <v>200057C0300</v>
      </c>
      <c r="B881" t="str">
        <f>"200057C03002"</f>
        <v>200057C03002</v>
      </c>
      <c r="C881" t="str">
        <f t="shared" si="37"/>
        <v>20</v>
      </c>
      <c r="D881" t="s">
        <v>67</v>
      </c>
      <c r="E881" t="str">
        <f t="shared" si="38"/>
        <v>005</v>
      </c>
      <c r="F881" t="s">
        <v>962</v>
      </c>
      <c r="G881" t="str">
        <f>"0057"</f>
        <v>0057</v>
      </c>
      <c r="H881" t="str">
        <f>"0003"</f>
        <v>0003</v>
      </c>
      <c r="I881" t="s">
        <v>75</v>
      </c>
      <c r="J881">
        <v>0</v>
      </c>
      <c r="K881">
        <v>1</v>
      </c>
      <c r="L881">
        <v>2</v>
      </c>
      <c r="M881">
        <v>322</v>
      </c>
      <c r="N881" t="s">
        <v>99</v>
      </c>
      <c r="O881">
        <v>3</v>
      </c>
      <c r="P881">
        <v>408</v>
      </c>
      <c r="Q881">
        <v>46</v>
      </c>
      <c r="R881">
        <v>24</v>
      </c>
      <c r="S881">
        <v>25</v>
      </c>
      <c r="T881">
        <v>26</v>
      </c>
      <c r="U881">
        <v>24</v>
      </c>
      <c r="V881">
        <v>16</v>
      </c>
      <c r="W881">
        <v>30</v>
      </c>
      <c r="X881">
        <v>114</v>
      </c>
      <c r="Y881">
        <v>72</v>
      </c>
      <c r="Z881">
        <v>2</v>
      </c>
      <c r="AA881">
        <v>7</v>
      </c>
      <c r="AB881">
        <v>6</v>
      </c>
      <c r="AD881">
        <v>1</v>
      </c>
      <c r="AE881">
        <v>0</v>
      </c>
      <c r="AF881">
        <v>0</v>
      </c>
      <c r="AG881">
        <v>0</v>
      </c>
      <c r="AI881">
        <v>0</v>
      </c>
      <c r="AJ881">
        <v>15</v>
      </c>
      <c r="AK881">
        <v>408</v>
      </c>
      <c r="AL881">
        <v>408</v>
      </c>
      <c r="AM881">
        <v>686</v>
      </c>
      <c r="AN881">
        <v>44</v>
      </c>
      <c r="AP881">
        <v>1</v>
      </c>
      <c r="AR881" t="s">
        <v>966</v>
      </c>
      <c r="AS881" s="1">
        <v>44353.994444444441</v>
      </c>
      <c r="AT881" s="1">
        <v>44354.004351851851</v>
      </c>
      <c r="AU881" s="1">
        <v>44354.005011574074</v>
      </c>
      <c r="AV881" t="s">
        <v>71</v>
      </c>
      <c r="AW881" t="s">
        <v>72</v>
      </c>
      <c r="AX881" t="s">
        <v>73</v>
      </c>
    </row>
    <row r="882" spans="1:50" x14ac:dyDescent="0.3">
      <c r="A882" t="str">
        <f>"200057C0400"</f>
        <v>200057C0400</v>
      </c>
      <c r="B882" t="str">
        <f>"200057C04002"</f>
        <v>200057C04002</v>
      </c>
      <c r="C882" t="str">
        <f t="shared" si="37"/>
        <v>20</v>
      </c>
      <c r="D882" t="s">
        <v>67</v>
      </c>
      <c r="E882" t="str">
        <f t="shared" si="38"/>
        <v>005</v>
      </c>
      <c r="F882" t="s">
        <v>962</v>
      </c>
      <c r="G882" t="str">
        <f>"0057"</f>
        <v>0057</v>
      </c>
      <c r="H882" t="str">
        <f>"0004"</f>
        <v>0004</v>
      </c>
      <c r="I882" t="s">
        <v>75</v>
      </c>
      <c r="J882">
        <v>0</v>
      </c>
      <c r="K882">
        <v>1</v>
      </c>
      <c r="L882">
        <v>2</v>
      </c>
      <c r="M882">
        <v>327</v>
      </c>
      <c r="N882">
        <v>403</v>
      </c>
      <c r="O882">
        <v>1</v>
      </c>
      <c r="P882">
        <v>403</v>
      </c>
      <c r="Q882">
        <v>61</v>
      </c>
      <c r="R882">
        <v>38</v>
      </c>
      <c r="S882">
        <v>26</v>
      </c>
      <c r="T882">
        <v>24</v>
      </c>
      <c r="U882">
        <v>24</v>
      </c>
      <c r="V882">
        <v>13</v>
      </c>
      <c r="W882">
        <v>30</v>
      </c>
      <c r="X882">
        <v>92</v>
      </c>
      <c r="Y882">
        <v>60</v>
      </c>
      <c r="Z882">
        <v>3</v>
      </c>
      <c r="AA882">
        <v>11</v>
      </c>
      <c r="AB882">
        <v>5</v>
      </c>
      <c r="AD882">
        <v>3</v>
      </c>
      <c r="AE882">
        <v>1</v>
      </c>
      <c r="AF882">
        <v>1</v>
      </c>
      <c r="AG882">
        <v>0</v>
      </c>
      <c r="AI882">
        <v>1</v>
      </c>
      <c r="AJ882">
        <v>10</v>
      </c>
      <c r="AK882">
        <v>403</v>
      </c>
      <c r="AL882">
        <v>403</v>
      </c>
      <c r="AM882">
        <v>686</v>
      </c>
      <c r="AN882">
        <v>44</v>
      </c>
      <c r="AP882">
        <v>1</v>
      </c>
      <c r="AR882" t="s">
        <v>967</v>
      </c>
      <c r="AS882" s="1">
        <v>44353.936099537037</v>
      </c>
      <c r="AT882" s="1">
        <v>44353.937395833331</v>
      </c>
      <c r="AU882" s="1">
        <v>44353.938240740739</v>
      </c>
      <c r="AV882" t="s">
        <v>269</v>
      </c>
      <c r="AW882" t="s">
        <v>270</v>
      </c>
      <c r="AX882" t="s">
        <v>73</v>
      </c>
    </row>
    <row r="883" spans="1:50" x14ac:dyDescent="0.3">
      <c r="A883" t="str">
        <f>"200058B0000"</f>
        <v>200058B0000</v>
      </c>
      <c r="B883" t="str">
        <f>"200058B00002"</f>
        <v>200058B00002</v>
      </c>
      <c r="C883" t="str">
        <f t="shared" si="37"/>
        <v>20</v>
      </c>
      <c r="D883" t="s">
        <v>67</v>
      </c>
      <c r="E883" t="str">
        <f t="shared" si="38"/>
        <v>005</v>
      </c>
      <c r="F883" t="s">
        <v>962</v>
      </c>
      <c r="G883" t="str">
        <f>"0058"</f>
        <v>0058</v>
      </c>
      <c r="H883" t="str">
        <f>"0000"</f>
        <v>0000</v>
      </c>
      <c r="I883" t="s">
        <v>69</v>
      </c>
      <c r="J883">
        <v>0</v>
      </c>
      <c r="K883">
        <v>1</v>
      </c>
      <c r="L883">
        <v>2</v>
      </c>
      <c r="M883">
        <v>245</v>
      </c>
      <c r="N883">
        <v>419</v>
      </c>
      <c r="O883">
        <v>5</v>
      </c>
      <c r="P883">
        <v>419</v>
      </c>
      <c r="Q883">
        <v>69</v>
      </c>
      <c r="R883">
        <v>49</v>
      </c>
      <c r="S883">
        <v>22</v>
      </c>
      <c r="T883">
        <v>17</v>
      </c>
      <c r="U883">
        <v>23</v>
      </c>
      <c r="V883">
        <v>14</v>
      </c>
      <c r="W883">
        <v>40</v>
      </c>
      <c r="X883">
        <v>112</v>
      </c>
      <c r="Y883">
        <v>38</v>
      </c>
      <c r="Z883">
        <v>0</v>
      </c>
      <c r="AA883">
        <v>12</v>
      </c>
      <c r="AB883">
        <v>6</v>
      </c>
      <c r="AD883">
        <v>1</v>
      </c>
      <c r="AE883">
        <v>0</v>
      </c>
      <c r="AF883">
        <v>0</v>
      </c>
      <c r="AG883">
        <v>0</v>
      </c>
      <c r="AI883">
        <v>0</v>
      </c>
      <c r="AJ883">
        <v>16</v>
      </c>
      <c r="AK883">
        <v>419</v>
      </c>
      <c r="AL883">
        <v>419</v>
      </c>
      <c r="AM883">
        <v>620</v>
      </c>
      <c r="AN883">
        <v>44</v>
      </c>
      <c r="AP883">
        <v>1</v>
      </c>
      <c r="AR883" t="s">
        <v>968</v>
      </c>
      <c r="AS883" s="1">
        <v>44354.09652777778</v>
      </c>
      <c r="AT883" s="1">
        <v>44354.100185185183</v>
      </c>
      <c r="AU883" s="1">
        <v>44354.100740740738</v>
      </c>
      <c r="AV883" t="s">
        <v>71</v>
      </c>
      <c r="AW883" t="s">
        <v>72</v>
      </c>
      <c r="AX883" t="s">
        <v>73</v>
      </c>
    </row>
    <row r="884" spans="1:50" x14ac:dyDescent="0.3">
      <c r="A884" t="str">
        <f>"200058C0100"</f>
        <v>200058C0100</v>
      </c>
      <c r="B884" t="str">
        <f>"200058C01002"</f>
        <v>200058C01002</v>
      </c>
      <c r="C884" t="str">
        <f t="shared" si="37"/>
        <v>20</v>
      </c>
      <c r="D884" t="s">
        <v>67</v>
      </c>
      <c r="E884" t="str">
        <f t="shared" si="38"/>
        <v>005</v>
      </c>
      <c r="F884" t="s">
        <v>962</v>
      </c>
      <c r="G884" t="str">
        <f>"0058"</f>
        <v>0058</v>
      </c>
      <c r="H884" t="str">
        <f>"0001"</f>
        <v>0001</v>
      </c>
      <c r="I884" t="s">
        <v>75</v>
      </c>
      <c r="J884">
        <v>0</v>
      </c>
      <c r="K884">
        <v>1</v>
      </c>
      <c r="L884">
        <v>2</v>
      </c>
      <c r="M884">
        <v>272</v>
      </c>
      <c r="N884">
        <v>389</v>
      </c>
      <c r="O884">
        <v>3</v>
      </c>
      <c r="P884">
        <v>392</v>
      </c>
      <c r="Q884">
        <v>50</v>
      </c>
      <c r="R884">
        <v>32</v>
      </c>
      <c r="S884">
        <v>14</v>
      </c>
      <c r="T884">
        <v>28</v>
      </c>
      <c r="U884">
        <v>21</v>
      </c>
      <c r="V884">
        <v>13</v>
      </c>
      <c r="W884">
        <v>24</v>
      </c>
      <c r="X884">
        <v>130</v>
      </c>
      <c r="Y884">
        <v>39</v>
      </c>
      <c r="Z884">
        <v>3</v>
      </c>
      <c r="AA884">
        <v>12</v>
      </c>
      <c r="AB884">
        <v>7</v>
      </c>
      <c r="AD884">
        <v>2</v>
      </c>
      <c r="AE884">
        <v>1</v>
      </c>
      <c r="AF884">
        <v>0</v>
      </c>
      <c r="AG884">
        <v>0</v>
      </c>
      <c r="AI884">
        <v>0</v>
      </c>
      <c r="AJ884">
        <v>16</v>
      </c>
      <c r="AK884">
        <v>392</v>
      </c>
      <c r="AL884">
        <v>392</v>
      </c>
      <c r="AM884">
        <v>620</v>
      </c>
      <c r="AN884">
        <v>44</v>
      </c>
      <c r="AP884">
        <v>1</v>
      </c>
      <c r="AR884" t="s">
        <v>969</v>
      </c>
      <c r="AS884" s="1">
        <v>44354.097222222219</v>
      </c>
      <c r="AT884" s="1">
        <v>44354.10087962963</v>
      </c>
      <c r="AU884" s="1">
        <v>44354.101805555554</v>
      </c>
      <c r="AV884" t="s">
        <v>71</v>
      </c>
      <c r="AW884" t="s">
        <v>72</v>
      </c>
      <c r="AX884" t="s">
        <v>73</v>
      </c>
    </row>
    <row r="885" spans="1:50" x14ac:dyDescent="0.3">
      <c r="A885" t="str">
        <f>"200058C0200"</f>
        <v>200058C0200</v>
      </c>
      <c r="B885" t="str">
        <f>"200058C02002"</f>
        <v>200058C02002</v>
      </c>
      <c r="C885" t="str">
        <f t="shared" si="37"/>
        <v>20</v>
      </c>
      <c r="D885" t="s">
        <v>67</v>
      </c>
      <c r="E885" t="str">
        <f t="shared" si="38"/>
        <v>005</v>
      </c>
      <c r="F885" t="s">
        <v>962</v>
      </c>
      <c r="G885" t="str">
        <f>"0058"</f>
        <v>0058</v>
      </c>
      <c r="H885" t="str">
        <f>"0002"</f>
        <v>0002</v>
      </c>
      <c r="I885" t="s">
        <v>75</v>
      </c>
      <c r="J885">
        <v>0</v>
      </c>
      <c r="K885">
        <v>1</v>
      </c>
      <c r="L885">
        <v>2</v>
      </c>
      <c r="M885">
        <v>252</v>
      </c>
      <c r="N885">
        <v>400</v>
      </c>
      <c r="O885">
        <v>5</v>
      </c>
      <c r="P885">
        <v>400</v>
      </c>
      <c r="Q885">
        <v>48</v>
      </c>
      <c r="R885">
        <v>31</v>
      </c>
      <c r="S885">
        <v>16</v>
      </c>
      <c r="T885">
        <v>20</v>
      </c>
      <c r="U885">
        <v>32</v>
      </c>
      <c r="V885">
        <v>15</v>
      </c>
      <c r="W885">
        <v>34</v>
      </c>
      <c r="X885">
        <v>144</v>
      </c>
      <c r="Y885">
        <v>49</v>
      </c>
      <c r="Z885">
        <v>0</v>
      </c>
      <c r="AA885">
        <v>8</v>
      </c>
      <c r="AB885">
        <v>1</v>
      </c>
      <c r="AD885">
        <v>2</v>
      </c>
      <c r="AE885">
        <v>0</v>
      </c>
      <c r="AF885">
        <v>0</v>
      </c>
      <c r="AG885">
        <v>0</v>
      </c>
      <c r="AI885">
        <v>0</v>
      </c>
      <c r="AJ885">
        <v>12</v>
      </c>
      <c r="AK885">
        <v>412</v>
      </c>
      <c r="AL885">
        <v>412</v>
      </c>
      <c r="AM885">
        <v>620</v>
      </c>
      <c r="AN885">
        <v>44</v>
      </c>
      <c r="AP885">
        <v>1</v>
      </c>
      <c r="AR885" t="s">
        <v>970</v>
      </c>
      <c r="AS885" s="1">
        <v>44354.100694444445</v>
      </c>
      <c r="AT885" s="1">
        <v>44354.103321759256</v>
      </c>
      <c r="AU885" s="1">
        <v>44354.103958333333</v>
      </c>
      <c r="AV885" t="s">
        <v>71</v>
      </c>
      <c r="AW885" t="s">
        <v>72</v>
      </c>
      <c r="AX885" t="s">
        <v>73</v>
      </c>
    </row>
    <row r="886" spans="1:50" x14ac:dyDescent="0.3">
      <c r="A886" t="str">
        <f>"200058C0300"</f>
        <v>200058C0300</v>
      </c>
      <c r="B886" t="str">
        <f>"200058C03002"</f>
        <v>200058C03002</v>
      </c>
      <c r="C886" t="str">
        <f t="shared" si="37"/>
        <v>20</v>
      </c>
      <c r="D886" t="s">
        <v>67</v>
      </c>
      <c r="E886" t="str">
        <f t="shared" si="38"/>
        <v>005</v>
      </c>
      <c r="F886" t="s">
        <v>962</v>
      </c>
      <c r="G886" t="str">
        <f>"0058"</f>
        <v>0058</v>
      </c>
      <c r="H886" t="str">
        <f>"0003"</f>
        <v>0003</v>
      </c>
      <c r="I886" t="s">
        <v>75</v>
      </c>
      <c r="J886">
        <v>0</v>
      </c>
      <c r="K886">
        <v>1</v>
      </c>
      <c r="L886">
        <v>2</v>
      </c>
      <c r="M886">
        <v>253</v>
      </c>
      <c r="N886">
        <v>411</v>
      </c>
      <c r="O886">
        <v>5</v>
      </c>
      <c r="P886">
        <v>411</v>
      </c>
      <c r="Q886">
        <v>45</v>
      </c>
      <c r="R886">
        <v>44</v>
      </c>
      <c r="S886">
        <v>21</v>
      </c>
      <c r="T886">
        <v>22</v>
      </c>
      <c r="U886">
        <v>41</v>
      </c>
      <c r="V886">
        <v>21</v>
      </c>
      <c r="W886">
        <v>28</v>
      </c>
      <c r="X886">
        <v>105</v>
      </c>
      <c r="Y886">
        <v>53</v>
      </c>
      <c r="Z886">
        <v>0</v>
      </c>
      <c r="AA886">
        <v>8</v>
      </c>
      <c r="AB886">
        <v>3</v>
      </c>
      <c r="AD886">
        <v>0</v>
      </c>
      <c r="AE886">
        <v>2</v>
      </c>
      <c r="AF886">
        <v>0</v>
      </c>
      <c r="AG886">
        <v>0</v>
      </c>
      <c r="AI886">
        <v>0</v>
      </c>
      <c r="AJ886">
        <v>18</v>
      </c>
      <c r="AK886">
        <v>411</v>
      </c>
      <c r="AL886">
        <v>411</v>
      </c>
      <c r="AM886">
        <v>620</v>
      </c>
      <c r="AN886">
        <v>44</v>
      </c>
      <c r="AP886">
        <v>1</v>
      </c>
      <c r="AR886" t="s">
        <v>971</v>
      </c>
      <c r="AS886" s="1">
        <v>44354.1</v>
      </c>
      <c r="AT886" s="1">
        <v>44354.103194444448</v>
      </c>
      <c r="AU886" s="1">
        <v>44354.10365740741</v>
      </c>
      <c r="AV886" t="s">
        <v>71</v>
      </c>
      <c r="AW886" t="s">
        <v>72</v>
      </c>
      <c r="AX886" t="s">
        <v>73</v>
      </c>
    </row>
    <row r="887" spans="1:50" x14ac:dyDescent="0.3">
      <c r="A887" t="str">
        <f>"200058C0400"</f>
        <v>200058C0400</v>
      </c>
      <c r="B887" t="str">
        <f>"200058C04002"</f>
        <v>200058C04002</v>
      </c>
      <c r="C887" t="str">
        <f t="shared" si="37"/>
        <v>20</v>
      </c>
      <c r="D887" t="s">
        <v>67</v>
      </c>
      <c r="E887" t="str">
        <f t="shared" si="38"/>
        <v>005</v>
      </c>
      <c r="F887" t="s">
        <v>962</v>
      </c>
      <c r="G887" t="str">
        <f>"0058"</f>
        <v>0058</v>
      </c>
      <c r="H887" t="str">
        <f>"0004"</f>
        <v>0004</v>
      </c>
      <c r="I887" t="s">
        <v>75</v>
      </c>
      <c r="J887">
        <v>0</v>
      </c>
      <c r="K887">
        <v>1</v>
      </c>
      <c r="L887">
        <v>2</v>
      </c>
      <c r="M887">
        <v>277</v>
      </c>
      <c r="N887">
        <v>386</v>
      </c>
      <c r="O887">
        <v>3</v>
      </c>
      <c r="P887">
        <v>386</v>
      </c>
      <c r="Q887">
        <v>49</v>
      </c>
      <c r="R887">
        <v>38</v>
      </c>
      <c r="S887">
        <v>18</v>
      </c>
      <c r="T887">
        <v>31</v>
      </c>
      <c r="U887">
        <v>18</v>
      </c>
      <c r="V887">
        <v>11</v>
      </c>
      <c r="W887">
        <v>35</v>
      </c>
      <c r="X887">
        <v>99</v>
      </c>
      <c r="Y887">
        <v>57</v>
      </c>
      <c r="Z887">
        <v>1</v>
      </c>
      <c r="AA887">
        <v>5</v>
      </c>
      <c r="AB887">
        <v>8</v>
      </c>
      <c r="AD887">
        <v>1</v>
      </c>
      <c r="AE887" t="s">
        <v>77</v>
      </c>
      <c r="AF887" t="s">
        <v>77</v>
      </c>
      <c r="AG887" t="s">
        <v>77</v>
      </c>
      <c r="AI887" t="s">
        <v>77</v>
      </c>
      <c r="AJ887">
        <v>14</v>
      </c>
      <c r="AK887">
        <v>386</v>
      </c>
      <c r="AL887">
        <v>385</v>
      </c>
      <c r="AM887">
        <v>619</v>
      </c>
      <c r="AN887">
        <v>44</v>
      </c>
      <c r="AO887" t="s">
        <v>78</v>
      </c>
      <c r="AP887">
        <v>1</v>
      </c>
      <c r="AR887" s="2" t="s">
        <v>972</v>
      </c>
      <c r="AS887" s="1">
        <v>44354.100694444445</v>
      </c>
      <c r="AT887" s="1">
        <v>44354.103263888886</v>
      </c>
      <c r="AU887" s="1">
        <v>44354.103842592594</v>
      </c>
      <c r="AV887" t="s">
        <v>71</v>
      </c>
      <c r="AW887" t="s">
        <v>72</v>
      </c>
      <c r="AX887" t="s">
        <v>73</v>
      </c>
    </row>
    <row r="888" spans="1:50" x14ac:dyDescent="0.3">
      <c r="A888" t="str">
        <f>"200059B0000"</f>
        <v>200059B0000</v>
      </c>
      <c r="B888" t="str">
        <f>"200059B00002"</f>
        <v>200059B00002</v>
      </c>
      <c r="C888" t="str">
        <f t="shared" si="37"/>
        <v>20</v>
      </c>
      <c r="D888" t="s">
        <v>67</v>
      </c>
      <c r="E888" t="str">
        <f t="shared" si="38"/>
        <v>005</v>
      </c>
      <c r="F888" t="s">
        <v>962</v>
      </c>
      <c r="G888" t="str">
        <f>"0059"</f>
        <v>0059</v>
      </c>
      <c r="H888" t="str">
        <f>"0000"</f>
        <v>0000</v>
      </c>
      <c r="I888" t="s">
        <v>69</v>
      </c>
      <c r="J888">
        <v>0</v>
      </c>
      <c r="K888">
        <v>1</v>
      </c>
      <c r="L888">
        <v>2</v>
      </c>
      <c r="M888">
        <v>236</v>
      </c>
      <c r="N888">
        <v>396</v>
      </c>
      <c r="O888">
        <v>2</v>
      </c>
      <c r="P888">
        <v>395</v>
      </c>
      <c r="Q888">
        <v>73</v>
      </c>
      <c r="R888">
        <v>44</v>
      </c>
      <c r="S888">
        <v>7</v>
      </c>
      <c r="T888">
        <v>27</v>
      </c>
      <c r="U888">
        <v>33</v>
      </c>
      <c r="V888">
        <v>28</v>
      </c>
      <c r="W888">
        <v>18</v>
      </c>
      <c r="X888">
        <v>78</v>
      </c>
      <c r="Y888">
        <v>40</v>
      </c>
      <c r="Z888">
        <v>2</v>
      </c>
      <c r="AA888">
        <v>20</v>
      </c>
      <c r="AB888">
        <v>12</v>
      </c>
      <c r="AD888">
        <v>2</v>
      </c>
      <c r="AE888">
        <v>1</v>
      </c>
      <c r="AF888">
        <v>0</v>
      </c>
      <c r="AG888">
        <v>0</v>
      </c>
      <c r="AI888">
        <v>0</v>
      </c>
      <c r="AJ888">
        <v>10</v>
      </c>
      <c r="AK888">
        <v>395</v>
      </c>
      <c r="AL888">
        <v>395</v>
      </c>
      <c r="AM888">
        <v>588</v>
      </c>
      <c r="AN888">
        <v>44</v>
      </c>
      <c r="AP888">
        <v>1</v>
      </c>
      <c r="AR888" t="s">
        <v>973</v>
      </c>
      <c r="AS888" s="1">
        <v>44353.914259259262</v>
      </c>
      <c r="AT888" s="1">
        <v>44353.916527777779</v>
      </c>
      <c r="AU888" s="1">
        <v>44353.917824074073</v>
      </c>
      <c r="AV888" t="s">
        <v>269</v>
      </c>
      <c r="AW888" t="s">
        <v>270</v>
      </c>
      <c r="AX888" t="s">
        <v>73</v>
      </c>
    </row>
    <row r="889" spans="1:50" x14ac:dyDescent="0.3">
      <c r="A889" t="str">
        <f>"200059C0100"</f>
        <v>200059C0100</v>
      </c>
      <c r="B889" t="str">
        <f>"200059C01002"</f>
        <v>200059C01002</v>
      </c>
      <c r="C889" t="str">
        <f t="shared" si="37"/>
        <v>20</v>
      </c>
      <c r="D889" t="s">
        <v>67</v>
      </c>
      <c r="E889" t="str">
        <f t="shared" si="38"/>
        <v>005</v>
      </c>
      <c r="F889" t="s">
        <v>962</v>
      </c>
      <c r="G889" t="str">
        <f>"0059"</f>
        <v>0059</v>
      </c>
      <c r="H889" t="str">
        <f>"0001"</f>
        <v>0001</v>
      </c>
      <c r="I889" t="s">
        <v>75</v>
      </c>
      <c r="J889">
        <v>0</v>
      </c>
      <c r="K889">
        <v>1</v>
      </c>
      <c r="L889">
        <v>2</v>
      </c>
      <c r="M889">
        <v>260</v>
      </c>
      <c r="N889">
        <v>372</v>
      </c>
      <c r="O889">
        <v>5</v>
      </c>
      <c r="P889">
        <v>372</v>
      </c>
      <c r="Q889">
        <v>49</v>
      </c>
      <c r="R889">
        <v>41</v>
      </c>
      <c r="S889">
        <v>15</v>
      </c>
      <c r="T889">
        <v>23</v>
      </c>
      <c r="U889">
        <v>21</v>
      </c>
      <c r="V889">
        <v>11</v>
      </c>
      <c r="W889">
        <v>17</v>
      </c>
      <c r="X889">
        <v>106</v>
      </c>
      <c r="Y889">
        <v>57</v>
      </c>
      <c r="Z889">
        <v>2</v>
      </c>
      <c r="AA889">
        <v>8</v>
      </c>
      <c r="AB889">
        <v>13</v>
      </c>
      <c r="AD889">
        <v>0</v>
      </c>
      <c r="AE889">
        <v>0</v>
      </c>
      <c r="AF889">
        <v>0</v>
      </c>
      <c r="AG889">
        <v>0</v>
      </c>
      <c r="AI889">
        <v>0</v>
      </c>
      <c r="AJ889" t="s">
        <v>77</v>
      </c>
      <c r="AK889">
        <v>372</v>
      </c>
      <c r="AL889">
        <v>363</v>
      </c>
      <c r="AM889">
        <v>588</v>
      </c>
      <c r="AN889">
        <v>44</v>
      </c>
      <c r="AO889" t="s">
        <v>78</v>
      </c>
      <c r="AP889">
        <v>1</v>
      </c>
      <c r="AR889" t="s">
        <v>974</v>
      </c>
      <c r="AS889" s="1">
        <v>44353.922314814816</v>
      </c>
      <c r="AT889" s="1">
        <v>44353.926516203705</v>
      </c>
      <c r="AU889" s="1">
        <v>44353.927708333336</v>
      </c>
      <c r="AV889" t="s">
        <v>269</v>
      </c>
      <c r="AW889" t="s">
        <v>270</v>
      </c>
      <c r="AX889" t="s">
        <v>73</v>
      </c>
    </row>
    <row r="890" spans="1:50" x14ac:dyDescent="0.3">
      <c r="A890" t="str">
        <f>"200059C0200"</f>
        <v>200059C0200</v>
      </c>
      <c r="B890" t="str">
        <f>"200059C02002"</f>
        <v>200059C02002</v>
      </c>
      <c r="C890" t="str">
        <f t="shared" si="37"/>
        <v>20</v>
      </c>
      <c r="D890" t="s">
        <v>67</v>
      </c>
      <c r="E890" t="str">
        <f t="shared" si="38"/>
        <v>005</v>
      </c>
      <c r="F890" t="s">
        <v>962</v>
      </c>
      <c r="G890" t="str">
        <f>"0059"</f>
        <v>0059</v>
      </c>
      <c r="H890" t="str">
        <f>"0002"</f>
        <v>0002</v>
      </c>
      <c r="I890" t="s">
        <v>75</v>
      </c>
      <c r="J890">
        <v>0</v>
      </c>
      <c r="K890">
        <v>1</v>
      </c>
      <c r="L890">
        <v>2</v>
      </c>
      <c r="M890">
        <v>242</v>
      </c>
      <c r="N890">
        <v>390</v>
      </c>
      <c r="O890">
        <v>11</v>
      </c>
      <c r="P890">
        <v>390</v>
      </c>
      <c r="Q890">
        <v>54</v>
      </c>
      <c r="R890">
        <v>49</v>
      </c>
      <c r="S890">
        <v>14</v>
      </c>
      <c r="T890">
        <v>30</v>
      </c>
      <c r="U890">
        <v>13</v>
      </c>
      <c r="V890">
        <v>24</v>
      </c>
      <c r="W890">
        <v>13</v>
      </c>
      <c r="X890">
        <v>108</v>
      </c>
      <c r="Y890">
        <v>51</v>
      </c>
      <c r="Z890">
        <v>1</v>
      </c>
      <c r="AA890">
        <v>13</v>
      </c>
      <c r="AB890">
        <v>7</v>
      </c>
      <c r="AD890">
        <v>0</v>
      </c>
      <c r="AE890">
        <v>0</v>
      </c>
      <c r="AF890">
        <v>0</v>
      </c>
      <c r="AG890">
        <v>0</v>
      </c>
      <c r="AI890">
        <v>1</v>
      </c>
      <c r="AJ890">
        <v>12</v>
      </c>
      <c r="AK890">
        <v>390</v>
      </c>
      <c r="AL890">
        <v>390</v>
      </c>
      <c r="AM890">
        <v>588</v>
      </c>
      <c r="AN890">
        <v>44</v>
      </c>
      <c r="AP890">
        <v>1</v>
      </c>
      <c r="AR890" t="s">
        <v>975</v>
      </c>
      <c r="AS890" s="1">
        <v>44353.978414351855</v>
      </c>
      <c r="AT890" s="1">
        <v>44353.979895833334</v>
      </c>
      <c r="AU890" s="1">
        <v>44353.980694444443</v>
      </c>
      <c r="AV890" t="s">
        <v>269</v>
      </c>
      <c r="AW890" t="s">
        <v>270</v>
      </c>
      <c r="AX890" t="s">
        <v>73</v>
      </c>
    </row>
    <row r="891" spans="1:50" x14ac:dyDescent="0.3">
      <c r="A891" t="str">
        <f>"200059C0300"</f>
        <v>200059C0300</v>
      </c>
      <c r="B891" t="str">
        <f>"200059C03002"</f>
        <v>200059C03002</v>
      </c>
      <c r="C891" t="str">
        <f t="shared" si="37"/>
        <v>20</v>
      </c>
      <c r="D891" t="s">
        <v>67</v>
      </c>
      <c r="E891" t="str">
        <f t="shared" si="38"/>
        <v>005</v>
      </c>
      <c r="F891" t="s">
        <v>962</v>
      </c>
      <c r="G891" t="str">
        <f>"0059"</f>
        <v>0059</v>
      </c>
      <c r="H891" t="str">
        <f>"0003"</f>
        <v>0003</v>
      </c>
      <c r="I891" t="s">
        <v>75</v>
      </c>
      <c r="J891">
        <v>0</v>
      </c>
      <c r="K891">
        <v>1</v>
      </c>
      <c r="L891">
        <v>2</v>
      </c>
      <c r="M891">
        <v>228</v>
      </c>
      <c r="N891">
        <v>404</v>
      </c>
      <c r="O891">
        <v>10</v>
      </c>
      <c r="P891">
        <v>404</v>
      </c>
      <c r="Q891">
        <v>55</v>
      </c>
      <c r="R891">
        <v>50</v>
      </c>
      <c r="S891">
        <v>23</v>
      </c>
      <c r="T891">
        <v>36</v>
      </c>
      <c r="U891">
        <v>15</v>
      </c>
      <c r="V891">
        <v>19</v>
      </c>
      <c r="W891">
        <v>31</v>
      </c>
      <c r="X891">
        <v>87</v>
      </c>
      <c r="Y891">
        <v>52</v>
      </c>
      <c r="Z891">
        <v>3</v>
      </c>
      <c r="AA891">
        <v>13</v>
      </c>
      <c r="AB891">
        <v>11</v>
      </c>
      <c r="AD891">
        <v>1</v>
      </c>
      <c r="AE891">
        <v>0</v>
      </c>
      <c r="AF891">
        <v>0</v>
      </c>
      <c r="AG891">
        <v>0</v>
      </c>
      <c r="AI891">
        <v>0</v>
      </c>
      <c r="AJ891">
        <v>8</v>
      </c>
      <c r="AK891">
        <v>404</v>
      </c>
      <c r="AL891">
        <v>404</v>
      </c>
      <c r="AM891">
        <v>588</v>
      </c>
      <c r="AN891">
        <v>44</v>
      </c>
      <c r="AP891">
        <v>1</v>
      </c>
      <c r="AR891" t="s">
        <v>976</v>
      </c>
      <c r="AS891" s="1">
        <v>44353.988993055558</v>
      </c>
      <c r="AT891" s="1">
        <v>44353.992685185185</v>
      </c>
      <c r="AU891" s="1">
        <v>44353.993252314816</v>
      </c>
      <c r="AV891" t="s">
        <v>269</v>
      </c>
      <c r="AW891" t="s">
        <v>270</v>
      </c>
      <c r="AX891" t="s">
        <v>73</v>
      </c>
    </row>
    <row r="892" spans="1:50" x14ac:dyDescent="0.3">
      <c r="A892" t="str">
        <f>"200059S0100"</f>
        <v>200059S0100</v>
      </c>
      <c r="B892" t="str">
        <f>"200059S01002EMR"</f>
        <v>200059S01002EMR</v>
      </c>
      <c r="C892" t="str">
        <f t="shared" si="37"/>
        <v>20</v>
      </c>
      <c r="D892" t="s">
        <v>67</v>
      </c>
      <c r="E892" t="str">
        <f t="shared" si="38"/>
        <v>005</v>
      </c>
      <c r="F892" t="s">
        <v>962</v>
      </c>
      <c r="G892" t="str">
        <f>"0059"</f>
        <v>0059</v>
      </c>
      <c r="H892" t="str">
        <f>"0001"</f>
        <v>0001</v>
      </c>
      <c r="I892" t="s">
        <v>85</v>
      </c>
      <c r="J892">
        <v>0</v>
      </c>
      <c r="K892">
        <v>1</v>
      </c>
      <c r="L892" t="s">
        <v>86</v>
      </c>
      <c r="M892">
        <v>573</v>
      </c>
      <c r="N892">
        <v>266</v>
      </c>
      <c r="O892">
        <v>0</v>
      </c>
      <c r="P892">
        <v>266</v>
      </c>
      <c r="Q892">
        <v>12</v>
      </c>
      <c r="R892">
        <v>23</v>
      </c>
      <c r="S892">
        <v>9</v>
      </c>
      <c r="T892">
        <v>13</v>
      </c>
      <c r="U892">
        <v>22</v>
      </c>
      <c r="V892">
        <v>8</v>
      </c>
      <c r="W892">
        <v>16</v>
      </c>
      <c r="X892">
        <v>109</v>
      </c>
      <c r="Y892">
        <v>26</v>
      </c>
      <c r="Z892">
        <v>1</v>
      </c>
      <c r="AA892">
        <v>3</v>
      </c>
      <c r="AB892">
        <v>10</v>
      </c>
      <c r="AD892">
        <v>1</v>
      </c>
      <c r="AE892">
        <v>1</v>
      </c>
      <c r="AF892">
        <v>0</v>
      </c>
      <c r="AG892">
        <v>0</v>
      </c>
      <c r="AI892">
        <v>0</v>
      </c>
      <c r="AJ892">
        <v>12</v>
      </c>
      <c r="AK892">
        <v>266</v>
      </c>
      <c r="AL892">
        <v>266</v>
      </c>
      <c r="AM892">
        <v>0</v>
      </c>
      <c r="AN892">
        <v>44</v>
      </c>
      <c r="AP892">
        <v>1</v>
      </c>
      <c r="AR892" t="s">
        <v>977</v>
      </c>
      <c r="AS892" s="1">
        <v>44353.998923611114</v>
      </c>
      <c r="AT892" s="1">
        <v>44354.004340277781</v>
      </c>
      <c r="AU892" s="1">
        <v>44354.005046296297</v>
      </c>
      <c r="AV892" t="s">
        <v>269</v>
      </c>
      <c r="AW892" t="s">
        <v>270</v>
      </c>
      <c r="AX892" t="s">
        <v>73</v>
      </c>
    </row>
    <row r="893" spans="1:50" x14ac:dyDescent="0.3">
      <c r="A893" t="str">
        <f>"200060B0000"</f>
        <v>200060B0000</v>
      </c>
      <c r="B893" t="str">
        <f>"200060B00002"</f>
        <v>200060B00002</v>
      </c>
      <c r="C893" t="str">
        <f t="shared" si="37"/>
        <v>20</v>
      </c>
      <c r="D893" t="s">
        <v>67</v>
      </c>
      <c r="E893" t="str">
        <f t="shared" si="38"/>
        <v>005</v>
      </c>
      <c r="F893" t="s">
        <v>962</v>
      </c>
      <c r="G893" t="str">
        <f>"0060"</f>
        <v>0060</v>
      </c>
      <c r="H893" t="str">
        <f>"0000"</f>
        <v>0000</v>
      </c>
      <c r="I893" t="s">
        <v>69</v>
      </c>
      <c r="J893">
        <v>0</v>
      </c>
      <c r="K893">
        <v>1</v>
      </c>
      <c r="L893">
        <v>2</v>
      </c>
      <c r="M893">
        <v>273</v>
      </c>
      <c r="N893">
        <v>409</v>
      </c>
      <c r="O893">
        <v>4</v>
      </c>
      <c r="P893">
        <v>409</v>
      </c>
      <c r="Q893">
        <v>35</v>
      </c>
      <c r="R893">
        <v>29</v>
      </c>
      <c r="S893">
        <v>17</v>
      </c>
      <c r="T893">
        <v>38</v>
      </c>
      <c r="U893">
        <v>16</v>
      </c>
      <c r="V893">
        <v>18</v>
      </c>
      <c r="W893">
        <v>20</v>
      </c>
      <c r="X893">
        <v>132</v>
      </c>
      <c r="Y893">
        <v>63</v>
      </c>
      <c r="Z893">
        <v>1</v>
      </c>
      <c r="AA893">
        <v>17</v>
      </c>
      <c r="AB893">
        <v>7</v>
      </c>
      <c r="AD893">
        <v>2</v>
      </c>
      <c r="AE893">
        <v>0</v>
      </c>
      <c r="AF893">
        <v>0</v>
      </c>
      <c r="AG893">
        <v>0</v>
      </c>
      <c r="AI893">
        <v>0</v>
      </c>
      <c r="AJ893">
        <v>14</v>
      </c>
      <c r="AK893">
        <v>409</v>
      </c>
      <c r="AL893">
        <v>409</v>
      </c>
      <c r="AM893">
        <v>638</v>
      </c>
      <c r="AN893">
        <v>44</v>
      </c>
      <c r="AP893">
        <v>1</v>
      </c>
      <c r="AR893" t="s">
        <v>978</v>
      </c>
      <c r="AS893" s="1">
        <v>44353.905532407407</v>
      </c>
      <c r="AT893" s="1">
        <v>44353.90761574074</v>
      </c>
      <c r="AU893" s="1">
        <v>44353.90829861111</v>
      </c>
      <c r="AV893" t="s">
        <v>269</v>
      </c>
      <c r="AW893" t="s">
        <v>270</v>
      </c>
      <c r="AX893" t="s">
        <v>73</v>
      </c>
    </row>
    <row r="894" spans="1:50" x14ac:dyDescent="0.3">
      <c r="A894" t="str">
        <f>"200060C0100"</f>
        <v>200060C0100</v>
      </c>
      <c r="B894" t="str">
        <f>"200060C01002"</f>
        <v>200060C01002</v>
      </c>
      <c r="C894" t="str">
        <f t="shared" si="37"/>
        <v>20</v>
      </c>
      <c r="D894" t="s">
        <v>67</v>
      </c>
      <c r="E894" t="str">
        <f t="shared" si="38"/>
        <v>005</v>
      </c>
      <c r="F894" t="s">
        <v>962</v>
      </c>
      <c r="G894" t="str">
        <f>"0060"</f>
        <v>0060</v>
      </c>
      <c r="H894" t="str">
        <f>"0001"</f>
        <v>0001</v>
      </c>
      <c r="I894" t="s">
        <v>75</v>
      </c>
      <c r="J894">
        <v>0</v>
      </c>
      <c r="K894">
        <v>1</v>
      </c>
      <c r="L894">
        <v>2</v>
      </c>
      <c r="M894">
        <v>294</v>
      </c>
      <c r="N894">
        <v>388</v>
      </c>
      <c r="O894">
        <v>4</v>
      </c>
      <c r="P894">
        <v>388</v>
      </c>
      <c r="Q894">
        <v>40</v>
      </c>
      <c r="R894">
        <v>19</v>
      </c>
      <c r="S894">
        <v>14</v>
      </c>
      <c r="T894">
        <v>19</v>
      </c>
      <c r="U894">
        <v>29</v>
      </c>
      <c r="V894">
        <v>15</v>
      </c>
      <c r="W894">
        <v>45</v>
      </c>
      <c r="X894">
        <v>116</v>
      </c>
      <c r="Y894">
        <v>44</v>
      </c>
      <c r="Z894">
        <v>5</v>
      </c>
      <c r="AA894">
        <v>12</v>
      </c>
      <c r="AB894">
        <v>13</v>
      </c>
      <c r="AD894">
        <v>2</v>
      </c>
      <c r="AE894">
        <v>0</v>
      </c>
      <c r="AF894">
        <v>0</v>
      </c>
      <c r="AG894">
        <v>0</v>
      </c>
      <c r="AI894">
        <v>0</v>
      </c>
      <c r="AJ894">
        <v>15</v>
      </c>
      <c r="AK894">
        <v>388</v>
      </c>
      <c r="AL894">
        <v>388</v>
      </c>
      <c r="AM894">
        <v>638</v>
      </c>
      <c r="AN894">
        <v>44</v>
      </c>
      <c r="AP894">
        <v>1</v>
      </c>
      <c r="AR894" t="s">
        <v>979</v>
      </c>
      <c r="AS894" s="1">
        <v>44353.928576388891</v>
      </c>
      <c r="AT894" s="1">
        <v>44353.930393518516</v>
      </c>
      <c r="AU894" s="1">
        <v>44353.931967592594</v>
      </c>
      <c r="AV894" t="s">
        <v>269</v>
      </c>
      <c r="AW894" t="s">
        <v>270</v>
      </c>
      <c r="AX894" t="s">
        <v>73</v>
      </c>
    </row>
    <row r="895" spans="1:50" x14ac:dyDescent="0.3">
      <c r="A895" t="str">
        <f>"200060C0200"</f>
        <v>200060C0200</v>
      </c>
      <c r="B895" t="str">
        <f>"200060C02002"</f>
        <v>200060C02002</v>
      </c>
      <c r="C895" t="str">
        <f t="shared" si="37"/>
        <v>20</v>
      </c>
      <c r="D895" t="s">
        <v>67</v>
      </c>
      <c r="E895" t="str">
        <f t="shared" si="38"/>
        <v>005</v>
      </c>
      <c r="F895" t="s">
        <v>962</v>
      </c>
      <c r="G895" t="str">
        <f>"0060"</f>
        <v>0060</v>
      </c>
      <c r="H895" t="str">
        <f>"0002"</f>
        <v>0002</v>
      </c>
      <c r="I895" t="s">
        <v>75</v>
      </c>
      <c r="J895">
        <v>0</v>
      </c>
      <c r="K895">
        <v>1</v>
      </c>
      <c r="L895">
        <v>2</v>
      </c>
      <c r="M895">
        <v>289</v>
      </c>
      <c r="N895">
        <v>392</v>
      </c>
      <c r="O895">
        <v>2</v>
      </c>
      <c r="P895">
        <v>392</v>
      </c>
      <c r="Q895">
        <v>30</v>
      </c>
      <c r="R895">
        <v>50</v>
      </c>
      <c r="S895">
        <v>18</v>
      </c>
      <c r="T895">
        <v>30</v>
      </c>
      <c r="U895">
        <v>24</v>
      </c>
      <c r="V895">
        <v>16</v>
      </c>
      <c r="W895">
        <v>22</v>
      </c>
      <c r="X895">
        <v>123</v>
      </c>
      <c r="Y895">
        <v>52</v>
      </c>
      <c r="Z895">
        <v>3</v>
      </c>
      <c r="AA895">
        <v>5</v>
      </c>
      <c r="AB895">
        <v>11</v>
      </c>
      <c r="AD895">
        <v>0</v>
      </c>
      <c r="AE895">
        <v>0</v>
      </c>
      <c r="AF895">
        <v>0</v>
      </c>
      <c r="AG895">
        <v>0</v>
      </c>
      <c r="AI895">
        <v>0</v>
      </c>
      <c r="AJ895">
        <v>0</v>
      </c>
      <c r="AK895">
        <v>392</v>
      </c>
      <c r="AL895">
        <v>384</v>
      </c>
      <c r="AM895">
        <v>637</v>
      </c>
      <c r="AN895">
        <v>44</v>
      </c>
      <c r="AP895">
        <v>1</v>
      </c>
      <c r="AR895" t="s">
        <v>980</v>
      </c>
      <c r="AS895" s="1">
        <v>44353.914629629631</v>
      </c>
      <c r="AT895" s="1">
        <v>44353.916863425926</v>
      </c>
      <c r="AU895" s="1">
        <v>44353.917881944442</v>
      </c>
      <c r="AV895" t="s">
        <v>269</v>
      </c>
      <c r="AW895" t="s">
        <v>270</v>
      </c>
      <c r="AX895" t="s">
        <v>73</v>
      </c>
    </row>
    <row r="896" spans="1:50" x14ac:dyDescent="0.3">
      <c r="A896" t="str">
        <f>"200060C0300"</f>
        <v>200060C0300</v>
      </c>
      <c r="B896" t="str">
        <f>"200060C03002"</f>
        <v>200060C03002</v>
      </c>
      <c r="C896" t="str">
        <f t="shared" si="37"/>
        <v>20</v>
      </c>
      <c r="D896" t="s">
        <v>67</v>
      </c>
      <c r="E896" t="str">
        <f t="shared" si="38"/>
        <v>005</v>
      </c>
      <c r="F896" t="s">
        <v>962</v>
      </c>
      <c r="G896" t="str">
        <f>"0060"</f>
        <v>0060</v>
      </c>
      <c r="H896" t="str">
        <f>"0003"</f>
        <v>0003</v>
      </c>
      <c r="I896" t="s">
        <v>75</v>
      </c>
      <c r="J896">
        <v>0</v>
      </c>
      <c r="K896">
        <v>1</v>
      </c>
      <c r="L896">
        <v>2</v>
      </c>
      <c r="M896">
        <v>268</v>
      </c>
      <c r="N896">
        <v>413</v>
      </c>
      <c r="O896">
        <v>5</v>
      </c>
      <c r="P896">
        <v>413</v>
      </c>
      <c r="Q896">
        <v>49</v>
      </c>
      <c r="R896">
        <v>39</v>
      </c>
      <c r="S896">
        <v>26</v>
      </c>
      <c r="T896">
        <v>31</v>
      </c>
      <c r="U896">
        <v>29</v>
      </c>
      <c r="V896">
        <v>17</v>
      </c>
      <c r="W896">
        <v>27</v>
      </c>
      <c r="X896">
        <v>94</v>
      </c>
      <c r="Y896">
        <v>54</v>
      </c>
      <c r="Z896">
        <v>5</v>
      </c>
      <c r="AA896">
        <v>26</v>
      </c>
      <c r="AB896">
        <v>2</v>
      </c>
      <c r="AD896" t="s">
        <v>77</v>
      </c>
      <c r="AE896" t="s">
        <v>77</v>
      </c>
      <c r="AF896" t="s">
        <v>77</v>
      </c>
      <c r="AG896" t="s">
        <v>77</v>
      </c>
      <c r="AI896" t="s">
        <v>77</v>
      </c>
      <c r="AJ896">
        <v>14</v>
      </c>
      <c r="AK896">
        <v>413</v>
      </c>
      <c r="AL896">
        <v>413</v>
      </c>
      <c r="AM896">
        <v>637</v>
      </c>
      <c r="AN896">
        <v>44</v>
      </c>
      <c r="AO896" t="s">
        <v>78</v>
      </c>
      <c r="AP896">
        <v>1</v>
      </c>
      <c r="AR896" t="s">
        <v>981</v>
      </c>
      <c r="AS896" s="1">
        <v>44353.886643518519</v>
      </c>
      <c r="AT896" s="1">
        <v>44353.889062499999</v>
      </c>
      <c r="AU896" s="1">
        <v>44353.890451388892</v>
      </c>
      <c r="AV896" t="s">
        <v>269</v>
      </c>
      <c r="AW896" t="s">
        <v>270</v>
      </c>
      <c r="AX896" t="s">
        <v>73</v>
      </c>
    </row>
    <row r="897" spans="1:50" x14ac:dyDescent="0.3">
      <c r="A897" t="str">
        <f>"200060C0400"</f>
        <v>200060C0400</v>
      </c>
      <c r="B897" t="str">
        <f>"200060C04002"</f>
        <v>200060C04002</v>
      </c>
      <c r="C897" t="str">
        <f t="shared" si="37"/>
        <v>20</v>
      </c>
      <c r="D897" t="s">
        <v>67</v>
      </c>
      <c r="E897" t="str">
        <f t="shared" si="38"/>
        <v>005</v>
      </c>
      <c r="F897" t="s">
        <v>962</v>
      </c>
      <c r="G897" t="str">
        <f>"0060"</f>
        <v>0060</v>
      </c>
      <c r="H897" t="str">
        <f>"0004"</f>
        <v>0004</v>
      </c>
      <c r="I897" t="s">
        <v>75</v>
      </c>
      <c r="J897">
        <v>0</v>
      </c>
      <c r="K897">
        <v>1</v>
      </c>
      <c r="L897">
        <v>2</v>
      </c>
      <c r="M897">
        <v>291</v>
      </c>
      <c r="N897">
        <v>390</v>
      </c>
      <c r="O897">
        <v>2</v>
      </c>
      <c r="P897">
        <v>390</v>
      </c>
      <c r="Q897">
        <v>32</v>
      </c>
      <c r="R897">
        <v>33</v>
      </c>
      <c r="S897">
        <v>22</v>
      </c>
      <c r="T897">
        <v>25</v>
      </c>
      <c r="U897">
        <v>25</v>
      </c>
      <c r="V897">
        <v>13</v>
      </c>
      <c r="W897">
        <v>25</v>
      </c>
      <c r="X897">
        <v>123</v>
      </c>
      <c r="Y897">
        <v>68</v>
      </c>
      <c r="Z897">
        <v>2</v>
      </c>
      <c r="AA897">
        <v>10</v>
      </c>
      <c r="AB897">
        <v>6</v>
      </c>
      <c r="AD897">
        <v>0</v>
      </c>
      <c r="AE897">
        <v>0</v>
      </c>
      <c r="AF897">
        <v>0</v>
      </c>
      <c r="AG897">
        <v>0</v>
      </c>
      <c r="AI897">
        <v>0</v>
      </c>
      <c r="AJ897">
        <v>6</v>
      </c>
      <c r="AK897">
        <v>390</v>
      </c>
      <c r="AL897">
        <v>390</v>
      </c>
      <c r="AM897">
        <v>637</v>
      </c>
      <c r="AN897">
        <v>44</v>
      </c>
      <c r="AP897">
        <v>1</v>
      </c>
      <c r="AR897" t="s">
        <v>982</v>
      </c>
      <c r="AS897" s="1">
        <v>44353.894942129627</v>
      </c>
      <c r="AT897" s="1">
        <v>44353.896932870368</v>
      </c>
      <c r="AU897" s="1">
        <v>44353.897928240738</v>
      </c>
      <c r="AV897" t="s">
        <v>269</v>
      </c>
      <c r="AW897" t="s">
        <v>270</v>
      </c>
      <c r="AX897" t="s">
        <v>73</v>
      </c>
    </row>
    <row r="898" spans="1:50" x14ac:dyDescent="0.3">
      <c r="A898" t="str">
        <f>"200061B0000"</f>
        <v>200061B0000</v>
      </c>
      <c r="B898" t="str">
        <f>"200061B00002"</f>
        <v>200061B00002</v>
      </c>
      <c r="C898" t="str">
        <f t="shared" si="37"/>
        <v>20</v>
      </c>
      <c r="D898" t="s">
        <v>67</v>
      </c>
      <c r="E898" t="str">
        <f t="shared" si="38"/>
        <v>005</v>
      </c>
      <c r="F898" t="s">
        <v>962</v>
      </c>
      <c r="G898" t="str">
        <f>"0061"</f>
        <v>0061</v>
      </c>
      <c r="H898" t="str">
        <f>"0000"</f>
        <v>0000</v>
      </c>
      <c r="I898" t="s">
        <v>69</v>
      </c>
      <c r="J898">
        <v>0</v>
      </c>
      <c r="K898">
        <v>1</v>
      </c>
      <c r="L898">
        <v>2</v>
      </c>
      <c r="M898">
        <v>97</v>
      </c>
      <c r="N898">
        <v>101</v>
      </c>
      <c r="O898">
        <v>8</v>
      </c>
      <c r="P898">
        <v>101</v>
      </c>
      <c r="Q898">
        <v>6</v>
      </c>
      <c r="R898">
        <v>12</v>
      </c>
      <c r="S898">
        <v>10</v>
      </c>
      <c r="T898">
        <v>2</v>
      </c>
      <c r="U898">
        <v>6</v>
      </c>
      <c r="V898">
        <v>3</v>
      </c>
      <c r="W898">
        <v>5</v>
      </c>
      <c r="X898">
        <v>45</v>
      </c>
      <c r="Y898">
        <v>0</v>
      </c>
      <c r="Z898">
        <v>3</v>
      </c>
      <c r="AA898">
        <v>1</v>
      </c>
      <c r="AB898">
        <v>2</v>
      </c>
      <c r="AD898">
        <v>1</v>
      </c>
      <c r="AE898">
        <v>1</v>
      </c>
      <c r="AF898">
        <v>0</v>
      </c>
      <c r="AG898">
        <v>0</v>
      </c>
      <c r="AI898">
        <v>0</v>
      </c>
      <c r="AJ898">
        <v>4</v>
      </c>
      <c r="AK898">
        <v>101</v>
      </c>
      <c r="AL898">
        <v>101</v>
      </c>
      <c r="AM898">
        <v>154</v>
      </c>
      <c r="AN898">
        <v>44</v>
      </c>
      <c r="AP898">
        <v>1</v>
      </c>
      <c r="AR898" t="s">
        <v>983</v>
      </c>
      <c r="AS898" s="1">
        <v>44354.201388888891</v>
      </c>
      <c r="AT898" s="1">
        <v>44354.204375000001</v>
      </c>
      <c r="AU898" s="1">
        <v>44354.204918981479</v>
      </c>
      <c r="AV898" t="s">
        <v>71</v>
      </c>
      <c r="AW898" t="s">
        <v>72</v>
      </c>
      <c r="AX898" t="s">
        <v>73</v>
      </c>
    </row>
    <row r="899" spans="1:50" x14ac:dyDescent="0.3">
      <c r="A899" t="str">
        <f>"200061E0100"</f>
        <v>200061E0100</v>
      </c>
      <c r="B899" t="str">
        <f>"200061E01002"</f>
        <v>200061E01002</v>
      </c>
      <c r="C899" t="str">
        <f t="shared" si="37"/>
        <v>20</v>
      </c>
      <c r="D899" t="s">
        <v>67</v>
      </c>
      <c r="E899" t="str">
        <f t="shared" si="38"/>
        <v>005</v>
      </c>
      <c r="F899" t="s">
        <v>962</v>
      </c>
      <c r="G899" t="str">
        <f>"0061"</f>
        <v>0061</v>
      </c>
      <c r="H899" t="str">
        <f>"0001"</f>
        <v>0001</v>
      </c>
      <c r="I899" t="s">
        <v>109</v>
      </c>
      <c r="J899">
        <v>0</v>
      </c>
      <c r="K899">
        <v>1</v>
      </c>
      <c r="L899">
        <v>2</v>
      </c>
      <c r="M899">
        <v>173</v>
      </c>
      <c r="N899">
        <v>179</v>
      </c>
      <c r="O899">
        <v>6</v>
      </c>
      <c r="P899">
        <v>179</v>
      </c>
      <c r="Q899">
        <v>7</v>
      </c>
      <c r="R899">
        <v>20</v>
      </c>
      <c r="S899">
        <v>5</v>
      </c>
      <c r="T899">
        <v>10</v>
      </c>
      <c r="U899">
        <v>16</v>
      </c>
      <c r="V899">
        <v>12</v>
      </c>
      <c r="W899">
        <v>20</v>
      </c>
      <c r="X899">
        <v>62</v>
      </c>
      <c r="Y899">
        <v>19</v>
      </c>
      <c r="Z899">
        <v>2</v>
      </c>
      <c r="AA899">
        <v>2</v>
      </c>
      <c r="AB899">
        <v>0</v>
      </c>
      <c r="AD899">
        <v>0</v>
      </c>
      <c r="AE899">
        <v>1</v>
      </c>
      <c r="AF899">
        <v>0</v>
      </c>
      <c r="AG899">
        <v>0</v>
      </c>
      <c r="AI899">
        <v>0</v>
      </c>
      <c r="AJ899">
        <v>3</v>
      </c>
      <c r="AK899">
        <v>179</v>
      </c>
      <c r="AL899">
        <v>179</v>
      </c>
      <c r="AM899">
        <v>308</v>
      </c>
      <c r="AN899">
        <v>44</v>
      </c>
      <c r="AP899">
        <v>1</v>
      </c>
      <c r="AR899" t="s">
        <v>984</v>
      </c>
      <c r="AS899" s="1">
        <v>44353.820497685185</v>
      </c>
      <c r="AT899" s="1">
        <v>44353.915439814817</v>
      </c>
      <c r="AU899" s="1">
        <v>44353.915844907409</v>
      </c>
      <c r="AV899" t="s">
        <v>269</v>
      </c>
      <c r="AW899" t="s">
        <v>270</v>
      </c>
      <c r="AX899" t="s">
        <v>73</v>
      </c>
    </row>
    <row r="900" spans="1:50" x14ac:dyDescent="0.3">
      <c r="A900" t="str">
        <f>"200061E0200"</f>
        <v>200061E0200</v>
      </c>
      <c r="B900" t="str">
        <f>"200061E02002"</f>
        <v>200061E02002</v>
      </c>
      <c r="C900" t="str">
        <f t="shared" si="37"/>
        <v>20</v>
      </c>
      <c r="D900" t="s">
        <v>67</v>
      </c>
      <c r="E900" t="str">
        <f t="shared" si="38"/>
        <v>005</v>
      </c>
      <c r="F900" t="s">
        <v>962</v>
      </c>
      <c r="G900" t="str">
        <f>"0061"</f>
        <v>0061</v>
      </c>
      <c r="H900" t="str">
        <f>"0002"</f>
        <v>0002</v>
      </c>
      <c r="I900" t="s">
        <v>109</v>
      </c>
      <c r="J900">
        <v>0</v>
      </c>
      <c r="K900">
        <v>1</v>
      </c>
      <c r="L900">
        <v>2</v>
      </c>
      <c r="M900">
        <v>141</v>
      </c>
      <c r="N900">
        <v>167</v>
      </c>
      <c r="O900">
        <v>5</v>
      </c>
      <c r="P900">
        <v>169</v>
      </c>
      <c r="Q900">
        <v>8</v>
      </c>
      <c r="R900">
        <v>16</v>
      </c>
      <c r="S900">
        <v>17</v>
      </c>
      <c r="T900">
        <v>10</v>
      </c>
      <c r="U900">
        <v>16</v>
      </c>
      <c r="V900">
        <v>5</v>
      </c>
      <c r="W900">
        <v>19</v>
      </c>
      <c r="X900">
        <v>60</v>
      </c>
      <c r="Y900">
        <v>1</v>
      </c>
      <c r="Z900">
        <v>3</v>
      </c>
      <c r="AA900">
        <v>3</v>
      </c>
      <c r="AB900">
        <v>5</v>
      </c>
      <c r="AD900">
        <v>0</v>
      </c>
      <c r="AE900">
        <v>0</v>
      </c>
      <c r="AF900">
        <v>0</v>
      </c>
      <c r="AG900">
        <v>0</v>
      </c>
      <c r="AI900">
        <v>0</v>
      </c>
      <c r="AJ900">
        <v>6</v>
      </c>
      <c r="AK900">
        <v>169</v>
      </c>
      <c r="AL900">
        <v>169</v>
      </c>
      <c r="AM900">
        <v>266</v>
      </c>
      <c r="AN900">
        <v>44</v>
      </c>
      <c r="AP900">
        <v>1</v>
      </c>
      <c r="AR900" t="s">
        <v>985</v>
      </c>
      <c r="AS900" s="1">
        <v>44354.20208333333</v>
      </c>
      <c r="AT900" s="1">
        <v>44354.206180555557</v>
      </c>
      <c r="AU900" s="1">
        <v>44354.206666666665</v>
      </c>
      <c r="AV900" t="s">
        <v>71</v>
      </c>
      <c r="AW900" t="s">
        <v>72</v>
      </c>
      <c r="AX900" t="s">
        <v>73</v>
      </c>
    </row>
    <row r="901" spans="1:50" x14ac:dyDescent="0.3">
      <c r="A901" t="str">
        <f>"200062B0000"</f>
        <v>200062B0000</v>
      </c>
      <c r="B901" t="str">
        <f>"200062B00002"</f>
        <v>200062B00002</v>
      </c>
      <c r="C901" t="str">
        <f t="shared" si="37"/>
        <v>20</v>
      </c>
      <c r="D901" t="s">
        <v>67</v>
      </c>
      <c r="E901" t="str">
        <f t="shared" si="38"/>
        <v>005</v>
      </c>
      <c r="F901" t="s">
        <v>962</v>
      </c>
      <c r="G901" t="str">
        <f>"0062"</f>
        <v>0062</v>
      </c>
      <c r="H901" t="str">
        <f>"0000"</f>
        <v>0000</v>
      </c>
      <c r="I901" t="s">
        <v>69</v>
      </c>
      <c r="J901">
        <v>0</v>
      </c>
      <c r="K901">
        <v>1</v>
      </c>
      <c r="L901">
        <v>2</v>
      </c>
      <c r="M901">
        <v>109</v>
      </c>
      <c r="N901">
        <v>122</v>
      </c>
      <c r="O901">
        <v>4</v>
      </c>
      <c r="P901">
        <v>122</v>
      </c>
      <c r="Q901">
        <v>5</v>
      </c>
      <c r="R901">
        <v>5</v>
      </c>
      <c r="S901">
        <v>1</v>
      </c>
      <c r="T901">
        <v>2</v>
      </c>
      <c r="U901">
        <v>10</v>
      </c>
      <c r="V901">
        <v>2</v>
      </c>
      <c r="W901">
        <v>11</v>
      </c>
      <c r="X901">
        <v>79</v>
      </c>
      <c r="Y901">
        <v>2</v>
      </c>
      <c r="Z901">
        <v>0</v>
      </c>
      <c r="AA901">
        <v>1</v>
      </c>
      <c r="AB901">
        <v>0</v>
      </c>
      <c r="AD901">
        <v>0</v>
      </c>
      <c r="AE901">
        <v>0</v>
      </c>
      <c r="AF901">
        <v>0</v>
      </c>
      <c r="AG901">
        <v>0</v>
      </c>
      <c r="AI901">
        <v>0</v>
      </c>
      <c r="AJ901">
        <v>4</v>
      </c>
      <c r="AK901">
        <v>122</v>
      </c>
      <c r="AL901">
        <v>122</v>
      </c>
      <c r="AM901">
        <v>187</v>
      </c>
      <c r="AN901">
        <v>44</v>
      </c>
      <c r="AP901">
        <v>1</v>
      </c>
      <c r="AR901" t="s">
        <v>986</v>
      </c>
      <c r="AS901" s="1">
        <v>44353.94121527778</v>
      </c>
      <c r="AT901" s="1">
        <v>44353.952569444446</v>
      </c>
      <c r="AU901" s="1">
        <v>44353.953067129631</v>
      </c>
      <c r="AV901" t="s">
        <v>269</v>
      </c>
      <c r="AW901" t="s">
        <v>270</v>
      </c>
      <c r="AX901" t="s">
        <v>73</v>
      </c>
    </row>
    <row r="902" spans="1:50" x14ac:dyDescent="0.3">
      <c r="A902" t="str">
        <f>"200062E0100"</f>
        <v>200062E0100</v>
      </c>
      <c r="B902" t="str">
        <f>"200062E01002"</f>
        <v>200062E01002</v>
      </c>
      <c r="C902" t="str">
        <f t="shared" si="37"/>
        <v>20</v>
      </c>
      <c r="D902" t="s">
        <v>67</v>
      </c>
      <c r="E902" t="str">
        <f t="shared" si="38"/>
        <v>005</v>
      </c>
      <c r="F902" t="s">
        <v>962</v>
      </c>
      <c r="G902" t="str">
        <f>"0062"</f>
        <v>0062</v>
      </c>
      <c r="H902" t="str">
        <f>"0001"</f>
        <v>0001</v>
      </c>
      <c r="I902" t="s">
        <v>109</v>
      </c>
      <c r="J902">
        <v>0</v>
      </c>
      <c r="K902">
        <v>1</v>
      </c>
      <c r="L902">
        <v>2</v>
      </c>
      <c r="M902">
        <v>123</v>
      </c>
      <c r="N902">
        <v>271</v>
      </c>
      <c r="O902">
        <v>3</v>
      </c>
      <c r="P902">
        <v>271</v>
      </c>
      <c r="Q902">
        <v>20</v>
      </c>
      <c r="R902">
        <v>35</v>
      </c>
      <c r="S902">
        <v>5</v>
      </c>
      <c r="T902">
        <v>20</v>
      </c>
      <c r="U902">
        <v>73</v>
      </c>
      <c r="V902">
        <v>7</v>
      </c>
      <c r="W902">
        <v>13</v>
      </c>
      <c r="X902">
        <v>41</v>
      </c>
      <c r="Y902">
        <v>15</v>
      </c>
      <c r="Z902">
        <v>1</v>
      </c>
      <c r="AA902">
        <v>7</v>
      </c>
      <c r="AB902">
        <v>22</v>
      </c>
      <c r="AD902">
        <v>1</v>
      </c>
      <c r="AE902">
        <v>0</v>
      </c>
      <c r="AF902">
        <v>0</v>
      </c>
      <c r="AG902">
        <v>0</v>
      </c>
      <c r="AI902">
        <v>0</v>
      </c>
      <c r="AJ902">
        <v>11</v>
      </c>
      <c r="AK902">
        <v>271</v>
      </c>
      <c r="AL902">
        <v>271</v>
      </c>
      <c r="AM902">
        <v>350</v>
      </c>
      <c r="AN902">
        <v>44</v>
      </c>
      <c r="AP902">
        <v>1</v>
      </c>
      <c r="AR902" t="s">
        <v>987</v>
      </c>
      <c r="AS902" s="1">
        <v>44353.887094907404</v>
      </c>
      <c r="AT902" s="1">
        <v>44353.88989583333</v>
      </c>
      <c r="AU902" s="1">
        <v>44353.890543981484</v>
      </c>
      <c r="AV902" t="s">
        <v>269</v>
      </c>
      <c r="AW902" t="s">
        <v>270</v>
      </c>
      <c r="AX902" t="s">
        <v>73</v>
      </c>
    </row>
    <row r="903" spans="1:50" x14ac:dyDescent="0.3">
      <c r="A903" t="str">
        <f>"200063B0000"</f>
        <v>200063B0000</v>
      </c>
      <c r="B903" t="str">
        <f>"200063B00002"</f>
        <v>200063B00002</v>
      </c>
      <c r="C903" t="str">
        <f t="shared" ref="C903:C966" si="39">"20"</f>
        <v>20</v>
      </c>
      <c r="D903" t="s">
        <v>67</v>
      </c>
      <c r="E903" t="str">
        <f t="shared" si="38"/>
        <v>005</v>
      </c>
      <c r="F903" t="s">
        <v>962</v>
      </c>
      <c r="G903" t="str">
        <f>"0063"</f>
        <v>0063</v>
      </c>
      <c r="H903" t="str">
        <f>"0000"</f>
        <v>0000</v>
      </c>
      <c r="I903" t="s">
        <v>69</v>
      </c>
      <c r="J903">
        <v>0</v>
      </c>
      <c r="K903">
        <v>1</v>
      </c>
      <c r="L903">
        <v>2</v>
      </c>
      <c r="M903">
        <v>230</v>
      </c>
      <c r="N903">
        <v>300</v>
      </c>
      <c r="O903">
        <v>8</v>
      </c>
      <c r="P903">
        <v>300</v>
      </c>
      <c r="Q903">
        <v>27</v>
      </c>
      <c r="R903">
        <v>30</v>
      </c>
      <c r="S903">
        <v>6</v>
      </c>
      <c r="T903">
        <v>19</v>
      </c>
      <c r="U903">
        <v>15</v>
      </c>
      <c r="V903">
        <v>6</v>
      </c>
      <c r="W903">
        <v>46</v>
      </c>
      <c r="X903">
        <v>99</v>
      </c>
      <c r="Y903">
        <v>14</v>
      </c>
      <c r="Z903">
        <v>2</v>
      </c>
      <c r="AA903">
        <v>17</v>
      </c>
      <c r="AB903">
        <v>9</v>
      </c>
      <c r="AD903">
        <v>0</v>
      </c>
      <c r="AE903">
        <v>0</v>
      </c>
      <c r="AF903">
        <v>0</v>
      </c>
      <c r="AG903">
        <v>0</v>
      </c>
      <c r="AI903">
        <v>0</v>
      </c>
      <c r="AJ903">
        <v>10</v>
      </c>
      <c r="AK903">
        <v>300</v>
      </c>
      <c r="AL903">
        <v>300</v>
      </c>
      <c r="AM903">
        <v>486</v>
      </c>
      <c r="AN903">
        <v>44</v>
      </c>
      <c r="AP903">
        <v>1</v>
      </c>
      <c r="AR903" t="s">
        <v>988</v>
      </c>
      <c r="AS903" s="1">
        <v>44353.986111111109</v>
      </c>
      <c r="AT903" s="1">
        <v>44353.994976851849</v>
      </c>
      <c r="AU903" s="1">
        <v>44353.995462962965</v>
      </c>
      <c r="AV903" t="s">
        <v>71</v>
      </c>
      <c r="AW903" t="s">
        <v>72</v>
      </c>
      <c r="AX903" t="s">
        <v>73</v>
      </c>
    </row>
    <row r="904" spans="1:50" x14ac:dyDescent="0.3">
      <c r="A904" t="str">
        <f>"200064B0000"</f>
        <v>200064B0000</v>
      </c>
      <c r="B904" t="str">
        <f>"200064B00002"</f>
        <v>200064B00002</v>
      </c>
      <c r="C904" t="str">
        <f t="shared" si="39"/>
        <v>20</v>
      </c>
      <c r="D904" t="s">
        <v>67</v>
      </c>
      <c r="E904" t="str">
        <f t="shared" si="38"/>
        <v>005</v>
      </c>
      <c r="F904" t="s">
        <v>962</v>
      </c>
      <c r="G904" t="str">
        <f>"0064"</f>
        <v>0064</v>
      </c>
      <c r="H904" t="str">
        <f>"0000"</f>
        <v>0000</v>
      </c>
      <c r="I904" t="s">
        <v>69</v>
      </c>
      <c r="J904">
        <v>0</v>
      </c>
      <c r="K904">
        <v>1</v>
      </c>
      <c r="L904">
        <v>2</v>
      </c>
      <c r="M904">
        <v>190</v>
      </c>
      <c r="N904">
        <v>292</v>
      </c>
      <c r="O904">
        <v>1</v>
      </c>
      <c r="P904" t="s">
        <v>80</v>
      </c>
      <c r="Q904">
        <v>8</v>
      </c>
      <c r="R904">
        <v>35</v>
      </c>
      <c r="S904">
        <v>7</v>
      </c>
      <c r="T904">
        <v>57</v>
      </c>
      <c r="U904">
        <v>23</v>
      </c>
      <c r="V904">
        <v>3</v>
      </c>
      <c r="W904">
        <v>72</v>
      </c>
      <c r="X904">
        <v>52</v>
      </c>
      <c r="Y904">
        <v>14</v>
      </c>
      <c r="Z904">
        <v>1</v>
      </c>
      <c r="AA904">
        <v>0</v>
      </c>
      <c r="AB904">
        <v>13</v>
      </c>
      <c r="AD904">
        <v>0</v>
      </c>
      <c r="AE904">
        <v>0</v>
      </c>
      <c r="AF904">
        <v>0</v>
      </c>
      <c r="AG904">
        <v>0</v>
      </c>
      <c r="AI904">
        <v>0</v>
      </c>
      <c r="AJ904">
        <v>7</v>
      </c>
      <c r="AK904">
        <v>292</v>
      </c>
      <c r="AL904">
        <v>292</v>
      </c>
      <c r="AM904">
        <v>438</v>
      </c>
      <c r="AN904">
        <v>44</v>
      </c>
      <c r="AP904">
        <v>1</v>
      </c>
      <c r="AR904" t="s">
        <v>989</v>
      </c>
      <c r="AS904" s="1">
        <v>44354.149305555555</v>
      </c>
      <c r="AT904" s="1">
        <v>44354.183749999997</v>
      </c>
      <c r="AU904" s="1">
        <v>44354.185694444444</v>
      </c>
      <c r="AV904" t="s">
        <v>71</v>
      </c>
      <c r="AW904" t="s">
        <v>72</v>
      </c>
      <c r="AX904" t="s">
        <v>73</v>
      </c>
    </row>
    <row r="905" spans="1:50" x14ac:dyDescent="0.3">
      <c r="A905" t="str">
        <f>"200125B0000"</f>
        <v>200125B0000</v>
      </c>
      <c r="B905" t="str">
        <f>"200125B00002"</f>
        <v>200125B00002</v>
      </c>
      <c r="C905" t="str">
        <f t="shared" si="39"/>
        <v>20</v>
      </c>
      <c r="D905" t="s">
        <v>67</v>
      </c>
      <c r="E905" t="str">
        <f t="shared" si="38"/>
        <v>005</v>
      </c>
      <c r="F905" t="s">
        <v>962</v>
      </c>
      <c r="G905" t="str">
        <f>"0125"</f>
        <v>0125</v>
      </c>
      <c r="H905" t="str">
        <f>"0000"</f>
        <v>0000</v>
      </c>
      <c r="I905" t="s">
        <v>69</v>
      </c>
      <c r="J905">
        <v>0</v>
      </c>
      <c r="K905">
        <v>1</v>
      </c>
      <c r="L905">
        <v>2</v>
      </c>
      <c r="M905">
        <v>167</v>
      </c>
      <c r="N905">
        <v>116</v>
      </c>
      <c r="O905">
        <v>2</v>
      </c>
      <c r="P905">
        <v>116</v>
      </c>
      <c r="Q905">
        <v>2</v>
      </c>
      <c r="R905">
        <v>15</v>
      </c>
      <c r="S905">
        <v>3</v>
      </c>
      <c r="T905">
        <v>2</v>
      </c>
      <c r="U905">
        <v>4</v>
      </c>
      <c r="V905">
        <v>3</v>
      </c>
      <c r="W905">
        <v>0</v>
      </c>
      <c r="X905">
        <v>75</v>
      </c>
      <c r="Y905">
        <v>7</v>
      </c>
      <c r="Z905">
        <v>0</v>
      </c>
      <c r="AA905">
        <v>0</v>
      </c>
      <c r="AB905">
        <v>3</v>
      </c>
      <c r="AD905">
        <v>0</v>
      </c>
      <c r="AE905">
        <v>0</v>
      </c>
      <c r="AF905">
        <v>0</v>
      </c>
      <c r="AG905">
        <v>0</v>
      </c>
      <c r="AI905">
        <v>0</v>
      </c>
      <c r="AJ905">
        <v>2</v>
      </c>
      <c r="AK905">
        <v>116</v>
      </c>
      <c r="AL905">
        <v>116</v>
      </c>
      <c r="AM905">
        <v>239</v>
      </c>
      <c r="AN905">
        <v>44</v>
      </c>
      <c r="AP905">
        <v>1</v>
      </c>
      <c r="AR905" t="s">
        <v>990</v>
      </c>
      <c r="AS905" s="1">
        <v>44354.025694444441</v>
      </c>
      <c r="AT905" s="1">
        <v>44354.033703703702</v>
      </c>
      <c r="AU905" s="1">
        <v>44354.034687500003</v>
      </c>
      <c r="AV905" t="s">
        <v>71</v>
      </c>
      <c r="AW905" t="s">
        <v>72</v>
      </c>
      <c r="AX905" t="s">
        <v>73</v>
      </c>
    </row>
    <row r="906" spans="1:50" x14ac:dyDescent="0.3">
      <c r="A906" t="str">
        <f>"200126B0000"</f>
        <v>200126B0000</v>
      </c>
      <c r="B906" t="str">
        <f>"200126B00002"</f>
        <v>200126B00002</v>
      </c>
      <c r="C906" t="str">
        <f t="shared" si="39"/>
        <v>20</v>
      </c>
      <c r="D906" t="s">
        <v>67</v>
      </c>
      <c r="E906" t="str">
        <f t="shared" si="38"/>
        <v>005</v>
      </c>
      <c r="F906" t="s">
        <v>962</v>
      </c>
      <c r="G906" t="str">
        <f>"0126"</f>
        <v>0126</v>
      </c>
      <c r="H906" t="str">
        <f>"0000"</f>
        <v>0000</v>
      </c>
      <c r="I906" t="s">
        <v>69</v>
      </c>
      <c r="J906">
        <v>0</v>
      </c>
      <c r="K906">
        <v>1</v>
      </c>
      <c r="L906">
        <v>2</v>
      </c>
      <c r="M906">
        <v>90</v>
      </c>
      <c r="N906">
        <v>92</v>
      </c>
      <c r="O906">
        <v>2</v>
      </c>
      <c r="P906">
        <v>92</v>
      </c>
      <c r="Q906">
        <v>0</v>
      </c>
      <c r="R906">
        <v>6</v>
      </c>
      <c r="S906">
        <v>6</v>
      </c>
      <c r="T906">
        <v>2</v>
      </c>
      <c r="U906">
        <v>2</v>
      </c>
      <c r="V906">
        <v>36</v>
      </c>
      <c r="W906">
        <v>0</v>
      </c>
      <c r="X906">
        <v>2</v>
      </c>
      <c r="Y906">
        <v>34</v>
      </c>
      <c r="Z906">
        <v>2</v>
      </c>
      <c r="AA906">
        <v>2</v>
      </c>
      <c r="AB906">
        <v>1</v>
      </c>
      <c r="AD906">
        <v>2</v>
      </c>
      <c r="AE906">
        <v>0</v>
      </c>
      <c r="AF906">
        <v>0</v>
      </c>
      <c r="AG906">
        <v>0</v>
      </c>
      <c r="AI906">
        <v>0</v>
      </c>
      <c r="AJ906">
        <v>3</v>
      </c>
      <c r="AK906">
        <v>92</v>
      </c>
      <c r="AL906">
        <v>98</v>
      </c>
      <c r="AM906">
        <v>138</v>
      </c>
      <c r="AN906">
        <v>44</v>
      </c>
      <c r="AP906">
        <v>1</v>
      </c>
      <c r="AR906" t="s">
        <v>991</v>
      </c>
      <c r="AS906" s="1">
        <v>44354.025694444441</v>
      </c>
      <c r="AT906" s="1">
        <v>44354.039467592593</v>
      </c>
      <c r="AU906" s="1">
        <v>44354.05332175926</v>
      </c>
      <c r="AV906" t="s">
        <v>71</v>
      </c>
      <c r="AW906" t="s">
        <v>72</v>
      </c>
      <c r="AX906" t="s">
        <v>73</v>
      </c>
    </row>
    <row r="907" spans="1:50" x14ac:dyDescent="0.3">
      <c r="A907" t="str">
        <f>"200126E0100"</f>
        <v>200126E0100</v>
      </c>
      <c r="B907" t="str">
        <f>"200126E01002"</f>
        <v>200126E01002</v>
      </c>
      <c r="C907" t="str">
        <f t="shared" si="39"/>
        <v>20</v>
      </c>
      <c r="D907" t="s">
        <v>67</v>
      </c>
      <c r="E907" t="str">
        <f t="shared" si="38"/>
        <v>005</v>
      </c>
      <c r="F907" t="s">
        <v>962</v>
      </c>
      <c r="G907" t="str">
        <f>"0126"</f>
        <v>0126</v>
      </c>
      <c r="H907" t="str">
        <f>"0001"</f>
        <v>0001</v>
      </c>
      <c r="I907" t="s">
        <v>109</v>
      </c>
      <c r="J907">
        <v>0</v>
      </c>
      <c r="K907">
        <v>1</v>
      </c>
      <c r="L907">
        <v>2</v>
      </c>
      <c r="M907">
        <v>126</v>
      </c>
      <c r="N907">
        <v>103</v>
      </c>
      <c r="O907">
        <v>1</v>
      </c>
      <c r="P907">
        <v>103</v>
      </c>
      <c r="Q907">
        <v>2</v>
      </c>
      <c r="R907">
        <v>29</v>
      </c>
      <c r="S907">
        <v>4</v>
      </c>
      <c r="T907">
        <v>1</v>
      </c>
      <c r="U907">
        <v>28</v>
      </c>
      <c r="V907">
        <v>0</v>
      </c>
      <c r="W907">
        <v>2</v>
      </c>
      <c r="X907">
        <v>25</v>
      </c>
      <c r="Y907">
        <v>0</v>
      </c>
      <c r="Z907">
        <v>2</v>
      </c>
      <c r="AA907">
        <v>0</v>
      </c>
      <c r="AB907">
        <v>3</v>
      </c>
      <c r="AD907">
        <v>1</v>
      </c>
      <c r="AE907">
        <v>0</v>
      </c>
      <c r="AF907">
        <v>0</v>
      </c>
      <c r="AG907">
        <v>0</v>
      </c>
      <c r="AI907" t="s">
        <v>77</v>
      </c>
      <c r="AJ907">
        <v>6</v>
      </c>
      <c r="AK907">
        <v>103</v>
      </c>
      <c r="AL907">
        <v>103</v>
      </c>
      <c r="AM907">
        <v>184</v>
      </c>
      <c r="AN907">
        <v>44</v>
      </c>
      <c r="AO907" t="s">
        <v>78</v>
      </c>
      <c r="AP907">
        <v>1</v>
      </c>
      <c r="AR907" t="s">
        <v>992</v>
      </c>
      <c r="AS907" s="1">
        <v>44354.024305555555</v>
      </c>
      <c r="AT907" s="1">
        <v>44354.031261574077</v>
      </c>
      <c r="AU907" s="1">
        <v>44354.031840277778</v>
      </c>
      <c r="AV907" t="s">
        <v>71</v>
      </c>
      <c r="AW907" t="s">
        <v>72</v>
      </c>
      <c r="AX907" t="s">
        <v>73</v>
      </c>
    </row>
    <row r="908" spans="1:50" x14ac:dyDescent="0.3">
      <c r="A908" t="str">
        <f>"200369B0000"</f>
        <v>200369B0000</v>
      </c>
      <c r="B908" t="str">
        <f>"200369B00002"</f>
        <v>200369B00002</v>
      </c>
      <c r="C908" t="str">
        <f t="shared" si="39"/>
        <v>20</v>
      </c>
      <c r="D908" t="s">
        <v>67</v>
      </c>
      <c r="E908" t="str">
        <f t="shared" si="38"/>
        <v>005</v>
      </c>
      <c r="F908" t="s">
        <v>962</v>
      </c>
      <c r="G908" t="str">
        <f>"0369"</f>
        <v>0369</v>
      </c>
      <c r="H908" t="str">
        <f>"0000"</f>
        <v>0000</v>
      </c>
      <c r="I908" t="s">
        <v>69</v>
      </c>
      <c r="J908">
        <v>0</v>
      </c>
      <c r="K908">
        <v>1</v>
      </c>
      <c r="L908">
        <v>2</v>
      </c>
      <c r="M908">
        <v>493</v>
      </c>
      <c r="N908">
        <v>245</v>
      </c>
      <c r="O908">
        <v>0</v>
      </c>
      <c r="P908">
        <v>245</v>
      </c>
      <c r="Q908">
        <v>12</v>
      </c>
      <c r="R908">
        <v>34</v>
      </c>
      <c r="S908">
        <v>9</v>
      </c>
      <c r="T908">
        <v>3</v>
      </c>
      <c r="U908">
        <v>11</v>
      </c>
      <c r="V908">
        <v>3</v>
      </c>
      <c r="W908">
        <v>2</v>
      </c>
      <c r="X908">
        <v>128</v>
      </c>
      <c r="Y908">
        <v>22</v>
      </c>
      <c r="Z908">
        <v>3</v>
      </c>
      <c r="AA908">
        <v>1</v>
      </c>
      <c r="AB908">
        <v>2</v>
      </c>
      <c r="AD908">
        <v>2</v>
      </c>
      <c r="AE908">
        <v>1</v>
      </c>
      <c r="AF908">
        <v>0</v>
      </c>
      <c r="AG908">
        <v>0</v>
      </c>
      <c r="AI908">
        <v>0</v>
      </c>
      <c r="AJ908">
        <v>12</v>
      </c>
      <c r="AK908">
        <v>245</v>
      </c>
      <c r="AL908">
        <v>245</v>
      </c>
      <c r="AM908">
        <v>694</v>
      </c>
      <c r="AN908">
        <v>44</v>
      </c>
      <c r="AP908">
        <v>1</v>
      </c>
      <c r="AR908" t="s">
        <v>993</v>
      </c>
      <c r="AS908" s="1">
        <v>44354.013888888891</v>
      </c>
      <c r="AT908" s="1">
        <v>44354.021365740744</v>
      </c>
      <c r="AU908" s="1">
        <v>44354.022361111114</v>
      </c>
      <c r="AV908" t="s">
        <v>71</v>
      </c>
      <c r="AW908" t="s">
        <v>72</v>
      </c>
      <c r="AX908" t="s">
        <v>73</v>
      </c>
    </row>
    <row r="909" spans="1:50" x14ac:dyDescent="0.3">
      <c r="A909" t="str">
        <f>"200369E0100"</f>
        <v>200369E0100</v>
      </c>
      <c r="B909" t="str">
        <f>"200369E01002"</f>
        <v>200369E01002</v>
      </c>
      <c r="C909" t="str">
        <f t="shared" si="39"/>
        <v>20</v>
      </c>
      <c r="D909" t="s">
        <v>67</v>
      </c>
      <c r="E909" t="str">
        <f t="shared" si="38"/>
        <v>005</v>
      </c>
      <c r="F909" t="s">
        <v>962</v>
      </c>
      <c r="G909" t="str">
        <f>"0369"</f>
        <v>0369</v>
      </c>
      <c r="H909" t="str">
        <f>"0001"</f>
        <v>0001</v>
      </c>
      <c r="I909" t="s">
        <v>109</v>
      </c>
      <c r="J909">
        <v>0</v>
      </c>
      <c r="K909">
        <v>1</v>
      </c>
      <c r="L909">
        <v>2</v>
      </c>
      <c r="M909">
        <v>188</v>
      </c>
      <c r="N909">
        <v>116</v>
      </c>
      <c r="O909">
        <v>1</v>
      </c>
      <c r="P909">
        <v>116</v>
      </c>
      <c r="Q909">
        <v>4</v>
      </c>
      <c r="R909">
        <v>10</v>
      </c>
      <c r="S909">
        <v>4</v>
      </c>
      <c r="T909">
        <v>6</v>
      </c>
      <c r="U909">
        <v>18</v>
      </c>
      <c r="V909">
        <v>6</v>
      </c>
      <c r="W909">
        <v>3</v>
      </c>
      <c r="X909">
        <v>48</v>
      </c>
      <c r="Y909">
        <v>1</v>
      </c>
      <c r="Z909">
        <v>3</v>
      </c>
      <c r="AA909">
        <v>2</v>
      </c>
      <c r="AB909">
        <v>0</v>
      </c>
      <c r="AD909">
        <v>0</v>
      </c>
      <c r="AE909">
        <v>0</v>
      </c>
      <c r="AF909">
        <v>0</v>
      </c>
      <c r="AG909">
        <v>0</v>
      </c>
      <c r="AI909">
        <v>0</v>
      </c>
      <c r="AJ909">
        <v>11</v>
      </c>
      <c r="AK909">
        <v>116</v>
      </c>
      <c r="AL909">
        <v>116</v>
      </c>
      <c r="AM909">
        <v>260</v>
      </c>
      <c r="AN909">
        <v>44</v>
      </c>
      <c r="AP909">
        <v>1</v>
      </c>
      <c r="AR909" s="2" t="s">
        <v>994</v>
      </c>
      <c r="AS909" s="1">
        <v>44354.015972222223</v>
      </c>
      <c r="AT909" s="1">
        <v>44354.024131944447</v>
      </c>
      <c r="AU909" s="1">
        <v>44354.025196759256</v>
      </c>
      <c r="AV909" t="s">
        <v>71</v>
      </c>
      <c r="AW909" t="s">
        <v>72</v>
      </c>
      <c r="AX909" t="s">
        <v>73</v>
      </c>
    </row>
    <row r="910" spans="1:50" x14ac:dyDescent="0.3">
      <c r="A910" t="str">
        <f>"200370B0000"</f>
        <v>200370B0000</v>
      </c>
      <c r="B910" t="str">
        <f>"200370B00002"</f>
        <v>200370B00002</v>
      </c>
      <c r="C910" t="str">
        <f t="shared" si="39"/>
        <v>20</v>
      </c>
      <c r="D910" t="s">
        <v>67</v>
      </c>
      <c r="E910" t="str">
        <f t="shared" si="38"/>
        <v>005</v>
      </c>
      <c r="F910" t="s">
        <v>962</v>
      </c>
      <c r="G910" t="str">
        <f>"0370"</f>
        <v>0370</v>
      </c>
      <c r="H910" t="str">
        <f>"0000"</f>
        <v>0000</v>
      </c>
      <c r="I910" t="s">
        <v>69</v>
      </c>
      <c r="J910">
        <v>0</v>
      </c>
      <c r="K910">
        <v>1</v>
      </c>
      <c r="L910">
        <v>2</v>
      </c>
      <c r="M910">
        <v>179</v>
      </c>
      <c r="N910">
        <v>90</v>
      </c>
      <c r="O910">
        <v>8</v>
      </c>
      <c r="P910">
        <v>90</v>
      </c>
      <c r="Q910">
        <v>2</v>
      </c>
      <c r="R910">
        <v>5</v>
      </c>
      <c r="S910">
        <v>2</v>
      </c>
      <c r="T910">
        <v>2</v>
      </c>
      <c r="U910">
        <v>7</v>
      </c>
      <c r="V910">
        <v>2</v>
      </c>
      <c r="W910">
        <v>17</v>
      </c>
      <c r="X910">
        <v>49</v>
      </c>
      <c r="Y910">
        <v>0</v>
      </c>
      <c r="Z910">
        <v>0</v>
      </c>
      <c r="AA910">
        <v>0</v>
      </c>
      <c r="AB910">
        <v>0</v>
      </c>
      <c r="AD910">
        <v>0</v>
      </c>
      <c r="AE910">
        <v>0</v>
      </c>
      <c r="AF910">
        <v>0</v>
      </c>
      <c r="AG910">
        <v>0</v>
      </c>
      <c r="AI910">
        <v>0</v>
      </c>
      <c r="AJ910">
        <v>4</v>
      </c>
      <c r="AK910">
        <v>90</v>
      </c>
      <c r="AL910">
        <v>90</v>
      </c>
      <c r="AM910">
        <v>225</v>
      </c>
      <c r="AN910">
        <v>44</v>
      </c>
      <c r="AP910">
        <v>1</v>
      </c>
      <c r="AR910" t="s">
        <v>995</v>
      </c>
      <c r="AS910" s="1">
        <v>44354.148611111108</v>
      </c>
      <c r="AT910" s="1">
        <v>44354.152372685188</v>
      </c>
      <c r="AU910" s="1">
        <v>44354.15315972222</v>
      </c>
      <c r="AV910" t="s">
        <v>71</v>
      </c>
      <c r="AW910" t="s">
        <v>72</v>
      </c>
      <c r="AX910" t="s">
        <v>73</v>
      </c>
    </row>
    <row r="911" spans="1:50" x14ac:dyDescent="0.3">
      <c r="A911" t="str">
        <f>"200370E0100"</f>
        <v>200370E0100</v>
      </c>
      <c r="B911" t="str">
        <f>"200370E01002"</f>
        <v>200370E01002</v>
      </c>
      <c r="C911" t="str">
        <f t="shared" si="39"/>
        <v>20</v>
      </c>
      <c r="D911" t="s">
        <v>67</v>
      </c>
      <c r="E911" t="str">
        <f t="shared" si="38"/>
        <v>005</v>
      </c>
      <c r="F911" t="s">
        <v>962</v>
      </c>
      <c r="G911" t="str">
        <f>"0370"</f>
        <v>0370</v>
      </c>
      <c r="H911" t="str">
        <f>"0001"</f>
        <v>0001</v>
      </c>
      <c r="I911" t="s">
        <v>109</v>
      </c>
      <c r="J911">
        <v>0</v>
      </c>
      <c r="K911">
        <v>1</v>
      </c>
      <c r="L911">
        <v>2</v>
      </c>
      <c r="M911">
        <v>143</v>
      </c>
      <c r="N911">
        <v>99</v>
      </c>
      <c r="O911">
        <v>1</v>
      </c>
      <c r="P911">
        <v>99</v>
      </c>
      <c r="Q911">
        <v>5</v>
      </c>
      <c r="R911">
        <v>29</v>
      </c>
      <c r="S911">
        <v>1</v>
      </c>
      <c r="T911">
        <v>5</v>
      </c>
      <c r="U911">
        <v>1</v>
      </c>
      <c r="V911">
        <v>1</v>
      </c>
      <c r="W911">
        <v>0</v>
      </c>
      <c r="X911">
        <v>42</v>
      </c>
      <c r="Y911">
        <v>0</v>
      </c>
      <c r="Z911">
        <v>1</v>
      </c>
      <c r="AA911">
        <v>0</v>
      </c>
      <c r="AB911">
        <v>2</v>
      </c>
      <c r="AD911">
        <v>0</v>
      </c>
      <c r="AE911">
        <v>0</v>
      </c>
      <c r="AF911">
        <v>0</v>
      </c>
      <c r="AG911">
        <v>0</v>
      </c>
      <c r="AI911">
        <v>0</v>
      </c>
      <c r="AJ911">
        <v>12</v>
      </c>
      <c r="AK911">
        <v>99</v>
      </c>
      <c r="AL911">
        <v>99</v>
      </c>
      <c r="AM911">
        <v>198</v>
      </c>
      <c r="AN911">
        <v>44</v>
      </c>
      <c r="AP911">
        <v>1</v>
      </c>
      <c r="AR911" t="s">
        <v>996</v>
      </c>
      <c r="AS911" s="1">
        <v>44354.148611111108</v>
      </c>
      <c r="AT911" s="1">
        <v>44354.152141203704</v>
      </c>
      <c r="AU911" s="1">
        <v>44354.152592592596</v>
      </c>
      <c r="AV911" t="s">
        <v>71</v>
      </c>
      <c r="AW911" t="s">
        <v>72</v>
      </c>
      <c r="AX911" t="s">
        <v>73</v>
      </c>
    </row>
    <row r="912" spans="1:50" x14ac:dyDescent="0.3">
      <c r="A912" t="str">
        <f>"200371B0000"</f>
        <v>200371B0000</v>
      </c>
      <c r="B912" t="str">
        <f>"200371B00002"</f>
        <v>200371B00002</v>
      </c>
      <c r="C912" t="str">
        <f t="shared" si="39"/>
        <v>20</v>
      </c>
      <c r="D912" t="s">
        <v>67</v>
      </c>
      <c r="E912" t="str">
        <f t="shared" si="38"/>
        <v>005</v>
      </c>
      <c r="F912" t="s">
        <v>962</v>
      </c>
      <c r="G912" t="str">
        <f>"0371"</f>
        <v>0371</v>
      </c>
      <c r="H912" t="str">
        <f>"0000"</f>
        <v>0000</v>
      </c>
      <c r="I912" t="s">
        <v>69</v>
      </c>
      <c r="J912">
        <v>0</v>
      </c>
      <c r="K912">
        <v>1</v>
      </c>
      <c r="L912">
        <v>2</v>
      </c>
      <c r="M912">
        <v>552</v>
      </c>
      <c r="N912">
        <v>213</v>
      </c>
      <c r="O912">
        <v>0</v>
      </c>
      <c r="P912">
        <v>213</v>
      </c>
      <c r="Q912">
        <v>16</v>
      </c>
      <c r="R912">
        <v>19</v>
      </c>
      <c r="S912">
        <v>13</v>
      </c>
      <c r="T912">
        <v>10</v>
      </c>
      <c r="U912">
        <v>13</v>
      </c>
      <c r="V912">
        <v>1</v>
      </c>
      <c r="W912">
        <v>16</v>
      </c>
      <c r="X912">
        <v>94</v>
      </c>
      <c r="Y912">
        <v>4</v>
      </c>
      <c r="Z912">
        <v>3</v>
      </c>
      <c r="AA912">
        <v>3</v>
      </c>
      <c r="AB912">
        <v>1</v>
      </c>
      <c r="AD912">
        <v>0</v>
      </c>
      <c r="AE912">
        <v>1</v>
      </c>
      <c r="AF912">
        <v>0</v>
      </c>
      <c r="AG912">
        <v>0</v>
      </c>
      <c r="AI912">
        <v>0</v>
      </c>
      <c r="AJ912">
        <v>19</v>
      </c>
      <c r="AK912">
        <v>213</v>
      </c>
      <c r="AL912">
        <v>213</v>
      </c>
      <c r="AM912">
        <v>721</v>
      </c>
      <c r="AN912">
        <v>44</v>
      </c>
      <c r="AP912">
        <v>1</v>
      </c>
      <c r="AR912" t="s">
        <v>997</v>
      </c>
      <c r="AS912" s="1">
        <v>44354.015277777777</v>
      </c>
      <c r="AT912" s="1">
        <v>44354.024351851855</v>
      </c>
      <c r="AU912" s="1">
        <v>44354.025081018517</v>
      </c>
      <c r="AV912" t="s">
        <v>71</v>
      </c>
      <c r="AW912" t="s">
        <v>72</v>
      </c>
      <c r="AX912" t="s">
        <v>73</v>
      </c>
    </row>
    <row r="913" spans="1:50" x14ac:dyDescent="0.3">
      <c r="A913" t="str">
        <f>"200372B0000"</f>
        <v>200372B0000</v>
      </c>
      <c r="B913" t="str">
        <f>"200372B00002"</f>
        <v>200372B00002</v>
      </c>
      <c r="C913" t="str">
        <f t="shared" si="39"/>
        <v>20</v>
      </c>
      <c r="D913" t="s">
        <v>67</v>
      </c>
      <c r="E913" t="str">
        <f t="shared" si="38"/>
        <v>005</v>
      </c>
      <c r="F913" t="s">
        <v>962</v>
      </c>
      <c r="G913" t="str">
        <f>"0372"</f>
        <v>0372</v>
      </c>
      <c r="H913" t="str">
        <f>"0000"</f>
        <v>0000</v>
      </c>
      <c r="I913" t="s">
        <v>69</v>
      </c>
      <c r="J913">
        <v>0</v>
      </c>
      <c r="K913">
        <v>1</v>
      </c>
      <c r="L913">
        <v>2</v>
      </c>
      <c r="M913">
        <v>239</v>
      </c>
      <c r="N913">
        <v>96</v>
      </c>
      <c r="O913">
        <v>6</v>
      </c>
      <c r="P913">
        <v>96</v>
      </c>
      <c r="Q913">
        <v>1</v>
      </c>
      <c r="R913">
        <v>23</v>
      </c>
      <c r="S913">
        <v>7</v>
      </c>
      <c r="T913">
        <v>3</v>
      </c>
      <c r="U913">
        <v>12</v>
      </c>
      <c r="V913">
        <v>3</v>
      </c>
      <c r="W913">
        <v>2</v>
      </c>
      <c r="X913">
        <v>32</v>
      </c>
      <c r="Y913">
        <v>4</v>
      </c>
      <c r="Z913">
        <v>1</v>
      </c>
      <c r="AA913">
        <v>1</v>
      </c>
      <c r="AB913">
        <v>1</v>
      </c>
      <c r="AD913">
        <v>0</v>
      </c>
      <c r="AE913">
        <v>0</v>
      </c>
      <c r="AF913">
        <v>0</v>
      </c>
      <c r="AG913">
        <v>0</v>
      </c>
      <c r="AI913">
        <v>0</v>
      </c>
      <c r="AJ913">
        <v>6</v>
      </c>
      <c r="AK913">
        <v>96</v>
      </c>
      <c r="AL913">
        <v>96</v>
      </c>
      <c r="AM913">
        <v>291</v>
      </c>
      <c r="AN913">
        <v>44</v>
      </c>
      <c r="AP913">
        <v>1</v>
      </c>
      <c r="AR913" t="s">
        <v>998</v>
      </c>
      <c r="AS913" s="1">
        <v>44354.149305555555</v>
      </c>
      <c r="AT913" s="1">
        <v>44354.152928240743</v>
      </c>
      <c r="AU913" s="1">
        <v>44354.153402777774</v>
      </c>
      <c r="AV913" t="s">
        <v>71</v>
      </c>
      <c r="AW913" t="s">
        <v>72</v>
      </c>
      <c r="AX913" t="s">
        <v>73</v>
      </c>
    </row>
    <row r="914" spans="1:50" x14ac:dyDescent="0.3">
      <c r="A914" t="str">
        <f>"200387B0000"</f>
        <v>200387B0000</v>
      </c>
      <c r="B914" t="str">
        <f>"200387B00002"</f>
        <v>200387B00002</v>
      </c>
      <c r="C914" t="str">
        <f t="shared" si="39"/>
        <v>20</v>
      </c>
      <c r="D914" t="s">
        <v>67</v>
      </c>
      <c r="E914" t="str">
        <f t="shared" si="38"/>
        <v>005</v>
      </c>
      <c r="F914" t="s">
        <v>962</v>
      </c>
      <c r="G914" t="str">
        <f>"0387"</f>
        <v>0387</v>
      </c>
      <c r="H914" t="str">
        <f>"0000"</f>
        <v>0000</v>
      </c>
      <c r="I914" t="s">
        <v>69</v>
      </c>
      <c r="J914">
        <v>0</v>
      </c>
      <c r="K914">
        <v>1</v>
      </c>
      <c r="L914">
        <v>2</v>
      </c>
      <c r="M914">
        <v>415</v>
      </c>
      <c r="N914">
        <v>191</v>
      </c>
      <c r="O914">
        <v>0</v>
      </c>
      <c r="P914">
        <v>191</v>
      </c>
      <c r="Q914">
        <v>4</v>
      </c>
      <c r="R914">
        <v>30</v>
      </c>
      <c r="S914">
        <v>3</v>
      </c>
      <c r="T914">
        <v>9</v>
      </c>
      <c r="U914">
        <v>12</v>
      </c>
      <c r="V914">
        <v>1</v>
      </c>
      <c r="W914">
        <v>40</v>
      </c>
      <c r="X914">
        <v>56</v>
      </c>
      <c r="Y914">
        <v>20</v>
      </c>
      <c r="Z914">
        <v>5</v>
      </c>
      <c r="AA914">
        <v>4</v>
      </c>
      <c r="AB914">
        <v>2</v>
      </c>
      <c r="AD914">
        <v>0</v>
      </c>
      <c r="AE914">
        <v>1</v>
      </c>
      <c r="AF914">
        <v>0</v>
      </c>
      <c r="AG914">
        <v>0</v>
      </c>
      <c r="AI914">
        <v>0</v>
      </c>
      <c r="AJ914">
        <v>4</v>
      </c>
      <c r="AK914">
        <v>191</v>
      </c>
      <c r="AL914">
        <v>191</v>
      </c>
      <c r="AM914">
        <v>562</v>
      </c>
      <c r="AN914">
        <v>44</v>
      </c>
      <c r="AP914">
        <v>1</v>
      </c>
      <c r="AR914" t="s">
        <v>999</v>
      </c>
      <c r="AS914" s="1">
        <v>44354.063194444447</v>
      </c>
      <c r="AT914" s="1">
        <v>44354.070162037038</v>
      </c>
      <c r="AU914" s="1">
        <v>44354.071053240739</v>
      </c>
      <c r="AV914" t="s">
        <v>71</v>
      </c>
      <c r="AW914" t="s">
        <v>72</v>
      </c>
      <c r="AX914" t="s">
        <v>73</v>
      </c>
    </row>
    <row r="915" spans="1:50" x14ac:dyDescent="0.3">
      <c r="A915" t="str">
        <f>"200387C0100"</f>
        <v>200387C0100</v>
      </c>
      <c r="B915" t="str">
        <f>"200387C01002"</f>
        <v>200387C01002</v>
      </c>
      <c r="C915" t="str">
        <f t="shared" si="39"/>
        <v>20</v>
      </c>
      <c r="D915" t="s">
        <v>67</v>
      </c>
      <c r="E915" t="str">
        <f t="shared" si="38"/>
        <v>005</v>
      </c>
      <c r="F915" t="s">
        <v>962</v>
      </c>
      <c r="G915" t="str">
        <f>"0387"</f>
        <v>0387</v>
      </c>
      <c r="H915" t="str">
        <f>"0001"</f>
        <v>0001</v>
      </c>
      <c r="I915" t="s">
        <v>75</v>
      </c>
      <c r="J915">
        <v>0</v>
      </c>
      <c r="K915">
        <v>1</v>
      </c>
      <c r="L915">
        <v>2</v>
      </c>
      <c r="M915">
        <v>429</v>
      </c>
      <c r="N915">
        <v>177</v>
      </c>
      <c r="O915">
        <v>0</v>
      </c>
      <c r="P915">
        <v>177</v>
      </c>
      <c r="Q915">
        <v>5</v>
      </c>
      <c r="R915">
        <v>33</v>
      </c>
      <c r="S915">
        <v>2</v>
      </c>
      <c r="T915">
        <v>5</v>
      </c>
      <c r="U915">
        <v>12</v>
      </c>
      <c r="V915">
        <v>2</v>
      </c>
      <c r="W915">
        <v>35</v>
      </c>
      <c r="X915">
        <v>53</v>
      </c>
      <c r="Y915">
        <v>17</v>
      </c>
      <c r="Z915">
        <v>7</v>
      </c>
      <c r="AA915">
        <v>0</v>
      </c>
      <c r="AB915">
        <v>0</v>
      </c>
      <c r="AD915">
        <v>0</v>
      </c>
      <c r="AE915">
        <v>1</v>
      </c>
      <c r="AF915">
        <v>0</v>
      </c>
      <c r="AG915">
        <v>0</v>
      </c>
      <c r="AI915">
        <v>0</v>
      </c>
      <c r="AJ915">
        <v>5</v>
      </c>
      <c r="AK915">
        <v>177</v>
      </c>
      <c r="AL915">
        <v>177</v>
      </c>
      <c r="AM915">
        <v>562</v>
      </c>
      <c r="AN915">
        <v>44</v>
      </c>
      <c r="AP915">
        <v>1</v>
      </c>
      <c r="AR915" t="s">
        <v>1000</v>
      </c>
      <c r="AS915" s="1">
        <v>44354.063194444447</v>
      </c>
      <c r="AT915" s="1">
        <v>44354.070833333331</v>
      </c>
      <c r="AU915" s="1">
        <v>44354.071562500001</v>
      </c>
      <c r="AV915" t="s">
        <v>71</v>
      </c>
      <c r="AW915" t="s">
        <v>72</v>
      </c>
      <c r="AX915" t="s">
        <v>73</v>
      </c>
    </row>
    <row r="916" spans="1:50" x14ac:dyDescent="0.3">
      <c r="A916" t="str">
        <f>"200388B0000"</f>
        <v>200388B0000</v>
      </c>
      <c r="B916" t="str">
        <f>"200388B00002"</f>
        <v>200388B00002</v>
      </c>
      <c r="C916" t="str">
        <f t="shared" si="39"/>
        <v>20</v>
      </c>
      <c r="D916" t="s">
        <v>67</v>
      </c>
      <c r="E916" t="str">
        <f t="shared" si="38"/>
        <v>005</v>
      </c>
      <c r="F916" t="s">
        <v>962</v>
      </c>
      <c r="G916" t="str">
        <f>"0388"</f>
        <v>0388</v>
      </c>
      <c r="H916" t="str">
        <f>"0000"</f>
        <v>0000</v>
      </c>
      <c r="I916" t="s">
        <v>69</v>
      </c>
      <c r="J916">
        <v>0</v>
      </c>
      <c r="K916">
        <v>1</v>
      </c>
      <c r="L916">
        <v>2</v>
      </c>
      <c r="M916">
        <v>229</v>
      </c>
      <c r="N916">
        <v>142</v>
      </c>
      <c r="O916">
        <v>0</v>
      </c>
      <c r="P916">
        <v>142</v>
      </c>
      <c r="Q916">
        <v>2</v>
      </c>
      <c r="R916">
        <v>16</v>
      </c>
      <c r="S916">
        <v>5</v>
      </c>
      <c r="T916">
        <v>5</v>
      </c>
      <c r="U916">
        <v>7</v>
      </c>
      <c r="V916">
        <v>2</v>
      </c>
      <c r="W916">
        <v>2</v>
      </c>
      <c r="X916">
        <v>84</v>
      </c>
      <c r="Y916">
        <v>14</v>
      </c>
      <c r="Z916">
        <v>1</v>
      </c>
      <c r="AA916">
        <v>0</v>
      </c>
      <c r="AB916">
        <v>1</v>
      </c>
      <c r="AD916">
        <v>0</v>
      </c>
      <c r="AE916">
        <v>0</v>
      </c>
      <c r="AF916">
        <v>0</v>
      </c>
      <c r="AG916">
        <v>0</v>
      </c>
      <c r="AI916">
        <v>0</v>
      </c>
      <c r="AJ916">
        <v>3</v>
      </c>
      <c r="AK916">
        <v>142</v>
      </c>
      <c r="AL916">
        <v>142</v>
      </c>
      <c r="AM916">
        <v>327</v>
      </c>
      <c r="AN916">
        <v>44</v>
      </c>
      <c r="AP916">
        <v>1</v>
      </c>
      <c r="AR916" t="s">
        <v>1001</v>
      </c>
      <c r="AS916" s="1">
        <v>44354.117361111108</v>
      </c>
      <c r="AT916" s="1">
        <v>44354.119791666664</v>
      </c>
      <c r="AU916" s="1">
        <v>44354.120347222219</v>
      </c>
      <c r="AV916" t="s">
        <v>71</v>
      </c>
      <c r="AW916" t="s">
        <v>72</v>
      </c>
      <c r="AX916" t="s">
        <v>347</v>
      </c>
    </row>
    <row r="917" spans="1:50" x14ac:dyDescent="0.3">
      <c r="A917" t="str">
        <f>"200741B0000"</f>
        <v>200741B0000</v>
      </c>
      <c r="B917" t="str">
        <f>"200741B00002"</f>
        <v>200741B00002</v>
      </c>
      <c r="C917" t="str">
        <f t="shared" si="39"/>
        <v>20</v>
      </c>
      <c r="D917" t="s">
        <v>67</v>
      </c>
      <c r="E917" t="str">
        <f t="shared" si="38"/>
        <v>005</v>
      </c>
      <c r="F917" t="s">
        <v>962</v>
      </c>
      <c r="G917" t="str">
        <f>"0741"</f>
        <v>0741</v>
      </c>
      <c r="H917" t="str">
        <f>"0000"</f>
        <v>0000</v>
      </c>
      <c r="I917" t="s">
        <v>69</v>
      </c>
      <c r="J917">
        <v>0</v>
      </c>
      <c r="K917">
        <v>1</v>
      </c>
      <c r="L917">
        <v>2</v>
      </c>
      <c r="M917">
        <v>197</v>
      </c>
      <c r="N917">
        <v>285</v>
      </c>
      <c r="O917">
        <v>2</v>
      </c>
      <c r="P917">
        <v>285</v>
      </c>
      <c r="Q917">
        <v>2</v>
      </c>
      <c r="R917">
        <v>80</v>
      </c>
      <c r="S917">
        <v>102</v>
      </c>
      <c r="T917">
        <v>4</v>
      </c>
      <c r="U917">
        <v>2</v>
      </c>
      <c r="V917">
        <v>1</v>
      </c>
      <c r="W917">
        <v>2</v>
      </c>
      <c r="X917">
        <v>57</v>
      </c>
      <c r="Y917">
        <v>8</v>
      </c>
      <c r="Z917">
        <v>1</v>
      </c>
      <c r="AA917">
        <v>2</v>
      </c>
      <c r="AB917">
        <v>7</v>
      </c>
      <c r="AD917">
        <v>4</v>
      </c>
      <c r="AE917">
        <v>1</v>
      </c>
      <c r="AF917">
        <v>1</v>
      </c>
      <c r="AG917" t="s">
        <v>77</v>
      </c>
      <c r="AI917" t="s">
        <v>77</v>
      </c>
      <c r="AJ917">
        <v>11</v>
      </c>
      <c r="AK917">
        <v>285</v>
      </c>
      <c r="AL917">
        <v>285</v>
      </c>
      <c r="AM917">
        <v>438</v>
      </c>
      <c r="AN917">
        <v>44</v>
      </c>
      <c r="AO917" t="s">
        <v>78</v>
      </c>
      <c r="AP917">
        <v>1</v>
      </c>
      <c r="AR917" t="s">
        <v>1002</v>
      </c>
      <c r="AS917" s="1">
        <v>44353.895277777781</v>
      </c>
      <c r="AT917" s="1">
        <v>44354.022407407407</v>
      </c>
      <c r="AU917" s="1">
        <v>44354.022905092592</v>
      </c>
      <c r="AV917" t="s">
        <v>269</v>
      </c>
      <c r="AW917" t="s">
        <v>270</v>
      </c>
      <c r="AX917" t="s">
        <v>73</v>
      </c>
    </row>
    <row r="918" spans="1:50" x14ac:dyDescent="0.3">
      <c r="A918" t="str">
        <f>"200741C0100"</f>
        <v>200741C0100</v>
      </c>
      <c r="B918" t="str">
        <f>"200741C01002"</f>
        <v>200741C01002</v>
      </c>
      <c r="C918" t="str">
        <f t="shared" si="39"/>
        <v>20</v>
      </c>
      <c r="D918" t="s">
        <v>67</v>
      </c>
      <c r="E918" t="str">
        <f t="shared" si="38"/>
        <v>005</v>
      </c>
      <c r="F918" t="s">
        <v>962</v>
      </c>
      <c r="G918" t="str">
        <f>"0741"</f>
        <v>0741</v>
      </c>
      <c r="H918" t="str">
        <f>"0001"</f>
        <v>0001</v>
      </c>
      <c r="I918" t="s">
        <v>75</v>
      </c>
      <c r="J918">
        <v>0</v>
      </c>
      <c r="K918">
        <v>1</v>
      </c>
      <c r="L918">
        <v>2</v>
      </c>
      <c r="M918">
        <v>203</v>
      </c>
      <c r="N918">
        <v>279</v>
      </c>
      <c r="O918">
        <v>7</v>
      </c>
      <c r="P918">
        <v>279</v>
      </c>
      <c r="Q918">
        <v>5</v>
      </c>
      <c r="R918">
        <v>87</v>
      </c>
      <c r="S918">
        <v>88</v>
      </c>
      <c r="T918">
        <v>1</v>
      </c>
      <c r="U918">
        <v>1</v>
      </c>
      <c r="V918">
        <v>3</v>
      </c>
      <c r="W918">
        <v>1</v>
      </c>
      <c r="X918">
        <v>60</v>
      </c>
      <c r="Y918">
        <v>4</v>
      </c>
      <c r="Z918">
        <v>1</v>
      </c>
      <c r="AA918">
        <v>1</v>
      </c>
      <c r="AB918">
        <v>10</v>
      </c>
      <c r="AD918">
        <v>2</v>
      </c>
      <c r="AE918">
        <v>0</v>
      </c>
      <c r="AF918">
        <v>1</v>
      </c>
      <c r="AG918">
        <v>2</v>
      </c>
      <c r="AI918">
        <v>0</v>
      </c>
      <c r="AJ918">
        <v>11</v>
      </c>
      <c r="AK918">
        <v>279</v>
      </c>
      <c r="AL918">
        <v>278</v>
      </c>
      <c r="AM918">
        <v>438</v>
      </c>
      <c r="AN918">
        <v>44</v>
      </c>
      <c r="AP918">
        <v>1</v>
      </c>
      <c r="AR918" t="s">
        <v>1003</v>
      </c>
      <c r="AS918" s="1">
        <v>44353.910104166665</v>
      </c>
      <c r="AT918" s="1">
        <v>44354.023009259261</v>
      </c>
      <c r="AU918" s="1">
        <v>44354.023194444446</v>
      </c>
      <c r="AV918" t="s">
        <v>269</v>
      </c>
      <c r="AW918" t="s">
        <v>270</v>
      </c>
      <c r="AX918" t="s">
        <v>73</v>
      </c>
    </row>
    <row r="919" spans="1:50" x14ac:dyDescent="0.3">
      <c r="A919" t="str">
        <f>"200741E0100"</f>
        <v>200741E0100</v>
      </c>
      <c r="B919" t="str">
        <f>"200741E01002"</f>
        <v>200741E01002</v>
      </c>
      <c r="C919" t="str">
        <f t="shared" si="39"/>
        <v>20</v>
      </c>
      <c r="D919" t="s">
        <v>67</v>
      </c>
      <c r="E919" t="str">
        <f t="shared" si="38"/>
        <v>005</v>
      </c>
      <c r="F919" t="s">
        <v>962</v>
      </c>
      <c r="G919" t="str">
        <f>"0741"</f>
        <v>0741</v>
      </c>
      <c r="H919" t="str">
        <f>"0001"</f>
        <v>0001</v>
      </c>
      <c r="I919" t="s">
        <v>109</v>
      </c>
      <c r="J919">
        <v>0</v>
      </c>
      <c r="K919">
        <v>1</v>
      </c>
      <c r="L919">
        <v>2</v>
      </c>
      <c r="M919">
        <v>210</v>
      </c>
      <c r="N919">
        <v>288</v>
      </c>
      <c r="O919">
        <v>6</v>
      </c>
      <c r="P919" t="s">
        <v>80</v>
      </c>
      <c r="Q919">
        <v>5</v>
      </c>
      <c r="R919">
        <v>88</v>
      </c>
      <c r="S919">
        <v>13</v>
      </c>
      <c r="T919">
        <v>2</v>
      </c>
      <c r="U919">
        <v>8</v>
      </c>
      <c r="V919">
        <v>1</v>
      </c>
      <c r="W919">
        <v>1</v>
      </c>
      <c r="X919">
        <v>145</v>
      </c>
      <c r="Y919">
        <v>2</v>
      </c>
      <c r="Z919">
        <v>2</v>
      </c>
      <c r="AA919">
        <v>5</v>
      </c>
      <c r="AB919">
        <v>6</v>
      </c>
      <c r="AD919" t="s">
        <v>77</v>
      </c>
      <c r="AE919" t="s">
        <v>77</v>
      </c>
      <c r="AF919" t="s">
        <v>77</v>
      </c>
      <c r="AG919" t="s">
        <v>77</v>
      </c>
      <c r="AI919" t="s">
        <v>77</v>
      </c>
      <c r="AJ919">
        <v>13</v>
      </c>
      <c r="AK919">
        <v>287</v>
      </c>
      <c r="AL919">
        <v>291</v>
      </c>
      <c r="AM919">
        <v>454</v>
      </c>
      <c r="AN919">
        <v>44</v>
      </c>
      <c r="AO919" t="s">
        <v>78</v>
      </c>
      <c r="AP919">
        <v>1</v>
      </c>
      <c r="AR919" t="s">
        <v>1004</v>
      </c>
      <c r="AS919" s="1">
        <v>44353.846701388888</v>
      </c>
      <c r="AT919" s="1">
        <v>44354.022881944446</v>
      </c>
      <c r="AU919" s="1">
        <v>44354.02375</v>
      </c>
      <c r="AV919" t="s">
        <v>269</v>
      </c>
      <c r="AW919" t="s">
        <v>270</v>
      </c>
      <c r="AX919" t="s">
        <v>73</v>
      </c>
    </row>
    <row r="920" spans="1:50" x14ac:dyDescent="0.3">
      <c r="A920" t="str">
        <f>"200742B0000"</f>
        <v>200742B0000</v>
      </c>
      <c r="B920" t="str">
        <f>"200742B00002"</f>
        <v>200742B00002</v>
      </c>
      <c r="C920" t="str">
        <f t="shared" si="39"/>
        <v>20</v>
      </c>
      <c r="D920" t="s">
        <v>67</v>
      </c>
      <c r="E920" t="str">
        <f t="shared" si="38"/>
        <v>005</v>
      </c>
      <c r="F920" t="s">
        <v>962</v>
      </c>
      <c r="G920" t="str">
        <f>"0742"</f>
        <v>0742</v>
      </c>
      <c r="H920" t="str">
        <f>"0000"</f>
        <v>0000</v>
      </c>
      <c r="I920" t="s">
        <v>69</v>
      </c>
      <c r="J920">
        <v>0</v>
      </c>
      <c r="K920">
        <v>1</v>
      </c>
      <c r="L920">
        <v>2</v>
      </c>
      <c r="M920">
        <v>108</v>
      </c>
      <c r="N920">
        <v>97</v>
      </c>
      <c r="O920">
        <v>5</v>
      </c>
      <c r="P920" t="s">
        <v>80</v>
      </c>
      <c r="Q920">
        <v>3</v>
      </c>
      <c r="R920">
        <v>7</v>
      </c>
      <c r="S920">
        <v>6</v>
      </c>
      <c r="T920">
        <v>1</v>
      </c>
      <c r="U920">
        <v>7</v>
      </c>
      <c r="V920">
        <v>3</v>
      </c>
      <c r="W920">
        <v>1</v>
      </c>
      <c r="X920">
        <v>53</v>
      </c>
      <c r="Y920">
        <v>0</v>
      </c>
      <c r="Z920">
        <v>1</v>
      </c>
      <c r="AA920">
        <v>5</v>
      </c>
      <c r="AB920">
        <v>1</v>
      </c>
      <c r="AD920">
        <v>1</v>
      </c>
      <c r="AE920">
        <v>0</v>
      </c>
      <c r="AF920">
        <v>0</v>
      </c>
      <c r="AG920">
        <v>0</v>
      </c>
      <c r="AI920">
        <v>0</v>
      </c>
      <c r="AJ920">
        <v>8</v>
      </c>
      <c r="AK920">
        <v>97</v>
      </c>
      <c r="AL920">
        <v>97</v>
      </c>
      <c r="AM920">
        <v>161</v>
      </c>
      <c r="AN920">
        <v>44</v>
      </c>
      <c r="AP920">
        <v>1</v>
      </c>
      <c r="AR920" t="s">
        <v>1005</v>
      </c>
      <c r="AS920" s="1">
        <v>44354.127083333333</v>
      </c>
      <c r="AT920" s="1">
        <v>44354.129699074074</v>
      </c>
      <c r="AU920" s="1">
        <v>44354.130196759259</v>
      </c>
      <c r="AV920" t="s">
        <v>71</v>
      </c>
      <c r="AW920" t="s">
        <v>72</v>
      </c>
      <c r="AX920" t="s">
        <v>73</v>
      </c>
    </row>
    <row r="921" spans="1:50" x14ac:dyDescent="0.3">
      <c r="A921" t="str">
        <f>"200742E0100"</f>
        <v>200742E0100</v>
      </c>
      <c r="B921" t="str">
        <f>"200742E01002"</f>
        <v>200742E01002</v>
      </c>
      <c r="C921" t="str">
        <f t="shared" si="39"/>
        <v>20</v>
      </c>
      <c r="D921" t="s">
        <v>67</v>
      </c>
      <c r="E921" t="str">
        <f t="shared" si="38"/>
        <v>005</v>
      </c>
      <c r="F921" t="s">
        <v>962</v>
      </c>
      <c r="G921" t="str">
        <f>"0742"</f>
        <v>0742</v>
      </c>
      <c r="H921" t="str">
        <f>"0001"</f>
        <v>0001</v>
      </c>
      <c r="I921" t="s">
        <v>109</v>
      </c>
      <c r="J921">
        <v>0</v>
      </c>
      <c r="K921">
        <v>1</v>
      </c>
      <c r="L921">
        <v>2</v>
      </c>
      <c r="M921">
        <v>92</v>
      </c>
      <c r="N921">
        <v>118</v>
      </c>
      <c r="O921">
        <v>5</v>
      </c>
      <c r="P921">
        <v>118</v>
      </c>
      <c r="Q921">
        <v>1</v>
      </c>
      <c r="R921">
        <v>90</v>
      </c>
      <c r="S921">
        <v>3</v>
      </c>
      <c r="T921">
        <v>1</v>
      </c>
      <c r="U921">
        <v>2</v>
      </c>
      <c r="V921">
        <v>2</v>
      </c>
      <c r="W921">
        <v>0</v>
      </c>
      <c r="X921">
        <v>16</v>
      </c>
      <c r="Y921">
        <v>0</v>
      </c>
      <c r="Z921">
        <v>1</v>
      </c>
      <c r="AA921">
        <v>1</v>
      </c>
      <c r="AB921">
        <v>0</v>
      </c>
      <c r="AD921">
        <v>0</v>
      </c>
      <c r="AE921">
        <v>0</v>
      </c>
      <c r="AF921">
        <v>0</v>
      </c>
      <c r="AG921">
        <v>0</v>
      </c>
      <c r="AI921">
        <v>0</v>
      </c>
      <c r="AJ921">
        <v>1</v>
      </c>
      <c r="AK921">
        <v>118</v>
      </c>
      <c r="AL921">
        <v>118</v>
      </c>
      <c r="AM921">
        <v>166</v>
      </c>
      <c r="AN921">
        <v>44</v>
      </c>
      <c r="AP921">
        <v>1</v>
      </c>
      <c r="AR921" t="s">
        <v>1006</v>
      </c>
      <c r="AS921" s="1">
        <v>44354.128472222219</v>
      </c>
      <c r="AT921" s="1">
        <v>44354.130960648145</v>
      </c>
      <c r="AU921" s="1">
        <v>44354.131296296298</v>
      </c>
      <c r="AV921" t="s">
        <v>71</v>
      </c>
      <c r="AW921" t="s">
        <v>72</v>
      </c>
      <c r="AX921" t="s">
        <v>73</v>
      </c>
    </row>
    <row r="922" spans="1:50" x14ac:dyDescent="0.3">
      <c r="A922" t="str">
        <f>"200743B0000"</f>
        <v>200743B0000</v>
      </c>
      <c r="B922" t="str">
        <f>"200743B00002"</f>
        <v>200743B00002</v>
      </c>
      <c r="C922" t="str">
        <f t="shared" si="39"/>
        <v>20</v>
      </c>
      <c r="D922" t="s">
        <v>67</v>
      </c>
      <c r="E922" t="str">
        <f t="shared" si="38"/>
        <v>005</v>
      </c>
      <c r="F922" t="s">
        <v>962</v>
      </c>
      <c r="G922" t="str">
        <f>"0743"</f>
        <v>0743</v>
      </c>
      <c r="H922" t="str">
        <f>"0000"</f>
        <v>0000</v>
      </c>
      <c r="I922" t="s">
        <v>69</v>
      </c>
      <c r="J922">
        <v>0</v>
      </c>
      <c r="K922">
        <v>1</v>
      </c>
      <c r="L922">
        <v>2</v>
      </c>
      <c r="M922">
        <v>74</v>
      </c>
      <c r="N922">
        <v>68</v>
      </c>
      <c r="O922">
        <v>7</v>
      </c>
      <c r="P922">
        <v>68</v>
      </c>
      <c r="Q922">
        <v>0</v>
      </c>
      <c r="R922">
        <v>7</v>
      </c>
      <c r="S922">
        <v>5</v>
      </c>
      <c r="T922">
        <v>0</v>
      </c>
      <c r="U922">
        <v>0</v>
      </c>
      <c r="V922">
        <v>0</v>
      </c>
      <c r="W922">
        <v>0</v>
      </c>
      <c r="X922">
        <v>52</v>
      </c>
      <c r="Y922">
        <v>0</v>
      </c>
      <c r="Z922">
        <v>0</v>
      </c>
      <c r="AA922">
        <v>1</v>
      </c>
      <c r="AB922">
        <v>0</v>
      </c>
      <c r="AD922">
        <v>0</v>
      </c>
      <c r="AE922">
        <v>0</v>
      </c>
      <c r="AF922">
        <v>0</v>
      </c>
      <c r="AG922">
        <v>0</v>
      </c>
      <c r="AI922">
        <v>0</v>
      </c>
      <c r="AJ922">
        <v>3</v>
      </c>
      <c r="AK922">
        <v>68</v>
      </c>
      <c r="AL922">
        <v>68</v>
      </c>
      <c r="AM922">
        <v>98</v>
      </c>
      <c r="AN922">
        <v>44</v>
      </c>
      <c r="AP922">
        <v>1</v>
      </c>
      <c r="AR922" t="s">
        <v>1007</v>
      </c>
      <c r="AS922" s="1">
        <v>44354.12777777778</v>
      </c>
      <c r="AT922" s="1">
        <v>44354.130335648151</v>
      </c>
      <c r="AU922" s="1">
        <v>44354.130694444444</v>
      </c>
      <c r="AV922" t="s">
        <v>71</v>
      </c>
      <c r="AW922" t="s">
        <v>72</v>
      </c>
      <c r="AX922" t="s">
        <v>73</v>
      </c>
    </row>
    <row r="923" spans="1:50" x14ac:dyDescent="0.3">
      <c r="A923" t="str">
        <f>"200750B0000"</f>
        <v>200750B0000</v>
      </c>
      <c r="B923" t="str">
        <f>"200750B00002"</f>
        <v>200750B00002</v>
      </c>
      <c r="C923" t="str">
        <f t="shared" si="39"/>
        <v>20</v>
      </c>
      <c r="D923" t="s">
        <v>67</v>
      </c>
      <c r="E923" t="str">
        <f t="shared" si="38"/>
        <v>005</v>
      </c>
      <c r="F923" t="s">
        <v>962</v>
      </c>
      <c r="G923" t="str">
        <f>"0750"</f>
        <v>0750</v>
      </c>
      <c r="H923" t="str">
        <f>"0000"</f>
        <v>0000</v>
      </c>
      <c r="I923" t="s">
        <v>69</v>
      </c>
      <c r="J923">
        <v>0</v>
      </c>
      <c r="K923">
        <v>1</v>
      </c>
      <c r="L923">
        <v>2</v>
      </c>
      <c r="M923">
        <v>267</v>
      </c>
      <c r="N923">
        <v>174</v>
      </c>
      <c r="O923">
        <v>5</v>
      </c>
      <c r="P923">
        <v>174</v>
      </c>
      <c r="Q923">
        <v>1</v>
      </c>
      <c r="R923">
        <v>23</v>
      </c>
      <c r="S923">
        <v>1</v>
      </c>
      <c r="T923">
        <v>1</v>
      </c>
      <c r="U923">
        <v>1</v>
      </c>
      <c r="V923">
        <v>2</v>
      </c>
      <c r="W923">
        <v>0</v>
      </c>
      <c r="X923">
        <v>131</v>
      </c>
      <c r="Y923">
        <v>0</v>
      </c>
      <c r="Z923">
        <v>4</v>
      </c>
      <c r="AA923">
        <v>1</v>
      </c>
      <c r="AB923">
        <v>3</v>
      </c>
      <c r="AD923">
        <v>1</v>
      </c>
      <c r="AE923">
        <v>0</v>
      </c>
      <c r="AF923">
        <v>0</v>
      </c>
      <c r="AG923">
        <v>0</v>
      </c>
      <c r="AI923">
        <v>0</v>
      </c>
      <c r="AJ923">
        <v>5</v>
      </c>
      <c r="AK923">
        <v>174</v>
      </c>
      <c r="AL923">
        <v>174</v>
      </c>
      <c r="AM923">
        <v>397</v>
      </c>
      <c r="AN923">
        <v>44</v>
      </c>
      <c r="AP923">
        <v>1</v>
      </c>
      <c r="AR923" t="s">
        <v>1008</v>
      </c>
      <c r="AS923" s="1">
        <v>44354.136111111111</v>
      </c>
      <c r="AT923" s="1">
        <v>44354.14099537037</v>
      </c>
      <c r="AU923" s="1">
        <v>44354.141481481478</v>
      </c>
      <c r="AV923" t="s">
        <v>71</v>
      </c>
      <c r="AW923" t="s">
        <v>72</v>
      </c>
      <c r="AX923" t="s">
        <v>73</v>
      </c>
    </row>
    <row r="924" spans="1:50" x14ac:dyDescent="0.3">
      <c r="A924" t="str">
        <f>"200751B0000"</f>
        <v>200751B0000</v>
      </c>
      <c r="B924" t="str">
        <f>"200751B00002"</f>
        <v>200751B00002</v>
      </c>
      <c r="C924" t="str">
        <f t="shared" si="39"/>
        <v>20</v>
      </c>
      <c r="D924" t="s">
        <v>67</v>
      </c>
      <c r="E924" t="str">
        <f t="shared" si="38"/>
        <v>005</v>
      </c>
      <c r="F924" t="s">
        <v>962</v>
      </c>
      <c r="G924" t="str">
        <f>"0751"</f>
        <v>0751</v>
      </c>
      <c r="H924" t="str">
        <f>"0000"</f>
        <v>0000</v>
      </c>
      <c r="I924" t="s">
        <v>69</v>
      </c>
      <c r="J924">
        <v>0</v>
      </c>
      <c r="K924">
        <v>1</v>
      </c>
      <c r="L924">
        <v>2</v>
      </c>
      <c r="M924">
        <v>576</v>
      </c>
      <c r="N924">
        <v>194</v>
      </c>
      <c r="O924">
        <v>4</v>
      </c>
      <c r="P924">
        <v>194</v>
      </c>
      <c r="Q924">
        <v>5</v>
      </c>
      <c r="R924">
        <v>100</v>
      </c>
      <c r="S924">
        <v>1</v>
      </c>
      <c r="T924">
        <v>4</v>
      </c>
      <c r="U924">
        <v>5</v>
      </c>
      <c r="V924">
        <v>4</v>
      </c>
      <c r="W924">
        <v>4</v>
      </c>
      <c r="X924">
        <v>57</v>
      </c>
      <c r="Y924">
        <v>2</v>
      </c>
      <c r="Z924">
        <v>0</v>
      </c>
      <c r="AA924">
        <v>5</v>
      </c>
      <c r="AB924">
        <v>1</v>
      </c>
      <c r="AD924">
        <v>0</v>
      </c>
      <c r="AE924">
        <v>0</v>
      </c>
      <c r="AF924">
        <v>0</v>
      </c>
      <c r="AG924">
        <v>0</v>
      </c>
      <c r="AI924">
        <v>0</v>
      </c>
      <c r="AJ924">
        <v>6</v>
      </c>
      <c r="AK924">
        <v>194</v>
      </c>
      <c r="AL924">
        <v>194</v>
      </c>
      <c r="AM924">
        <v>726</v>
      </c>
      <c r="AN924">
        <v>44</v>
      </c>
      <c r="AP924">
        <v>1</v>
      </c>
      <c r="AR924" t="s">
        <v>1009</v>
      </c>
      <c r="AS924" s="1">
        <v>44354.013888888891</v>
      </c>
      <c r="AT924" s="1">
        <v>44354.022326388891</v>
      </c>
      <c r="AU924" s="1">
        <v>44354.022743055553</v>
      </c>
      <c r="AV924" t="s">
        <v>71</v>
      </c>
      <c r="AW924" t="s">
        <v>72</v>
      </c>
      <c r="AX924" t="s">
        <v>73</v>
      </c>
    </row>
    <row r="925" spans="1:50" x14ac:dyDescent="0.3">
      <c r="A925" t="str">
        <f>"200752B0000"</f>
        <v>200752B0000</v>
      </c>
      <c r="B925" t="str">
        <f>"200752B00002"</f>
        <v>200752B00002</v>
      </c>
      <c r="C925" t="str">
        <f t="shared" si="39"/>
        <v>20</v>
      </c>
      <c r="D925" t="s">
        <v>67</v>
      </c>
      <c r="E925" t="str">
        <f t="shared" si="38"/>
        <v>005</v>
      </c>
      <c r="F925" t="s">
        <v>962</v>
      </c>
      <c r="G925" t="str">
        <f>"0752"</f>
        <v>0752</v>
      </c>
      <c r="H925" t="str">
        <f>"0000"</f>
        <v>0000</v>
      </c>
      <c r="I925" t="s">
        <v>69</v>
      </c>
      <c r="J925">
        <v>0</v>
      </c>
      <c r="K925">
        <v>1</v>
      </c>
      <c r="L925">
        <v>2</v>
      </c>
      <c r="M925">
        <v>306</v>
      </c>
      <c r="N925">
        <v>115</v>
      </c>
      <c r="O925">
        <v>3</v>
      </c>
      <c r="P925">
        <v>115</v>
      </c>
      <c r="Q925">
        <v>9</v>
      </c>
      <c r="R925">
        <v>31</v>
      </c>
      <c r="S925">
        <v>2</v>
      </c>
      <c r="T925">
        <v>2</v>
      </c>
      <c r="U925">
        <v>5</v>
      </c>
      <c r="V925">
        <v>2</v>
      </c>
      <c r="W925">
        <v>1</v>
      </c>
      <c r="X925">
        <v>47</v>
      </c>
      <c r="Y925">
        <v>1</v>
      </c>
      <c r="Z925">
        <v>3</v>
      </c>
      <c r="AA925">
        <v>1</v>
      </c>
      <c r="AB925">
        <v>0</v>
      </c>
      <c r="AD925">
        <v>1</v>
      </c>
      <c r="AE925">
        <v>0</v>
      </c>
      <c r="AF925">
        <v>0</v>
      </c>
      <c r="AG925">
        <v>0</v>
      </c>
      <c r="AI925">
        <v>0</v>
      </c>
      <c r="AJ925">
        <v>10</v>
      </c>
      <c r="AK925">
        <v>115</v>
      </c>
      <c r="AL925">
        <v>115</v>
      </c>
      <c r="AM925">
        <v>302</v>
      </c>
      <c r="AN925">
        <v>44</v>
      </c>
      <c r="AP925">
        <v>1</v>
      </c>
      <c r="AR925" t="s">
        <v>1010</v>
      </c>
      <c r="AS925" s="1">
        <v>44354.01458333333</v>
      </c>
      <c r="AT925" s="1">
        <v>44354.02484953704</v>
      </c>
      <c r="AU925" s="1">
        <v>44354.025324074071</v>
      </c>
      <c r="AV925" t="s">
        <v>71</v>
      </c>
      <c r="AW925" t="s">
        <v>72</v>
      </c>
      <c r="AX925" t="s">
        <v>73</v>
      </c>
    </row>
    <row r="926" spans="1:50" x14ac:dyDescent="0.3">
      <c r="A926" t="str">
        <f>"200752E0100"</f>
        <v>200752E0100</v>
      </c>
      <c r="B926" t="str">
        <f>"200752E01002"</f>
        <v>200752E01002</v>
      </c>
      <c r="C926" t="str">
        <f t="shared" si="39"/>
        <v>20</v>
      </c>
      <c r="D926" t="s">
        <v>67</v>
      </c>
      <c r="E926" t="str">
        <f t="shared" si="38"/>
        <v>005</v>
      </c>
      <c r="F926" t="s">
        <v>962</v>
      </c>
      <c r="G926" t="str">
        <f>"0752"</f>
        <v>0752</v>
      </c>
      <c r="H926" t="str">
        <f>"0001"</f>
        <v>0001</v>
      </c>
      <c r="I926" t="s">
        <v>109</v>
      </c>
      <c r="J926">
        <v>0</v>
      </c>
      <c r="K926">
        <v>1</v>
      </c>
      <c r="L926">
        <v>2</v>
      </c>
      <c r="M926">
        <v>196</v>
      </c>
      <c r="N926">
        <v>150</v>
      </c>
      <c r="O926">
        <v>0</v>
      </c>
      <c r="P926">
        <v>150</v>
      </c>
      <c r="Q926">
        <v>5</v>
      </c>
      <c r="R926">
        <v>45</v>
      </c>
      <c r="S926">
        <v>7</v>
      </c>
      <c r="T926">
        <v>1</v>
      </c>
      <c r="U926">
        <v>7</v>
      </c>
      <c r="V926">
        <v>3</v>
      </c>
      <c r="W926">
        <v>5</v>
      </c>
      <c r="X926">
        <v>50</v>
      </c>
      <c r="Y926">
        <v>15</v>
      </c>
      <c r="Z926">
        <v>5</v>
      </c>
      <c r="AA926">
        <v>1</v>
      </c>
      <c r="AB926">
        <v>0</v>
      </c>
      <c r="AD926">
        <v>0</v>
      </c>
      <c r="AE926">
        <v>0</v>
      </c>
      <c r="AF926">
        <v>0</v>
      </c>
      <c r="AG926">
        <v>0</v>
      </c>
      <c r="AI926">
        <v>0</v>
      </c>
      <c r="AJ926">
        <v>6</v>
      </c>
      <c r="AK926">
        <v>150</v>
      </c>
      <c r="AL926">
        <v>150</v>
      </c>
      <c r="AM926">
        <v>377</v>
      </c>
      <c r="AN926">
        <v>44</v>
      </c>
      <c r="AP926">
        <v>1</v>
      </c>
      <c r="AR926" t="s">
        <v>1011</v>
      </c>
      <c r="AS926" s="1">
        <v>44354.01458333333</v>
      </c>
      <c r="AT926" s="1">
        <v>44354.0237037037</v>
      </c>
      <c r="AU926" s="1">
        <v>44354.024074074077</v>
      </c>
      <c r="AV926" t="s">
        <v>71</v>
      </c>
      <c r="AW926" t="s">
        <v>72</v>
      </c>
      <c r="AX926" t="s">
        <v>73</v>
      </c>
    </row>
    <row r="927" spans="1:50" x14ac:dyDescent="0.3">
      <c r="A927" t="str">
        <f>"200756B0000"</f>
        <v>200756B0000</v>
      </c>
      <c r="B927" t="str">
        <f>"200756B00002"</f>
        <v>200756B00002</v>
      </c>
      <c r="C927" t="str">
        <f t="shared" si="39"/>
        <v>20</v>
      </c>
      <c r="D927" t="s">
        <v>67</v>
      </c>
      <c r="E927" t="str">
        <f t="shared" si="38"/>
        <v>005</v>
      </c>
      <c r="F927" t="s">
        <v>962</v>
      </c>
      <c r="G927" t="str">
        <f>"0756"</f>
        <v>0756</v>
      </c>
      <c r="H927" t="str">
        <f>"0000"</f>
        <v>0000</v>
      </c>
      <c r="I927" t="s">
        <v>69</v>
      </c>
      <c r="J927">
        <v>0</v>
      </c>
      <c r="K927">
        <v>1</v>
      </c>
      <c r="L927">
        <v>2</v>
      </c>
      <c r="M927">
        <v>280</v>
      </c>
      <c r="N927">
        <v>247</v>
      </c>
      <c r="O927">
        <v>0</v>
      </c>
      <c r="P927">
        <v>247</v>
      </c>
      <c r="Q927">
        <v>5</v>
      </c>
      <c r="R927">
        <v>25</v>
      </c>
      <c r="S927">
        <v>4</v>
      </c>
      <c r="T927">
        <v>6</v>
      </c>
      <c r="U927">
        <v>10</v>
      </c>
      <c r="V927">
        <v>4</v>
      </c>
      <c r="W927">
        <v>1</v>
      </c>
      <c r="X927">
        <v>109</v>
      </c>
      <c r="Y927">
        <v>68</v>
      </c>
      <c r="Z927">
        <v>1</v>
      </c>
      <c r="AA927">
        <v>1</v>
      </c>
      <c r="AB927">
        <v>2</v>
      </c>
      <c r="AD927">
        <v>0</v>
      </c>
      <c r="AE927">
        <v>0</v>
      </c>
      <c r="AF927">
        <v>0</v>
      </c>
      <c r="AG927">
        <v>1</v>
      </c>
      <c r="AI927">
        <v>0</v>
      </c>
      <c r="AJ927">
        <v>10</v>
      </c>
      <c r="AK927">
        <v>247</v>
      </c>
      <c r="AL927">
        <v>247</v>
      </c>
      <c r="AM927">
        <v>483</v>
      </c>
      <c r="AN927">
        <v>44</v>
      </c>
      <c r="AP927">
        <v>1</v>
      </c>
      <c r="AR927" t="s">
        <v>1012</v>
      </c>
      <c r="AS927" s="1">
        <v>44354.00277777778</v>
      </c>
      <c r="AT927" s="1">
        <v>44354.010347222225</v>
      </c>
      <c r="AU927" s="1">
        <v>44354.010879629626</v>
      </c>
      <c r="AV927" t="s">
        <v>71</v>
      </c>
      <c r="AW927" t="s">
        <v>72</v>
      </c>
      <c r="AX927" t="s">
        <v>73</v>
      </c>
    </row>
    <row r="928" spans="1:50" x14ac:dyDescent="0.3">
      <c r="A928" t="str">
        <f>"200756E0100"</f>
        <v>200756E0100</v>
      </c>
      <c r="B928" t="str">
        <f>"200756E01002"</f>
        <v>200756E01002</v>
      </c>
      <c r="C928" t="str">
        <f t="shared" si="39"/>
        <v>20</v>
      </c>
      <c r="D928" t="s">
        <v>67</v>
      </c>
      <c r="E928" t="str">
        <f t="shared" si="38"/>
        <v>005</v>
      </c>
      <c r="F928" t="s">
        <v>962</v>
      </c>
      <c r="G928" t="str">
        <f>"0756"</f>
        <v>0756</v>
      </c>
      <c r="H928" t="str">
        <f>"0001"</f>
        <v>0001</v>
      </c>
      <c r="I928" t="s">
        <v>109</v>
      </c>
      <c r="J928">
        <v>0</v>
      </c>
      <c r="K928">
        <v>1</v>
      </c>
      <c r="L928">
        <v>2</v>
      </c>
      <c r="M928">
        <v>64</v>
      </c>
      <c r="N928">
        <v>81</v>
      </c>
      <c r="O928">
        <v>0</v>
      </c>
      <c r="P928">
        <v>81</v>
      </c>
      <c r="Q928">
        <v>2</v>
      </c>
      <c r="R928">
        <v>5</v>
      </c>
      <c r="S928">
        <v>0</v>
      </c>
      <c r="T928">
        <v>4</v>
      </c>
      <c r="U928">
        <v>3</v>
      </c>
      <c r="V928">
        <v>1</v>
      </c>
      <c r="W928">
        <v>2</v>
      </c>
      <c r="X928">
        <v>26</v>
      </c>
      <c r="Y928">
        <v>35</v>
      </c>
      <c r="Z928">
        <v>1</v>
      </c>
      <c r="AA928">
        <v>1</v>
      </c>
      <c r="AB928">
        <v>0</v>
      </c>
      <c r="AD928">
        <v>0</v>
      </c>
      <c r="AE928">
        <v>0</v>
      </c>
      <c r="AF928">
        <v>0</v>
      </c>
      <c r="AG928">
        <v>0</v>
      </c>
      <c r="AI928">
        <v>0</v>
      </c>
      <c r="AJ928">
        <v>1</v>
      </c>
      <c r="AK928">
        <v>81</v>
      </c>
      <c r="AL928">
        <v>81</v>
      </c>
      <c r="AM928">
        <v>101</v>
      </c>
      <c r="AN928">
        <v>44</v>
      </c>
      <c r="AP928">
        <v>1</v>
      </c>
      <c r="AR928" t="s">
        <v>1013</v>
      </c>
      <c r="AS928" s="1">
        <v>44353.499305555553</v>
      </c>
      <c r="AT928" s="1">
        <v>44354.021354166667</v>
      </c>
      <c r="AU928" s="1">
        <v>44354.021863425929</v>
      </c>
      <c r="AV928" t="s">
        <v>71</v>
      </c>
      <c r="AW928" t="s">
        <v>72</v>
      </c>
      <c r="AX928" t="s">
        <v>73</v>
      </c>
    </row>
    <row r="929" spans="1:50" x14ac:dyDescent="0.3">
      <c r="A929" t="str">
        <f>"200764B0000"</f>
        <v>200764B0000</v>
      </c>
      <c r="B929" t="str">
        <f>"200764B00002"</f>
        <v>200764B00002</v>
      </c>
      <c r="C929" t="str">
        <f t="shared" si="39"/>
        <v>20</v>
      </c>
      <c r="D929" t="s">
        <v>67</v>
      </c>
      <c r="E929" t="str">
        <f t="shared" si="38"/>
        <v>005</v>
      </c>
      <c r="F929" t="s">
        <v>962</v>
      </c>
      <c r="G929" t="str">
        <f>"0764"</f>
        <v>0764</v>
      </c>
      <c r="H929" t="str">
        <f>"0000"</f>
        <v>0000</v>
      </c>
      <c r="I929" t="s">
        <v>69</v>
      </c>
      <c r="J929">
        <v>0</v>
      </c>
      <c r="K929">
        <v>1</v>
      </c>
      <c r="L929">
        <v>2</v>
      </c>
      <c r="M929">
        <v>217</v>
      </c>
      <c r="N929">
        <v>459</v>
      </c>
      <c r="O929">
        <v>600</v>
      </c>
      <c r="P929">
        <v>459</v>
      </c>
      <c r="Q929">
        <v>9</v>
      </c>
      <c r="R929">
        <v>148</v>
      </c>
      <c r="S929">
        <v>3</v>
      </c>
      <c r="T929">
        <v>2</v>
      </c>
      <c r="U929">
        <v>5</v>
      </c>
      <c r="V929">
        <v>0</v>
      </c>
      <c r="W929">
        <v>0</v>
      </c>
      <c r="X929">
        <v>263</v>
      </c>
      <c r="Y929">
        <v>1</v>
      </c>
      <c r="Z929">
        <v>4</v>
      </c>
      <c r="AA929">
        <v>0</v>
      </c>
      <c r="AB929">
        <v>6</v>
      </c>
      <c r="AD929">
        <v>4</v>
      </c>
      <c r="AE929">
        <v>1</v>
      </c>
      <c r="AF929">
        <v>1</v>
      </c>
      <c r="AG929">
        <v>0</v>
      </c>
      <c r="AI929">
        <v>0</v>
      </c>
      <c r="AJ929">
        <v>12</v>
      </c>
      <c r="AK929">
        <v>459</v>
      </c>
      <c r="AL929">
        <v>459</v>
      </c>
      <c r="AM929">
        <v>632</v>
      </c>
      <c r="AN929">
        <v>44</v>
      </c>
      <c r="AP929">
        <v>1</v>
      </c>
      <c r="AR929" t="s">
        <v>1014</v>
      </c>
      <c r="AS929" s="1">
        <v>44353.946168981478</v>
      </c>
      <c r="AT929" s="1">
        <v>44353.947696759256</v>
      </c>
      <c r="AU929" s="1">
        <v>44353.948437500003</v>
      </c>
      <c r="AV929" t="s">
        <v>269</v>
      </c>
      <c r="AW929" t="s">
        <v>270</v>
      </c>
      <c r="AX929" t="s">
        <v>73</v>
      </c>
    </row>
    <row r="930" spans="1:50" x14ac:dyDescent="0.3">
      <c r="A930" t="str">
        <f>"200764C0100"</f>
        <v>200764C0100</v>
      </c>
      <c r="B930" t="str">
        <f>"200764C01002"</f>
        <v>200764C01002</v>
      </c>
      <c r="C930" t="str">
        <f t="shared" si="39"/>
        <v>20</v>
      </c>
      <c r="D930" t="s">
        <v>67</v>
      </c>
      <c r="E930" t="str">
        <f t="shared" si="38"/>
        <v>005</v>
      </c>
      <c r="F930" t="s">
        <v>962</v>
      </c>
      <c r="G930" t="str">
        <f>"0764"</f>
        <v>0764</v>
      </c>
      <c r="H930" t="str">
        <f>"0001"</f>
        <v>0001</v>
      </c>
      <c r="I930" t="s">
        <v>75</v>
      </c>
      <c r="J930">
        <v>0</v>
      </c>
      <c r="K930">
        <v>1</v>
      </c>
      <c r="L930">
        <v>2</v>
      </c>
      <c r="M930">
        <v>214</v>
      </c>
      <c r="N930">
        <v>461</v>
      </c>
      <c r="O930">
        <v>0</v>
      </c>
      <c r="P930">
        <v>461</v>
      </c>
      <c r="Q930">
        <v>2</v>
      </c>
      <c r="R930">
        <v>152</v>
      </c>
      <c r="S930">
        <v>5</v>
      </c>
      <c r="T930">
        <v>4</v>
      </c>
      <c r="U930">
        <v>8</v>
      </c>
      <c r="V930">
        <v>7</v>
      </c>
      <c r="W930">
        <v>2</v>
      </c>
      <c r="X930">
        <v>243</v>
      </c>
      <c r="Y930">
        <v>0</v>
      </c>
      <c r="Z930">
        <v>5</v>
      </c>
      <c r="AA930">
        <v>2</v>
      </c>
      <c r="AB930">
        <v>14</v>
      </c>
      <c r="AD930">
        <v>4</v>
      </c>
      <c r="AE930">
        <v>0</v>
      </c>
      <c r="AF930">
        <v>0</v>
      </c>
      <c r="AG930">
        <v>0</v>
      </c>
      <c r="AI930">
        <v>0</v>
      </c>
      <c r="AJ930">
        <v>13</v>
      </c>
      <c r="AK930">
        <v>461</v>
      </c>
      <c r="AL930">
        <v>461</v>
      </c>
      <c r="AM930">
        <v>631</v>
      </c>
      <c r="AN930">
        <v>44</v>
      </c>
      <c r="AP930">
        <v>1</v>
      </c>
      <c r="AR930" t="s">
        <v>1015</v>
      </c>
      <c r="AS930" s="1">
        <v>44354.088194444441</v>
      </c>
      <c r="AT930" s="1">
        <v>44354.09615740741</v>
      </c>
      <c r="AU930" s="1">
        <v>44354.097546296296</v>
      </c>
      <c r="AV930" t="s">
        <v>71</v>
      </c>
      <c r="AW930" t="s">
        <v>72</v>
      </c>
      <c r="AX930" t="s">
        <v>73</v>
      </c>
    </row>
    <row r="931" spans="1:50" x14ac:dyDescent="0.3">
      <c r="A931" t="str">
        <f>"200764C0200"</f>
        <v>200764C0200</v>
      </c>
      <c r="B931" t="str">
        <f>"200764C02002"</f>
        <v>200764C02002</v>
      </c>
      <c r="C931" t="str">
        <f t="shared" si="39"/>
        <v>20</v>
      </c>
      <c r="D931" t="s">
        <v>67</v>
      </c>
      <c r="E931" t="str">
        <f t="shared" si="38"/>
        <v>005</v>
      </c>
      <c r="F931" t="s">
        <v>962</v>
      </c>
      <c r="G931" t="str">
        <f>"0764"</f>
        <v>0764</v>
      </c>
      <c r="H931" t="str">
        <f>"0002"</f>
        <v>0002</v>
      </c>
      <c r="I931" t="s">
        <v>75</v>
      </c>
      <c r="J931">
        <v>0</v>
      </c>
      <c r="K931">
        <v>1</v>
      </c>
      <c r="L931">
        <v>2</v>
      </c>
      <c r="M931">
        <v>235</v>
      </c>
      <c r="N931">
        <v>440</v>
      </c>
      <c r="O931" t="s">
        <v>80</v>
      </c>
      <c r="P931" t="s">
        <v>80</v>
      </c>
      <c r="Q931">
        <v>4</v>
      </c>
      <c r="R931">
        <v>133</v>
      </c>
      <c r="S931">
        <v>10</v>
      </c>
      <c r="T931">
        <v>4</v>
      </c>
      <c r="U931">
        <v>2</v>
      </c>
      <c r="V931">
        <v>10</v>
      </c>
      <c r="W931">
        <v>1</v>
      </c>
      <c r="X931">
        <v>250</v>
      </c>
      <c r="Y931">
        <v>3</v>
      </c>
      <c r="Z931">
        <v>2</v>
      </c>
      <c r="AA931">
        <v>1</v>
      </c>
      <c r="AB931">
        <v>9</v>
      </c>
      <c r="AD931" t="s">
        <v>77</v>
      </c>
      <c r="AE931" t="s">
        <v>77</v>
      </c>
      <c r="AF931" t="s">
        <v>77</v>
      </c>
      <c r="AG931" t="s">
        <v>77</v>
      </c>
      <c r="AI931" t="s">
        <v>77</v>
      </c>
      <c r="AJ931" t="s">
        <v>77</v>
      </c>
      <c r="AK931" t="s">
        <v>77</v>
      </c>
      <c r="AL931">
        <v>429</v>
      </c>
      <c r="AM931">
        <v>631</v>
      </c>
      <c r="AN931">
        <v>44</v>
      </c>
      <c r="AO931" t="s">
        <v>78</v>
      </c>
      <c r="AP931">
        <v>1</v>
      </c>
      <c r="AR931" t="s">
        <v>1016</v>
      </c>
      <c r="AS931" s="1">
        <v>44353.915520833332</v>
      </c>
      <c r="AT931" s="1">
        <v>44353.916909722226</v>
      </c>
      <c r="AU931" s="1">
        <v>44353.917407407411</v>
      </c>
      <c r="AV931" t="s">
        <v>269</v>
      </c>
      <c r="AW931" t="s">
        <v>270</v>
      </c>
      <c r="AX931" t="s">
        <v>73</v>
      </c>
    </row>
    <row r="932" spans="1:50" x14ac:dyDescent="0.3">
      <c r="A932" t="str">
        <f>"200765B0000"</f>
        <v>200765B0000</v>
      </c>
      <c r="B932" t="str">
        <f>"200765B00002"</f>
        <v>200765B00002</v>
      </c>
      <c r="C932" t="str">
        <f t="shared" si="39"/>
        <v>20</v>
      </c>
      <c r="D932" t="s">
        <v>67</v>
      </c>
      <c r="E932" t="str">
        <f t="shared" si="38"/>
        <v>005</v>
      </c>
      <c r="F932" t="s">
        <v>962</v>
      </c>
      <c r="G932" t="str">
        <f>"0765"</f>
        <v>0765</v>
      </c>
      <c r="H932" t="str">
        <f>"0000"</f>
        <v>0000</v>
      </c>
      <c r="I932" t="s">
        <v>69</v>
      </c>
      <c r="J932">
        <v>0</v>
      </c>
      <c r="K932">
        <v>1</v>
      </c>
      <c r="L932">
        <v>2</v>
      </c>
      <c r="M932">
        <v>315</v>
      </c>
      <c r="N932">
        <v>0</v>
      </c>
      <c r="O932">
        <v>0</v>
      </c>
      <c r="P932">
        <v>374</v>
      </c>
      <c r="Q932">
        <v>0</v>
      </c>
      <c r="R932">
        <v>78</v>
      </c>
      <c r="S932">
        <v>6</v>
      </c>
      <c r="T932">
        <v>0</v>
      </c>
      <c r="U932">
        <v>5</v>
      </c>
      <c r="V932">
        <v>1</v>
      </c>
      <c r="W932">
        <v>2</v>
      </c>
      <c r="X932">
        <v>214</v>
      </c>
      <c r="Y932">
        <v>1</v>
      </c>
      <c r="Z932">
        <v>2</v>
      </c>
      <c r="AA932">
        <v>2</v>
      </c>
      <c r="AB932">
        <v>53</v>
      </c>
      <c r="AD932">
        <v>3</v>
      </c>
      <c r="AE932">
        <v>0</v>
      </c>
      <c r="AF932">
        <v>0</v>
      </c>
      <c r="AG932">
        <v>0</v>
      </c>
      <c r="AI932">
        <v>0</v>
      </c>
      <c r="AJ932">
        <v>0</v>
      </c>
      <c r="AK932" t="s">
        <v>99</v>
      </c>
      <c r="AL932">
        <v>367</v>
      </c>
      <c r="AM932">
        <v>645</v>
      </c>
      <c r="AN932">
        <v>44</v>
      </c>
      <c r="AP932">
        <v>1</v>
      </c>
      <c r="AR932" t="s">
        <v>1017</v>
      </c>
      <c r="AS932" s="1">
        <v>44354.089583333334</v>
      </c>
      <c r="AT932" s="1">
        <v>44354.096817129626</v>
      </c>
      <c r="AU932" s="1">
        <v>44354.097395833334</v>
      </c>
      <c r="AV932" t="s">
        <v>71</v>
      </c>
      <c r="AW932" t="s">
        <v>72</v>
      </c>
      <c r="AX932" t="s">
        <v>73</v>
      </c>
    </row>
    <row r="933" spans="1:50" x14ac:dyDescent="0.3">
      <c r="A933" t="str">
        <f>"200765C0100"</f>
        <v>200765C0100</v>
      </c>
      <c r="B933" t="str">
        <f>"200765C01002"</f>
        <v>200765C01002</v>
      </c>
      <c r="C933" t="str">
        <f t="shared" si="39"/>
        <v>20</v>
      </c>
      <c r="D933" t="s">
        <v>67</v>
      </c>
      <c r="E933" t="str">
        <f t="shared" si="38"/>
        <v>005</v>
      </c>
      <c r="F933" t="s">
        <v>962</v>
      </c>
      <c r="G933" t="str">
        <f>"0765"</f>
        <v>0765</v>
      </c>
      <c r="H933" t="str">
        <f>"0001"</f>
        <v>0001</v>
      </c>
      <c r="I933" t="s">
        <v>75</v>
      </c>
      <c r="J933">
        <v>0</v>
      </c>
      <c r="K933">
        <v>1</v>
      </c>
      <c r="L933">
        <v>2</v>
      </c>
      <c r="M933">
        <v>355</v>
      </c>
      <c r="N933">
        <v>333</v>
      </c>
      <c r="O933">
        <v>1</v>
      </c>
      <c r="P933">
        <v>333</v>
      </c>
      <c r="Q933">
        <v>2</v>
      </c>
      <c r="R933">
        <v>74</v>
      </c>
      <c r="S933">
        <v>3</v>
      </c>
      <c r="T933">
        <v>1</v>
      </c>
      <c r="U933">
        <v>5</v>
      </c>
      <c r="V933">
        <v>3</v>
      </c>
      <c r="W933">
        <v>4</v>
      </c>
      <c r="X933">
        <v>205</v>
      </c>
      <c r="Y933">
        <v>2</v>
      </c>
      <c r="Z933">
        <v>2</v>
      </c>
      <c r="AA933">
        <v>1</v>
      </c>
      <c r="AB933">
        <v>25</v>
      </c>
      <c r="AD933">
        <v>1</v>
      </c>
      <c r="AE933">
        <v>0</v>
      </c>
      <c r="AF933">
        <v>0</v>
      </c>
      <c r="AG933">
        <v>0</v>
      </c>
      <c r="AI933">
        <v>0</v>
      </c>
      <c r="AJ933">
        <v>5</v>
      </c>
      <c r="AK933">
        <v>333</v>
      </c>
      <c r="AL933">
        <v>333</v>
      </c>
      <c r="AM933">
        <v>644</v>
      </c>
      <c r="AN933">
        <v>44</v>
      </c>
      <c r="AP933">
        <v>1</v>
      </c>
      <c r="AR933" t="s">
        <v>1018</v>
      </c>
      <c r="AS933" s="1">
        <v>44354.089583333334</v>
      </c>
      <c r="AT933" s="1">
        <v>44354.096458333333</v>
      </c>
      <c r="AU933" s="1">
        <v>44354.097199074073</v>
      </c>
      <c r="AV933" t="s">
        <v>71</v>
      </c>
      <c r="AW933" t="s">
        <v>72</v>
      </c>
      <c r="AX933" t="s">
        <v>73</v>
      </c>
    </row>
    <row r="934" spans="1:50" x14ac:dyDescent="0.3">
      <c r="A934" t="str">
        <f>"200776B0000"</f>
        <v>200776B0000</v>
      </c>
      <c r="B934" t="str">
        <f>"200776B00002"</f>
        <v>200776B00002</v>
      </c>
      <c r="C934" t="str">
        <f t="shared" si="39"/>
        <v>20</v>
      </c>
      <c r="D934" t="s">
        <v>67</v>
      </c>
      <c r="E934" t="str">
        <f t="shared" si="38"/>
        <v>005</v>
      </c>
      <c r="F934" t="s">
        <v>962</v>
      </c>
      <c r="G934" t="str">
        <f>"0776"</f>
        <v>0776</v>
      </c>
      <c r="H934" t="str">
        <f t="shared" ref="H934:H942" si="40">"0000"</f>
        <v>0000</v>
      </c>
      <c r="I934" t="s">
        <v>69</v>
      </c>
      <c r="J934">
        <v>0</v>
      </c>
      <c r="K934">
        <v>1</v>
      </c>
      <c r="L934">
        <v>2</v>
      </c>
      <c r="M934">
        <v>112</v>
      </c>
      <c r="N934">
        <v>249</v>
      </c>
      <c r="O934">
        <v>2</v>
      </c>
      <c r="P934">
        <v>137</v>
      </c>
      <c r="Q934">
        <v>2</v>
      </c>
      <c r="R934">
        <v>6</v>
      </c>
      <c r="S934">
        <v>0</v>
      </c>
      <c r="T934">
        <v>0</v>
      </c>
      <c r="U934">
        <v>3</v>
      </c>
      <c r="V934">
        <v>2</v>
      </c>
      <c r="W934">
        <v>3</v>
      </c>
      <c r="X934">
        <v>113</v>
      </c>
      <c r="Y934">
        <v>2</v>
      </c>
      <c r="Z934">
        <v>1</v>
      </c>
      <c r="AA934">
        <v>1</v>
      </c>
      <c r="AB934">
        <v>1</v>
      </c>
      <c r="AD934">
        <v>0</v>
      </c>
      <c r="AE934">
        <v>0</v>
      </c>
      <c r="AF934">
        <v>0</v>
      </c>
      <c r="AG934">
        <v>1</v>
      </c>
      <c r="AI934">
        <v>0</v>
      </c>
      <c r="AJ934">
        <v>2</v>
      </c>
      <c r="AK934">
        <v>137</v>
      </c>
      <c r="AL934">
        <v>137</v>
      </c>
      <c r="AM934">
        <v>205</v>
      </c>
      <c r="AN934">
        <v>44</v>
      </c>
      <c r="AP934">
        <v>1</v>
      </c>
      <c r="AR934" t="s">
        <v>1019</v>
      </c>
      <c r="AS934" s="1">
        <v>44354.001388888886</v>
      </c>
      <c r="AT934" s="1">
        <v>44354.009027777778</v>
      </c>
      <c r="AU934" s="1">
        <v>44354.009722222225</v>
      </c>
      <c r="AV934" t="s">
        <v>71</v>
      </c>
      <c r="AW934" t="s">
        <v>72</v>
      </c>
      <c r="AX934" t="s">
        <v>73</v>
      </c>
    </row>
    <row r="935" spans="1:50" x14ac:dyDescent="0.3">
      <c r="A935" t="str">
        <f>"200801B0000"</f>
        <v>200801B0000</v>
      </c>
      <c r="B935" t="str">
        <f>"200801B00002"</f>
        <v>200801B00002</v>
      </c>
      <c r="C935" t="str">
        <f t="shared" si="39"/>
        <v>20</v>
      </c>
      <c r="D935" t="s">
        <v>67</v>
      </c>
      <c r="E935" t="str">
        <f t="shared" si="38"/>
        <v>005</v>
      </c>
      <c r="F935" t="s">
        <v>962</v>
      </c>
      <c r="G935" t="str">
        <f>"0801"</f>
        <v>0801</v>
      </c>
      <c r="H935" t="str">
        <f t="shared" si="40"/>
        <v>0000</v>
      </c>
      <c r="I935" t="s">
        <v>69</v>
      </c>
      <c r="J935">
        <v>0</v>
      </c>
      <c r="K935">
        <v>1</v>
      </c>
      <c r="L935">
        <v>2</v>
      </c>
      <c r="M935">
        <v>230</v>
      </c>
      <c r="N935">
        <v>189</v>
      </c>
      <c r="O935">
        <v>0</v>
      </c>
      <c r="P935">
        <v>189</v>
      </c>
      <c r="Q935">
        <v>3</v>
      </c>
      <c r="R935">
        <v>16</v>
      </c>
      <c r="S935">
        <v>5</v>
      </c>
      <c r="T935">
        <v>3</v>
      </c>
      <c r="U935">
        <v>25</v>
      </c>
      <c r="V935">
        <v>3</v>
      </c>
      <c r="W935">
        <v>4</v>
      </c>
      <c r="X935">
        <v>109</v>
      </c>
      <c r="Y935">
        <v>0</v>
      </c>
      <c r="Z935">
        <v>2</v>
      </c>
      <c r="AA935">
        <v>0</v>
      </c>
      <c r="AB935">
        <v>6</v>
      </c>
      <c r="AD935">
        <v>0</v>
      </c>
      <c r="AE935">
        <v>0</v>
      </c>
      <c r="AF935">
        <v>0</v>
      </c>
      <c r="AG935">
        <v>0</v>
      </c>
      <c r="AI935">
        <v>0</v>
      </c>
      <c r="AJ935">
        <v>13</v>
      </c>
      <c r="AK935">
        <v>189</v>
      </c>
      <c r="AL935">
        <v>189</v>
      </c>
      <c r="AM935">
        <v>375</v>
      </c>
      <c r="AN935">
        <v>44</v>
      </c>
      <c r="AP935">
        <v>1</v>
      </c>
      <c r="AR935" t="s">
        <v>1020</v>
      </c>
      <c r="AS935" s="1">
        <v>44353.96597222222</v>
      </c>
      <c r="AT935" s="1">
        <v>44353.972777777781</v>
      </c>
      <c r="AU935" s="1">
        <v>44353.973715277774</v>
      </c>
      <c r="AV935" t="s">
        <v>71</v>
      </c>
      <c r="AW935" t="s">
        <v>72</v>
      </c>
      <c r="AX935" t="s">
        <v>73</v>
      </c>
    </row>
    <row r="936" spans="1:50" x14ac:dyDescent="0.3">
      <c r="A936" t="str">
        <f>"200802B0000"</f>
        <v>200802B0000</v>
      </c>
      <c r="B936" t="str">
        <f>"200802B00002"</f>
        <v>200802B00002</v>
      </c>
      <c r="C936" t="str">
        <f t="shared" si="39"/>
        <v>20</v>
      </c>
      <c r="D936" t="s">
        <v>67</v>
      </c>
      <c r="E936" t="str">
        <f t="shared" si="38"/>
        <v>005</v>
      </c>
      <c r="F936" t="s">
        <v>962</v>
      </c>
      <c r="G936" t="str">
        <f>"0802"</f>
        <v>0802</v>
      </c>
      <c r="H936" t="str">
        <f t="shared" si="40"/>
        <v>0000</v>
      </c>
      <c r="I936" t="s">
        <v>69</v>
      </c>
      <c r="J936">
        <v>0</v>
      </c>
      <c r="K936">
        <v>1</v>
      </c>
      <c r="L936">
        <v>2</v>
      </c>
      <c r="M936">
        <v>112</v>
      </c>
      <c r="N936">
        <v>73</v>
      </c>
      <c r="O936">
        <v>5</v>
      </c>
      <c r="P936">
        <v>73</v>
      </c>
      <c r="Q936">
        <v>3</v>
      </c>
      <c r="R936">
        <v>7</v>
      </c>
      <c r="S936">
        <v>3</v>
      </c>
      <c r="T936">
        <v>1</v>
      </c>
      <c r="U936">
        <v>2</v>
      </c>
      <c r="V936">
        <v>0</v>
      </c>
      <c r="W936">
        <v>0</v>
      </c>
      <c r="X936">
        <v>52</v>
      </c>
      <c r="Y936">
        <v>3</v>
      </c>
      <c r="Z936">
        <v>0</v>
      </c>
      <c r="AA936">
        <v>0</v>
      </c>
      <c r="AB936">
        <v>0</v>
      </c>
      <c r="AD936">
        <v>0</v>
      </c>
      <c r="AE936">
        <v>0</v>
      </c>
      <c r="AF936">
        <v>0</v>
      </c>
      <c r="AG936">
        <v>0</v>
      </c>
      <c r="AI936">
        <v>0</v>
      </c>
      <c r="AJ936">
        <v>2</v>
      </c>
      <c r="AK936">
        <v>73</v>
      </c>
      <c r="AL936">
        <v>73</v>
      </c>
      <c r="AM936">
        <v>141</v>
      </c>
      <c r="AN936">
        <v>44</v>
      </c>
      <c r="AP936">
        <v>1</v>
      </c>
      <c r="AR936" t="s">
        <v>1021</v>
      </c>
      <c r="AS936" s="1">
        <v>44353.96597222222</v>
      </c>
      <c r="AT936" s="1">
        <v>44353.971458333333</v>
      </c>
      <c r="AU936" s="1">
        <v>44353.971782407411</v>
      </c>
      <c r="AV936" t="s">
        <v>71</v>
      </c>
      <c r="AW936" t="s">
        <v>72</v>
      </c>
      <c r="AX936" t="s">
        <v>73</v>
      </c>
    </row>
    <row r="937" spans="1:50" x14ac:dyDescent="0.3">
      <c r="A937" t="str">
        <f>"200837B0000"</f>
        <v>200837B0000</v>
      </c>
      <c r="B937" t="str">
        <f>"200837B00002"</f>
        <v>200837B00002</v>
      </c>
      <c r="C937" t="str">
        <f t="shared" si="39"/>
        <v>20</v>
      </c>
      <c r="D937" t="s">
        <v>67</v>
      </c>
      <c r="E937" t="str">
        <f t="shared" si="38"/>
        <v>005</v>
      </c>
      <c r="F937" t="s">
        <v>962</v>
      </c>
      <c r="G937" t="str">
        <f>"0837"</f>
        <v>0837</v>
      </c>
      <c r="H937" t="str">
        <f t="shared" si="40"/>
        <v>0000</v>
      </c>
      <c r="I937" t="s">
        <v>69</v>
      </c>
      <c r="J937">
        <v>0</v>
      </c>
      <c r="K937">
        <v>1</v>
      </c>
      <c r="L937">
        <v>2</v>
      </c>
      <c r="M937">
        <v>164</v>
      </c>
      <c r="N937">
        <v>134</v>
      </c>
      <c r="O937">
        <v>0</v>
      </c>
      <c r="P937">
        <v>135</v>
      </c>
      <c r="Q937">
        <v>2</v>
      </c>
      <c r="R937">
        <v>16</v>
      </c>
      <c r="S937">
        <v>7</v>
      </c>
      <c r="T937">
        <v>1</v>
      </c>
      <c r="U937">
        <v>5</v>
      </c>
      <c r="V937">
        <v>25</v>
      </c>
      <c r="W937">
        <v>2</v>
      </c>
      <c r="X937">
        <v>60</v>
      </c>
      <c r="Y937">
        <v>2</v>
      </c>
      <c r="Z937">
        <v>0</v>
      </c>
      <c r="AA937">
        <v>0</v>
      </c>
      <c r="AB937">
        <v>8</v>
      </c>
      <c r="AD937">
        <v>1</v>
      </c>
      <c r="AE937">
        <v>1</v>
      </c>
      <c r="AF937">
        <v>0</v>
      </c>
      <c r="AG937">
        <v>0</v>
      </c>
      <c r="AI937">
        <v>0</v>
      </c>
      <c r="AJ937">
        <v>5</v>
      </c>
      <c r="AK937">
        <v>135</v>
      </c>
      <c r="AL937">
        <v>135</v>
      </c>
      <c r="AM937">
        <v>255</v>
      </c>
      <c r="AN937">
        <v>44</v>
      </c>
      <c r="AP937">
        <v>1</v>
      </c>
      <c r="AR937" t="s">
        <v>1022</v>
      </c>
      <c r="AS937" s="1">
        <v>44354.001388888886</v>
      </c>
      <c r="AT937" s="1">
        <v>44354.007395833331</v>
      </c>
      <c r="AU937" s="1">
        <v>44354.007881944446</v>
      </c>
      <c r="AV937" t="s">
        <v>71</v>
      </c>
      <c r="AW937" t="s">
        <v>72</v>
      </c>
      <c r="AX937" t="s">
        <v>73</v>
      </c>
    </row>
    <row r="938" spans="1:50" x14ac:dyDescent="0.3">
      <c r="A938" t="str">
        <f>"200876B0000"</f>
        <v>200876B0000</v>
      </c>
      <c r="B938" t="str">
        <f>"200876B00002"</f>
        <v>200876B00002</v>
      </c>
      <c r="C938" t="str">
        <f t="shared" si="39"/>
        <v>20</v>
      </c>
      <c r="D938" t="s">
        <v>67</v>
      </c>
      <c r="E938" t="str">
        <f t="shared" si="38"/>
        <v>005</v>
      </c>
      <c r="F938" t="s">
        <v>962</v>
      </c>
      <c r="G938" t="str">
        <f>"0876"</f>
        <v>0876</v>
      </c>
      <c r="H938" t="str">
        <f t="shared" si="40"/>
        <v>0000</v>
      </c>
      <c r="I938" t="s">
        <v>69</v>
      </c>
      <c r="J938">
        <v>0</v>
      </c>
      <c r="K938">
        <v>1</v>
      </c>
      <c r="L938">
        <v>2</v>
      </c>
      <c r="M938">
        <v>346</v>
      </c>
      <c r="N938">
        <v>300</v>
      </c>
      <c r="O938">
        <v>0</v>
      </c>
      <c r="P938">
        <v>300</v>
      </c>
      <c r="Q938">
        <v>2</v>
      </c>
      <c r="R938">
        <v>35</v>
      </c>
      <c r="S938">
        <v>9</v>
      </c>
      <c r="T938">
        <v>3</v>
      </c>
      <c r="U938">
        <v>43</v>
      </c>
      <c r="V938">
        <v>3</v>
      </c>
      <c r="W938">
        <v>5</v>
      </c>
      <c r="X938">
        <v>99</v>
      </c>
      <c r="Y938">
        <v>87</v>
      </c>
      <c r="Z938">
        <v>0</v>
      </c>
      <c r="AA938">
        <v>2</v>
      </c>
      <c r="AB938">
        <v>7</v>
      </c>
      <c r="AD938">
        <v>0</v>
      </c>
      <c r="AE938">
        <v>0</v>
      </c>
      <c r="AF938">
        <v>0</v>
      </c>
      <c r="AG938">
        <v>0</v>
      </c>
      <c r="AI938">
        <v>0</v>
      </c>
      <c r="AJ938">
        <v>0</v>
      </c>
      <c r="AK938">
        <v>0</v>
      </c>
      <c r="AL938">
        <v>295</v>
      </c>
      <c r="AM938">
        <v>602</v>
      </c>
      <c r="AN938">
        <v>44</v>
      </c>
      <c r="AP938">
        <v>1</v>
      </c>
      <c r="AR938" t="s">
        <v>1023</v>
      </c>
      <c r="AS938" s="1">
        <v>44354.043055555558</v>
      </c>
      <c r="AT938" s="1">
        <v>44354.051770833335</v>
      </c>
      <c r="AU938" s="1">
        <v>44354.052951388891</v>
      </c>
      <c r="AV938" t="s">
        <v>71</v>
      </c>
      <c r="AW938" t="s">
        <v>72</v>
      </c>
      <c r="AX938" t="s">
        <v>73</v>
      </c>
    </row>
    <row r="939" spans="1:50" x14ac:dyDescent="0.3">
      <c r="A939" t="str">
        <f>"200891B0000"</f>
        <v>200891B0000</v>
      </c>
      <c r="B939" t="str">
        <f>"200891B00002"</f>
        <v>200891B00002</v>
      </c>
      <c r="C939" t="str">
        <f t="shared" si="39"/>
        <v>20</v>
      </c>
      <c r="D939" t="s">
        <v>67</v>
      </c>
      <c r="E939" t="str">
        <f t="shared" si="38"/>
        <v>005</v>
      </c>
      <c r="F939" t="s">
        <v>962</v>
      </c>
      <c r="G939" t="str">
        <f>"0891"</f>
        <v>0891</v>
      </c>
      <c r="H939" t="str">
        <f t="shared" si="40"/>
        <v>0000</v>
      </c>
      <c r="I939" t="s">
        <v>69</v>
      </c>
      <c r="J939">
        <v>0</v>
      </c>
      <c r="K939">
        <v>1</v>
      </c>
      <c r="L939">
        <v>2</v>
      </c>
      <c r="M939">
        <v>310</v>
      </c>
      <c r="N939">
        <v>254</v>
      </c>
      <c r="O939">
        <v>0</v>
      </c>
      <c r="P939">
        <v>254</v>
      </c>
      <c r="Q939">
        <v>5</v>
      </c>
      <c r="R939">
        <v>29</v>
      </c>
      <c r="S939">
        <v>7</v>
      </c>
      <c r="T939">
        <v>5</v>
      </c>
      <c r="U939">
        <v>14</v>
      </c>
      <c r="V939">
        <v>1</v>
      </c>
      <c r="W939">
        <v>33</v>
      </c>
      <c r="X939">
        <v>111</v>
      </c>
      <c r="Y939">
        <v>36</v>
      </c>
      <c r="Z939">
        <v>2</v>
      </c>
      <c r="AA939">
        <v>1</v>
      </c>
      <c r="AB939">
        <v>4</v>
      </c>
      <c r="AD939">
        <v>0</v>
      </c>
      <c r="AE939">
        <v>0</v>
      </c>
      <c r="AF939">
        <v>0</v>
      </c>
      <c r="AG939">
        <v>1</v>
      </c>
      <c r="AI939">
        <v>0</v>
      </c>
      <c r="AJ939">
        <v>5</v>
      </c>
      <c r="AK939">
        <v>254</v>
      </c>
      <c r="AL939">
        <v>254</v>
      </c>
      <c r="AM939">
        <v>520</v>
      </c>
      <c r="AN939">
        <v>44</v>
      </c>
      <c r="AP939">
        <v>1</v>
      </c>
      <c r="AR939" t="s">
        <v>1024</v>
      </c>
      <c r="AS939" s="1">
        <v>44354.088194444441</v>
      </c>
      <c r="AT939" s="1">
        <v>44354.095509259256</v>
      </c>
      <c r="AU939" s="1">
        <v>44354.095949074072</v>
      </c>
      <c r="AV939" t="s">
        <v>71</v>
      </c>
      <c r="AW939" t="s">
        <v>72</v>
      </c>
      <c r="AX939" t="s">
        <v>73</v>
      </c>
    </row>
    <row r="940" spans="1:50" x14ac:dyDescent="0.3">
      <c r="A940" t="str">
        <f>"200892B0000"</f>
        <v>200892B0000</v>
      </c>
      <c r="B940" t="str">
        <f>"200892B00002"</f>
        <v>200892B00002</v>
      </c>
      <c r="C940" t="str">
        <f t="shared" si="39"/>
        <v>20</v>
      </c>
      <c r="D940" t="s">
        <v>67</v>
      </c>
      <c r="E940" t="str">
        <f t="shared" si="38"/>
        <v>005</v>
      </c>
      <c r="F940" t="s">
        <v>962</v>
      </c>
      <c r="G940" t="str">
        <f>"0892"</f>
        <v>0892</v>
      </c>
      <c r="H940" t="str">
        <f t="shared" si="40"/>
        <v>0000</v>
      </c>
      <c r="I940" t="s">
        <v>69</v>
      </c>
      <c r="J940">
        <v>0</v>
      </c>
      <c r="K940">
        <v>1</v>
      </c>
      <c r="L940">
        <v>2</v>
      </c>
      <c r="M940">
        <v>171</v>
      </c>
      <c r="N940">
        <v>158</v>
      </c>
      <c r="O940">
        <v>3</v>
      </c>
      <c r="P940">
        <v>158</v>
      </c>
      <c r="Q940">
        <v>2</v>
      </c>
      <c r="R940">
        <v>30</v>
      </c>
      <c r="S940">
        <v>12</v>
      </c>
      <c r="T940">
        <v>5</v>
      </c>
      <c r="U940">
        <v>12</v>
      </c>
      <c r="V940">
        <v>4</v>
      </c>
      <c r="W940">
        <v>4</v>
      </c>
      <c r="X940">
        <v>71</v>
      </c>
      <c r="Y940">
        <v>6</v>
      </c>
      <c r="Z940">
        <v>4</v>
      </c>
      <c r="AA940">
        <v>0</v>
      </c>
      <c r="AB940">
        <v>4</v>
      </c>
      <c r="AD940">
        <v>0</v>
      </c>
      <c r="AE940">
        <v>0</v>
      </c>
      <c r="AF940">
        <v>0</v>
      </c>
      <c r="AG940">
        <v>0</v>
      </c>
      <c r="AI940">
        <v>0</v>
      </c>
      <c r="AJ940">
        <v>8</v>
      </c>
      <c r="AK940">
        <v>158</v>
      </c>
      <c r="AL940">
        <v>162</v>
      </c>
      <c r="AM940">
        <v>285</v>
      </c>
      <c r="AN940">
        <v>44</v>
      </c>
      <c r="AP940">
        <v>1</v>
      </c>
      <c r="AR940" t="s">
        <v>1025</v>
      </c>
      <c r="AS940" s="1">
        <v>44354.088194444441</v>
      </c>
      <c r="AT940" s="1">
        <v>44354.094756944447</v>
      </c>
      <c r="AU940" s="1">
        <v>44354.095150462963</v>
      </c>
      <c r="AV940" t="s">
        <v>71</v>
      </c>
      <c r="AW940" t="s">
        <v>72</v>
      </c>
      <c r="AX940" t="s">
        <v>73</v>
      </c>
    </row>
    <row r="941" spans="1:50" x14ac:dyDescent="0.3">
      <c r="A941" t="str">
        <f>"200896B0000"</f>
        <v>200896B0000</v>
      </c>
      <c r="B941" t="str">
        <f>"200896B00002"</f>
        <v>200896B00002</v>
      </c>
      <c r="C941" t="str">
        <f t="shared" si="39"/>
        <v>20</v>
      </c>
      <c r="D941" t="s">
        <v>67</v>
      </c>
      <c r="E941" t="str">
        <f t="shared" si="38"/>
        <v>005</v>
      </c>
      <c r="F941" t="s">
        <v>962</v>
      </c>
      <c r="G941" t="str">
        <f>"0896"</f>
        <v>0896</v>
      </c>
      <c r="H941" t="str">
        <f t="shared" si="40"/>
        <v>0000</v>
      </c>
      <c r="I941" t="s">
        <v>69</v>
      </c>
      <c r="J941">
        <v>0</v>
      </c>
      <c r="K941">
        <v>1</v>
      </c>
      <c r="L941">
        <v>2</v>
      </c>
      <c r="M941">
        <v>222</v>
      </c>
      <c r="N941">
        <v>106</v>
      </c>
      <c r="O941">
        <v>0</v>
      </c>
      <c r="P941">
        <v>106</v>
      </c>
      <c r="Q941">
        <v>5</v>
      </c>
      <c r="R941">
        <v>29</v>
      </c>
      <c r="S941">
        <v>1</v>
      </c>
      <c r="T941">
        <v>1</v>
      </c>
      <c r="U941">
        <v>3</v>
      </c>
      <c r="V941">
        <v>3</v>
      </c>
      <c r="W941">
        <v>3</v>
      </c>
      <c r="X941">
        <v>43</v>
      </c>
      <c r="Y941">
        <v>8</v>
      </c>
      <c r="Z941">
        <v>0</v>
      </c>
      <c r="AA941">
        <v>1</v>
      </c>
      <c r="AB941">
        <v>3</v>
      </c>
      <c r="AD941">
        <v>0</v>
      </c>
      <c r="AE941">
        <v>0</v>
      </c>
      <c r="AF941">
        <v>0</v>
      </c>
      <c r="AG941">
        <v>0</v>
      </c>
      <c r="AI941">
        <v>0</v>
      </c>
      <c r="AJ941">
        <v>6</v>
      </c>
      <c r="AK941">
        <v>106</v>
      </c>
      <c r="AL941">
        <v>106</v>
      </c>
      <c r="AM941">
        <v>284</v>
      </c>
      <c r="AN941">
        <v>44</v>
      </c>
      <c r="AP941">
        <v>1</v>
      </c>
      <c r="AR941" t="s">
        <v>1026</v>
      </c>
      <c r="AS941" s="1">
        <v>44354.0625</v>
      </c>
      <c r="AT941" s="1">
        <v>44354.069155092591</v>
      </c>
      <c r="AU941" s="1">
        <v>44354.069861111115</v>
      </c>
      <c r="AV941" t="s">
        <v>71</v>
      </c>
      <c r="AW941" t="s">
        <v>72</v>
      </c>
      <c r="AX941" t="s">
        <v>73</v>
      </c>
    </row>
    <row r="942" spans="1:50" x14ac:dyDescent="0.3">
      <c r="A942" t="str">
        <f>"200900B0000"</f>
        <v>200900B0000</v>
      </c>
      <c r="B942" t="str">
        <f>"200900B00002"</f>
        <v>200900B00002</v>
      </c>
      <c r="C942" t="str">
        <f t="shared" si="39"/>
        <v>20</v>
      </c>
      <c r="D942" t="s">
        <v>67</v>
      </c>
      <c r="E942" t="str">
        <f t="shared" ref="E942:E1005" si="41">"005"</f>
        <v>005</v>
      </c>
      <c r="F942" t="s">
        <v>962</v>
      </c>
      <c r="G942" t="str">
        <f>"0900"</f>
        <v>0900</v>
      </c>
      <c r="H942" t="str">
        <f t="shared" si="40"/>
        <v>0000</v>
      </c>
      <c r="I942" t="s">
        <v>69</v>
      </c>
      <c r="J942">
        <v>0</v>
      </c>
      <c r="K942">
        <v>1</v>
      </c>
      <c r="L942">
        <v>2</v>
      </c>
      <c r="M942" t="s">
        <v>80</v>
      </c>
      <c r="N942" t="s">
        <v>80</v>
      </c>
      <c r="O942" t="s">
        <v>80</v>
      </c>
      <c r="P942" t="s">
        <v>80</v>
      </c>
      <c r="Q942">
        <v>9</v>
      </c>
      <c r="R942">
        <v>65</v>
      </c>
      <c r="S942">
        <v>4</v>
      </c>
      <c r="T942">
        <v>6</v>
      </c>
      <c r="U942">
        <v>23</v>
      </c>
      <c r="V942">
        <v>28</v>
      </c>
      <c r="W942">
        <v>39</v>
      </c>
      <c r="X942">
        <v>198</v>
      </c>
      <c r="Y942">
        <v>0</v>
      </c>
      <c r="Z942">
        <v>8</v>
      </c>
      <c r="AA942">
        <v>44</v>
      </c>
      <c r="AB942">
        <v>3</v>
      </c>
      <c r="AD942" t="s">
        <v>77</v>
      </c>
      <c r="AE942" t="s">
        <v>77</v>
      </c>
      <c r="AF942" t="s">
        <v>77</v>
      </c>
      <c r="AG942" t="s">
        <v>77</v>
      </c>
      <c r="AI942" t="s">
        <v>77</v>
      </c>
      <c r="AJ942" t="s">
        <v>77</v>
      </c>
      <c r="AK942" t="s">
        <v>77</v>
      </c>
      <c r="AL942">
        <v>427</v>
      </c>
      <c r="AM942">
        <v>650</v>
      </c>
      <c r="AN942">
        <v>44</v>
      </c>
      <c r="AO942" t="s">
        <v>78</v>
      </c>
      <c r="AP942">
        <v>1</v>
      </c>
      <c r="AR942" t="s">
        <v>1027</v>
      </c>
      <c r="AS942" s="1">
        <v>44354.120833333334</v>
      </c>
      <c r="AT942" s="1">
        <v>44354.125034722223</v>
      </c>
      <c r="AU942" s="1">
        <v>44354.125717592593</v>
      </c>
      <c r="AV942" t="s">
        <v>71</v>
      </c>
      <c r="AW942" t="s">
        <v>72</v>
      </c>
      <c r="AX942" t="s">
        <v>73</v>
      </c>
    </row>
    <row r="943" spans="1:50" x14ac:dyDescent="0.3">
      <c r="A943" t="str">
        <f>"200900C0100"</f>
        <v>200900C0100</v>
      </c>
      <c r="B943" t="str">
        <f>"200900C01002"</f>
        <v>200900C01002</v>
      </c>
      <c r="C943" t="str">
        <f t="shared" si="39"/>
        <v>20</v>
      </c>
      <c r="D943" t="s">
        <v>67</v>
      </c>
      <c r="E943" t="str">
        <f t="shared" si="41"/>
        <v>005</v>
      </c>
      <c r="F943" t="s">
        <v>962</v>
      </c>
      <c r="G943" t="str">
        <f>"0900"</f>
        <v>0900</v>
      </c>
      <c r="H943" t="str">
        <f>"0001"</f>
        <v>0001</v>
      </c>
      <c r="I943" t="s">
        <v>75</v>
      </c>
      <c r="J943">
        <v>0</v>
      </c>
      <c r="K943">
        <v>1</v>
      </c>
      <c r="L943">
        <v>2</v>
      </c>
      <c r="M943">
        <v>238</v>
      </c>
      <c r="N943">
        <v>456</v>
      </c>
      <c r="O943">
        <v>4</v>
      </c>
      <c r="P943">
        <v>456</v>
      </c>
      <c r="Q943">
        <v>4</v>
      </c>
      <c r="R943">
        <v>88</v>
      </c>
      <c r="S943">
        <v>1</v>
      </c>
      <c r="T943">
        <v>6</v>
      </c>
      <c r="U943">
        <v>16</v>
      </c>
      <c r="V943">
        <v>32</v>
      </c>
      <c r="W943">
        <v>38</v>
      </c>
      <c r="X943">
        <v>196</v>
      </c>
      <c r="Y943">
        <v>2</v>
      </c>
      <c r="Z943">
        <v>3</v>
      </c>
      <c r="AA943">
        <v>54</v>
      </c>
      <c r="AB943">
        <v>12</v>
      </c>
      <c r="AD943">
        <v>0</v>
      </c>
      <c r="AE943">
        <v>0</v>
      </c>
      <c r="AF943">
        <v>0</v>
      </c>
      <c r="AG943">
        <v>0</v>
      </c>
      <c r="AI943">
        <v>0</v>
      </c>
      <c r="AJ943">
        <v>4</v>
      </c>
      <c r="AK943">
        <v>456</v>
      </c>
      <c r="AL943">
        <v>456</v>
      </c>
      <c r="AM943">
        <v>650</v>
      </c>
      <c r="AN943">
        <v>44</v>
      </c>
      <c r="AP943">
        <v>1</v>
      </c>
      <c r="AR943" t="s">
        <v>1028</v>
      </c>
      <c r="AS943" s="1">
        <v>44354.291666666664</v>
      </c>
      <c r="AT943" s="1">
        <v>44354.293240740742</v>
      </c>
      <c r="AU943" s="1">
        <v>44354.294351851851</v>
      </c>
      <c r="AV943" t="s">
        <v>71</v>
      </c>
      <c r="AW943" t="s">
        <v>72</v>
      </c>
      <c r="AX943" t="s">
        <v>347</v>
      </c>
    </row>
    <row r="944" spans="1:50" x14ac:dyDescent="0.3">
      <c r="A944" t="str">
        <f>"200900C0200"</f>
        <v>200900C0200</v>
      </c>
      <c r="B944" t="str">
        <f>"200900C02002"</f>
        <v>200900C02002</v>
      </c>
      <c r="C944" t="str">
        <f t="shared" si="39"/>
        <v>20</v>
      </c>
      <c r="D944" t="s">
        <v>67</v>
      </c>
      <c r="E944" t="str">
        <f t="shared" si="41"/>
        <v>005</v>
      </c>
      <c r="F944" t="s">
        <v>962</v>
      </c>
      <c r="G944" t="str">
        <f>"0900"</f>
        <v>0900</v>
      </c>
      <c r="H944" t="str">
        <f>"0002"</f>
        <v>0002</v>
      </c>
      <c r="I944" t="s">
        <v>75</v>
      </c>
      <c r="J944">
        <v>0</v>
      </c>
      <c r="K944">
        <v>1</v>
      </c>
      <c r="L944">
        <v>2</v>
      </c>
      <c r="M944">
        <v>247</v>
      </c>
      <c r="N944">
        <v>446</v>
      </c>
      <c r="O944">
        <v>16</v>
      </c>
      <c r="P944">
        <v>446</v>
      </c>
      <c r="Q944">
        <v>2</v>
      </c>
      <c r="R944">
        <v>61</v>
      </c>
      <c r="S944">
        <v>3</v>
      </c>
      <c r="T944">
        <v>5</v>
      </c>
      <c r="U944">
        <v>12</v>
      </c>
      <c r="V944">
        <v>40</v>
      </c>
      <c r="W944">
        <v>51</v>
      </c>
      <c r="X944">
        <v>183</v>
      </c>
      <c r="Y944">
        <v>1</v>
      </c>
      <c r="Z944">
        <v>5</v>
      </c>
      <c r="AA944">
        <v>47</v>
      </c>
      <c r="AB944">
        <v>24</v>
      </c>
      <c r="AD944">
        <v>0</v>
      </c>
      <c r="AE944">
        <v>0</v>
      </c>
      <c r="AF944">
        <v>0</v>
      </c>
      <c r="AG944">
        <v>0</v>
      </c>
      <c r="AI944">
        <v>0</v>
      </c>
      <c r="AJ944">
        <v>12</v>
      </c>
      <c r="AK944">
        <v>446</v>
      </c>
      <c r="AL944">
        <v>446</v>
      </c>
      <c r="AM944">
        <v>649</v>
      </c>
      <c r="AN944">
        <v>44</v>
      </c>
      <c r="AP944">
        <v>1</v>
      </c>
      <c r="AR944" t="s">
        <v>1029</v>
      </c>
      <c r="AS944" s="1">
        <v>44354.119444444441</v>
      </c>
      <c r="AT944" s="1">
        <v>44354.124039351853</v>
      </c>
      <c r="AU944" s="1">
        <v>44354.124745370369</v>
      </c>
      <c r="AV944" t="s">
        <v>71</v>
      </c>
      <c r="AW944" t="s">
        <v>72</v>
      </c>
      <c r="AX944" t="s">
        <v>73</v>
      </c>
    </row>
    <row r="945" spans="1:50" x14ac:dyDescent="0.3">
      <c r="A945" t="str">
        <f>"200900E0100"</f>
        <v>200900E0100</v>
      </c>
      <c r="B945" t="str">
        <f>"200900E01002"</f>
        <v>200900E01002</v>
      </c>
      <c r="C945" t="str">
        <f t="shared" si="39"/>
        <v>20</v>
      </c>
      <c r="D945" t="s">
        <v>67</v>
      </c>
      <c r="E945" t="str">
        <f t="shared" si="41"/>
        <v>005</v>
      </c>
      <c r="F945" t="s">
        <v>962</v>
      </c>
      <c r="G945" t="str">
        <f>"0900"</f>
        <v>0900</v>
      </c>
      <c r="H945" t="str">
        <f>"0001"</f>
        <v>0001</v>
      </c>
      <c r="I945" t="s">
        <v>109</v>
      </c>
      <c r="J945">
        <v>0</v>
      </c>
      <c r="K945">
        <v>1</v>
      </c>
      <c r="L945">
        <v>2</v>
      </c>
      <c r="M945">
        <v>91</v>
      </c>
      <c r="N945">
        <v>218</v>
      </c>
      <c r="O945">
        <v>10</v>
      </c>
      <c r="P945">
        <v>218</v>
      </c>
      <c r="Q945">
        <v>1</v>
      </c>
      <c r="R945">
        <v>40</v>
      </c>
      <c r="S945">
        <v>1</v>
      </c>
      <c r="T945">
        <v>4</v>
      </c>
      <c r="U945">
        <v>4</v>
      </c>
      <c r="V945">
        <v>7</v>
      </c>
      <c r="W945">
        <v>7</v>
      </c>
      <c r="X945">
        <v>49</v>
      </c>
      <c r="Y945">
        <v>1</v>
      </c>
      <c r="Z945">
        <v>2</v>
      </c>
      <c r="AA945">
        <v>83</v>
      </c>
      <c r="AB945">
        <v>14</v>
      </c>
      <c r="AD945">
        <v>2</v>
      </c>
      <c r="AE945">
        <v>0</v>
      </c>
      <c r="AF945">
        <v>0</v>
      </c>
      <c r="AG945">
        <v>0</v>
      </c>
      <c r="AI945">
        <v>0</v>
      </c>
      <c r="AJ945">
        <v>3</v>
      </c>
      <c r="AK945">
        <v>218</v>
      </c>
      <c r="AL945">
        <v>218</v>
      </c>
      <c r="AM945">
        <v>265</v>
      </c>
      <c r="AN945">
        <v>44</v>
      </c>
      <c r="AP945">
        <v>1</v>
      </c>
      <c r="AR945" t="s">
        <v>1030</v>
      </c>
      <c r="AS945" s="1">
        <v>44354.131249999999</v>
      </c>
      <c r="AT945" s="1">
        <v>44354.135451388887</v>
      </c>
      <c r="AU945" s="1">
        <v>44354.136122685188</v>
      </c>
      <c r="AV945" t="s">
        <v>71</v>
      </c>
      <c r="AW945" t="s">
        <v>72</v>
      </c>
      <c r="AX945" t="s">
        <v>73</v>
      </c>
    </row>
    <row r="946" spans="1:50" x14ac:dyDescent="0.3">
      <c r="A946" t="str">
        <f>"200901B0000"</f>
        <v>200901B0000</v>
      </c>
      <c r="B946" t="str">
        <f>"200901B00002"</f>
        <v>200901B00002</v>
      </c>
      <c r="C946" t="str">
        <f t="shared" si="39"/>
        <v>20</v>
      </c>
      <c r="D946" t="s">
        <v>67</v>
      </c>
      <c r="E946" t="str">
        <f t="shared" si="41"/>
        <v>005</v>
      </c>
      <c r="F946" t="s">
        <v>962</v>
      </c>
      <c r="G946" t="str">
        <f>"0901"</f>
        <v>0901</v>
      </c>
      <c r="H946" t="str">
        <f>"0000"</f>
        <v>0000</v>
      </c>
      <c r="I946" t="s">
        <v>69</v>
      </c>
      <c r="J946">
        <v>0</v>
      </c>
      <c r="K946">
        <v>1</v>
      </c>
      <c r="L946">
        <v>2</v>
      </c>
      <c r="M946">
        <v>240</v>
      </c>
      <c r="N946">
        <v>475</v>
      </c>
      <c r="O946">
        <v>10</v>
      </c>
      <c r="P946">
        <v>475</v>
      </c>
      <c r="Q946">
        <v>2</v>
      </c>
      <c r="R946">
        <v>99</v>
      </c>
      <c r="S946">
        <v>6</v>
      </c>
      <c r="T946">
        <v>7</v>
      </c>
      <c r="U946">
        <v>28</v>
      </c>
      <c r="V946">
        <v>32</v>
      </c>
      <c r="W946">
        <v>36</v>
      </c>
      <c r="X946">
        <v>153</v>
      </c>
      <c r="Y946">
        <v>2</v>
      </c>
      <c r="Z946">
        <v>7</v>
      </c>
      <c r="AA946">
        <v>59</v>
      </c>
      <c r="AB946">
        <v>24</v>
      </c>
      <c r="AD946">
        <v>0</v>
      </c>
      <c r="AE946">
        <v>0</v>
      </c>
      <c r="AF946">
        <v>0</v>
      </c>
      <c r="AG946">
        <v>0</v>
      </c>
      <c r="AI946">
        <v>0</v>
      </c>
      <c r="AJ946">
        <v>20</v>
      </c>
      <c r="AK946">
        <v>475</v>
      </c>
      <c r="AL946">
        <v>475</v>
      </c>
      <c r="AM946">
        <v>671</v>
      </c>
      <c r="AN946">
        <v>44</v>
      </c>
      <c r="AP946">
        <v>1</v>
      </c>
      <c r="AR946" t="s">
        <v>1031</v>
      </c>
      <c r="AS946" s="1">
        <v>44354.131249999999</v>
      </c>
      <c r="AT946" s="1">
        <v>44354.134097222224</v>
      </c>
      <c r="AU946" s="1">
        <v>44354.134872685187</v>
      </c>
      <c r="AV946" t="s">
        <v>71</v>
      </c>
      <c r="AW946" t="s">
        <v>72</v>
      </c>
      <c r="AX946" t="s">
        <v>73</v>
      </c>
    </row>
    <row r="947" spans="1:50" x14ac:dyDescent="0.3">
      <c r="A947" t="str">
        <f>"200901C0100"</f>
        <v>200901C0100</v>
      </c>
      <c r="B947" t="str">
        <f>"200901C01002"</f>
        <v>200901C01002</v>
      </c>
      <c r="C947" t="str">
        <f t="shared" si="39"/>
        <v>20</v>
      </c>
      <c r="D947" t="s">
        <v>67</v>
      </c>
      <c r="E947" t="str">
        <f t="shared" si="41"/>
        <v>005</v>
      </c>
      <c r="F947" t="s">
        <v>962</v>
      </c>
      <c r="G947" t="str">
        <f>"0901"</f>
        <v>0901</v>
      </c>
      <c r="H947" t="str">
        <f>"0001"</f>
        <v>0001</v>
      </c>
      <c r="I947" t="s">
        <v>75</v>
      </c>
      <c r="J947">
        <v>0</v>
      </c>
      <c r="K947">
        <v>1</v>
      </c>
      <c r="L947">
        <v>2</v>
      </c>
      <c r="M947">
        <v>267</v>
      </c>
      <c r="N947">
        <v>447</v>
      </c>
      <c r="O947">
        <v>0</v>
      </c>
      <c r="P947">
        <v>447</v>
      </c>
      <c r="Q947">
        <v>7</v>
      </c>
      <c r="R947">
        <v>72</v>
      </c>
      <c r="S947">
        <v>3</v>
      </c>
      <c r="T947">
        <v>3</v>
      </c>
      <c r="U947">
        <v>18</v>
      </c>
      <c r="V947">
        <v>33</v>
      </c>
      <c r="W947">
        <v>30</v>
      </c>
      <c r="X947">
        <v>172</v>
      </c>
      <c r="Y947">
        <v>0</v>
      </c>
      <c r="Z947">
        <v>4</v>
      </c>
      <c r="AA947">
        <v>66</v>
      </c>
      <c r="AB947">
        <v>24</v>
      </c>
      <c r="AD947">
        <v>0</v>
      </c>
      <c r="AE947">
        <v>0</v>
      </c>
      <c r="AF947">
        <v>0</v>
      </c>
      <c r="AG947">
        <v>0</v>
      </c>
      <c r="AI947">
        <v>0</v>
      </c>
      <c r="AJ947">
        <v>15</v>
      </c>
      <c r="AK947">
        <v>447</v>
      </c>
      <c r="AL947">
        <v>447</v>
      </c>
      <c r="AM947">
        <v>670</v>
      </c>
      <c r="AN947">
        <v>44</v>
      </c>
      <c r="AP947">
        <v>1</v>
      </c>
      <c r="AR947" t="s">
        <v>1032</v>
      </c>
      <c r="AS947" s="1">
        <v>44354.131944444445</v>
      </c>
      <c r="AT947" s="1">
        <v>44354.134513888886</v>
      </c>
      <c r="AU947" s="1">
        <v>44354.135428240741</v>
      </c>
      <c r="AV947" t="s">
        <v>71</v>
      </c>
      <c r="AW947" t="s">
        <v>72</v>
      </c>
      <c r="AX947" t="s">
        <v>73</v>
      </c>
    </row>
    <row r="948" spans="1:50" x14ac:dyDescent="0.3">
      <c r="A948" t="str">
        <f>"200901C0200"</f>
        <v>200901C0200</v>
      </c>
      <c r="B948" t="str">
        <f>"200901C02002"</f>
        <v>200901C02002</v>
      </c>
      <c r="C948" t="str">
        <f t="shared" si="39"/>
        <v>20</v>
      </c>
      <c r="D948" t="s">
        <v>67</v>
      </c>
      <c r="E948" t="str">
        <f t="shared" si="41"/>
        <v>005</v>
      </c>
      <c r="F948" t="s">
        <v>962</v>
      </c>
      <c r="G948" t="str">
        <f>"0901"</f>
        <v>0901</v>
      </c>
      <c r="H948" t="str">
        <f>"0002"</f>
        <v>0002</v>
      </c>
      <c r="I948" t="s">
        <v>75</v>
      </c>
      <c r="J948">
        <v>0</v>
      </c>
      <c r="K948">
        <v>1</v>
      </c>
      <c r="L948">
        <v>2</v>
      </c>
      <c r="M948">
        <v>248</v>
      </c>
      <c r="N948">
        <v>466</v>
      </c>
      <c r="O948">
        <v>7</v>
      </c>
      <c r="P948">
        <v>466</v>
      </c>
      <c r="Q948">
        <v>9</v>
      </c>
      <c r="R948">
        <v>83</v>
      </c>
      <c r="S948">
        <v>1</v>
      </c>
      <c r="T948">
        <v>3</v>
      </c>
      <c r="U948">
        <v>24</v>
      </c>
      <c r="V948">
        <v>33</v>
      </c>
      <c r="W948">
        <v>27</v>
      </c>
      <c r="X948">
        <v>178</v>
      </c>
      <c r="Y948">
        <v>0</v>
      </c>
      <c r="Z948">
        <v>9</v>
      </c>
      <c r="AA948">
        <v>57</v>
      </c>
      <c r="AB948">
        <v>25</v>
      </c>
      <c r="AD948">
        <v>0</v>
      </c>
      <c r="AE948">
        <v>1</v>
      </c>
      <c r="AF948">
        <v>0</v>
      </c>
      <c r="AG948">
        <v>1</v>
      </c>
      <c r="AI948" t="s">
        <v>77</v>
      </c>
      <c r="AJ948">
        <v>15</v>
      </c>
      <c r="AK948" t="s">
        <v>77</v>
      </c>
      <c r="AL948">
        <v>466</v>
      </c>
      <c r="AM948">
        <v>670</v>
      </c>
      <c r="AN948">
        <v>44</v>
      </c>
      <c r="AO948" t="s">
        <v>78</v>
      </c>
      <c r="AP948">
        <v>1</v>
      </c>
      <c r="AR948" t="s">
        <v>1033</v>
      </c>
      <c r="AS948" s="1">
        <v>44354.131944444445</v>
      </c>
      <c r="AT948" s="1">
        <v>44354.134953703702</v>
      </c>
      <c r="AU948" s="1">
        <v>44354.135717592595</v>
      </c>
      <c r="AV948" t="s">
        <v>71</v>
      </c>
      <c r="AW948" t="s">
        <v>72</v>
      </c>
      <c r="AX948" t="s">
        <v>73</v>
      </c>
    </row>
    <row r="949" spans="1:50" x14ac:dyDescent="0.3">
      <c r="A949" t="str">
        <f>"200901C0300"</f>
        <v>200901C0300</v>
      </c>
      <c r="B949" t="str">
        <f>"200901C03002"</f>
        <v>200901C03002</v>
      </c>
      <c r="C949" t="str">
        <f t="shared" si="39"/>
        <v>20</v>
      </c>
      <c r="D949" t="s">
        <v>67</v>
      </c>
      <c r="E949" t="str">
        <f t="shared" si="41"/>
        <v>005</v>
      </c>
      <c r="F949" t="s">
        <v>962</v>
      </c>
      <c r="G949" t="str">
        <f>"0901"</f>
        <v>0901</v>
      </c>
      <c r="H949" t="str">
        <f>"0003"</f>
        <v>0003</v>
      </c>
      <c r="I949" t="s">
        <v>75</v>
      </c>
      <c r="J949">
        <v>0</v>
      </c>
      <c r="K949">
        <v>1</v>
      </c>
      <c r="L949">
        <v>2</v>
      </c>
      <c r="M949">
        <v>205</v>
      </c>
      <c r="N949">
        <v>509</v>
      </c>
      <c r="O949">
        <v>13</v>
      </c>
      <c r="P949">
        <v>509</v>
      </c>
      <c r="Q949">
        <v>5</v>
      </c>
      <c r="R949">
        <v>86</v>
      </c>
      <c r="S949">
        <v>5</v>
      </c>
      <c r="T949">
        <v>4</v>
      </c>
      <c r="U949">
        <v>21</v>
      </c>
      <c r="V949">
        <v>23</v>
      </c>
      <c r="W949">
        <v>49</v>
      </c>
      <c r="X949">
        <v>206</v>
      </c>
      <c r="Y949">
        <v>1</v>
      </c>
      <c r="Z949">
        <v>10</v>
      </c>
      <c r="AA949">
        <v>60</v>
      </c>
      <c r="AB949">
        <v>30</v>
      </c>
      <c r="AD949">
        <v>0</v>
      </c>
      <c r="AE949">
        <v>0</v>
      </c>
      <c r="AF949">
        <v>0</v>
      </c>
      <c r="AG949">
        <v>1</v>
      </c>
      <c r="AI949">
        <v>0</v>
      </c>
      <c r="AJ949">
        <v>8</v>
      </c>
      <c r="AK949">
        <v>509</v>
      </c>
      <c r="AL949">
        <v>509</v>
      </c>
      <c r="AM949">
        <v>670</v>
      </c>
      <c r="AN949">
        <v>44</v>
      </c>
      <c r="AP949">
        <v>1</v>
      </c>
      <c r="AR949" t="s">
        <v>1034</v>
      </c>
      <c r="AS949" s="1">
        <v>44354.132638888892</v>
      </c>
      <c r="AT949" s="1">
        <v>44354.135891203703</v>
      </c>
      <c r="AU949" s="1">
        <v>44354.136724537035</v>
      </c>
      <c r="AV949" t="s">
        <v>71</v>
      </c>
      <c r="AW949" t="s">
        <v>72</v>
      </c>
      <c r="AX949" t="s">
        <v>73</v>
      </c>
    </row>
    <row r="950" spans="1:50" x14ac:dyDescent="0.3">
      <c r="A950" t="str">
        <f>"200902B0000"</f>
        <v>200902B0000</v>
      </c>
      <c r="B950" t="str">
        <f>"200902B00002"</f>
        <v>200902B00002</v>
      </c>
      <c r="C950" t="str">
        <f t="shared" si="39"/>
        <v>20</v>
      </c>
      <c r="D950" t="s">
        <v>67</v>
      </c>
      <c r="E950" t="str">
        <f t="shared" si="41"/>
        <v>005</v>
      </c>
      <c r="F950" t="s">
        <v>962</v>
      </c>
      <c r="G950" t="str">
        <f>"0902"</f>
        <v>0902</v>
      </c>
      <c r="H950" t="str">
        <f>"0000"</f>
        <v>0000</v>
      </c>
      <c r="I950" t="s">
        <v>69</v>
      </c>
      <c r="J950">
        <v>0</v>
      </c>
      <c r="K950">
        <v>1</v>
      </c>
      <c r="L950">
        <v>2</v>
      </c>
      <c r="M950">
        <v>205</v>
      </c>
      <c r="N950">
        <v>420</v>
      </c>
      <c r="O950">
        <v>5</v>
      </c>
      <c r="P950">
        <v>420</v>
      </c>
      <c r="Q950">
        <v>7</v>
      </c>
      <c r="R950">
        <v>75</v>
      </c>
      <c r="S950">
        <v>0</v>
      </c>
      <c r="T950">
        <v>1</v>
      </c>
      <c r="U950">
        <v>10</v>
      </c>
      <c r="V950">
        <v>23</v>
      </c>
      <c r="W950">
        <v>22</v>
      </c>
      <c r="X950">
        <v>217</v>
      </c>
      <c r="Y950">
        <v>1</v>
      </c>
      <c r="Z950">
        <v>15</v>
      </c>
      <c r="AA950">
        <v>25</v>
      </c>
      <c r="AB950">
        <v>10</v>
      </c>
      <c r="AD950" t="s">
        <v>77</v>
      </c>
      <c r="AE950" t="s">
        <v>77</v>
      </c>
      <c r="AF950" t="s">
        <v>77</v>
      </c>
      <c r="AG950" t="s">
        <v>77</v>
      </c>
      <c r="AI950" t="s">
        <v>77</v>
      </c>
      <c r="AJ950">
        <v>13</v>
      </c>
      <c r="AK950" t="s">
        <v>77</v>
      </c>
      <c r="AL950">
        <v>419</v>
      </c>
      <c r="AM950">
        <v>581</v>
      </c>
      <c r="AN950">
        <v>44</v>
      </c>
      <c r="AO950" t="s">
        <v>78</v>
      </c>
      <c r="AP950">
        <v>1</v>
      </c>
      <c r="AR950" t="s">
        <v>1035</v>
      </c>
      <c r="AS950" s="1">
        <v>44354.127083333333</v>
      </c>
      <c r="AT950" s="1">
        <v>44354.130347222221</v>
      </c>
      <c r="AU950" s="1">
        <v>44354.130937499998</v>
      </c>
      <c r="AV950" t="s">
        <v>71</v>
      </c>
      <c r="AW950" t="s">
        <v>72</v>
      </c>
      <c r="AX950" t="s">
        <v>73</v>
      </c>
    </row>
    <row r="951" spans="1:50" x14ac:dyDescent="0.3">
      <c r="A951" t="str">
        <f>"200902C0100"</f>
        <v>200902C0100</v>
      </c>
      <c r="B951" t="str">
        <f>"200902C01002"</f>
        <v>200902C01002</v>
      </c>
      <c r="C951" t="str">
        <f t="shared" si="39"/>
        <v>20</v>
      </c>
      <c r="D951" t="s">
        <v>67</v>
      </c>
      <c r="E951" t="str">
        <f t="shared" si="41"/>
        <v>005</v>
      </c>
      <c r="F951" t="s">
        <v>962</v>
      </c>
      <c r="G951" t="str">
        <f>"0902"</f>
        <v>0902</v>
      </c>
      <c r="H951" t="str">
        <f>"0001"</f>
        <v>0001</v>
      </c>
      <c r="I951" t="s">
        <v>75</v>
      </c>
      <c r="J951">
        <v>0</v>
      </c>
      <c r="K951">
        <v>1</v>
      </c>
      <c r="L951">
        <v>2</v>
      </c>
      <c r="M951">
        <v>189</v>
      </c>
      <c r="N951">
        <v>435</v>
      </c>
      <c r="O951">
        <v>6</v>
      </c>
      <c r="P951">
        <v>435</v>
      </c>
      <c r="Q951">
        <v>7</v>
      </c>
      <c r="R951">
        <v>59</v>
      </c>
      <c r="S951">
        <v>3</v>
      </c>
      <c r="T951">
        <v>0</v>
      </c>
      <c r="U951">
        <v>7</v>
      </c>
      <c r="V951">
        <v>10</v>
      </c>
      <c r="W951">
        <v>28</v>
      </c>
      <c r="X951">
        <v>257</v>
      </c>
      <c r="Y951">
        <v>0</v>
      </c>
      <c r="Z951">
        <v>8</v>
      </c>
      <c r="AA951">
        <v>28</v>
      </c>
      <c r="AB951">
        <v>14</v>
      </c>
      <c r="AD951">
        <v>3</v>
      </c>
      <c r="AE951">
        <v>0</v>
      </c>
      <c r="AF951">
        <v>0</v>
      </c>
      <c r="AG951">
        <v>0</v>
      </c>
      <c r="AI951">
        <v>0</v>
      </c>
      <c r="AJ951">
        <v>11</v>
      </c>
      <c r="AK951">
        <v>435</v>
      </c>
      <c r="AL951">
        <v>435</v>
      </c>
      <c r="AM951">
        <v>580</v>
      </c>
      <c r="AN951">
        <v>44</v>
      </c>
      <c r="AP951">
        <v>1</v>
      </c>
      <c r="AR951" t="s">
        <v>1036</v>
      </c>
      <c r="AS951" s="1">
        <v>44354.125694444447</v>
      </c>
      <c r="AT951" s="1">
        <v>44354.129108796296</v>
      </c>
      <c r="AU951" s="1">
        <v>44354.129733796297</v>
      </c>
      <c r="AV951" t="s">
        <v>71</v>
      </c>
      <c r="AW951" t="s">
        <v>72</v>
      </c>
      <c r="AX951" t="s">
        <v>73</v>
      </c>
    </row>
    <row r="952" spans="1:50" x14ac:dyDescent="0.3">
      <c r="A952" t="str">
        <f>"200902C0200"</f>
        <v>200902C0200</v>
      </c>
      <c r="B952" t="str">
        <f>"200902C02002"</f>
        <v>200902C02002</v>
      </c>
      <c r="C952" t="str">
        <f t="shared" si="39"/>
        <v>20</v>
      </c>
      <c r="D952" t="s">
        <v>67</v>
      </c>
      <c r="E952" t="str">
        <f t="shared" si="41"/>
        <v>005</v>
      </c>
      <c r="F952" t="s">
        <v>962</v>
      </c>
      <c r="G952" t="str">
        <f>"0902"</f>
        <v>0902</v>
      </c>
      <c r="H952" t="str">
        <f>"0002"</f>
        <v>0002</v>
      </c>
      <c r="I952" t="s">
        <v>75</v>
      </c>
      <c r="J952">
        <v>0</v>
      </c>
      <c r="K952">
        <v>1</v>
      </c>
      <c r="L952">
        <v>2</v>
      </c>
      <c r="M952">
        <v>190</v>
      </c>
      <c r="N952">
        <v>434</v>
      </c>
      <c r="O952">
        <v>5</v>
      </c>
      <c r="P952">
        <v>434</v>
      </c>
      <c r="Q952">
        <v>10</v>
      </c>
      <c r="R952">
        <v>70</v>
      </c>
      <c r="S952">
        <v>5</v>
      </c>
      <c r="T952">
        <v>1</v>
      </c>
      <c r="U952">
        <v>7</v>
      </c>
      <c r="V952">
        <v>18</v>
      </c>
      <c r="W952">
        <v>22</v>
      </c>
      <c r="X952">
        <v>224</v>
      </c>
      <c r="Y952">
        <v>0</v>
      </c>
      <c r="Z952">
        <v>8</v>
      </c>
      <c r="AA952">
        <v>41</v>
      </c>
      <c r="AB952">
        <v>18</v>
      </c>
      <c r="AD952" t="s">
        <v>77</v>
      </c>
      <c r="AE952" t="s">
        <v>77</v>
      </c>
      <c r="AF952" t="s">
        <v>77</v>
      </c>
      <c r="AG952" t="s">
        <v>77</v>
      </c>
      <c r="AI952" t="s">
        <v>77</v>
      </c>
      <c r="AJ952">
        <v>10</v>
      </c>
      <c r="AK952">
        <v>434</v>
      </c>
      <c r="AL952">
        <v>434</v>
      </c>
      <c r="AM952">
        <v>580</v>
      </c>
      <c r="AN952">
        <v>44</v>
      </c>
      <c r="AO952" t="s">
        <v>78</v>
      </c>
      <c r="AP952">
        <v>1</v>
      </c>
      <c r="AR952" t="s">
        <v>1037</v>
      </c>
      <c r="AS952" s="1">
        <v>44354.125</v>
      </c>
      <c r="AT952" s="1">
        <v>44354.127696759257</v>
      </c>
      <c r="AU952" s="1">
        <v>44354.128263888888</v>
      </c>
      <c r="AV952" t="s">
        <v>71</v>
      </c>
      <c r="AW952" t="s">
        <v>72</v>
      </c>
      <c r="AX952" t="s">
        <v>73</v>
      </c>
    </row>
    <row r="953" spans="1:50" x14ac:dyDescent="0.3">
      <c r="A953" t="str">
        <f>"200903B0000"</f>
        <v>200903B0000</v>
      </c>
      <c r="B953" t="str">
        <f>"200903B00002"</f>
        <v>200903B00002</v>
      </c>
      <c r="C953" t="str">
        <f t="shared" si="39"/>
        <v>20</v>
      </c>
      <c r="D953" t="s">
        <v>67</v>
      </c>
      <c r="E953" t="str">
        <f t="shared" si="41"/>
        <v>005</v>
      </c>
      <c r="F953" t="s">
        <v>962</v>
      </c>
      <c r="G953" t="str">
        <f>"0903"</f>
        <v>0903</v>
      </c>
      <c r="H953" t="str">
        <f>"0000"</f>
        <v>0000</v>
      </c>
      <c r="I953" t="s">
        <v>69</v>
      </c>
      <c r="J953">
        <v>0</v>
      </c>
      <c r="K953">
        <v>1</v>
      </c>
      <c r="L953">
        <v>2</v>
      </c>
      <c r="M953">
        <v>253</v>
      </c>
      <c r="N953">
        <v>460</v>
      </c>
      <c r="O953">
        <v>3</v>
      </c>
      <c r="P953">
        <v>460</v>
      </c>
      <c r="Q953">
        <v>15</v>
      </c>
      <c r="R953">
        <v>63</v>
      </c>
      <c r="S953">
        <v>6</v>
      </c>
      <c r="T953">
        <v>5</v>
      </c>
      <c r="U953">
        <v>21</v>
      </c>
      <c r="V953">
        <v>28</v>
      </c>
      <c r="W953">
        <v>22</v>
      </c>
      <c r="X953">
        <v>210</v>
      </c>
      <c r="Y953">
        <v>2</v>
      </c>
      <c r="Z953">
        <v>12</v>
      </c>
      <c r="AA953">
        <v>34</v>
      </c>
      <c r="AB953">
        <v>24</v>
      </c>
      <c r="AD953">
        <v>1</v>
      </c>
      <c r="AE953">
        <v>0</v>
      </c>
      <c r="AF953">
        <v>0</v>
      </c>
      <c r="AG953">
        <v>0</v>
      </c>
      <c r="AI953">
        <v>0</v>
      </c>
      <c r="AJ953">
        <v>17</v>
      </c>
      <c r="AK953">
        <v>460</v>
      </c>
      <c r="AL953">
        <v>460</v>
      </c>
      <c r="AM953">
        <v>669</v>
      </c>
      <c r="AN953">
        <v>44</v>
      </c>
      <c r="AP953">
        <v>1</v>
      </c>
      <c r="AR953" t="s">
        <v>1038</v>
      </c>
      <c r="AS953" s="1">
        <v>44354.173611111109</v>
      </c>
      <c r="AT953" s="1">
        <v>44354.176261574074</v>
      </c>
      <c r="AU953" s="1">
        <v>44354.176736111112</v>
      </c>
      <c r="AV953" t="s">
        <v>71</v>
      </c>
      <c r="AW953" t="s">
        <v>72</v>
      </c>
      <c r="AX953" t="s">
        <v>73</v>
      </c>
    </row>
    <row r="954" spans="1:50" x14ac:dyDescent="0.3">
      <c r="A954" t="str">
        <f>"200903C0100"</f>
        <v>200903C0100</v>
      </c>
      <c r="B954" t="str">
        <f>"200903C01002"</f>
        <v>200903C01002</v>
      </c>
      <c r="C954" t="str">
        <f t="shared" si="39"/>
        <v>20</v>
      </c>
      <c r="D954" t="s">
        <v>67</v>
      </c>
      <c r="E954" t="str">
        <f t="shared" si="41"/>
        <v>005</v>
      </c>
      <c r="F954" t="s">
        <v>962</v>
      </c>
      <c r="G954" t="str">
        <f>"0903"</f>
        <v>0903</v>
      </c>
      <c r="H954" t="str">
        <f>"0001"</f>
        <v>0001</v>
      </c>
      <c r="I954" t="s">
        <v>75</v>
      </c>
      <c r="J954">
        <v>0</v>
      </c>
      <c r="K954">
        <v>1</v>
      </c>
      <c r="L954">
        <v>2</v>
      </c>
      <c r="M954">
        <v>263</v>
      </c>
      <c r="N954">
        <v>450</v>
      </c>
      <c r="O954">
        <v>6</v>
      </c>
      <c r="P954">
        <v>450</v>
      </c>
      <c r="Q954">
        <v>7</v>
      </c>
      <c r="R954">
        <v>68</v>
      </c>
      <c r="S954">
        <v>4</v>
      </c>
      <c r="T954">
        <v>2</v>
      </c>
      <c r="U954">
        <v>13</v>
      </c>
      <c r="V954">
        <v>33</v>
      </c>
      <c r="W954">
        <v>15</v>
      </c>
      <c r="X954">
        <v>216</v>
      </c>
      <c r="Y954">
        <v>2</v>
      </c>
      <c r="Z954">
        <v>8</v>
      </c>
      <c r="AA954">
        <v>51</v>
      </c>
      <c r="AB954">
        <v>21</v>
      </c>
      <c r="AD954">
        <v>0</v>
      </c>
      <c r="AE954">
        <v>0</v>
      </c>
      <c r="AF954">
        <v>0</v>
      </c>
      <c r="AG954">
        <v>0</v>
      </c>
      <c r="AI954">
        <v>0</v>
      </c>
      <c r="AJ954">
        <v>10</v>
      </c>
      <c r="AK954">
        <v>450</v>
      </c>
      <c r="AL954">
        <v>450</v>
      </c>
      <c r="AM954">
        <v>669</v>
      </c>
      <c r="AN954">
        <v>44</v>
      </c>
      <c r="AP954">
        <v>1</v>
      </c>
      <c r="AR954" t="s">
        <v>1039</v>
      </c>
      <c r="AS954" s="1">
        <v>44354.17291666667</v>
      </c>
      <c r="AT954" s="1">
        <v>44354.175520833334</v>
      </c>
      <c r="AU954" s="1">
        <v>44354.176030092596</v>
      </c>
      <c r="AV954" t="s">
        <v>71</v>
      </c>
      <c r="AW954" t="s">
        <v>72</v>
      </c>
      <c r="AX954" t="s">
        <v>73</v>
      </c>
    </row>
    <row r="955" spans="1:50" x14ac:dyDescent="0.3">
      <c r="A955" t="str">
        <f>"200903C0200"</f>
        <v>200903C0200</v>
      </c>
      <c r="B955" t="str">
        <f>"200903C02002"</f>
        <v>200903C02002</v>
      </c>
      <c r="C955" t="str">
        <f t="shared" si="39"/>
        <v>20</v>
      </c>
      <c r="D955" t="s">
        <v>67</v>
      </c>
      <c r="E955" t="str">
        <f t="shared" si="41"/>
        <v>005</v>
      </c>
      <c r="F955" t="s">
        <v>962</v>
      </c>
      <c r="G955" t="str">
        <f>"0903"</f>
        <v>0903</v>
      </c>
      <c r="H955" t="str">
        <f>"0002"</f>
        <v>0002</v>
      </c>
      <c r="I955" t="s">
        <v>75</v>
      </c>
      <c r="J955">
        <v>0</v>
      </c>
      <c r="K955">
        <v>1</v>
      </c>
      <c r="L955">
        <v>2</v>
      </c>
      <c r="AM955">
        <v>669</v>
      </c>
      <c r="AN955">
        <v>44</v>
      </c>
      <c r="AO955" t="s">
        <v>143</v>
      </c>
      <c r="AP955">
        <v>0</v>
      </c>
      <c r="AR955" t="s">
        <v>1040</v>
      </c>
      <c r="AS955" s="1">
        <v>44354.462500000001</v>
      </c>
      <c r="AT955" s="1">
        <v>44354.480613425927</v>
      </c>
      <c r="AU955" s="1">
        <v>44354.480613425927</v>
      </c>
      <c r="AV955" t="s">
        <v>71</v>
      </c>
      <c r="AW955" t="s">
        <v>72</v>
      </c>
      <c r="AX955" t="s">
        <v>73</v>
      </c>
    </row>
    <row r="956" spans="1:50" x14ac:dyDescent="0.3">
      <c r="A956" t="str">
        <f>"200903C0300"</f>
        <v>200903C0300</v>
      </c>
      <c r="B956" t="str">
        <f>"200903C03002"</f>
        <v>200903C03002</v>
      </c>
      <c r="C956" t="str">
        <f t="shared" si="39"/>
        <v>20</v>
      </c>
      <c r="D956" t="s">
        <v>67</v>
      </c>
      <c r="E956" t="str">
        <f t="shared" si="41"/>
        <v>005</v>
      </c>
      <c r="F956" t="s">
        <v>962</v>
      </c>
      <c r="G956" t="str">
        <f>"0903"</f>
        <v>0903</v>
      </c>
      <c r="H956" t="str">
        <f>"0003"</f>
        <v>0003</v>
      </c>
      <c r="I956" t="s">
        <v>75</v>
      </c>
      <c r="J956">
        <v>0</v>
      </c>
      <c r="K956">
        <v>1</v>
      </c>
      <c r="L956">
        <v>2</v>
      </c>
      <c r="M956">
        <v>244</v>
      </c>
      <c r="N956">
        <v>469</v>
      </c>
      <c r="O956">
        <v>12</v>
      </c>
      <c r="P956">
        <v>469</v>
      </c>
      <c r="Q956">
        <v>6</v>
      </c>
      <c r="R956">
        <v>91</v>
      </c>
      <c r="S956">
        <v>1</v>
      </c>
      <c r="T956">
        <v>1</v>
      </c>
      <c r="U956">
        <v>17</v>
      </c>
      <c r="V956">
        <v>50</v>
      </c>
      <c r="W956">
        <v>16</v>
      </c>
      <c r="X956">
        <v>211</v>
      </c>
      <c r="Y956">
        <v>1</v>
      </c>
      <c r="Z956">
        <v>6</v>
      </c>
      <c r="AA956">
        <v>56</v>
      </c>
      <c r="AB956">
        <v>12</v>
      </c>
      <c r="AD956">
        <v>0</v>
      </c>
      <c r="AE956">
        <v>0</v>
      </c>
      <c r="AF956">
        <v>0</v>
      </c>
      <c r="AG956">
        <v>0</v>
      </c>
      <c r="AI956">
        <v>0</v>
      </c>
      <c r="AJ956">
        <v>7</v>
      </c>
      <c r="AK956">
        <v>469</v>
      </c>
      <c r="AL956">
        <v>475</v>
      </c>
      <c r="AM956">
        <v>669</v>
      </c>
      <c r="AN956">
        <v>44</v>
      </c>
      <c r="AP956">
        <v>1</v>
      </c>
      <c r="AR956" t="s">
        <v>1041</v>
      </c>
      <c r="AS956" s="1">
        <v>44354.172222222223</v>
      </c>
      <c r="AT956" s="1">
        <v>44354.176099537035</v>
      </c>
      <c r="AU956" s="1">
        <v>44354.177476851852</v>
      </c>
      <c r="AV956" t="s">
        <v>71</v>
      </c>
      <c r="AW956" t="s">
        <v>72</v>
      </c>
      <c r="AX956" t="s">
        <v>73</v>
      </c>
    </row>
    <row r="957" spans="1:50" x14ac:dyDescent="0.3">
      <c r="A957" t="str">
        <f>"200904B0000"</f>
        <v>200904B0000</v>
      </c>
      <c r="B957" t="str">
        <f>"200904B00002"</f>
        <v>200904B00002</v>
      </c>
      <c r="C957" t="str">
        <f t="shared" si="39"/>
        <v>20</v>
      </c>
      <c r="D957" t="s">
        <v>67</v>
      </c>
      <c r="E957" t="str">
        <f t="shared" si="41"/>
        <v>005</v>
      </c>
      <c r="F957" t="s">
        <v>962</v>
      </c>
      <c r="G957" t="str">
        <f>"0904"</f>
        <v>0904</v>
      </c>
      <c r="H957" t="str">
        <f t="shared" ref="H957:H962" si="42">"0000"</f>
        <v>0000</v>
      </c>
      <c r="I957" t="s">
        <v>69</v>
      </c>
      <c r="J957">
        <v>0</v>
      </c>
      <c r="K957">
        <v>1</v>
      </c>
      <c r="L957">
        <v>2</v>
      </c>
      <c r="M957">
        <v>51</v>
      </c>
      <c r="N957">
        <v>75</v>
      </c>
      <c r="O957">
        <v>8</v>
      </c>
      <c r="P957">
        <v>75</v>
      </c>
      <c r="Q957">
        <v>1</v>
      </c>
      <c r="R957">
        <v>14</v>
      </c>
      <c r="S957">
        <v>0</v>
      </c>
      <c r="T957">
        <v>0</v>
      </c>
      <c r="U957">
        <v>0</v>
      </c>
      <c r="V957">
        <v>2</v>
      </c>
      <c r="W957">
        <v>10</v>
      </c>
      <c r="X957">
        <v>14</v>
      </c>
      <c r="Y957">
        <v>0</v>
      </c>
      <c r="Z957">
        <v>1</v>
      </c>
      <c r="AA957">
        <v>26</v>
      </c>
      <c r="AB957">
        <v>5</v>
      </c>
      <c r="AD957">
        <v>0</v>
      </c>
      <c r="AE957">
        <v>0</v>
      </c>
      <c r="AF957">
        <v>0</v>
      </c>
      <c r="AG957">
        <v>0</v>
      </c>
      <c r="AI957">
        <v>0</v>
      </c>
      <c r="AJ957">
        <v>2</v>
      </c>
      <c r="AK957">
        <v>75</v>
      </c>
      <c r="AL957">
        <v>75</v>
      </c>
      <c r="AM957">
        <v>82</v>
      </c>
      <c r="AN957">
        <v>44</v>
      </c>
      <c r="AP957">
        <v>1</v>
      </c>
      <c r="AR957" t="s">
        <v>1042</v>
      </c>
      <c r="AS957" s="1">
        <v>44354.072222222225</v>
      </c>
      <c r="AT957" s="1">
        <v>44354.080347222225</v>
      </c>
      <c r="AU957" s="1">
        <v>44354.08085648148</v>
      </c>
      <c r="AV957" t="s">
        <v>71</v>
      </c>
      <c r="AW957" t="s">
        <v>72</v>
      </c>
      <c r="AX957" t="s">
        <v>73</v>
      </c>
    </row>
    <row r="958" spans="1:50" x14ac:dyDescent="0.3">
      <c r="A958" t="str">
        <f>"200905B0000"</f>
        <v>200905B0000</v>
      </c>
      <c r="B958" t="str">
        <f>"200905B00002"</f>
        <v>200905B00002</v>
      </c>
      <c r="C958" t="str">
        <f t="shared" si="39"/>
        <v>20</v>
      </c>
      <c r="D958" t="s">
        <v>67</v>
      </c>
      <c r="E958" t="str">
        <f t="shared" si="41"/>
        <v>005</v>
      </c>
      <c r="F958" t="s">
        <v>962</v>
      </c>
      <c r="G958" t="str">
        <f>"0905"</f>
        <v>0905</v>
      </c>
      <c r="H958" t="str">
        <f t="shared" si="42"/>
        <v>0000</v>
      </c>
      <c r="I958" t="s">
        <v>69</v>
      </c>
      <c r="J958">
        <v>0</v>
      </c>
      <c r="K958">
        <v>1</v>
      </c>
      <c r="L958">
        <v>2</v>
      </c>
      <c r="M958">
        <v>128</v>
      </c>
      <c r="N958">
        <v>271</v>
      </c>
      <c r="O958">
        <v>9</v>
      </c>
      <c r="P958">
        <v>271</v>
      </c>
      <c r="Q958">
        <v>0</v>
      </c>
      <c r="R958">
        <v>53</v>
      </c>
      <c r="S958">
        <v>2</v>
      </c>
      <c r="T958">
        <v>4</v>
      </c>
      <c r="U958">
        <v>4</v>
      </c>
      <c r="V958">
        <v>5</v>
      </c>
      <c r="W958">
        <v>2</v>
      </c>
      <c r="X958">
        <v>80</v>
      </c>
      <c r="Y958">
        <v>0</v>
      </c>
      <c r="Z958">
        <v>6</v>
      </c>
      <c r="AA958">
        <v>102</v>
      </c>
      <c r="AB958">
        <v>8</v>
      </c>
      <c r="AD958">
        <v>0</v>
      </c>
      <c r="AE958">
        <v>0</v>
      </c>
      <c r="AF958">
        <v>0</v>
      </c>
      <c r="AG958">
        <v>0</v>
      </c>
      <c r="AI958">
        <v>0</v>
      </c>
      <c r="AJ958">
        <v>5</v>
      </c>
      <c r="AK958">
        <v>271</v>
      </c>
      <c r="AL958">
        <v>271</v>
      </c>
      <c r="AM958">
        <v>355</v>
      </c>
      <c r="AN958">
        <v>44</v>
      </c>
      <c r="AP958">
        <v>1</v>
      </c>
      <c r="AR958" t="s">
        <v>1043</v>
      </c>
      <c r="AS958" s="1">
        <v>44354.172222222223</v>
      </c>
      <c r="AT958" s="1">
        <v>44354.174861111111</v>
      </c>
      <c r="AU958" s="1">
        <v>44354.17527777778</v>
      </c>
      <c r="AV958" t="s">
        <v>71</v>
      </c>
      <c r="AW958" t="s">
        <v>72</v>
      </c>
      <c r="AX958" t="s">
        <v>73</v>
      </c>
    </row>
    <row r="959" spans="1:50" x14ac:dyDescent="0.3">
      <c r="A959" t="str">
        <f>"200906B0000"</f>
        <v>200906B0000</v>
      </c>
      <c r="B959" t="str">
        <f>"200906B00002"</f>
        <v>200906B00002</v>
      </c>
      <c r="C959" t="str">
        <f t="shared" si="39"/>
        <v>20</v>
      </c>
      <c r="D959" t="s">
        <v>67</v>
      </c>
      <c r="E959" t="str">
        <f t="shared" si="41"/>
        <v>005</v>
      </c>
      <c r="F959" t="s">
        <v>962</v>
      </c>
      <c r="G959" t="str">
        <f>"0906"</f>
        <v>0906</v>
      </c>
      <c r="H959" t="str">
        <f t="shared" si="42"/>
        <v>0000</v>
      </c>
      <c r="I959" t="s">
        <v>69</v>
      </c>
      <c r="J959">
        <v>0</v>
      </c>
      <c r="K959">
        <v>1</v>
      </c>
      <c r="L959">
        <v>2</v>
      </c>
      <c r="M959">
        <v>134</v>
      </c>
      <c r="N959">
        <v>170</v>
      </c>
      <c r="O959">
        <v>0</v>
      </c>
      <c r="P959">
        <v>170</v>
      </c>
      <c r="Q959">
        <v>3</v>
      </c>
      <c r="R959">
        <v>24</v>
      </c>
      <c r="S959">
        <v>1</v>
      </c>
      <c r="T959">
        <v>3</v>
      </c>
      <c r="U959">
        <v>4</v>
      </c>
      <c r="V959">
        <v>0</v>
      </c>
      <c r="W959">
        <v>1</v>
      </c>
      <c r="X959">
        <v>121</v>
      </c>
      <c r="Y959">
        <v>3</v>
      </c>
      <c r="Z959">
        <v>3</v>
      </c>
      <c r="AA959">
        <v>1</v>
      </c>
      <c r="AB959">
        <v>4</v>
      </c>
      <c r="AD959" t="s">
        <v>77</v>
      </c>
      <c r="AE959" t="s">
        <v>77</v>
      </c>
      <c r="AF959" t="s">
        <v>77</v>
      </c>
      <c r="AG959" t="s">
        <v>77</v>
      </c>
      <c r="AI959" t="s">
        <v>77</v>
      </c>
      <c r="AJ959">
        <v>2</v>
      </c>
      <c r="AK959">
        <v>170</v>
      </c>
      <c r="AL959">
        <v>170</v>
      </c>
      <c r="AM959">
        <v>260</v>
      </c>
      <c r="AN959">
        <v>44</v>
      </c>
      <c r="AO959" t="s">
        <v>78</v>
      </c>
      <c r="AP959">
        <v>1</v>
      </c>
      <c r="AR959" t="s">
        <v>1044</v>
      </c>
      <c r="AS959" s="1">
        <v>44354.147222222222</v>
      </c>
      <c r="AT959" s="1">
        <v>44354.15047453704</v>
      </c>
      <c r="AU959" s="1">
        <v>44354.151122685187</v>
      </c>
      <c r="AV959" t="s">
        <v>71</v>
      </c>
      <c r="AW959" t="s">
        <v>72</v>
      </c>
      <c r="AX959" t="s">
        <v>73</v>
      </c>
    </row>
    <row r="960" spans="1:50" x14ac:dyDescent="0.3">
      <c r="A960" t="str">
        <f>"200927B0000"</f>
        <v>200927B0000</v>
      </c>
      <c r="B960" t="str">
        <f>"200927B00002"</f>
        <v>200927B00002</v>
      </c>
      <c r="C960" t="str">
        <f t="shared" si="39"/>
        <v>20</v>
      </c>
      <c r="D960" t="s">
        <v>67</v>
      </c>
      <c r="E960" t="str">
        <f t="shared" si="41"/>
        <v>005</v>
      </c>
      <c r="F960" t="s">
        <v>962</v>
      </c>
      <c r="G960" t="str">
        <f>"0927"</f>
        <v>0927</v>
      </c>
      <c r="H960" t="str">
        <f t="shared" si="42"/>
        <v>0000</v>
      </c>
      <c r="I960" t="s">
        <v>69</v>
      </c>
      <c r="J960">
        <v>0</v>
      </c>
      <c r="K960">
        <v>1</v>
      </c>
      <c r="L960">
        <v>2</v>
      </c>
      <c r="M960">
        <v>336</v>
      </c>
      <c r="N960">
        <v>207</v>
      </c>
      <c r="O960">
        <v>0</v>
      </c>
      <c r="P960">
        <v>207</v>
      </c>
      <c r="Q960">
        <v>4</v>
      </c>
      <c r="R960">
        <v>49</v>
      </c>
      <c r="S960">
        <v>6</v>
      </c>
      <c r="T960">
        <v>11</v>
      </c>
      <c r="U960">
        <v>3</v>
      </c>
      <c r="V960">
        <v>3</v>
      </c>
      <c r="W960">
        <v>3</v>
      </c>
      <c r="X960">
        <v>108</v>
      </c>
      <c r="Y960">
        <v>8</v>
      </c>
      <c r="Z960">
        <v>5</v>
      </c>
      <c r="AA960">
        <v>1</v>
      </c>
      <c r="AB960">
        <v>0</v>
      </c>
      <c r="AD960">
        <v>1</v>
      </c>
      <c r="AE960">
        <v>0</v>
      </c>
      <c r="AF960">
        <v>0</v>
      </c>
      <c r="AG960">
        <v>0</v>
      </c>
      <c r="AI960">
        <v>0</v>
      </c>
      <c r="AJ960">
        <v>5</v>
      </c>
      <c r="AK960">
        <v>207</v>
      </c>
      <c r="AL960">
        <v>207</v>
      </c>
      <c r="AM960">
        <v>499</v>
      </c>
      <c r="AN960">
        <v>44</v>
      </c>
      <c r="AP960">
        <v>1</v>
      </c>
      <c r="AR960" t="s">
        <v>1045</v>
      </c>
      <c r="AS960" s="1">
        <v>44353.828263888892</v>
      </c>
      <c r="AT960" s="1">
        <v>44353.840810185182</v>
      </c>
      <c r="AU960" s="1">
        <v>44353.841331018521</v>
      </c>
      <c r="AV960" t="s">
        <v>269</v>
      </c>
      <c r="AW960" t="s">
        <v>270</v>
      </c>
      <c r="AX960" t="s">
        <v>73</v>
      </c>
    </row>
    <row r="961" spans="1:50" x14ac:dyDescent="0.3">
      <c r="A961" t="str">
        <f>"200928B0000"</f>
        <v>200928B0000</v>
      </c>
      <c r="B961" t="str">
        <f>"200928B00002"</f>
        <v>200928B00002</v>
      </c>
      <c r="C961" t="str">
        <f t="shared" si="39"/>
        <v>20</v>
      </c>
      <c r="D961" t="s">
        <v>67</v>
      </c>
      <c r="E961" t="str">
        <f t="shared" si="41"/>
        <v>005</v>
      </c>
      <c r="F961" t="s">
        <v>962</v>
      </c>
      <c r="G961" t="str">
        <f>"0928"</f>
        <v>0928</v>
      </c>
      <c r="H961" t="str">
        <f t="shared" si="42"/>
        <v>0000</v>
      </c>
      <c r="I961" t="s">
        <v>69</v>
      </c>
      <c r="J961">
        <v>0</v>
      </c>
      <c r="K961">
        <v>1</v>
      </c>
      <c r="L961">
        <v>2</v>
      </c>
      <c r="M961">
        <v>149</v>
      </c>
      <c r="N961">
        <v>289</v>
      </c>
      <c r="O961">
        <v>3</v>
      </c>
      <c r="P961">
        <v>140</v>
      </c>
      <c r="Q961">
        <v>4</v>
      </c>
      <c r="R961">
        <v>12</v>
      </c>
      <c r="S961">
        <v>1</v>
      </c>
      <c r="T961">
        <v>3</v>
      </c>
      <c r="U961">
        <v>11</v>
      </c>
      <c r="V961">
        <v>3</v>
      </c>
      <c r="W961">
        <v>3</v>
      </c>
      <c r="X961">
        <v>95</v>
      </c>
      <c r="Y961">
        <v>0</v>
      </c>
      <c r="Z961">
        <v>3</v>
      </c>
      <c r="AA961">
        <v>1</v>
      </c>
      <c r="AB961">
        <v>1</v>
      </c>
      <c r="AD961">
        <v>0</v>
      </c>
      <c r="AE961">
        <v>0</v>
      </c>
      <c r="AF961">
        <v>0</v>
      </c>
      <c r="AG961">
        <v>0</v>
      </c>
      <c r="AI961">
        <v>0</v>
      </c>
      <c r="AJ961">
        <v>3</v>
      </c>
      <c r="AK961">
        <v>140</v>
      </c>
      <c r="AL961">
        <v>140</v>
      </c>
      <c r="AM961">
        <v>245</v>
      </c>
      <c r="AN961">
        <v>44</v>
      </c>
      <c r="AP961">
        <v>1</v>
      </c>
      <c r="AR961" t="s">
        <v>1046</v>
      </c>
      <c r="AS961" s="1">
        <v>44354.039583333331</v>
      </c>
      <c r="AT961" s="1">
        <v>44354.049143518518</v>
      </c>
      <c r="AU961" s="1">
        <v>44354.049803240741</v>
      </c>
      <c r="AV961" t="s">
        <v>71</v>
      </c>
      <c r="AW961" t="s">
        <v>72</v>
      </c>
      <c r="AX961" t="s">
        <v>73</v>
      </c>
    </row>
    <row r="962" spans="1:50" x14ac:dyDescent="0.3">
      <c r="A962" t="str">
        <f>"200929B0000"</f>
        <v>200929B0000</v>
      </c>
      <c r="B962" t="str">
        <f>"200929B00002"</f>
        <v>200929B00002</v>
      </c>
      <c r="C962" t="str">
        <f t="shared" si="39"/>
        <v>20</v>
      </c>
      <c r="D962" t="s">
        <v>67</v>
      </c>
      <c r="E962" t="str">
        <f t="shared" si="41"/>
        <v>005</v>
      </c>
      <c r="F962" t="s">
        <v>962</v>
      </c>
      <c r="G962" t="str">
        <f>"0929"</f>
        <v>0929</v>
      </c>
      <c r="H962" t="str">
        <f t="shared" si="42"/>
        <v>0000</v>
      </c>
      <c r="I962" t="s">
        <v>69</v>
      </c>
      <c r="J962">
        <v>0</v>
      </c>
      <c r="K962">
        <v>1</v>
      </c>
      <c r="L962">
        <v>2</v>
      </c>
      <c r="M962">
        <v>369</v>
      </c>
      <c r="N962">
        <v>157</v>
      </c>
      <c r="O962">
        <v>0</v>
      </c>
      <c r="P962">
        <v>157</v>
      </c>
      <c r="Q962">
        <v>6</v>
      </c>
      <c r="R962">
        <v>22</v>
      </c>
      <c r="S962">
        <v>1</v>
      </c>
      <c r="T962">
        <v>1</v>
      </c>
      <c r="U962">
        <v>7</v>
      </c>
      <c r="V962">
        <v>1</v>
      </c>
      <c r="W962">
        <v>11</v>
      </c>
      <c r="X962">
        <v>90</v>
      </c>
      <c r="Y962">
        <v>7</v>
      </c>
      <c r="Z962">
        <v>2</v>
      </c>
      <c r="AA962">
        <v>1</v>
      </c>
      <c r="AB962">
        <v>2</v>
      </c>
      <c r="AD962">
        <v>2</v>
      </c>
      <c r="AE962">
        <v>1</v>
      </c>
      <c r="AF962">
        <v>0</v>
      </c>
      <c r="AG962">
        <v>0</v>
      </c>
      <c r="AI962">
        <v>0</v>
      </c>
      <c r="AJ962">
        <v>3</v>
      </c>
      <c r="AK962">
        <v>157</v>
      </c>
      <c r="AL962">
        <v>157</v>
      </c>
      <c r="AM962">
        <v>482</v>
      </c>
      <c r="AN962">
        <v>44</v>
      </c>
      <c r="AP962">
        <v>1</v>
      </c>
      <c r="AR962" t="s">
        <v>1047</v>
      </c>
      <c r="AS962" s="1">
        <v>44353.975694444445</v>
      </c>
      <c r="AT962" s="1">
        <v>44353.98232638889</v>
      </c>
      <c r="AU962" s="1">
        <v>44353.982928240737</v>
      </c>
      <c r="AV962" t="s">
        <v>71</v>
      </c>
      <c r="AW962" t="s">
        <v>72</v>
      </c>
      <c r="AX962" t="s">
        <v>73</v>
      </c>
    </row>
    <row r="963" spans="1:50" x14ac:dyDescent="0.3">
      <c r="A963" t="str">
        <f>"200929E0100"</f>
        <v>200929E0100</v>
      </c>
      <c r="B963" t="str">
        <f>"200929E01002"</f>
        <v>200929E01002</v>
      </c>
      <c r="C963" t="str">
        <f t="shared" si="39"/>
        <v>20</v>
      </c>
      <c r="D963" t="s">
        <v>67</v>
      </c>
      <c r="E963" t="str">
        <f t="shared" si="41"/>
        <v>005</v>
      </c>
      <c r="F963" t="s">
        <v>962</v>
      </c>
      <c r="G963" t="str">
        <f>"0929"</f>
        <v>0929</v>
      </c>
      <c r="H963" t="str">
        <f>"0001"</f>
        <v>0001</v>
      </c>
      <c r="I963" t="s">
        <v>109</v>
      </c>
      <c r="J963">
        <v>0</v>
      </c>
      <c r="K963">
        <v>1</v>
      </c>
      <c r="L963">
        <v>2</v>
      </c>
      <c r="M963">
        <v>289</v>
      </c>
      <c r="N963">
        <v>159</v>
      </c>
      <c r="O963">
        <v>0</v>
      </c>
      <c r="P963">
        <v>159</v>
      </c>
      <c r="Q963">
        <v>2</v>
      </c>
      <c r="R963">
        <v>7</v>
      </c>
      <c r="S963">
        <v>5</v>
      </c>
      <c r="T963">
        <v>0</v>
      </c>
      <c r="U963">
        <v>14</v>
      </c>
      <c r="V963">
        <v>0</v>
      </c>
      <c r="W963">
        <v>2</v>
      </c>
      <c r="X963">
        <v>114</v>
      </c>
      <c r="Y963">
        <v>4</v>
      </c>
      <c r="Z963">
        <v>2</v>
      </c>
      <c r="AA963">
        <v>3</v>
      </c>
      <c r="AB963">
        <v>1</v>
      </c>
      <c r="AD963">
        <v>0</v>
      </c>
      <c r="AE963">
        <v>0</v>
      </c>
      <c r="AF963">
        <v>0</v>
      </c>
      <c r="AG963">
        <v>0</v>
      </c>
      <c r="AI963">
        <v>0</v>
      </c>
      <c r="AJ963">
        <v>5</v>
      </c>
      <c r="AK963">
        <v>159</v>
      </c>
      <c r="AL963">
        <v>159</v>
      </c>
      <c r="AM963">
        <v>404</v>
      </c>
      <c r="AN963">
        <v>44</v>
      </c>
      <c r="AP963">
        <v>1</v>
      </c>
      <c r="AR963" t="s">
        <v>1048</v>
      </c>
      <c r="AS963" s="1">
        <v>44353.976388888892</v>
      </c>
      <c r="AT963" s="1">
        <v>44353.981793981482</v>
      </c>
      <c r="AU963" s="1">
        <v>44353.98228009259</v>
      </c>
      <c r="AV963" t="s">
        <v>71</v>
      </c>
      <c r="AW963" t="s">
        <v>72</v>
      </c>
      <c r="AX963" t="s">
        <v>73</v>
      </c>
    </row>
    <row r="964" spans="1:50" x14ac:dyDescent="0.3">
      <c r="A964" t="str">
        <f>"200930B0000"</f>
        <v>200930B0000</v>
      </c>
      <c r="B964" t="str">
        <f>"200930B00002"</f>
        <v>200930B00002</v>
      </c>
      <c r="C964" t="str">
        <f t="shared" si="39"/>
        <v>20</v>
      </c>
      <c r="D964" t="s">
        <v>67</v>
      </c>
      <c r="E964" t="str">
        <f t="shared" si="41"/>
        <v>005</v>
      </c>
      <c r="F964" t="s">
        <v>962</v>
      </c>
      <c r="G964" t="str">
        <f>"0930"</f>
        <v>0930</v>
      </c>
      <c r="H964" t="str">
        <f>"0000"</f>
        <v>0000</v>
      </c>
      <c r="I964" t="s">
        <v>69</v>
      </c>
      <c r="J964">
        <v>0</v>
      </c>
      <c r="K964">
        <v>1</v>
      </c>
      <c r="L964">
        <v>2</v>
      </c>
      <c r="M964">
        <v>291</v>
      </c>
      <c r="N964">
        <v>87</v>
      </c>
      <c r="O964">
        <v>0</v>
      </c>
      <c r="P964">
        <v>87</v>
      </c>
      <c r="Q964">
        <v>0</v>
      </c>
      <c r="R964">
        <v>6</v>
      </c>
      <c r="S964">
        <v>8</v>
      </c>
      <c r="T964">
        <v>1</v>
      </c>
      <c r="U964">
        <v>7</v>
      </c>
      <c r="V964">
        <v>1</v>
      </c>
      <c r="W964">
        <v>0</v>
      </c>
      <c r="X964">
        <v>56</v>
      </c>
      <c r="Y964">
        <v>0</v>
      </c>
      <c r="Z964">
        <v>0</v>
      </c>
      <c r="AA964">
        <v>0</v>
      </c>
      <c r="AB964">
        <v>2</v>
      </c>
      <c r="AD964">
        <v>0</v>
      </c>
      <c r="AE964">
        <v>0</v>
      </c>
      <c r="AF964">
        <v>0</v>
      </c>
      <c r="AG964">
        <v>0</v>
      </c>
      <c r="AI964">
        <v>0</v>
      </c>
      <c r="AJ964">
        <v>6</v>
      </c>
      <c r="AK964">
        <v>87</v>
      </c>
      <c r="AL964">
        <v>87</v>
      </c>
      <c r="AM964">
        <v>334</v>
      </c>
      <c r="AN964">
        <v>44</v>
      </c>
      <c r="AP964">
        <v>1</v>
      </c>
      <c r="AR964" t="s">
        <v>1049</v>
      </c>
      <c r="AS964" s="1">
        <v>44353.975694444445</v>
      </c>
      <c r="AT964" s="1">
        <v>44353.980590277781</v>
      </c>
      <c r="AU964" s="1">
        <v>44353.981006944443</v>
      </c>
      <c r="AV964" t="s">
        <v>71</v>
      </c>
      <c r="AW964" t="s">
        <v>72</v>
      </c>
      <c r="AX964" t="s">
        <v>73</v>
      </c>
    </row>
    <row r="965" spans="1:50" x14ac:dyDescent="0.3">
      <c r="A965" t="str">
        <f>"200982B0000"</f>
        <v>200982B0000</v>
      </c>
      <c r="B965" t="str">
        <f>"200982B00002"</f>
        <v>200982B00002</v>
      </c>
      <c r="C965" t="str">
        <f t="shared" si="39"/>
        <v>20</v>
      </c>
      <c r="D965" t="s">
        <v>67</v>
      </c>
      <c r="E965" t="str">
        <f t="shared" si="41"/>
        <v>005</v>
      </c>
      <c r="F965" t="s">
        <v>962</v>
      </c>
      <c r="G965" t="str">
        <f>"0982"</f>
        <v>0982</v>
      </c>
      <c r="H965" t="str">
        <f>"0000"</f>
        <v>0000</v>
      </c>
      <c r="I965" t="s">
        <v>69</v>
      </c>
      <c r="J965">
        <v>0</v>
      </c>
      <c r="K965">
        <v>1</v>
      </c>
      <c r="L965">
        <v>2</v>
      </c>
      <c r="M965">
        <v>336</v>
      </c>
      <c r="N965">
        <v>319</v>
      </c>
      <c r="O965">
        <v>1</v>
      </c>
      <c r="P965">
        <v>319</v>
      </c>
      <c r="Q965">
        <v>0</v>
      </c>
      <c r="R965">
        <v>43</v>
      </c>
      <c r="S965">
        <v>1</v>
      </c>
      <c r="T965">
        <v>0</v>
      </c>
      <c r="U965">
        <v>75</v>
      </c>
      <c r="V965">
        <v>7</v>
      </c>
      <c r="W965">
        <v>2</v>
      </c>
      <c r="X965">
        <v>172</v>
      </c>
      <c r="Y965">
        <v>8</v>
      </c>
      <c r="Z965">
        <v>5</v>
      </c>
      <c r="AA965">
        <v>0</v>
      </c>
      <c r="AB965">
        <v>2</v>
      </c>
      <c r="AD965">
        <v>0</v>
      </c>
      <c r="AE965">
        <v>0</v>
      </c>
      <c r="AF965">
        <v>0</v>
      </c>
      <c r="AG965">
        <v>1</v>
      </c>
      <c r="AI965">
        <v>0</v>
      </c>
      <c r="AJ965">
        <v>3</v>
      </c>
      <c r="AK965">
        <v>319</v>
      </c>
      <c r="AL965">
        <v>319</v>
      </c>
      <c r="AM965">
        <v>611</v>
      </c>
      <c r="AN965">
        <v>44</v>
      </c>
      <c r="AP965">
        <v>1</v>
      </c>
      <c r="AR965" t="s">
        <v>1050</v>
      </c>
      <c r="AS965" s="1">
        <v>44353.970138888886</v>
      </c>
      <c r="AT965" s="1">
        <v>44353.976064814815</v>
      </c>
      <c r="AU965" s="1">
        <v>44353.976851851854</v>
      </c>
      <c r="AV965" t="s">
        <v>71</v>
      </c>
      <c r="AW965" t="s">
        <v>72</v>
      </c>
      <c r="AX965" t="s">
        <v>73</v>
      </c>
    </row>
    <row r="966" spans="1:50" x14ac:dyDescent="0.3">
      <c r="A966" t="str">
        <f>"200983B0000"</f>
        <v>200983B0000</v>
      </c>
      <c r="B966" t="str">
        <f>"200983B00002"</f>
        <v>200983B00002</v>
      </c>
      <c r="C966" t="str">
        <f t="shared" si="39"/>
        <v>20</v>
      </c>
      <c r="D966" t="s">
        <v>67</v>
      </c>
      <c r="E966" t="str">
        <f t="shared" si="41"/>
        <v>005</v>
      </c>
      <c r="F966" t="s">
        <v>962</v>
      </c>
      <c r="G966" t="str">
        <f>"0983"</f>
        <v>0983</v>
      </c>
      <c r="H966" t="str">
        <f>"0000"</f>
        <v>0000</v>
      </c>
      <c r="I966" t="s">
        <v>69</v>
      </c>
      <c r="J966">
        <v>0</v>
      </c>
      <c r="K966">
        <v>1</v>
      </c>
      <c r="L966">
        <v>2</v>
      </c>
      <c r="M966">
        <v>287</v>
      </c>
      <c r="N966">
        <v>248</v>
      </c>
      <c r="O966">
        <v>4</v>
      </c>
      <c r="P966">
        <v>248</v>
      </c>
      <c r="Q966">
        <v>2</v>
      </c>
      <c r="R966">
        <v>40</v>
      </c>
      <c r="S966">
        <v>1</v>
      </c>
      <c r="T966">
        <v>5</v>
      </c>
      <c r="U966">
        <v>39</v>
      </c>
      <c r="V966">
        <v>5</v>
      </c>
      <c r="W966">
        <v>7</v>
      </c>
      <c r="X966">
        <v>124</v>
      </c>
      <c r="Y966">
        <v>4</v>
      </c>
      <c r="Z966">
        <v>3</v>
      </c>
      <c r="AA966">
        <v>3</v>
      </c>
      <c r="AB966">
        <v>7</v>
      </c>
      <c r="AD966">
        <v>2</v>
      </c>
      <c r="AE966">
        <v>0</v>
      </c>
      <c r="AF966">
        <v>0</v>
      </c>
      <c r="AG966">
        <v>0</v>
      </c>
      <c r="AI966" t="s">
        <v>77</v>
      </c>
      <c r="AJ966">
        <v>6</v>
      </c>
      <c r="AK966">
        <v>248</v>
      </c>
      <c r="AL966">
        <v>248</v>
      </c>
      <c r="AM966">
        <v>491</v>
      </c>
      <c r="AN966">
        <v>44</v>
      </c>
      <c r="AO966" t="s">
        <v>78</v>
      </c>
      <c r="AP966">
        <v>1</v>
      </c>
      <c r="AR966" t="s">
        <v>1051</v>
      </c>
      <c r="AS966" s="1">
        <v>44353.970138888886</v>
      </c>
      <c r="AT966" s="1">
        <v>44353.9768287037</v>
      </c>
      <c r="AU966" s="1">
        <v>44353.977442129632</v>
      </c>
      <c r="AV966" t="s">
        <v>71</v>
      </c>
      <c r="AW966" t="s">
        <v>72</v>
      </c>
      <c r="AX966" t="s">
        <v>73</v>
      </c>
    </row>
    <row r="967" spans="1:50" x14ac:dyDescent="0.3">
      <c r="A967" t="str">
        <f>"200984B0000"</f>
        <v>200984B0000</v>
      </c>
      <c r="B967" t="str">
        <f>"200984B00002"</f>
        <v>200984B00002</v>
      </c>
      <c r="C967" t="str">
        <f t="shared" ref="C967:C1030" si="43">"20"</f>
        <v>20</v>
      </c>
      <c r="D967" t="s">
        <v>67</v>
      </c>
      <c r="E967" t="str">
        <f t="shared" si="41"/>
        <v>005</v>
      </c>
      <c r="F967" t="s">
        <v>962</v>
      </c>
      <c r="G967" t="str">
        <f>"0984"</f>
        <v>0984</v>
      </c>
      <c r="H967" t="str">
        <f>"0000"</f>
        <v>0000</v>
      </c>
      <c r="I967" t="s">
        <v>69</v>
      </c>
      <c r="J967">
        <v>0</v>
      </c>
      <c r="K967">
        <v>1</v>
      </c>
      <c r="L967">
        <v>2</v>
      </c>
      <c r="M967">
        <v>131</v>
      </c>
      <c r="N967">
        <v>104</v>
      </c>
      <c r="O967">
        <v>0</v>
      </c>
      <c r="P967">
        <v>104</v>
      </c>
      <c r="Q967">
        <v>1</v>
      </c>
      <c r="R967">
        <v>24</v>
      </c>
      <c r="S967">
        <v>3</v>
      </c>
      <c r="T967">
        <v>0</v>
      </c>
      <c r="U967">
        <v>11</v>
      </c>
      <c r="V967">
        <v>0</v>
      </c>
      <c r="W967">
        <v>1</v>
      </c>
      <c r="X967">
        <v>58</v>
      </c>
      <c r="Y967">
        <v>0</v>
      </c>
      <c r="Z967">
        <v>2</v>
      </c>
      <c r="AA967">
        <v>0</v>
      </c>
      <c r="AB967">
        <v>0</v>
      </c>
      <c r="AD967">
        <v>0</v>
      </c>
      <c r="AE967">
        <v>0</v>
      </c>
      <c r="AF967">
        <v>0</v>
      </c>
      <c r="AG967">
        <v>0</v>
      </c>
      <c r="AI967">
        <v>0</v>
      </c>
      <c r="AJ967">
        <v>0</v>
      </c>
      <c r="AK967">
        <v>104</v>
      </c>
      <c r="AL967">
        <v>100</v>
      </c>
      <c r="AM967">
        <v>191</v>
      </c>
      <c r="AN967">
        <v>44</v>
      </c>
      <c r="AP967">
        <v>1</v>
      </c>
      <c r="AR967" t="s">
        <v>1052</v>
      </c>
      <c r="AS967" s="1">
        <v>44353.970833333333</v>
      </c>
      <c r="AT967" s="1">
        <v>44353.977141203701</v>
      </c>
      <c r="AU967" s="1">
        <v>44353.977986111109</v>
      </c>
      <c r="AV967" t="s">
        <v>71</v>
      </c>
      <c r="AW967" t="s">
        <v>72</v>
      </c>
      <c r="AX967" t="s">
        <v>73</v>
      </c>
    </row>
    <row r="968" spans="1:50" x14ac:dyDescent="0.3">
      <c r="A968" t="str">
        <f>"200984E0100"</f>
        <v>200984E0100</v>
      </c>
      <c r="B968" t="str">
        <f>"200984E01002"</f>
        <v>200984E01002</v>
      </c>
      <c r="C968" t="str">
        <f t="shared" si="43"/>
        <v>20</v>
      </c>
      <c r="D968" t="s">
        <v>67</v>
      </c>
      <c r="E968" t="str">
        <f t="shared" si="41"/>
        <v>005</v>
      </c>
      <c r="F968" t="s">
        <v>962</v>
      </c>
      <c r="G968" t="str">
        <f>"0984"</f>
        <v>0984</v>
      </c>
      <c r="H968" t="str">
        <f>"0001"</f>
        <v>0001</v>
      </c>
      <c r="I968" t="s">
        <v>109</v>
      </c>
      <c r="J968">
        <v>0</v>
      </c>
      <c r="K968">
        <v>1</v>
      </c>
      <c r="L968">
        <v>2</v>
      </c>
      <c r="M968">
        <v>223</v>
      </c>
      <c r="N968">
        <v>135</v>
      </c>
      <c r="O968">
        <v>4</v>
      </c>
      <c r="P968">
        <v>135</v>
      </c>
      <c r="Q968">
        <v>6</v>
      </c>
      <c r="R968">
        <v>21</v>
      </c>
      <c r="S968">
        <v>3</v>
      </c>
      <c r="T968">
        <v>3</v>
      </c>
      <c r="U968">
        <v>12</v>
      </c>
      <c r="V968">
        <v>4</v>
      </c>
      <c r="W968">
        <v>1</v>
      </c>
      <c r="X968">
        <v>69</v>
      </c>
      <c r="Y968">
        <v>1</v>
      </c>
      <c r="Z968">
        <v>6</v>
      </c>
      <c r="AA968">
        <v>1</v>
      </c>
      <c r="AB968">
        <v>0</v>
      </c>
      <c r="AD968">
        <v>0</v>
      </c>
      <c r="AE968">
        <v>0</v>
      </c>
      <c r="AF968">
        <v>0</v>
      </c>
      <c r="AG968">
        <v>0</v>
      </c>
      <c r="AI968">
        <v>0</v>
      </c>
      <c r="AJ968">
        <v>0</v>
      </c>
      <c r="AK968">
        <v>0</v>
      </c>
      <c r="AL968">
        <v>127</v>
      </c>
      <c r="AM968">
        <v>314</v>
      </c>
      <c r="AN968">
        <v>44</v>
      </c>
      <c r="AP968">
        <v>1</v>
      </c>
      <c r="AR968" t="s">
        <v>1053</v>
      </c>
      <c r="AS968" s="1">
        <v>44353.970833333333</v>
      </c>
      <c r="AT968" s="1">
        <v>44353.977025462962</v>
      </c>
      <c r="AU968" s="1">
        <v>44353.977465277778</v>
      </c>
      <c r="AV968" t="s">
        <v>71</v>
      </c>
      <c r="AW968" t="s">
        <v>72</v>
      </c>
      <c r="AX968" t="s">
        <v>73</v>
      </c>
    </row>
    <row r="969" spans="1:50" x14ac:dyDescent="0.3">
      <c r="A969" t="str">
        <f>"200985B0000"</f>
        <v>200985B0000</v>
      </c>
      <c r="B969" t="str">
        <f>"200985B00002"</f>
        <v>200985B00002</v>
      </c>
      <c r="C969" t="str">
        <f t="shared" si="43"/>
        <v>20</v>
      </c>
      <c r="D969" t="s">
        <v>67</v>
      </c>
      <c r="E969" t="str">
        <f t="shared" si="41"/>
        <v>005</v>
      </c>
      <c r="F969" t="s">
        <v>962</v>
      </c>
      <c r="G969" t="str">
        <f>"0985"</f>
        <v>0985</v>
      </c>
      <c r="H969" t="str">
        <f>"0000"</f>
        <v>0000</v>
      </c>
      <c r="I969" t="s">
        <v>69</v>
      </c>
      <c r="J969">
        <v>0</v>
      </c>
      <c r="K969">
        <v>1</v>
      </c>
      <c r="L969">
        <v>2</v>
      </c>
      <c r="M969">
        <v>284</v>
      </c>
      <c r="N969">
        <v>65</v>
      </c>
      <c r="O969">
        <v>2</v>
      </c>
      <c r="P969">
        <v>65</v>
      </c>
      <c r="Q969">
        <v>1</v>
      </c>
      <c r="R969">
        <v>12</v>
      </c>
      <c r="S969">
        <v>2</v>
      </c>
      <c r="T969">
        <v>0</v>
      </c>
      <c r="U969">
        <v>11</v>
      </c>
      <c r="V969">
        <v>0</v>
      </c>
      <c r="W969">
        <v>4</v>
      </c>
      <c r="X969">
        <v>30</v>
      </c>
      <c r="Y969">
        <v>0</v>
      </c>
      <c r="Z969">
        <v>1</v>
      </c>
      <c r="AA969">
        <v>0</v>
      </c>
      <c r="AB969">
        <v>0</v>
      </c>
      <c r="AD969">
        <v>0</v>
      </c>
      <c r="AE969">
        <v>0</v>
      </c>
      <c r="AF969">
        <v>0</v>
      </c>
      <c r="AG969">
        <v>0</v>
      </c>
      <c r="AI969">
        <v>0</v>
      </c>
      <c r="AJ969">
        <v>4</v>
      </c>
      <c r="AK969">
        <v>65</v>
      </c>
      <c r="AL969">
        <v>65</v>
      </c>
      <c r="AM969">
        <v>305</v>
      </c>
      <c r="AN969">
        <v>44</v>
      </c>
      <c r="AP969">
        <v>1</v>
      </c>
      <c r="AR969" t="s">
        <v>1054</v>
      </c>
      <c r="AS969" s="1">
        <v>44354.080555555556</v>
      </c>
      <c r="AT969" s="1">
        <v>44354.088680555556</v>
      </c>
      <c r="AU969" s="1">
        <v>44354.089131944442</v>
      </c>
      <c r="AV969" t="s">
        <v>71</v>
      </c>
      <c r="AW969" t="s">
        <v>72</v>
      </c>
      <c r="AX969" t="s">
        <v>73</v>
      </c>
    </row>
    <row r="970" spans="1:50" x14ac:dyDescent="0.3">
      <c r="A970" t="str">
        <f>"200985E0100"</f>
        <v>200985E0100</v>
      </c>
      <c r="B970" t="str">
        <f>"200985E01002"</f>
        <v>200985E01002</v>
      </c>
      <c r="C970" t="str">
        <f t="shared" si="43"/>
        <v>20</v>
      </c>
      <c r="D970" t="s">
        <v>67</v>
      </c>
      <c r="E970" t="str">
        <f t="shared" si="41"/>
        <v>005</v>
      </c>
      <c r="F970" t="s">
        <v>962</v>
      </c>
      <c r="G970" t="str">
        <f>"0985"</f>
        <v>0985</v>
      </c>
      <c r="H970" t="str">
        <f>"0001"</f>
        <v>0001</v>
      </c>
      <c r="I970" t="s">
        <v>109</v>
      </c>
      <c r="J970">
        <v>0</v>
      </c>
      <c r="K970">
        <v>1</v>
      </c>
      <c r="L970">
        <v>2</v>
      </c>
      <c r="M970">
        <v>143</v>
      </c>
      <c r="N970">
        <v>152</v>
      </c>
      <c r="O970">
        <v>1</v>
      </c>
      <c r="P970">
        <v>152</v>
      </c>
      <c r="Q970">
        <v>2</v>
      </c>
      <c r="R970">
        <v>11</v>
      </c>
      <c r="S970">
        <v>0</v>
      </c>
      <c r="T970">
        <v>5</v>
      </c>
      <c r="U970">
        <v>10</v>
      </c>
      <c r="V970">
        <v>2</v>
      </c>
      <c r="W970">
        <v>50</v>
      </c>
      <c r="X970">
        <v>64</v>
      </c>
      <c r="Y970">
        <v>1</v>
      </c>
      <c r="Z970">
        <v>0</v>
      </c>
      <c r="AA970">
        <v>1</v>
      </c>
      <c r="AB970">
        <v>1</v>
      </c>
      <c r="AD970" t="s">
        <v>77</v>
      </c>
      <c r="AE970" t="s">
        <v>77</v>
      </c>
      <c r="AF970" t="s">
        <v>77</v>
      </c>
      <c r="AG970" t="s">
        <v>77</v>
      </c>
      <c r="AI970" t="s">
        <v>77</v>
      </c>
      <c r="AJ970">
        <v>5</v>
      </c>
      <c r="AK970">
        <v>152</v>
      </c>
      <c r="AL970">
        <v>152</v>
      </c>
      <c r="AM970">
        <v>251</v>
      </c>
      <c r="AN970">
        <v>44</v>
      </c>
      <c r="AO970" t="s">
        <v>78</v>
      </c>
      <c r="AP970">
        <v>1</v>
      </c>
      <c r="AR970" t="s">
        <v>1055</v>
      </c>
      <c r="AS970" s="1">
        <v>44354.079861111109</v>
      </c>
      <c r="AT970" s="1">
        <v>44354.088495370372</v>
      </c>
      <c r="AU970" s="1">
        <v>44354.089675925927</v>
      </c>
      <c r="AV970" t="s">
        <v>71</v>
      </c>
      <c r="AW970" t="s">
        <v>72</v>
      </c>
      <c r="AX970" t="s">
        <v>73</v>
      </c>
    </row>
    <row r="971" spans="1:50" x14ac:dyDescent="0.3">
      <c r="A971" t="str">
        <f>"201002B0000"</f>
        <v>201002B0000</v>
      </c>
      <c r="B971" t="str">
        <f>"201002B00002"</f>
        <v>201002B00002</v>
      </c>
      <c r="C971" t="str">
        <f t="shared" si="43"/>
        <v>20</v>
      </c>
      <c r="D971" t="s">
        <v>67</v>
      </c>
      <c r="E971" t="str">
        <f t="shared" si="41"/>
        <v>005</v>
      </c>
      <c r="F971" t="s">
        <v>962</v>
      </c>
      <c r="G971" t="str">
        <f>"1002"</f>
        <v>1002</v>
      </c>
      <c r="H971" t="str">
        <f>"0000"</f>
        <v>0000</v>
      </c>
      <c r="I971" t="s">
        <v>69</v>
      </c>
      <c r="J971">
        <v>0</v>
      </c>
      <c r="K971">
        <v>1</v>
      </c>
      <c r="L971">
        <v>2</v>
      </c>
      <c r="M971">
        <v>438</v>
      </c>
      <c r="N971">
        <v>143</v>
      </c>
      <c r="O971">
        <v>0</v>
      </c>
      <c r="P971">
        <v>143</v>
      </c>
      <c r="Q971">
        <v>2</v>
      </c>
      <c r="R971">
        <v>29</v>
      </c>
      <c r="S971">
        <v>6</v>
      </c>
      <c r="T971">
        <v>1</v>
      </c>
      <c r="U971">
        <v>5</v>
      </c>
      <c r="V971">
        <v>2</v>
      </c>
      <c r="W971">
        <v>1</v>
      </c>
      <c r="X971">
        <v>88</v>
      </c>
      <c r="Y971">
        <v>1</v>
      </c>
      <c r="Z971">
        <v>2</v>
      </c>
      <c r="AA971">
        <v>1</v>
      </c>
      <c r="AB971">
        <v>1</v>
      </c>
      <c r="AD971">
        <v>0</v>
      </c>
      <c r="AE971">
        <v>0</v>
      </c>
      <c r="AF971">
        <v>0</v>
      </c>
      <c r="AG971">
        <v>0</v>
      </c>
      <c r="AI971">
        <v>0</v>
      </c>
      <c r="AJ971">
        <v>0</v>
      </c>
      <c r="AK971">
        <v>0</v>
      </c>
      <c r="AL971">
        <v>139</v>
      </c>
      <c r="AM971">
        <v>537</v>
      </c>
      <c r="AN971">
        <v>44</v>
      </c>
      <c r="AP971">
        <v>1</v>
      </c>
      <c r="AR971" t="s">
        <v>1056</v>
      </c>
      <c r="AS971" s="1">
        <v>44354.093055555553</v>
      </c>
      <c r="AT971" s="1">
        <v>44354.097951388889</v>
      </c>
      <c r="AU971" s="1">
        <v>44354.098506944443</v>
      </c>
      <c r="AV971" t="s">
        <v>71</v>
      </c>
      <c r="AW971" t="s">
        <v>72</v>
      </c>
      <c r="AX971" t="s">
        <v>73</v>
      </c>
    </row>
    <row r="972" spans="1:50" x14ac:dyDescent="0.3">
      <c r="A972" t="str">
        <f>"201002C0100"</f>
        <v>201002C0100</v>
      </c>
      <c r="B972" t="str">
        <f>"201002C01002"</f>
        <v>201002C01002</v>
      </c>
      <c r="C972" t="str">
        <f t="shared" si="43"/>
        <v>20</v>
      </c>
      <c r="D972" t="s">
        <v>67</v>
      </c>
      <c r="E972" t="str">
        <f t="shared" si="41"/>
        <v>005</v>
      </c>
      <c r="F972" t="s">
        <v>962</v>
      </c>
      <c r="G972" t="str">
        <f>"1002"</f>
        <v>1002</v>
      </c>
      <c r="H972" t="str">
        <f>"0001"</f>
        <v>0001</v>
      </c>
      <c r="I972" t="s">
        <v>75</v>
      </c>
      <c r="J972">
        <v>0</v>
      </c>
      <c r="K972">
        <v>1</v>
      </c>
      <c r="L972">
        <v>2</v>
      </c>
      <c r="M972">
        <v>463</v>
      </c>
      <c r="N972">
        <v>117</v>
      </c>
      <c r="O972">
        <v>2</v>
      </c>
      <c r="P972">
        <v>117</v>
      </c>
      <c r="Q972">
        <v>5</v>
      </c>
      <c r="R972">
        <v>19</v>
      </c>
      <c r="S972">
        <v>4</v>
      </c>
      <c r="T972">
        <v>2</v>
      </c>
      <c r="U972">
        <v>3</v>
      </c>
      <c r="V972">
        <v>1</v>
      </c>
      <c r="W972">
        <v>1</v>
      </c>
      <c r="X972">
        <v>69</v>
      </c>
      <c r="Y972">
        <v>1</v>
      </c>
      <c r="Z972">
        <v>1</v>
      </c>
      <c r="AA972">
        <v>2</v>
      </c>
      <c r="AB972">
        <v>2</v>
      </c>
      <c r="AD972">
        <v>0</v>
      </c>
      <c r="AE972">
        <v>0</v>
      </c>
      <c r="AF972">
        <v>0</v>
      </c>
      <c r="AG972">
        <v>0</v>
      </c>
      <c r="AI972" t="s">
        <v>77</v>
      </c>
      <c r="AJ972">
        <v>7</v>
      </c>
      <c r="AK972">
        <v>117</v>
      </c>
      <c r="AL972">
        <v>117</v>
      </c>
      <c r="AM972">
        <v>536</v>
      </c>
      <c r="AN972">
        <v>44</v>
      </c>
      <c r="AO972" t="s">
        <v>78</v>
      </c>
      <c r="AP972">
        <v>1</v>
      </c>
      <c r="AR972" t="s">
        <v>1057</v>
      </c>
      <c r="AS972" s="1">
        <v>44354.093055555553</v>
      </c>
      <c r="AT972" s="1">
        <v>44354.097800925927</v>
      </c>
      <c r="AU972" s="1">
        <v>44354.098483796297</v>
      </c>
      <c r="AV972" t="s">
        <v>71</v>
      </c>
      <c r="AW972" t="s">
        <v>72</v>
      </c>
      <c r="AX972" t="s">
        <v>73</v>
      </c>
    </row>
    <row r="973" spans="1:50" x14ac:dyDescent="0.3">
      <c r="A973" t="str">
        <f>"201134B0000"</f>
        <v>201134B0000</v>
      </c>
      <c r="B973" t="str">
        <f>"201134B00002"</f>
        <v>201134B00002</v>
      </c>
      <c r="C973" t="str">
        <f t="shared" si="43"/>
        <v>20</v>
      </c>
      <c r="D973" t="s">
        <v>67</v>
      </c>
      <c r="E973" t="str">
        <f t="shared" si="41"/>
        <v>005</v>
      </c>
      <c r="F973" t="s">
        <v>962</v>
      </c>
      <c r="G973" t="str">
        <f>"1134"</f>
        <v>1134</v>
      </c>
      <c r="H973" t="str">
        <f>"0000"</f>
        <v>0000</v>
      </c>
      <c r="I973" t="s">
        <v>69</v>
      </c>
      <c r="J973">
        <v>0</v>
      </c>
      <c r="K973">
        <v>1</v>
      </c>
      <c r="L973">
        <v>2</v>
      </c>
      <c r="M973">
        <v>368</v>
      </c>
      <c r="N973">
        <v>212</v>
      </c>
      <c r="O973">
        <v>1</v>
      </c>
      <c r="P973">
        <v>212</v>
      </c>
      <c r="Q973">
        <v>5</v>
      </c>
      <c r="R973">
        <v>33</v>
      </c>
      <c r="S973">
        <v>7</v>
      </c>
      <c r="T973">
        <v>5</v>
      </c>
      <c r="U973">
        <v>31</v>
      </c>
      <c r="V973">
        <v>5</v>
      </c>
      <c r="W973">
        <v>29</v>
      </c>
      <c r="X973">
        <v>67</v>
      </c>
      <c r="Y973">
        <v>2</v>
      </c>
      <c r="Z973">
        <v>6</v>
      </c>
      <c r="AA973">
        <v>2</v>
      </c>
      <c r="AB973">
        <v>5</v>
      </c>
      <c r="AD973">
        <v>0</v>
      </c>
      <c r="AE973">
        <v>0</v>
      </c>
      <c r="AF973">
        <v>0</v>
      </c>
      <c r="AG973">
        <v>0</v>
      </c>
      <c r="AI973">
        <v>0</v>
      </c>
      <c r="AJ973">
        <v>15</v>
      </c>
      <c r="AK973">
        <v>212</v>
      </c>
      <c r="AL973">
        <v>212</v>
      </c>
      <c r="AM973">
        <v>536</v>
      </c>
      <c r="AN973">
        <v>44</v>
      </c>
      <c r="AP973">
        <v>1</v>
      </c>
      <c r="AR973" t="s">
        <v>1058</v>
      </c>
      <c r="AS973" s="1">
        <v>44354.05</v>
      </c>
      <c r="AT973" s="1">
        <v>44354.057060185187</v>
      </c>
      <c r="AU973" s="1">
        <v>44354.057604166665</v>
      </c>
      <c r="AV973" t="s">
        <v>71</v>
      </c>
      <c r="AW973" t="s">
        <v>72</v>
      </c>
      <c r="AX973" t="s">
        <v>73</v>
      </c>
    </row>
    <row r="974" spans="1:50" x14ac:dyDescent="0.3">
      <c r="A974" t="str">
        <f>"201135B0000"</f>
        <v>201135B0000</v>
      </c>
      <c r="B974" t="str">
        <f>"201135B00002"</f>
        <v>201135B00002</v>
      </c>
      <c r="C974" t="str">
        <f t="shared" si="43"/>
        <v>20</v>
      </c>
      <c r="D974" t="s">
        <v>67</v>
      </c>
      <c r="E974" t="str">
        <f t="shared" si="41"/>
        <v>005</v>
      </c>
      <c r="F974" t="s">
        <v>962</v>
      </c>
      <c r="G974" t="str">
        <f>"1135"</f>
        <v>1135</v>
      </c>
      <c r="H974" t="str">
        <f>"0000"</f>
        <v>0000</v>
      </c>
      <c r="I974" t="s">
        <v>69</v>
      </c>
      <c r="J974">
        <v>0</v>
      </c>
      <c r="K974">
        <v>1</v>
      </c>
      <c r="L974">
        <v>2</v>
      </c>
      <c r="M974">
        <v>229</v>
      </c>
      <c r="N974">
        <v>136</v>
      </c>
      <c r="O974">
        <v>0</v>
      </c>
      <c r="P974">
        <v>136</v>
      </c>
      <c r="Q974">
        <v>6</v>
      </c>
      <c r="R974">
        <v>30</v>
      </c>
      <c r="S974">
        <v>6</v>
      </c>
      <c r="T974">
        <v>3</v>
      </c>
      <c r="U974">
        <v>16</v>
      </c>
      <c r="V974">
        <v>3</v>
      </c>
      <c r="W974">
        <v>29</v>
      </c>
      <c r="X974">
        <v>30</v>
      </c>
      <c r="Y974">
        <v>1</v>
      </c>
      <c r="Z974">
        <v>5</v>
      </c>
      <c r="AA974">
        <v>0</v>
      </c>
      <c r="AB974">
        <v>1</v>
      </c>
      <c r="AD974">
        <v>0</v>
      </c>
      <c r="AE974">
        <v>0</v>
      </c>
      <c r="AF974">
        <v>0</v>
      </c>
      <c r="AG974">
        <v>0</v>
      </c>
      <c r="AI974">
        <v>0</v>
      </c>
      <c r="AJ974">
        <v>6</v>
      </c>
      <c r="AK974">
        <v>136</v>
      </c>
      <c r="AL974">
        <v>136</v>
      </c>
      <c r="AM974">
        <v>321</v>
      </c>
      <c r="AN974">
        <v>44</v>
      </c>
      <c r="AP974">
        <v>1</v>
      </c>
      <c r="AR974" t="s">
        <v>1059</v>
      </c>
      <c r="AS974" s="1">
        <v>44354.05</v>
      </c>
      <c r="AT974" s="1">
        <v>44354.057569444441</v>
      </c>
      <c r="AU974" s="1">
        <v>44354.057997685188</v>
      </c>
      <c r="AV974" t="s">
        <v>71</v>
      </c>
      <c r="AW974" t="s">
        <v>72</v>
      </c>
      <c r="AX974" t="s">
        <v>73</v>
      </c>
    </row>
    <row r="975" spans="1:50" x14ac:dyDescent="0.3">
      <c r="A975" t="str">
        <f>"201219B0000"</f>
        <v>201219B0000</v>
      </c>
      <c r="B975" t="str">
        <f>"201219B00002"</f>
        <v>201219B00002</v>
      </c>
      <c r="C975" t="str">
        <f t="shared" si="43"/>
        <v>20</v>
      </c>
      <c r="D975" t="s">
        <v>67</v>
      </c>
      <c r="E975" t="str">
        <f t="shared" si="41"/>
        <v>005</v>
      </c>
      <c r="F975" t="s">
        <v>962</v>
      </c>
      <c r="G975" t="str">
        <f>"1219"</f>
        <v>1219</v>
      </c>
      <c r="H975" t="str">
        <f>"0000"</f>
        <v>0000</v>
      </c>
      <c r="I975" t="s">
        <v>69</v>
      </c>
      <c r="J975">
        <v>0</v>
      </c>
      <c r="K975">
        <v>1</v>
      </c>
      <c r="L975">
        <v>2</v>
      </c>
      <c r="M975">
        <v>243</v>
      </c>
      <c r="N975">
        <v>238</v>
      </c>
      <c r="O975">
        <v>0</v>
      </c>
      <c r="P975">
        <v>239</v>
      </c>
      <c r="Q975">
        <v>6</v>
      </c>
      <c r="R975">
        <v>21</v>
      </c>
      <c r="S975">
        <v>6</v>
      </c>
      <c r="T975">
        <v>8</v>
      </c>
      <c r="U975">
        <v>19</v>
      </c>
      <c r="V975">
        <v>2</v>
      </c>
      <c r="W975">
        <v>3</v>
      </c>
      <c r="X975">
        <v>89</v>
      </c>
      <c r="Y975">
        <v>65</v>
      </c>
      <c r="Z975">
        <v>5</v>
      </c>
      <c r="AA975">
        <v>4</v>
      </c>
      <c r="AB975">
        <v>2</v>
      </c>
      <c r="AD975" t="s">
        <v>77</v>
      </c>
      <c r="AE975" t="s">
        <v>77</v>
      </c>
      <c r="AF975" t="s">
        <v>77</v>
      </c>
      <c r="AG975">
        <v>1</v>
      </c>
      <c r="AI975" t="s">
        <v>77</v>
      </c>
      <c r="AJ975">
        <v>8</v>
      </c>
      <c r="AK975">
        <v>239</v>
      </c>
      <c r="AL975">
        <v>239</v>
      </c>
      <c r="AM975">
        <v>438</v>
      </c>
      <c r="AN975">
        <v>44</v>
      </c>
      <c r="AO975" t="s">
        <v>78</v>
      </c>
      <c r="AP975">
        <v>1</v>
      </c>
      <c r="AR975" t="s">
        <v>1060</v>
      </c>
      <c r="AS975" s="1">
        <v>44354.068749999999</v>
      </c>
      <c r="AT975" s="1">
        <v>44354.07744212963</v>
      </c>
      <c r="AU975" s="1">
        <v>44354.078148148146</v>
      </c>
      <c r="AV975" t="s">
        <v>71</v>
      </c>
      <c r="AW975" t="s">
        <v>72</v>
      </c>
      <c r="AX975" t="s">
        <v>73</v>
      </c>
    </row>
    <row r="976" spans="1:50" x14ac:dyDescent="0.3">
      <c r="A976" t="str">
        <f>"201219E0100"</f>
        <v>201219E0100</v>
      </c>
      <c r="B976" t="str">
        <f>"201219E01002"</f>
        <v>201219E01002</v>
      </c>
      <c r="C976" t="str">
        <f t="shared" si="43"/>
        <v>20</v>
      </c>
      <c r="D976" t="s">
        <v>67</v>
      </c>
      <c r="E976" t="str">
        <f t="shared" si="41"/>
        <v>005</v>
      </c>
      <c r="F976" t="s">
        <v>962</v>
      </c>
      <c r="G976" t="str">
        <f>"1219"</f>
        <v>1219</v>
      </c>
      <c r="H976" t="str">
        <f>"0001"</f>
        <v>0001</v>
      </c>
      <c r="I976" t="s">
        <v>109</v>
      </c>
      <c r="J976">
        <v>0</v>
      </c>
      <c r="K976">
        <v>1</v>
      </c>
      <c r="L976">
        <v>2</v>
      </c>
      <c r="M976">
        <v>129</v>
      </c>
      <c r="N976">
        <v>97</v>
      </c>
      <c r="O976">
        <v>1</v>
      </c>
      <c r="P976">
        <v>96</v>
      </c>
      <c r="Q976">
        <v>2</v>
      </c>
      <c r="R976">
        <v>8</v>
      </c>
      <c r="S976">
        <v>1</v>
      </c>
      <c r="T976">
        <v>5</v>
      </c>
      <c r="U976">
        <v>29</v>
      </c>
      <c r="V976">
        <v>0</v>
      </c>
      <c r="W976">
        <v>3</v>
      </c>
      <c r="X976">
        <v>35</v>
      </c>
      <c r="Y976">
        <v>7</v>
      </c>
      <c r="Z976">
        <v>3</v>
      </c>
      <c r="AA976">
        <v>1</v>
      </c>
      <c r="AB976">
        <v>0</v>
      </c>
      <c r="AD976">
        <v>0</v>
      </c>
      <c r="AE976">
        <v>0</v>
      </c>
      <c r="AF976">
        <v>0</v>
      </c>
      <c r="AG976">
        <v>0</v>
      </c>
      <c r="AI976">
        <v>0</v>
      </c>
      <c r="AJ976">
        <v>2</v>
      </c>
      <c r="AK976">
        <v>96</v>
      </c>
      <c r="AL976">
        <v>96</v>
      </c>
      <c r="AM976">
        <v>181</v>
      </c>
      <c r="AN976">
        <v>44</v>
      </c>
      <c r="AP976">
        <v>1</v>
      </c>
      <c r="AR976" t="s">
        <v>1061</v>
      </c>
      <c r="AS976" s="1">
        <v>44354.068055555559</v>
      </c>
      <c r="AT976" s="1">
        <v>44354.076111111113</v>
      </c>
      <c r="AU976" s="1">
        <v>44354.076655092591</v>
      </c>
      <c r="AV976" t="s">
        <v>71</v>
      </c>
      <c r="AW976" t="s">
        <v>72</v>
      </c>
      <c r="AX976" t="s">
        <v>73</v>
      </c>
    </row>
    <row r="977" spans="1:50" x14ac:dyDescent="0.3">
      <c r="A977" t="str">
        <f>"201221B0000"</f>
        <v>201221B0000</v>
      </c>
      <c r="B977" t="str">
        <f>"201221B00002"</f>
        <v>201221B00002</v>
      </c>
      <c r="C977" t="str">
        <f t="shared" si="43"/>
        <v>20</v>
      </c>
      <c r="D977" t="s">
        <v>67</v>
      </c>
      <c r="E977" t="str">
        <f t="shared" si="41"/>
        <v>005</v>
      </c>
      <c r="F977" t="s">
        <v>962</v>
      </c>
      <c r="G977" t="str">
        <f>"1221"</f>
        <v>1221</v>
      </c>
      <c r="H977" t="str">
        <f>"0000"</f>
        <v>0000</v>
      </c>
      <c r="I977" t="s">
        <v>69</v>
      </c>
      <c r="J977">
        <v>0</v>
      </c>
      <c r="K977">
        <v>1</v>
      </c>
      <c r="L977">
        <v>2</v>
      </c>
      <c r="M977">
        <v>177</v>
      </c>
      <c r="N977">
        <v>88</v>
      </c>
      <c r="O977">
        <v>0</v>
      </c>
      <c r="P977">
        <v>88</v>
      </c>
      <c r="Q977">
        <v>1</v>
      </c>
      <c r="R977">
        <v>31</v>
      </c>
      <c r="S977">
        <v>0</v>
      </c>
      <c r="T977">
        <v>13</v>
      </c>
      <c r="U977">
        <v>7</v>
      </c>
      <c r="V977">
        <v>0</v>
      </c>
      <c r="W977">
        <v>1</v>
      </c>
      <c r="X977">
        <v>25</v>
      </c>
      <c r="Y977">
        <v>0</v>
      </c>
      <c r="Z977">
        <v>1</v>
      </c>
      <c r="AA977">
        <v>0</v>
      </c>
      <c r="AB977">
        <v>1</v>
      </c>
      <c r="AD977">
        <v>0</v>
      </c>
      <c r="AE977">
        <v>1</v>
      </c>
      <c r="AF977">
        <v>0</v>
      </c>
      <c r="AG977">
        <v>0</v>
      </c>
      <c r="AI977">
        <v>0</v>
      </c>
      <c r="AJ977">
        <v>7</v>
      </c>
      <c r="AK977">
        <v>88</v>
      </c>
      <c r="AL977">
        <v>88</v>
      </c>
      <c r="AM977">
        <v>221</v>
      </c>
      <c r="AN977">
        <v>44</v>
      </c>
      <c r="AP977">
        <v>1</v>
      </c>
      <c r="AR977" t="s">
        <v>1062</v>
      </c>
      <c r="AS977" s="1">
        <v>44353.961111111108</v>
      </c>
      <c r="AT977" s="1">
        <v>44353.967060185183</v>
      </c>
      <c r="AU977" s="1">
        <v>44353.968055555553</v>
      </c>
      <c r="AV977" t="s">
        <v>71</v>
      </c>
      <c r="AW977" t="s">
        <v>72</v>
      </c>
      <c r="AX977" t="s">
        <v>73</v>
      </c>
    </row>
    <row r="978" spans="1:50" x14ac:dyDescent="0.3">
      <c r="A978" t="str">
        <f>"201221E0100"</f>
        <v>201221E0100</v>
      </c>
      <c r="B978" t="str">
        <f>"201221E01002"</f>
        <v>201221E01002</v>
      </c>
      <c r="C978" t="str">
        <f t="shared" si="43"/>
        <v>20</v>
      </c>
      <c r="D978" t="s">
        <v>67</v>
      </c>
      <c r="E978" t="str">
        <f t="shared" si="41"/>
        <v>005</v>
      </c>
      <c r="F978" t="s">
        <v>962</v>
      </c>
      <c r="G978" t="str">
        <f>"1221"</f>
        <v>1221</v>
      </c>
      <c r="H978" t="str">
        <f>"0001"</f>
        <v>0001</v>
      </c>
      <c r="I978" t="s">
        <v>109</v>
      </c>
      <c r="J978">
        <v>0</v>
      </c>
      <c r="K978">
        <v>1</v>
      </c>
      <c r="L978">
        <v>2</v>
      </c>
      <c r="M978">
        <v>218</v>
      </c>
      <c r="N978">
        <v>123</v>
      </c>
      <c r="O978">
        <v>0</v>
      </c>
      <c r="P978">
        <v>4</v>
      </c>
      <c r="Q978" t="s">
        <v>77</v>
      </c>
      <c r="R978">
        <v>34</v>
      </c>
      <c r="S978">
        <v>2</v>
      </c>
      <c r="T978">
        <v>3</v>
      </c>
      <c r="U978">
        <v>12</v>
      </c>
      <c r="V978">
        <v>2</v>
      </c>
      <c r="W978">
        <v>1</v>
      </c>
      <c r="X978">
        <v>64</v>
      </c>
      <c r="Y978">
        <v>0</v>
      </c>
      <c r="Z978">
        <v>0</v>
      </c>
      <c r="AA978">
        <v>1</v>
      </c>
      <c r="AB978">
        <v>0</v>
      </c>
      <c r="AD978">
        <v>0</v>
      </c>
      <c r="AE978">
        <v>0</v>
      </c>
      <c r="AF978">
        <v>0</v>
      </c>
      <c r="AG978">
        <v>0</v>
      </c>
      <c r="AI978">
        <v>1</v>
      </c>
      <c r="AJ978">
        <v>3</v>
      </c>
      <c r="AK978">
        <v>123</v>
      </c>
      <c r="AL978">
        <v>123</v>
      </c>
      <c r="AM978">
        <v>297</v>
      </c>
      <c r="AN978">
        <v>44</v>
      </c>
      <c r="AO978" t="s">
        <v>78</v>
      </c>
      <c r="AP978">
        <v>1</v>
      </c>
      <c r="AR978" t="s">
        <v>1063</v>
      </c>
      <c r="AS978" s="1">
        <v>44353.961805555555</v>
      </c>
      <c r="AT978" s="1">
        <v>44353.96775462963</v>
      </c>
      <c r="AU978" s="1">
        <v>44353.96802083333</v>
      </c>
      <c r="AV978" t="s">
        <v>71</v>
      </c>
      <c r="AW978" t="s">
        <v>72</v>
      </c>
      <c r="AX978" t="s">
        <v>73</v>
      </c>
    </row>
    <row r="979" spans="1:50" x14ac:dyDescent="0.3">
      <c r="A979" t="str">
        <f>"201222B0000"</f>
        <v>201222B0000</v>
      </c>
      <c r="B979" t="str">
        <f>"201222B00002"</f>
        <v>201222B00002</v>
      </c>
      <c r="C979" t="str">
        <f t="shared" si="43"/>
        <v>20</v>
      </c>
      <c r="D979" t="s">
        <v>67</v>
      </c>
      <c r="E979" t="str">
        <f t="shared" si="41"/>
        <v>005</v>
      </c>
      <c r="F979" t="s">
        <v>962</v>
      </c>
      <c r="G979" t="str">
        <f>"1222"</f>
        <v>1222</v>
      </c>
      <c r="H979" t="str">
        <f>"0000"</f>
        <v>0000</v>
      </c>
      <c r="I979" t="s">
        <v>69</v>
      </c>
      <c r="J979">
        <v>0</v>
      </c>
      <c r="K979">
        <v>1</v>
      </c>
      <c r="L979">
        <v>2</v>
      </c>
      <c r="M979">
        <v>407</v>
      </c>
      <c r="N979">
        <v>109</v>
      </c>
      <c r="O979">
        <v>0</v>
      </c>
      <c r="P979">
        <v>109</v>
      </c>
      <c r="Q979">
        <v>1</v>
      </c>
      <c r="R979">
        <v>15</v>
      </c>
      <c r="S979">
        <v>1</v>
      </c>
      <c r="T979">
        <v>7</v>
      </c>
      <c r="U979">
        <v>5</v>
      </c>
      <c r="V979">
        <v>2</v>
      </c>
      <c r="W979">
        <v>3</v>
      </c>
      <c r="X979">
        <v>44</v>
      </c>
      <c r="Y979">
        <v>24</v>
      </c>
      <c r="Z979">
        <v>2</v>
      </c>
      <c r="AA979">
        <v>0</v>
      </c>
      <c r="AB979">
        <v>1</v>
      </c>
      <c r="AD979">
        <v>0</v>
      </c>
      <c r="AE979">
        <v>0</v>
      </c>
      <c r="AF979">
        <v>0</v>
      </c>
      <c r="AG979">
        <v>0</v>
      </c>
      <c r="AI979">
        <v>0</v>
      </c>
      <c r="AJ979">
        <v>4</v>
      </c>
      <c r="AK979">
        <v>109</v>
      </c>
      <c r="AL979">
        <v>109</v>
      </c>
      <c r="AM979">
        <v>472</v>
      </c>
      <c r="AN979">
        <v>44</v>
      </c>
      <c r="AP979">
        <v>1</v>
      </c>
      <c r="AR979" t="s">
        <v>1064</v>
      </c>
      <c r="AS979" s="1">
        <v>44354.194444444445</v>
      </c>
      <c r="AT979" s="1">
        <v>44354.197581018518</v>
      </c>
      <c r="AU979" s="1">
        <v>44354.19803240741</v>
      </c>
      <c r="AV979" t="s">
        <v>71</v>
      </c>
      <c r="AW979" t="s">
        <v>72</v>
      </c>
      <c r="AX979" t="s">
        <v>73</v>
      </c>
    </row>
    <row r="980" spans="1:50" x14ac:dyDescent="0.3">
      <c r="A980" t="str">
        <f>"201223B0000"</f>
        <v>201223B0000</v>
      </c>
      <c r="B980" t="str">
        <f>"201223B00002"</f>
        <v>201223B00002</v>
      </c>
      <c r="C980" t="str">
        <f t="shared" si="43"/>
        <v>20</v>
      </c>
      <c r="D980" t="s">
        <v>67</v>
      </c>
      <c r="E980" t="str">
        <f t="shared" si="41"/>
        <v>005</v>
      </c>
      <c r="F980" t="s">
        <v>962</v>
      </c>
      <c r="G980" t="str">
        <f>"1223"</f>
        <v>1223</v>
      </c>
      <c r="H980" t="str">
        <f>"0000"</f>
        <v>0000</v>
      </c>
      <c r="I980" t="s">
        <v>69</v>
      </c>
      <c r="J980">
        <v>0</v>
      </c>
      <c r="K980">
        <v>1</v>
      </c>
      <c r="L980">
        <v>2</v>
      </c>
      <c r="M980">
        <v>425</v>
      </c>
      <c r="N980">
        <v>122</v>
      </c>
      <c r="O980">
        <v>0</v>
      </c>
      <c r="P980">
        <v>122</v>
      </c>
      <c r="Q980">
        <v>3</v>
      </c>
      <c r="R980">
        <v>34</v>
      </c>
      <c r="S980">
        <v>5</v>
      </c>
      <c r="T980">
        <v>11</v>
      </c>
      <c r="U980">
        <v>24</v>
      </c>
      <c r="V980">
        <v>1</v>
      </c>
      <c r="W980">
        <v>1</v>
      </c>
      <c r="X980">
        <v>26</v>
      </c>
      <c r="Y980">
        <v>0</v>
      </c>
      <c r="Z980">
        <v>2</v>
      </c>
      <c r="AA980">
        <v>2</v>
      </c>
      <c r="AB980">
        <v>1</v>
      </c>
      <c r="AD980">
        <v>0</v>
      </c>
      <c r="AE980">
        <v>0</v>
      </c>
      <c r="AF980">
        <v>0</v>
      </c>
      <c r="AG980">
        <v>1</v>
      </c>
      <c r="AI980">
        <v>0</v>
      </c>
      <c r="AJ980">
        <v>11</v>
      </c>
      <c r="AK980">
        <v>122</v>
      </c>
      <c r="AL980">
        <v>122</v>
      </c>
      <c r="AM980">
        <v>503</v>
      </c>
      <c r="AN980">
        <v>44</v>
      </c>
      <c r="AP980">
        <v>1</v>
      </c>
      <c r="AR980" t="s">
        <v>1065</v>
      </c>
      <c r="AS980" s="1">
        <v>44354.193749999999</v>
      </c>
      <c r="AT980" s="1">
        <v>44354.196250000001</v>
      </c>
      <c r="AU980" s="1">
        <v>44354.196666666663</v>
      </c>
      <c r="AV980" t="s">
        <v>71</v>
      </c>
      <c r="AW980" t="s">
        <v>72</v>
      </c>
      <c r="AX980" t="s">
        <v>73</v>
      </c>
    </row>
    <row r="981" spans="1:50" x14ac:dyDescent="0.3">
      <c r="A981" t="str">
        <f>"201223E0100"</f>
        <v>201223E0100</v>
      </c>
      <c r="B981" t="str">
        <f>"201223E01002"</f>
        <v>201223E01002</v>
      </c>
      <c r="C981" t="str">
        <f t="shared" si="43"/>
        <v>20</v>
      </c>
      <c r="D981" t="s">
        <v>67</v>
      </c>
      <c r="E981" t="str">
        <f t="shared" si="41"/>
        <v>005</v>
      </c>
      <c r="F981" t="s">
        <v>962</v>
      </c>
      <c r="G981" t="str">
        <f>"1223"</f>
        <v>1223</v>
      </c>
      <c r="H981" t="str">
        <f>"0001"</f>
        <v>0001</v>
      </c>
      <c r="I981" t="s">
        <v>109</v>
      </c>
      <c r="J981">
        <v>0</v>
      </c>
      <c r="K981">
        <v>1</v>
      </c>
      <c r="L981">
        <v>2</v>
      </c>
      <c r="M981">
        <v>197</v>
      </c>
      <c r="N981">
        <v>75</v>
      </c>
      <c r="O981">
        <v>4</v>
      </c>
      <c r="P981">
        <v>75</v>
      </c>
      <c r="Q981">
        <v>3</v>
      </c>
      <c r="R981">
        <v>27</v>
      </c>
      <c r="S981">
        <v>9</v>
      </c>
      <c r="T981">
        <v>6</v>
      </c>
      <c r="U981">
        <v>2</v>
      </c>
      <c r="V981">
        <v>0</v>
      </c>
      <c r="W981">
        <v>2</v>
      </c>
      <c r="X981">
        <v>22</v>
      </c>
      <c r="Y981">
        <v>0</v>
      </c>
      <c r="Z981">
        <v>1</v>
      </c>
      <c r="AA981">
        <v>0</v>
      </c>
      <c r="AB981">
        <v>0</v>
      </c>
      <c r="AD981">
        <v>0</v>
      </c>
      <c r="AE981">
        <v>1</v>
      </c>
      <c r="AF981">
        <v>0</v>
      </c>
      <c r="AG981">
        <v>0</v>
      </c>
      <c r="AI981">
        <v>0</v>
      </c>
      <c r="AJ981">
        <v>2</v>
      </c>
      <c r="AK981">
        <v>75</v>
      </c>
      <c r="AL981">
        <v>75</v>
      </c>
      <c r="AM981">
        <v>228</v>
      </c>
      <c r="AN981">
        <v>44</v>
      </c>
      <c r="AP981">
        <v>1</v>
      </c>
      <c r="AR981" t="s">
        <v>1066</v>
      </c>
      <c r="AS981" s="1">
        <v>44353.960416666669</v>
      </c>
      <c r="AT981" s="1">
        <v>44353.966643518521</v>
      </c>
      <c r="AU981" s="1">
        <v>44353.967557870368</v>
      </c>
      <c r="AV981" t="s">
        <v>71</v>
      </c>
      <c r="AW981" t="s">
        <v>72</v>
      </c>
      <c r="AX981" t="s">
        <v>73</v>
      </c>
    </row>
    <row r="982" spans="1:50" x14ac:dyDescent="0.3">
      <c r="A982" t="str">
        <f>"201224B0000"</f>
        <v>201224B0000</v>
      </c>
      <c r="B982" t="str">
        <f>"201224B00002"</f>
        <v>201224B00002</v>
      </c>
      <c r="C982" t="str">
        <f t="shared" si="43"/>
        <v>20</v>
      </c>
      <c r="D982" t="s">
        <v>67</v>
      </c>
      <c r="E982" t="str">
        <f t="shared" si="41"/>
        <v>005</v>
      </c>
      <c r="F982" t="s">
        <v>962</v>
      </c>
      <c r="G982" t="str">
        <f>"1224"</f>
        <v>1224</v>
      </c>
      <c r="H982" t="str">
        <f>"0000"</f>
        <v>0000</v>
      </c>
      <c r="I982" t="s">
        <v>69</v>
      </c>
      <c r="J982">
        <v>0</v>
      </c>
      <c r="K982">
        <v>1</v>
      </c>
      <c r="L982">
        <v>2</v>
      </c>
      <c r="M982">
        <v>219</v>
      </c>
      <c r="N982">
        <v>145</v>
      </c>
      <c r="O982">
        <v>1</v>
      </c>
      <c r="P982">
        <v>145</v>
      </c>
      <c r="Q982">
        <v>1</v>
      </c>
      <c r="R982">
        <v>13</v>
      </c>
      <c r="S982">
        <v>4</v>
      </c>
      <c r="T982">
        <v>2</v>
      </c>
      <c r="U982">
        <v>31</v>
      </c>
      <c r="V982">
        <v>0</v>
      </c>
      <c r="W982">
        <v>5</v>
      </c>
      <c r="X982">
        <v>81</v>
      </c>
      <c r="Y982">
        <v>2</v>
      </c>
      <c r="Z982">
        <v>2</v>
      </c>
      <c r="AA982">
        <v>0</v>
      </c>
      <c r="AB982">
        <v>0</v>
      </c>
      <c r="AD982">
        <v>0</v>
      </c>
      <c r="AE982">
        <v>0</v>
      </c>
      <c r="AF982">
        <v>0</v>
      </c>
      <c r="AG982">
        <v>0</v>
      </c>
      <c r="AI982">
        <v>0</v>
      </c>
      <c r="AJ982">
        <v>4</v>
      </c>
      <c r="AK982">
        <v>145</v>
      </c>
      <c r="AL982">
        <v>145</v>
      </c>
      <c r="AM982">
        <v>320</v>
      </c>
      <c r="AN982">
        <v>44</v>
      </c>
      <c r="AP982">
        <v>1</v>
      </c>
      <c r="AR982" t="s">
        <v>1067</v>
      </c>
      <c r="AS982" s="1">
        <v>44354.195833333331</v>
      </c>
      <c r="AT982" s="1">
        <v>44354.198703703703</v>
      </c>
      <c r="AU982" s="1">
        <v>44354.199456018519</v>
      </c>
      <c r="AV982" t="s">
        <v>71</v>
      </c>
      <c r="AW982" t="s">
        <v>72</v>
      </c>
      <c r="AX982" t="s">
        <v>73</v>
      </c>
    </row>
    <row r="983" spans="1:50" x14ac:dyDescent="0.3">
      <c r="A983" t="str">
        <f>"201224E0100"</f>
        <v>201224E0100</v>
      </c>
      <c r="B983" t="str">
        <f>"201224E01002"</f>
        <v>201224E01002</v>
      </c>
      <c r="C983" t="str">
        <f t="shared" si="43"/>
        <v>20</v>
      </c>
      <c r="D983" t="s">
        <v>67</v>
      </c>
      <c r="E983" t="str">
        <f t="shared" si="41"/>
        <v>005</v>
      </c>
      <c r="F983" t="s">
        <v>962</v>
      </c>
      <c r="G983" t="str">
        <f>"1224"</f>
        <v>1224</v>
      </c>
      <c r="H983" t="str">
        <f>"0001"</f>
        <v>0001</v>
      </c>
      <c r="I983" t="s">
        <v>109</v>
      </c>
      <c r="J983">
        <v>0</v>
      </c>
      <c r="K983">
        <v>1</v>
      </c>
      <c r="L983">
        <v>2</v>
      </c>
      <c r="M983">
        <v>204</v>
      </c>
      <c r="N983">
        <v>48</v>
      </c>
      <c r="O983">
        <v>5</v>
      </c>
      <c r="P983">
        <v>48</v>
      </c>
      <c r="Q983">
        <v>0</v>
      </c>
      <c r="R983">
        <v>7</v>
      </c>
      <c r="S983">
        <v>3</v>
      </c>
      <c r="T983">
        <v>4</v>
      </c>
      <c r="U983">
        <v>13</v>
      </c>
      <c r="V983">
        <v>1</v>
      </c>
      <c r="W983">
        <v>0</v>
      </c>
      <c r="X983">
        <v>10</v>
      </c>
      <c r="Y983">
        <v>0</v>
      </c>
      <c r="Z983">
        <v>2</v>
      </c>
      <c r="AA983">
        <v>0</v>
      </c>
      <c r="AB983">
        <v>1</v>
      </c>
      <c r="AD983">
        <v>1</v>
      </c>
      <c r="AE983">
        <v>0</v>
      </c>
      <c r="AF983">
        <v>0</v>
      </c>
      <c r="AG983">
        <v>0</v>
      </c>
      <c r="AI983">
        <v>0</v>
      </c>
      <c r="AJ983">
        <v>6</v>
      </c>
      <c r="AK983">
        <v>48</v>
      </c>
      <c r="AL983">
        <v>48</v>
      </c>
      <c r="AM983">
        <v>208</v>
      </c>
      <c r="AN983">
        <v>44</v>
      </c>
      <c r="AP983">
        <v>1</v>
      </c>
      <c r="AR983" t="s">
        <v>1068</v>
      </c>
      <c r="AS983" s="1">
        <v>44353.960416666669</v>
      </c>
      <c r="AT983" s="1">
        <v>44353.966319444444</v>
      </c>
      <c r="AU983" s="1">
        <v>44353.967083333337</v>
      </c>
      <c r="AV983" t="s">
        <v>71</v>
      </c>
      <c r="AW983" t="s">
        <v>72</v>
      </c>
      <c r="AX983" t="s">
        <v>73</v>
      </c>
    </row>
    <row r="984" spans="1:50" x14ac:dyDescent="0.3">
      <c r="A984" t="str">
        <f>"201232B0000"</f>
        <v>201232B0000</v>
      </c>
      <c r="B984" t="str">
        <f>"201232B00002"</f>
        <v>201232B00002</v>
      </c>
      <c r="C984" t="str">
        <f t="shared" si="43"/>
        <v>20</v>
      </c>
      <c r="D984" t="s">
        <v>67</v>
      </c>
      <c r="E984" t="str">
        <f t="shared" si="41"/>
        <v>005</v>
      </c>
      <c r="F984" t="s">
        <v>962</v>
      </c>
      <c r="G984" t="str">
        <f>"1232"</f>
        <v>1232</v>
      </c>
      <c r="H984" t="str">
        <f>"0000"</f>
        <v>0000</v>
      </c>
      <c r="I984" t="s">
        <v>69</v>
      </c>
      <c r="J984">
        <v>0</v>
      </c>
      <c r="K984">
        <v>1</v>
      </c>
      <c r="L984">
        <v>2</v>
      </c>
      <c r="M984">
        <v>305</v>
      </c>
      <c r="N984">
        <v>281</v>
      </c>
      <c r="O984">
        <v>0</v>
      </c>
      <c r="P984">
        <v>281</v>
      </c>
      <c r="Q984">
        <v>1</v>
      </c>
      <c r="R984">
        <v>38</v>
      </c>
      <c r="S984">
        <v>5</v>
      </c>
      <c r="T984">
        <v>3</v>
      </c>
      <c r="U984">
        <v>9</v>
      </c>
      <c r="V984">
        <v>1</v>
      </c>
      <c r="W984">
        <v>1</v>
      </c>
      <c r="X984">
        <v>189</v>
      </c>
      <c r="Y984">
        <v>1</v>
      </c>
      <c r="Z984">
        <v>2</v>
      </c>
      <c r="AA984">
        <v>5</v>
      </c>
      <c r="AB984">
        <v>8</v>
      </c>
      <c r="AD984">
        <v>2</v>
      </c>
      <c r="AE984">
        <v>0</v>
      </c>
      <c r="AF984">
        <v>0</v>
      </c>
      <c r="AG984">
        <v>0</v>
      </c>
      <c r="AI984">
        <v>0</v>
      </c>
      <c r="AJ984">
        <v>16</v>
      </c>
      <c r="AK984">
        <v>281</v>
      </c>
      <c r="AL984">
        <v>281</v>
      </c>
      <c r="AM984">
        <v>542</v>
      </c>
      <c r="AN984">
        <v>44</v>
      </c>
      <c r="AP984">
        <v>1</v>
      </c>
      <c r="AR984" t="s">
        <v>1069</v>
      </c>
      <c r="AS984" s="1">
        <v>44354.092361111114</v>
      </c>
      <c r="AT984" s="1">
        <v>44354.09783564815</v>
      </c>
      <c r="AU984" s="1">
        <v>44354.098275462966</v>
      </c>
      <c r="AV984" t="s">
        <v>71</v>
      </c>
      <c r="AW984" t="s">
        <v>72</v>
      </c>
      <c r="AX984" t="s">
        <v>73</v>
      </c>
    </row>
    <row r="985" spans="1:50" x14ac:dyDescent="0.3">
      <c r="A985" t="str">
        <f>"201232E0100"</f>
        <v>201232E0100</v>
      </c>
      <c r="B985" t="str">
        <f>"201232E01002"</f>
        <v>201232E01002</v>
      </c>
      <c r="C985" t="str">
        <f t="shared" si="43"/>
        <v>20</v>
      </c>
      <c r="D985" t="s">
        <v>67</v>
      </c>
      <c r="E985" t="str">
        <f t="shared" si="41"/>
        <v>005</v>
      </c>
      <c r="F985" t="s">
        <v>962</v>
      </c>
      <c r="G985" t="str">
        <f>"1232"</f>
        <v>1232</v>
      </c>
      <c r="H985" t="str">
        <f>"0001"</f>
        <v>0001</v>
      </c>
      <c r="I985" t="s">
        <v>109</v>
      </c>
      <c r="J985">
        <v>0</v>
      </c>
      <c r="K985">
        <v>1</v>
      </c>
      <c r="L985">
        <v>2</v>
      </c>
      <c r="M985">
        <v>111</v>
      </c>
      <c r="N985">
        <v>100</v>
      </c>
      <c r="O985">
        <v>3</v>
      </c>
      <c r="P985">
        <v>100</v>
      </c>
      <c r="Q985">
        <v>4</v>
      </c>
      <c r="R985">
        <v>32</v>
      </c>
      <c r="S985">
        <v>2</v>
      </c>
      <c r="T985">
        <v>1</v>
      </c>
      <c r="U985">
        <v>1</v>
      </c>
      <c r="V985">
        <v>2</v>
      </c>
      <c r="W985">
        <v>1</v>
      </c>
      <c r="X985">
        <v>42</v>
      </c>
      <c r="Y985">
        <v>0</v>
      </c>
      <c r="Z985">
        <v>2</v>
      </c>
      <c r="AA985">
        <v>1</v>
      </c>
      <c r="AB985">
        <v>7</v>
      </c>
      <c r="AD985">
        <v>2</v>
      </c>
      <c r="AE985">
        <v>0</v>
      </c>
      <c r="AF985">
        <v>0</v>
      </c>
      <c r="AG985">
        <v>0</v>
      </c>
      <c r="AI985">
        <v>0</v>
      </c>
      <c r="AJ985">
        <v>3</v>
      </c>
      <c r="AK985">
        <v>100</v>
      </c>
      <c r="AL985">
        <v>100</v>
      </c>
      <c r="AM985">
        <v>167</v>
      </c>
      <c r="AN985">
        <v>44</v>
      </c>
      <c r="AP985">
        <v>1</v>
      </c>
      <c r="AR985" t="s">
        <v>1070</v>
      </c>
      <c r="AS985" s="1">
        <v>44354.091666666667</v>
      </c>
      <c r="AT985" s="1">
        <v>44354.097129629627</v>
      </c>
      <c r="AU985" s="1">
        <v>44354.097500000003</v>
      </c>
      <c r="AV985" t="s">
        <v>71</v>
      </c>
      <c r="AW985" t="s">
        <v>72</v>
      </c>
      <c r="AX985" t="s">
        <v>73</v>
      </c>
    </row>
    <row r="986" spans="1:50" x14ac:dyDescent="0.3">
      <c r="A986" t="str">
        <f>"201233B0000"</f>
        <v>201233B0000</v>
      </c>
      <c r="B986" t="str">
        <f>"201233B00002"</f>
        <v>201233B00002</v>
      </c>
      <c r="C986" t="str">
        <f t="shared" si="43"/>
        <v>20</v>
      </c>
      <c r="D986" t="s">
        <v>67</v>
      </c>
      <c r="E986" t="str">
        <f t="shared" si="41"/>
        <v>005</v>
      </c>
      <c r="F986" t="s">
        <v>962</v>
      </c>
      <c r="G986" t="str">
        <f>"1233"</f>
        <v>1233</v>
      </c>
      <c r="H986" t="str">
        <f>"0000"</f>
        <v>0000</v>
      </c>
      <c r="I986" t="s">
        <v>69</v>
      </c>
      <c r="J986">
        <v>0</v>
      </c>
      <c r="K986">
        <v>1</v>
      </c>
      <c r="L986">
        <v>2</v>
      </c>
      <c r="M986">
        <v>191</v>
      </c>
      <c r="N986">
        <v>181</v>
      </c>
      <c r="O986">
        <v>2</v>
      </c>
      <c r="P986">
        <v>181</v>
      </c>
      <c r="Q986">
        <v>4</v>
      </c>
      <c r="R986">
        <v>29</v>
      </c>
      <c r="S986">
        <v>5</v>
      </c>
      <c r="T986">
        <v>2</v>
      </c>
      <c r="U986">
        <v>7</v>
      </c>
      <c r="V986">
        <v>2</v>
      </c>
      <c r="W986">
        <v>1</v>
      </c>
      <c r="X986">
        <v>106</v>
      </c>
      <c r="Y986">
        <v>6</v>
      </c>
      <c r="Z986">
        <v>3</v>
      </c>
      <c r="AA986">
        <v>1</v>
      </c>
      <c r="AB986">
        <v>4</v>
      </c>
      <c r="AD986">
        <v>2</v>
      </c>
      <c r="AE986">
        <v>0</v>
      </c>
      <c r="AF986">
        <v>0</v>
      </c>
      <c r="AG986">
        <v>0</v>
      </c>
      <c r="AI986">
        <v>0</v>
      </c>
      <c r="AJ986">
        <v>9</v>
      </c>
      <c r="AK986">
        <v>181</v>
      </c>
      <c r="AL986">
        <v>181</v>
      </c>
      <c r="AM986">
        <v>328</v>
      </c>
      <c r="AN986">
        <v>44</v>
      </c>
      <c r="AP986">
        <v>1</v>
      </c>
      <c r="AR986" t="s">
        <v>1071</v>
      </c>
      <c r="AS986" s="1">
        <v>44354.092361111114</v>
      </c>
      <c r="AT986" s="1">
        <v>44354.097893518519</v>
      </c>
      <c r="AU986" s="1">
        <v>44354.098298611112</v>
      </c>
      <c r="AV986" t="s">
        <v>71</v>
      </c>
      <c r="AW986" t="s">
        <v>72</v>
      </c>
      <c r="AX986" t="s">
        <v>73</v>
      </c>
    </row>
    <row r="987" spans="1:50" x14ac:dyDescent="0.3">
      <c r="A987" t="str">
        <f>"201237B0000"</f>
        <v>201237B0000</v>
      </c>
      <c r="B987" t="str">
        <f>"201237B00002"</f>
        <v>201237B00002</v>
      </c>
      <c r="C987" t="str">
        <f t="shared" si="43"/>
        <v>20</v>
      </c>
      <c r="D987" t="s">
        <v>67</v>
      </c>
      <c r="E987" t="str">
        <f t="shared" si="41"/>
        <v>005</v>
      </c>
      <c r="F987" t="s">
        <v>962</v>
      </c>
      <c r="G987" t="str">
        <f>"1237"</f>
        <v>1237</v>
      </c>
      <c r="H987" t="str">
        <f>"0000"</f>
        <v>0000</v>
      </c>
      <c r="I987" t="s">
        <v>69</v>
      </c>
      <c r="J987">
        <v>0</v>
      </c>
      <c r="K987">
        <v>1</v>
      </c>
      <c r="L987">
        <v>2</v>
      </c>
      <c r="M987">
        <v>384</v>
      </c>
      <c r="N987">
        <v>237</v>
      </c>
      <c r="O987">
        <v>6</v>
      </c>
      <c r="P987">
        <v>237</v>
      </c>
      <c r="Q987">
        <v>9</v>
      </c>
      <c r="R987">
        <v>33</v>
      </c>
      <c r="S987">
        <v>3</v>
      </c>
      <c r="T987">
        <v>8</v>
      </c>
      <c r="U987">
        <v>14</v>
      </c>
      <c r="V987">
        <v>2</v>
      </c>
      <c r="W987">
        <v>3</v>
      </c>
      <c r="X987">
        <v>130</v>
      </c>
      <c r="Y987">
        <v>23</v>
      </c>
      <c r="Z987">
        <v>0</v>
      </c>
      <c r="AA987">
        <v>2</v>
      </c>
      <c r="AB987">
        <v>5</v>
      </c>
      <c r="AD987">
        <v>0</v>
      </c>
      <c r="AE987">
        <v>0</v>
      </c>
      <c r="AF987">
        <v>0</v>
      </c>
      <c r="AG987">
        <v>1</v>
      </c>
      <c r="AI987">
        <v>0</v>
      </c>
      <c r="AJ987">
        <v>4</v>
      </c>
      <c r="AK987">
        <v>237</v>
      </c>
      <c r="AL987">
        <v>237</v>
      </c>
      <c r="AM987">
        <v>577</v>
      </c>
      <c r="AN987">
        <v>44</v>
      </c>
      <c r="AP987">
        <v>1</v>
      </c>
      <c r="AR987" t="s">
        <v>1072</v>
      </c>
      <c r="AS987" s="1">
        <v>44353.964583333334</v>
      </c>
      <c r="AT987" s="1">
        <v>44353.970925925925</v>
      </c>
      <c r="AU987" s="1">
        <v>44353.971886574072</v>
      </c>
      <c r="AV987" t="s">
        <v>71</v>
      </c>
      <c r="AW987" t="s">
        <v>72</v>
      </c>
      <c r="AX987" t="s">
        <v>73</v>
      </c>
    </row>
    <row r="988" spans="1:50" x14ac:dyDescent="0.3">
      <c r="A988" t="str">
        <f>"201302B0000"</f>
        <v>201302B0000</v>
      </c>
      <c r="B988" t="str">
        <f>"201302B00002"</f>
        <v>201302B00002</v>
      </c>
      <c r="C988" t="str">
        <f t="shared" si="43"/>
        <v>20</v>
      </c>
      <c r="D988" t="s">
        <v>67</v>
      </c>
      <c r="E988" t="str">
        <f t="shared" si="41"/>
        <v>005</v>
      </c>
      <c r="F988" t="s">
        <v>962</v>
      </c>
      <c r="G988" t="str">
        <f>"1302"</f>
        <v>1302</v>
      </c>
      <c r="H988" t="str">
        <f>"0000"</f>
        <v>0000</v>
      </c>
      <c r="I988" t="s">
        <v>69</v>
      </c>
      <c r="J988">
        <v>0</v>
      </c>
      <c r="K988">
        <v>1</v>
      </c>
      <c r="L988">
        <v>2</v>
      </c>
      <c r="M988">
        <v>321</v>
      </c>
      <c r="N988">
        <v>190</v>
      </c>
      <c r="O988">
        <v>1</v>
      </c>
      <c r="P988">
        <v>190</v>
      </c>
      <c r="Q988">
        <v>3</v>
      </c>
      <c r="R988">
        <v>17</v>
      </c>
      <c r="S988">
        <v>3</v>
      </c>
      <c r="T988">
        <v>7</v>
      </c>
      <c r="U988">
        <v>12</v>
      </c>
      <c r="V988">
        <v>2</v>
      </c>
      <c r="W988">
        <v>3</v>
      </c>
      <c r="X988">
        <v>104</v>
      </c>
      <c r="Y988">
        <v>29</v>
      </c>
      <c r="Z988">
        <v>1</v>
      </c>
      <c r="AA988">
        <v>1</v>
      </c>
      <c r="AB988">
        <v>2</v>
      </c>
      <c r="AD988">
        <v>1</v>
      </c>
      <c r="AE988">
        <v>0</v>
      </c>
      <c r="AF988">
        <v>0</v>
      </c>
      <c r="AG988">
        <v>0</v>
      </c>
      <c r="AI988">
        <v>1</v>
      </c>
      <c r="AJ988">
        <v>4</v>
      </c>
      <c r="AK988">
        <v>190</v>
      </c>
      <c r="AL988">
        <v>190</v>
      </c>
      <c r="AM988">
        <v>467</v>
      </c>
      <c r="AN988">
        <v>44</v>
      </c>
      <c r="AP988">
        <v>1</v>
      </c>
      <c r="AR988" t="s">
        <v>1073</v>
      </c>
      <c r="AS988" s="1">
        <v>44354.068749999999</v>
      </c>
      <c r="AT988" s="1">
        <v>44354.075439814813</v>
      </c>
      <c r="AU988" s="1">
        <v>44354.076157407406</v>
      </c>
      <c r="AV988" t="s">
        <v>71</v>
      </c>
      <c r="AW988" t="s">
        <v>72</v>
      </c>
      <c r="AX988" t="s">
        <v>73</v>
      </c>
    </row>
    <row r="989" spans="1:50" x14ac:dyDescent="0.3">
      <c r="A989" t="str">
        <f>"201302C0100"</f>
        <v>201302C0100</v>
      </c>
      <c r="B989" t="str">
        <f>"201302C01002"</f>
        <v>201302C01002</v>
      </c>
      <c r="C989" t="str">
        <f t="shared" si="43"/>
        <v>20</v>
      </c>
      <c r="D989" t="s">
        <v>67</v>
      </c>
      <c r="E989" t="str">
        <f t="shared" si="41"/>
        <v>005</v>
      </c>
      <c r="F989" t="s">
        <v>962</v>
      </c>
      <c r="G989" t="str">
        <f>"1302"</f>
        <v>1302</v>
      </c>
      <c r="H989" t="str">
        <f>"0001"</f>
        <v>0001</v>
      </c>
      <c r="I989" t="s">
        <v>75</v>
      </c>
      <c r="J989">
        <v>0</v>
      </c>
      <c r="K989">
        <v>1</v>
      </c>
      <c r="L989">
        <v>2</v>
      </c>
      <c r="M989">
        <v>362</v>
      </c>
      <c r="N989">
        <v>148</v>
      </c>
      <c r="O989">
        <v>1</v>
      </c>
      <c r="P989">
        <v>148</v>
      </c>
      <c r="Q989">
        <v>1</v>
      </c>
      <c r="R989">
        <v>15</v>
      </c>
      <c r="S989">
        <v>1</v>
      </c>
      <c r="T989">
        <v>3</v>
      </c>
      <c r="U989">
        <v>11</v>
      </c>
      <c r="V989">
        <v>3</v>
      </c>
      <c r="W989">
        <v>4</v>
      </c>
      <c r="X989">
        <v>80</v>
      </c>
      <c r="Y989">
        <v>24</v>
      </c>
      <c r="Z989">
        <v>0</v>
      </c>
      <c r="AA989">
        <v>1</v>
      </c>
      <c r="AB989">
        <v>0</v>
      </c>
      <c r="AD989">
        <v>0</v>
      </c>
      <c r="AE989">
        <v>0</v>
      </c>
      <c r="AF989">
        <v>0</v>
      </c>
      <c r="AG989">
        <v>1</v>
      </c>
      <c r="AI989">
        <v>0</v>
      </c>
      <c r="AJ989">
        <v>4</v>
      </c>
      <c r="AK989">
        <v>148</v>
      </c>
      <c r="AL989">
        <v>148</v>
      </c>
      <c r="AM989">
        <v>466</v>
      </c>
      <c r="AN989">
        <v>44</v>
      </c>
      <c r="AP989">
        <v>1</v>
      </c>
      <c r="AR989" t="s">
        <v>1074</v>
      </c>
      <c r="AS989" s="1">
        <v>44354.069444444445</v>
      </c>
      <c r="AT989" s="1">
        <v>44354.076145833336</v>
      </c>
      <c r="AU989" s="1">
        <v>44354.076678240737</v>
      </c>
      <c r="AV989" t="s">
        <v>71</v>
      </c>
      <c r="AW989" t="s">
        <v>72</v>
      </c>
      <c r="AX989" t="s">
        <v>73</v>
      </c>
    </row>
    <row r="990" spans="1:50" x14ac:dyDescent="0.3">
      <c r="A990" t="str">
        <f>"201315B0000"</f>
        <v>201315B0000</v>
      </c>
      <c r="B990" t="str">
        <f>"201315B00002"</f>
        <v>201315B00002</v>
      </c>
      <c r="C990" t="str">
        <f t="shared" si="43"/>
        <v>20</v>
      </c>
      <c r="D990" t="s">
        <v>67</v>
      </c>
      <c r="E990" t="str">
        <f t="shared" si="41"/>
        <v>005</v>
      </c>
      <c r="F990" t="s">
        <v>962</v>
      </c>
      <c r="G990" t="str">
        <f>"1315"</f>
        <v>1315</v>
      </c>
      <c r="H990" t="str">
        <f>"0000"</f>
        <v>0000</v>
      </c>
      <c r="I990" t="s">
        <v>69</v>
      </c>
      <c r="J990">
        <v>0</v>
      </c>
      <c r="K990">
        <v>1</v>
      </c>
      <c r="L990">
        <v>2</v>
      </c>
      <c r="M990">
        <v>105</v>
      </c>
      <c r="N990">
        <v>110</v>
      </c>
      <c r="O990">
        <v>2</v>
      </c>
      <c r="P990">
        <v>110</v>
      </c>
      <c r="Q990">
        <v>1</v>
      </c>
      <c r="R990">
        <v>6</v>
      </c>
      <c r="S990">
        <v>2</v>
      </c>
      <c r="T990">
        <v>2</v>
      </c>
      <c r="U990">
        <v>0</v>
      </c>
      <c r="V990">
        <v>3</v>
      </c>
      <c r="W990">
        <v>1</v>
      </c>
      <c r="X990">
        <v>91</v>
      </c>
      <c r="Y990">
        <v>3</v>
      </c>
      <c r="Z990">
        <v>0</v>
      </c>
      <c r="AA990">
        <v>0</v>
      </c>
      <c r="AB990">
        <v>1</v>
      </c>
      <c r="AD990">
        <v>0</v>
      </c>
      <c r="AE990">
        <v>0</v>
      </c>
      <c r="AF990">
        <v>0</v>
      </c>
      <c r="AG990">
        <v>0</v>
      </c>
      <c r="AI990">
        <v>0</v>
      </c>
      <c r="AJ990">
        <v>0</v>
      </c>
      <c r="AK990">
        <v>110</v>
      </c>
      <c r="AL990">
        <v>110</v>
      </c>
      <c r="AM990">
        <v>171</v>
      </c>
      <c r="AN990">
        <v>44</v>
      </c>
      <c r="AP990">
        <v>1</v>
      </c>
      <c r="AR990" t="s">
        <v>1075</v>
      </c>
      <c r="AS990" s="1">
        <v>44354.147916666669</v>
      </c>
      <c r="AT990" s="1">
        <v>44354.150752314818</v>
      </c>
      <c r="AU990" s="1">
        <v>44354.151643518519</v>
      </c>
      <c r="AV990" t="s">
        <v>71</v>
      </c>
      <c r="AW990" t="s">
        <v>72</v>
      </c>
      <c r="AX990" t="s">
        <v>73</v>
      </c>
    </row>
    <row r="991" spans="1:50" x14ac:dyDescent="0.3">
      <c r="A991" t="str">
        <f>"201336B0000"</f>
        <v>201336B0000</v>
      </c>
      <c r="B991" t="str">
        <f>"201336B00002"</f>
        <v>201336B00002</v>
      </c>
      <c r="C991" t="str">
        <f t="shared" si="43"/>
        <v>20</v>
      </c>
      <c r="D991" t="s">
        <v>67</v>
      </c>
      <c r="E991" t="str">
        <f t="shared" si="41"/>
        <v>005</v>
      </c>
      <c r="F991" t="s">
        <v>962</v>
      </c>
      <c r="G991" t="str">
        <f>"1336"</f>
        <v>1336</v>
      </c>
      <c r="H991" t="str">
        <f>"0000"</f>
        <v>0000</v>
      </c>
      <c r="I991" t="s">
        <v>69</v>
      </c>
      <c r="J991">
        <v>0</v>
      </c>
      <c r="K991">
        <v>1</v>
      </c>
      <c r="L991">
        <v>2</v>
      </c>
      <c r="M991">
        <v>144</v>
      </c>
      <c r="N991">
        <v>73</v>
      </c>
      <c r="O991">
        <v>0</v>
      </c>
      <c r="P991">
        <v>73</v>
      </c>
      <c r="Q991">
        <v>0</v>
      </c>
      <c r="R991">
        <v>6</v>
      </c>
      <c r="S991">
        <v>3</v>
      </c>
      <c r="T991">
        <v>2</v>
      </c>
      <c r="U991">
        <v>5</v>
      </c>
      <c r="V991">
        <v>1</v>
      </c>
      <c r="W991">
        <v>10</v>
      </c>
      <c r="X991">
        <v>37</v>
      </c>
      <c r="Y991">
        <v>1</v>
      </c>
      <c r="Z991">
        <v>0</v>
      </c>
      <c r="AA991">
        <v>2</v>
      </c>
      <c r="AB991">
        <v>2</v>
      </c>
      <c r="AD991">
        <v>0</v>
      </c>
      <c r="AE991">
        <v>0</v>
      </c>
      <c r="AF991">
        <v>0</v>
      </c>
      <c r="AG991">
        <v>0</v>
      </c>
      <c r="AI991">
        <v>0</v>
      </c>
      <c r="AJ991">
        <v>4</v>
      </c>
      <c r="AK991">
        <v>73</v>
      </c>
      <c r="AL991">
        <v>73</v>
      </c>
      <c r="AM991">
        <v>173</v>
      </c>
      <c r="AN991">
        <v>44</v>
      </c>
      <c r="AP991">
        <v>1</v>
      </c>
      <c r="AR991" t="s">
        <v>1076</v>
      </c>
      <c r="AS991" s="1">
        <v>44354.007638888892</v>
      </c>
      <c r="AT991" s="1">
        <v>44354.013692129629</v>
      </c>
      <c r="AU991" s="1">
        <v>44354.014062499999</v>
      </c>
      <c r="AV991" t="s">
        <v>71</v>
      </c>
      <c r="AW991" t="s">
        <v>72</v>
      </c>
      <c r="AX991" t="s">
        <v>73</v>
      </c>
    </row>
    <row r="992" spans="1:50" x14ac:dyDescent="0.3">
      <c r="A992" t="str">
        <f>"201336E0100"</f>
        <v>201336E0100</v>
      </c>
      <c r="B992" t="str">
        <f>"201336E01002"</f>
        <v>201336E01002</v>
      </c>
      <c r="C992" t="str">
        <f t="shared" si="43"/>
        <v>20</v>
      </c>
      <c r="D992" t="s">
        <v>67</v>
      </c>
      <c r="E992" t="str">
        <f t="shared" si="41"/>
        <v>005</v>
      </c>
      <c r="F992" t="s">
        <v>962</v>
      </c>
      <c r="G992" t="str">
        <f>"1336"</f>
        <v>1336</v>
      </c>
      <c r="H992" t="str">
        <f>"0001"</f>
        <v>0001</v>
      </c>
      <c r="I992" t="s">
        <v>109</v>
      </c>
      <c r="J992">
        <v>0</v>
      </c>
      <c r="K992">
        <v>1</v>
      </c>
      <c r="L992">
        <v>2</v>
      </c>
      <c r="M992">
        <v>267</v>
      </c>
      <c r="N992" t="s">
        <v>80</v>
      </c>
      <c r="O992" t="s">
        <v>80</v>
      </c>
      <c r="P992">
        <v>201</v>
      </c>
      <c r="Q992">
        <v>2</v>
      </c>
      <c r="R992">
        <v>12</v>
      </c>
      <c r="S992">
        <v>5</v>
      </c>
      <c r="T992">
        <v>6</v>
      </c>
      <c r="U992">
        <v>5</v>
      </c>
      <c r="V992">
        <v>4</v>
      </c>
      <c r="W992">
        <v>21</v>
      </c>
      <c r="X992">
        <v>117</v>
      </c>
      <c r="Y992">
        <v>3</v>
      </c>
      <c r="Z992">
        <v>6</v>
      </c>
      <c r="AA992">
        <v>5</v>
      </c>
      <c r="AB992">
        <v>1</v>
      </c>
      <c r="AD992" t="s">
        <v>77</v>
      </c>
      <c r="AE992" t="s">
        <v>77</v>
      </c>
      <c r="AF992" t="s">
        <v>77</v>
      </c>
      <c r="AG992" t="s">
        <v>77</v>
      </c>
      <c r="AI992">
        <v>4</v>
      </c>
      <c r="AJ992">
        <v>10</v>
      </c>
      <c r="AK992">
        <v>101</v>
      </c>
      <c r="AL992">
        <v>201</v>
      </c>
      <c r="AM992">
        <v>424</v>
      </c>
      <c r="AN992">
        <v>44</v>
      </c>
      <c r="AO992" t="s">
        <v>78</v>
      </c>
      <c r="AP992">
        <v>1</v>
      </c>
      <c r="AR992" t="s">
        <v>1077</v>
      </c>
      <c r="AS992" s="1">
        <v>44354.007638888892</v>
      </c>
      <c r="AT992" s="1">
        <v>44354.02002314815</v>
      </c>
      <c r="AU992" s="1">
        <v>44354.020868055559</v>
      </c>
      <c r="AV992" t="s">
        <v>71</v>
      </c>
      <c r="AW992" t="s">
        <v>72</v>
      </c>
      <c r="AX992" t="s">
        <v>73</v>
      </c>
    </row>
    <row r="993" spans="1:50" x14ac:dyDescent="0.3">
      <c r="A993" t="str">
        <f>"201336E0101"</f>
        <v>201336E0101</v>
      </c>
      <c r="B993" t="str">
        <f>"201336E01012"</f>
        <v>201336E01012</v>
      </c>
      <c r="C993" t="str">
        <f t="shared" si="43"/>
        <v>20</v>
      </c>
      <c r="D993" t="s">
        <v>67</v>
      </c>
      <c r="E993" t="str">
        <f t="shared" si="41"/>
        <v>005</v>
      </c>
      <c r="F993" t="s">
        <v>962</v>
      </c>
      <c r="G993" t="str">
        <f>"1336"</f>
        <v>1336</v>
      </c>
      <c r="H993" t="str">
        <f>"0001"</f>
        <v>0001</v>
      </c>
      <c r="I993" t="s">
        <v>109</v>
      </c>
      <c r="J993">
        <v>1</v>
      </c>
      <c r="K993">
        <v>1</v>
      </c>
      <c r="L993">
        <v>2</v>
      </c>
      <c r="M993">
        <v>299</v>
      </c>
      <c r="N993">
        <v>168</v>
      </c>
      <c r="O993">
        <v>1</v>
      </c>
      <c r="P993">
        <v>168</v>
      </c>
      <c r="Q993">
        <v>3</v>
      </c>
      <c r="R993">
        <v>5</v>
      </c>
      <c r="S993">
        <v>9</v>
      </c>
      <c r="T993">
        <v>0</v>
      </c>
      <c r="U993">
        <v>9</v>
      </c>
      <c r="V993">
        <v>2</v>
      </c>
      <c r="W993">
        <v>23</v>
      </c>
      <c r="X993">
        <v>96</v>
      </c>
      <c r="Y993">
        <v>3</v>
      </c>
      <c r="Z993">
        <v>6</v>
      </c>
      <c r="AA993">
        <v>6</v>
      </c>
      <c r="AB993">
        <v>0</v>
      </c>
      <c r="AD993">
        <v>0</v>
      </c>
      <c r="AE993">
        <v>0</v>
      </c>
      <c r="AF993">
        <v>0</v>
      </c>
      <c r="AG993">
        <v>0</v>
      </c>
      <c r="AI993">
        <v>0</v>
      </c>
      <c r="AJ993">
        <v>0</v>
      </c>
      <c r="AK993">
        <v>0</v>
      </c>
      <c r="AL993">
        <v>162</v>
      </c>
      <c r="AM993">
        <v>423</v>
      </c>
      <c r="AN993">
        <v>44</v>
      </c>
      <c r="AP993">
        <v>1</v>
      </c>
      <c r="AR993" t="s">
        <v>1078</v>
      </c>
      <c r="AS993" s="1">
        <v>44354.006944444445</v>
      </c>
      <c r="AT993" s="1">
        <v>44354.012986111113</v>
      </c>
      <c r="AU993" s="1">
        <v>44354.013437499998</v>
      </c>
      <c r="AV993" t="s">
        <v>71</v>
      </c>
      <c r="AW993" t="s">
        <v>72</v>
      </c>
      <c r="AX993" t="s">
        <v>73</v>
      </c>
    </row>
    <row r="994" spans="1:50" x14ac:dyDescent="0.3">
      <c r="A994" t="str">
        <f>"201337B0000"</f>
        <v>201337B0000</v>
      </c>
      <c r="B994" t="str">
        <f>"201337B00002"</f>
        <v>201337B00002</v>
      </c>
      <c r="C994" t="str">
        <f t="shared" si="43"/>
        <v>20</v>
      </c>
      <c r="D994" t="s">
        <v>67</v>
      </c>
      <c r="E994" t="str">
        <f t="shared" si="41"/>
        <v>005</v>
      </c>
      <c r="F994" t="s">
        <v>962</v>
      </c>
      <c r="G994" t="str">
        <f>"1337"</f>
        <v>1337</v>
      </c>
      <c r="H994" t="str">
        <f>"0000"</f>
        <v>0000</v>
      </c>
      <c r="I994" t="s">
        <v>69</v>
      </c>
      <c r="J994">
        <v>0</v>
      </c>
      <c r="K994">
        <v>1</v>
      </c>
      <c r="L994">
        <v>2</v>
      </c>
      <c r="M994">
        <v>274</v>
      </c>
      <c r="N994">
        <v>180</v>
      </c>
      <c r="O994">
        <v>0</v>
      </c>
      <c r="P994">
        <v>180</v>
      </c>
      <c r="Q994">
        <v>1</v>
      </c>
      <c r="R994">
        <v>11</v>
      </c>
      <c r="S994">
        <v>11</v>
      </c>
      <c r="T994">
        <v>6</v>
      </c>
      <c r="U994">
        <v>7</v>
      </c>
      <c r="V994">
        <v>4</v>
      </c>
      <c r="W994">
        <v>8</v>
      </c>
      <c r="X994">
        <v>111</v>
      </c>
      <c r="Y994">
        <v>1</v>
      </c>
      <c r="Z994">
        <v>2</v>
      </c>
      <c r="AA994">
        <v>3</v>
      </c>
      <c r="AB994">
        <v>1</v>
      </c>
      <c r="AD994">
        <v>0</v>
      </c>
      <c r="AE994">
        <v>0</v>
      </c>
      <c r="AF994">
        <v>0</v>
      </c>
      <c r="AG994">
        <v>0</v>
      </c>
      <c r="AI994">
        <v>0</v>
      </c>
      <c r="AJ994">
        <v>14</v>
      </c>
      <c r="AK994">
        <v>180</v>
      </c>
      <c r="AL994">
        <v>180</v>
      </c>
      <c r="AM994">
        <v>410</v>
      </c>
      <c r="AN994">
        <v>44</v>
      </c>
      <c r="AP994">
        <v>1</v>
      </c>
      <c r="AR994" t="s">
        <v>1079</v>
      </c>
      <c r="AS994" s="1">
        <v>44354.008333333331</v>
      </c>
      <c r="AT994" s="1">
        <v>44354.014814814815</v>
      </c>
      <c r="AU994" s="1">
        <v>44354.015474537038</v>
      </c>
      <c r="AV994" t="s">
        <v>71</v>
      </c>
      <c r="AW994" t="s">
        <v>72</v>
      </c>
      <c r="AX994" t="s">
        <v>73</v>
      </c>
    </row>
    <row r="995" spans="1:50" x14ac:dyDescent="0.3">
      <c r="A995" t="str">
        <f>"201337E0100"</f>
        <v>201337E0100</v>
      </c>
      <c r="B995" t="str">
        <f>"201337E01002"</f>
        <v>201337E01002</v>
      </c>
      <c r="C995" t="str">
        <f t="shared" si="43"/>
        <v>20</v>
      </c>
      <c r="D995" t="s">
        <v>67</v>
      </c>
      <c r="E995" t="str">
        <f t="shared" si="41"/>
        <v>005</v>
      </c>
      <c r="F995" t="s">
        <v>962</v>
      </c>
      <c r="G995" t="str">
        <f>"1337"</f>
        <v>1337</v>
      </c>
      <c r="H995" t="str">
        <f>"0001"</f>
        <v>0001</v>
      </c>
      <c r="I995" t="s">
        <v>109</v>
      </c>
      <c r="J995">
        <v>0</v>
      </c>
      <c r="K995">
        <v>1</v>
      </c>
      <c r="L995">
        <v>2</v>
      </c>
      <c r="M995">
        <v>128</v>
      </c>
      <c r="N995">
        <v>128</v>
      </c>
      <c r="O995">
        <v>3</v>
      </c>
      <c r="P995" t="s">
        <v>80</v>
      </c>
      <c r="Q995">
        <v>0</v>
      </c>
      <c r="R995">
        <v>15</v>
      </c>
      <c r="S995">
        <v>6</v>
      </c>
      <c r="T995">
        <v>6</v>
      </c>
      <c r="U995">
        <v>6</v>
      </c>
      <c r="V995">
        <v>1</v>
      </c>
      <c r="W995">
        <v>20</v>
      </c>
      <c r="X995">
        <v>51</v>
      </c>
      <c r="Y995">
        <v>1</v>
      </c>
      <c r="Z995">
        <v>3</v>
      </c>
      <c r="AA995">
        <v>1</v>
      </c>
      <c r="AB995">
        <v>2</v>
      </c>
      <c r="AD995">
        <v>0</v>
      </c>
      <c r="AE995">
        <v>1</v>
      </c>
      <c r="AF995">
        <v>0</v>
      </c>
      <c r="AG995">
        <v>1</v>
      </c>
      <c r="AI995">
        <v>0</v>
      </c>
      <c r="AJ995">
        <v>11</v>
      </c>
      <c r="AK995">
        <v>125</v>
      </c>
      <c r="AL995">
        <v>125</v>
      </c>
      <c r="AM995">
        <v>209</v>
      </c>
      <c r="AN995">
        <v>44</v>
      </c>
      <c r="AP995">
        <v>1</v>
      </c>
      <c r="AR995" t="s">
        <v>1080</v>
      </c>
      <c r="AS995" s="1">
        <v>44354.008333333331</v>
      </c>
      <c r="AT995" s="1">
        <v>44354.0155787037</v>
      </c>
      <c r="AU995" s="1">
        <v>44354.016122685185</v>
      </c>
      <c r="AV995" t="s">
        <v>71</v>
      </c>
      <c r="AW995" t="s">
        <v>72</v>
      </c>
      <c r="AX995" t="s">
        <v>73</v>
      </c>
    </row>
    <row r="996" spans="1:50" x14ac:dyDescent="0.3">
      <c r="A996" t="str">
        <f>"201359B0000"</f>
        <v>201359B0000</v>
      </c>
      <c r="B996" t="str">
        <f>"201359B00002"</f>
        <v>201359B00002</v>
      </c>
      <c r="C996" t="str">
        <f t="shared" si="43"/>
        <v>20</v>
      </c>
      <c r="D996" t="s">
        <v>67</v>
      </c>
      <c r="E996" t="str">
        <f t="shared" si="41"/>
        <v>005</v>
      </c>
      <c r="F996" t="s">
        <v>962</v>
      </c>
      <c r="G996" t="str">
        <f>"1359"</f>
        <v>1359</v>
      </c>
      <c r="H996" t="str">
        <f>"0000"</f>
        <v>0000</v>
      </c>
      <c r="I996" t="s">
        <v>69</v>
      </c>
      <c r="J996">
        <v>0</v>
      </c>
      <c r="K996">
        <v>1</v>
      </c>
      <c r="L996">
        <v>2</v>
      </c>
      <c r="M996">
        <v>189</v>
      </c>
      <c r="N996">
        <v>80</v>
      </c>
      <c r="O996">
        <v>1</v>
      </c>
      <c r="P996">
        <v>80</v>
      </c>
      <c r="Q996">
        <v>3</v>
      </c>
      <c r="R996">
        <v>18</v>
      </c>
      <c r="S996">
        <v>5</v>
      </c>
      <c r="T996">
        <v>3</v>
      </c>
      <c r="U996">
        <v>2</v>
      </c>
      <c r="V996">
        <v>1</v>
      </c>
      <c r="W996">
        <v>0</v>
      </c>
      <c r="X996">
        <v>42</v>
      </c>
      <c r="Y996">
        <v>0</v>
      </c>
      <c r="Z996">
        <v>1</v>
      </c>
      <c r="AA996">
        <v>0</v>
      </c>
      <c r="AB996">
        <v>1</v>
      </c>
      <c r="AD996" t="s">
        <v>77</v>
      </c>
      <c r="AE996" t="s">
        <v>77</v>
      </c>
      <c r="AF996" t="s">
        <v>77</v>
      </c>
      <c r="AG996" t="s">
        <v>77</v>
      </c>
      <c r="AI996" t="s">
        <v>77</v>
      </c>
      <c r="AJ996">
        <v>193</v>
      </c>
      <c r="AK996">
        <v>269</v>
      </c>
      <c r="AL996">
        <v>269</v>
      </c>
      <c r="AM996">
        <v>225</v>
      </c>
      <c r="AN996">
        <v>44</v>
      </c>
      <c r="AO996" t="s">
        <v>78</v>
      </c>
      <c r="AP996">
        <v>1</v>
      </c>
      <c r="AR996" t="s">
        <v>1081</v>
      </c>
      <c r="AS996" s="1">
        <v>44353.980555555558</v>
      </c>
      <c r="AT996" s="1">
        <v>44353.98636574074</v>
      </c>
      <c r="AU996" s="1">
        <v>44353.987175925926</v>
      </c>
      <c r="AV996" t="s">
        <v>71</v>
      </c>
      <c r="AW996" t="s">
        <v>72</v>
      </c>
      <c r="AX996" t="s">
        <v>73</v>
      </c>
    </row>
    <row r="997" spans="1:50" x14ac:dyDescent="0.3">
      <c r="A997" t="str">
        <f>"201359E0100"</f>
        <v>201359E0100</v>
      </c>
      <c r="B997" t="str">
        <f>"201359E01002"</f>
        <v>201359E01002</v>
      </c>
      <c r="C997" t="str">
        <f t="shared" si="43"/>
        <v>20</v>
      </c>
      <c r="D997" t="s">
        <v>67</v>
      </c>
      <c r="E997" t="str">
        <f t="shared" si="41"/>
        <v>005</v>
      </c>
      <c r="F997" t="s">
        <v>962</v>
      </c>
      <c r="G997" t="str">
        <f>"1359"</f>
        <v>1359</v>
      </c>
      <c r="H997" t="str">
        <f>"0001"</f>
        <v>0001</v>
      </c>
      <c r="I997" t="s">
        <v>109</v>
      </c>
      <c r="J997">
        <v>0</v>
      </c>
      <c r="K997">
        <v>1</v>
      </c>
      <c r="L997">
        <v>2</v>
      </c>
      <c r="M997">
        <v>102</v>
      </c>
      <c r="N997">
        <v>61</v>
      </c>
      <c r="O997">
        <v>3</v>
      </c>
      <c r="P997">
        <v>61</v>
      </c>
      <c r="Q997">
        <v>1</v>
      </c>
      <c r="R997">
        <v>24</v>
      </c>
      <c r="S997">
        <v>1</v>
      </c>
      <c r="T997">
        <v>5</v>
      </c>
      <c r="U997">
        <v>1</v>
      </c>
      <c r="V997">
        <v>0</v>
      </c>
      <c r="W997">
        <v>0</v>
      </c>
      <c r="X997">
        <v>20</v>
      </c>
      <c r="Y997">
        <v>1</v>
      </c>
      <c r="Z997">
        <v>2</v>
      </c>
      <c r="AA997">
        <v>0</v>
      </c>
      <c r="AB997">
        <v>0</v>
      </c>
      <c r="AD997">
        <v>0</v>
      </c>
      <c r="AE997">
        <v>0</v>
      </c>
      <c r="AF997">
        <v>0</v>
      </c>
      <c r="AG997">
        <v>0</v>
      </c>
      <c r="AI997">
        <v>0</v>
      </c>
      <c r="AJ997">
        <v>6</v>
      </c>
      <c r="AK997">
        <v>61</v>
      </c>
      <c r="AL997">
        <v>61</v>
      </c>
      <c r="AM997">
        <v>119</v>
      </c>
      <c r="AN997">
        <v>44</v>
      </c>
      <c r="AP997">
        <v>1</v>
      </c>
      <c r="AR997" t="s">
        <v>1082</v>
      </c>
      <c r="AS997" s="1">
        <v>44353.979861111111</v>
      </c>
      <c r="AT997" s="1">
        <v>44353.985532407409</v>
      </c>
      <c r="AU997" s="1">
        <v>44353.986087962963</v>
      </c>
      <c r="AV997" t="s">
        <v>71</v>
      </c>
      <c r="AW997" t="s">
        <v>72</v>
      </c>
      <c r="AX997" t="s">
        <v>73</v>
      </c>
    </row>
    <row r="998" spans="1:50" x14ac:dyDescent="0.3">
      <c r="A998" t="str">
        <f>"201360B0000"</f>
        <v>201360B0000</v>
      </c>
      <c r="B998" t="str">
        <f>"201360B00002"</f>
        <v>201360B00002</v>
      </c>
      <c r="C998" t="str">
        <f t="shared" si="43"/>
        <v>20</v>
      </c>
      <c r="D998" t="s">
        <v>67</v>
      </c>
      <c r="E998" t="str">
        <f t="shared" si="41"/>
        <v>005</v>
      </c>
      <c r="F998" t="s">
        <v>962</v>
      </c>
      <c r="G998" t="str">
        <f>"1360"</f>
        <v>1360</v>
      </c>
      <c r="H998" t="str">
        <f>"0000"</f>
        <v>0000</v>
      </c>
      <c r="I998" t="s">
        <v>69</v>
      </c>
      <c r="J998">
        <v>0</v>
      </c>
      <c r="K998">
        <v>1</v>
      </c>
      <c r="L998">
        <v>2</v>
      </c>
      <c r="M998">
        <v>423</v>
      </c>
      <c r="N998">
        <v>168</v>
      </c>
      <c r="O998">
        <v>0</v>
      </c>
      <c r="P998">
        <v>168</v>
      </c>
      <c r="Q998">
        <v>2</v>
      </c>
      <c r="R998">
        <v>55</v>
      </c>
      <c r="S998">
        <v>4</v>
      </c>
      <c r="T998">
        <v>8</v>
      </c>
      <c r="U998">
        <v>12</v>
      </c>
      <c r="V998">
        <v>4</v>
      </c>
      <c r="W998">
        <v>7</v>
      </c>
      <c r="X998">
        <v>59</v>
      </c>
      <c r="Y998">
        <v>0</v>
      </c>
      <c r="Z998">
        <v>4</v>
      </c>
      <c r="AA998">
        <v>4</v>
      </c>
      <c r="AB998">
        <v>0</v>
      </c>
      <c r="AD998">
        <v>0</v>
      </c>
      <c r="AE998">
        <v>1</v>
      </c>
      <c r="AF998">
        <v>0</v>
      </c>
      <c r="AG998">
        <v>0</v>
      </c>
      <c r="AI998">
        <v>0</v>
      </c>
      <c r="AJ998">
        <v>8</v>
      </c>
      <c r="AK998">
        <v>168</v>
      </c>
      <c r="AL998">
        <v>168</v>
      </c>
      <c r="AM998">
        <v>547</v>
      </c>
      <c r="AN998">
        <v>44</v>
      </c>
      <c r="AP998">
        <v>1</v>
      </c>
      <c r="AR998" t="s">
        <v>1083</v>
      </c>
      <c r="AS998" s="1">
        <v>44353.990972222222</v>
      </c>
      <c r="AT998" s="1">
        <v>44353.997511574074</v>
      </c>
      <c r="AU998" s="1">
        <v>44353.99796296296</v>
      </c>
      <c r="AV998" t="s">
        <v>71</v>
      </c>
      <c r="AW998" t="s">
        <v>72</v>
      </c>
      <c r="AX998" t="s">
        <v>73</v>
      </c>
    </row>
    <row r="999" spans="1:50" x14ac:dyDescent="0.3">
      <c r="A999" t="str">
        <f>"201365B0000"</f>
        <v>201365B0000</v>
      </c>
      <c r="B999" t="str">
        <f>"201365B00002"</f>
        <v>201365B00002</v>
      </c>
      <c r="C999" t="str">
        <f t="shared" si="43"/>
        <v>20</v>
      </c>
      <c r="D999" t="s">
        <v>67</v>
      </c>
      <c r="E999" t="str">
        <f t="shared" si="41"/>
        <v>005</v>
      </c>
      <c r="F999" t="s">
        <v>962</v>
      </c>
      <c r="G999" t="str">
        <f>"1365"</f>
        <v>1365</v>
      </c>
      <c r="H999" t="str">
        <f>"0000"</f>
        <v>0000</v>
      </c>
      <c r="I999" t="s">
        <v>69</v>
      </c>
      <c r="J999">
        <v>0</v>
      </c>
      <c r="K999">
        <v>1</v>
      </c>
      <c r="L999">
        <v>2</v>
      </c>
      <c r="M999">
        <v>459</v>
      </c>
      <c r="N999">
        <v>282</v>
      </c>
      <c r="O999">
        <v>1</v>
      </c>
      <c r="P999">
        <v>282</v>
      </c>
      <c r="Q999">
        <v>13</v>
      </c>
      <c r="R999">
        <v>67</v>
      </c>
      <c r="S999">
        <v>10</v>
      </c>
      <c r="T999">
        <v>6</v>
      </c>
      <c r="U999">
        <v>13</v>
      </c>
      <c r="V999">
        <v>1</v>
      </c>
      <c r="W999">
        <v>0</v>
      </c>
      <c r="X999">
        <v>141</v>
      </c>
      <c r="Y999">
        <v>0</v>
      </c>
      <c r="Z999">
        <v>5</v>
      </c>
      <c r="AA999">
        <v>11</v>
      </c>
      <c r="AB999">
        <v>6</v>
      </c>
      <c r="AD999">
        <v>2</v>
      </c>
      <c r="AE999">
        <v>0</v>
      </c>
      <c r="AF999">
        <v>0</v>
      </c>
      <c r="AG999">
        <v>1</v>
      </c>
      <c r="AI999">
        <v>0</v>
      </c>
      <c r="AJ999">
        <v>6</v>
      </c>
      <c r="AK999">
        <v>282</v>
      </c>
      <c r="AL999">
        <v>282</v>
      </c>
      <c r="AM999">
        <v>697</v>
      </c>
      <c r="AN999">
        <v>44</v>
      </c>
      <c r="AP999">
        <v>1</v>
      </c>
      <c r="AR999" t="s">
        <v>1084</v>
      </c>
      <c r="AS999" s="1">
        <v>44354.217361111114</v>
      </c>
      <c r="AT999" s="1">
        <v>44354.220682870371</v>
      </c>
      <c r="AU999" s="1">
        <v>44354.221435185187</v>
      </c>
      <c r="AV999" t="s">
        <v>71</v>
      </c>
      <c r="AW999" t="s">
        <v>72</v>
      </c>
      <c r="AX999" t="s">
        <v>73</v>
      </c>
    </row>
    <row r="1000" spans="1:50" x14ac:dyDescent="0.3">
      <c r="A1000" t="str">
        <f>"201365E0100"</f>
        <v>201365E0100</v>
      </c>
      <c r="B1000" t="str">
        <f>"201365E01002"</f>
        <v>201365E01002</v>
      </c>
      <c r="C1000" t="str">
        <f t="shared" si="43"/>
        <v>20</v>
      </c>
      <c r="D1000" t="s">
        <v>67</v>
      </c>
      <c r="E1000" t="str">
        <f t="shared" si="41"/>
        <v>005</v>
      </c>
      <c r="F1000" t="s">
        <v>962</v>
      </c>
      <c r="G1000" t="str">
        <f>"1365"</f>
        <v>1365</v>
      </c>
      <c r="H1000" t="str">
        <f>"0001"</f>
        <v>0001</v>
      </c>
      <c r="I1000" t="s">
        <v>109</v>
      </c>
      <c r="J1000">
        <v>0</v>
      </c>
      <c r="K1000">
        <v>1</v>
      </c>
      <c r="L1000">
        <v>2</v>
      </c>
      <c r="M1000">
        <v>207</v>
      </c>
      <c r="N1000">
        <v>195</v>
      </c>
      <c r="O1000">
        <v>0</v>
      </c>
      <c r="P1000">
        <v>195</v>
      </c>
      <c r="Q1000">
        <v>2</v>
      </c>
      <c r="R1000">
        <v>54</v>
      </c>
      <c r="S1000">
        <v>8</v>
      </c>
      <c r="T1000">
        <v>3</v>
      </c>
      <c r="U1000">
        <v>53</v>
      </c>
      <c r="V1000">
        <v>3</v>
      </c>
      <c r="W1000">
        <v>4</v>
      </c>
      <c r="X1000">
        <v>57</v>
      </c>
      <c r="Y1000">
        <v>0</v>
      </c>
      <c r="Z1000">
        <v>4</v>
      </c>
      <c r="AA1000">
        <v>0</v>
      </c>
      <c r="AB1000">
        <v>0</v>
      </c>
      <c r="AD1000">
        <v>1</v>
      </c>
      <c r="AE1000">
        <v>1</v>
      </c>
      <c r="AF1000">
        <v>0</v>
      </c>
      <c r="AG1000">
        <v>1</v>
      </c>
      <c r="AI1000">
        <v>0</v>
      </c>
      <c r="AJ1000">
        <v>4</v>
      </c>
      <c r="AK1000">
        <v>195</v>
      </c>
      <c r="AL1000">
        <v>195</v>
      </c>
      <c r="AM1000">
        <v>358</v>
      </c>
      <c r="AN1000">
        <v>44</v>
      </c>
      <c r="AP1000">
        <v>1</v>
      </c>
      <c r="AR1000" t="s">
        <v>1085</v>
      </c>
      <c r="AS1000" s="1">
        <v>44354.218055555553</v>
      </c>
      <c r="AT1000" s="1">
        <v>44354.220486111109</v>
      </c>
      <c r="AU1000" s="1">
        <v>44354.221099537041</v>
      </c>
      <c r="AV1000" t="s">
        <v>71</v>
      </c>
      <c r="AW1000" t="s">
        <v>72</v>
      </c>
      <c r="AX1000" t="s">
        <v>73</v>
      </c>
    </row>
    <row r="1001" spans="1:50" x14ac:dyDescent="0.3">
      <c r="A1001" t="str">
        <f>"201366B0000"</f>
        <v>201366B0000</v>
      </c>
      <c r="B1001" t="str">
        <f>"201366B00002"</f>
        <v>201366B00002</v>
      </c>
      <c r="C1001" t="str">
        <f t="shared" si="43"/>
        <v>20</v>
      </c>
      <c r="D1001" t="s">
        <v>67</v>
      </c>
      <c r="E1001" t="str">
        <f t="shared" si="41"/>
        <v>005</v>
      </c>
      <c r="F1001" t="s">
        <v>962</v>
      </c>
      <c r="G1001" t="str">
        <f>"1366"</f>
        <v>1366</v>
      </c>
      <c r="H1001" t="str">
        <f>"0000"</f>
        <v>0000</v>
      </c>
      <c r="I1001" t="s">
        <v>69</v>
      </c>
      <c r="J1001">
        <v>0</v>
      </c>
      <c r="K1001">
        <v>1</v>
      </c>
      <c r="L1001">
        <v>2</v>
      </c>
      <c r="M1001">
        <v>255</v>
      </c>
      <c r="N1001">
        <v>142</v>
      </c>
      <c r="O1001">
        <v>0</v>
      </c>
      <c r="P1001">
        <v>142</v>
      </c>
      <c r="Q1001">
        <v>8</v>
      </c>
      <c r="R1001">
        <v>23</v>
      </c>
      <c r="S1001">
        <v>7</v>
      </c>
      <c r="T1001">
        <v>3</v>
      </c>
      <c r="U1001">
        <v>12</v>
      </c>
      <c r="V1001">
        <v>2</v>
      </c>
      <c r="W1001">
        <v>2</v>
      </c>
      <c r="X1001">
        <v>65</v>
      </c>
      <c r="Y1001">
        <v>0</v>
      </c>
      <c r="Z1001">
        <v>1</v>
      </c>
      <c r="AA1001">
        <v>4</v>
      </c>
      <c r="AB1001">
        <v>2</v>
      </c>
      <c r="AD1001">
        <v>1</v>
      </c>
      <c r="AE1001">
        <v>0</v>
      </c>
      <c r="AF1001">
        <v>0</v>
      </c>
      <c r="AG1001">
        <v>1</v>
      </c>
      <c r="AI1001">
        <v>0</v>
      </c>
      <c r="AJ1001">
        <v>11</v>
      </c>
      <c r="AK1001">
        <v>142</v>
      </c>
      <c r="AL1001">
        <v>142</v>
      </c>
      <c r="AM1001">
        <v>353</v>
      </c>
      <c r="AN1001">
        <v>44</v>
      </c>
      <c r="AP1001">
        <v>1</v>
      </c>
      <c r="AR1001" t="s">
        <v>1086</v>
      </c>
      <c r="AS1001" s="1">
        <v>44354.311111111114</v>
      </c>
      <c r="AT1001" s="1">
        <v>44354.313854166663</v>
      </c>
      <c r="AU1001" s="1">
        <v>44354.314444444448</v>
      </c>
      <c r="AV1001" t="s">
        <v>71</v>
      </c>
      <c r="AW1001" t="s">
        <v>72</v>
      </c>
      <c r="AX1001" t="s">
        <v>73</v>
      </c>
    </row>
    <row r="1002" spans="1:50" x14ac:dyDescent="0.3">
      <c r="A1002" t="str">
        <f>"201366E0100"</f>
        <v>201366E0100</v>
      </c>
      <c r="B1002" t="str">
        <f>"201366E01002"</f>
        <v>201366E01002</v>
      </c>
      <c r="C1002" t="str">
        <f t="shared" si="43"/>
        <v>20</v>
      </c>
      <c r="D1002" t="s">
        <v>67</v>
      </c>
      <c r="E1002" t="str">
        <f t="shared" si="41"/>
        <v>005</v>
      </c>
      <c r="F1002" t="s">
        <v>962</v>
      </c>
      <c r="G1002" t="str">
        <f>"1366"</f>
        <v>1366</v>
      </c>
      <c r="H1002" t="str">
        <f>"0001"</f>
        <v>0001</v>
      </c>
      <c r="I1002" t="s">
        <v>109</v>
      </c>
      <c r="J1002">
        <v>0</v>
      </c>
      <c r="K1002">
        <v>1</v>
      </c>
      <c r="L1002">
        <v>2</v>
      </c>
      <c r="M1002">
        <v>295</v>
      </c>
      <c r="N1002">
        <v>265</v>
      </c>
      <c r="O1002">
        <v>1</v>
      </c>
      <c r="P1002">
        <v>265</v>
      </c>
      <c r="Q1002">
        <v>5</v>
      </c>
      <c r="R1002">
        <v>100</v>
      </c>
      <c r="S1002">
        <v>6</v>
      </c>
      <c r="T1002">
        <v>8</v>
      </c>
      <c r="U1002">
        <v>24</v>
      </c>
      <c r="V1002">
        <v>4</v>
      </c>
      <c r="W1002">
        <v>3</v>
      </c>
      <c r="X1002">
        <v>72</v>
      </c>
      <c r="Y1002">
        <v>3</v>
      </c>
      <c r="Z1002">
        <v>4</v>
      </c>
      <c r="AA1002">
        <v>9</v>
      </c>
      <c r="AB1002">
        <v>3</v>
      </c>
      <c r="AD1002">
        <v>0</v>
      </c>
      <c r="AE1002">
        <v>0</v>
      </c>
      <c r="AF1002">
        <v>0</v>
      </c>
      <c r="AG1002">
        <v>0</v>
      </c>
      <c r="AI1002">
        <v>0</v>
      </c>
      <c r="AJ1002">
        <v>24</v>
      </c>
      <c r="AK1002">
        <v>265</v>
      </c>
      <c r="AL1002">
        <v>265</v>
      </c>
      <c r="AM1002">
        <v>516</v>
      </c>
      <c r="AN1002">
        <v>44</v>
      </c>
      <c r="AP1002">
        <v>1</v>
      </c>
      <c r="AR1002" t="s">
        <v>1087</v>
      </c>
      <c r="AS1002" s="1">
        <v>44354.310416666667</v>
      </c>
      <c r="AT1002" s="1">
        <v>44354.313969907409</v>
      </c>
      <c r="AU1002" s="1">
        <v>44354.314444444448</v>
      </c>
      <c r="AV1002" t="s">
        <v>71</v>
      </c>
      <c r="AW1002" t="s">
        <v>72</v>
      </c>
      <c r="AX1002" t="s">
        <v>73</v>
      </c>
    </row>
    <row r="1003" spans="1:50" x14ac:dyDescent="0.3">
      <c r="A1003" t="str">
        <f>"201366E0200"</f>
        <v>201366E0200</v>
      </c>
      <c r="B1003" t="str">
        <f>"201366E02002"</f>
        <v>201366E02002</v>
      </c>
      <c r="C1003" t="str">
        <f t="shared" si="43"/>
        <v>20</v>
      </c>
      <c r="D1003" t="s">
        <v>67</v>
      </c>
      <c r="E1003" t="str">
        <f t="shared" si="41"/>
        <v>005</v>
      </c>
      <c r="F1003" t="s">
        <v>962</v>
      </c>
      <c r="G1003" t="str">
        <f>"1366"</f>
        <v>1366</v>
      </c>
      <c r="H1003" t="str">
        <f>"0002"</f>
        <v>0002</v>
      </c>
      <c r="I1003" t="s">
        <v>109</v>
      </c>
      <c r="J1003">
        <v>0</v>
      </c>
      <c r="K1003">
        <v>1</v>
      </c>
      <c r="L1003">
        <v>2</v>
      </c>
      <c r="M1003">
        <v>185</v>
      </c>
      <c r="N1003">
        <v>145</v>
      </c>
      <c r="O1003">
        <v>3</v>
      </c>
      <c r="P1003">
        <v>145</v>
      </c>
      <c r="Q1003">
        <v>6</v>
      </c>
      <c r="R1003">
        <v>19</v>
      </c>
      <c r="S1003">
        <v>6</v>
      </c>
      <c r="T1003">
        <v>1</v>
      </c>
      <c r="U1003">
        <v>47</v>
      </c>
      <c r="V1003">
        <v>0</v>
      </c>
      <c r="W1003">
        <v>2</v>
      </c>
      <c r="X1003">
        <v>48</v>
      </c>
      <c r="Y1003">
        <v>1</v>
      </c>
      <c r="Z1003">
        <v>2</v>
      </c>
      <c r="AA1003">
        <v>3</v>
      </c>
      <c r="AB1003">
        <v>0</v>
      </c>
      <c r="AD1003">
        <v>0</v>
      </c>
      <c r="AE1003">
        <v>0</v>
      </c>
      <c r="AF1003">
        <v>0</v>
      </c>
      <c r="AG1003">
        <v>0</v>
      </c>
      <c r="AI1003">
        <v>0</v>
      </c>
      <c r="AJ1003">
        <v>10</v>
      </c>
      <c r="AK1003">
        <v>145</v>
      </c>
      <c r="AL1003">
        <v>145</v>
      </c>
      <c r="AM1003">
        <v>286</v>
      </c>
      <c r="AN1003">
        <v>44</v>
      </c>
      <c r="AP1003">
        <v>1</v>
      </c>
      <c r="AR1003" t="s">
        <v>1088</v>
      </c>
      <c r="AS1003" s="1">
        <v>44354.30972222222</v>
      </c>
      <c r="AT1003" s="1">
        <v>44354.313611111109</v>
      </c>
      <c r="AU1003" s="1">
        <v>44354.314398148148</v>
      </c>
      <c r="AV1003" t="s">
        <v>71</v>
      </c>
      <c r="AW1003" t="s">
        <v>72</v>
      </c>
      <c r="AX1003" t="s">
        <v>73</v>
      </c>
    </row>
    <row r="1004" spans="1:50" x14ac:dyDescent="0.3">
      <c r="A1004" t="str">
        <f>"201366E0300"</f>
        <v>201366E0300</v>
      </c>
      <c r="B1004" t="str">
        <f>"201366E03002"</f>
        <v>201366E03002</v>
      </c>
      <c r="C1004" t="str">
        <f t="shared" si="43"/>
        <v>20</v>
      </c>
      <c r="D1004" t="s">
        <v>67</v>
      </c>
      <c r="E1004" t="str">
        <f t="shared" si="41"/>
        <v>005</v>
      </c>
      <c r="F1004" t="s">
        <v>962</v>
      </c>
      <c r="G1004" t="str">
        <f>"1366"</f>
        <v>1366</v>
      </c>
      <c r="H1004" t="str">
        <f>"0003"</f>
        <v>0003</v>
      </c>
      <c r="I1004" t="s">
        <v>109</v>
      </c>
      <c r="J1004">
        <v>0</v>
      </c>
      <c r="K1004">
        <v>1</v>
      </c>
      <c r="L1004">
        <v>2</v>
      </c>
      <c r="M1004">
        <v>164</v>
      </c>
      <c r="N1004">
        <v>115</v>
      </c>
      <c r="O1004">
        <v>4</v>
      </c>
      <c r="P1004">
        <v>115</v>
      </c>
      <c r="Q1004">
        <v>2</v>
      </c>
      <c r="R1004">
        <v>40</v>
      </c>
      <c r="S1004">
        <v>0</v>
      </c>
      <c r="T1004">
        <v>5</v>
      </c>
      <c r="U1004">
        <v>18</v>
      </c>
      <c r="V1004">
        <v>0</v>
      </c>
      <c r="W1004">
        <v>1</v>
      </c>
      <c r="X1004">
        <v>38</v>
      </c>
      <c r="Y1004">
        <v>0</v>
      </c>
      <c r="Z1004">
        <v>0</v>
      </c>
      <c r="AA1004">
        <v>0</v>
      </c>
      <c r="AB1004">
        <v>0</v>
      </c>
      <c r="AD1004">
        <v>1</v>
      </c>
      <c r="AE1004">
        <v>0</v>
      </c>
      <c r="AF1004">
        <v>0</v>
      </c>
      <c r="AG1004">
        <v>0</v>
      </c>
      <c r="AI1004">
        <v>0</v>
      </c>
      <c r="AJ1004">
        <v>10</v>
      </c>
      <c r="AK1004">
        <v>115</v>
      </c>
      <c r="AL1004">
        <v>115</v>
      </c>
      <c r="AM1004">
        <v>235</v>
      </c>
      <c r="AN1004">
        <v>44</v>
      </c>
      <c r="AP1004">
        <v>1</v>
      </c>
      <c r="AR1004" t="s">
        <v>1089</v>
      </c>
      <c r="AS1004" s="1">
        <v>44354.310416666667</v>
      </c>
      <c r="AT1004" s="1">
        <v>44354.312951388885</v>
      </c>
      <c r="AU1004" s="1">
        <v>44354.313437500001</v>
      </c>
      <c r="AV1004" t="s">
        <v>71</v>
      </c>
      <c r="AW1004" t="s">
        <v>72</v>
      </c>
      <c r="AX1004" t="s">
        <v>73</v>
      </c>
    </row>
    <row r="1005" spans="1:50" x14ac:dyDescent="0.3">
      <c r="A1005" t="str">
        <f>"201367B0000"</f>
        <v>201367B0000</v>
      </c>
      <c r="B1005" t="str">
        <f>"201367B00002"</f>
        <v>201367B00002</v>
      </c>
      <c r="C1005" t="str">
        <f t="shared" si="43"/>
        <v>20</v>
      </c>
      <c r="D1005" t="s">
        <v>67</v>
      </c>
      <c r="E1005" t="str">
        <f t="shared" si="41"/>
        <v>005</v>
      </c>
      <c r="F1005" t="s">
        <v>962</v>
      </c>
      <c r="G1005" t="str">
        <f>"1367"</f>
        <v>1367</v>
      </c>
      <c r="H1005" t="str">
        <f>"0000"</f>
        <v>0000</v>
      </c>
      <c r="I1005" t="s">
        <v>69</v>
      </c>
      <c r="J1005">
        <v>0</v>
      </c>
      <c r="K1005">
        <v>1</v>
      </c>
      <c r="L1005">
        <v>2</v>
      </c>
      <c r="M1005">
        <v>394</v>
      </c>
      <c r="N1005">
        <v>262</v>
      </c>
      <c r="O1005">
        <v>0</v>
      </c>
      <c r="P1005">
        <v>262</v>
      </c>
      <c r="Q1005">
        <v>5</v>
      </c>
      <c r="R1005">
        <v>75</v>
      </c>
      <c r="S1005">
        <v>5</v>
      </c>
      <c r="T1005">
        <v>8</v>
      </c>
      <c r="U1005">
        <v>15</v>
      </c>
      <c r="V1005">
        <v>1</v>
      </c>
      <c r="W1005">
        <v>5</v>
      </c>
      <c r="X1005">
        <v>121</v>
      </c>
      <c r="Y1005">
        <v>6</v>
      </c>
      <c r="Z1005">
        <v>1</v>
      </c>
      <c r="AA1005">
        <v>1</v>
      </c>
      <c r="AB1005">
        <v>5</v>
      </c>
      <c r="AD1005">
        <v>1</v>
      </c>
      <c r="AE1005">
        <v>0</v>
      </c>
      <c r="AF1005">
        <v>0</v>
      </c>
      <c r="AG1005">
        <v>0</v>
      </c>
      <c r="AI1005">
        <v>0</v>
      </c>
      <c r="AJ1005">
        <v>13</v>
      </c>
      <c r="AK1005">
        <v>262</v>
      </c>
      <c r="AL1005">
        <v>262</v>
      </c>
      <c r="AM1005">
        <v>612</v>
      </c>
      <c r="AN1005">
        <v>44</v>
      </c>
      <c r="AP1005">
        <v>1</v>
      </c>
      <c r="AR1005" t="s">
        <v>1090</v>
      </c>
      <c r="AS1005" s="1">
        <v>44354.228472222225</v>
      </c>
      <c r="AT1005" s="1">
        <v>44354.231168981481</v>
      </c>
      <c r="AU1005" s="1">
        <v>44354.231805555559</v>
      </c>
      <c r="AV1005" t="s">
        <v>71</v>
      </c>
      <c r="AW1005" t="s">
        <v>72</v>
      </c>
      <c r="AX1005" t="s">
        <v>73</v>
      </c>
    </row>
    <row r="1006" spans="1:50" x14ac:dyDescent="0.3">
      <c r="A1006" t="str">
        <f>"201367E0100"</f>
        <v>201367E0100</v>
      </c>
      <c r="B1006" t="str">
        <f>"201367E01002"</f>
        <v>201367E01002</v>
      </c>
      <c r="C1006" t="str">
        <f t="shared" si="43"/>
        <v>20</v>
      </c>
      <c r="D1006" t="s">
        <v>67</v>
      </c>
      <c r="E1006" t="str">
        <f t="shared" ref="E1006:E1069" si="44">"005"</f>
        <v>005</v>
      </c>
      <c r="F1006" t="s">
        <v>962</v>
      </c>
      <c r="G1006" t="str">
        <f>"1367"</f>
        <v>1367</v>
      </c>
      <c r="H1006" t="str">
        <f>"0001"</f>
        <v>0001</v>
      </c>
      <c r="I1006" t="s">
        <v>109</v>
      </c>
      <c r="J1006">
        <v>0</v>
      </c>
      <c r="K1006">
        <v>1</v>
      </c>
      <c r="L1006">
        <v>2</v>
      </c>
      <c r="M1006">
        <v>131</v>
      </c>
      <c r="N1006">
        <v>141</v>
      </c>
      <c r="O1006">
        <v>0</v>
      </c>
      <c r="P1006">
        <v>141</v>
      </c>
      <c r="Q1006">
        <v>2</v>
      </c>
      <c r="R1006">
        <v>0</v>
      </c>
      <c r="S1006">
        <v>3</v>
      </c>
      <c r="T1006">
        <v>8</v>
      </c>
      <c r="U1006">
        <v>16</v>
      </c>
      <c r="V1006">
        <v>1</v>
      </c>
      <c r="W1006">
        <v>1</v>
      </c>
      <c r="X1006">
        <v>98</v>
      </c>
      <c r="Y1006">
        <v>0</v>
      </c>
      <c r="Z1006">
        <v>6</v>
      </c>
      <c r="AA1006">
        <v>2</v>
      </c>
      <c r="AB1006">
        <v>0</v>
      </c>
      <c r="AD1006">
        <v>0</v>
      </c>
      <c r="AE1006">
        <v>0</v>
      </c>
      <c r="AF1006">
        <v>0</v>
      </c>
      <c r="AG1006">
        <v>0</v>
      </c>
      <c r="AI1006">
        <v>0</v>
      </c>
      <c r="AJ1006">
        <v>4</v>
      </c>
      <c r="AK1006">
        <v>141</v>
      </c>
      <c r="AL1006">
        <v>141</v>
      </c>
      <c r="AM1006">
        <v>228</v>
      </c>
      <c r="AN1006">
        <v>44</v>
      </c>
      <c r="AP1006">
        <v>1</v>
      </c>
      <c r="AR1006" t="s">
        <v>1091</v>
      </c>
      <c r="AS1006" s="1">
        <v>44354.229166666664</v>
      </c>
      <c r="AT1006" s="1">
        <v>44354.233136574076</v>
      </c>
      <c r="AU1006" s="1">
        <v>44354.233506944445</v>
      </c>
      <c r="AV1006" t="s">
        <v>71</v>
      </c>
      <c r="AW1006" t="s">
        <v>72</v>
      </c>
      <c r="AX1006" t="s">
        <v>73</v>
      </c>
    </row>
    <row r="1007" spans="1:50" x14ac:dyDescent="0.3">
      <c r="A1007" t="str">
        <f>"201367E0200"</f>
        <v>201367E0200</v>
      </c>
      <c r="B1007" t="str">
        <f>"201367E02002"</f>
        <v>201367E02002</v>
      </c>
      <c r="C1007" t="str">
        <f t="shared" si="43"/>
        <v>20</v>
      </c>
      <c r="D1007" t="s">
        <v>67</v>
      </c>
      <c r="E1007" t="str">
        <f t="shared" si="44"/>
        <v>005</v>
      </c>
      <c r="F1007" t="s">
        <v>962</v>
      </c>
      <c r="G1007" t="str">
        <f>"1367"</f>
        <v>1367</v>
      </c>
      <c r="H1007" t="str">
        <f>"0002"</f>
        <v>0002</v>
      </c>
      <c r="I1007" t="s">
        <v>109</v>
      </c>
      <c r="J1007">
        <v>0</v>
      </c>
      <c r="K1007">
        <v>1</v>
      </c>
      <c r="L1007">
        <v>2</v>
      </c>
      <c r="M1007">
        <v>63</v>
      </c>
      <c r="N1007">
        <v>95</v>
      </c>
      <c r="O1007">
        <v>3</v>
      </c>
      <c r="P1007">
        <v>95</v>
      </c>
      <c r="Q1007">
        <v>0</v>
      </c>
      <c r="R1007">
        <v>4</v>
      </c>
      <c r="S1007">
        <v>3</v>
      </c>
      <c r="T1007">
        <v>5</v>
      </c>
      <c r="U1007">
        <v>2</v>
      </c>
      <c r="V1007">
        <v>2</v>
      </c>
      <c r="W1007">
        <v>3</v>
      </c>
      <c r="X1007">
        <v>63</v>
      </c>
      <c r="Y1007">
        <v>3</v>
      </c>
      <c r="Z1007">
        <v>7</v>
      </c>
      <c r="AA1007">
        <v>0</v>
      </c>
      <c r="AB1007">
        <v>1</v>
      </c>
      <c r="AD1007">
        <v>0</v>
      </c>
      <c r="AE1007">
        <v>0</v>
      </c>
      <c r="AF1007">
        <v>0</v>
      </c>
      <c r="AG1007">
        <v>0</v>
      </c>
      <c r="AI1007">
        <v>0</v>
      </c>
      <c r="AJ1007">
        <v>2</v>
      </c>
      <c r="AK1007">
        <v>95</v>
      </c>
      <c r="AL1007">
        <v>95</v>
      </c>
      <c r="AM1007">
        <v>114</v>
      </c>
      <c r="AN1007">
        <v>44</v>
      </c>
      <c r="AP1007">
        <v>1</v>
      </c>
      <c r="AR1007" t="s">
        <v>1092</v>
      </c>
      <c r="AS1007" s="1">
        <v>44354.193055555559</v>
      </c>
      <c r="AT1007" s="1">
        <v>44354.195659722223</v>
      </c>
      <c r="AU1007" s="1">
        <v>44354.196203703701</v>
      </c>
      <c r="AV1007" t="s">
        <v>71</v>
      </c>
      <c r="AW1007" t="s">
        <v>72</v>
      </c>
      <c r="AX1007" t="s">
        <v>73</v>
      </c>
    </row>
    <row r="1008" spans="1:50" x14ac:dyDescent="0.3">
      <c r="A1008" t="str">
        <f>"201401B0000"</f>
        <v>201401B0000</v>
      </c>
      <c r="B1008" t="str">
        <f>"201401B00002"</f>
        <v>201401B00002</v>
      </c>
      <c r="C1008" t="str">
        <f t="shared" si="43"/>
        <v>20</v>
      </c>
      <c r="D1008" t="s">
        <v>67</v>
      </c>
      <c r="E1008" t="str">
        <f t="shared" si="44"/>
        <v>005</v>
      </c>
      <c r="F1008" t="s">
        <v>962</v>
      </c>
      <c r="G1008" t="str">
        <f>"1401"</f>
        <v>1401</v>
      </c>
      <c r="H1008" t="str">
        <f t="shared" ref="H1008:H1013" si="45">"0000"</f>
        <v>0000</v>
      </c>
      <c r="I1008" t="s">
        <v>69</v>
      </c>
      <c r="J1008">
        <v>0</v>
      </c>
      <c r="K1008">
        <v>1</v>
      </c>
      <c r="L1008">
        <v>2</v>
      </c>
      <c r="M1008">
        <v>142</v>
      </c>
      <c r="N1008">
        <v>142</v>
      </c>
      <c r="O1008">
        <v>0</v>
      </c>
      <c r="P1008">
        <v>142</v>
      </c>
      <c r="Q1008">
        <v>2</v>
      </c>
      <c r="R1008">
        <v>34</v>
      </c>
      <c r="S1008">
        <v>2</v>
      </c>
      <c r="T1008">
        <v>4</v>
      </c>
      <c r="U1008">
        <v>7</v>
      </c>
      <c r="V1008">
        <v>2</v>
      </c>
      <c r="W1008">
        <v>8</v>
      </c>
      <c r="X1008">
        <v>49</v>
      </c>
      <c r="Y1008">
        <v>30</v>
      </c>
      <c r="Z1008">
        <v>1</v>
      </c>
      <c r="AA1008">
        <v>1</v>
      </c>
      <c r="AB1008">
        <v>0</v>
      </c>
      <c r="AD1008">
        <v>0</v>
      </c>
      <c r="AE1008">
        <v>0</v>
      </c>
      <c r="AF1008">
        <v>0</v>
      </c>
      <c r="AG1008">
        <v>0</v>
      </c>
      <c r="AI1008">
        <v>0</v>
      </c>
      <c r="AJ1008">
        <v>2</v>
      </c>
      <c r="AK1008">
        <v>142</v>
      </c>
      <c r="AL1008">
        <v>142</v>
      </c>
      <c r="AM1008">
        <v>240</v>
      </c>
      <c r="AN1008">
        <v>44</v>
      </c>
      <c r="AP1008">
        <v>1</v>
      </c>
      <c r="AR1008" t="s">
        <v>1093</v>
      </c>
      <c r="AS1008" s="1">
        <v>44354.088194444441</v>
      </c>
      <c r="AT1008" s="1">
        <v>44354.095821759256</v>
      </c>
      <c r="AU1008" s="1">
        <v>44354.096412037034</v>
      </c>
      <c r="AV1008" t="s">
        <v>71</v>
      </c>
      <c r="AW1008" t="s">
        <v>72</v>
      </c>
      <c r="AX1008" t="s">
        <v>73</v>
      </c>
    </row>
    <row r="1009" spans="1:50" x14ac:dyDescent="0.3">
      <c r="A1009" t="str">
        <f>"201404B0000"</f>
        <v>201404B0000</v>
      </c>
      <c r="B1009" t="str">
        <f>"201404B00002"</f>
        <v>201404B00002</v>
      </c>
      <c r="C1009" t="str">
        <f t="shared" si="43"/>
        <v>20</v>
      </c>
      <c r="D1009" t="s">
        <v>67</v>
      </c>
      <c r="E1009" t="str">
        <f t="shared" si="44"/>
        <v>005</v>
      </c>
      <c r="F1009" t="s">
        <v>962</v>
      </c>
      <c r="G1009" t="str">
        <f>"1404"</f>
        <v>1404</v>
      </c>
      <c r="H1009" t="str">
        <f t="shared" si="45"/>
        <v>0000</v>
      </c>
      <c r="I1009" t="s">
        <v>69</v>
      </c>
      <c r="J1009">
        <v>0</v>
      </c>
      <c r="K1009">
        <v>1</v>
      </c>
      <c r="L1009">
        <v>2</v>
      </c>
      <c r="M1009">
        <v>376</v>
      </c>
      <c r="N1009">
        <v>185</v>
      </c>
      <c r="O1009">
        <v>0</v>
      </c>
      <c r="P1009">
        <v>185</v>
      </c>
      <c r="Q1009">
        <v>2</v>
      </c>
      <c r="R1009">
        <v>7</v>
      </c>
      <c r="S1009">
        <v>4</v>
      </c>
      <c r="T1009">
        <v>2</v>
      </c>
      <c r="U1009">
        <v>21</v>
      </c>
      <c r="V1009">
        <v>0</v>
      </c>
      <c r="W1009">
        <v>11</v>
      </c>
      <c r="X1009">
        <v>121</v>
      </c>
      <c r="Y1009">
        <v>7</v>
      </c>
      <c r="Z1009">
        <v>1</v>
      </c>
      <c r="AA1009">
        <v>1</v>
      </c>
      <c r="AB1009">
        <v>0</v>
      </c>
      <c r="AD1009">
        <v>0</v>
      </c>
      <c r="AE1009">
        <v>0</v>
      </c>
      <c r="AF1009">
        <v>0</v>
      </c>
      <c r="AG1009">
        <v>0</v>
      </c>
      <c r="AI1009">
        <v>0</v>
      </c>
      <c r="AJ1009">
        <v>8</v>
      </c>
      <c r="AK1009">
        <v>185</v>
      </c>
      <c r="AL1009">
        <v>185</v>
      </c>
      <c r="AM1009">
        <v>517</v>
      </c>
      <c r="AN1009">
        <v>44</v>
      </c>
      <c r="AP1009">
        <v>1</v>
      </c>
      <c r="AR1009" t="s">
        <v>1094</v>
      </c>
      <c r="AS1009" s="1">
        <v>44354.102083333331</v>
      </c>
      <c r="AT1009" s="1">
        <v>44354.107141203705</v>
      </c>
      <c r="AU1009" s="1">
        <v>44354.10796296296</v>
      </c>
      <c r="AV1009" t="s">
        <v>71</v>
      </c>
      <c r="AW1009" t="s">
        <v>72</v>
      </c>
      <c r="AX1009" t="s">
        <v>73</v>
      </c>
    </row>
    <row r="1010" spans="1:50" x14ac:dyDescent="0.3">
      <c r="A1010" t="str">
        <f>"201405B0000"</f>
        <v>201405B0000</v>
      </c>
      <c r="B1010" t="str">
        <f>"201405B00002"</f>
        <v>201405B00002</v>
      </c>
      <c r="C1010" t="str">
        <f t="shared" si="43"/>
        <v>20</v>
      </c>
      <c r="D1010" t="s">
        <v>67</v>
      </c>
      <c r="E1010" t="str">
        <f t="shared" si="44"/>
        <v>005</v>
      </c>
      <c r="F1010" t="s">
        <v>962</v>
      </c>
      <c r="G1010" t="str">
        <f>"1405"</f>
        <v>1405</v>
      </c>
      <c r="H1010" t="str">
        <f t="shared" si="45"/>
        <v>0000</v>
      </c>
      <c r="I1010" t="s">
        <v>69</v>
      </c>
      <c r="J1010">
        <v>0</v>
      </c>
      <c r="K1010">
        <v>1</v>
      </c>
      <c r="L1010">
        <v>2</v>
      </c>
      <c r="M1010">
        <v>88</v>
      </c>
      <c r="N1010">
        <v>66</v>
      </c>
      <c r="O1010">
        <v>1</v>
      </c>
      <c r="P1010">
        <v>66</v>
      </c>
      <c r="Q1010">
        <v>0</v>
      </c>
      <c r="R1010">
        <v>10</v>
      </c>
      <c r="S1010">
        <v>1</v>
      </c>
      <c r="T1010">
        <v>2</v>
      </c>
      <c r="U1010">
        <v>3</v>
      </c>
      <c r="V1010">
        <v>1</v>
      </c>
      <c r="W1010">
        <v>6</v>
      </c>
      <c r="X1010">
        <v>41</v>
      </c>
      <c r="Y1010">
        <v>0</v>
      </c>
      <c r="Z1010">
        <v>0</v>
      </c>
      <c r="AA1010">
        <v>0</v>
      </c>
      <c r="AB1010">
        <v>1</v>
      </c>
      <c r="AD1010">
        <v>0</v>
      </c>
      <c r="AE1010">
        <v>0</v>
      </c>
      <c r="AF1010">
        <v>0</v>
      </c>
      <c r="AG1010">
        <v>0</v>
      </c>
      <c r="AI1010">
        <v>0</v>
      </c>
      <c r="AJ1010">
        <v>1</v>
      </c>
      <c r="AK1010">
        <v>66</v>
      </c>
      <c r="AL1010">
        <v>66</v>
      </c>
      <c r="AM1010">
        <v>110</v>
      </c>
      <c r="AN1010">
        <v>44</v>
      </c>
      <c r="AP1010">
        <v>1</v>
      </c>
      <c r="AR1010" t="s">
        <v>1095</v>
      </c>
      <c r="AS1010" s="1">
        <v>44354.102777777778</v>
      </c>
      <c r="AT1010" s="1">
        <v>44354.105439814812</v>
      </c>
      <c r="AU1010" s="1">
        <v>44354.105856481481</v>
      </c>
      <c r="AV1010" t="s">
        <v>71</v>
      </c>
      <c r="AW1010" t="s">
        <v>72</v>
      </c>
      <c r="AX1010" t="s">
        <v>73</v>
      </c>
    </row>
    <row r="1011" spans="1:50" x14ac:dyDescent="0.3">
      <c r="A1011" t="str">
        <f>"201406B0000"</f>
        <v>201406B0000</v>
      </c>
      <c r="B1011" t="str">
        <f>"201406B00002"</f>
        <v>201406B00002</v>
      </c>
      <c r="C1011" t="str">
        <f t="shared" si="43"/>
        <v>20</v>
      </c>
      <c r="D1011" t="s">
        <v>67</v>
      </c>
      <c r="E1011" t="str">
        <f t="shared" si="44"/>
        <v>005</v>
      </c>
      <c r="F1011" t="s">
        <v>962</v>
      </c>
      <c r="G1011" t="str">
        <f>"1406"</f>
        <v>1406</v>
      </c>
      <c r="H1011" t="str">
        <f t="shared" si="45"/>
        <v>0000</v>
      </c>
      <c r="I1011" t="s">
        <v>69</v>
      </c>
      <c r="J1011">
        <v>0</v>
      </c>
      <c r="K1011">
        <v>1</v>
      </c>
      <c r="L1011">
        <v>2</v>
      </c>
      <c r="M1011">
        <v>74</v>
      </c>
      <c r="N1011">
        <v>75</v>
      </c>
      <c r="O1011">
        <v>1</v>
      </c>
      <c r="P1011">
        <v>75</v>
      </c>
      <c r="Q1011">
        <v>1</v>
      </c>
      <c r="R1011">
        <v>18</v>
      </c>
      <c r="S1011">
        <v>0</v>
      </c>
      <c r="T1011">
        <v>0</v>
      </c>
      <c r="U1011">
        <v>2</v>
      </c>
      <c r="V1011">
        <v>0</v>
      </c>
      <c r="W1011">
        <v>0</v>
      </c>
      <c r="X1011">
        <v>54</v>
      </c>
      <c r="Y1011">
        <v>0</v>
      </c>
      <c r="Z1011">
        <v>0</v>
      </c>
      <c r="AA1011">
        <v>0</v>
      </c>
      <c r="AB1011">
        <v>0</v>
      </c>
      <c r="AD1011">
        <v>0</v>
      </c>
      <c r="AE1011">
        <v>0</v>
      </c>
      <c r="AF1011">
        <v>0</v>
      </c>
      <c r="AG1011">
        <v>0</v>
      </c>
      <c r="AI1011">
        <v>0</v>
      </c>
      <c r="AJ1011">
        <v>0</v>
      </c>
      <c r="AK1011">
        <v>75</v>
      </c>
      <c r="AL1011">
        <v>75</v>
      </c>
      <c r="AM1011">
        <v>105</v>
      </c>
      <c r="AN1011">
        <v>44</v>
      </c>
      <c r="AP1011">
        <v>1</v>
      </c>
      <c r="AR1011" t="s">
        <v>1096</v>
      </c>
      <c r="AS1011" s="1">
        <v>44354.103472222225</v>
      </c>
      <c r="AT1011" s="1">
        <v>44354.10628472222</v>
      </c>
      <c r="AU1011" s="1">
        <v>44354.106689814813</v>
      </c>
      <c r="AV1011" t="s">
        <v>71</v>
      </c>
      <c r="AW1011" t="s">
        <v>72</v>
      </c>
      <c r="AX1011" t="s">
        <v>73</v>
      </c>
    </row>
    <row r="1012" spans="1:50" x14ac:dyDescent="0.3">
      <c r="A1012" t="str">
        <f>"201415B0000"</f>
        <v>201415B0000</v>
      </c>
      <c r="B1012" t="str">
        <f>"201415B00002"</f>
        <v>201415B00002</v>
      </c>
      <c r="C1012" t="str">
        <f t="shared" si="43"/>
        <v>20</v>
      </c>
      <c r="D1012" t="s">
        <v>67</v>
      </c>
      <c r="E1012" t="str">
        <f t="shared" si="44"/>
        <v>005</v>
      </c>
      <c r="F1012" t="s">
        <v>962</v>
      </c>
      <c r="G1012" t="str">
        <f>"1415"</f>
        <v>1415</v>
      </c>
      <c r="H1012" t="str">
        <f t="shared" si="45"/>
        <v>0000</v>
      </c>
      <c r="I1012" t="s">
        <v>69</v>
      </c>
      <c r="J1012">
        <v>0</v>
      </c>
      <c r="K1012">
        <v>1</v>
      </c>
      <c r="L1012">
        <v>2</v>
      </c>
      <c r="M1012">
        <v>191</v>
      </c>
      <c r="N1012">
        <v>123</v>
      </c>
      <c r="O1012">
        <v>0</v>
      </c>
      <c r="P1012">
        <v>123</v>
      </c>
      <c r="Q1012">
        <v>3</v>
      </c>
      <c r="R1012">
        <v>16</v>
      </c>
      <c r="S1012">
        <v>1</v>
      </c>
      <c r="T1012">
        <v>1</v>
      </c>
      <c r="U1012">
        <v>9</v>
      </c>
      <c r="V1012">
        <v>27</v>
      </c>
      <c r="W1012">
        <v>1</v>
      </c>
      <c r="X1012">
        <v>62</v>
      </c>
      <c r="Y1012">
        <v>0</v>
      </c>
      <c r="Z1012">
        <v>1</v>
      </c>
      <c r="AA1012">
        <v>0</v>
      </c>
      <c r="AB1012">
        <v>2</v>
      </c>
      <c r="AD1012">
        <v>0</v>
      </c>
      <c r="AE1012">
        <v>0</v>
      </c>
      <c r="AF1012">
        <v>0</v>
      </c>
      <c r="AG1012">
        <v>0</v>
      </c>
      <c r="AI1012">
        <v>0</v>
      </c>
      <c r="AJ1012">
        <v>0</v>
      </c>
      <c r="AK1012">
        <v>123</v>
      </c>
      <c r="AL1012">
        <v>123</v>
      </c>
      <c r="AM1012">
        <v>270</v>
      </c>
      <c r="AN1012">
        <v>44</v>
      </c>
      <c r="AP1012">
        <v>1</v>
      </c>
      <c r="AR1012" t="s">
        <v>1097</v>
      </c>
      <c r="AS1012" s="1">
        <v>44354.000694444447</v>
      </c>
      <c r="AT1012" s="1">
        <v>44354.008125</v>
      </c>
      <c r="AU1012" s="1">
        <v>44354.009166666663</v>
      </c>
      <c r="AV1012" t="s">
        <v>71</v>
      </c>
      <c r="AW1012" t="s">
        <v>72</v>
      </c>
      <c r="AX1012" t="s">
        <v>73</v>
      </c>
    </row>
    <row r="1013" spans="1:50" x14ac:dyDescent="0.3">
      <c r="A1013" t="str">
        <f>"201426B0000"</f>
        <v>201426B0000</v>
      </c>
      <c r="B1013" t="str">
        <f>"201426B00002"</f>
        <v>201426B00002</v>
      </c>
      <c r="C1013" t="str">
        <f t="shared" si="43"/>
        <v>20</v>
      </c>
      <c r="D1013" t="s">
        <v>67</v>
      </c>
      <c r="E1013" t="str">
        <f t="shared" si="44"/>
        <v>005</v>
      </c>
      <c r="F1013" t="s">
        <v>962</v>
      </c>
      <c r="G1013" t="str">
        <f>"1426"</f>
        <v>1426</v>
      </c>
      <c r="H1013" t="str">
        <f t="shared" si="45"/>
        <v>0000</v>
      </c>
      <c r="I1013" t="s">
        <v>69</v>
      </c>
      <c r="J1013">
        <v>0</v>
      </c>
      <c r="K1013">
        <v>1</v>
      </c>
      <c r="L1013">
        <v>2</v>
      </c>
      <c r="M1013">
        <v>189</v>
      </c>
      <c r="N1013">
        <v>452</v>
      </c>
      <c r="O1013">
        <v>5</v>
      </c>
      <c r="P1013">
        <v>452</v>
      </c>
      <c r="Q1013">
        <v>11</v>
      </c>
      <c r="R1013">
        <v>43</v>
      </c>
      <c r="S1013">
        <v>1</v>
      </c>
      <c r="T1013">
        <v>6</v>
      </c>
      <c r="U1013">
        <v>31</v>
      </c>
      <c r="V1013">
        <v>36</v>
      </c>
      <c r="W1013">
        <v>7</v>
      </c>
      <c r="X1013">
        <v>268</v>
      </c>
      <c r="Y1013">
        <v>1</v>
      </c>
      <c r="Z1013">
        <v>3</v>
      </c>
      <c r="AA1013">
        <v>28</v>
      </c>
      <c r="AB1013">
        <v>5</v>
      </c>
      <c r="AD1013">
        <v>0</v>
      </c>
      <c r="AE1013">
        <v>0</v>
      </c>
      <c r="AF1013">
        <v>0</v>
      </c>
      <c r="AG1013">
        <v>0</v>
      </c>
      <c r="AI1013">
        <v>0</v>
      </c>
      <c r="AJ1013">
        <v>12</v>
      </c>
      <c r="AK1013">
        <v>452</v>
      </c>
      <c r="AL1013">
        <v>452</v>
      </c>
      <c r="AM1013">
        <v>597</v>
      </c>
      <c r="AN1013">
        <v>44</v>
      </c>
      <c r="AP1013">
        <v>1</v>
      </c>
      <c r="AR1013" t="s">
        <v>1098</v>
      </c>
      <c r="AS1013" s="1">
        <v>44354.100694444445</v>
      </c>
      <c r="AT1013" s="1">
        <v>44354.103645833333</v>
      </c>
      <c r="AU1013" s="1">
        <v>44354.104328703703</v>
      </c>
      <c r="AV1013" t="s">
        <v>71</v>
      </c>
      <c r="AW1013" t="s">
        <v>72</v>
      </c>
      <c r="AX1013" t="s">
        <v>73</v>
      </c>
    </row>
    <row r="1014" spans="1:50" x14ac:dyDescent="0.3">
      <c r="A1014" t="str">
        <f>"201426C0100"</f>
        <v>201426C0100</v>
      </c>
      <c r="B1014" t="str">
        <f>"201426C01002"</f>
        <v>201426C01002</v>
      </c>
      <c r="C1014" t="str">
        <f t="shared" si="43"/>
        <v>20</v>
      </c>
      <c r="D1014" t="s">
        <v>67</v>
      </c>
      <c r="E1014" t="str">
        <f t="shared" si="44"/>
        <v>005</v>
      </c>
      <c r="F1014" t="s">
        <v>962</v>
      </c>
      <c r="G1014" t="str">
        <f>"1426"</f>
        <v>1426</v>
      </c>
      <c r="H1014" t="str">
        <f>"0001"</f>
        <v>0001</v>
      </c>
      <c r="I1014" t="s">
        <v>75</v>
      </c>
      <c r="J1014">
        <v>0</v>
      </c>
      <c r="K1014">
        <v>1</v>
      </c>
      <c r="L1014">
        <v>2</v>
      </c>
      <c r="M1014">
        <v>215</v>
      </c>
      <c r="N1014">
        <v>426</v>
      </c>
      <c r="O1014">
        <v>0</v>
      </c>
      <c r="P1014">
        <v>426</v>
      </c>
      <c r="Q1014">
        <v>5</v>
      </c>
      <c r="R1014">
        <v>40</v>
      </c>
      <c r="S1014">
        <v>5</v>
      </c>
      <c r="T1014">
        <v>8</v>
      </c>
      <c r="U1014">
        <v>32</v>
      </c>
      <c r="V1014">
        <v>43</v>
      </c>
      <c r="W1014">
        <v>10</v>
      </c>
      <c r="X1014">
        <v>244</v>
      </c>
      <c r="Y1014">
        <v>1</v>
      </c>
      <c r="Z1014">
        <v>3</v>
      </c>
      <c r="AA1014">
        <v>20</v>
      </c>
      <c r="AB1014">
        <v>3</v>
      </c>
      <c r="AD1014" t="s">
        <v>77</v>
      </c>
      <c r="AE1014" t="s">
        <v>77</v>
      </c>
      <c r="AF1014" t="s">
        <v>77</v>
      </c>
      <c r="AG1014" t="s">
        <v>77</v>
      </c>
      <c r="AI1014" t="s">
        <v>77</v>
      </c>
      <c r="AJ1014">
        <v>12</v>
      </c>
      <c r="AK1014">
        <v>426</v>
      </c>
      <c r="AL1014">
        <v>426</v>
      </c>
      <c r="AM1014">
        <v>597</v>
      </c>
      <c r="AN1014">
        <v>44</v>
      </c>
      <c r="AO1014" t="s">
        <v>78</v>
      </c>
      <c r="AP1014">
        <v>1</v>
      </c>
      <c r="AR1014" t="s">
        <v>1099</v>
      </c>
      <c r="AS1014" s="1">
        <v>44354.100694444445</v>
      </c>
      <c r="AT1014" s="1">
        <v>44354.103912037041</v>
      </c>
      <c r="AU1014" s="1">
        <v>44354.104421296295</v>
      </c>
      <c r="AV1014" t="s">
        <v>71</v>
      </c>
      <c r="AW1014" t="s">
        <v>72</v>
      </c>
      <c r="AX1014" t="s">
        <v>73</v>
      </c>
    </row>
    <row r="1015" spans="1:50" x14ac:dyDescent="0.3">
      <c r="A1015" t="str">
        <f>"201427B0000"</f>
        <v>201427B0000</v>
      </c>
      <c r="B1015" t="str">
        <f>"201427B00002"</f>
        <v>201427B00002</v>
      </c>
      <c r="C1015" t="str">
        <f t="shared" si="43"/>
        <v>20</v>
      </c>
      <c r="D1015" t="s">
        <v>67</v>
      </c>
      <c r="E1015" t="str">
        <f t="shared" si="44"/>
        <v>005</v>
      </c>
      <c r="F1015" t="s">
        <v>962</v>
      </c>
      <c r="G1015" t="str">
        <f>"1427"</f>
        <v>1427</v>
      </c>
      <c r="H1015" t="str">
        <f>"0000"</f>
        <v>0000</v>
      </c>
      <c r="I1015" t="s">
        <v>69</v>
      </c>
      <c r="J1015">
        <v>0</v>
      </c>
      <c r="K1015">
        <v>1</v>
      </c>
      <c r="L1015">
        <v>2</v>
      </c>
      <c r="M1015">
        <v>223</v>
      </c>
      <c r="N1015">
        <v>354</v>
      </c>
      <c r="O1015">
        <v>5</v>
      </c>
      <c r="P1015">
        <v>354</v>
      </c>
      <c r="Q1015">
        <v>8</v>
      </c>
      <c r="R1015">
        <v>59</v>
      </c>
      <c r="S1015">
        <v>2</v>
      </c>
      <c r="T1015">
        <v>5</v>
      </c>
      <c r="U1015">
        <v>18</v>
      </c>
      <c r="V1015">
        <v>36</v>
      </c>
      <c r="W1015">
        <v>7</v>
      </c>
      <c r="X1015">
        <v>179</v>
      </c>
      <c r="Y1015">
        <v>1</v>
      </c>
      <c r="Z1015">
        <v>0</v>
      </c>
      <c r="AA1015">
        <v>30</v>
      </c>
      <c r="AB1015">
        <v>1</v>
      </c>
      <c r="AD1015">
        <v>1</v>
      </c>
      <c r="AE1015" t="s">
        <v>77</v>
      </c>
      <c r="AF1015" t="s">
        <v>77</v>
      </c>
      <c r="AG1015" t="s">
        <v>77</v>
      </c>
      <c r="AI1015" t="s">
        <v>77</v>
      </c>
      <c r="AJ1015">
        <v>7</v>
      </c>
      <c r="AK1015">
        <v>354</v>
      </c>
      <c r="AL1015">
        <v>354</v>
      </c>
      <c r="AM1015">
        <v>533</v>
      </c>
      <c r="AN1015">
        <v>44</v>
      </c>
      <c r="AO1015" t="s">
        <v>78</v>
      </c>
      <c r="AP1015">
        <v>1</v>
      </c>
      <c r="AR1015" t="s">
        <v>1100</v>
      </c>
      <c r="AS1015" s="1">
        <v>44353.873773148145</v>
      </c>
      <c r="AT1015" s="1">
        <v>44353.875914351855</v>
      </c>
      <c r="AU1015" s="1">
        <v>44353.877384259256</v>
      </c>
      <c r="AV1015" t="s">
        <v>269</v>
      </c>
      <c r="AW1015" t="s">
        <v>270</v>
      </c>
      <c r="AX1015" t="s">
        <v>73</v>
      </c>
    </row>
    <row r="1016" spans="1:50" x14ac:dyDescent="0.3">
      <c r="A1016" t="str">
        <f>"201427C0100"</f>
        <v>201427C0100</v>
      </c>
      <c r="B1016" t="str">
        <f>"201427C01002"</f>
        <v>201427C01002</v>
      </c>
      <c r="C1016" t="str">
        <f t="shared" si="43"/>
        <v>20</v>
      </c>
      <c r="D1016" t="s">
        <v>67</v>
      </c>
      <c r="E1016" t="str">
        <f t="shared" si="44"/>
        <v>005</v>
      </c>
      <c r="F1016" t="s">
        <v>962</v>
      </c>
      <c r="G1016" t="str">
        <f>"1427"</f>
        <v>1427</v>
      </c>
      <c r="H1016" t="str">
        <f>"0001"</f>
        <v>0001</v>
      </c>
      <c r="I1016" t="s">
        <v>75</v>
      </c>
      <c r="J1016">
        <v>0</v>
      </c>
      <c r="K1016">
        <v>1</v>
      </c>
      <c r="L1016">
        <v>2</v>
      </c>
      <c r="M1016">
        <v>189</v>
      </c>
      <c r="N1016" t="s">
        <v>80</v>
      </c>
      <c r="O1016" t="s">
        <v>80</v>
      </c>
      <c r="P1016" t="s">
        <v>80</v>
      </c>
      <c r="Q1016">
        <v>16</v>
      </c>
      <c r="R1016">
        <v>65</v>
      </c>
      <c r="S1016">
        <v>3</v>
      </c>
      <c r="T1016">
        <v>3</v>
      </c>
      <c r="U1016">
        <v>13</v>
      </c>
      <c r="V1016">
        <v>54</v>
      </c>
      <c r="W1016">
        <v>4</v>
      </c>
      <c r="X1016">
        <v>180</v>
      </c>
      <c r="Y1016">
        <v>3</v>
      </c>
      <c r="Z1016">
        <v>4</v>
      </c>
      <c r="AA1016">
        <v>27</v>
      </c>
      <c r="AB1016">
        <v>3</v>
      </c>
      <c r="AD1016">
        <v>3</v>
      </c>
      <c r="AE1016">
        <v>0</v>
      </c>
      <c r="AF1016">
        <v>0</v>
      </c>
      <c r="AG1016">
        <v>0</v>
      </c>
      <c r="AI1016" t="s">
        <v>77</v>
      </c>
      <c r="AJ1016">
        <v>10</v>
      </c>
      <c r="AK1016">
        <v>388</v>
      </c>
      <c r="AL1016">
        <v>388</v>
      </c>
      <c r="AM1016">
        <v>533</v>
      </c>
      <c r="AN1016">
        <v>44</v>
      </c>
      <c r="AO1016" t="s">
        <v>78</v>
      </c>
      <c r="AP1016">
        <v>1</v>
      </c>
      <c r="AR1016" t="s">
        <v>1101</v>
      </c>
      <c r="AS1016" s="1">
        <v>44353.913969907408</v>
      </c>
      <c r="AT1016" s="1">
        <v>44353.918043981481</v>
      </c>
      <c r="AU1016" s="1">
        <v>44353.919942129629</v>
      </c>
      <c r="AV1016" t="s">
        <v>269</v>
      </c>
      <c r="AW1016" t="s">
        <v>270</v>
      </c>
      <c r="AX1016" t="s">
        <v>73</v>
      </c>
    </row>
    <row r="1017" spans="1:50" x14ac:dyDescent="0.3">
      <c r="A1017" t="str">
        <f>"201427C0200"</f>
        <v>201427C0200</v>
      </c>
      <c r="B1017" t="str">
        <f>"201427C02002"</f>
        <v>201427C02002</v>
      </c>
      <c r="C1017" t="str">
        <f t="shared" si="43"/>
        <v>20</v>
      </c>
      <c r="D1017" t="s">
        <v>67</v>
      </c>
      <c r="E1017" t="str">
        <f t="shared" si="44"/>
        <v>005</v>
      </c>
      <c r="F1017" t="s">
        <v>962</v>
      </c>
      <c r="G1017" t="str">
        <f>"1427"</f>
        <v>1427</v>
      </c>
      <c r="H1017" t="str">
        <f>"0002"</f>
        <v>0002</v>
      </c>
      <c r="I1017" t="s">
        <v>75</v>
      </c>
      <c r="J1017">
        <v>0</v>
      </c>
      <c r="K1017">
        <v>1</v>
      </c>
      <c r="L1017">
        <v>2</v>
      </c>
      <c r="M1017">
        <v>204</v>
      </c>
      <c r="N1017">
        <v>373</v>
      </c>
      <c r="O1017">
        <v>2</v>
      </c>
      <c r="P1017" t="s">
        <v>80</v>
      </c>
      <c r="Q1017">
        <v>17</v>
      </c>
      <c r="R1017">
        <v>55</v>
      </c>
      <c r="S1017">
        <v>5</v>
      </c>
      <c r="T1017">
        <v>4</v>
      </c>
      <c r="U1017">
        <v>17</v>
      </c>
      <c r="V1017">
        <v>30</v>
      </c>
      <c r="W1017">
        <v>7</v>
      </c>
      <c r="X1017">
        <v>203</v>
      </c>
      <c r="Y1017">
        <v>0</v>
      </c>
      <c r="Z1017">
        <v>1</v>
      </c>
      <c r="AA1017">
        <v>24</v>
      </c>
      <c r="AB1017">
        <v>2</v>
      </c>
      <c r="AD1017">
        <v>0</v>
      </c>
      <c r="AE1017">
        <v>0</v>
      </c>
      <c r="AF1017">
        <v>0</v>
      </c>
      <c r="AG1017">
        <v>0</v>
      </c>
      <c r="AI1017">
        <v>0</v>
      </c>
      <c r="AJ1017">
        <v>8</v>
      </c>
      <c r="AK1017">
        <v>373</v>
      </c>
      <c r="AL1017">
        <v>373</v>
      </c>
      <c r="AM1017">
        <v>533</v>
      </c>
      <c r="AN1017">
        <v>44</v>
      </c>
      <c r="AP1017">
        <v>1</v>
      </c>
      <c r="AR1017" t="s">
        <v>1102</v>
      </c>
      <c r="AS1017" s="1">
        <v>44354.145138888889</v>
      </c>
      <c r="AT1017" s="1">
        <v>44354.148668981485</v>
      </c>
      <c r="AU1017" s="1">
        <v>44354.149143518516</v>
      </c>
      <c r="AV1017" t="s">
        <v>71</v>
      </c>
      <c r="AW1017" t="s">
        <v>72</v>
      </c>
      <c r="AX1017" t="s">
        <v>73</v>
      </c>
    </row>
    <row r="1018" spans="1:50" x14ac:dyDescent="0.3">
      <c r="A1018" t="str">
        <f>"201428B0000"</f>
        <v>201428B0000</v>
      </c>
      <c r="B1018" t="str">
        <f>"201428B00002"</f>
        <v>201428B00002</v>
      </c>
      <c r="C1018" t="str">
        <f t="shared" si="43"/>
        <v>20</v>
      </c>
      <c r="D1018" t="s">
        <v>67</v>
      </c>
      <c r="E1018" t="str">
        <f t="shared" si="44"/>
        <v>005</v>
      </c>
      <c r="F1018" t="s">
        <v>962</v>
      </c>
      <c r="G1018" t="str">
        <f>"1428"</f>
        <v>1428</v>
      </c>
      <c r="H1018" t="str">
        <f>"0000"</f>
        <v>0000</v>
      </c>
      <c r="I1018" t="s">
        <v>69</v>
      </c>
      <c r="J1018">
        <v>0</v>
      </c>
      <c r="K1018">
        <v>1</v>
      </c>
      <c r="L1018">
        <v>2</v>
      </c>
      <c r="M1018">
        <v>146</v>
      </c>
      <c r="N1018">
        <v>415</v>
      </c>
      <c r="O1018">
        <v>4</v>
      </c>
      <c r="P1018">
        <v>415</v>
      </c>
      <c r="Q1018">
        <v>19</v>
      </c>
      <c r="R1018">
        <v>53</v>
      </c>
      <c r="S1018">
        <v>5</v>
      </c>
      <c r="T1018">
        <v>4</v>
      </c>
      <c r="U1018">
        <v>27</v>
      </c>
      <c r="V1018">
        <v>34</v>
      </c>
      <c r="W1018">
        <v>7</v>
      </c>
      <c r="X1018">
        <v>214</v>
      </c>
      <c r="Y1018">
        <v>0</v>
      </c>
      <c r="Z1018">
        <v>1</v>
      </c>
      <c r="AA1018">
        <v>37</v>
      </c>
      <c r="AB1018">
        <v>6</v>
      </c>
      <c r="AD1018">
        <v>1</v>
      </c>
      <c r="AE1018">
        <v>0</v>
      </c>
      <c r="AF1018">
        <v>0</v>
      </c>
      <c r="AG1018">
        <v>0</v>
      </c>
      <c r="AI1018">
        <v>0</v>
      </c>
      <c r="AJ1018">
        <v>7</v>
      </c>
      <c r="AK1018">
        <v>415</v>
      </c>
      <c r="AL1018">
        <v>415</v>
      </c>
      <c r="AM1018">
        <v>517</v>
      </c>
      <c r="AN1018">
        <v>44</v>
      </c>
      <c r="AP1018">
        <v>1</v>
      </c>
      <c r="AR1018" t="s">
        <v>1103</v>
      </c>
      <c r="AS1018" s="1">
        <v>44354.146527777775</v>
      </c>
      <c r="AT1018" s="1">
        <v>44354.148831018516</v>
      </c>
      <c r="AU1018" s="1">
        <v>44354.149201388886</v>
      </c>
      <c r="AV1018" t="s">
        <v>71</v>
      </c>
      <c r="AW1018" t="s">
        <v>72</v>
      </c>
      <c r="AX1018" t="s">
        <v>73</v>
      </c>
    </row>
    <row r="1019" spans="1:50" x14ac:dyDescent="0.3">
      <c r="A1019" t="str">
        <f>"201428C0100"</f>
        <v>201428C0100</v>
      </c>
      <c r="B1019" t="str">
        <f>"201428C01002"</f>
        <v>201428C01002</v>
      </c>
      <c r="C1019" t="str">
        <f t="shared" si="43"/>
        <v>20</v>
      </c>
      <c r="D1019" t="s">
        <v>67</v>
      </c>
      <c r="E1019" t="str">
        <f t="shared" si="44"/>
        <v>005</v>
      </c>
      <c r="F1019" t="s">
        <v>962</v>
      </c>
      <c r="G1019" t="str">
        <f>"1428"</f>
        <v>1428</v>
      </c>
      <c r="H1019" t="str">
        <f>"0001"</f>
        <v>0001</v>
      </c>
      <c r="I1019" t="s">
        <v>75</v>
      </c>
      <c r="J1019">
        <v>0</v>
      </c>
      <c r="K1019">
        <v>1</v>
      </c>
      <c r="L1019">
        <v>2</v>
      </c>
      <c r="M1019">
        <v>168</v>
      </c>
      <c r="N1019">
        <v>392</v>
      </c>
      <c r="O1019">
        <v>2</v>
      </c>
      <c r="P1019">
        <v>392</v>
      </c>
      <c r="Q1019">
        <v>14</v>
      </c>
      <c r="R1019">
        <v>69</v>
      </c>
      <c r="S1019">
        <v>5</v>
      </c>
      <c r="T1019">
        <v>4</v>
      </c>
      <c r="U1019">
        <v>45</v>
      </c>
      <c r="V1019">
        <v>13</v>
      </c>
      <c r="W1019">
        <v>6</v>
      </c>
      <c r="X1019">
        <v>196</v>
      </c>
      <c r="Y1019">
        <v>1</v>
      </c>
      <c r="Z1019">
        <v>1</v>
      </c>
      <c r="AA1019">
        <v>37</v>
      </c>
      <c r="AB1019">
        <v>1</v>
      </c>
      <c r="AD1019">
        <v>0</v>
      </c>
      <c r="AE1019">
        <v>0</v>
      </c>
      <c r="AF1019">
        <v>0</v>
      </c>
      <c r="AG1019">
        <v>0</v>
      </c>
      <c r="AI1019">
        <v>0</v>
      </c>
      <c r="AJ1019">
        <v>1</v>
      </c>
      <c r="AK1019">
        <v>392</v>
      </c>
      <c r="AL1019">
        <v>393</v>
      </c>
      <c r="AM1019">
        <v>517</v>
      </c>
      <c r="AN1019">
        <v>44</v>
      </c>
      <c r="AP1019">
        <v>1</v>
      </c>
      <c r="AR1019" t="s">
        <v>1104</v>
      </c>
      <c r="AS1019" s="1">
        <v>44354.145833333336</v>
      </c>
      <c r="AT1019" s="1">
        <v>44354.14947916667</v>
      </c>
      <c r="AU1019" s="1">
        <v>44354.150682870371</v>
      </c>
      <c r="AV1019" t="s">
        <v>71</v>
      </c>
      <c r="AW1019" t="s">
        <v>72</v>
      </c>
      <c r="AX1019" t="s">
        <v>73</v>
      </c>
    </row>
    <row r="1020" spans="1:50" x14ac:dyDescent="0.3">
      <c r="A1020" t="str">
        <f>"201429B0000"</f>
        <v>201429B0000</v>
      </c>
      <c r="B1020" t="str">
        <f>"201429B00002"</f>
        <v>201429B00002</v>
      </c>
      <c r="C1020" t="str">
        <f t="shared" si="43"/>
        <v>20</v>
      </c>
      <c r="D1020" t="s">
        <v>67</v>
      </c>
      <c r="E1020" t="str">
        <f t="shared" si="44"/>
        <v>005</v>
      </c>
      <c r="F1020" t="s">
        <v>962</v>
      </c>
      <c r="G1020" t="str">
        <f>"1429"</f>
        <v>1429</v>
      </c>
      <c r="H1020" t="str">
        <f>"0000"</f>
        <v>0000</v>
      </c>
      <c r="I1020" t="s">
        <v>69</v>
      </c>
      <c r="J1020">
        <v>0</v>
      </c>
      <c r="K1020">
        <v>1</v>
      </c>
      <c r="L1020">
        <v>2</v>
      </c>
      <c r="M1020">
        <v>229</v>
      </c>
      <c r="N1020">
        <v>449</v>
      </c>
      <c r="O1020">
        <v>1</v>
      </c>
      <c r="P1020">
        <v>449</v>
      </c>
      <c r="Q1020">
        <v>17</v>
      </c>
      <c r="R1020">
        <v>74</v>
      </c>
      <c r="S1020">
        <v>10</v>
      </c>
      <c r="T1020">
        <v>4</v>
      </c>
      <c r="U1020">
        <v>30</v>
      </c>
      <c r="V1020">
        <v>52</v>
      </c>
      <c r="W1020">
        <v>1</v>
      </c>
      <c r="X1020">
        <v>220</v>
      </c>
      <c r="Y1020">
        <v>2</v>
      </c>
      <c r="Z1020">
        <v>3</v>
      </c>
      <c r="AA1020">
        <v>22</v>
      </c>
      <c r="AB1020">
        <v>2</v>
      </c>
      <c r="AD1020">
        <v>0</v>
      </c>
      <c r="AE1020">
        <v>0</v>
      </c>
      <c r="AF1020">
        <v>0</v>
      </c>
      <c r="AG1020">
        <v>0</v>
      </c>
      <c r="AI1020">
        <v>0</v>
      </c>
      <c r="AJ1020">
        <v>12</v>
      </c>
      <c r="AK1020">
        <v>449</v>
      </c>
      <c r="AL1020">
        <v>449</v>
      </c>
      <c r="AM1020">
        <v>634</v>
      </c>
      <c r="AN1020">
        <v>44</v>
      </c>
      <c r="AP1020">
        <v>1</v>
      </c>
      <c r="AR1020" t="s">
        <v>1105</v>
      </c>
      <c r="AS1020" s="1">
        <v>44353.935370370367</v>
      </c>
      <c r="AT1020" s="1">
        <v>44353.938171296293</v>
      </c>
      <c r="AU1020" s="1">
        <v>44353.938969907409</v>
      </c>
      <c r="AV1020" t="s">
        <v>269</v>
      </c>
      <c r="AW1020" t="s">
        <v>270</v>
      </c>
      <c r="AX1020" t="s">
        <v>73</v>
      </c>
    </row>
    <row r="1021" spans="1:50" x14ac:dyDescent="0.3">
      <c r="A1021" t="str">
        <f>"201429C0100"</f>
        <v>201429C0100</v>
      </c>
      <c r="B1021" t="str">
        <f>"201429C01002"</f>
        <v>201429C01002</v>
      </c>
      <c r="C1021" t="str">
        <f t="shared" si="43"/>
        <v>20</v>
      </c>
      <c r="D1021" t="s">
        <v>67</v>
      </c>
      <c r="E1021" t="str">
        <f t="shared" si="44"/>
        <v>005</v>
      </c>
      <c r="F1021" t="s">
        <v>962</v>
      </c>
      <c r="G1021" t="str">
        <f>"1429"</f>
        <v>1429</v>
      </c>
      <c r="H1021" t="str">
        <f>"0001"</f>
        <v>0001</v>
      </c>
      <c r="I1021" t="s">
        <v>75</v>
      </c>
      <c r="J1021">
        <v>0</v>
      </c>
      <c r="K1021">
        <v>1</v>
      </c>
      <c r="L1021">
        <v>2</v>
      </c>
      <c r="M1021">
        <v>223</v>
      </c>
      <c r="N1021">
        <v>455</v>
      </c>
      <c r="O1021">
        <v>5</v>
      </c>
      <c r="P1021">
        <v>455</v>
      </c>
      <c r="Q1021">
        <v>25</v>
      </c>
      <c r="R1021">
        <v>67</v>
      </c>
      <c r="S1021">
        <v>4</v>
      </c>
      <c r="T1021">
        <v>8</v>
      </c>
      <c r="U1021">
        <v>24</v>
      </c>
      <c r="V1021">
        <v>51</v>
      </c>
      <c r="W1021">
        <v>1</v>
      </c>
      <c r="X1021">
        <v>219</v>
      </c>
      <c r="Y1021">
        <v>6</v>
      </c>
      <c r="Z1021">
        <v>2</v>
      </c>
      <c r="AA1021">
        <v>32</v>
      </c>
      <c r="AB1021">
        <v>5</v>
      </c>
      <c r="AD1021">
        <v>1</v>
      </c>
      <c r="AE1021">
        <v>0</v>
      </c>
      <c r="AF1021">
        <v>1</v>
      </c>
      <c r="AG1021">
        <v>0</v>
      </c>
      <c r="AI1021">
        <v>0</v>
      </c>
      <c r="AJ1021">
        <v>9</v>
      </c>
      <c r="AK1021">
        <v>455</v>
      </c>
      <c r="AL1021">
        <v>455</v>
      </c>
      <c r="AM1021">
        <v>634</v>
      </c>
      <c r="AN1021">
        <v>44</v>
      </c>
      <c r="AP1021">
        <v>1</v>
      </c>
      <c r="AR1021" t="s">
        <v>1106</v>
      </c>
      <c r="AS1021" s="1">
        <v>44353.938715277778</v>
      </c>
      <c r="AT1021" s="1">
        <v>44353.94017361111</v>
      </c>
      <c r="AU1021" s="1">
        <v>44353.941099537034</v>
      </c>
      <c r="AV1021" t="s">
        <v>269</v>
      </c>
      <c r="AW1021" t="s">
        <v>270</v>
      </c>
      <c r="AX1021" t="s">
        <v>73</v>
      </c>
    </row>
    <row r="1022" spans="1:50" x14ac:dyDescent="0.3">
      <c r="A1022" t="str">
        <f>"201430B0000"</f>
        <v>201430B0000</v>
      </c>
      <c r="B1022" t="str">
        <f>"201430B00002"</f>
        <v>201430B00002</v>
      </c>
      <c r="C1022" t="str">
        <f t="shared" si="43"/>
        <v>20</v>
      </c>
      <c r="D1022" t="s">
        <v>67</v>
      </c>
      <c r="E1022" t="str">
        <f t="shared" si="44"/>
        <v>005</v>
      </c>
      <c r="F1022" t="s">
        <v>962</v>
      </c>
      <c r="G1022" t="str">
        <f>"1430"</f>
        <v>1430</v>
      </c>
      <c r="H1022" t="str">
        <f>"0000"</f>
        <v>0000</v>
      </c>
      <c r="I1022" t="s">
        <v>69</v>
      </c>
      <c r="J1022">
        <v>0</v>
      </c>
      <c r="K1022">
        <v>1</v>
      </c>
      <c r="L1022">
        <v>2</v>
      </c>
      <c r="M1022">
        <v>95</v>
      </c>
      <c r="N1022">
        <v>218</v>
      </c>
      <c r="O1022">
        <v>3</v>
      </c>
      <c r="P1022">
        <v>218</v>
      </c>
      <c r="Q1022">
        <v>5</v>
      </c>
      <c r="R1022">
        <v>70</v>
      </c>
      <c r="S1022">
        <v>2</v>
      </c>
      <c r="T1022">
        <v>1</v>
      </c>
      <c r="U1022">
        <v>11</v>
      </c>
      <c r="V1022">
        <v>29</v>
      </c>
      <c r="W1022">
        <v>1</v>
      </c>
      <c r="X1022">
        <v>83</v>
      </c>
      <c r="Y1022">
        <v>2</v>
      </c>
      <c r="Z1022">
        <v>0</v>
      </c>
      <c r="AA1022">
        <v>4</v>
      </c>
      <c r="AB1022">
        <v>1</v>
      </c>
      <c r="AD1022">
        <v>0</v>
      </c>
      <c r="AE1022">
        <v>1</v>
      </c>
      <c r="AF1022">
        <v>0</v>
      </c>
      <c r="AG1022">
        <v>0</v>
      </c>
      <c r="AI1022">
        <v>0</v>
      </c>
      <c r="AJ1022">
        <v>8</v>
      </c>
      <c r="AK1022">
        <v>218</v>
      </c>
      <c r="AL1022">
        <v>218</v>
      </c>
      <c r="AM1022">
        <v>269</v>
      </c>
      <c r="AN1022">
        <v>44</v>
      </c>
      <c r="AP1022">
        <v>1</v>
      </c>
      <c r="AR1022" t="s">
        <v>1107</v>
      </c>
      <c r="AS1022" s="1">
        <v>44354.140277777777</v>
      </c>
      <c r="AT1022" s="1">
        <v>44354.142650462964</v>
      </c>
      <c r="AU1022" s="1">
        <v>44354.143055555556</v>
      </c>
      <c r="AV1022" t="s">
        <v>71</v>
      </c>
      <c r="AW1022" t="s">
        <v>72</v>
      </c>
      <c r="AX1022" t="s">
        <v>73</v>
      </c>
    </row>
    <row r="1023" spans="1:50" x14ac:dyDescent="0.3">
      <c r="A1023" t="str">
        <f>"201459B0000"</f>
        <v>201459B0000</v>
      </c>
      <c r="B1023" t="str">
        <f>"201459B00002"</f>
        <v>201459B00002</v>
      </c>
      <c r="C1023" t="str">
        <f t="shared" si="43"/>
        <v>20</v>
      </c>
      <c r="D1023" t="s">
        <v>67</v>
      </c>
      <c r="E1023" t="str">
        <f t="shared" si="44"/>
        <v>005</v>
      </c>
      <c r="F1023" t="s">
        <v>962</v>
      </c>
      <c r="G1023" t="str">
        <f>"1459"</f>
        <v>1459</v>
      </c>
      <c r="H1023" t="str">
        <f>"0000"</f>
        <v>0000</v>
      </c>
      <c r="I1023" t="s">
        <v>69</v>
      </c>
      <c r="J1023">
        <v>0</v>
      </c>
      <c r="K1023">
        <v>1</v>
      </c>
      <c r="L1023">
        <v>2</v>
      </c>
      <c r="M1023">
        <v>350</v>
      </c>
      <c r="N1023">
        <v>187</v>
      </c>
      <c r="O1023">
        <v>187</v>
      </c>
      <c r="P1023">
        <v>187</v>
      </c>
      <c r="Q1023">
        <v>5</v>
      </c>
      <c r="R1023">
        <v>26</v>
      </c>
      <c r="S1023">
        <v>4</v>
      </c>
      <c r="T1023">
        <v>7</v>
      </c>
      <c r="U1023">
        <v>3</v>
      </c>
      <c r="V1023">
        <v>1</v>
      </c>
      <c r="W1023">
        <v>3</v>
      </c>
      <c r="X1023">
        <v>121</v>
      </c>
      <c r="Y1023">
        <v>5</v>
      </c>
      <c r="Z1023">
        <v>2</v>
      </c>
      <c r="AA1023">
        <v>0</v>
      </c>
      <c r="AB1023">
        <v>0</v>
      </c>
      <c r="AD1023">
        <v>0</v>
      </c>
      <c r="AE1023">
        <v>0</v>
      </c>
      <c r="AF1023">
        <v>0</v>
      </c>
      <c r="AG1023">
        <v>1</v>
      </c>
      <c r="AI1023">
        <v>0</v>
      </c>
      <c r="AJ1023">
        <v>9</v>
      </c>
      <c r="AK1023">
        <v>187</v>
      </c>
      <c r="AL1023">
        <v>187</v>
      </c>
      <c r="AM1023">
        <v>493</v>
      </c>
      <c r="AN1023">
        <v>44</v>
      </c>
      <c r="AP1023">
        <v>1</v>
      </c>
      <c r="AR1023" t="s">
        <v>1108</v>
      </c>
      <c r="AS1023" s="1">
        <v>44354.202777777777</v>
      </c>
      <c r="AT1023" s="1">
        <v>44354.205405092594</v>
      </c>
      <c r="AU1023" s="1">
        <v>44354.206006944441</v>
      </c>
      <c r="AV1023" t="s">
        <v>71</v>
      </c>
      <c r="AW1023" t="s">
        <v>72</v>
      </c>
      <c r="AX1023" t="s">
        <v>73</v>
      </c>
    </row>
    <row r="1024" spans="1:50" x14ac:dyDescent="0.3">
      <c r="A1024" t="str">
        <f>"201460B0000"</f>
        <v>201460B0000</v>
      </c>
      <c r="B1024" t="str">
        <f>"201460B00002"</f>
        <v>201460B00002</v>
      </c>
      <c r="C1024" t="str">
        <f t="shared" si="43"/>
        <v>20</v>
      </c>
      <c r="D1024" t="s">
        <v>67</v>
      </c>
      <c r="E1024" t="str">
        <f t="shared" si="44"/>
        <v>005</v>
      </c>
      <c r="F1024" t="s">
        <v>962</v>
      </c>
      <c r="G1024" t="str">
        <f>"1460"</f>
        <v>1460</v>
      </c>
      <c r="H1024" t="str">
        <f>"0000"</f>
        <v>0000</v>
      </c>
      <c r="I1024" t="s">
        <v>69</v>
      </c>
      <c r="J1024">
        <v>0</v>
      </c>
      <c r="K1024">
        <v>1</v>
      </c>
      <c r="L1024">
        <v>2</v>
      </c>
      <c r="M1024">
        <v>81</v>
      </c>
      <c r="N1024">
        <v>74</v>
      </c>
      <c r="O1024">
        <v>0</v>
      </c>
      <c r="P1024">
        <v>74</v>
      </c>
      <c r="Q1024">
        <v>1</v>
      </c>
      <c r="R1024">
        <v>9</v>
      </c>
      <c r="S1024">
        <v>3</v>
      </c>
      <c r="T1024">
        <v>1</v>
      </c>
      <c r="U1024">
        <v>5</v>
      </c>
      <c r="V1024">
        <v>1</v>
      </c>
      <c r="W1024">
        <v>2</v>
      </c>
      <c r="X1024">
        <v>49</v>
      </c>
      <c r="Y1024">
        <v>0</v>
      </c>
      <c r="Z1024">
        <v>2</v>
      </c>
      <c r="AA1024">
        <v>1</v>
      </c>
      <c r="AB1024">
        <v>0</v>
      </c>
      <c r="AD1024">
        <v>0</v>
      </c>
      <c r="AE1024">
        <v>0</v>
      </c>
      <c r="AF1024">
        <v>0</v>
      </c>
      <c r="AG1024">
        <v>0</v>
      </c>
      <c r="AI1024">
        <v>0</v>
      </c>
      <c r="AJ1024">
        <v>0</v>
      </c>
      <c r="AK1024">
        <v>74</v>
      </c>
      <c r="AL1024">
        <v>74</v>
      </c>
      <c r="AM1024">
        <v>111</v>
      </c>
      <c r="AN1024">
        <v>44</v>
      </c>
      <c r="AP1024">
        <v>1</v>
      </c>
      <c r="AR1024" t="s">
        <v>1109</v>
      </c>
      <c r="AS1024" s="1">
        <v>44354.030555555553</v>
      </c>
      <c r="AT1024" s="1">
        <v>44354.040416666663</v>
      </c>
      <c r="AU1024" s="1">
        <v>44354.040682870371</v>
      </c>
      <c r="AV1024" t="s">
        <v>71</v>
      </c>
      <c r="AW1024" t="s">
        <v>72</v>
      </c>
      <c r="AX1024" t="s">
        <v>73</v>
      </c>
    </row>
    <row r="1025" spans="1:50" x14ac:dyDescent="0.3">
      <c r="A1025" t="str">
        <f>"201513B0000"</f>
        <v>201513B0000</v>
      </c>
      <c r="B1025" t="str">
        <f>"201513B00002"</f>
        <v>201513B00002</v>
      </c>
      <c r="C1025" t="str">
        <f t="shared" si="43"/>
        <v>20</v>
      </c>
      <c r="D1025" t="s">
        <v>67</v>
      </c>
      <c r="E1025" t="str">
        <f t="shared" si="44"/>
        <v>005</v>
      </c>
      <c r="F1025" t="s">
        <v>962</v>
      </c>
      <c r="G1025" t="str">
        <f>"1513"</f>
        <v>1513</v>
      </c>
      <c r="H1025" t="str">
        <f>"0000"</f>
        <v>0000</v>
      </c>
      <c r="I1025" t="s">
        <v>69</v>
      </c>
      <c r="J1025">
        <v>0</v>
      </c>
      <c r="K1025">
        <v>1</v>
      </c>
      <c r="L1025">
        <v>2</v>
      </c>
      <c r="M1025">
        <v>209</v>
      </c>
      <c r="N1025">
        <v>216</v>
      </c>
      <c r="O1025">
        <v>0</v>
      </c>
      <c r="P1025">
        <v>216</v>
      </c>
      <c r="Q1025">
        <v>3</v>
      </c>
      <c r="R1025">
        <v>5</v>
      </c>
      <c r="S1025">
        <v>4</v>
      </c>
      <c r="T1025">
        <v>1</v>
      </c>
      <c r="U1025">
        <v>4</v>
      </c>
      <c r="V1025">
        <v>2</v>
      </c>
      <c r="W1025">
        <v>2</v>
      </c>
      <c r="X1025">
        <v>171</v>
      </c>
      <c r="Y1025">
        <v>2</v>
      </c>
      <c r="Z1025">
        <v>2</v>
      </c>
      <c r="AA1025">
        <v>8</v>
      </c>
      <c r="AB1025">
        <v>4</v>
      </c>
      <c r="AD1025">
        <v>0</v>
      </c>
      <c r="AE1025">
        <v>0</v>
      </c>
      <c r="AF1025">
        <v>0</v>
      </c>
      <c r="AG1025">
        <v>0</v>
      </c>
      <c r="AI1025">
        <v>0</v>
      </c>
      <c r="AJ1025">
        <v>10</v>
      </c>
      <c r="AK1025">
        <v>216</v>
      </c>
      <c r="AL1025">
        <v>218</v>
      </c>
      <c r="AM1025">
        <v>381</v>
      </c>
      <c r="AN1025">
        <v>44</v>
      </c>
      <c r="AP1025">
        <v>1</v>
      </c>
      <c r="AR1025" t="s">
        <v>1110</v>
      </c>
      <c r="AS1025" s="1">
        <v>44354.075694444444</v>
      </c>
      <c r="AT1025" s="1">
        <v>44354.082094907404</v>
      </c>
      <c r="AU1025" s="1">
        <v>44354.082638888889</v>
      </c>
      <c r="AV1025" t="s">
        <v>71</v>
      </c>
      <c r="AW1025" t="s">
        <v>72</v>
      </c>
      <c r="AX1025" t="s">
        <v>73</v>
      </c>
    </row>
    <row r="1026" spans="1:50" x14ac:dyDescent="0.3">
      <c r="A1026" t="str">
        <f>"201513E0100"</f>
        <v>201513E0100</v>
      </c>
      <c r="B1026" t="str">
        <f>"201513E01002"</f>
        <v>201513E01002</v>
      </c>
      <c r="C1026" t="str">
        <f t="shared" si="43"/>
        <v>20</v>
      </c>
      <c r="D1026" t="s">
        <v>67</v>
      </c>
      <c r="E1026" t="str">
        <f t="shared" si="44"/>
        <v>005</v>
      </c>
      <c r="F1026" t="s">
        <v>962</v>
      </c>
      <c r="G1026" t="str">
        <f>"1513"</f>
        <v>1513</v>
      </c>
      <c r="H1026" t="str">
        <f>"0001"</f>
        <v>0001</v>
      </c>
      <c r="I1026" t="s">
        <v>109</v>
      </c>
      <c r="J1026">
        <v>0</v>
      </c>
      <c r="K1026">
        <v>1</v>
      </c>
      <c r="L1026">
        <v>2</v>
      </c>
      <c r="M1026">
        <v>113</v>
      </c>
      <c r="N1026">
        <v>85</v>
      </c>
      <c r="O1026">
        <v>1</v>
      </c>
      <c r="P1026">
        <v>85</v>
      </c>
      <c r="Q1026">
        <v>4</v>
      </c>
      <c r="R1026">
        <v>23</v>
      </c>
      <c r="S1026">
        <v>1</v>
      </c>
      <c r="T1026">
        <v>0</v>
      </c>
      <c r="U1026">
        <v>5</v>
      </c>
      <c r="V1026">
        <v>1</v>
      </c>
      <c r="W1026">
        <v>1</v>
      </c>
      <c r="X1026">
        <v>31</v>
      </c>
      <c r="Y1026">
        <v>0</v>
      </c>
      <c r="Z1026">
        <v>2</v>
      </c>
      <c r="AA1026">
        <v>8</v>
      </c>
      <c r="AB1026">
        <v>1</v>
      </c>
      <c r="AD1026">
        <v>1</v>
      </c>
      <c r="AE1026">
        <v>0</v>
      </c>
      <c r="AF1026">
        <v>0</v>
      </c>
      <c r="AG1026">
        <v>0</v>
      </c>
      <c r="AI1026">
        <v>0</v>
      </c>
      <c r="AJ1026">
        <v>7</v>
      </c>
      <c r="AK1026">
        <v>85</v>
      </c>
      <c r="AL1026">
        <v>85</v>
      </c>
      <c r="AM1026">
        <v>154</v>
      </c>
      <c r="AN1026">
        <v>44</v>
      </c>
      <c r="AP1026">
        <v>1</v>
      </c>
      <c r="AR1026" t="s">
        <v>1111</v>
      </c>
      <c r="AS1026" s="1">
        <v>44354.075694444444</v>
      </c>
      <c r="AT1026" s="1">
        <v>44354.084907407407</v>
      </c>
      <c r="AU1026" s="1">
        <v>44354.085416666669</v>
      </c>
      <c r="AV1026" t="s">
        <v>71</v>
      </c>
      <c r="AW1026" t="s">
        <v>72</v>
      </c>
      <c r="AX1026" t="s">
        <v>73</v>
      </c>
    </row>
    <row r="1027" spans="1:50" x14ac:dyDescent="0.3">
      <c r="A1027" t="str">
        <f>"201554B0000"</f>
        <v>201554B0000</v>
      </c>
      <c r="B1027" t="str">
        <f>"201554B00002"</f>
        <v>201554B00002</v>
      </c>
      <c r="C1027" t="str">
        <f t="shared" si="43"/>
        <v>20</v>
      </c>
      <c r="D1027" t="s">
        <v>67</v>
      </c>
      <c r="E1027" t="str">
        <f t="shared" si="44"/>
        <v>005</v>
      </c>
      <c r="F1027" t="s">
        <v>962</v>
      </c>
      <c r="G1027" t="str">
        <f>"1554"</f>
        <v>1554</v>
      </c>
      <c r="H1027" t="str">
        <f>"0000"</f>
        <v>0000</v>
      </c>
      <c r="I1027" t="s">
        <v>69</v>
      </c>
      <c r="J1027">
        <v>0</v>
      </c>
      <c r="K1027">
        <v>1</v>
      </c>
      <c r="L1027">
        <v>2</v>
      </c>
      <c r="M1027">
        <v>428</v>
      </c>
      <c r="N1027">
        <v>217</v>
      </c>
      <c r="O1027">
        <v>0</v>
      </c>
      <c r="P1027">
        <v>217</v>
      </c>
      <c r="Q1027">
        <v>4</v>
      </c>
      <c r="R1027">
        <v>38</v>
      </c>
      <c r="S1027">
        <v>3</v>
      </c>
      <c r="T1027">
        <v>4</v>
      </c>
      <c r="U1027">
        <v>1</v>
      </c>
      <c r="V1027">
        <v>4</v>
      </c>
      <c r="W1027">
        <v>5</v>
      </c>
      <c r="X1027">
        <v>130</v>
      </c>
      <c r="Y1027">
        <v>8</v>
      </c>
      <c r="Z1027">
        <v>5</v>
      </c>
      <c r="AA1027">
        <v>1</v>
      </c>
      <c r="AB1027">
        <v>2</v>
      </c>
      <c r="AD1027">
        <v>45</v>
      </c>
      <c r="AE1027">
        <v>42</v>
      </c>
      <c r="AF1027">
        <v>7</v>
      </c>
      <c r="AG1027">
        <v>41</v>
      </c>
      <c r="AI1027" t="s">
        <v>77</v>
      </c>
      <c r="AJ1027">
        <v>12</v>
      </c>
      <c r="AK1027">
        <v>217</v>
      </c>
      <c r="AL1027">
        <v>352</v>
      </c>
      <c r="AM1027">
        <v>601</v>
      </c>
      <c r="AN1027">
        <v>44</v>
      </c>
      <c r="AO1027" t="s">
        <v>78</v>
      </c>
      <c r="AP1027">
        <v>1</v>
      </c>
      <c r="AR1027" t="s">
        <v>1112</v>
      </c>
      <c r="AS1027" s="1">
        <v>44354.177083333336</v>
      </c>
      <c r="AT1027" s="1">
        <v>44354.180451388886</v>
      </c>
      <c r="AU1027" s="1">
        <v>44354.183923611112</v>
      </c>
      <c r="AV1027" t="s">
        <v>71</v>
      </c>
      <c r="AW1027" t="s">
        <v>72</v>
      </c>
      <c r="AX1027" t="s">
        <v>73</v>
      </c>
    </row>
    <row r="1028" spans="1:50" x14ac:dyDescent="0.3">
      <c r="A1028" t="str">
        <f>"201554E0100"</f>
        <v>201554E0100</v>
      </c>
      <c r="B1028" t="str">
        <f>"201554E01002"</f>
        <v>201554E01002</v>
      </c>
      <c r="C1028" t="str">
        <f t="shared" si="43"/>
        <v>20</v>
      </c>
      <c r="D1028" t="s">
        <v>67</v>
      </c>
      <c r="E1028" t="str">
        <f t="shared" si="44"/>
        <v>005</v>
      </c>
      <c r="F1028" t="s">
        <v>962</v>
      </c>
      <c r="G1028" t="str">
        <f>"1554"</f>
        <v>1554</v>
      </c>
      <c r="H1028" t="str">
        <f>"0001"</f>
        <v>0001</v>
      </c>
      <c r="I1028" t="s">
        <v>109</v>
      </c>
      <c r="J1028">
        <v>0</v>
      </c>
      <c r="K1028">
        <v>1</v>
      </c>
      <c r="L1028">
        <v>2</v>
      </c>
      <c r="M1028">
        <v>122</v>
      </c>
      <c r="N1028">
        <v>275</v>
      </c>
      <c r="O1028">
        <v>4</v>
      </c>
      <c r="P1028">
        <v>275</v>
      </c>
      <c r="Q1028">
        <v>4</v>
      </c>
      <c r="R1028">
        <v>9</v>
      </c>
      <c r="S1028">
        <v>6</v>
      </c>
      <c r="T1028">
        <v>4</v>
      </c>
      <c r="U1028">
        <v>3</v>
      </c>
      <c r="V1028">
        <v>6</v>
      </c>
      <c r="W1028">
        <v>5</v>
      </c>
      <c r="X1028">
        <v>219</v>
      </c>
      <c r="Y1028">
        <v>2</v>
      </c>
      <c r="Z1028">
        <v>1</v>
      </c>
      <c r="AA1028">
        <v>3</v>
      </c>
      <c r="AB1028">
        <v>2</v>
      </c>
      <c r="AD1028">
        <v>1</v>
      </c>
      <c r="AE1028">
        <v>0</v>
      </c>
      <c r="AF1028">
        <v>0</v>
      </c>
      <c r="AG1028">
        <v>0</v>
      </c>
      <c r="AI1028">
        <v>0</v>
      </c>
      <c r="AJ1028">
        <v>10</v>
      </c>
      <c r="AK1028">
        <v>275</v>
      </c>
      <c r="AL1028">
        <v>275</v>
      </c>
      <c r="AM1028">
        <v>353</v>
      </c>
      <c r="AN1028">
        <v>44</v>
      </c>
      <c r="AP1028">
        <v>1</v>
      </c>
      <c r="AR1028" t="s">
        <v>1113</v>
      </c>
      <c r="AS1028" s="1">
        <v>44354.175694444442</v>
      </c>
      <c r="AT1028" s="1">
        <v>44354.178715277776</v>
      </c>
      <c r="AU1028" s="1">
        <v>44354.179155092592</v>
      </c>
      <c r="AV1028" t="s">
        <v>71</v>
      </c>
      <c r="AW1028" t="s">
        <v>72</v>
      </c>
      <c r="AX1028" t="s">
        <v>73</v>
      </c>
    </row>
    <row r="1029" spans="1:50" x14ac:dyDescent="0.3">
      <c r="A1029" t="str">
        <f>"201558B0000"</f>
        <v>201558B0000</v>
      </c>
      <c r="B1029" t="str">
        <f>"201558B00002"</f>
        <v>201558B00002</v>
      </c>
      <c r="C1029" t="str">
        <f t="shared" si="43"/>
        <v>20</v>
      </c>
      <c r="D1029" t="s">
        <v>67</v>
      </c>
      <c r="E1029" t="str">
        <f t="shared" si="44"/>
        <v>005</v>
      </c>
      <c r="F1029" t="s">
        <v>962</v>
      </c>
      <c r="G1029" t="str">
        <f>"1558"</f>
        <v>1558</v>
      </c>
      <c r="H1029" t="str">
        <f>"0000"</f>
        <v>0000</v>
      </c>
      <c r="I1029" t="s">
        <v>69</v>
      </c>
      <c r="J1029">
        <v>0</v>
      </c>
      <c r="K1029">
        <v>1</v>
      </c>
      <c r="L1029">
        <v>2</v>
      </c>
      <c r="M1029">
        <v>231</v>
      </c>
      <c r="N1029">
        <v>135</v>
      </c>
      <c r="O1029">
        <v>0</v>
      </c>
      <c r="P1029">
        <v>135</v>
      </c>
      <c r="Q1029">
        <v>0</v>
      </c>
      <c r="R1029">
        <v>16</v>
      </c>
      <c r="S1029">
        <v>1</v>
      </c>
      <c r="T1029">
        <v>5</v>
      </c>
      <c r="U1029">
        <v>13</v>
      </c>
      <c r="V1029">
        <v>1</v>
      </c>
      <c r="W1029">
        <v>6</v>
      </c>
      <c r="X1029">
        <v>67</v>
      </c>
      <c r="Y1029">
        <v>5</v>
      </c>
      <c r="Z1029">
        <v>5</v>
      </c>
      <c r="AA1029">
        <v>3</v>
      </c>
      <c r="AB1029">
        <v>0</v>
      </c>
      <c r="AD1029">
        <v>0</v>
      </c>
      <c r="AE1029">
        <v>0</v>
      </c>
      <c r="AF1029">
        <v>0</v>
      </c>
      <c r="AG1029">
        <v>0</v>
      </c>
      <c r="AI1029">
        <v>0</v>
      </c>
      <c r="AJ1029">
        <v>13</v>
      </c>
      <c r="AK1029">
        <v>135</v>
      </c>
      <c r="AL1029">
        <v>135</v>
      </c>
      <c r="AM1029">
        <v>322</v>
      </c>
      <c r="AN1029">
        <v>44</v>
      </c>
      <c r="AP1029">
        <v>1</v>
      </c>
      <c r="AR1029" t="s">
        <v>1114</v>
      </c>
      <c r="AS1029" s="1">
        <v>44354.0625</v>
      </c>
      <c r="AT1029" s="1">
        <v>44354.069224537037</v>
      </c>
      <c r="AU1029" s="1">
        <v>44354.069421296299</v>
      </c>
      <c r="AV1029" t="s">
        <v>71</v>
      </c>
      <c r="AW1029" t="s">
        <v>72</v>
      </c>
      <c r="AX1029" t="s">
        <v>73</v>
      </c>
    </row>
    <row r="1030" spans="1:50" x14ac:dyDescent="0.3">
      <c r="A1030" t="str">
        <f>"201559B0000"</f>
        <v>201559B0000</v>
      </c>
      <c r="B1030" t="str">
        <f>"201559B00002"</f>
        <v>201559B00002</v>
      </c>
      <c r="C1030" t="str">
        <f t="shared" si="43"/>
        <v>20</v>
      </c>
      <c r="D1030" t="s">
        <v>67</v>
      </c>
      <c r="E1030" t="str">
        <f t="shared" si="44"/>
        <v>005</v>
      </c>
      <c r="F1030" t="s">
        <v>962</v>
      </c>
      <c r="G1030" t="str">
        <f>"1559"</f>
        <v>1559</v>
      </c>
      <c r="H1030" t="str">
        <f>"0000"</f>
        <v>0000</v>
      </c>
      <c r="I1030" t="s">
        <v>69</v>
      </c>
      <c r="J1030">
        <v>0</v>
      </c>
      <c r="K1030">
        <v>1</v>
      </c>
      <c r="L1030">
        <v>2</v>
      </c>
      <c r="M1030">
        <v>230</v>
      </c>
      <c r="N1030">
        <v>149</v>
      </c>
      <c r="O1030">
        <v>0</v>
      </c>
      <c r="P1030">
        <v>149</v>
      </c>
      <c r="Q1030">
        <v>3</v>
      </c>
      <c r="R1030">
        <v>7</v>
      </c>
      <c r="S1030">
        <v>2</v>
      </c>
      <c r="T1030">
        <v>4</v>
      </c>
      <c r="U1030">
        <v>11</v>
      </c>
      <c r="V1030">
        <v>0</v>
      </c>
      <c r="W1030">
        <v>54</v>
      </c>
      <c r="X1030">
        <v>41</v>
      </c>
      <c r="Y1030">
        <v>17</v>
      </c>
      <c r="Z1030">
        <v>0</v>
      </c>
      <c r="AA1030">
        <v>1</v>
      </c>
      <c r="AB1030">
        <v>1</v>
      </c>
      <c r="AD1030">
        <v>0</v>
      </c>
      <c r="AE1030">
        <v>0</v>
      </c>
      <c r="AF1030">
        <v>0</v>
      </c>
      <c r="AG1030">
        <v>0</v>
      </c>
      <c r="AI1030">
        <v>0</v>
      </c>
      <c r="AJ1030">
        <v>8</v>
      </c>
      <c r="AK1030">
        <v>149</v>
      </c>
      <c r="AL1030">
        <v>149</v>
      </c>
      <c r="AM1030">
        <v>335</v>
      </c>
      <c r="AN1030">
        <v>44</v>
      </c>
      <c r="AP1030">
        <v>1</v>
      </c>
      <c r="AR1030" s="2" t="s">
        <v>1115</v>
      </c>
      <c r="AS1030" s="1">
        <v>44354.063888888886</v>
      </c>
      <c r="AT1030" s="1">
        <v>44354.069861111115</v>
      </c>
      <c r="AU1030" s="1">
        <v>44354.070335648146</v>
      </c>
      <c r="AV1030" t="s">
        <v>71</v>
      </c>
      <c r="AW1030" t="s">
        <v>72</v>
      </c>
      <c r="AX1030" t="s">
        <v>73</v>
      </c>
    </row>
    <row r="1031" spans="1:50" x14ac:dyDescent="0.3">
      <c r="A1031" t="str">
        <f>"201560B0000"</f>
        <v>201560B0000</v>
      </c>
      <c r="B1031" t="str">
        <f>"201560B00002"</f>
        <v>201560B00002</v>
      </c>
      <c r="C1031" t="str">
        <f t="shared" ref="C1031:C1094" si="46">"20"</f>
        <v>20</v>
      </c>
      <c r="D1031" t="s">
        <v>67</v>
      </c>
      <c r="E1031" t="str">
        <f t="shared" si="44"/>
        <v>005</v>
      </c>
      <c r="F1031" t="s">
        <v>962</v>
      </c>
      <c r="G1031" t="str">
        <f>"1560"</f>
        <v>1560</v>
      </c>
      <c r="H1031" t="str">
        <f>"0000"</f>
        <v>0000</v>
      </c>
      <c r="I1031" t="s">
        <v>69</v>
      </c>
      <c r="J1031">
        <v>0</v>
      </c>
      <c r="K1031">
        <v>1</v>
      </c>
      <c r="L1031">
        <v>2</v>
      </c>
      <c r="M1031">
        <v>93</v>
      </c>
      <c r="N1031">
        <v>98</v>
      </c>
      <c r="O1031">
        <v>1</v>
      </c>
      <c r="P1031">
        <v>98</v>
      </c>
      <c r="Q1031">
        <v>1</v>
      </c>
      <c r="R1031">
        <v>15</v>
      </c>
      <c r="S1031">
        <v>0</v>
      </c>
      <c r="T1031">
        <v>2</v>
      </c>
      <c r="U1031">
        <v>3</v>
      </c>
      <c r="V1031">
        <v>0</v>
      </c>
      <c r="W1031">
        <v>28</v>
      </c>
      <c r="X1031">
        <v>37</v>
      </c>
      <c r="Y1031">
        <v>2</v>
      </c>
      <c r="Z1031">
        <v>2</v>
      </c>
      <c r="AA1031">
        <v>0</v>
      </c>
      <c r="AB1031">
        <v>2</v>
      </c>
      <c r="AD1031">
        <v>0</v>
      </c>
      <c r="AE1031">
        <v>0</v>
      </c>
      <c r="AF1031">
        <v>0</v>
      </c>
      <c r="AG1031">
        <v>0</v>
      </c>
      <c r="AI1031">
        <v>0</v>
      </c>
      <c r="AJ1031">
        <v>6</v>
      </c>
      <c r="AK1031">
        <v>98</v>
      </c>
      <c r="AL1031">
        <v>98</v>
      </c>
      <c r="AM1031">
        <v>147</v>
      </c>
      <c r="AN1031">
        <v>44</v>
      </c>
      <c r="AP1031">
        <v>1</v>
      </c>
      <c r="AR1031" t="s">
        <v>1116</v>
      </c>
      <c r="AS1031" s="1">
        <v>44354.05972222222</v>
      </c>
      <c r="AT1031" s="1">
        <v>44354.067361111112</v>
      </c>
      <c r="AU1031" s="1">
        <v>44354.068101851852</v>
      </c>
      <c r="AV1031" t="s">
        <v>71</v>
      </c>
      <c r="AW1031" t="s">
        <v>72</v>
      </c>
      <c r="AX1031" t="s">
        <v>73</v>
      </c>
    </row>
    <row r="1032" spans="1:50" x14ac:dyDescent="0.3">
      <c r="A1032" t="str">
        <f>"201560E0100"</f>
        <v>201560E0100</v>
      </c>
      <c r="B1032" t="str">
        <f>"201560E01002"</f>
        <v>201560E01002</v>
      </c>
      <c r="C1032" t="str">
        <f t="shared" si="46"/>
        <v>20</v>
      </c>
      <c r="D1032" t="s">
        <v>67</v>
      </c>
      <c r="E1032" t="str">
        <f t="shared" si="44"/>
        <v>005</v>
      </c>
      <c r="F1032" t="s">
        <v>962</v>
      </c>
      <c r="G1032" t="str">
        <f>"1560"</f>
        <v>1560</v>
      </c>
      <c r="H1032" t="str">
        <f>"0001"</f>
        <v>0001</v>
      </c>
      <c r="I1032" t="s">
        <v>109</v>
      </c>
      <c r="J1032">
        <v>0</v>
      </c>
      <c r="K1032">
        <v>1</v>
      </c>
      <c r="L1032">
        <v>2</v>
      </c>
      <c r="M1032">
        <v>86</v>
      </c>
      <c r="N1032">
        <v>105</v>
      </c>
      <c r="O1032">
        <v>4</v>
      </c>
      <c r="P1032">
        <v>105</v>
      </c>
      <c r="Q1032">
        <v>2</v>
      </c>
      <c r="R1032">
        <v>6</v>
      </c>
      <c r="S1032">
        <v>1</v>
      </c>
      <c r="T1032">
        <v>1</v>
      </c>
      <c r="U1032">
        <v>7</v>
      </c>
      <c r="V1032">
        <v>3</v>
      </c>
      <c r="W1032">
        <v>2</v>
      </c>
      <c r="X1032">
        <v>77</v>
      </c>
      <c r="Y1032">
        <v>1</v>
      </c>
      <c r="Z1032">
        <v>0</v>
      </c>
      <c r="AA1032">
        <v>1</v>
      </c>
      <c r="AB1032">
        <v>0</v>
      </c>
      <c r="AD1032">
        <v>0</v>
      </c>
      <c r="AE1032">
        <v>0</v>
      </c>
      <c r="AF1032">
        <v>0</v>
      </c>
      <c r="AG1032">
        <v>0</v>
      </c>
      <c r="AI1032">
        <v>0</v>
      </c>
      <c r="AJ1032">
        <v>4</v>
      </c>
      <c r="AK1032">
        <v>105</v>
      </c>
      <c r="AL1032">
        <v>105</v>
      </c>
      <c r="AM1032">
        <v>147</v>
      </c>
      <c r="AN1032">
        <v>44</v>
      </c>
      <c r="AP1032">
        <v>1</v>
      </c>
      <c r="AR1032" t="s">
        <v>1117</v>
      </c>
      <c r="AS1032" s="1">
        <v>44354.042361111111</v>
      </c>
      <c r="AT1032" s="1">
        <v>44354.051388888889</v>
      </c>
      <c r="AU1032" s="1">
        <v>44354.052615740744</v>
      </c>
      <c r="AV1032" t="s">
        <v>71</v>
      </c>
      <c r="AW1032" t="s">
        <v>72</v>
      </c>
      <c r="AX1032" t="s">
        <v>73</v>
      </c>
    </row>
    <row r="1033" spans="1:50" x14ac:dyDescent="0.3">
      <c r="A1033" t="str">
        <f>"201589B0000"</f>
        <v>201589B0000</v>
      </c>
      <c r="B1033" t="str">
        <f>"201589B00002"</f>
        <v>201589B00002</v>
      </c>
      <c r="C1033" t="str">
        <f t="shared" si="46"/>
        <v>20</v>
      </c>
      <c r="D1033" t="s">
        <v>67</v>
      </c>
      <c r="E1033" t="str">
        <f t="shared" si="44"/>
        <v>005</v>
      </c>
      <c r="F1033" t="s">
        <v>962</v>
      </c>
      <c r="G1033" t="str">
        <f>"1589"</f>
        <v>1589</v>
      </c>
      <c r="H1033" t="str">
        <f>"0000"</f>
        <v>0000</v>
      </c>
      <c r="I1033" t="s">
        <v>69</v>
      </c>
      <c r="J1033">
        <v>0</v>
      </c>
      <c r="K1033">
        <v>1</v>
      </c>
      <c r="L1033">
        <v>2</v>
      </c>
      <c r="M1033">
        <v>161</v>
      </c>
      <c r="N1033">
        <v>302</v>
      </c>
      <c r="O1033">
        <v>9</v>
      </c>
      <c r="P1033">
        <v>302</v>
      </c>
      <c r="Q1033">
        <v>2</v>
      </c>
      <c r="R1033">
        <v>40</v>
      </c>
      <c r="S1033">
        <v>2</v>
      </c>
      <c r="T1033">
        <v>5</v>
      </c>
      <c r="U1033">
        <v>25</v>
      </c>
      <c r="V1033">
        <v>15</v>
      </c>
      <c r="W1033">
        <v>0</v>
      </c>
      <c r="X1033">
        <v>154</v>
      </c>
      <c r="Y1033">
        <v>0</v>
      </c>
      <c r="Z1033">
        <v>5</v>
      </c>
      <c r="AA1033">
        <v>0</v>
      </c>
      <c r="AB1033">
        <v>34</v>
      </c>
      <c r="AD1033">
        <v>0</v>
      </c>
      <c r="AE1033">
        <v>0</v>
      </c>
      <c r="AF1033">
        <v>0</v>
      </c>
      <c r="AG1033">
        <v>0</v>
      </c>
      <c r="AI1033">
        <v>0</v>
      </c>
      <c r="AJ1033">
        <v>20</v>
      </c>
      <c r="AK1033">
        <v>302</v>
      </c>
      <c r="AL1033">
        <v>302</v>
      </c>
      <c r="AM1033">
        <v>419</v>
      </c>
      <c r="AN1033">
        <v>44</v>
      </c>
      <c r="AP1033">
        <v>1</v>
      </c>
      <c r="AR1033" t="s">
        <v>1118</v>
      </c>
      <c r="AS1033" s="1">
        <v>44354.21875</v>
      </c>
      <c r="AT1033" s="1">
        <v>44354.221851851849</v>
      </c>
      <c r="AU1033" s="1">
        <v>44354.222511574073</v>
      </c>
      <c r="AV1033" t="s">
        <v>71</v>
      </c>
      <c r="AW1033" t="s">
        <v>72</v>
      </c>
      <c r="AX1033" t="s">
        <v>73</v>
      </c>
    </row>
    <row r="1034" spans="1:50" x14ac:dyDescent="0.3">
      <c r="A1034" t="str">
        <f>"201589C0100"</f>
        <v>201589C0100</v>
      </c>
      <c r="B1034" t="str">
        <f>"201589C01002"</f>
        <v>201589C01002</v>
      </c>
      <c r="C1034" t="str">
        <f t="shared" si="46"/>
        <v>20</v>
      </c>
      <c r="D1034" t="s">
        <v>67</v>
      </c>
      <c r="E1034" t="str">
        <f t="shared" si="44"/>
        <v>005</v>
      </c>
      <c r="F1034" t="s">
        <v>962</v>
      </c>
      <c r="G1034" t="str">
        <f>"1589"</f>
        <v>1589</v>
      </c>
      <c r="H1034" t="str">
        <f>"0001"</f>
        <v>0001</v>
      </c>
      <c r="I1034" t="s">
        <v>75</v>
      </c>
      <c r="J1034">
        <v>0</v>
      </c>
      <c r="K1034">
        <v>1</v>
      </c>
      <c r="L1034">
        <v>2</v>
      </c>
      <c r="M1034">
        <v>187</v>
      </c>
      <c r="N1034">
        <v>275</v>
      </c>
      <c r="O1034">
        <v>0</v>
      </c>
      <c r="P1034">
        <v>275</v>
      </c>
      <c r="Q1034">
        <v>3</v>
      </c>
      <c r="R1034">
        <v>38</v>
      </c>
      <c r="S1034">
        <v>2</v>
      </c>
      <c r="T1034">
        <v>1</v>
      </c>
      <c r="U1034">
        <v>22</v>
      </c>
      <c r="V1034">
        <v>21</v>
      </c>
      <c r="W1034">
        <v>2</v>
      </c>
      <c r="X1034">
        <v>128</v>
      </c>
      <c r="Y1034">
        <v>0</v>
      </c>
      <c r="Z1034">
        <v>4</v>
      </c>
      <c r="AA1034">
        <v>1</v>
      </c>
      <c r="AB1034">
        <v>30</v>
      </c>
      <c r="AD1034">
        <v>0</v>
      </c>
      <c r="AE1034">
        <v>0</v>
      </c>
      <c r="AF1034">
        <v>0</v>
      </c>
      <c r="AG1034">
        <v>0</v>
      </c>
      <c r="AI1034">
        <v>0</v>
      </c>
      <c r="AJ1034">
        <v>23</v>
      </c>
      <c r="AK1034">
        <v>275</v>
      </c>
      <c r="AL1034">
        <v>275</v>
      </c>
      <c r="AM1034">
        <v>418</v>
      </c>
      <c r="AN1034">
        <v>44</v>
      </c>
      <c r="AP1034">
        <v>1</v>
      </c>
      <c r="AR1034" t="s">
        <v>1119</v>
      </c>
      <c r="AS1034" s="1">
        <v>44354.218055555553</v>
      </c>
      <c r="AT1034" s="1">
        <v>44354.225069444445</v>
      </c>
      <c r="AU1034" s="1">
        <v>44354.22583333333</v>
      </c>
      <c r="AV1034" t="s">
        <v>71</v>
      </c>
      <c r="AW1034" t="s">
        <v>72</v>
      </c>
      <c r="AX1034" t="s">
        <v>73</v>
      </c>
    </row>
    <row r="1035" spans="1:50" x14ac:dyDescent="0.3">
      <c r="A1035" t="str">
        <f>"201589E0100"</f>
        <v>201589E0100</v>
      </c>
      <c r="B1035" t="str">
        <f>"201589E01002"</f>
        <v>201589E01002</v>
      </c>
      <c r="C1035" t="str">
        <f t="shared" si="46"/>
        <v>20</v>
      </c>
      <c r="D1035" t="s">
        <v>67</v>
      </c>
      <c r="E1035" t="str">
        <f t="shared" si="44"/>
        <v>005</v>
      </c>
      <c r="F1035" t="s">
        <v>962</v>
      </c>
      <c r="G1035" t="str">
        <f>"1589"</f>
        <v>1589</v>
      </c>
      <c r="H1035" t="str">
        <f>"0001"</f>
        <v>0001</v>
      </c>
      <c r="I1035" t="s">
        <v>109</v>
      </c>
      <c r="J1035">
        <v>0</v>
      </c>
      <c r="K1035">
        <v>1</v>
      </c>
      <c r="L1035">
        <v>2</v>
      </c>
      <c r="M1035">
        <v>149</v>
      </c>
      <c r="N1035">
        <v>315</v>
      </c>
      <c r="O1035">
        <v>7</v>
      </c>
      <c r="P1035">
        <v>315</v>
      </c>
      <c r="Q1035">
        <v>3</v>
      </c>
      <c r="R1035">
        <v>46</v>
      </c>
      <c r="S1035">
        <v>8</v>
      </c>
      <c r="T1035">
        <v>1</v>
      </c>
      <c r="U1035">
        <v>18</v>
      </c>
      <c r="V1035">
        <v>16</v>
      </c>
      <c r="W1035">
        <v>3</v>
      </c>
      <c r="X1035">
        <v>164</v>
      </c>
      <c r="Y1035">
        <v>6</v>
      </c>
      <c r="Z1035">
        <v>0</v>
      </c>
      <c r="AA1035">
        <v>0</v>
      </c>
      <c r="AB1035">
        <v>32</v>
      </c>
      <c r="AD1035">
        <v>1</v>
      </c>
      <c r="AE1035">
        <v>0</v>
      </c>
      <c r="AF1035">
        <v>0</v>
      </c>
      <c r="AG1035">
        <v>0</v>
      </c>
      <c r="AI1035">
        <v>2</v>
      </c>
      <c r="AJ1035">
        <v>15</v>
      </c>
      <c r="AK1035">
        <v>315</v>
      </c>
      <c r="AL1035">
        <v>315</v>
      </c>
      <c r="AM1035">
        <v>420</v>
      </c>
      <c r="AN1035">
        <v>44</v>
      </c>
      <c r="AP1035">
        <v>1</v>
      </c>
      <c r="AR1035" t="s">
        <v>1120</v>
      </c>
      <c r="AS1035" s="1">
        <v>44354.21875</v>
      </c>
      <c r="AT1035" s="1">
        <v>44354.222349537034</v>
      </c>
      <c r="AU1035" s="1">
        <v>44354.222893518519</v>
      </c>
      <c r="AV1035" t="s">
        <v>71</v>
      </c>
      <c r="AW1035" t="s">
        <v>72</v>
      </c>
      <c r="AX1035" t="s">
        <v>73</v>
      </c>
    </row>
    <row r="1036" spans="1:50" x14ac:dyDescent="0.3">
      <c r="A1036" t="str">
        <f>"201589S0100"</f>
        <v>201589S0100</v>
      </c>
      <c r="B1036" t="str">
        <f>"201589S01002EMR"</f>
        <v>201589S01002EMR</v>
      </c>
      <c r="C1036" t="str">
        <f t="shared" si="46"/>
        <v>20</v>
      </c>
      <c r="D1036" t="s">
        <v>67</v>
      </c>
      <c r="E1036" t="str">
        <f t="shared" si="44"/>
        <v>005</v>
      </c>
      <c r="F1036" t="s">
        <v>962</v>
      </c>
      <c r="G1036" t="str">
        <f>"1589"</f>
        <v>1589</v>
      </c>
      <c r="H1036" t="str">
        <f>"0001"</f>
        <v>0001</v>
      </c>
      <c r="I1036" t="s">
        <v>85</v>
      </c>
      <c r="J1036">
        <v>0</v>
      </c>
      <c r="K1036">
        <v>1</v>
      </c>
      <c r="L1036" t="s">
        <v>86</v>
      </c>
      <c r="M1036">
        <v>906</v>
      </c>
      <c r="N1036">
        <v>35</v>
      </c>
      <c r="O1036">
        <v>0</v>
      </c>
      <c r="P1036">
        <v>35</v>
      </c>
      <c r="Q1036">
        <v>0</v>
      </c>
      <c r="R1036">
        <v>7</v>
      </c>
      <c r="S1036">
        <v>1</v>
      </c>
      <c r="T1036">
        <v>0</v>
      </c>
      <c r="U1036">
        <v>1</v>
      </c>
      <c r="V1036">
        <v>0</v>
      </c>
      <c r="W1036">
        <v>0</v>
      </c>
      <c r="X1036">
        <v>19</v>
      </c>
      <c r="Y1036">
        <v>0</v>
      </c>
      <c r="Z1036">
        <v>0</v>
      </c>
      <c r="AA1036">
        <v>0</v>
      </c>
      <c r="AB1036">
        <v>5</v>
      </c>
      <c r="AD1036">
        <v>1</v>
      </c>
      <c r="AE1036">
        <v>0</v>
      </c>
      <c r="AF1036">
        <v>0</v>
      </c>
      <c r="AG1036">
        <v>0</v>
      </c>
      <c r="AI1036">
        <v>0</v>
      </c>
      <c r="AJ1036">
        <v>1</v>
      </c>
      <c r="AK1036">
        <v>35</v>
      </c>
      <c r="AL1036">
        <v>35</v>
      </c>
      <c r="AM1036">
        <v>0</v>
      </c>
      <c r="AN1036">
        <v>44</v>
      </c>
      <c r="AP1036">
        <v>1</v>
      </c>
      <c r="AR1036" t="s">
        <v>1121</v>
      </c>
      <c r="AS1036" s="1">
        <v>44354.21875</v>
      </c>
      <c r="AT1036" s="1">
        <v>44354.222326388888</v>
      </c>
      <c r="AU1036" s="1">
        <v>44354.222592592596</v>
      </c>
      <c r="AV1036" t="s">
        <v>71</v>
      </c>
      <c r="AW1036" t="s">
        <v>72</v>
      </c>
      <c r="AX1036" t="s">
        <v>73</v>
      </c>
    </row>
    <row r="1037" spans="1:50" x14ac:dyDescent="0.3">
      <c r="A1037" t="str">
        <f>"201590B0000"</f>
        <v>201590B0000</v>
      </c>
      <c r="B1037" t="str">
        <f>"201590B00002"</f>
        <v>201590B00002</v>
      </c>
      <c r="C1037" t="str">
        <f t="shared" si="46"/>
        <v>20</v>
      </c>
      <c r="D1037" t="s">
        <v>67</v>
      </c>
      <c r="E1037" t="str">
        <f t="shared" si="44"/>
        <v>005</v>
      </c>
      <c r="F1037" t="s">
        <v>962</v>
      </c>
      <c r="G1037" t="str">
        <f>"1590"</f>
        <v>1590</v>
      </c>
      <c r="H1037" t="str">
        <f>"0000"</f>
        <v>0000</v>
      </c>
      <c r="I1037" t="s">
        <v>69</v>
      </c>
      <c r="J1037">
        <v>0</v>
      </c>
      <c r="K1037">
        <v>1</v>
      </c>
      <c r="L1037">
        <v>2</v>
      </c>
      <c r="M1037">
        <v>204</v>
      </c>
      <c r="N1037">
        <v>405</v>
      </c>
      <c r="O1037">
        <v>7</v>
      </c>
      <c r="P1037">
        <v>405</v>
      </c>
      <c r="Q1037">
        <v>7</v>
      </c>
      <c r="R1037">
        <v>96</v>
      </c>
      <c r="S1037">
        <v>5</v>
      </c>
      <c r="T1037">
        <v>2</v>
      </c>
      <c r="U1037">
        <v>33</v>
      </c>
      <c r="V1037">
        <v>31</v>
      </c>
      <c r="W1037">
        <v>0</v>
      </c>
      <c r="X1037">
        <v>169</v>
      </c>
      <c r="Y1037">
        <v>3</v>
      </c>
      <c r="Z1037">
        <v>2</v>
      </c>
      <c r="AA1037">
        <v>2</v>
      </c>
      <c r="AB1037">
        <v>40</v>
      </c>
      <c r="AD1037">
        <v>0</v>
      </c>
      <c r="AE1037">
        <v>0</v>
      </c>
      <c r="AF1037">
        <v>0</v>
      </c>
      <c r="AG1037">
        <v>0</v>
      </c>
      <c r="AI1037">
        <v>4</v>
      </c>
      <c r="AJ1037">
        <v>11</v>
      </c>
      <c r="AK1037">
        <v>405</v>
      </c>
      <c r="AL1037">
        <v>405</v>
      </c>
      <c r="AM1037">
        <v>565</v>
      </c>
      <c r="AN1037">
        <v>44</v>
      </c>
      <c r="AP1037">
        <v>1</v>
      </c>
      <c r="AR1037" t="s">
        <v>1122</v>
      </c>
      <c r="AS1037" s="1">
        <v>44354.14166666667</v>
      </c>
      <c r="AT1037" s="1">
        <v>44354.144409722219</v>
      </c>
      <c r="AU1037" s="1">
        <v>44354.145300925928</v>
      </c>
      <c r="AV1037" t="s">
        <v>71</v>
      </c>
      <c r="AW1037" t="s">
        <v>72</v>
      </c>
      <c r="AX1037" t="s">
        <v>73</v>
      </c>
    </row>
    <row r="1038" spans="1:50" x14ac:dyDescent="0.3">
      <c r="A1038" t="str">
        <f>"201590C0100"</f>
        <v>201590C0100</v>
      </c>
      <c r="B1038" t="str">
        <f>"201590C01002"</f>
        <v>201590C01002</v>
      </c>
      <c r="C1038" t="str">
        <f t="shared" si="46"/>
        <v>20</v>
      </c>
      <c r="D1038" t="s">
        <v>67</v>
      </c>
      <c r="E1038" t="str">
        <f t="shared" si="44"/>
        <v>005</v>
      </c>
      <c r="F1038" t="s">
        <v>962</v>
      </c>
      <c r="G1038" t="str">
        <f>"1590"</f>
        <v>1590</v>
      </c>
      <c r="H1038" t="str">
        <f>"0001"</f>
        <v>0001</v>
      </c>
      <c r="I1038" t="s">
        <v>75</v>
      </c>
      <c r="J1038">
        <v>0</v>
      </c>
      <c r="K1038">
        <v>1</v>
      </c>
      <c r="L1038">
        <v>2</v>
      </c>
      <c r="M1038">
        <v>164</v>
      </c>
      <c r="N1038">
        <v>444</v>
      </c>
      <c r="O1038">
        <v>9</v>
      </c>
      <c r="P1038">
        <v>444</v>
      </c>
      <c r="Q1038">
        <v>2</v>
      </c>
      <c r="R1038">
        <v>97</v>
      </c>
      <c r="S1038">
        <v>2</v>
      </c>
      <c r="T1038">
        <v>4</v>
      </c>
      <c r="U1038">
        <v>39</v>
      </c>
      <c r="V1038">
        <v>42</v>
      </c>
      <c r="W1038">
        <v>2</v>
      </c>
      <c r="X1038">
        <v>191</v>
      </c>
      <c r="Y1038">
        <v>9</v>
      </c>
      <c r="Z1038">
        <v>3</v>
      </c>
      <c r="AA1038">
        <v>1</v>
      </c>
      <c r="AB1038">
        <v>34</v>
      </c>
      <c r="AD1038">
        <v>4</v>
      </c>
      <c r="AE1038">
        <v>0</v>
      </c>
      <c r="AF1038">
        <v>0</v>
      </c>
      <c r="AG1038">
        <v>0</v>
      </c>
      <c r="AI1038">
        <v>0</v>
      </c>
      <c r="AJ1038">
        <v>14</v>
      </c>
      <c r="AK1038">
        <v>444</v>
      </c>
      <c r="AL1038">
        <v>444</v>
      </c>
      <c r="AM1038">
        <v>564</v>
      </c>
      <c r="AN1038">
        <v>44</v>
      </c>
      <c r="AP1038">
        <v>1</v>
      </c>
      <c r="AR1038" t="s">
        <v>1123</v>
      </c>
      <c r="AS1038" s="1">
        <v>44354.140972222223</v>
      </c>
      <c r="AT1038" s="1">
        <v>44354.144108796296</v>
      </c>
      <c r="AU1038" s="1">
        <v>44354.145300925928</v>
      </c>
      <c r="AV1038" t="s">
        <v>71</v>
      </c>
      <c r="AW1038" t="s">
        <v>72</v>
      </c>
      <c r="AX1038" t="s">
        <v>73</v>
      </c>
    </row>
    <row r="1039" spans="1:50" x14ac:dyDescent="0.3">
      <c r="A1039" t="str">
        <f>"201591B0000"</f>
        <v>201591B0000</v>
      </c>
      <c r="B1039" t="str">
        <f>"201591B00002"</f>
        <v>201591B00002</v>
      </c>
      <c r="C1039" t="str">
        <f t="shared" si="46"/>
        <v>20</v>
      </c>
      <c r="D1039" t="s">
        <v>67</v>
      </c>
      <c r="E1039" t="str">
        <f t="shared" si="44"/>
        <v>005</v>
      </c>
      <c r="F1039" t="s">
        <v>962</v>
      </c>
      <c r="G1039" t="str">
        <f>"1591"</f>
        <v>1591</v>
      </c>
      <c r="H1039" t="str">
        <f t="shared" ref="H1039:H1045" si="47">"0000"</f>
        <v>0000</v>
      </c>
      <c r="I1039" t="s">
        <v>69</v>
      </c>
      <c r="J1039">
        <v>0</v>
      </c>
      <c r="K1039">
        <v>1</v>
      </c>
      <c r="L1039">
        <v>2</v>
      </c>
      <c r="M1039">
        <v>162</v>
      </c>
      <c r="N1039">
        <v>223</v>
      </c>
      <c r="O1039">
        <v>10</v>
      </c>
      <c r="P1039">
        <v>223</v>
      </c>
      <c r="Q1039">
        <v>2</v>
      </c>
      <c r="R1039">
        <v>57</v>
      </c>
      <c r="S1039">
        <v>0</v>
      </c>
      <c r="T1039">
        <v>2</v>
      </c>
      <c r="U1039">
        <v>34</v>
      </c>
      <c r="V1039">
        <v>4</v>
      </c>
      <c r="W1039">
        <v>2</v>
      </c>
      <c r="X1039">
        <v>55</v>
      </c>
      <c r="Y1039">
        <v>6</v>
      </c>
      <c r="Z1039">
        <v>5</v>
      </c>
      <c r="AA1039">
        <v>0</v>
      </c>
      <c r="AB1039">
        <v>9</v>
      </c>
      <c r="AD1039">
        <v>0</v>
      </c>
      <c r="AE1039">
        <v>1</v>
      </c>
      <c r="AF1039">
        <v>0</v>
      </c>
      <c r="AG1039">
        <v>0</v>
      </c>
      <c r="AI1039">
        <v>0</v>
      </c>
      <c r="AJ1039">
        <v>46</v>
      </c>
      <c r="AK1039">
        <v>223</v>
      </c>
      <c r="AL1039">
        <v>223</v>
      </c>
      <c r="AM1039">
        <v>341</v>
      </c>
      <c r="AN1039">
        <v>44</v>
      </c>
      <c r="AP1039">
        <v>1</v>
      </c>
      <c r="AR1039" t="s">
        <v>1124</v>
      </c>
      <c r="AS1039" s="1">
        <v>44354.140972222223</v>
      </c>
      <c r="AT1039" s="1">
        <v>44354.143240740741</v>
      </c>
      <c r="AU1039" s="1">
        <v>44354.143831018519</v>
      </c>
      <c r="AV1039" t="s">
        <v>71</v>
      </c>
      <c r="AW1039" t="s">
        <v>72</v>
      </c>
      <c r="AX1039" t="s">
        <v>73</v>
      </c>
    </row>
    <row r="1040" spans="1:50" x14ac:dyDescent="0.3">
      <c r="A1040" t="str">
        <f>"201592B0000"</f>
        <v>201592B0000</v>
      </c>
      <c r="B1040" t="str">
        <f>"201592B00002"</f>
        <v>201592B00002</v>
      </c>
      <c r="C1040" t="str">
        <f t="shared" si="46"/>
        <v>20</v>
      </c>
      <c r="D1040" t="s">
        <v>67</v>
      </c>
      <c r="E1040" t="str">
        <f t="shared" si="44"/>
        <v>005</v>
      </c>
      <c r="F1040" t="s">
        <v>962</v>
      </c>
      <c r="G1040" t="str">
        <f>"1592"</f>
        <v>1592</v>
      </c>
      <c r="H1040" t="str">
        <f t="shared" si="47"/>
        <v>0000</v>
      </c>
      <c r="I1040" t="s">
        <v>69</v>
      </c>
      <c r="J1040">
        <v>0</v>
      </c>
      <c r="K1040">
        <v>1</v>
      </c>
      <c r="L1040">
        <v>2</v>
      </c>
      <c r="M1040">
        <v>208</v>
      </c>
      <c r="N1040">
        <v>623</v>
      </c>
      <c r="O1040">
        <v>7</v>
      </c>
      <c r="P1040" t="s">
        <v>80</v>
      </c>
      <c r="Q1040">
        <v>4</v>
      </c>
      <c r="R1040">
        <v>39</v>
      </c>
      <c r="S1040">
        <v>4</v>
      </c>
      <c r="T1040">
        <v>4</v>
      </c>
      <c r="U1040">
        <v>19</v>
      </c>
      <c r="V1040">
        <v>14</v>
      </c>
      <c r="W1040">
        <v>3</v>
      </c>
      <c r="X1040">
        <v>271</v>
      </c>
      <c r="Y1040">
        <v>4</v>
      </c>
      <c r="Z1040">
        <v>5</v>
      </c>
      <c r="AA1040">
        <v>1</v>
      </c>
      <c r="AB1040">
        <v>28</v>
      </c>
      <c r="AD1040">
        <v>1</v>
      </c>
      <c r="AE1040">
        <v>1</v>
      </c>
      <c r="AF1040" t="s">
        <v>77</v>
      </c>
      <c r="AG1040" t="s">
        <v>77</v>
      </c>
      <c r="AI1040" t="s">
        <v>77</v>
      </c>
      <c r="AJ1040">
        <v>17</v>
      </c>
      <c r="AK1040">
        <v>415</v>
      </c>
      <c r="AL1040">
        <v>415</v>
      </c>
      <c r="AM1040">
        <v>579</v>
      </c>
      <c r="AN1040">
        <v>44</v>
      </c>
      <c r="AO1040" t="s">
        <v>78</v>
      </c>
      <c r="AP1040">
        <v>1</v>
      </c>
      <c r="AR1040" t="s">
        <v>1125</v>
      </c>
      <c r="AS1040" s="1">
        <v>44354.14166666667</v>
      </c>
      <c r="AT1040" s="1">
        <v>44354.145115740743</v>
      </c>
      <c r="AU1040" s="1">
        <v>44354.146157407406</v>
      </c>
      <c r="AV1040" t="s">
        <v>71</v>
      </c>
      <c r="AW1040" t="s">
        <v>72</v>
      </c>
      <c r="AX1040" t="s">
        <v>73</v>
      </c>
    </row>
    <row r="1041" spans="1:50" x14ac:dyDescent="0.3">
      <c r="A1041" t="str">
        <f>"201593B0000"</f>
        <v>201593B0000</v>
      </c>
      <c r="B1041" t="str">
        <f>"201593B00002"</f>
        <v>201593B00002</v>
      </c>
      <c r="C1041" t="str">
        <f t="shared" si="46"/>
        <v>20</v>
      </c>
      <c r="D1041" t="s">
        <v>67</v>
      </c>
      <c r="E1041" t="str">
        <f t="shared" si="44"/>
        <v>005</v>
      </c>
      <c r="F1041" t="s">
        <v>962</v>
      </c>
      <c r="G1041" t="str">
        <f>"1593"</f>
        <v>1593</v>
      </c>
      <c r="H1041" t="str">
        <f t="shared" si="47"/>
        <v>0000</v>
      </c>
      <c r="I1041" t="s">
        <v>69</v>
      </c>
      <c r="J1041">
        <v>0</v>
      </c>
      <c r="K1041">
        <v>1</v>
      </c>
      <c r="L1041">
        <v>2</v>
      </c>
      <c r="M1041">
        <v>59</v>
      </c>
      <c r="N1041">
        <v>52</v>
      </c>
      <c r="O1041">
        <v>2</v>
      </c>
      <c r="P1041">
        <v>52</v>
      </c>
      <c r="Q1041">
        <v>1</v>
      </c>
      <c r="R1041">
        <v>24</v>
      </c>
      <c r="S1041">
        <v>3</v>
      </c>
      <c r="T1041" t="s">
        <v>77</v>
      </c>
      <c r="U1041">
        <v>3</v>
      </c>
      <c r="V1041" t="s">
        <v>77</v>
      </c>
      <c r="W1041" t="s">
        <v>77</v>
      </c>
      <c r="X1041">
        <v>18</v>
      </c>
      <c r="Y1041">
        <v>2</v>
      </c>
      <c r="Z1041" t="s">
        <v>77</v>
      </c>
      <c r="AA1041" t="s">
        <v>77</v>
      </c>
      <c r="AB1041" t="s">
        <v>77</v>
      </c>
      <c r="AD1041" t="s">
        <v>77</v>
      </c>
      <c r="AE1041" t="s">
        <v>77</v>
      </c>
      <c r="AF1041" t="s">
        <v>77</v>
      </c>
      <c r="AG1041" t="s">
        <v>77</v>
      </c>
      <c r="AI1041" t="s">
        <v>77</v>
      </c>
      <c r="AJ1041" t="s">
        <v>77</v>
      </c>
      <c r="AK1041">
        <v>52</v>
      </c>
      <c r="AL1041">
        <v>51</v>
      </c>
      <c r="AM1041">
        <v>67</v>
      </c>
      <c r="AN1041">
        <v>44</v>
      </c>
      <c r="AO1041" t="s">
        <v>78</v>
      </c>
      <c r="AP1041">
        <v>1</v>
      </c>
      <c r="AR1041" t="s">
        <v>1126</v>
      </c>
      <c r="AS1041" s="1">
        <v>44354.059027777781</v>
      </c>
      <c r="AT1041" s="1">
        <v>44354.068240740744</v>
      </c>
      <c r="AU1041" s="1">
        <v>44354.069351851853</v>
      </c>
      <c r="AV1041" t="s">
        <v>71</v>
      </c>
      <c r="AW1041" t="s">
        <v>72</v>
      </c>
      <c r="AX1041" t="s">
        <v>73</v>
      </c>
    </row>
    <row r="1042" spans="1:50" x14ac:dyDescent="0.3">
      <c r="A1042" t="str">
        <f>"201604B0000"</f>
        <v>201604B0000</v>
      </c>
      <c r="B1042" t="str">
        <f>"201604B00002"</f>
        <v>201604B00002</v>
      </c>
      <c r="C1042" t="str">
        <f t="shared" si="46"/>
        <v>20</v>
      </c>
      <c r="D1042" t="s">
        <v>67</v>
      </c>
      <c r="E1042" t="str">
        <f t="shared" si="44"/>
        <v>005</v>
      </c>
      <c r="F1042" t="s">
        <v>962</v>
      </c>
      <c r="G1042" t="str">
        <f>"1604"</f>
        <v>1604</v>
      </c>
      <c r="H1042" t="str">
        <f t="shared" si="47"/>
        <v>0000</v>
      </c>
      <c r="I1042" t="s">
        <v>69</v>
      </c>
      <c r="J1042">
        <v>0</v>
      </c>
      <c r="K1042">
        <v>1</v>
      </c>
      <c r="L1042">
        <v>2</v>
      </c>
      <c r="M1042">
        <v>122</v>
      </c>
      <c r="N1042">
        <v>116</v>
      </c>
      <c r="O1042">
        <v>8</v>
      </c>
      <c r="P1042">
        <v>116</v>
      </c>
      <c r="Q1042">
        <v>2</v>
      </c>
      <c r="R1042">
        <v>33</v>
      </c>
      <c r="S1042">
        <v>0</v>
      </c>
      <c r="T1042">
        <v>1</v>
      </c>
      <c r="U1042">
        <v>0</v>
      </c>
      <c r="V1042">
        <v>0</v>
      </c>
      <c r="W1042">
        <v>0</v>
      </c>
      <c r="X1042">
        <v>52</v>
      </c>
      <c r="Y1042">
        <v>1</v>
      </c>
      <c r="Z1042">
        <v>2</v>
      </c>
      <c r="AA1042">
        <v>1</v>
      </c>
      <c r="AB1042">
        <v>22</v>
      </c>
      <c r="AD1042">
        <v>1</v>
      </c>
      <c r="AE1042">
        <v>0</v>
      </c>
      <c r="AF1042">
        <v>0</v>
      </c>
      <c r="AG1042">
        <v>0</v>
      </c>
      <c r="AI1042">
        <v>0</v>
      </c>
      <c r="AJ1042">
        <v>1</v>
      </c>
      <c r="AK1042">
        <v>116</v>
      </c>
      <c r="AL1042">
        <v>116</v>
      </c>
      <c r="AM1042">
        <v>194</v>
      </c>
      <c r="AN1042">
        <v>44</v>
      </c>
      <c r="AP1042">
        <v>1</v>
      </c>
      <c r="AR1042" t="s">
        <v>1127</v>
      </c>
      <c r="AS1042" s="1">
        <v>44354.136111111111</v>
      </c>
      <c r="AT1042" s="1">
        <v>44354.138958333337</v>
      </c>
      <c r="AU1042" s="1">
        <v>44354.139675925922</v>
      </c>
      <c r="AV1042" t="s">
        <v>71</v>
      </c>
      <c r="AW1042" t="s">
        <v>72</v>
      </c>
      <c r="AX1042" t="s">
        <v>73</v>
      </c>
    </row>
    <row r="1043" spans="1:50" x14ac:dyDescent="0.3">
      <c r="A1043" t="str">
        <f>"201640B0000"</f>
        <v>201640B0000</v>
      </c>
      <c r="B1043" t="str">
        <f>"201640B00002"</f>
        <v>201640B00002</v>
      </c>
      <c r="C1043" t="str">
        <f t="shared" si="46"/>
        <v>20</v>
      </c>
      <c r="D1043" t="s">
        <v>67</v>
      </c>
      <c r="E1043" t="str">
        <f t="shared" si="44"/>
        <v>005</v>
      </c>
      <c r="F1043" t="s">
        <v>962</v>
      </c>
      <c r="G1043" t="str">
        <f>"1640"</f>
        <v>1640</v>
      </c>
      <c r="H1043" t="str">
        <f t="shared" si="47"/>
        <v>0000</v>
      </c>
      <c r="I1043" t="s">
        <v>69</v>
      </c>
      <c r="J1043">
        <v>0</v>
      </c>
      <c r="K1043">
        <v>1</v>
      </c>
      <c r="L1043">
        <v>2</v>
      </c>
      <c r="M1043">
        <v>219</v>
      </c>
      <c r="N1043">
        <v>202</v>
      </c>
      <c r="O1043">
        <v>6</v>
      </c>
      <c r="P1043">
        <v>202</v>
      </c>
      <c r="Q1043">
        <v>16</v>
      </c>
      <c r="R1043">
        <v>70</v>
      </c>
      <c r="S1043">
        <v>2</v>
      </c>
      <c r="T1043">
        <v>2</v>
      </c>
      <c r="U1043">
        <v>0</v>
      </c>
      <c r="V1043">
        <v>5</v>
      </c>
      <c r="W1043">
        <v>1</v>
      </c>
      <c r="X1043">
        <v>96</v>
      </c>
      <c r="Y1043">
        <v>0</v>
      </c>
      <c r="Z1043">
        <v>2</v>
      </c>
      <c r="AA1043">
        <v>0</v>
      </c>
      <c r="AB1043">
        <v>3</v>
      </c>
      <c r="AD1043">
        <v>0</v>
      </c>
      <c r="AE1043">
        <v>0</v>
      </c>
      <c r="AF1043">
        <v>0</v>
      </c>
      <c r="AG1043">
        <v>0</v>
      </c>
      <c r="AI1043">
        <v>0</v>
      </c>
      <c r="AJ1043">
        <v>5</v>
      </c>
      <c r="AK1043">
        <v>202</v>
      </c>
      <c r="AL1043">
        <v>202</v>
      </c>
      <c r="AM1043">
        <v>377</v>
      </c>
      <c r="AN1043">
        <v>44</v>
      </c>
      <c r="AP1043">
        <v>1</v>
      </c>
      <c r="AR1043" t="s">
        <v>1128</v>
      </c>
      <c r="AS1043" s="1">
        <v>44354.136805555558</v>
      </c>
      <c r="AT1043" s="1">
        <v>44354.139675925922</v>
      </c>
      <c r="AU1043" s="1">
        <v>44354.140069444446</v>
      </c>
      <c r="AV1043" t="s">
        <v>71</v>
      </c>
      <c r="AW1043" t="s">
        <v>72</v>
      </c>
      <c r="AX1043" t="s">
        <v>73</v>
      </c>
    </row>
    <row r="1044" spans="1:50" x14ac:dyDescent="0.3">
      <c r="A1044" t="str">
        <f>"201743B0000"</f>
        <v>201743B0000</v>
      </c>
      <c r="B1044" t="str">
        <f>"201743B00002"</f>
        <v>201743B00002</v>
      </c>
      <c r="C1044" t="str">
        <f t="shared" si="46"/>
        <v>20</v>
      </c>
      <c r="D1044" t="s">
        <v>67</v>
      </c>
      <c r="E1044" t="str">
        <f t="shared" si="44"/>
        <v>005</v>
      </c>
      <c r="F1044" t="s">
        <v>962</v>
      </c>
      <c r="G1044" t="str">
        <f>"1743"</f>
        <v>1743</v>
      </c>
      <c r="H1044" t="str">
        <f t="shared" si="47"/>
        <v>0000</v>
      </c>
      <c r="I1044" t="s">
        <v>69</v>
      </c>
      <c r="J1044">
        <v>0</v>
      </c>
      <c r="K1044">
        <v>1</v>
      </c>
      <c r="L1044">
        <v>2</v>
      </c>
      <c r="M1044">
        <v>273</v>
      </c>
      <c r="N1044">
        <v>224</v>
      </c>
      <c r="O1044">
        <v>0</v>
      </c>
      <c r="P1044">
        <v>224</v>
      </c>
      <c r="Q1044">
        <v>6</v>
      </c>
      <c r="R1044">
        <v>109</v>
      </c>
      <c r="S1044">
        <v>5</v>
      </c>
      <c r="T1044">
        <v>11</v>
      </c>
      <c r="U1044">
        <v>1</v>
      </c>
      <c r="V1044">
        <v>1</v>
      </c>
      <c r="W1044">
        <v>0</v>
      </c>
      <c r="X1044">
        <v>75</v>
      </c>
      <c r="Y1044">
        <v>4</v>
      </c>
      <c r="Z1044">
        <v>2</v>
      </c>
      <c r="AA1044">
        <v>2</v>
      </c>
      <c r="AB1044">
        <v>2</v>
      </c>
      <c r="AD1044" t="s">
        <v>77</v>
      </c>
      <c r="AE1044" t="s">
        <v>77</v>
      </c>
      <c r="AF1044" t="s">
        <v>77</v>
      </c>
      <c r="AG1044" t="s">
        <v>77</v>
      </c>
      <c r="AI1044" t="s">
        <v>77</v>
      </c>
      <c r="AJ1044">
        <v>6</v>
      </c>
      <c r="AK1044">
        <v>224</v>
      </c>
      <c r="AL1044">
        <v>224</v>
      </c>
      <c r="AM1044">
        <v>453</v>
      </c>
      <c r="AN1044">
        <v>44</v>
      </c>
      <c r="AO1044" t="s">
        <v>78</v>
      </c>
      <c r="AP1044">
        <v>1</v>
      </c>
      <c r="AR1044" t="s">
        <v>1129</v>
      </c>
      <c r="AS1044" s="1">
        <v>44354.106944444444</v>
      </c>
      <c r="AT1044" s="1">
        <v>44354.111655092594</v>
      </c>
      <c r="AU1044" s="1">
        <v>44354.112268518518</v>
      </c>
      <c r="AV1044" t="s">
        <v>71</v>
      </c>
      <c r="AW1044" t="s">
        <v>72</v>
      </c>
      <c r="AX1044" t="s">
        <v>73</v>
      </c>
    </row>
    <row r="1045" spans="1:50" x14ac:dyDescent="0.3">
      <c r="A1045" t="str">
        <f>"201744B0000"</f>
        <v>201744B0000</v>
      </c>
      <c r="B1045" t="str">
        <f>"201744B00002"</f>
        <v>201744B00002</v>
      </c>
      <c r="C1045" t="str">
        <f t="shared" si="46"/>
        <v>20</v>
      </c>
      <c r="D1045" t="s">
        <v>67</v>
      </c>
      <c r="E1045" t="str">
        <f t="shared" si="44"/>
        <v>005</v>
      </c>
      <c r="F1045" t="s">
        <v>962</v>
      </c>
      <c r="G1045" t="str">
        <f>"1744"</f>
        <v>1744</v>
      </c>
      <c r="H1045" t="str">
        <f t="shared" si="47"/>
        <v>0000</v>
      </c>
      <c r="I1045" t="s">
        <v>69</v>
      </c>
      <c r="J1045">
        <v>0</v>
      </c>
      <c r="K1045">
        <v>1</v>
      </c>
      <c r="L1045">
        <v>2</v>
      </c>
      <c r="M1045">
        <v>142</v>
      </c>
      <c r="N1045">
        <v>98</v>
      </c>
      <c r="O1045">
        <v>3</v>
      </c>
      <c r="P1045">
        <v>98</v>
      </c>
      <c r="Q1045">
        <v>2</v>
      </c>
      <c r="R1045">
        <v>24</v>
      </c>
      <c r="S1045">
        <v>1</v>
      </c>
      <c r="T1045">
        <v>3</v>
      </c>
      <c r="U1045">
        <v>3</v>
      </c>
      <c r="V1045">
        <v>1</v>
      </c>
      <c r="W1045">
        <v>1</v>
      </c>
      <c r="X1045">
        <v>51</v>
      </c>
      <c r="Y1045">
        <v>4</v>
      </c>
      <c r="Z1045">
        <v>2</v>
      </c>
      <c r="AA1045">
        <v>1</v>
      </c>
      <c r="AB1045">
        <v>1</v>
      </c>
      <c r="AD1045">
        <v>1</v>
      </c>
      <c r="AE1045">
        <v>0</v>
      </c>
      <c r="AF1045">
        <v>0</v>
      </c>
      <c r="AG1045">
        <v>0</v>
      </c>
      <c r="AI1045">
        <v>0</v>
      </c>
      <c r="AJ1045">
        <v>3</v>
      </c>
      <c r="AK1045">
        <v>98</v>
      </c>
      <c r="AL1045">
        <v>98</v>
      </c>
      <c r="AM1045">
        <v>196</v>
      </c>
      <c r="AN1045">
        <v>44</v>
      </c>
      <c r="AP1045">
        <v>1</v>
      </c>
      <c r="AR1045" t="s">
        <v>1130</v>
      </c>
      <c r="AS1045" s="1">
        <v>44354.335416666669</v>
      </c>
      <c r="AT1045" s="1">
        <v>44354.338518518518</v>
      </c>
      <c r="AU1045" s="1">
        <v>44354.339699074073</v>
      </c>
      <c r="AV1045" t="s">
        <v>71</v>
      </c>
      <c r="AW1045" t="s">
        <v>72</v>
      </c>
      <c r="AX1045" t="s">
        <v>347</v>
      </c>
    </row>
    <row r="1046" spans="1:50" x14ac:dyDescent="0.3">
      <c r="A1046" t="str">
        <f>"201744E0100"</f>
        <v>201744E0100</v>
      </c>
      <c r="B1046" t="str">
        <f>"201744E01002"</f>
        <v>201744E01002</v>
      </c>
      <c r="C1046" t="str">
        <f t="shared" si="46"/>
        <v>20</v>
      </c>
      <c r="D1046" t="s">
        <v>67</v>
      </c>
      <c r="E1046" t="str">
        <f t="shared" si="44"/>
        <v>005</v>
      </c>
      <c r="F1046" t="s">
        <v>962</v>
      </c>
      <c r="G1046" t="str">
        <f>"1744"</f>
        <v>1744</v>
      </c>
      <c r="H1046" t="str">
        <f>"0001"</f>
        <v>0001</v>
      </c>
      <c r="I1046" t="s">
        <v>109</v>
      </c>
      <c r="J1046">
        <v>0</v>
      </c>
      <c r="K1046">
        <v>1</v>
      </c>
      <c r="L1046">
        <v>2</v>
      </c>
      <c r="M1046">
        <v>89</v>
      </c>
      <c r="N1046">
        <v>72</v>
      </c>
      <c r="O1046">
        <v>0</v>
      </c>
      <c r="P1046">
        <v>72</v>
      </c>
      <c r="Q1046">
        <v>3</v>
      </c>
      <c r="R1046">
        <v>39</v>
      </c>
      <c r="S1046">
        <v>1</v>
      </c>
      <c r="T1046">
        <v>2</v>
      </c>
      <c r="U1046">
        <v>0</v>
      </c>
      <c r="V1046">
        <v>1</v>
      </c>
      <c r="W1046">
        <v>0</v>
      </c>
      <c r="X1046">
        <v>21</v>
      </c>
      <c r="Y1046">
        <v>1</v>
      </c>
      <c r="Z1046">
        <v>1</v>
      </c>
      <c r="AA1046">
        <v>0</v>
      </c>
      <c r="AB1046">
        <v>0</v>
      </c>
      <c r="AD1046">
        <v>1</v>
      </c>
      <c r="AE1046">
        <v>0</v>
      </c>
      <c r="AF1046">
        <v>0</v>
      </c>
      <c r="AG1046">
        <v>0</v>
      </c>
      <c r="AI1046">
        <v>0</v>
      </c>
      <c r="AJ1046">
        <v>2</v>
      </c>
      <c r="AK1046" t="s">
        <v>77</v>
      </c>
      <c r="AL1046">
        <v>72</v>
      </c>
      <c r="AM1046">
        <v>117</v>
      </c>
      <c r="AN1046">
        <v>44</v>
      </c>
      <c r="AP1046">
        <v>1</v>
      </c>
      <c r="AR1046" t="s">
        <v>1131</v>
      </c>
      <c r="AS1046" s="1">
        <v>44354.105555555558</v>
      </c>
      <c r="AT1046" s="1">
        <v>44354.108831018515</v>
      </c>
      <c r="AU1046" s="1">
        <v>44354.109305555554</v>
      </c>
      <c r="AV1046" t="s">
        <v>71</v>
      </c>
      <c r="AW1046" t="s">
        <v>72</v>
      </c>
      <c r="AX1046" t="s">
        <v>73</v>
      </c>
    </row>
    <row r="1047" spans="1:50" x14ac:dyDescent="0.3">
      <c r="A1047" t="str">
        <f>"201745B0000"</f>
        <v>201745B0000</v>
      </c>
      <c r="B1047" t="str">
        <f>"201745B00002"</f>
        <v>201745B00002</v>
      </c>
      <c r="C1047" t="str">
        <f t="shared" si="46"/>
        <v>20</v>
      </c>
      <c r="D1047" t="s">
        <v>67</v>
      </c>
      <c r="E1047" t="str">
        <f t="shared" si="44"/>
        <v>005</v>
      </c>
      <c r="F1047" t="s">
        <v>962</v>
      </c>
      <c r="G1047" t="str">
        <f>"1745"</f>
        <v>1745</v>
      </c>
      <c r="H1047" t="str">
        <f>"0000"</f>
        <v>0000</v>
      </c>
      <c r="I1047" t="s">
        <v>69</v>
      </c>
      <c r="J1047">
        <v>0</v>
      </c>
      <c r="K1047">
        <v>1</v>
      </c>
      <c r="L1047">
        <v>2</v>
      </c>
      <c r="M1047">
        <v>283</v>
      </c>
      <c r="N1047">
        <v>118</v>
      </c>
      <c r="O1047">
        <v>4</v>
      </c>
      <c r="P1047">
        <v>118</v>
      </c>
      <c r="Q1047">
        <v>6</v>
      </c>
      <c r="R1047">
        <v>29</v>
      </c>
      <c r="S1047">
        <v>10</v>
      </c>
      <c r="T1047">
        <v>1</v>
      </c>
      <c r="U1047">
        <v>2</v>
      </c>
      <c r="V1047">
        <v>2</v>
      </c>
      <c r="W1047">
        <v>3</v>
      </c>
      <c r="X1047">
        <v>58</v>
      </c>
      <c r="Y1047">
        <v>0</v>
      </c>
      <c r="Z1047">
        <v>2</v>
      </c>
      <c r="AA1047">
        <v>0</v>
      </c>
      <c r="AB1047">
        <v>0</v>
      </c>
      <c r="AD1047" t="s">
        <v>77</v>
      </c>
      <c r="AE1047">
        <v>1</v>
      </c>
      <c r="AF1047">
        <v>1</v>
      </c>
      <c r="AG1047" t="s">
        <v>77</v>
      </c>
      <c r="AI1047" t="s">
        <v>77</v>
      </c>
      <c r="AJ1047">
        <v>3</v>
      </c>
      <c r="AK1047">
        <v>118</v>
      </c>
      <c r="AL1047">
        <v>118</v>
      </c>
      <c r="AM1047">
        <v>357</v>
      </c>
      <c r="AN1047">
        <v>44</v>
      </c>
      <c r="AO1047" t="s">
        <v>78</v>
      </c>
      <c r="AP1047">
        <v>1</v>
      </c>
      <c r="AR1047" t="s">
        <v>1132</v>
      </c>
      <c r="AS1047" s="1">
        <v>44354.106249999997</v>
      </c>
      <c r="AT1047" s="1">
        <v>44354.110138888886</v>
      </c>
      <c r="AU1047" s="1">
        <v>44354.110497685186</v>
      </c>
      <c r="AV1047" t="s">
        <v>71</v>
      </c>
      <c r="AW1047" t="s">
        <v>72</v>
      </c>
      <c r="AX1047" t="s">
        <v>73</v>
      </c>
    </row>
    <row r="1048" spans="1:50" x14ac:dyDescent="0.3">
      <c r="A1048" t="str">
        <f>"201777B0000"</f>
        <v>201777B0000</v>
      </c>
      <c r="B1048" t="str">
        <f>"201777B00002"</f>
        <v>201777B00002</v>
      </c>
      <c r="C1048" t="str">
        <f t="shared" si="46"/>
        <v>20</v>
      </c>
      <c r="D1048" t="s">
        <v>67</v>
      </c>
      <c r="E1048" t="str">
        <f t="shared" si="44"/>
        <v>005</v>
      </c>
      <c r="F1048" t="s">
        <v>962</v>
      </c>
      <c r="G1048" t="str">
        <f>"1777"</f>
        <v>1777</v>
      </c>
      <c r="H1048" t="str">
        <f>"0000"</f>
        <v>0000</v>
      </c>
      <c r="I1048" t="s">
        <v>69</v>
      </c>
      <c r="J1048">
        <v>0</v>
      </c>
      <c r="K1048">
        <v>1</v>
      </c>
      <c r="L1048">
        <v>2</v>
      </c>
      <c r="M1048" t="s">
        <v>80</v>
      </c>
      <c r="N1048" t="s">
        <v>80</v>
      </c>
      <c r="O1048" t="s">
        <v>80</v>
      </c>
      <c r="P1048" t="s">
        <v>80</v>
      </c>
      <c r="Q1048">
        <v>1</v>
      </c>
      <c r="R1048">
        <v>2</v>
      </c>
      <c r="S1048">
        <v>1</v>
      </c>
      <c r="T1048" t="s">
        <v>77</v>
      </c>
      <c r="U1048">
        <v>7</v>
      </c>
      <c r="V1048" t="s">
        <v>77</v>
      </c>
      <c r="W1048" t="s">
        <v>77</v>
      </c>
      <c r="X1048">
        <v>38</v>
      </c>
      <c r="Y1048" t="s">
        <v>77</v>
      </c>
      <c r="Z1048">
        <v>1</v>
      </c>
      <c r="AA1048" t="s">
        <v>77</v>
      </c>
      <c r="AB1048">
        <v>2</v>
      </c>
      <c r="AD1048" t="s">
        <v>77</v>
      </c>
      <c r="AE1048" t="s">
        <v>77</v>
      </c>
      <c r="AF1048" t="s">
        <v>77</v>
      </c>
      <c r="AG1048" t="s">
        <v>77</v>
      </c>
      <c r="AI1048" t="s">
        <v>77</v>
      </c>
      <c r="AJ1048">
        <v>1</v>
      </c>
      <c r="AK1048">
        <v>53</v>
      </c>
      <c r="AL1048">
        <v>53</v>
      </c>
      <c r="AM1048">
        <v>73</v>
      </c>
      <c r="AN1048">
        <v>44</v>
      </c>
      <c r="AO1048" t="s">
        <v>78</v>
      </c>
      <c r="AP1048">
        <v>1</v>
      </c>
      <c r="AR1048" t="s">
        <v>1133</v>
      </c>
      <c r="AS1048" s="1">
        <v>44354.147916666669</v>
      </c>
      <c r="AT1048" s="1">
        <v>44354.150937500002</v>
      </c>
      <c r="AU1048" s="1">
        <v>44354.151307870372</v>
      </c>
      <c r="AV1048" t="s">
        <v>71</v>
      </c>
      <c r="AW1048" t="s">
        <v>72</v>
      </c>
      <c r="AX1048" t="s">
        <v>73</v>
      </c>
    </row>
    <row r="1049" spans="1:50" x14ac:dyDescent="0.3">
      <c r="A1049" t="str">
        <f>"201780B0000"</f>
        <v>201780B0000</v>
      </c>
      <c r="B1049" t="str">
        <f>"201780B00002"</f>
        <v>201780B00002</v>
      </c>
      <c r="C1049" t="str">
        <f t="shared" si="46"/>
        <v>20</v>
      </c>
      <c r="D1049" t="s">
        <v>67</v>
      </c>
      <c r="E1049" t="str">
        <f t="shared" si="44"/>
        <v>005</v>
      </c>
      <c r="F1049" t="s">
        <v>962</v>
      </c>
      <c r="G1049" t="str">
        <f>"1780"</f>
        <v>1780</v>
      </c>
      <c r="H1049" t="str">
        <f>"0000"</f>
        <v>0000</v>
      </c>
      <c r="I1049" t="s">
        <v>69</v>
      </c>
      <c r="J1049">
        <v>0</v>
      </c>
      <c r="K1049">
        <v>1</v>
      </c>
      <c r="L1049">
        <v>2</v>
      </c>
      <c r="M1049">
        <v>471</v>
      </c>
      <c r="N1049">
        <v>248</v>
      </c>
      <c r="O1049">
        <v>0</v>
      </c>
      <c r="P1049">
        <v>0</v>
      </c>
      <c r="Q1049">
        <v>8</v>
      </c>
      <c r="R1049">
        <v>42</v>
      </c>
      <c r="S1049">
        <v>21</v>
      </c>
      <c r="T1049">
        <v>9</v>
      </c>
      <c r="U1049">
        <v>21</v>
      </c>
      <c r="V1049">
        <v>10</v>
      </c>
      <c r="W1049">
        <v>7</v>
      </c>
      <c r="X1049">
        <v>85</v>
      </c>
      <c r="Y1049">
        <v>5</v>
      </c>
      <c r="Z1049">
        <v>4</v>
      </c>
      <c r="AA1049">
        <v>9</v>
      </c>
      <c r="AB1049">
        <v>3</v>
      </c>
      <c r="AD1049">
        <v>0</v>
      </c>
      <c r="AE1049">
        <v>0</v>
      </c>
      <c r="AF1049">
        <v>0</v>
      </c>
      <c r="AG1049">
        <v>2</v>
      </c>
      <c r="AI1049">
        <v>0</v>
      </c>
      <c r="AJ1049">
        <v>22</v>
      </c>
      <c r="AK1049">
        <v>248</v>
      </c>
      <c r="AL1049">
        <v>248</v>
      </c>
      <c r="AM1049">
        <v>675</v>
      </c>
      <c r="AN1049">
        <v>44</v>
      </c>
      <c r="AP1049">
        <v>1</v>
      </c>
      <c r="AR1049" t="s">
        <v>1134</v>
      </c>
      <c r="AS1049" s="1">
        <v>44354.029166666667</v>
      </c>
      <c r="AT1049" s="1">
        <v>44354.038171296299</v>
      </c>
      <c r="AU1049" s="1">
        <v>44354.0390162037</v>
      </c>
      <c r="AV1049" t="s">
        <v>71</v>
      </c>
      <c r="AW1049" t="s">
        <v>72</v>
      </c>
      <c r="AX1049" t="s">
        <v>73</v>
      </c>
    </row>
    <row r="1050" spans="1:50" x14ac:dyDescent="0.3">
      <c r="A1050" t="str">
        <f>"201781B0000"</f>
        <v>201781B0000</v>
      </c>
      <c r="B1050" t="str">
        <f>"201781B00002"</f>
        <v>201781B00002</v>
      </c>
      <c r="C1050" t="str">
        <f t="shared" si="46"/>
        <v>20</v>
      </c>
      <c r="D1050" t="s">
        <v>67</v>
      </c>
      <c r="E1050" t="str">
        <f t="shared" si="44"/>
        <v>005</v>
      </c>
      <c r="F1050" t="s">
        <v>962</v>
      </c>
      <c r="G1050" t="str">
        <f>"1781"</f>
        <v>1781</v>
      </c>
      <c r="H1050" t="str">
        <f>"0000"</f>
        <v>0000</v>
      </c>
      <c r="I1050" t="s">
        <v>69</v>
      </c>
      <c r="J1050">
        <v>0</v>
      </c>
      <c r="K1050">
        <v>1</v>
      </c>
      <c r="L1050">
        <v>2</v>
      </c>
      <c r="M1050">
        <v>218</v>
      </c>
      <c r="N1050">
        <v>138</v>
      </c>
      <c r="O1050">
        <v>0</v>
      </c>
      <c r="P1050">
        <v>138</v>
      </c>
      <c r="Q1050">
        <v>3</v>
      </c>
      <c r="R1050">
        <v>12</v>
      </c>
      <c r="S1050">
        <v>27</v>
      </c>
      <c r="T1050">
        <v>0</v>
      </c>
      <c r="U1050">
        <v>12</v>
      </c>
      <c r="V1050">
        <v>5</v>
      </c>
      <c r="W1050">
        <v>3</v>
      </c>
      <c r="X1050">
        <v>56</v>
      </c>
      <c r="Y1050">
        <v>0</v>
      </c>
      <c r="Z1050">
        <v>4</v>
      </c>
      <c r="AA1050">
        <v>5</v>
      </c>
      <c r="AB1050">
        <v>6</v>
      </c>
      <c r="AD1050">
        <v>0</v>
      </c>
      <c r="AE1050">
        <v>0</v>
      </c>
      <c r="AF1050">
        <v>0</v>
      </c>
      <c r="AG1050">
        <v>0</v>
      </c>
      <c r="AI1050">
        <v>0</v>
      </c>
      <c r="AJ1050">
        <v>5</v>
      </c>
      <c r="AK1050">
        <v>138</v>
      </c>
      <c r="AL1050">
        <v>138</v>
      </c>
      <c r="AM1050">
        <v>312</v>
      </c>
      <c r="AN1050">
        <v>44</v>
      </c>
      <c r="AP1050">
        <v>1</v>
      </c>
      <c r="AR1050" t="s">
        <v>1135</v>
      </c>
      <c r="AS1050" s="1">
        <v>44354.048611111109</v>
      </c>
      <c r="AT1050" s="1">
        <v>44354.055046296293</v>
      </c>
      <c r="AU1050" s="1">
        <v>44354.055810185186</v>
      </c>
      <c r="AV1050" t="s">
        <v>71</v>
      </c>
      <c r="AW1050" t="s">
        <v>72</v>
      </c>
      <c r="AX1050" t="s">
        <v>347</v>
      </c>
    </row>
    <row r="1051" spans="1:50" x14ac:dyDescent="0.3">
      <c r="A1051" t="str">
        <f>"201781E0100"</f>
        <v>201781E0100</v>
      </c>
      <c r="B1051" t="str">
        <f>"201781E01002"</f>
        <v>201781E01002</v>
      </c>
      <c r="C1051" t="str">
        <f t="shared" si="46"/>
        <v>20</v>
      </c>
      <c r="D1051" t="s">
        <v>67</v>
      </c>
      <c r="E1051" t="str">
        <f t="shared" si="44"/>
        <v>005</v>
      </c>
      <c r="F1051" t="s">
        <v>962</v>
      </c>
      <c r="G1051" t="str">
        <f>"1781"</f>
        <v>1781</v>
      </c>
      <c r="H1051" t="str">
        <f>"0001"</f>
        <v>0001</v>
      </c>
      <c r="I1051" t="s">
        <v>109</v>
      </c>
      <c r="J1051">
        <v>0</v>
      </c>
      <c r="K1051">
        <v>1</v>
      </c>
      <c r="L1051">
        <v>2</v>
      </c>
      <c r="M1051">
        <v>213</v>
      </c>
      <c r="N1051">
        <v>101</v>
      </c>
      <c r="O1051">
        <v>0</v>
      </c>
      <c r="P1051">
        <v>101</v>
      </c>
      <c r="Q1051">
        <v>3</v>
      </c>
      <c r="R1051">
        <v>13</v>
      </c>
      <c r="S1051">
        <v>13</v>
      </c>
      <c r="T1051">
        <v>6</v>
      </c>
      <c r="U1051">
        <v>22</v>
      </c>
      <c r="V1051">
        <v>10</v>
      </c>
      <c r="W1051">
        <v>3</v>
      </c>
      <c r="X1051">
        <v>23</v>
      </c>
      <c r="Y1051">
        <v>0</v>
      </c>
      <c r="Z1051">
        <v>2</v>
      </c>
      <c r="AA1051">
        <v>1</v>
      </c>
      <c r="AB1051">
        <v>1</v>
      </c>
      <c r="AD1051" t="s">
        <v>77</v>
      </c>
      <c r="AE1051" t="s">
        <v>77</v>
      </c>
      <c r="AF1051" t="s">
        <v>77</v>
      </c>
      <c r="AG1051" t="s">
        <v>77</v>
      </c>
      <c r="AI1051" t="s">
        <v>77</v>
      </c>
      <c r="AJ1051">
        <v>4</v>
      </c>
      <c r="AK1051">
        <v>101</v>
      </c>
      <c r="AL1051">
        <v>101</v>
      </c>
      <c r="AM1051">
        <v>270</v>
      </c>
      <c r="AN1051">
        <v>44</v>
      </c>
      <c r="AO1051" t="s">
        <v>78</v>
      </c>
      <c r="AP1051">
        <v>1</v>
      </c>
      <c r="AR1051" t="s">
        <v>1136</v>
      </c>
      <c r="AS1051" s="1">
        <v>44354.442361111112</v>
      </c>
      <c r="AT1051" s="1">
        <v>44354.445567129631</v>
      </c>
      <c r="AU1051" s="1">
        <v>44354.446435185186</v>
      </c>
      <c r="AV1051" t="s">
        <v>71</v>
      </c>
      <c r="AW1051" t="s">
        <v>72</v>
      </c>
      <c r="AX1051" t="s">
        <v>73</v>
      </c>
    </row>
    <row r="1052" spans="1:50" x14ac:dyDescent="0.3">
      <c r="A1052" t="str">
        <f>"201789B0000"</f>
        <v>201789B0000</v>
      </c>
      <c r="B1052" t="str">
        <f>"201789B00002"</f>
        <v>201789B00002</v>
      </c>
      <c r="C1052" t="str">
        <f t="shared" si="46"/>
        <v>20</v>
      </c>
      <c r="D1052" t="s">
        <v>67</v>
      </c>
      <c r="E1052" t="str">
        <f t="shared" si="44"/>
        <v>005</v>
      </c>
      <c r="F1052" t="s">
        <v>962</v>
      </c>
      <c r="G1052" t="str">
        <f>"1789"</f>
        <v>1789</v>
      </c>
      <c r="H1052" t="str">
        <f>"0000"</f>
        <v>0000</v>
      </c>
      <c r="I1052" t="s">
        <v>69</v>
      </c>
      <c r="J1052">
        <v>0</v>
      </c>
      <c r="K1052">
        <v>1</v>
      </c>
      <c r="L1052">
        <v>2</v>
      </c>
      <c r="M1052">
        <v>311</v>
      </c>
      <c r="N1052">
        <v>193</v>
      </c>
      <c r="O1052">
        <v>0</v>
      </c>
      <c r="P1052">
        <v>193</v>
      </c>
      <c r="Q1052">
        <v>2</v>
      </c>
      <c r="R1052">
        <v>14</v>
      </c>
      <c r="S1052">
        <v>4</v>
      </c>
      <c r="T1052">
        <v>5</v>
      </c>
      <c r="U1052">
        <v>26</v>
      </c>
      <c r="V1052">
        <v>0</v>
      </c>
      <c r="W1052">
        <v>10</v>
      </c>
      <c r="X1052">
        <v>111</v>
      </c>
      <c r="Y1052">
        <v>7</v>
      </c>
      <c r="Z1052">
        <v>3</v>
      </c>
      <c r="AA1052">
        <v>1</v>
      </c>
      <c r="AB1052">
        <v>0</v>
      </c>
      <c r="AD1052">
        <v>0</v>
      </c>
      <c r="AE1052">
        <v>0</v>
      </c>
      <c r="AF1052">
        <v>0</v>
      </c>
      <c r="AG1052">
        <v>0</v>
      </c>
      <c r="AI1052">
        <v>0</v>
      </c>
      <c r="AJ1052">
        <v>10</v>
      </c>
      <c r="AK1052">
        <v>193</v>
      </c>
      <c r="AL1052">
        <v>193</v>
      </c>
      <c r="AM1052">
        <v>460</v>
      </c>
      <c r="AN1052">
        <v>44</v>
      </c>
      <c r="AP1052">
        <v>1</v>
      </c>
      <c r="AR1052" t="s">
        <v>1137</v>
      </c>
      <c r="AS1052" s="1">
        <v>44354.003472222219</v>
      </c>
      <c r="AT1052" s="1">
        <v>44354.010312500002</v>
      </c>
      <c r="AU1052" s="1">
        <v>44354.010717592595</v>
      </c>
      <c r="AV1052" t="s">
        <v>71</v>
      </c>
      <c r="AW1052" t="s">
        <v>72</v>
      </c>
      <c r="AX1052" t="s">
        <v>73</v>
      </c>
    </row>
    <row r="1053" spans="1:50" x14ac:dyDescent="0.3">
      <c r="A1053" t="str">
        <f>"201789E0100"</f>
        <v>201789E0100</v>
      </c>
      <c r="B1053" t="str">
        <f>"201789E01002"</f>
        <v>201789E01002</v>
      </c>
      <c r="C1053" t="str">
        <f t="shared" si="46"/>
        <v>20</v>
      </c>
      <c r="D1053" t="s">
        <v>67</v>
      </c>
      <c r="E1053" t="str">
        <f t="shared" si="44"/>
        <v>005</v>
      </c>
      <c r="F1053" t="s">
        <v>962</v>
      </c>
      <c r="G1053" t="str">
        <f>"1789"</f>
        <v>1789</v>
      </c>
      <c r="H1053" t="str">
        <f>"0001"</f>
        <v>0001</v>
      </c>
      <c r="I1053" t="s">
        <v>109</v>
      </c>
      <c r="J1053">
        <v>0</v>
      </c>
      <c r="K1053">
        <v>1</v>
      </c>
      <c r="L1053">
        <v>2</v>
      </c>
      <c r="M1053">
        <v>144</v>
      </c>
      <c r="N1053">
        <v>66</v>
      </c>
      <c r="O1053">
        <v>0</v>
      </c>
      <c r="P1053">
        <v>66</v>
      </c>
      <c r="Q1053">
        <v>4</v>
      </c>
      <c r="R1053">
        <v>7</v>
      </c>
      <c r="S1053">
        <v>0</v>
      </c>
      <c r="T1053">
        <v>0</v>
      </c>
      <c r="U1053">
        <v>14</v>
      </c>
      <c r="V1053">
        <v>0</v>
      </c>
      <c r="W1053">
        <v>2</v>
      </c>
      <c r="X1053">
        <v>31</v>
      </c>
      <c r="Y1053">
        <v>2</v>
      </c>
      <c r="Z1053">
        <v>2</v>
      </c>
      <c r="AA1053">
        <v>0</v>
      </c>
      <c r="AB1053">
        <v>0</v>
      </c>
      <c r="AD1053">
        <v>0</v>
      </c>
      <c r="AE1053">
        <v>0</v>
      </c>
      <c r="AF1053">
        <v>0</v>
      </c>
      <c r="AG1053">
        <v>0</v>
      </c>
      <c r="AI1053">
        <v>0</v>
      </c>
      <c r="AJ1053">
        <v>4</v>
      </c>
      <c r="AK1053">
        <v>66</v>
      </c>
      <c r="AL1053">
        <v>66</v>
      </c>
      <c r="AM1053">
        <v>166</v>
      </c>
      <c r="AN1053">
        <v>44</v>
      </c>
      <c r="AP1053">
        <v>1</v>
      </c>
      <c r="AR1053" t="s">
        <v>1138</v>
      </c>
      <c r="AS1053" s="1">
        <v>44354.00277777778</v>
      </c>
      <c r="AT1053" s="1">
        <v>44354.009930555556</v>
      </c>
      <c r="AU1053" s="1">
        <v>44354.010370370372</v>
      </c>
      <c r="AV1053" t="s">
        <v>71</v>
      </c>
      <c r="AW1053" t="s">
        <v>72</v>
      </c>
      <c r="AX1053" t="s">
        <v>73</v>
      </c>
    </row>
    <row r="1054" spans="1:50" x14ac:dyDescent="0.3">
      <c r="A1054" t="str">
        <f>"201790B0000"</f>
        <v>201790B0000</v>
      </c>
      <c r="B1054" t="str">
        <f>"201790B00002"</f>
        <v>201790B00002</v>
      </c>
      <c r="C1054" t="str">
        <f t="shared" si="46"/>
        <v>20</v>
      </c>
      <c r="D1054" t="s">
        <v>67</v>
      </c>
      <c r="E1054" t="str">
        <f t="shared" si="44"/>
        <v>005</v>
      </c>
      <c r="F1054" t="s">
        <v>962</v>
      </c>
      <c r="G1054" t="str">
        <f>"1790"</f>
        <v>1790</v>
      </c>
      <c r="H1054" t="str">
        <f>"0000"</f>
        <v>0000</v>
      </c>
      <c r="I1054" t="s">
        <v>69</v>
      </c>
      <c r="J1054">
        <v>0</v>
      </c>
      <c r="K1054">
        <v>1</v>
      </c>
      <c r="L1054">
        <v>2</v>
      </c>
      <c r="M1054">
        <v>426</v>
      </c>
      <c r="N1054">
        <v>246</v>
      </c>
      <c r="O1054">
        <v>0</v>
      </c>
      <c r="P1054">
        <v>246</v>
      </c>
      <c r="Q1054">
        <v>10</v>
      </c>
      <c r="R1054">
        <v>18</v>
      </c>
      <c r="S1054">
        <v>8</v>
      </c>
      <c r="T1054">
        <v>5</v>
      </c>
      <c r="U1054">
        <v>12</v>
      </c>
      <c r="V1054">
        <v>2</v>
      </c>
      <c r="W1054">
        <v>4</v>
      </c>
      <c r="X1054">
        <v>162</v>
      </c>
      <c r="Y1054">
        <v>4</v>
      </c>
      <c r="Z1054">
        <v>6</v>
      </c>
      <c r="AA1054">
        <v>2</v>
      </c>
      <c r="AB1054">
        <v>4</v>
      </c>
      <c r="AD1054">
        <v>0</v>
      </c>
      <c r="AE1054">
        <v>0</v>
      </c>
      <c r="AF1054">
        <v>0</v>
      </c>
      <c r="AG1054">
        <v>0</v>
      </c>
      <c r="AI1054">
        <v>0</v>
      </c>
      <c r="AJ1054">
        <v>9</v>
      </c>
      <c r="AK1054">
        <v>246</v>
      </c>
      <c r="AL1054">
        <v>246</v>
      </c>
      <c r="AM1054">
        <v>628</v>
      </c>
      <c r="AN1054">
        <v>44</v>
      </c>
      <c r="AP1054">
        <v>1</v>
      </c>
      <c r="AR1054" t="s">
        <v>1139</v>
      </c>
      <c r="AS1054" s="1">
        <v>44354.06527777778</v>
      </c>
      <c r="AT1054" s="1">
        <v>44354.070798611108</v>
      </c>
      <c r="AU1054" s="1">
        <v>44354.071319444447</v>
      </c>
      <c r="AV1054" t="s">
        <v>71</v>
      </c>
      <c r="AW1054" t="s">
        <v>72</v>
      </c>
      <c r="AX1054" t="s">
        <v>73</v>
      </c>
    </row>
    <row r="1055" spans="1:50" x14ac:dyDescent="0.3">
      <c r="A1055" t="str">
        <f>"201791B0000"</f>
        <v>201791B0000</v>
      </c>
      <c r="B1055" t="str">
        <f>"201791B00002"</f>
        <v>201791B00002</v>
      </c>
      <c r="C1055" t="str">
        <f t="shared" si="46"/>
        <v>20</v>
      </c>
      <c r="D1055" t="s">
        <v>67</v>
      </c>
      <c r="E1055" t="str">
        <f t="shared" si="44"/>
        <v>005</v>
      </c>
      <c r="F1055" t="s">
        <v>962</v>
      </c>
      <c r="G1055" t="str">
        <f>"1791"</f>
        <v>1791</v>
      </c>
      <c r="H1055" t="str">
        <f>"0000"</f>
        <v>0000</v>
      </c>
      <c r="I1055" t="s">
        <v>69</v>
      </c>
      <c r="J1055">
        <v>0</v>
      </c>
      <c r="K1055">
        <v>1</v>
      </c>
      <c r="L1055">
        <v>2</v>
      </c>
      <c r="M1055">
        <v>343</v>
      </c>
      <c r="N1055">
        <v>237</v>
      </c>
      <c r="O1055">
        <v>6</v>
      </c>
      <c r="P1055">
        <v>237</v>
      </c>
      <c r="Q1055">
        <v>18</v>
      </c>
      <c r="R1055">
        <v>30</v>
      </c>
      <c r="S1055">
        <v>9</v>
      </c>
      <c r="T1055">
        <v>4</v>
      </c>
      <c r="U1055">
        <v>12</v>
      </c>
      <c r="V1055">
        <v>4</v>
      </c>
      <c r="W1055">
        <v>0</v>
      </c>
      <c r="X1055">
        <v>120</v>
      </c>
      <c r="Y1055">
        <v>6</v>
      </c>
      <c r="Z1055">
        <v>7</v>
      </c>
      <c r="AA1055">
        <v>5</v>
      </c>
      <c r="AB1055">
        <v>6</v>
      </c>
      <c r="AD1055">
        <v>0</v>
      </c>
      <c r="AE1055">
        <v>0</v>
      </c>
      <c r="AF1055">
        <v>1</v>
      </c>
      <c r="AG1055">
        <v>0</v>
      </c>
      <c r="AI1055">
        <v>0</v>
      </c>
      <c r="AJ1055">
        <v>15</v>
      </c>
      <c r="AK1055">
        <v>237</v>
      </c>
      <c r="AL1055">
        <v>237</v>
      </c>
      <c r="AM1055">
        <v>536</v>
      </c>
      <c r="AN1055">
        <v>44</v>
      </c>
      <c r="AP1055">
        <v>1</v>
      </c>
      <c r="AR1055" t="s">
        <v>1140</v>
      </c>
      <c r="AS1055" s="1">
        <v>44354.066666666666</v>
      </c>
      <c r="AT1055" s="1">
        <v>44354.073449074072</v>
      </c>
      <c r="AU1055" s="1">
        <v>44354.074618055558</v>
      </c>
      <c r="AV1055" t="s">
        <v>71</v>
      </c>
      <c r="AW1055" t="s">
        <v>72</v>
      </c>
      <c r="AX1055" t="s">
        <v>73</v>
      </c>
    </row>
    <row r="1056" spans="1:50" x14ac:dyDescent="0.3">
      <c r="A1056" t="str">
        <f>"201791E0100"</f>
        <v>201791E0100</v>
      </c>
      <c r="B1056" t="str">
        <f>"201791E01002"</f>
        <v>201791E01002</v>
      </c>
      <c r="C1056" t="str">
        <f t="shared" si="46"/>
        <v>20</v>
      </c>
      <c r="D1056" t="s">
        <v>67</v>
      </c>
      <c r="E1056" t="str">
        <f t="shared" si="44"/>
        <v>005</v>
      </c>
      <c r="F1056" t="s">
        <v>962</v>
      </c>
      <c r="G1056" t="str">
        <f>"1791"</f>
        <v>1791</v>
      </c>
      <c r="H1056" t="str">
        <f>"0001"</f>
        <v>0001</v>
      </c>
      <c r="I1056" t="s">
        <v>109</v>
      </c>
      <c r="J1056">
        <v>0</v>
      </c>
      <c r="K1056">
        <v>1</v>
      </c>
      <c r="L1056">
        <v>2</v>
      </c>
      <c r="M1056">
        <v>146</v>
      </c>
      <c r="N1056">
        <v>110</v>
      </c>
      <c r="O1056">
        <v>4</v>
      </c>
      <c r="P1056">
        <v>110</v>
      </c>
      <c r="Q1056">
        <v>2</v>
      </c>
      <c r="R1056">
        <v>16</v>
      </c>
      <c r="S1056">
        <v>2</v>
      </c>
      <c r="T1056">
        <v>3</v>
      </c>
      <c r="U1056">
        <v>7</v>
      </c>
      <c r="V1056">
        <v>3</v>
      </c>
      <c r="W1056">
        <v>7</v>
      </c>
      <c r="X1056">
        <v>57</v>
      </c>
      <c r="Y1056">
        <v>2</v>
      </c>
      <c r="Z1056">
        <v>2</v>
      </c>
      <c r="AA1056">
        <v>1</v>
      </c>
      <c r="AB1056">
        <v>2</v>
      </c>
      <c r="AD1056">
        <v>0</v>
      </c>
      <c r="AE1056">
        <v>0</v>
      </c>
      <c r="AF1056">
        <v>0</v>
      </c>
      <c r="AG1056">
        <v>0</v>
      </c>
      <c r="AI1056">
        <v>0</v>
      </c>
      <c r="AJ1056">
        <v>6</v>
      </c>
      <c r="AK1056">
        <v>110</v>
      </c>
      <c r="AL1056">
        <v>110</v>
      </c>
      <c r="AM1056">
        <v>212</v>
      </c>
      <c r="AN1056">
        <v>44</v>
      </c>
      <c r="AP1056">
        <v>1</v>
      </c>
      <c r="AR1056" t="s">
        <v>1141</v>
      </c>
      <c r="AS1056" s="1">
        <v>44354.064583333333</v>
      </c>
      <c r="AT1056" s="1">
        <v>44354.071840277778</v>
      </c>
      <c r="AU1056" s="1">
        <v>44354.072337962964</v>
      </c>
      <c r="AV1056" t="s">
        <v>71</v>
      </c>
      <c r="AW1056" t="s">
        <v>72</v>
      </c>
      <c r="AX1056" t="s">
        <v>73</v>
      </c>
    </row>
    <row r="1057" spans="1:50" x14ac:dyDescent="0.3">
      <c r="A1057" t="str">
        <f>"201792B0000"</f>
        <v>201792B0000</v>
      </c>
      <c r="B1057" t="str">
        <f>"201792B00002"</f>
        <v>201792B00002</v>
      </c>
      <c r="C1057" t="str">
        <f t="shared" si="46"/>
        <v>20</v>
      </c>
      <c r="D1057" t="s">
        <v>67</v>
      </c>
      <c r="E1057" t="str">
        <f t="shared" si="44"/>
        <v>005</v>
      </c>
      <c r="F1057" t="s">
        <v>962</v>
      </c>
      <c r="G1057" t="str">
        <f>"1792"</f>
        <v>1792</v>
      </c>
      <c r="H1057" t="str">
        <f>"0000"</f>
        <v>0000</v>
      </c>
      <c r="I1057" t="s">
        <v>69</v>
      </c>
      <c r="J1057">
        <v>0</v>
      </c>
      <c r="K1057">
        <v>1</v>
      </c>
      <c r="L1057">
        <v>2</v>
      </c>
      <c r="M1057">
        <v>83</v>
      </c>
      <c r="N1057">
        <v>71</v>
      </c>
      <c r="O1057">
        <v>4</v>
      </c>
      <c r="P1057">
        <v>71</v>
      </c>
      <c r="Q1057">
        <v>2</v>
      </c>
      <c r="R1057">
        <v>4</v>
      </c>
      <c r="S1057">
        <v>5</v>
      </c>
      <c r="T1057">
        <v>3</v>
      </c>
      <c r="U1057">
        <v>1</v>
      </c>
      <c r="V1057">
        <v>1</v>
      </c>
      <c r="W1057">
        <v>3</v>
      </c>
      <c r="X1057">
        <v>46</v>
      </c>
      <c r="Y1057">
        <v>0</v>
      </c>
      <c r="Z1057">
        <v>0</v>
      </c>
      <c r="AA1057">
        <v>0</v>
      </c>
      <c r="AB1057">
        <v>3</v>
      </c>
      <c r="AD1057">
        <v>0</v>
      </c>
      <c r="AE1057">
        <v>0</v>
      </c>
      <c r="AF1057">
        <v>0</v>
      </c>
      <c r="AG1057">
        <v>0</v>
      </c>
      <c r="AI1057">
        <v>1</v>
      </c>
      <c r="AJ1057">
        <v>2</v>
      </c>
      <c r="AK1057">
        <v>71</v>
      </c>
      <c r="AL1057">
        <v>71</v>
      </c>
      <c r="AM1057">
        <v>110</v>
      </c>
      <c r="AN1057">
        <v>44</v>
      </c>
      <c r="AP1057">
        <v>1</v>
      </c>
      <c r="AR1057" t="s">
        <v>1142</v>
      </c>
      <c r="AS1057" s="1">
        <v>44354.06527777778</v>
      </c>
      <c r="AT1057" s="1">
        <v>44354.071574074071</v>
      </c>
      <c r="AU1057" s="1">
        <v>44354.071979166663</v>
      </c>
      <c r="AV1057" t="s">
        <v>71</v>
      </c>
      <c r="AW1057" t="s">
        <v>72</v>
      </c>
      <c r="AX1057" t="s">
        <v>73</v>
      </c>
    </row>
    <row r="1058" spans="1:50" x14ac:dyDescent="0.3">
      <c r="A1058" t="str">
        <f>"201878B0000"</f>
        <v>201878B0000</v>
      </c>
      <c r="B1058" t="str">
        <f>"201878B00002"</f>
        <v>201878B00002</v>
      </c>
      <c r="C1058" t="str">
        <f t="shared" si="46"/>
        <v>20</v>
      </c>
      <c r="D1058" t="s">
        <v>67</v>
      </c>
      <c r="E1058" t="str">
        <f t="shared" si="44"/>
        <v>005</v>
      </c>
      <c r="F1058" t="s">
        <v>962</v>
      </c>
      <c r="G1058" t="str">
        <f>"1878"</f>
        <v>1878</v>
      </c>
      <c r="H1058" t="str">
        <f>"0000"</f>
        <v>0000</v>
      </c>
      <c r="I1058" t="s">
        <v>69</v>
      </c>
      <c r="J1058">
        <v>0</v>
      </c>
      <c r="K1058">
        <v>1</v>
      </c>
      <c r="L1058">
        <v>2</v>
      </c>
      <c r="M1058">
        <v>104</v>
      </c>
      <c r="N1058">
        <v>111</v>
      </c>
      <c r="O1058">
        <v>7</v>
      </c>
      <c r="P1058" t="s">
        <v>80</v>
      </c>
      <c r="Q1058">
        <v>0</v>
      </c>
      <c r="R1058">
        <v>6</v>
      </c>
      <c r="S1058">
        <v>4</v>
      </c>
      <c r="T1058">
        <v>3</v>
      </c>
      <c r="U1058">
        <v>11</v>
      </c>
      <c r="V1058">
        <v>3</v>
      </c>
      <c r="W1058">
        <v>11</v>
      </c>
      <c r="X1058">
        <v>65</v>
      </c>
      <c r="Y1058">
        <v>1</v>
      </c>
      <c r="Z1058">
        <v>1</v>
      </c>
      <c r="AA1058">
        <v>0</v>
      </c>
      <c r="AB1058">
        <v>3</v>
      </c>
      <c r="AD1058">
        <v>0</v>
      </c>
      <c r="AE1058">
        <v>0</v>
      </c>
      <c r="AF1058">
        <v>0</v>
      </c>
      <c r="AG1058">
        <v>0</v>
      </c>
      <c r="AI1058">
        <v>0</v>
      </c>
      <c r="AJ1058">
        <v>3</v>
      </c>
      <c r="AK1058">
        <v>111</v>
      </c>
      <c r="AL1058">
        <v>111</v>
      </c>
      <c r="AM1058">
        <v>171</v>
      </c>
      <c r="AN1058">
        <v>44</v>
      </c>
      <c r="AP1058">
        <v>1</v>
      </c>
      <c r="AR1058" t="s">
        <v>1143</v>
      </c>
      <c r="AS1058" s="1">
        <v>44354.080555555556</v>
      </c>
      <c r="AT1058" s="1">
        <v>44354.089108796295</v>
      </c>
      <c r="AU1058" s="1">
        <v>44354.090462962966</v>
      </c>
      <c r="AV1058" t="s">
        <v>71</v>
      </c>
      <c r="AW1058" t="s">
        <v>72</v>
      </c>
      <c r="AX1058" t="s">
        <v>73</v>
      </c>
    </row>
    <row r="1059" spans="1:50" x14ac:dyDescent="0.3">
      <c r="A1059" t="str">
        <f>"201879B0000"</f>
        <v>201879B0000</v>
      </c>
      <c r="B1059" t="str">
        <f>"201879B00002"</f>
        <v>201879B00002</v>
      </c>
      <c r="C1059" t="str">
        <f t="shared" si="46"/>
        <v>20</v>
      </c>
      <c r="D1059" t="s">
        <v>67</v>
      </c>
      <c r="E1059" t="str">
        <f t="shared" si="44"/>
        <v>005</v>
      </c>
      <c r="F1059" t="s">
        <v>962</v>
      </c>
      <c r="G1059" t="str">
        <f>"1879"</f>
        <v>1879</v>
      </c>
      <c r="H1059" t="str">
        <f>"0000"</f>
        <v>0000</v>
      </c>
      <c r="I1059" t="s">
        <v>69</v>
      </c>
      <c r="J1059">
        <v>0</v>
      </c>
      <c r="K1059">
        <v>1</v>
      </c>
      <c r="L1059">
        <v>2</v>
      </c>
      <c r="M1059">
        <v>210</v>
      </c>
      <c r="N1059">
        <v>154</v>
      </c>
      <c r="O1059">
        <v>0</v>
      </c>
      <c r="P1059">
        <v>154</v>
      </c>
      <c r="Q1059">
        <v>5</v>
      </c>
      <c r="R1059">
        <v>26</v>
      </c>
      <c r="S1059">
        <v>7</v>
      </c>
      <c r="T1059">
        <v>3</v>
      </c>
      <c r="U1059">
        <v>9</v>
      </c>
      <c r="V1059">
        <v>3</v>
      </c>
      <c r="W1059">
        <v>4</v>
      </c>
      <c r="X1059">
        <v>72</v>
      </c>
      <c r="Y1059">
        <v>2</v>
      </c>
      <c r="Z1059">
        <v>1</v>
      </c>
      <c r="AA1059">
        <v>3</v>
      </c>
      <c r="AB1059">
        <v>11</v>
      </c>
      <c r="AD1059">
        <v>1</v>
      </c>
      <c r="AE1059">
        <v>0</v>
      </c>
      <c r="AF1059">
        <v>0</v>
      </c>
      <c r="AG1059">
        <v>0</v>
      </c>
      <c r="AI1059">
        <v>0</v>
      </c>
      <c r="AJ1059">
        <v>7</v>
      </c>
      <c r="AK1059">
        <v>154</v>
      </c>
      <c r="AL1059">
        <v>154</v>
      </c>
      <c r="AM1059">
        <v>320</v>
      </c>
      <c r="AN1059">
        <v>44</v>
      </c>
      <c r="AP1059">
        <v>1</v>
      </c>
      <c r="AR1059" t="s">
        <v>1144</v>
      </c>
      <c r="AS1059" s="1">
        <v>44354.080555555556</v>
      </c>
      <c r="AT1059" s="1">
        <v>44354.08934027778</v>
      </c>
      <c r="AU1059" s="1">
        <v>44354.089733796296</v>
      </c>
      <c r="AV1059" t="s">
        <v>71</v>
      </c>
      <c r="AW1059" t="s">
        <v>72</v>
      </c>
      <c r="AX1059" t="s">
        <v>73</v>
      </c>
    </row>
    <row r="1060" spans="1:50" x14ac:dyDescent="0.3">
      <c r="A1060" t="str">
        <f>"201898B0000"</f>
        <v>201898B0000</v>
      </c>
      <c r="B1060" t="str">
        <f>"201898B00002"</f>
        <v>201898B00002</v>
      </c>
      <c r="C1060" t="str">
        <f t="shared" si="46"/>
        <v>20</v>
      </c>
      <c r="D1060" t="s">
        <v>67</v>
      </c>
      <c r="E1060" t="str">
        <f t="shared" si="44"/>
        <v>005</v>
      </c>
      <c r="F1060" t="s">
        <v>962</v>
      </c>
      <c r="G1060" t="str">
        <f>"1898"</f>
        <v>1898</v>
      </c>
      <c r="H1060" t="str">
        <f>"0000"</f>
        <v>0000</v>
      </c>
      <c r="I1060" t="s">
        <v>69</v>
      </c>
      <c r="J1060">
        <v>0</v>
      </c>
      <c r="K1060">
        <v>1</v>
      </c>
      <c r="L1060">
        <v>2</v>
      </c>
      <c r="M1060">
        <v>272</v>
      </c>
      <c r="N1060">
        <v>203</v>
      </c>
      <c r="O1060">
        <v>1</v>
      </c>
      <c r="P1060">
        <v>203</v>
      </c>
      <c r="Q1060">
        <v>4</v>
      </c>
      <c r="R1060">
        <v>82</v>
      </c>
      <c r="S1060">
        <v>2</v>
      </c>
      <c r="T1060">
        <v>2</v>
      </c>
      <c r="U1060">
        <v>41</v>
      </c>
      <c r="V1060">
        <v>2</v>
      </c>
      <c r="W1060">
        <v>12</v>
      </c>
      <c r="X1060">
        <v>39</v>
      </c>
      <c r="Y1060">
        <v>5</v>
      </c>
      <c r="Z1060">
        <v>5</v>
      </c>
      <c r="AA1060">
        <v>0</v>
      </c>
      <c r="AB1060">
        <v>0</v>
      </c>
      <c r="AD1060">
        <v>2</v>
      </c>
      <c r="AE1060">
        <v>1</v>
      </c>
      <c r="AF1060">
        <v>0</v>
      </c>
      <c r="AG1060">
        <v>0</v>
      </c>
      <c r="AI1060">
        <v>0</v>
      </c>
      <c r="AJ1060">
        <v>6</v>
      </c>
      <c r="AK1060">
        <v>203</v>
      </c>
      <c r="AL1060">
        <v>203</v>
      </c>
      <c r="AM1060">
        <v>431</v>
      </c>
      <c r="AN1060">
        <v>44</v>
      </c>
      <c r="AP1060">
        <v>1</v>
      </c>
      <c r="AR1060" t="s">
        <v>1145</v>
      </c>
      <c r="AS1060" s="1">
        <v>44354.213194444441</v>
      </c>
      <c r="AT1060" s="1">
        <v>44354.216377314813</v>
      </c>
      <c r="AU1060" s="1">
        <v>44354.217604166668</v>
      </c>
      <c r="AV1060" t="s">
        <v>71</v>
      </c>
      <c r="AW1060" t="s">
        <v>72</v>
      </c>
      <c r="AX1060" t="s">
        <v>73</v>
      </c>
    </row>
    <row r="1061" spans="1:50" x14ac:dyDescent="0.3">
      <c r="A1061" t="str">
        <f>"201898C0100"</f>
        <v>201898C0100</v>
      </c>
      <c r="B1061" t="str">
        <f>"201898C01002"</f>
        <v>201898C01002</v>
      </c>
      <c r="C1061" t="str">
        <f t="shared" si="46"/>
        <v>20</v>
      </c>
      <c r="D1061" t="s">
        <v>67</v>
      </c>
      <c r="E1061" t="str">
        <f t="shared" si="44"/>
        <v>005</v>
      </c>
      <c r="F1061" t="s">
        <v>962</v>
      </c>
      <c r="G1061" t="str">
        <f>"1898"</f>
        <v>1898</v>
      </c>
      <c r="H1061" t="str">
        <f>"0001"</f>
        <v>0001</v>
      </c>
      <c r="I1061" t="s">
        <v>75</v>
      </c>
      <c r="J1061">
        <v>0</v>
      </c>
      <c r="K1061">
        <v>1</v>
      </c>
      <c r="L1061">
        <v>2</v>
      </c>
      <c r="M1061">
        <v>286</v>
      </c>
      <c r="N1061">
        <v>187</v>
      </c>
      <c r="O1061">
        <v>1</v>
      </c>
      <c r="P1061">
        <v>187</v>
      </c>
      <c r="Q1061">
        <v>0</v>
      </c>
      <c r="R1061">
        <v>89</v>
      </c>
      <c r="S1061">
        <v>2</v>
      </c>
      <c r="T1061">
        <v>4</v>
      </c>
      <c r="U1061">
        <v>32</v>
      </c>
      <c r="V1061">
        <v>0</v>
      </c>
      <c r="W1061">
        <v>11</v>
      </c>
      <c r="X1061">
        <v>27</v>
      </c>
      <c r="Y1061">
        <v>4</v>
      </c>
      <c r="Z1061">
        <v>7</v>
      </c>
      <c r="AA1061">
        <v>2</v>
      </c>
      <c r="AB1061">
        <v>1</v>
      </c>
      <c r="AD1061">
        <v>1</v>
      </c>
      <c r="AE1061">
        <v>0</v>
      </c>
      <c r="AF1061">
        <v>1</v>
      </c>
      <c r="AG1061">
        <v>0</v>
      </c>
      <c r="AI1061">
        <v>0</v>
      </c>
      <c r="AJ1061">
        <v>6</v>
      </c>
      <c r="AK1061">
        <v>187</v>
      </c>
      <c r="AL1061">
        <v>187</v>
      </c>
      <c r="AM1061">
        <v>430</v>
      </c>
      <c r="AN1061">
        <v>44</v>
      </c>
      <c r="AP1061">
        <v>1</v>
      </c>
      <c r="AR1061" t="s">
        <v>1146</v>
      </c>
      <c r="AS1061" s="1">
        <v>44354.213888888888</v>
      </c>
      <c r="AT1061" s="1">
        <v>44354.233888888892</v>
      </c>
      <c r="AU1061" s="1">
        <v>44354.234444444446</v>
      </c>
      <c r="AV1061" t="s">
        <v>71</v>
      </c>
      <c r="AW1061" t="s">
        <v>72</v>
      </c>
      <c r="AX1061" t="s">
        <v>73</v>
      </c>
    </row>
    <row r="1062" spans="1:50" x14ac:dyDescent="0.3">
      <c r="A1062" t="str">
        <f>"201898E0100"</f>
        <v>201898E0100</v>
      </c>
      <c r="B1062" t="str">
        <f>"201898E01002"</f>
        <v>201898E01002</v>
      </c>
      <c r="C1062" t="str">
        <f t="shared" si="46"/>
        <v>20</v>
      </c>
      <c r="D1062" t="s">
        <v>67</v>
      </c>
      <c r="E1062" t="str">
        <f t="shared" si="44"/>
        <v>005</v>
      </c>
      <c r="F1062" t="s">
        <v>962</v>
      </c>
      <c r="G1062" t="str">
        <f>"1898"</f>
        <v>1898</v>
      </c>
      <c r="H1062" t="str">
        <f>"0001"</f>
        <v>0001</v>
      </c>
      <c r="I1062" t="s">
        <v>109</v>
      </c>
      <c r="J1062">
        <v>0</v>
      </c>
      <c r="K1062">
        <v>1</v>
      </c>
      <c r="L1062">
        <v>2</v>
      </c>
      <c r="M1062">
        <v>186</v>
      </c>
      <c r="N1062">
        <v>167</v>
      </c>
      <c r="O1062">
        <v>4</v>
      </c>
      <c r="P1062">
        <v>167</v>
      </c>
      <c r="Q1062">
        <v>1</v>
      </c>
      <c r="R1062">
        <v>38</v>
      </c>
      <c r="S1062">
        <v>0</v>
      </c>
      <c r="T1062">
        <v>0</v>
      </c>
      <c r="U1062">
        <v>75</v>
      </c>
      <c r="V1062">
        <v>1</v>
      </c>
      <c r="W1062">
        <v>17</v>
      </c>
      <c r="X1062">
        <v>22</v>
      </c>
      <c r="Y1062">
        <v>0</v>
      </c>
      <c r="Z1062">
        <v>1</v>
      </c>
      <c r="AA1062">
        <v>0</v>
      </c>
      <c r="AB1062">
        <v>0</v>
      </c>
      <c r="AD1062">
        <v>1</v>
      </c>
      <c r="AE1062">
        <v>0</v>
      </c>
      <c r="AF1062">
        <v>0</v>
      </c>
      <c r="AG1062">
        <v>1</v>
      </c>
      <c r="AI1062">
        <v>0</v>
      </c>
      <c r="AJ1062">
        <v>10</v>
      </c>
      <c r="AK1062">
        <v>167</v>
      </c>
      <c r="AL1062">
        <v>167</v>
      </c>
      <c r="AM1062">
        <v>309</v>
      </c>
      <c r="AN1062">
        <v>44</v>
      </c>
      <c r="AP1062">
        <v>1</v>
      </c>
      <c r="AR1062" t="s">
        <v>1147</v>
      </c>
      <c r="AS1062" s="1">
        <v>44354.214583333334</v>
      </c>
      <c r="AT1062" s="1">
        <v>44354.217314814814</v>
      </c>
      <c r="AU1062" s="1">
        <v>44354.218182870369</v>
      </c>
      <c r="AV1062" t="s">
        <v>71</v>
      </c>
      <c r="AW1062" t="s">
        <v>72</v>
      </c>
      <c r="AX1062" t="s">
        <v>73</v>
      </c>
    </row>
    <row r="1063" spans="1:50" x14ac:dyDescent="0.3">
      <c r="A1063" t="str">
        <f>"201899B0000"</f>
        <v>201899B0000</v>
      </c>
      <c r="B1063" t="str">
        <f>"201899B00002"</f>
        <v>201899B00002</v>
      </c>
      <c r="C1063" t="str">
        <f t="shared" si="46"/>
        <v>20</v>
      </c>
      <c r="D1063" t="s">
        <v>67</v>
      </c>
      <c r="E1063" t="str">
        <f t="shared" si="44"/>
        <v>005</v>
      </c>
      <c r="F1063" t="s">
        <v>962</v>
      </c>
      <c r="G1063" t="str">
        <f>"1899"</f>
        <v>1899</v>
      </c>
      <c r="H1063" t="str">
        <f>"0000"</f>
        <v>0000</v>
      </c>
      <c r="I1063" t="s">
        <v>69</v>
      </c>
      <c r="J1063">
        <v>0</v>
      </c>
      <c r="K1063">
        <v>1</v>
      </c>
      <c r="L1063">
        <v>2</v>
      </c>
      <c r="M1063">
        <v>310</v>
      </c>
      <c r="N1063">
        <v>157</v>
      </c>
      <c r="O1063">
        <v>1</v>
      </c>
      <c r="P1063">
        <v>157</v>
      </c>
      <c r="Q1063">
        <v>0</v>
      </c>
      <c r="R1063">
        <v>44</v>
      </c>
      <c r="S1063">
        <v>0</v>
      </c>
      <c r="T1063">
        <v>2</v>
      </c>
      <c r="U1063">
        <v>86</v>
      </c>
      <c r="V1063">
        <v>1</v>
      </c>
      <c r="W1063">
        <v>2</v>
      </c>
      <c r="X1063">
        <v>9</v>
      </c>
      <c r="Y1063">
        <v>0</v>
      </c>
      <c r="Z1063">
        <v>0</v>
      </c>
      <c r="AA1063">
        <v>0</v>
      </c>
      <c r="AB1063">
        <v>1</v>
      </c>
      <c r="AD1063">
        <v>0</v>
      </c>
      <c r="AE1063">
        <v>0</v>
      </c>
      <c r="AF1063">
        <v>0</v>
      </c>
      <c r="AG1063">
        <v>0</v>
      </c>
      <c r="AI1063">
        <v>0</v>
      </c>
      <c r="AJ1063">
        <v>9</v>
      </c>
      <c r="AK1063">
        <v>154</v>
      </c>
      <c r="AL1063">
        <v>154</v>
      </c>
      <c r="AM1063">
        <v>423</v>
      </c>
      <c r="AN1063">
        <v>44</v>
      </c>
      <c r="AP1063">
        <v>1</v>
      </c>
      <c r="AR1063" t="s">
        <v>1148</v>
      </c>
      <c r="AS1063" s="1">
        <v>44354.216666666667</v>
      </c>
      <c r="AT1063" s="1">
        <v>44354.437037037038</v>
      </c>
      <c r="AU1063" s="1">
        <v>44354.437488425923</v>
      </c>
      <c r="AV1063" t="s">
        <v>71</v>
      </c>
      <c r="AW1063" t="s">
        <v>72</v>
      </c>
      <c r="AX1063" t="s">
        <v>73</v>
      </c>
    </row>
    <row r="1064" spans="1:50" x14ac:dyDescent="0.3">
      <c r="A1064" t="str">
        <f>"201899E0100"</f>
        <v>201899E0100</v>
      </c>
      <c r="B1064" t="str">
        <f>"201899E01002"</f>
        <v>201899E01002</v>
      </c>
      <c r="C1064" t="str">
        <f t="shared" si="46"/>
        <v>20</v>
      </c>
      <c r="D1064" t="s">
        <v>67</v>
      </c>
      <c r="E1064" t="str">
        <f t="shared" si="44"/>
        <v>005</v>
      </c>
      <c r="F1064" t="s">
        <v>962</v>
      </c>
      <c r="G1064" t="str">
        <f>"1899"</f>
        <v>1899</v>
      </c>
      <c r="H1064" t="str">
        <f>"0001"</f>
        <v>0001</v>
      </c>
      <c r="I1064" t="s">
        <v>109</v>
      </c>
      <c r="J1064">
        <v>0</v>
      </c>
      <c r="K1064">
        <v>1</v>
      </c>
      <c r="L1064">
        <v>2</v>
      </c>
      <c r="M1064">
        <v>170</v>
      </c>
      <c r="N1064">
        <v>214</v>
      </c>
      <c r="O1064">
        <v>0</v>
      </c>
      <c r="P1064">
        <v>214</v>
      </c>
      <c r="Q1064">
        <v>2</v>
      </c>
      <c r="R1064">
        <v>82</v>
      </c>
      <c r="S1064">
        <v>1</v>
      </c>
      <c r="T1064">
        <v>1</v>
      </c>
      <c r="U1064">
        <v>35</v>
      </c>
      <c r="V1064">
        <v>1</v>
      </c>
      <c r="W1064">
        <v>16</v>
      </c>
      <c r="X1064">
        <v>32</v>
      </c>
      <c r="Y1064">
        <v>25</v>
      </c>
      <c r="Z1064">
        <v>5</v>
      </c>
      <c r="AA1064">
        <v>0</v>
      </c>
      <c r="AB1064">
        <v>0</v>
      </c>
      <c r="AD1064">
        <v>2</v>
      </c>
      <c r="AE1064">
        <v>3</v>
      </c>
      <c r="AF1064">
        <v>0</v>
      </c>
      <c r="AG1064">
        <v>0</v>
      </c>
      <c r="AI1064">
        <v>0</v>
      </c>
      <c r="AJ1064">
        <v>9</v>
      </c>
      <c r="AK1064">
        <v>214</v>
      </c>
      <c r="AL1064">
        <v>214</v>
      </c>
      <c r="AM1064">
        <v>340</v>
      </c>
      <c r="AN1064">
        <v>44</v>
      </c>
      <c r="AP1064">
        <v>1</v>
      </c>
      <c r="AR1064" t="s">
        <v>1149</v>
      </c>
      <c r="AS1064" s="1">
        <v>44354.21597222222</v>
      </c>
      <c r="AT1064" s="1">
        <v>44354.220879629633</v>
      </c>
      <c r="AU1064" s="1">
        <v>44354.221215277779</v>
      </c>
      <c r="AV1064" t="s">
        <v>71</v>
      </c>
      <c r="AW1064" t="s">
        <v>72</v>
      </c>
      <c r="AX1064" t="s">
        <v>73</v>
      </c>
    </row>
    <row r="1065" spans="1:50" x14ac:dyDescent="0.3">
      <c r="A1065" t="str">
        <f>"201899E0200"</f>
        <v>201899E0200</v>
      </c>
      <c r="B1065" t="str">
        <f>"201899E02002"</f>
        <v>201899E02002</v>
      </c>
      <c r="C1065" t="str">
        <f t="shared" si="46"/>
        <v>20</v>
      </c>
      <c r="D1065" t="s">
        <v>67</v>
      </c>
      <c r="E1065" t="str">
        <f t="shared" si="44"/>
        <v>005</v>
      </c>
      <c r="F1065" t="s">
        <v>962</v>
      </c>
      <c r="G1065" t="str">
        <f>"1899"</f>
        <v>1899</v>
      </c>
      <c r="H1065" t="str">
        <f>"0002"</f>
        <v>0002</v>
      </c>
      <c r="I1065" t="s">
        <v>109</v>
      </c>
      <c r="J1065">
        <v>0</v>
      </c>
      <c r="K1065">
        <v>1</v>
      </c>
      <c r="L1065">
        <v>2</v>
      </c>
      <c r="M1065">
        <v>185</v>
      </c>
      <c r="N1065">
        <v>224</v>
      </c>
      <c r="O1065">
        <v>1</v>
      </c>
      <c r="P1065">
        <v>224</v>
      </c>
      <c r="Q1065">
        <v>5</v>
      </c>
      <c r="R1065">
        <v>90</v>
      </c>
      <c r="S1065">
        <v>2</v>
      </c>
      <c r="T1065">
        <v>1</v>
      </c>
      <c r="U1065">
        <v>58</v>
      </c>
      <c r="V1065">
        <v>3</v>
      </c>
      <c r="W1065">
        <v>10</v>
      </c>
      <c r="X1065">
        <v>16</v>
      </c>
      <c r="Y1065">
        <v>17</v>
      </c>
      <c r="Z1065">
        <v>1</v>
      </c>
      <c r="AA1065">
        <v>0</v>
      </c>
      <c r="AB1065">
        <v>1</v>
      </c>
      <c r="AD1065">
        <v>3</v>
      </c>
      <c r="AE1065">
        <v>2</v>
      </c>
      <c r="AF1065">
        <v>0</v>
      </c>
      <c r="AG1065">
        <v>2</v>
      </c>
      <c r="AI1065">
        <v>0</v>
      </c>
      <c r="AJ1065">
        <v>13</v>
      </c>
      <c r="AK1065">
        <v>224</v>
      </c>
      <c r="AL1065">
        <v>224</v>
      </c>
      <c r="AM1065">
        <v>365</v>
      </c>
      <c r="AN1065">
        <v>44</v>
      </c>
      <c r="AP1065">
        <v>1</v>
      </c>
      <c r="AR1065" t="s">
        <v>1150</v>
      </c>
      <c r="AS1065" s="1">
        <v>44354.217361111114</v>
      </c>
      <c r="AT1065" s="1">
        <v>44354.221562500003</v>
      </c>
      <c r="AU1065" s="1">
        <v>44354.222129629627</v>
      </c>
      <c r="AV1065" t="s">
        <v>71</v>
      </c>
      <c r="AW1065" t="s">
        <v>72</v>
      </c>
      <c r="AX1065" t="s">
        <v>73</v>
      </c>
    </row>
    <row r="1066" spans="1:50" x14ac:dyDescent="0.3">
      <c r="A1066" t="str">
        <f>"201900B0000"</f>
        <v>201900B0000</v>
      </c>
      <c r="B1066" t="str">
        <f>"201900B00002"</f>
        <v>201900B00002</v>
      </c>
      <c r="C1066" t="str">
        <f t="shared" si="46"/>
        <v>20</v>
      </c>
      <c r="D1066" t="s">
        <v>67</v>
      </c>
      <c r="E1066" t="str">
        <f t="shared" si="44"/>
        <v>005</v>
      </c>
      <c r="F1066" t="s">
        <v>962</v>
      </c>
      <c r="G1066" t="str">
        <f>"1900"</f>
        <v>1900</v>
      </c>
      <c r="H1066" t="str">
        <f>"0000"</f>
        <v>0000</v>
      </c>
      <c r="I1066" t="s">
        <v>69</v>
      </c>
      <c r="J1066">
        <v>0</v>
      </c>
      <c r="K1066">
        <v>1</v>
      </c>
      <c r="L1066">
        <v>2</v>
      </c>
      <c r="M1066">
        <v>477</v>
      </c>
      <c r="N1066">
        <v>278</v>
      </c>
      <c r="O1066">
        <v>5</v>
      </c>
      <c r="P1066">
        <v>278</v>
      </c>
      <c r="Q1066">
        <v>5</v>
      </c>
      <c r="R1066">
        <v>94</v>
      </c>
      <c r="S1066">
        <v>12</v>
      </c>
      <c r="T1066">
        <v>7</v>
      </c>
      <c r="U1066">
        <v>31</v>
      </c>
      <c r="V1066">
        <v>2</v>
      </c>
      <c r="W1066">
        <v>4</v>
      </c>
      <c r="X1066">
        <v>100</v>
      </c>
      <c r="Y1066">
        <v>0</v>
      </c>
      <c r="Z1066">
        <v>3</v>
      </c>
      <c r="AA1066">
        <v>3</v>
      </c>
      <c r="AB1066">
        <v>1</v>
      </c>
      <c r="AD1066">
        <v>3</v>
      </c>
      <c r="AE1066">
        <v>0</v>
      </c>
      <c r="AF1066">
        <v>0</v>
      </c>
      <c r="AG1066">
        <v>0</v>
      </c>
      <c r="AI1066">
        <v>0</v>
      </c>
      <c r="AJ1066">
        <v>12</v>
      </c>
      <c r="AK1066">
        <v>278</v>
      </c>
      <c r="AL1066">
        <v>277</v>
      </c>
      <c r="AM1066">
        <v>711</v>
      </c>
      <c r="AN1066">
        <v>44</v>
      </c>
      <c r="AP1066">
        <v>1</v>
      </c>
      <c r="AR1066" t="s">
        <v>1151</v>
      </c>
      <c r="AS1066" s="1">
        <v>44354.311111111114</v>
      </c>
      <c r="AT1066" s="1">
        <v>44354.315312500003</v>
      </c>
      <c r="AU1066" s="1">
        <v>44354.315937500003</v>
      </c>
      <c r="AV1066" t="s">
        <v>71</v>
      </c>
      <c r="AW1066" t="s">
        <v>72</v>
      </c>
      <c r="AX1066" t="s">
        <v>73</v>
      </c>
    </row>
    <row r="1067" spans="1:50" x14ac:dyDescent="0.3">
      <c r="A1067" t="str">
        <f>"201900E0100"</f>
        <v>201900E0100</v>
      </c>
      <c r="B1067" t="str">
        <f>"201900E01002"</f>
        <v>201900E01002</v>
      </c>
      <c r="C1067" t="str">
        <f t="shared" si="46"/>
        <v>20</v>
      </c>
      <c r="D1067" t="s">
        <v>67</v>
      </c>
      <c r="E1067" t="str">
        <f t="shared" si="44"/>
        <v>005</v>
      </c>
      <c r="F1067" t="s">
        <v>962</v>
      </c>
      <c r="G1067" t="str">
        <f>"1900"</f>
        <v>1900</v>
      </c>
      <c r="H1067" t="str">
        <f>"0001"</f>
        <v>0001</v>
      </c>
      <c r="I1067" t="s">
        <v>109</v>
      </c>
      <c r="J1067">
        <v>0</v>
      </c>
      <c r="K1067">
        <v>1</v>
      </c>
      <c r="L1067">
        <v>2</v>
      </c>
      <c r="M1067">
        <v>85</v>
      </c>
      <c r="N1067">
        <v>82</v>
      </c>
      <c r="O1067">
        <v>0</v>
      </c>
      <c r="P1067">
        <v>82</v>
      </c>
      <c r="Q1067">
        <v>1</v>
      </c>
      <c r="R1067">
        <v>17</v>
      </c>
      <c r="S1067">
        <v>1</v>
      </c>
      <c r="T1067">
        <v>0</v>
      </c>
      <c r="U1067">
        <v>44</v>
      </c>
      <c r="V1067">
        <v>0</v>
      </c>
      <c r="W1067">
        <v>1</v>
      </c>
      <c r="X1067">
        <v>9</v>
      </c>
      <c r="Y1067">
        <v>0</v>
      </c>
      <c r="Z1067">
        <v>1</v>
      </c>
      <c r="AA1067">
        <v>0</v>
      </c>
      <c r="AB1067">
        <v>0</v>
      </c>
      <c r="AD1067">
        <v>4</v>
      </c>
      <c r="AE1067">
        <v>1</v>
      </c>
      <c r="AF1067">
        <v>0</v>
      </c>
      <c r="AG1067">
        <v>0</v>
      </c>
      <c r="AI1067">
        <v>0</v>
      </c>
      <c r="AJ1067">
        <v>3</v>
      </c>
      <c r="AK1067">
        <v>82</v>
      </c>
      <c r="AL1067">
        <v>82</v>
      </c>
      <c r="AM1067">
        <v>123</v>
      </c>
      <c r="AN1067">
        <v>44</v>
      </c>
      <c r="AP1067">
        <v>1</v>
      </c>
      <c r="AR1067" t="s">
        <v>1152</v>
      </c>
      <c r="AS1067" s="1">
        <v>44354.211805555555</v>
      </c>
      <c r="AT1067" s="1">
        <v>44354.214548611111</v>
      </c>
      <c r="AU1067" s="1">
        <v>44354.215914351851</v>
      </c>
      <c r="AV1067" t="s">
        <v>71</v>
      </c>
      <c r="AW1067" t="s">
        <v>72</v>
      </c>
      <c r="AX1067" t="s">
        <v>73</v>
      </c>
    </row>
    <row r="1068" spans="1:50" x14ac:dyDescent="0.3">
      <c r="A1068" t="str">
        <f>"201901B0000"</f>
        <v>201901B0000</v>
      </c>
      <c r="B1068" t="str">
        <f>"201901B00002"</f>
        <v>201901B00002</v>
      </c>
      <c r="C1068" t="str">
        <f t="shared" si="46"/>
        <v>20</v>
      </c>
      <c r="D1068" t="s">
        <v>67</v>
      </c>
      <c r="E1068" t="str">
        <f t="shared" si="44"/>
        <v>005</v>
      </c>
      <c r="F1068" t="s">
        <v>962</v>
      </c>
      <c r="G1068" t="str">
        <f>"1901"</f>
        <v>1901</v>
      </c>
      <c r="H1068" t="str">
        <f>"0000"</f>
        <v>0000</v>
      </c>
      <c r="I1068" t="s">
        <v>69</v>
      </c>
      <c r="J1068">
        <v>0</v>
      </c>
      <c r="K1068">
        <v>1</v>
      </c>
      <c r="L1068">
        <v>2</v>
      </c>
      <c r="M1068">
        <v>280</v>
      </c>
      <c r="N1068">
        <v>179</v>
      </c>
      <c r="O1068">
        <v>0</v>
      </c>
      <c r="P1068">
        <v>179</v>
      </c>
      <c r="Q1068">
        <v>9</v>
      </c>
      <c r="R1068">
        <v>38</v>
      </c>
      <c r="S1068">
        <v>12</v>
      </c>
      <c r="T1068">
        <v>1</v>
      </c>
      <c r="U1068">
        <v>31</v>
      </c>
      <c r="V1068">
        <v>2</v>
      </c>
      <c r="W1068">
        <v>2</v>
      </c>
      <c r="X1068">
        <v>66</v>
      </c>
      <c r="Y1068">
        <v>1</v>
      </c>
      <c r="Z1068">
        <v>2</v>
      </c>
      <c r="AA1068">
        <v>4</v>
      </c>
      <c r="AB1068">
        <v>2</v>
      </c>
      <c r="AD1068">
        <v>0</v>
      </c>
      <c r="AE1068">
        <v>1</v>
      </c>
      <c r="AF1068">
        <v>0</v>
      </c>
      <c r="AG1068">
        <v>1</v>
      </c>
      <c r="AI1068">
        <v>0</v>
      </c>
      <c r="AJ1068">
        <v>7</v>
      </c>
      <c r="AK1068">
        <v>179</v>
      </c>
      <c r="AL1068">
        <v>179</v>
      </c>
      <c r="AM1068">
        <v>415</v>
      </c>
      <c r="AN1068">
        <v>44</v>
      </c>
      <c r="AP1068">
        <v>1</v>
      </c>
      <c r="AR1068" t="s">
        <v>1153</v>
      </c>
      <c r="AS1068" s="1">
        <v>44354.349305555559</v>
      </c>
      <c r="AT1068" s="1">
        <v>44354.351493055554</v>
      </c>
      <c r="AU1068" s="1">
        <v>44354.352326388886</v>
      </c>
      <c r="AV1068" t="s">
        <v>71</v>
      </c>
      <c r="AW1068" t="s">
        <v>72</v>
      </c>
      <c r="AX1068" t="s">
        <v>73</v>
      </c>
    </row>
    <row r="1069" spans="1:50" x14ac:dyDescent="0.3">
      <c r="A1069" t="str">
        <f>"201901C0100"</f>
        <v>201901C0100</v>
      </c>
      <c r="B1069" t="str">
        <f>"201901C01002"</f>
        <v>201901C01002</v>
      </c>
      <c r="C1069" t="str">
        <f t="shared" si="46"/>
        <v>20</v>
      </c>
      <c r="D1069" t="s">
        <v>67</v>
      </c>
      <c r="E1069" t="str">
        <f t="shared" si="44"/>
        <v>005</v>
      </c>
      <c r="F1069" t="s">
        <v>962</v>
      </c>
      <c r="G1069" t="str">
        <f>"1901"</f>
        <v>1901</v>
      </c>
      <c r="H1069" t="str">
        <f>"0001"</f>
        <v>0001</v>
      </c>
      <c r="I1069" t="s">
        <v>75</v>
      </c>
      <c r="J1069">
        <v>0</v>
      </c>
      <c r="K1069">
        <v>1</v>
      </c>
      <c r="L1069">
        <v>2</v>
      </c>
      <c r="M1069">
        <v>292</v>
      </c>
      <c r="N1069">
        <v>166</v>
      </c>
      <c r="O1069">
        <v>0</v>
      </c>
      <c r="P1069">
        <v>166</v>
      </c>
      <c r="Q1069">
        <v>0</v>
      </c>
      <c r="R1069">
        <v>36</v>
      </c>
      <c r="S1069">
        <v>15</v>
      </c>
      <c r="T1069">
        <v>4</v>
      </c>
      <c r="U1069">
        <v>35</v>
      </c>
      <c r="V1069">
        <v>1</v>
      </c>
      <c r="W1069">
        <v>1</v>
      </c>
      <c r="X1069">
        <v>59</v>
      </c>
      <c r="Y1069">
        <v>0</v>
      </c>
      <c r="Z1069">
        <v>2</v>
      </c>
      <c r="AA1069">
        <v>4</v>
      </c>
      <c r="AB1069">
        <v>3</v>
      </c>
      <c r="AD1069">
        <v>0</v>
      </c>
      <c r="AE1069">
        <v>0</v>
      </c>
      <c r="AF1069">
        <v>0</v>
      </c>
      <c r="AG1069">
        <v>0</v>
      </c>
      <c r="AI1069">
        <v>0</v>
      </c>
      <c r="AJ1069">
        <v>6</v>
      </c>
      <c r="AK1069">
        <v>166</v>
      </c>
      <c r="AL1069">
        <v>166</v>
      </c>
      <c r="AM1069">
        <v>414</v>
      </c>
      <c r="AN1069">
        <v>44</v>
      </c>
      <c r="AP1069">
        <v>1</v>
      </c>
      <c r="AR1069" t="s">
        <v>1154</v>
      </c>
      <c r="AS1069" s="1">
        <v>44354.348611111112</v>
      </c>
      <c r="AT1069" s="1">
        <v>44354.352037037039</v>
      </c>
      <c r="AU1069" s="1">
        <v>44354.352685185186</v>
      </c>
      <c r="AV1069" t="s">
        <v>71</v>
      </c>
      <c r="AW1069" t="s">
        <v>72</v>
      </c>
      <c r="AX1069" t="s">
        <v>1155</v>
      </c>
    </row>
    <row r="1070" spans="1:50" x14ac:dyDescent="0.3">
      <c r="A1070" t="str">
        <f>"201901E0100"</f>
        <v>201901E0100</v>
      </c>
      <c r="B1070" t="str">
        <f>"201901E01002"</f>
        <v>201901E01002</v>
      </c>
      <c r="C1070" t="str">
        <f t="shared" si="46"/>
        <v>20</v>
      </c>
      <c r="D1070" t="s">
        <v>67</v>
      </c>
      <c r="E1070" t="str">
        <f t="shared" ref="E1070:E1133" si="48">"005"</f>
        <v>005</v>
      </c>
      <c r="F1070" t="s">
        <v>962</v>
      </c>
      <c r="G1070" t="str">
        <f>"1901"</f>
        <v>1901</v>
      </c>
      <c r="H1070" t="str">
        <f>"0001"</f>
        <v>0001</v>
      </c>
      <c r="I1070" t="s">
        <v>109</v>
      </c>
      <c r="J1070">
        <v>0</v>
      </c>
      <c r="K1070">
        <v>1</v>
      </c>
      <c r="L1070">
        <v>2</v>
      </c>
      <c r="M1070">
        <v>118</v>
      </c>
      <c r="N1070">
        <v>92</v>
      </c>
      <c r="O1070">
        <v>5</v>
      </c>
      <c r="P1070">
        <v>92</v>
      </c>
      <c r="Q1070">
        <v>1</v>
      </c>
      <c r="R1070">
        <v>18</v>
      </c>
      <c r="S1070">
        <v>2</v>
      </c>
      <c r="T1070">
        <v>2</v>
      </c>
      <c r="U1070">
        <v>8</v>
      </c>
      <c r="V1070">
        <v>1</v>
      </c>
      <c r="W1070">
        <v>16</v>
      </c>
      <c r="X1070">
        <v>35</v>
      </c>
      <c r="Y1070">
        <v>0</v>
      </c>
      <c r="Z1070">
        <v>1</v>
      </c>
      <c r="AA1070">
        <v>0</v>
      </c>
      <c r="AB1070">
        <v>0</v>
      </c>
      <c r="AD1070">
        <v>1</v>
      </c>
      <c r="AE1070">
        <v>0</v>
      </c>
      <c r="AF1070">
        <v>0</v>
      </c>
      <c r="AG1070">
        <v>1</v>
      </c>
      <c r="AI1070">
        <v>0</v>
      </c>
      <c r="AJ1070">
        <v>6</v>
      </c>
      <c r="AK1070">
        <v>92</v>
      </c>
      <c r="AL1070">
        <v>92</v>
      </c>
      <c r="AM1070">
        <v>166</v>
      </c>
      <c r="AN1070">
        <v>44</v>
      </c>
      <c r="AP1070">
        <v>1</v>
      </c>
      <c r="AR1070" t="s">
        <v>1156</v>
      </c>
      <c r="AS1070" s="1">
        <v>44354.349305555559</v>
      </c>
      <c r="AT1070" s="1">
        <v>44354.3518287037</v>
      </c>
      <c r="AU1070" s="1">
        <v>44354.352268518516</v>
      </c>
      <c r="AV1070" t="s">
        <v>71</v>
      </c>
      <c r="AW1070" t="s">
        <v>72</v>
      </c>
      <c r="AX1070" t="s">
        <v>73</v>
      </c>
    </row>
    <row r="1071" spans="1:50" x14ac:dyDescent="0.3">
      <c r="A1071" t="str">
        <f>"201902B0000"</f>
        <v>201902B0000</v>
      </c>
      <c r="B1071" t="str">
        <f>"201902B00002"</f>
        <v>201902B00002</v>
      </c>
      <c r="C1071" t="str">
        <f t="shared" si="46"/>
        <v>20</v>
      </c>
      <c r="D1071" t="s">
        <v>67</v>
      </c>
      <c r="E1071" t="str">
        <f t="shared" si="48"/>
        <v>005</v>
      </c>
      <c r="F1071" t="s">
        <v>962</v>
      </c>
      <c r="G1071" t="str">
        <f>"1902"</f>
        <v>1902</v>
      </c>
      <c r="H1071" t="str">
        <f>"0000"</f>
        <v>0000</v>
      </c>
      <c r="I1071" t="s">
        <v>69</v>
      </c>
      <c r="J1071">
        <v>0</v>
      </c>
      <c r="K1071">
        <v>1</v>
      </c>
      <c r="L1071">
        <v>2</v>
      </c>
      <c r="M1071">
        <v>147</v>
      </c>
      <c r="N1071">
        <v>90</v>
      </c>
      <c r="O1071">
        <v>2</v>
      </c>
      <c r="P1071">
        <v>90</v>
      </c>
      <c r="Q1071">
        <v>5</v>
      </c>
      <c r="R1071">
        <v>38</v>
      </c>
      <c r="S1071">
        <v>3</v>
      </c>
      <c r="T1071">
        <v>2</v>
      </c>
      <c r="U1071">
        <v>8</v>
      </c>
      <c r="V1071">
        <v>2</v>
      </c>
      <c r="W1071">
        <v>1</v>
      </c>
      <c r="X1071">
        <v>24</v>
      </c>
      <c r="Y1071">
        <v>0</v>
      </c>
      <c r="Z1071">
        <v>0</v>
      </c>
      <c r="AA1071">
        <v>1</v>
      </c>
      <c r="AB1071">
        <v>1</v>
      </c>
      <c r="AD1071">
        <v>0</v>
      </c>
      <c r="AE1071">
        <v>0</v>
      </c>
      <c r="AF1071">
        <v>0</v>
      </c>
      <c r="AG1071">
        <v>1</v>
      </c>
      <c r="AI1071">
        <v>1</v>
      </c>
      <c r="AJ1071">
        <v>3</v>
      </c>
      <c r="AK1071">
        <v>90</v>
      </c>
      <c r="AL1071">
        <v>90</v>
      </c>
      <c r="AM1071">
        <v>193</v>
      </c>
      <c r="AN1071">
        <v>44</v>
      </c>
      <c r="AP1071">
        <v>1</v>
      </c>
      <c r="AR1071" t="s">
        <v>1157</v>
      </c>
      <c r="AS1071" s="1">
        <v>44354.11041666667</v>
      </c>
      <c r="AT1071" s="1">
        <v>44354.115057870367</v>
      </c>
      <c r="AU1071" s="1">
        <v>44354.115636574075</v>
      </c>
      <c r="AV1071" t="s">
        <v>71</v>
      </c>
      <c r="AW1071" t="s">
        <v>72</v>
      </c>
      <c r="AX1071" t="s">
        <v>73</v>
      </c>
    </row>
    <row r="1072" spans="1:50" x14ac:dyDescent="0.3">
      <c r="A1072" t="str">
        <f>"201902E0100"</f>
        <v>201902E0100</v>
      </c>
      <c r="B1072" t="str">
        <f>"201902E01002"</f>
        <v>201902E01002</v>
      </c>
      <c r="C1072" t="str">
        <f t="shared" si="46"/>
        <v>20</v>
      </c>
      <c r="D1072" t="s">
        <v>67</v>
      </c>
      <c r="E1072" t="str">
        <f t="shared" si="48"/>
        <v>005</v>
      </c>
      <c r="F1072" t="s">
        <v>962</v>
      </c>
      <c r="G1072" t="str">
        <f>"1902"</f>
        <v>1902</v>
      </c>
      <c r="H1072" t="str">
        <f>"0001"</f>
        <v>0001</v>
      </c>
      <c r="I1072" t="s">
        <v>109</v>
      </c>
      <c r="J1072">
        <v>0</v>
      </c>
      <c r="K1072">
        <v>1</v>
      </c>
      <c r="L1072">
        <v>2</v>
      </c>
      <c r="M1072">
        <v>419</v>
      </c>
      <c r="N1072">
        <v>270</v>
      </c>
      <c r="O1072">
        <v>2</v>
      </c>
      <c r="P1072">
        <v>270</v>
      </c>
      <c r="Q1072">
        <v>5</v>
      </c>
      <c r="R1072">
        <v>94</v>
      </c>
      <c r="S1072">
        <v>10</v>
      </c>
      <c r="T1072">
        <v>4</v>
      </c>
      <c r="U1072">
        <v>31</v>
      </c>
      <c r="V1072">
        <v>1</v>
      </c>
      <c r="W1072">
        <v>2</v>
      </c>
      <c r="X1072">
        <v>98</v>
      </c>
      <c r="Y1072">
        <v>1</v>
      </c>
      <c r="Z1072">
        <v>2</v>
      </c>
      <c r="AA1072">
        <v>7</v>
      </c>
      <c r="AB1072">
        <v>3</v>
      </c>
      <c r="AD1072">
        <v>1</v>
      </c>
      <c r="AE1072">
        <v>1</v>
      </c>
      <c r="AF1072">
        <v>0</v>
      </c>
      <c r="AG1072">
        <v>0</v>
      </c>
      <c r="AI1072">
        <v>0</v>
      </c>
      <c r="AJ1072">
        <v>10</v>
      </c>
      <c r="AK1072">
        <v>270</v>
      </c>
      <c r="AL1072">
        <v>270</v>
      </c>
      <c r="AM1072">
        <v>645</v>
      </c>
      <c r="AN1072">
        <v>44</v>
      </c>
      <c r="AP1072">
        <v>1</v>
      </c>
      <c r="AR1072" t="s">
        <v>1158</v>
      </c>
      <c r="AS1072" s="1">
        <v>44354.109027777777</v>
      </c>
      <c r="AT1072" s="1">
        <v>44354.121504629627</v>
      </c>
      <c r="AU1072" s="1">
        <v>44354.127928240741</v>
      </c>
      <c r="AV1072" t="s">
        <v>71</v>
      </c>
      <c r="AW1072" t="s">
        <v>72</v>
      </c>
      <c r="AX1072" t="s">
        <v>73</v>
      </c>
    </row>
    <row r="1073" spans="1:50" x14ac:dyDescent="0.3">
      <c r="A1073" t="str">
        <f>"201902E0200"</f>
        <v>201902E0200</v>
      </c>
      <c r="B1073" t="str">
        <f>"201902E02002"</f>
        <v>201902E02002</v>
      </c>
      <c r="C1073" t="str">
        <f t="shared" si="46"/>
        <v>20</v>
      </c>
      <c r="D1073" t="s">
        <v>67</v>
      </c>
      <c r="E1073" t="str">
        <f t="shared" si="48"/>
        <v>005</v>
      </c>
      <c r="F1073" t="s">
        <v>962</v>
      </c>
      <c r="G1073" t="str">
        <f>"1902"</f>
        <v>1902</v>
      </c>
      <c r="H1073" t="str">
        <f>"0002"</f>
        <v>0002</v>
      </c>
      <c r="I1073" t="s">
        <v>109</v>
      </c>
      <c r="J1073">
        <v>0</v>
      </c>
      <c r="K1073">
        <v>1</v>
      </c>
      <c r="L1073">
        <v>2</v>
      </c>
      <c r="M1073">
        <v>158</v>
      </c>
      <c r="N1073">
        <v>118</v>
      </c>
      <c r="O1073">
        <v>3</v>
      </c>
      <c r="P1073">
        <v>118</v>
      </c>
      <c r="Q1073">
        <v>0</v>
      </c>
      <c r="R1073">
        <v>30</v>
      </c>
      <c r="S1073">
        <v>3</v>
      </c>
      <c r="T1073">
        <v>5</v>
      </c>
      <c r="U1073">
        <v>11</v>
      </c>
      <c r="V1073">
        <v>0</v>
      </c>
      <c r="W1073">
        <v>9</v>
      </c>
      <c r="X1073">
        <v>44</v>
      </c>
      <c r="Y1073">
        <v>1</v>
      </c>
      <c r="Z1073">
        <v>2</v>
      </c>
      <c r="AA1073">
        <v>3</v>
      </c>
      <c r="AB1073">
        <v>1</v>
      </c>
      <c r="AD1073">
        <v>0</v>
      </c>
      <c r="AE1073">
        <v>0</v>
      </c>
      <c r="AF1073">
        <v>0</v>
      </c>
      <c r="AG1073">
        <v>0</v>
      </c>
      <c r="AI1073">
        <v>0</v>
      </c>
      <c r="AJ1073">
        <v>9</v>
      </c>
      <c r="AK1073">
        <v>118</v>
      </c>
      <c r="AL1073">
        <v>118</v>
      </c>
      <c r="AM1073">
        <v>232</v>
      </c>
      <c r="AN1073">
        <v>44</v>
      </c>
      <c r="AP1073">
        <v>1</v>
      </c>
      <c r="AR1073" t="s">
        <v>1159</v>
      </c>
      <c r="AS1073" s="1">
        <v>44354.109722222223</v>
      </c>
      <c r="AT1073" s="1">
        <v>44354.114224537036</v>
      </c>
      <c r="AU1073" s="1">
        <v>44354.114837962959</v>
      </c>
      <c r="AV1073" t="s">
        <v>71</v>
      </c>
      <c r="AW1073" t="s">
        <v>72</v>
      </c>
      <c r="AX1073" t="s">
        <v>73</v>
      </c>
    </row>
    <row r="1074" spans="1:50" x14ac:dyDescent="0.3">
      <c r="A1074" t="str">
        <f>"201960B0000"</f>
        <v>201960B0000</v>
      </c>
      <c r="B1074" t="str">
        <f>"201960B00002"</f>
        <v>201960B00002</v>
      </c>
      <c r="C1074" t="str">
        <f t="shared" si="46"/>
        <v>20</v>
      </c>
      <c r="D1074" t="s">
        <v>67</v>
      </c>
      <c r="E1074" t="str">
        <f t="shared" si="48"/>
        <v>005</v>
      </c>
      <c r="F1074" t="s">
        <v>962</v>
      </c>
      <c r="G1074" t="str">
        <f>"1960"</f>
        <v>1960</v>
      </c>
      <c r="H1074" t="str">
        <f t="shared" ref="H1074:H1089" si="49">"0000"</f>
        <v>0000</v>
      </c>
      <c r="I1074" t="s">
        <v>69</v>
      </c>
      <c r="J1074">
        <v>0</v>
      </c>
      <c r="K1074">
        <v>1</v>
      </c>
      <c r="L1074">
        <v>2</v>
      </c>
      <c r="M1074">
        <v>165</v>
      </c>
      <c r="N1074">
        <v>210</v>
      </c>
      <c r="O1074">
        <v>4</v>
      </c>
      <c r="P1074">
        <v>210</v>
      </c>
      <c r="Q1074">
        <v>6</v>
      </c>
      <c r="R1074">
        <v>14</v>
      </c>
      <c r="S1074">
        <v>13</v>
      </c>
      <c r="T1074">
        <v>2</v>
      </c>
      <c r="U1074">
        <v>11</v>
      </c>
      <c r="V1074">
        <v>7</v>
      </c>
      <c r="W1074">
        <v>16</v>
      </c>
      <c r="X1074">
        <v>90</v>
      </c>
      <c r="Y1074">
        <v>2</v>
      </c>
      <c r="Z1074">
        <v>5</v>
      </c>
      <c r="AA1074">
        <v>22</v>
      </c>
      <c r="AB1074">
        <v>4</v>
      </c>
      <c r="AD1074" t="s">
        <v>77</v>
      </c>
      <c r="AE1074" t="s">
        <v>77</v>
      </c>
      <c r="AF1074" t="s">
        <v>77</v>
      </c>
      <c r="AG1074" t="s">
        <v>77</v>
      </c>
      <c r="AI1074" t="s">
        <v>77</v>
      </c>
      <c r="AJ1074">
        <v>18</v>
      </c>
      <c r="AK1074" t="s">
        <v>77</v>
      </c>
      <c r="AL1074">
        <v>210</v>
      </c>
      <c r="AM1074">
        <v>331</v>
      </c>
      <c r="AN1074">
        <v>44</v>
      </c>
      <c r="AO1074" t="s">
        <v>78</v>
      </c>
      <c r="AP1074">
        <v>1</v>
      </c>
      <c r="AR1074" t="s">
        <v>1160</v>
      </c>
      <c r="AS1074" s="1">
        <v>44354.079861111109</v>
      </c>
      <c r="AT1074" s="1">
        <v>44354.089062500003</v>
      </c>
      <c r="AU1074" s="1">
        <v>44354.090381944443</v>
      </c>
      <c r="AV1074" t="s">
        <v>71</v>
      </c>
      <c r="AW1074" t="s">
        <v>72</v>
      </c>
      <c r="AX1074" t="s">
        <v>73</v>
      </c>
    </row>
    <row r="1075" spans="1:50" x14ac:dyDescent="0.3">
      <c r="A1075" t="str">
        <f>"201961B0000"</f>
        <v>201961B0000</v>
      </c>
      <c r="B1075" t="str">
        <f>"201961B00002"</f>
        <v>201961B00002</v>
      </c>
      <c r="C1075" t="str">
        <f t="shared" si="46"/>
        <v>20</v>
      </c>
      <c r="D1075" t="s">
        <v>67</v>
      </c>
      <c r="E1075" t="str">
        <f t="shared" si="48"/>
        <v>005</v>
      </c>
      <c r="F1075" t="s">
        <v>962</v>
      </c>
      <c r="G1075" t="str">
        <f>"1961"</f>
        <v>1961</v>
      </c>
      <c r="H1075" t="str">
        <f t="shared" si="49"/>
        <v>0000</v>
      </c>
      <c r="I1075" t="s">
        <v>69</v>
      </c>
      <c r="J1075">
        <v>0</v>
      </c>
      <c r="K1075">
        <v>1</v>
      </c>
      <c r="L1075">
        <v>2</v>
      </c>
      <c r="M1075">
        <v>360</v>
      </c>
      <c r="N1075">
        <v>141</v>
      </c>
      <c r="O1075">
        <v>0</v>
      </c>
      <c r="P1075">
        <v>141</v>
      </c>
      <c r="Q1075">
        <v>4</v>
      </c>
      <c r="R1075">
        <v>26</v>
      </c>
      <c r="S1075">
        <v>7</v>
      </c>
      <c r="T1075">
        <v>18</v>
      </c>
      <c r="U1075">
        <v>7</v>
      </c>
      <c r="V1075">
        <v>2</v>
      </c>
      <c r="W1075">
        <v>3</v>
      </c>
      <c r="X1075">
        <v>51</v>
      </c>
      <c r="Y1075">
        <v>2</v>
      </c>
      <c r="Z1075">
        <v>9</v>
      </c>
      <c r="AA1075">
        <v>4</v>
      </c>
      <c r="AB1075">
        <v>0</v>
      </c>
      <c r="AD1075">
        <v>0</v>
      </c>
      <c r="AE1075">
        <v>0</v>
      </c>
      <c r="AF1075">
        <v>0</v>
      </c>
      <c r="AG1075">
        <v>0</v>
      </c>
      <c r="AI1075">
        <v>0</v>
      </c>
      <c r="AJ1075">
        <v>0</v>
      </c>
      <c r="AK1075">
        <v>0</v>
      </c>
      <c r="AL1075">
        <v>133</v>
      </c>
      <c r="AM1075">
        <v>457</v>
      </c>
      <c r="AN1075">
        <v>44</v>
      </c>
      <c r="AP1075">
        <v>1</v>
      </c>
      <c r="AR1075" t="s">
        <v>1161</v>
      </c>
      <c r="AS1075" s="1">
        <v>44354.079861111109</v>
      </c>
      <c r="AT1075" s="1">
        <v>44354.088923611111</v>
      </c>
      <c r="AU1075" s="1">
        <v>44354.089328703703</v>
      </c>
      <c r="AV1075" t="s">
        <v>71</v>
      </c>
      <c r="AW1075" t="s">
        <v>72</v>
      </c>
      <c r="AX1075" t="s">
        <v>73</v>
      </c>
    </row>
    <row r="1076" spans="1:50" x14ac:dyDescent="0.3">
      <c r="A1076" t="str">
        <f>"201973B0000"</f>
        <v>201973B0000</v>
      </c>
      <c r="B1076" t="str">
        <f>"201973B00002"</f>
        <v>201973B00002</v>
      </c>
      <c r="C1076" t="str">
        <f t="shared" si="46"/>
        <v>20</v>
      </c>
      <c r="D1076" t="s">
        <v>67</v>
      </c>
      <c r="E1076" t="str">
        <f t="shared" si="48"/>
        <v>005</v>
      </c>
      <c r="F1076" t="s">
        <v>962</v>
      </c>
      <c r="G1076" t="str">
        <f>"1973"</f>
        <v>1973</v>
      </c>
      <c r="H1076" t="str">
        <f t="shared" si="49"/>
        <v>0000</v>
      </c>
      <c r="I1076" t="s">
        <v>69</v>
      </c>
      <c r="J1076">
        <v>0</v>
      </c>
      <c r="K1076">
        <v>1</v>
      </c>
      <c r="L1076">
        <v>2</v>
      </c>
      <c r="M1076">
        <v>161</v>
      </c>
      <c r="N1076">
        <v>438</v>
      </c>
      <c r="O1076">
        <v>6</v>
      </c>
      <c r="P1076">
        <v>438</v>
      </c>
      <c r="Q1076">
        <v>150</v>
      </c>
      <c r="R1076">
        <v>96</v>
      </c>
      <c r="S1076">
        <v>1</v>
      </c>
      <c r="T1076">
        <v>2</v>
      </c>
      <c r="U1076">
        <v>5</v>
      </c>
      <c r="V1076">
        <v>3</v>
      </c>
      <c r="W1076">
        <v>0</v>
      </c>
      <c r="X1076">
        <v>138</v>
      </c>
      <c r="Y1076">
        <v>1</v>
      </c>
      <c r="Z1076">
        <v>1</v>
      </c>
      <c r="AA1076">
        <v>3</v>
      </c>
      <c r="AB1076">
        <v>3</v>
      </c>
      <c r="AD1076">
        <v>2</v>
      </c>
      <c r="AE1076">
        <v>4</v>
      </c>
      <c r="AF1076">
        <v>1</v>
      </c>
      <c r="AG1076">
        <v>0</v>
      </c>
      <c r="AI1076">
        <v>0</v>
      </c>
      <c r="AJ1076">
        <v>28</v>
      </c>
      <c r="AK1076">
        <v>438</v>
      </c>
      <c r="AL1076">
        <v>438</v>
      </c>
      <c r="AM1076">
        <v>555</v>
      </c>
      <c r="AN1076">
        <v>44</v>
      </c>
      <c r="AP1076">
        <v>1</v>
      </c>
      <c r="AR1076" t="s">
        <v>1162</v>
      </c>
      <c r="AS1076" s="1">
        <v>44354.174305555556</v>
      </c>
      <c r="AT1076" s="1">
        <v>44354.177384259259</v>
      </c>
      <c r="AU1076" s="1">
        <v>44354.177835648145</v>
      </c>
      <c r="AV1076" t="s">
        <v>71</v>
      </c>
      <c r="AW1076" t="s">
        <v>72</v>
      </c>
      <c r="AX1076" t="s">
        <v>73</v>
      </c>
    </row>
    <row r="1077" spans="1:50" x14ac:dyDescent="0.3">
      <c r="A1077" t="str">
        <f>"201974B0000"</f>
        <v>201974B0000</v>
      </c>
      <c r="B1077" t="str">
        <f>"201974B00002"</f>
        <v>201974B00002</v>
      </c>
      <c r="C1077" t="str">
        <f t="shared" si="46"/>
        <v>20</v>
      </c>
      <c r="D1077" t="s">
        <v>67</v>
      </c>
      <c r="E1077" t="str">
        <f t="shared" si="48"/>
        <v>005</v>
      </c>
      <c r="F1077" t="s">
        <v>962</v>
      </c>
      <c r="G1077" t="str">
        <f>"1974"</f>
        <v>1974</v>
      </c>
      <c r="H1077" t="str">
        <f t="shared" si="49"/>
        <v>0000</v>
      </c>
      <c r="I1077" t="s">
        <v>69</v>
      </c>
      <c r="J1077">
        <v>0</v>
      </c>
      <c r="K1077">
        <v>1</v>
      </c>
      <c r="L1077">
        <v>2</v>
      </c>
      <c r="M1077">
        <v>143</v>
      </c>
      <c r="N1077">
        <v>382</v>
      </c>
      <c r="O1077" t="s">
        <v>80</v>
      </c>
      <c r="P1077" t="s">
        <v>80</v>
      </c>
      <c r="Q1077">
        <v>155</v>
      </c>
      <c r="R1077">
        <v>104</v>
      </c>
      <c r="S1077">
        <v>3</v>
      </c>
      <c r="T1077">
        <v>2</v>
      </c>
      <c r="U1077">
        <v>6</v>
      </c>
      <c r="V1077">
        <v>3</v>
      </c>
      <c r="W1077">
        <v>1</v>
      </c>
      <c r="X1077">
        <v>80</v>
      </c>
      <c r="Y1077">
        <v>1</v>
      </c>
      <c r="Z1077">
        <v>2</v>
      </c>
      <c r="AA1077">
        <v>4</v>
      </c>
      <c r="AB1077">
        <v>2</v>
      </c>
      <c r="AD1077">
        <v>4</v>
      </c>
      <c r="AE1077">
        <v>5</v>
      </c>
      <c r="AF1077" t="s">
        <v>77</v>
      </c>
      <c r="AG1077" t="s">
        <v>77</v>
      </c>
      <c r="AI1077" t="s">
        <v>77</v>
      </c>
      <c r="AJ1077">
        <v>10</v>
      </c>
      <c r="AK1077">
        <v>382</v>
      </c>
      <c r="AL1077">
        <v>382</v>
      </c>
      <c r="AM1077">
        <v>481</v>
      </c>
      <c r="AN1077">
        <v>44</v>
      </c>
      <c r="AO1077" t="s">
        <v>78</v>
      </c>
      <c r="AP1077">
        <v>1</v>
      </c>
      <c r="AR1077" t="s">
        <v>1163</v>
      </c>
      <c r="AS1077" s="1">
        <v>44353.973865740743</v>
      </c>
      <c r="AT1077" s="1">
        <v>44353.976041666669</v>
      </c>
      <c r="AU1077" s="1">
        <v>44353.976770833331</v>
      </c>
      <c r="AV1077" t="s">
        <v>269</v>
      </c>
      <c r="AW1077" t="s">
        <v>270</v>
      </c>
      <c r="AX1077" t="s">
        <v>73</v>
      </c>
    </row>
    <row r="1078" spans="1:50" x14ac:dyDescent="0.3">
      <c r="A1078" t="str">
        <f>"201975B0000"</f>
        <v>201975B0000</v>
      </c>
      <c r="B1078" t="str">
        <f>"201975B00002"</f>
        <v>201975B00002</v>
      </c>
      <c r="C1078" t="str">
        <f t="shared" si="46"/>
        <v>20</v>
      </c>
      <c r="D1078" t="s">
        <v>67</v>
      </c>
      <c r="E1078" t="str">
        <f t="shared" si="48"/>
        <v>005</v>
      </c>
      <c r="F1078" t="s">
        <v>962</v>
      </c>
      <c r="G1078" t="str">
        <f>"1975"</f>
        <v>1975</v>
      </c>
      <c r="H1078" t="str">
        <f t="shared" si="49"/>
        <v>0000</v>
      </c>
      <c r="I1078" t="s">
        <v>69</v>
      </c>
      <c r="J1078">
        <v>0</v>
      </c>
      <c r="K1078">
        <v>1</v>
      </c>
      <c r="L1078">
        <v>2</v>
      </c>
      <c r="M1078">
        <v>205</v>
      </c>
      <c r="N1078">
        <v>380</v>
      </c>
      <c r="O1078">
        <v>5</v>
      </c>
      <c r="P1078">
        <v>382</v>
      </c>
      <c r="Q1078">
        <v>56</v>
      </c>
      <c r="R1078">
        <v>115</v>
      </c>
      <c r="S1078">
        <v>1</v>
      </c>
      <c r="T1078">
        <v>0</v>
      </c>
      <c r="U1078">
        <v>1</v>
      </c>
      <c r="V1078">
        <v>6</v>
      </c>
      <c r="W1078">
        <v>0</v>
      </c>
      <c r="X1078">
        <v>176</v>
      </c>
      <c r="Y1078">
        <v>0</v>
      </c>
      <c r="Z1078">
        <v>15</v>
      </c>
      <c r="AA1078">
        <v>1</v>
      </c>
      <c r="AB1078">
        <v>1</v>
      </c>
      <c r="AD1078">
        <v>1</v>
      </c>
      <c r="AE1078">
        <v>0</v>
      </c>
      <c r="AF1078">
        <v>0</v>
      </c>
      <c r="AG1078">
        <v>0</v>
      </c>
      <c r="AI1078">
        <v>0</v>
      </c>
      <c r="AJ1078">
        <v>7</v>
      </c>
      <c r="AK1078">
        <v>380</v>
      </c>
      <c r="AL1078">
        <v>380</v>
      </c>
      <c r="AM1078">
        <v>543</v>
      </c>
      <c r="AN1078">
        <v>44</v>
      </c>
      <c r="AP1078">
        <v>1</v>
      </c>
      <c r="AR1078" t="s">
        <v>1164</v>
      </c>
      <c r="AS1078" s="1">
        <v>44353.935173611113</v>
      </c>
      <c r="AT1078" s="1">
        <v>44353.968622685185</v>
      </c>
      <c r="AU1078" s="1">
        <v>44353.969409722224</v>
      </c>
      <c r="AV1078" t="s">
        <v>269</v>
      </c>
      <c r="AW1078" t="s">
        <v>270</v>
      </c>
      <c r="AX1078" t="s">
        <v>73</v>
      </c>
    </row>
    <row r="1079" spans="1:50" x14ac:dyDescent="0.3">
      <c r="A1079" t="str">
        <f>"201999B0000"</f>
        <v>201999B0000</v>
      </c>
      <c r="B1079" t="str">
        <f>"201999B00002"</f>
        <v>201999B00002</v>
      </c>
      <c r="C1079" t="str">
        <f t="shared" si="46"/>
        <v>20</v>
      </c>
      <c r="D1079" t="s">
        <v>67</v>
      </c>
      <c r="E1079" t="str">
        <f t="shared" si="48"/>
        <v>005</v>
      </c>
      <c r="F1079" t="s">
        <v>962</v>
      </c>
      <c r="G1079" t="str">
        <f>"1999"</f>
        <v>1999</v>
      </c>
      <c r="H1079" t="str">
        <f t="shared" si="49"/>
        <v>0000</v>
      </c>
      <c r="I1079" t="s">
        <v>69</v>
      </c>
      <c r="J1079">
        <v>0</v>
      </c>
      <c r="K1079">
        <v>1</v>
      </c>
      <c r="L1079">
        <v>2</v>
      </c>
      <c r="M1079">
        <v>225</v>
      </c>
      <c r="N1079">
        <v>115</v>
      </c>
      <c r="O1079">
        <v>0</v>
      </c>
      <c r="P1079">
        <v>115</v>
      </c>
      <c r="Q1079">
        <v>1</v>
      </c>
      <c r="R1079">
        <v>22</v>
      </c>
      <c r="S1079">
        <v>2</v>
      </c>
      <c r="T1079">
        <v>2</v>
      </c>
      <c r="U1079">
        <v>4</v>
      </c>
      <c r="V1079">
        <v>1</v>
      </c>
      <c r="W1079">
        <v>1</v>
      </c>
      <c r="X1079">
        <v>74</v>
      </c>
      <c r="Y1079">
        <v>1</v>
      </c>
      <c r="Z1079">
        <v>1</v>
      </c>
      <c r="AA1079">
        <v>1</v>
      </c>
      <c r="AB1079">
        <v>0</v>
      </c>
      <c r="AD1079">
        <v>0</v>
      </c>
      <c r="AE1079">
        <v>0</v>
      </c>
      <c r="AF1079">
        <v>0</v>
      </c>
      <c r="AG1079">
        <v>0</v>
      </c>
      <c r="AI1079">
        <v>0</v>
      </c>
      <c r="AJ1079">
        <v>5</v>
      </c>
      <c r="AK1079">
        <v>115</v>
      </c>
      <c r="AL1079">
        <v>115</v>
      </c>
      <c r="AM1079">
        <v>296</v>
      </c>
      <c r="AN1079">
        <v>44</v>
      </c>
      <c r="AP1079">
        <v>1</v>
      </c>
      <c r="AR1079" t="s">
        <v>1165</v>
      </c>
      <c r="AS1079" s="1">
        <v>44354.20208333333</v>
      </c>
      <c r="AT1079" s="1">
        <v>44354.205138888887</v>
      </c>
      <c r="AU1079" s="1">
        <v>44354.207048611112</v>
      </c>
      <c r="AV1079" t="s">
        <v>71</v>
      </c>
      <c r="AW1079" t="s">
        <v>72</v>
      </c>
      <c r="AX1079" t="s">
        <v>73</v>
      </c>
    </row>
    <row r="1080" spans="1:50" x14ac:dyDescent="0.3">
      <c r="A1080" t="str">
        <f>"202000B0000"</f>
        <v>202000B0000</v>
      </c>
      <c r="B1080" t="str">
        <f>"202000B00002"</f>
        <v>202000B00002</v>
      </c>
      <c r="C1080" t="str">
        <f t="shared" si="46"/>
        <v>20</v>
      </c>
      <c r="D1080" t="s">
        <v>67</v>
      </c>
      <c r="E1080" t="str">
        <f t="shared" si="48"/>
        <v>005</v>
      </c>
      <c r="F1080" t="s">
        <v>962</v>
      </c>
      <c r="G1080" t="str">
        <f>"2000"</f>
        <v>2000</v>
      </c>
      <c r="H1080" t="str">
        <f t="shared" si="49"/>
        <v>0000</v>
      </c>
      <c r="I1080" t="s">
        <v>69</v>
      </c>
      <c r="J1080">
        <v>0</v>
      </c>
      <c r="K1080">
        <v>1</v>
      </c>
      <c r="L1080">
        <v>2</v>
      </c>
      <c r="M1080">
        <v>65</v>
      </c>
      <c r="N1080">
        <v>45</v>
      </c>
      <c r="O1080">
        <v>0</v>
      </c>
      <c r="P1080">
        <v>45</v>
      </c>
      <c r="Q1080">
        <v>2</v>
      </c>
      <c r="R1080">
        <v>4</v>
      </c>
      <c r="S1080">
        <v>5</v>
      </c>
      <c r="T1080">
        <v>0</v>
      </c>
      <c r="U1080">
        <v>0</v>
      </c>
      <c r="V1080">
        <v>1</v>
      </c>
      <c r="W1080">
        <v>0</v>
      </c>
      <c r="X1080">
        <v>28</v>
      </c>
      <c r="Y1080">
        <v>3</v>
      </c>
      <c r="Z1080">
        <v>2</v>
      </c>
      <c r="AA1080">
        <v>0</v>
      </c>
      <c r="AB1080">
        <v>0</v>
      </c>
      <c r="AD1080">
        <v>0</v>
      </c>
      <c r="AE1080">
        <v>0</v>
      </c>
      <c r="AF1080">
        <v>0</v>
      </c>
      <c r="AG1080">
        <v>0</v>
      </c>
      <c r="AI1080">
        <v>0</v>
      </c>
      <c r="AJ1080">
        <v>0</v>
      </c>
      <c r="AK1080">
        <v>45</v>
      </c>
      <c r="AL1080">
        <v>45</v>
      </c>
      <c r="AM1080">
        <v>66</v>
      </c>
      <c r="AN1080">
        <v>44</v>
      </c>
      <c r="AP1080">
        <v>1</v>
      </c>
      <c r="AR1080" t="s">
        <v>1166</v>
      </c>
      <c r="AS1080" s="1">
        <v>44354.073611111111</v>
      </c>
      <c r="AT1080" s="1">
        <v>44354.081932870373</v>
      </c>
      <c r="AU1080" s="1">
        <v>44354.082349537035</v>
      </c>
      <c r="AV1080" t="s">
        <v>71</v>
      </c>
      <c r="AW1080" t="s">
        <v>72</v>
      </c>
      <c r="AX1080" t="s">
        <v>73</v>
      </c>
    </row>
    <row r="1081" spans="1:50" x14ac:dyDescent="0.3">
      <c r="A1081" t="str">
        <f>"202001B0000"</f>
        <v>202001B0000</v>
      </c>
      <c r="B1081" t="str">
        <f>"202001B00002"</f>
        <v>202001B00002</v>
      </c>
      <c r="C1081" t="str">
        <f t="shared" si="46"/>
        <v>20</v>
      </c>
      <c r="D1081" t="s">
        <v>67</v>
      </c>
      <c r="E1081" t="str">
        <f t="shared" si="48"/>
        <v>005</v>
      </c>
      <c r="F1081" t="s">
        <v>962</v>
      </c>
      <c r="G1081" t="str">
        <f>"2001"</f>
        <v>2001</v>
      </c>
      <c r="H1081" t="str">
        <f t="shared" si="49"/>
        <v>0000</v>
      </c>
      <c r="I1081" t="s">
        <v>69</v>
      </c>
      <c r="J1081">
        <v>0</v>
      </c>
      <c r="K1081">
        <v>1</v>
      </c>
      <c r="L1081">
        <v>2</v>
      </c>
      <c r="M1081">
        <v>72</v>
      </c>
      <c r="N1081">
        <v>49</v>
      </c>
      <c r="O1081">
        <v>0</v>
      </c>
      <c r="P1081">
        <v>49</v>
      </c>
      <c r="Q1081">
        <v>0</v>
      </c>
      <c r="R1081">
        <v>4</v>
      </c>
      <c r="S1081">
        <v>0</v>
      </c>
      <c r="T1081">
        <v>0</v>
      </c>
      <c r="U1081">
        <v>9</v>
      </c>
      <c r="V1081">
        <v>1</v>
      </c>
      <c r="W1081">
        <v>1</v>
      </c>
      <c r="X1081">
        <v>30</v>
      </c>
      <c r="Y1081">
        <v>3</v>
      </c>
      <c r="Z1081">
        <v>0</v>
      </c>
      <c r="AA1081">
        <v>0</v>
      </c>
      <c r="AB1081">
        <v>0</v>
      </c>
      <c r="AD1081">
        <v>0</v>
      </c>
      <c r="AE1081">
        <v>0</v>
      </c>
      <c r="AF1081">
        <v>0</v>
      </c>
      <c r="AG1081">
        <v>0</v>
      </c>
      <c r="AI1081">
        <v>0</v>
      </c>
      <c r="AJ1081">
        <v>1</v>
      </c>
      <c r="AK1081">
        <v>49</v>
      </c>
      <c r="AL1081">
        <v>49</v>
      </c>
      <c r="AM1081">
        <v>77</v>
      </c>
      <c r="AN1081">
        <v>44</v>
      </c>
      <c r="AP1081">
        <v>1</v>
      </c>
      <c r="AR1081" t="s">
        <v>1167</v>
      </c>
      <c r="AS1081" s="1">
        <v>44354.074305555558</v>
      </c>
      <c r="AT1081" s="1">
        <v>44354.081793981481</v>
      </c>
      <c r="AU1081" s="1">
        <v>44354.082199074073</v>
      </c>
      <c r="AV1081" t="s">
        <v>71</v>
      </c>
      <c r="AW1081" t="s">
        <v>72</v>
      </c>
      <c r="AX1081" t="s">
        <v>73</v>
      </c>
    </row>
    <row r="1082" spans="1:50" x14ac:dyDescent="0.3">
      <c r="A1082" t="str">
        <f>"202002B0000"</f>
        <v>202002B0000</v>
      </c>
      <c r="B1082" t="str">
        <f>"202002B00002"</f>
        <v>202002B00002</v>
      </c>
      <c r="C1082" t="str">
        <f t="shared" si="46"/>
        <v>20</v>
      </c>
      <c r="D1082" t="s">
        <v>67</v>
      </c>
      <c r="E1082" t="str">
        <f t="shared" si="48"/>
        <v>005</v>
      </c>
      <c r="F1082" t="s">
        <v>962</v>
      </c>
      <c r="G1082" t="str">
        <f>"2002"</f>
        <v>2002</v>
      </c>
      <c r="H1082" t="str">
        <f t="shared" si="49"/>
        <v>0000</v>
      </c>
      <c r="I1082" t="s">
        <v>69</v>
      </c>
      <c r="J1082">
        <v>0</v>
      </c>
      <c r="K1082">
        <v>1</v>
      </c>
      <c r="L1082">
        <v>2</v>
      </c>
      <c r="M1082">
        <v>135</v>
      </c>
      <c r="N1082">
        <v>85</v>
      </c>
      <c r="O1082">
        <v>1</v>
      </c>
      <c r="P1082">
        <v>85</v>
      </c>
      <c r="Q1082">
        <v>0</v>
      </c>
      <c r="R1082">
        <v>8</v>
      </c>
      <c r="S1082">
        <v>2</v>
      </c>
      <c r="T1082">
        <v>1</v>
      </c>
      <c r="U1082">
        <v>3</v>
      </c>
      <c r="V1082">
        <v>0</v>
      </c>
      <c r="W1082">
        <v>0</v>
      </c>
      <c r="X1082">
        <v>59</v>
      </c>
      <c r="Y1082">
        <v>4</v>
      </c>
      <c r="Z1082">
        <v>1</v>
      </c>
      <c r="AA1082">
        <v>0</v>
      </c>
      <c r="AB1082">
        <v>0</v>
      </c>
      <c r="AD1082">
        <v>0</v>
      </c>
      <c r="AE1082">
        <v>0</v>
      </c>
      <c r="AF1082">
        <v>0</v>
      </c>
      <c r="AG1082">
        <v>0</v>
      </c>
      <c r="AI1082">
        <v>0</v>
      </c>
      <c r="AJ1082">
        <v>7</v>
      </c>
      <c r="AK1082">
        <v>85</v>
      </c>
      <c r="AL1082">
        <v>85</v>
      </c>
      <c r="AM1082">
        <v>176</v>
      </c>
      <c r="AN1082">
        <v>44</v>
      </c>
      <c r="AP1082">
        <v>1</v>
      </c>
      <c r="AR1082" t="s">
        <v>1168</v>
      </c>
      <c r="AS1082" s="1">
        <v>44354.147916666669</v>
      </c>
      <c r="AT1082" s="1">
        <v>44354.150300925925</v>
      </c>
      <c r="AU1082" s="1">
        <v>44354.150821759256</v>
      </c>
      <c r="AV1082" t="s">
        <v>71</v>
      </c>
      <c r="AW1082" t="s">
        <v>72</v>
      </c>
      <c r="AX1082" t="s">
        <v>73</v>
      </c>
    </row>
    <row r="1083" spans="1:50" x14ac:dyDescent="0.3">
      <c r="A1083" t="str">
        <f>"202003B0000"</f>
        <v>202003B0000</v>
      </c>
      <c r="B1083" t="str">
        <f>"202003B00002"</f>
        <v>202003B00002</v>
      </c>
      <c r="C1083" t="str">
        <f t="shared" si="46"/>
        <v>20</v>
      </c>
      <c r="D1083" t="s">
        <v>67</v>
      </c>
      <c r="E1083" t="str">
        <f t="shared" si="48"/>
        <v>005</v>
      </c>
      <c r="F1083" t="s">
        <v>962</v>
      </c>
      <c r="G1083" t="str">
        <f>"2003"</f>
        <v>2003</v>
      </c>
      <c r="H1083" t="str">
        <f t="shared" si="49"/>
        <v>0000</v>
      </c>
      <c r="I1083" t="s">
        <v>69</v>
      </c>
      <c r="J1083">
        <v>0</v>
      </c>
      <c r="K1083">
        <v>1</v>
      </c>
      <c r="L1083">
        <v>2</v>
      </c>
      <c r="M1083">
        <v>117</v>
      </c>
      <c r="N1083">
        <v>65</v>
      </c>
      <c r="O1083">
        <v>8</v>
      </c>
      <c r="P1083">
        <v>65</v>
      </c>
      <c r="Q1083">
        <v>0</v>
      </c>
      <c r="R1083">
        <v>11</v>
      </c>
      <c r="S1083">
        <v>3</v>
      </c>
      <c r="T1083">
        <v>3</v>
      </c>
      <c r="U1083">
        <v>11</v>
      </c>
      <c r="V1083">
        <v>2</v>
      </c>
      <c r="W1083">
        <v>1</v>
      </c>
      <c r="X1083">
        <v>26</v>
      </c>
      <c r="Y1083">
        <v>2</v>
      </c>
      <c r="Z1083">
        <v>1</v>
      </c>
      <c r="AA1083">
        <v>2</v>
      </c>
      <c r="AB1083">
        <v>1</v>
      </c>
      <c r="AD1083" t="s">
        <v>77</v>
      </c>
      <c r="AE1083" t="s">
        <v>77</v>
      </c>
      <c r="AF1083" t="s">
        <v>77</v>
      </c>
      <c r="AG1083" t="s">
        <v>77</v>
      </c>
      <c r="AI1083" t="s">
        <v>77</v>
      </c>
      <c r="AJ1083">
        <v>2</v>
      </c>
      <c r="AK1083" t="s">
        <v>77</v>
      </c>
      <c r="AL1083">
        <v>65</v>
      </c>
      <c r="AM1083">
        <v>138</v>
      </c>
      <c r="AN1083">
        <v>44</v>
      </c>
      <c r="AO1083" t="s">
        <v>78</v>
      </c>
      <c r="AP1083">
        <v>1</v>
      </c>
      <c r="AR1083" t="s">
        <v>1169</v>
      </c>
      <c r="AS1083" s="1">
        <v>44354.025000000001</v>
      </c>
      <c r="AT1083" s="1">
        <v>44354.032164351855</v>
      </c>
      <c r="AU1083" s="1">
        <v>44354.032511574071</v>
      </c>
      <c r="AV1083" t="s">
        <v>71</v>
      </c>
      <c r="AW1083" t="s">
        <v>72</v>
      </c>
      <c r="AX1083" t="s">
        <v>73</v>
      </c>
    </row>
    <row r="1084" spans="1:50" x14ac:dyDescent="0.3">
      <c r="A1084" t="str">
        <f>"202072B0000"</f>
        <v>202072B0000</v>
      </c>
      <c r="B1084" t="str">
        <f>"202072B00002"</f>
        <v>202072B00002</v>
      </c>
      <c r="C1084" t="str">
        <f t="shared" si="46"/>
        <v>20</v>
      </c>
      <c r="D1084" t="s">
        <v>67</v>
      </c>
      <c r="E1084" t="str">
        <f t="shared" si="48"/>
        <v>005</v>
      </c>
      <c r="F1084" t="s">
        <v>962</v>
      </c>
      <c r="G1084" t="str">
        <f>"2072"</f>
        <v>2072</v>
      </c>
      <c r="H1084" t="str">
        <f t="shared" si="49"/>
        <v>0000</v>
      </c>
      <c r="I1084" t="s">
        <v>69</v>
      </c>
      <c r="J1084">
        <v>0</v>
      </c>
      <c r="K1084">
        <v>1</v>
      </c>
      <c r="L1084">
        <v>2</v>
      </c>
      <c r="M1084">
        <v>341</v>
      </c>
      <c r="N1084">
        <v>233</v>
      </c>
      <c r="O1084">
        <v>2</v>
      </c>
      <c r="P1084">
        <v>233</v>
      </c>
      <c r="Q1084">
        <v>1</v>
      </c>
      <c r="R1084">
        <v>45</v>
      </c>
      <c r="S1084">
        <v>2</v>
      </c>
      <c r="T1084">
        <v>0</v>
      </c>
      <c r="U1084">
        <v>8</v>
      </c>
      <c r="V1084">
        <v>0</v>
      </c>
      <c r="W1084">
        <v>31</v>
      </c>
      <c r="X1084">
        <v>126</v>
      </c>
      <c r="Y1084">
        <v>1</v>
      </c>
      <c r="Z1084">
        <v>2</v>
      </c>
      <c r="AA1084">
        <v>1</v>
      </c>
      <c r="AB1084">
        <v>1</v>
      </c>
      <c r="AD1084">
        <v>0</v>
      </c>
      <c r="AE1084">
        <v>0</v>
      </c>
      <c r="AF1084">
        <v>0</v>
      </c>
      <c r="AG1084">
        <v>0</v>
      </c>
      <c r="AI1084">
        <v>0</v>
      </c>
      <c r="AJ1084">
        <v>15</v>
      </c>
      <c r="AK1084">
        <v>233</v>
      </c>
      <c r="AL1084">
        <v>233</v>
      </c>
      <c r="AM1084">
        <v>531</v>
      </c>
      <c r="AN1084">
        <v>44</v>
      </c>
      <c r="AP1084">
        <v>1</v>
      </c>
      <c r="AR1084" t="s">
        <v>1170</v>
      </c>
      <c r="AS1084" s="1">
        <v>44354.038888888892</v>
      </c>
      <c r="AT1084" s="1">
        <v>44354.048611111109</v>
      </c>
      <c r="AU1084" s="1">
        <v>44354.04954861111</v>
      </c>
      <c r="AV1084" t="s">
        <v>71</v>
      </c>
      <c r="AW1084" t="s">
        <v>72</v>
      </c>
      <c r="AX1084" t="s">
        <v>73</v>
      </c>
    </row>
    <row r="1085" spans="1:50" x14ac:dyDescent="0.3">
      <c r="A1085" t="str">
        <f>"202073B0000"</f>
        <v>202073B0000</v>
      </c>
      <c r="B1085" t="str">
        <f>"202073B00002"</f>
        <v>202073B00002</v>
      </c>
      <c r="C1085" t="str">
        <f t="shared" si="46"/>
        <v>20</v>
      </c>
      <c r="D1085" t="s">
        <v>67</v>
      </c>
      <c r="E1085" t="str">
        <f t="shared" si="48"/>
        <v>005</v>
      </c>
      <c r="F1085" t="s">
        <v>962</v>
      </c>
      <c r="G1085" t="str">
        <f>"2073"</f>
        <v>2073</v>
      </c>
      <c r="H1085" t="str">
        <f t="shared" si="49"/>
        <v>0000</v>
      </c>
      <c r="I1085" t="s">
        <v>69</v>
      </c>
      <c r="J1085">
        <v>0</v>
      </c>
      <c r="K1085">
        <v>1</v>
      </c>
      <c r="L1085">
        <v>2</v>
      </c>
      <c r="M1085">
        <v>139</v>
      </c>
      <c r="N1085">
        <v>106</v>
      </c>
      <c r="O1085">
        <v>1</v>
      </c>
      <c r="P1085">
        <v>106</v>
      </c>
      <c r="Q1085">
        <v>0</v>
      </c>
      <c r="R1085">
        <v>17</v>
      </c>
      <c r="S1085">
        <v>4</v>
      </c>
      <c r="T1085">
        <v>1</v>
      </c>
      <c r="U1085">
        <v>2</v>
      </c>
      <c r="V1085">
        <v>0</v>
      </c>
      <c r="W1085">
        <v>0</v>
      </c>
      <c r="X1085">
        <v>71</v>
      </c>
      <c r="Y1085">
        <v>1</v>
      </c>
      <c r="Z1085">
        <v>5</v>
      </c>
      <c r="AA1085">
        <v>2</v>
      </c>
      <c r="AB1085">
        <v>0</v>
      </c>
      <c r="AD1085">
        <v>0</v>
      </c>
      <c r="AE1085">
        <v>0</v>
      </c>
      <c r="AF1085">
        <v>0</v>
      </c>
      <c r="AG1085">
        <v>0</v>
      </c>
      <c r="AI1085">
        <v>0</v>
      </c>
      <c r="AJ1085">
        <v>3</v>
      </c>
      <c r="AK1085">
        <v>106</v>
      </c>
      <c r="AL1085">
        <v>106</v>
      </c>
      <c r="AM1085">
        <v>201</v>
      </c>
      <c r="AN1085">
        <v>44</v>
      </c>
      <c r="AP1085">
        <v>1</v>
      </c>
      <c r="AR1085" t="s">
        <v>1171</v>
      </c>
      <c r="AS1085" s="1">
        <v>44354.038888888892</v>
      </c>
      <c r="AT1085" s="1">
        <v>44354.048738425925</v>
      </c>
      <c r="AU1085" s="1">
        <v>44354.049259259256</v>
      </c>
      <c r="AV1085" t="s">
        <v>71</v>
      </c>
      <c r="AW1085" t="s">
        <v>72</v>
      </c>
      <c r="AX1085" t="s">
        <v>73</v>
      </c>
    </row>
    <row r="1086" spans="1:50" x14ac:dyDescent="0.3">
      <c r="A1086" t="str">
        <f>"202074B0000"</f>
        <v>202074B0000</v>
      </c>
      <c r="B1086" t="str">
        <f>"202074B00002"</f>
        <v>202074B00002</v>
      </c>
      <c r="C1086" t="str">
        <f t="shared" si="46"/>
        <v>20</v>
      </c>
      <c r="D1086" t="s">
        <v>67</v>
      </c>
      <c r="E1086" t="str">
        <f t="shared" si="48"/>
        <v>005</v>
      </c>
      <c r="F1086" t="s">
        <v>962</v>
      </c>
      <c r="G1086" t="str">
        <f>"2074"</f>
        <v>2074</v>
      </c>
      <c r="H1086" t="str">
        <f t="shared" si="49"/>
        <v>0000</v>
      </c>
      <c r="I1086" t="s">
        <v>69</v>
      </c>
      <c r="J1086">
        <v>0</v>
      </c>
      <c r="K1086">
        <v>1</v>
      </c>
      <c r="L1086">
        <v>2</v>
      </c>
      <c r="M1086">
        <v>204</v>
      </c>
      <c r="N1086">
        <v>147</v>
      </c>
      <c r="O1086">
        <v>2</v>
      </c>
      <c r="P1086">
        <v>147</v>
      </c>
      <c r="Q1086">
        <v>5</v>
      </c>
      <c r="R1086">
        <v>20</v>
      </c>
      <c r="S1086">
        <v>6</v>
      </c>
      <c r="T1086">
        <v>4</v>
      </c>
      <c r="U1086">
        <v>3</v>
      </c>
      <c r="V1086">
        <v>2</v>
      </c>
      <c r="W1086">
        <v>8</v>
      </c>
      <c r="X1086">
        <v>87</v>
      </c>
      <c r="Y1086">
        <v>1</v>
      </c>
      <c r="Z1086">
        <v>2</v>
      </c>
      <c r="AA1086">
        <v>1</v>
      </c>
      <c r="AB1086">
        <v>0</v>
      </c>
      <c r="AD1086">
        <v>0</v>
      </c>
      <c r="AE1086">
        <v>0</v>
      </c>
      <c r="AF1086">
        <v>0</v>
      </c>
      <c r="AG1086">
        <v>0</v>
      </c>
      <c r="AI1086">
        <v>0</v>
      </c>
      <c r="AJ1086">
        <v>8</v>
      </c>
      <c r="AK1086">
        <v>147</v>
      </c>
      <c r="AL1086">
        <v>147</v>
      </c>
      <c r="AM1086">
        <v>307</v>
      </c>
      <c r="AN1086">
        <v>44</v>
      </c>
      <c r="AP1086">
        <v>1</v>
      </c>
      <c r="AR1086" t="s">
        <v>1172</v>
      </c>
      <c r="AS1086" s="1">
        <v>44354.039583333331</v>
      </c>
      <c r="AT1086" s="1">
        <v>44354.049224537041</v>
      </c>
      <c r="AU1086" s="1">
        <v>44354.050127314818</v>
      </c>
      <c r="AV1086" t="s">
        <v>71</v>
      </c>
      <c r="AW1086" t="s">
        <v>72</v>
      </c>
      <c r="AX1086" t="s">
        <v>73</v>
      </c>
    </row>
    <row r="1087" spans="1:50" x14ac:dyDescent="0.3">
      <c r="A1087" t="str">
        <f>"202075B0000"</f>
        <v>202075B0000</v>
      </c>
      <c r="B1087" t="str">
        <f>"202075B00002"</f>
        <v>202075B00002</v>
      </c>
      <c r="C1087" t="str">
        <f t="shared" si="46"/>
        <v>20</v>
      </c>
      <c r="D1087" t="s">
        <v>67</v>
      </c>
      <c r="E1087" t="str">
        <f t="shared" si="48"/>
        <v>005</v>
      </c>
      <c r="F1087" t="s">
        <v>962</v>
      </c>
      <c r="G1087" t="str">
        <f>"2075"</f>
        <v>2075</v>
      </c>
      <c r="H1087" t="str">
        <f t="shared" si="49"/>
        <v>0000</v>
      </c>
      <c r="I1087" t="s">
        <v>69</v>
      </c>
      <c r="J1087">
        <v>0</v>
      </c>
      <c r="K1087">
        <v>1</v>
      </c>
      <c r="L1087">
        <v>2</v>
      </c>
      <c r="M1087">
        <v>193</v>
      </c>
      <c r="N1087">
        <v>113</v>
      </c>
      <c r="O1087">
        <v>0</v>
      </c>
      <c r="P1087" t="s">
        <v>80</v>
      </c>
      <c r="Q1087">
        <v>1</v>
      </c>
      <c r="R1087">
        <v>7</v>
      </c>
      <c r="S1087">
        <v>1</v>
      </c>
      <c r="T1087">
        <v>0</v>
      </c>
      <c r="U1087">
        <v>1</v>
      </c>
      <c r="V1087">
        <v>2</v>
      </c>
      <c r="W1087">
        <v>2</v>
      </c>
      <c r="X1087">
        <v>86</v>
      </c>
      <c r="Y1087">
        <v>1</v>
      </c>
      <c r="Z1087">
        <v>2</v>
      </c>
      <c r="AA1087">
        <v>3</v>
      </c>
      <c r="AB1087">
        <v>1</v>
      </c>
      <c r="AD1087">
        <v>0</v>
      </c>
      <c r="AE1087">
        <v>0</v>
      </c>
      <c r="AF1087">
        <v>0</v>
      </c>
      <c r="AG1087">
        <v>0</v>
      </c>
      <c r="AI1087">
        <v>0</v>
      </c>
      <c r="AJ1087">
        <v>0</v>
      </c>
      <c r="AK1087">
        <v>0</v>
      </c>
      <c r="AL1087">
        <v>107</v>
      </c>
      <c r="AM1087">
        <v>262</v>
      </c>
      <c r="AN1087">
        <v>44</v>
      </c>
      <c r="AP1087">
        <v>1</v>
      </c>
      <c r="AR1087" t="s">
        <v>1173</v>
      </c>
      <c r="AS1087" s="1">
        <v>44354.093055555553</v>
      </c>
      <c r="AT1087" s="1">
        <v>44354.099074074074</v>
      </c>
      <c r="AU1087" s="1">
        <v>44354.099479166667</v>
      </c>
      <c r="AV1087" t="s">
        <v>71</v>
      </c>
      <c r="AW1087" t="s">
        <v>72</v>
      </c>
      <c r="AX1087" t="s">
        <v>73</v>
      </c>
    </row>
    <row r="1088" spans="1:50" x14ac:dyDescent="0.3">
      <c r="A1088" t="str">
        <f>"202076B0000"</f>
        <v>202076B0000</v>
      </c>
      <c r="B1088" t="str">
        <f>"202076B00002"</f>
        <v>202076B00002</v>
      </c>
      <c r="C1088" t="str">
        <f t="shared" si="46"/>
        <v>20</v>
      </c>
      <c r="D1088" t="s">
        <v>67</v>
      </c>
      <c r="E1088" t="str">
        <f t="shared" si="48"/>
        <v>005</v>
      </c>
      <c r="F1088" t="s">
        <v>962</v>
      </c>
      <c r="G1088" t="str">
        <f>"2076"</f>
        <v>2076</v>
      </c>
      <c r="H1088" t="str">
        <f t="shared" si="49"/>
        <v>0000</v>
      </c>
      <c r="I1088" t="s">
        <v>69</v>
      </c>
      <c r="J1088">
        <v>0</v>
      </c>
      <c r="K1088">
        <v>1</v>
      </c>
      <c r="L1088">
        <v>2</v>
      </c>
      <c r="M1088">
        <v>132</v>
      </c>
      <c r="N1088">
        <v>64</v>
      </c>
      <c r="O1088">
        <v>0</v>
      </c>
      <c r="P1088">
        <v>64</v>
      </c>
      <c r="Q1088">
        <v>4</v>
      </c>
      <c r="R1088">
        <v>20</v>
      </c>
      <c r="S1088">
        <v>1</v>
      </c>
      <c r="T1088">
        <v>2</v>
      </c>
      <c r="U1088">
        <v>6</v>
      </c>
      <c r="V1088">
        <v>1</v>
      </c>
      <c r="W1088">
        <v>0</v>
      </c>
      <c r="X1088">
        <v>17</v>
      </c>
      <c r="Y1088">
        <v>0</v>
      </c>
      <c r="Z1088">
        <v>4</v>
      </c>
      <c r="AA1088">
        <v>0</v>
      </c>
      <c r="AB1088">
        <v>6</v>
      </c>
      <c r="AD1088">
        <v>25</v>
      </c>
      <c r="AE1088">
        <v>24</v>
      </c>
      <c r="AF1088">
        <v>5</v>
      </c>
      <c r="AG1088">
        <v>21</v>
      </c>
      <c r="AI1088">
        <v>0</v>
      </c>
      <c r="AJ1088">
        <v>1</v>
      </c>
      <c r="AK1088">
        <v>64</v>
      </c>
      <c r="AL1088">
        <v>137</v>
      </c>
      <c r="AM1088">
        <v>152</v>
      </c>
      <c r="AN1088">
        <v>44</v>
      </c>
      <c r="AP1088">
        <v>1</v>
      </c>
      <c r="AR1088" t="s">
        <v>1174</v>
      </c>
      <c r="AS1088" s="1">
        <v>44354.060416666667</v>
      </c>
      <c r="AT1088" s="1">
        <v>44354.067083333335</v>
      </c>
      <c r="AU1088" s="1">
        <v>44354.067766203705</v>
      </c>
      <c r="AV1088" t="s">
        <v>71</v>
      </c>
      <c r="AW1088" t="s">
        <v>72</v>
      </c>
      <c r="AX1088" t="s">
        <v>73</v>
      </c>
    </row>
    <row r="1089" spans="1:50" x14ac:dyDescent="0.3">
      <c r="A1089" t="str">
        <f>"202112B0000"</f>
        <v>202112B0000</v>
      </c>
      <c r="B1089" t="str">
        <f>"202112B00002"</f>
        <v>202112B00002</v>
      </c>
      <c r="C1089" t="str">
        <f t="shared" si="46"/>
        <v>20</v>
      </c>
      <c r="D1089" t="s">
        <v>67</v>
      </c>
      <c r="E1089" t="str">
        <f t="shared" si="48"/>
        <v>005</v>
      </c>
      <c r="F1089" t="s">
        <v>962</v>
      </c>
      <c r="G1089" t="str">
        <f>"2112"</f>
        <v>2112</v>
      </c>
      <c r="H1089" t="str">
        <f t="shared" si="49"/>
        <v>0000</v>
      </c>
      <c r="I1089" t="s">
        <v>69</v>
      </c>
      <c r="J1089">
        <v>0</v>
      </c>
      <c r="K1089">
        <v>1</v>
      </c>
      <c r="L1089">
        <v>2</v>
      </c>
      <c r="M1089">
        <v>226</v>
      </c>
      <c r="N1089">
        <v>529</v>
      </c>
      <c r="O1089">
        <v>0</v>
      </c>
      <c r="P1089">
        <v>529</v>
      </c>
      <c r="Q1089">
        <v>18</v>
      </c>
      <c r="R1089">
        <v>127</v>
      </c>
      <c r="S1089">
        <v>4</v>
      </c>
      <c r="T1089">
        <v>7</v>
      </c>
      <c r="U1089">
        <v>10</v>
      </c>
      <c r="V1089">
        <v>37</v>
      </c>
      <c r="W1089">
        <v>2</v>
      </c>
      <c r="X1089">
        <v>205</v>
      </c>
      <c r="Y1089">
        <v>1</v>
      </c>
      <c r="Z1089">
        <v>3</v>
      </c>
      <c r="AA1089">
        <v>85</v>
      </c>
      <c r="AB1089">
        <v>5</v>
      </c>
      <c r="AD1089">
        <v>2</v>
      </c>
      <c r="AE1089">
        <v>1</v>
      </c>
      <c r="AF1089">
        <v>1</v>
      </c>
      <c r="AG1089">
        <v>0</v>
      </c>
      <c r="AI1089">
        <v>0</v>
      </c>
      <c r="AJ1089">
        <v>21</v>
      </c>
      <c r="AK1089">
        <v>529</v>
      </c>
      <c r="AL1089">
        <v>529</v>
      </c>
      <c r="AM1089">
        <v>711</v>
      </c>
      <c r="AN1089">
        <v>44</v>
      </c>
      <c r="AP1089">
        <v>1</v>
      </c>
      <c r="AR1089" t="s">
        <v>1175</v>
      </c>
      <c r="AS1089" s="1">
        <v>44354.197916666664</v>
      </c>
      <c r="AT1089" s="1">
        <v>44354.201736111114</v>
      </c>
      <c r="AU1089" s="1">
        <v>44354.202164351853</v>
      </c>
      <c r="AV1089" t="s">
        <v>71</v>
      </c>
      <c r="AW1089" t="s">
        <v>72</v>
      </c>
      <c r="AX1089" t="s">
        <v>73</v>
      </c>
    </row>
    <row r="1090" spans="1:50" x14ac:dyDescent="0.3">
      <c r="A1090" t="str">
        <f>"202112C0100"</f>
        <v>202112C0100</v>
      </c>
      <c r="B1090" t="str">
        <f>"202112C01002"</f>
        <v>202112C01002</v>
      </c>
      <c r="C1090" t="str">
        <f t="shared" si="46"/>
        <v>20</v>
      </c>
      <c r="D1090" t="s">
        <v>67</v>
      </c>
      <c r="E1090" t="str">
        <f t="shared" si="48"/>
        <v>005</v>
      </c>
      <c r="F1090" t="s">
        <v>962</v>
      </c>
      <c r="G1090" t="str">
        <f>"2112"</f>
        <v>2112</v>
      </c>
      <c r="H1090" t="str">
        <f>"0001"</f>
        <v>0001</v>
      </c>
      <c r="I1090" t="s">
        <v>75</v>
      </c>
      <c r="J1090">
        <v>0</v>
      </c>
      <c r="K1090">
        <v>1</v>
      </c>
      <c r="L1090">
        <v>2</v>
      </c>
      <c r="M1090">
        <v>219</v>
      </c>
      <c r="N1090">
        <v>536</v>
      </c>
      <c r="O1090">
        <v>0</v>
      </c>
      <c r="P1090">
        <v>536</v>
      </c>
      <c r="Q1090">
        <v>26</v>
      </c>
      <c r="R1090">
        <v>130</v>
      </c>
      <c r="S1090">
        <v>4</v>
      </c>
      <c r="T1090">
        <v>8</v>
      </c>
      <c r="U1090">
        <v>7</v>
      </c>
      <c r="V1090">
        <v>27</v>
      </c>
      <c r="W1090">
        <v>4</v>
      </c>
      <c r="X1090">
        <v>194</v>
      </c>
      <c r="Y1090">
        <v>1</v>
      </c>
      <c r="Z1090">
        <v>0</v>
      </c>
      <c r="AA1090">
        <v>89</v>
      </c>
      <c r="AB1090">
        <v>12</v>
      </c>
      <c r="AD1090">
        <v>1</v>
      </c>
      <c r="AE1090">
        <v>0</v>
      </c>
      <c r="AF1090">
        <v>0</v>
      </c>
      <c r="AG1090">
        <v>1</v>
      </c>
      <c r="AI1090" t="s">
        <v>77</v>
      </c>
      <c r="AJ1090">
        <v>32</v>
      </c>
      <c r="AK1090">
        <v>536</v>
      </c>
      <c r="AL1090">
        <v>536</v>
      </c>
      <c r="AM1090">
        <v>711</v>
      </c>
      <c r="AN1090">
        <v>44</v>
      </c>
      <c r="AO1090" t="s">
        <v>78</v>
      </c>
      <c r="AP1090">
        <v>1</v>
      </c>
      <c r="AR1090" t="s">
        <v>1176</v>
      </c>
      <c r="AS1090" s="1">
        <v>44354.199305555558</v>
      </c>
      <c r="AT1090" s="1">
        <v>44354.202488425923</v>
      </c>
      <c r="AU1090" s="1">
        <v>44354.203067129631</v>
      </c>
      <c r="AV1090" t="s">
        <v>71</v>
      </c>
      <c r="AW1090" t="s">
        <v>72</v>
      </c>
      <c r="AX1090" t="s">
        <v>73</v>
      </c>
    </row>
    <row r="1091" spans="1:50" x14ac:dyDescent="0.3">
      <c r="A1091" t="str">
        <f>"202112C0200"</f>
        <v>202112C0200</v>
      </c>
      <c r="B1091" t="str">
        <f>"202112C02002"</f>
        <v>202112C02002</v>
      </c>
      <c r="C1091" t="str">
        <f t="shared" si="46"/>
        <v>20</v>
      </c>
      <c r="D1091" t="s">
        <v>67</v>
      </c>
      <c r="E1091" t="str">
        <f t="shared" si="48"/>
        <v>005</v>
      </c>
      <c r="F1091" t="s">
        <v>962</v>
      </c>
      <c r="G1091" t="str">
        <f>"2112"</f>
        <v>2112</v>
      </c>
      <c r="H1091" t="str">
        <f>"0002"</f>
        <v>0002</v>
      </c>
      <c r="I1091" t="s">
        <v>75</v>
      </c>
      <c r="J1091">
        <v>0</v>
      </c>
      <c r="K1091">
        <v>1</v>
      </c>
      <c r="L1091">
        <v>2</v>
      </c>
      <c r="M1091">
        <v>238</v>
      </c>
      <c r="N1091">
        <v>516</v>
      </c>
      <c r="O1091">
        <v>1</v>
      </c>
      <c r="P1091">
        <v>516</v>
      </c>
      <c r="Q1091">
        <v>23</v>
      </c>
      <c r="R1091">
        <v>130</v>
      </c>
      <c r="S1091">
        <v>5</v>
      </c>
      <c r="T1091">
        <v>5</v>
      </c>
      <c r="U1091">
        <v>19</v>
      </c>
      <c r="V1091">
        <v>25</v>
      </c>
      <c r="W1091">
        <v>2</v>
      </c>
      <c r="X1091">
        <v>184</v>
      </c>
      <c r="Y1091">
        <v>6</v>
      </c>
      <c r="Z1091">
        <v>8</v>
      </c>
      <c r="AA1091">
        <v>82</v>
      </c>
      <c r="AB1091">
        <v>10</v>
      </c>
      <c r="AD1091">
        <v>1</v>
      </c>
      <c r="AE1091" t="s">
        <v>77</v>
      </c>
      <c r="AF1091" t="s">
        <v>77</v>
      </c>
      <c r="AG1091" t="s">
        <v>77</v>
      </c>
      <c r="AI1091" t="s">
        <v>77</v>
      </c>
      <c r="AJ1091">
        <v>16</v>
      </c>
      <c r="AK1091">
        <v>516</v>
      </c>
      <c r="AL1091">
        <v>516</v>
      </c>
      <c r="AM1091">
        <v>710</v>
      </c>
      <c r="AN1091">
        <v>44</v>
      </c>
      <c r="AO1091" t="s">
        <v>78</v>
      </c>
      <c r="AP1091">
        <v>1</v>
      </c>
      <c r="AR1091" t="s">
        <v>1177</v>
      </c>
      <c r="AS1091" s="1">
        <v>44353.913888888892</v>
      </c>
      <c r="AT1091" s="1">
        <v>44354.332870370374</v>
      </c>
      <c r="AU1091" s="1">
        <v>44354.333796296298</v>
      </c>
      <c r="AV1091" t="s">
        <v>71</v>
      </c>
      <c r="AW1091" t="s">
        <v>72</v>
      </c>
      <c r="AX1091" t="s">
        <v>73</v>
      </c>
    </row>
    <row r="1092" spans="1:50" x14ac:dyDescent="0.3">
      <c r="A1092" t="str">
        <f>"202113B0000"</f>
        <v>202113B0000</v>
      </c>
      <c r="B1092" t="str">
        <f>"202113B00002"</f>
        <v>202113B00002</v>
      </c>
      <c r="C1092" t="str">
        <f t="shared" si="46"/>
        <v>20</v>
      </c>
      <c r="D1092" t="s">
        <v>67</v>
      </c>
      <c r="E1092" t="str">
        <f t="shared" si="48"/>
        <v>005</v>
      </c>
      <c r="F1092" t="s">
        <v>962</v>
      </c>
      <c r="G1092" t="str">
        <f>"2113"</f>
        <v>2113</v>
      </c>
      <c r="H1092" t="str">
        <f>"0000"</f>
        <v>0000</v>
      </c>
      <c r="I1092" t="s">
        <v>69</v>
      </c>
      <c r="J1092">
        <v>0</v>
      </c>
      <c r="K1092">
        <v>1</v>
      </c>
      <c r="L1092">
        <v>2</v>
      </c>
      <c r="M1092" t="s">
        <v>99</v>
      </c>
      <c r="N1092" t="s">
        <v>99</v>
      </c>
      <c r="O1092" t="s">
        <v>99</v>
      </c>
      <c r="P1092">
        <v>468</v>
      </c>
      <c r="Q1092">
        <v>13</v>
      </c>
      <c r="R1092">
        <v>99</v>
      </c>
      <c r="S1092">
        <v>3</v>
      </c>
      <c r="T1092">
        <v>6</v>
      </c>
      <c r="U1092">
        <v>20</v>
      </c>
      <c r="V1092">
        <v>33</v>
      </c>
      <c r="W1092">
        <v>4</v>
      </c>
      <c r="X1092">
        <v>193</v>
      </c>
      <c r="Y1092">
        <v>3</v>
      </c>
      <c r="Z1092">
        <v>2</v>
      </c>
      <c r="AA1092">
        <v>70</v>
      </c>
      <c r="AB1092">
        <v>6</v>
      </c>
      <c r="AD1092">
        <v>1</v>
      </c>
      <c r="AE1092">
        <v>0</v>
      </c>
      <c r="AF1092">
        <v>0</v>
      </c>
      <c r="AG1092">
        <v>0</v>
      </c>
      <c r="AI1092">
        <v>0</v>
      </c>
      <c r="AJ1092">
        <v>15</v>
      </c>
      <c r="AK1092">
        <v>468</v>
      </c>
      <c r="AL1092">
        <v>468</v>
      </c>
      <c r="AM1092">
        <v>674</v>
      </c>
      <c r="AN1092">
        <v>44</v>
      </c>
      <c r="AP1092">
        <v>1</v>
      </c>
      <c r="AR1092" t="s">
        <v>1178</v>
      </c>
      <c r="AS1092" s="1">
        <v>44354.2</v>
      </c>
      <c r="AT1092" s="1">
        <v>44354.202499999999</v>
      </c>
      <c r="AU1092" s="1">
        <v>44354.203113425923</v>
      </c>
      <c r="AV1092" t="s">
        <v>71</v>
      </c>
      <c r="AW1092" t="s">
        <v>72</v>
      </c>
      <c r="AX1092" t="s">
        <v>73</v>
      </c>
    </row>
    <row r="1093" spans="1:50" x14ac:dyDescent="0.3">
      <c r="A1093" t="str">
        <f>"202113C0100"</f>
        <v>202113C0100</v>
      </c>
      <c r="B1093" t="str">
        <f>"202113C01002"</f>
        <v>202113C01002</v>
      </c>
      <c r="C1093" t="str">
        <f t="shared" si="46"/>
        <v>20</v>
      </c>
      <c r="D1093" t="s">
        <v>67</v>
      </c>
      <c r="E1093" t="str">
        <f t="shared" si="48"/>
        <v>005</v>
      </c>
      <c r="F1093" t="s">
        <v>962</v>
      </c>
      <c r="G1093" t="str">
        <f>"2113"</f>
        <v>2113</v>
      </c>
      <c r="H1093" t="str">
        <f>"0001"</f>
        <v>0001</v>
      </c>
      <c r="I1093" t="s">
        <v>75</v>
      </c>
      <c r="J1093">
        <v>0</v>
      </c>
      <c r="K1093">
        <v>1</v>
      </c>
      <c r="L1093">
        <v>2</v>
      </c>
      <c r="M1093">
        <v>282</v>
      </c>
      <c r="N1093">
        <v>436</v>
      </c>
      <c r="O1093">
        <v>0</v>
      </c>
      <c r="P1093">
        <v>436</v>
      </c>
      <c r="Q1093">
        <v>12</v>
      </c>
      <c r="R1093">
        <v>95</v>
      </c>
      <c r="S1093">
        <v>3</v>
      </c>
      <c r="T1093">
        <v>8</v>
      </c>
      <c r="U1093">
        <v>12</v>
      </c>
      <c r="V1093">
        <v>36</v>
      </c>
      <c r="W1093">
        <v>3</v>
      </c>
      <c r="X1093">
        <v>177</v>
      </c>
      <c r="Y1093">
        <v>1</v>
      </c>
      <c r="Z1093">
        <v>1</v>
      </c>
      <c r="AA1093">
        <v>63</v>
      </c>
      <c r="AB1093">
        <v>6</v>
      </c>
      <c r="AD1093">
        <v>0</v>
      </c>
      <c r="AE1093">
        <v>0</v>
      </c>
      <c r="AF1093">
        <v>1</v>
      </c>
      <c r="AG1093">
        <v>0</v>
      </c>
      <c r="AI1093">
        <v>0</v>
      </c>
      <c r="AJ1093">
        <v>18</v>
      </c>
      <c r="AK1093">
        <v>436</v>
      </c>
      <c r="AL1093">
        <v>436</v>
      </c>
      <c r="AM1093">
        <v>674</v>
      </c>
      <c r="AN1093">
        <v>44</v>
      </c>
      <c r="AP1093">
        <v>1</v>
      </c>
      <c r="AR1093" t="s">
        <v>1179</v>
      </c>
      <c r="AS1093" s="1">
        <v>44354.200694444444</v>
      </c>
      <c r="AT1093" s="1">
        <v>44354.204780092594</v>
      </c>
      <c r="AU1093" s="1">
        <v>44354.205439814818</v>
      </c>
      <c r="AV1093" t="s">
        <v>71</v>
      </c>
      <c r="AW1093" t="s">
        <v>72</v>
      </c>
      <c r="AX1093" t="s">
        <v>73</v>
      </c>
    </row>
    <row r="1094" spans="1:50" x14ac:dyDescent="0.3">
      <c r="A1094" t="str">
        <f>"202113C0200"</f>
        <v>202113C0200</v>
      </c>
      <c r="B1094" t="str">
        <f>"202113C02002"</f>
        <v>202113C02002</v>
      </c>
      <c r="C1094" t="str">
        <f t="shared" si="46"/>
        <v>20</v>
      </c>
      <c r="D1094" t="s">
        <v>67</v>
      </c>
      <c r="E1094" t="str">
        <f t="shared" si="48"/>
        <v>005</v>
      </c>
      <c r="F1094" t="s">
        <v>962</v>
      </c>
      <c r="G1094" t="str">
        <f>"2113"</f>
        <v>2113</v>
      </c>
      <c r="H1094" t="str">
        <f>"0002"</f>
        <v>0002</v>
      </c>
      <c r="I1094" t="s">
        <v>75</v>
      </c>
      <c r="J1094">
        <v>0</v>
      </c>
      <c r="K1094">
        <v>1</v>
      </c>
      <c r="L1094">
        <v>2</v>
      </c>
      <c r="M1094">
        <v>260</v>
      </c>
      <c r="N1094">
        <v>458</v>
      </c>
      <c r="O1094">
        <v>5</v>
      </c>
      <c r="P1094">
        <v>458</v>
      </c>
      <c r="Q1094">
        <v>15</v>
      </c>
      <c r="R1094">
        <v>91</v>
      </c>
      <c r="S1094">
        <v>7</v>
      </c>
      <c r="T1094">
        <v>6</v>
      </c>
      <c r="U1094">
        <v>17</v>
      </c>
      <c r="V1094">
        <v>39</v>
      </c>
      <c r="W1094">
        <v>4</v>
      </c>
      <c r="X1094">
        <v>196</v>
      </c>
      <c r="Y1094">
        <v>3</v>
      </c>
      <c r="Z1094">
        <v>1</v>
      </c>
      <c r="AA1094">
        <v>54</v>
      </c>
      <c r="AB1094">
        <v>5</v>
      </c>
      <c r="AD1094">
        <v>1</v>
      </c>
      <c r="AE1094">
        <v>0</v>
      </c>
      <c r="AF1094">
        <v>0</v>
      </c>
      <c r="AG1094">
        <v>0</v>
      </c>
      <c r="AI1094">
        <v>0</v>
      </c>
      <c r="AJ1094">
        <v>19</v>
      </c>
      <c r="AK1094">
        <v>458</v>
      </c>
      <c r="AL1094">
        <v>458</v>
      </c>
      <c r="AM1094">
        <v>674</v>
      </c>
      <c r="AN1094">
        <v>44</v>
      </c>
      <c r="AP1094">
        <v>1</v>
      </c>
      <c r="AR1094" t="s">
        <v>1180</v>
      </c>
      <c r="AS1094" s="1">
        <v>44354.199305555558</v>
      </c>
      <c r="AT1094" s="1">
        <v>44354.202245370368</v>
      </c>
      <c r="AU1094" s="1">
        <v>44354.2031712963</v>
      </c>
      <c r="AV1094" t="s">
        <v>71</v>
      </c>
      <c r="AW1094" t="s">
        <v>72</v>
      </c>
      <c r="AX1094" t="s">
        <v>73</v>
      </c>
    </row>
    <row r="1095" spans="1:50" x14ac:dyDescent="0.3">
      <c r="A1095" t="str">
        <f>"202114B0000"</f>
        <v>202114B0000</v>
      </c>
      <c r="B1095" t="str">
        <f>"202114B00002"</f>
        <v>202114B00002</v>
      </c>
      <c r="C1095" t="str">
        <f t="shared" ref="C1095:C1158" si="50">"20"</f>
        <v>20</v>
      </c>
      <c r="D1095" t="s">
        <v>67</v>
      </c>
      <c r="E1095" t="str">
        <f t="shared" si="48"/>
        <v>005</v>
      </c>
      <c r="F1095" t="s">
        <v>962</v>
      </c>
      <c r="G1095" t="str">
        <f>"2114"</f>
        <v>2114</v>
      </c>
      <c r="H1095" t="str">
        <f>"0000"</f>
        <v>0000</v>
      </c>
      <c r="I1095" t="s">
        <v>69</v>
      </c>
      <c r="J1095">
        <v>0</v>
      </c>
      <c r="K1095">
        <v>1</v>
      </c>
      <c r="L1095">
        <v>2</v>
      </c>
      <c r="M1095">
        <v>256</v>
      </c>
      <c r="N1095">
        <v>393</v>
      </c>
      <c r="O1095">
        <v>0</v>
      </c>
      <c r="P1095">
        <v>393</v>
      </c>
      <c r="Q1095">
        <v>22</v>
      </c>
      <c r="R1095">
        <v>102</v>
      </c>
      <c r="S1095">
        <v>4</v>
      </c>
      <c r="T1095">
        <v>5</v>
      </c>
      <c r="U1095">
        <v>15</v>
      </c>
      <c r="V1095">
        <v>32</v>
      </c>
      <c r="W1095">
        <v>3</v>
      </c>
      <c r="X1095">
        <v>133</v>
      </c>
      <c r="Y1095">
        <v>6</v>
      </c>
      <c r="Z1095">
        <v>1</v>
      </c>
      <c r="AA1095">
        <v>47</v>
      </c>
      <c r="AB1095">
        <v>4</v>
      </c>
      <c r="AD1095">
        <v>0</v>
      </c>
      <c r="AE1095">
        <v>0</v>
      </c>
      <c r="AF1095">
        <v>0</v>
      </c>
      <c r="AG1095">
        <v>0</v>
      </c>
      <c r="AI1095">
        <v>0</v>
      </c>
      <c r="AJ1095">
        <v>19</v>
      </c>
      <c r="AK1095">
        <v>393</v>
      </c>
      <c r="AL1095">
        <v>393</v>
      </c>
      <c r="AM1095">
        <v>605</v>
      </c>
      <c r="AN1095">
        <v>44</v>
      </c>
      <c r="AP1095">
        <v>1</v>
      </c>
      <c r="AR1095" t="s">
        <v>1181</v>
      </c>
      <c r="AS1095" s="1">
        <v>44354.095138888886</v>
      </c>
      <c r="AT1095" s="1">
        <v>44354.099432870367</v>
      </c>
      <c r="AU1095" s="1">
        <v>44354.100636574076</v>
      </c>
      <c r="AV1095" t="s">
        <v>71</v>
      </c>
      <c r="AW1095" t="s">
        <v>72</v>
      </c>
      <c r="AX1095" t="s">
        <v>73</v>
      </c>
    </row>
    <row r="1096" spans="1:50" x14ac:dyDescent="0.3">
      <c r="A1096" t="str">
        <f>"202114C0100"</f>
        <v>202114C0100</v>
      </c>
      <c r="B1096" t="str">
        <f>"202114C01002"</f>
        <v>202114C01002</v>
      </c>
      <c r="C1096" t="str">
        <f t="shared" si="50"/>
        <v>20</v>
      </c>
      <c r="D1096" t="s">
        <v>67</v>
      </c>
      <c r="E1096" t="str">
        <f t="shared" si="48"/>
        <v>005</v>
      </c>
      <c r="F1096" t="s">
        <v>962</v>
      </c>
      <c r="G1096" t="str">
        <f>"2114"</f>
        <v>2114</v>
      </c>
      <c r="H1096" t="str">
        <f>"0001"</f>
        <v>0001</v>
      </c>
      <c r="I1096" t="s">
        <v>75</v>
      </c>
      <c r="J1096">
        <v>0</v>
      </c>
      <c r="K1096">
        <v>1</v>
      </c>
      <c r="L1096">
        <v>2</v>
      </c>
      <c r="M1096">
        <v>224</v>
      </c>
      <c r="N1096">
        <v>425</v>
      </c>
      <c r="O1096">
        <v>0</v>
      </c>
      <c r="P1096">
        <v>426</v>
      </c>
      <c r="Q1096">
        <v>9</v>
      </c>
      <c r="R1096">
        <v>152</v>
      </c>
      <c r="S1096">
        <v>5</v>
      </c>
      <c r="T1096">
        <v>10</v>
      </c>
      <c r="U1096">
        <v>8</v>
      </c>
      <c r="V1096">
        <v>31</v>
      </c>
      <c r="W1096">
        <v>0</v>
      </c>
      <c r="X1096">
        <v>135</v>
      </c>
      <c r="Y1096">
        <v>3</v>
      </c>
      <c r="Z1096">
        <v>2</v>
      </c>
      <c r="AA1096">
        <v>49</v>
      </c>
      <c r="AB1096">
        <v>1</v>
      </c>
      <c r="AD1096">
        <v>2</v>
      </c>
      <c r="AE1096">
        <v>1</v>
      </c>
      <c r="AF1096">
        <v>0</v>
      </c>
      <c r="AG1096">
        <v>0</v>
      </c>
      <c r="AI1096">
        <v>0</v>
      </c>
      <c r="AJ1096">
        <v>18</v>
      </c>
      <c r="AK1096">
        <v>426</v>
      </c>
      <c r="AL1096">
        <v>426</v>
      </c>
      <c r="AM1096">
        <v>605</v>
      </c>
      <c r="AN1096">
        <v>44</v>
      </c>
      <c r="AP1096">
        <v>1</v>
      </c>
      <c r="AR1096" t="s">
        <v>1182</v>
      </c>
      <c r="AS1096" s="1">
        <v>44354.094444444447</v>
      </c>
      <c r="AT1096" s="1">
        <v>44354.100034722222</v>
      </c>
      <c r="AU1096" s="1">
        <v>44354.100752314815</v>
      </c>
      <c r="AV1096" t="s">
        <v>71</v>
      </c>
      <c r="AW1096" t="s">
        <v>72</v>
      </c>
      <c r="AX1096" t="s">
        <v>73</v>
      </c>
    </row>
    <row r="1097" spans="1:50" x14ac:dyDescent="0.3">
      <c r="A1097" t="str">
        <f>"202114C0200"</f>
        <v>202114C0200</v>
      </c>
      <c r="B1097" t="str">
        <f>"202114C02002"</f>
        <v>202114C02002</v>
      </c>
      <c r="C1097" t="str">
        <f t="shared" si="50"/>
        <v>20</v>
      </c>
      <c r="D1097" t="s">
        <v>67</v>
      </c>
      <c r="E1097" t="str">
        <f t="shared" si="48"/>
        <v>005</v>
      </c>
      <c r="F1097" t="s">
        <v>962</v>
      </c>
      <c r="G1097" t="str">
        <f>"2114"</f>
        <v>2114</v>
      </c>
      <c r="H1097" t="str">
        <f>"0002"</f>
        <v>0002</v>
      </c>
      <c r="I1097" t="s">
        <v>75</v>
      </c>
      <c r="J1097">
        <v>0</v>
      </c>
      <c r="K1097">
        <v>1</v>
      </c>
      <c r="L1097">
        <v>2</v>
      </c>
      <c r="M1097">
        <v>254</v>
      </c>
      <c r="N1097">
        <v>394</v>
      </c>
      <c r="O1097">
        <v>0</v>
      </c>
      <c r="P1097">
        <v>394</v>
      </c>
      <c r="Q1097">
        <v>16</v>
      </c>
      <c r="R1097">
        <v>109</v>
      </c>
      <c r="S1097">
        <v>1</v>
      </c>
      <c r="T1097">
        <v>6</v>
      </c>
      <c r="U1097">
        <v>8</v>
      </c>
      <c r="V1097">
        <v>25</v>
      </c>
      <c r="W1097">
        <v>1</v>
      </c>
      <c r="X1097">
        <v>135</v>
      </c>
      <c r="Y1097">
        <v>2</v>
      </c>
      <c r="Z1097">
        <v>4</v>
      </c>
      <c r="AA1097">
        <v>66</v>
      </c>
      <c r="AB1097">
        <v>3</v>
      </c>
      <c r="AD1097">
        <v>1</v>
      </c>
      <c r="AE1097">
        <v>0</v>
      </c>
      <c r="AF1097">
        <v>0</v>
      </c>
      <c r="AG1097">
        <v>0</v>
      </c>
      <c r="AI1097">
        <v>0</v>
      </c>
      <c r="AJ1097">
        <v>16</v>
      </c>
      <c r="AK1097">
        <v>393</v>
      </c>
      <c r="AL1097">
        <v>393</v>
      </c>
      <c r="AM1097">
        <v>604</v>
      </c>
      <c r="AN1097">
        <v>44</v>
      </c>
      <c r="AP1097">
        <v>1</v>
      </c>
      <c r="AR1097" s="2" t="s">
        <v>1183</v>
      </c>
      <c r="AS1097" s="1">
        <v>44354.094444444447</v>
      </c>
      <c r="AT1097" s="1">
        <v>44354.099259259259</v>
      </c>
      <c r="AU1097" s="1">
        <v>44354.099872685183</v>
      </c>
      <c r="AV1097" t="s">
        <v>71</v>
      </c>
      <c r="AW1097" t="s">
        <v>72</v>
      </c>
      <c r="AX1097" t="s">
        <v>73</v>
      </c>
    </row>
    <row r="1098" spans="1:50" x14ac:dyDescent="0.3">
      <c r="A1098" t="str">
        <f>"202115B0000"</f>
        <v>202115B0000</v>
      </c>
      <c r="B1098" t="str">
        <f>"202115B00002"</f>
        <v>202115B00002</v>
      </c>
      <c r="C1098" t="str">
        <f t="shared" si="50"/>
        <v>20</v>
      </c>
      <c r="D1098" t="s">
        <v>67</v>
      </c>
      <c r="E1098" t="str">
        <f t="shared" si="48"/>
        <v>005</v>
      </c>
      <c r="F1098" t="s">
        <v>962</v>
      </c>
      <c r="G1098" t="str">
        <f>"2115"</f>
        <v>2115</v>
      </c>
      <c r="H1098" t="str">
        <f>"0000"</f>
        <v>0000</v>
      </c>
      <c r="I1098" t="s">
        <v>69</v>
      </c>
      <c r="J1098">
        <v>0</v>
      </c>
      <c r="K1098">
        <v>1</v>
      </c>
      <c r="L1098">
        <v>2</v>
      </c>
      <c r="M1098">
        <v>257</v>
      </c>
      <c r="N1098">
        <v>427</v>
      </c>
      <c r="O1098">
        <v>2</v>
      </c>
      <c r="P1098">
        <v>427</v>
      </c>
      <c r="Q1098">
        <v>23</v>
      </c>
      <c r="R1098">
        <v>46</v>
      </c>
      <c r="S1098">
        <v>0</v>
      </c>
      <c r="T1098">
        <v>4</v>
      </c>
      <c r="U1098">
        <v>11</v>
      </c>
      <c r="V1098">
        <v>31</v>
      </c>
      <c r="W1098">
        <v>4</v>
      </c>
      <c r="X1098">
        <v>242</v>
      </c>
      <c r="Y1098">
        <v>3</v>
      </c>
      <c r="Z1098">
        <v>2</v>
      </c>
      <c r="AA1098">
        <v>37</v>
      </c>
      <c r="AB1098">
        <v>2</v>
      </c>
      <c r="AD1098">
        <v>0</v>
      </c>
      <c r="AE1098">
        <v>0</v>
      </c>
      <c r="AF1098">
        <v>0</v>
      </c>
      <c r="AG1098">
        <v>0</v>
      </c>
      <c r="AI1098">
        <v>0</v>
      </c>
      <c r="AJ1098">
        <v>22</v>
      </c>
      <c r="AK1098">
        <v>427</v>
      </c>
      <c r="AL1098">
        <v>427</v>
      </c>
      <c r="AM1098">
        <v>640</v>
      </c>
      <c r="AN1098">
        <v>44</v>
      </c>
      <c r="AP1098">
        <v>1</v>
      </c>
      <c r="AR1098" t="s">
        <v>1184</v>
      </c>
      <c r="AS1098" s="1">
        <v>44353.965277777781</v>
      </c>
      <c r="AT1098" s="1">
        <v>44353.979849537034</v>
      </c>
      <c r="AU1098" s="1">
        <v>44353.980393518519</v>
      </c>
      <c r="AV1098" t="s">
        <v>71</v>
      </c>
      <c r="AW1098" t="s">
        <v>72</v>
      </c>
      <c r="AX1098" t="s">
        <v>73</v>
      </c>
    </row>
    <row r="1099" spans="1:50" x14ac:dyDescent="0.3">
      <c r="A1099" t="str">
        <f>"202116B0000"</f>
        <v>202116B0000</v>
      </c>
      <c r="B1099" t="str">
        <f>"202116B00002"</f>
        <v>202116B00002</v>
      </c>
      <c r="C1099" t="str">
        <f t="shared" si="50"/>
        <v>20</v>
      </c>
      <c r="D1099" t="s">
        <v>67</v>
      </c>
      <c r="E1099" t="str">
        <f t="shared" si="48"/>
        <v>005</v>
      </c>
      <c r="F1099" t="s">
        <v>962</v>
      </c>
      <c r="G1099" t="str">
        <f>"2116"</f>
        <v>2116</v>
      </c>
      <c r="H1099" t="str">
        <f>"0000"</f>
        <v>0000</v>
      </c>
      <c r="I1099" t="s">
        <v>69</v>
      </c>
      <c r="J1099">
        <v>0</v>
      </c>
      <c r="K1099">
        <v>1</v>
      </c>
      <c r="L1099">
        <v>2</v>
      </c>
      <c r="M1099">
        <v>231</v>
      </c>
      <c r="N1099">
        <v>407</v>
      </c>
      <c r="O1099">
        <v>2</v>
      </c>
      <c r="P1099">
        <v>407</v>
      </c>
      <c r="Q1099">
        <v>7</v>
      </c>
      <c r="R1099">
        <v>49</v>
      </c>
      <c r="S1099">
        <v>4</v>
      </c>
      <c r="T1099">
        <v>6</v>
      </c>
      <c r="U1099">
        <v>5</v>
      </c>
      <c r="V1099">
        <v>19</v>
      </c>
      <c r="W1099">
        <v>3</v>
      </c>
      <c r="X1099">
        <v>207</v>
      </c>
      <c r="Y1099">
        <v>3</v>
      </c>
      <c r="Z1099">
        <v>2</v>
      </c>
      <c r="AA1099">
        <v>90</v>
      </c>
      <c r="AB1099">
        <v>2</v>
      </c>
      <c r="AD1099">
        <v>0</v>
      </c>
      <c r="AE1099">
        <v>0</v>
      </c>
      <c r="AF1099">
        <v>0</v>
      </c>
      <c r="AG1099">
        <v>0</v>
      </c>
      <c r="AI1099">
        <v>0</v>
      </c>
      <c r="AJ1099">
        <v>10</v>
      </c>
      <c r="AK1099">
        <v>407</v>
      </c>
      <c r="AL1099">
        <v>407</v>
      </c>
      <c r="AM1099">
        <v>594</v>
      </c>
      <c r="AN1099">
        <v>44</v>
      </c>
      <c r="AP1099">
        <v>1</v>
      </c>
      <c r="AR1099" t="s">
        <v>1185</v>
      </c>
      <c r="AS1099" s="1">
        <v>44354.196527777778</v>
      </c>
      <c r="AT1099" s="1">
        <v>44354.199363425927</v>
      </c>
      <c r="AU1099" s="1">
        <v>44354.199895833335</v>
      </c>
      <c r="AV1099" t="s">
        <v>71</v>
      </c>
      <c r="AW1099" t="s">
        <v>72</v>
      </c>
      <c r="AX1099" t="s">
        <v>73</v>
      </c>
    </row>
    <row r="1100" spans="1:50" x14ac:dyDescent="0.3">
      <c r="A1100" t="str">
        <f>"202116C0100"</f>
        <v>202116C0100</v>
      </c>
      <c r="B1100" t="str">
        <f>"202116C01002"</f>
        <v>202116C01002</v>
      </c>
      <c r="C1100" t="str">
        <f t="shared" si="50"/>
        <v>20</v>
      </c>
      <c r="D1100" t="s">
        <v>67</v>
      </c>
      <c r="E1100" t="str">
        <f t="shared" si="48"/>
        <v>005</v>
      </c>
      <c r="F1100" t="s">
        <v>962</v>
      </c>
      <c r="G1100" t="str">
        <f>"2116"</f>
        <v>2116</v>
      </c>
      <c r="H1100" t="str">
        <f>"0001"</f>
        <v>0001</v>
      </c>
      <c r="I1100" t="s">
        <v>75</v>
      </c>
      <c r="J1100">
        <v>0</v>
      </c>
      <c r="K1100">
        <v>1</v>
      </c>
      <c r="L1100">
        <v>2</v>
      </c>
      <c r="M1100">
        <v>253</v>
      </c>
      <c r="N1100">
        <v>385</v>
      </c>
      <c r="O1100">
        <v>1</v>
      </c>
      <c r="P1100">
        <v>385</v>
      </c>
      <c r="Q1100">
        <v>3</v>
      </c>
      <c r="R1100">
        <v>46</v>
      </c>
      <c r="S1100">
        <v>6</v>
      </c>
      <c r="T1100">
        <v>5</v>
      </c>
      <c r="U1100">
        <v>7</v>
      </c>
      <c r="V1100">
        <v>24</v>
      </c>
      <c r="W1100">
        <v>5</v>
      </c>
      <c r="X1100">
        <v>202</v>
      </c>
      <c r="Y1100">
        <v>1</v>
      </c>
      <c r="Z1100">
        <v>3</v>
      </c>
      <c r="AA1100">
        <v>69</v>
      </c>
      <c r="AB1100">
        <v>1</v>
      </c>
      <c r="AD1100">
        <v>0</v>
      </c>
      <c r="AE1100">
        <v>0</v>
      </c>
      <c r="AF1100">
        <v>0</v>
      </c>
      <c r="AG1100">
        <v>0</v>
      </c>
      <c r="AI1100">
        <v>0</v>
      </c>
      <c r="AJ1100">
        <v>13</v>
      </c>
      <c r="AK1100">
        <v>385</v>
      </c>
      <c r="AL1100">
        <v>385</v>
      </c>
      <c r="AM1100">
        <v>594</v>
      </c>
      <c r="AN1100">
        <v>44</v>
      </c>
      <c r="AP1100">
        <v>1</v>
      </c>
      <c r="AR1100" t="s">
        <v>1186</v>
      </c>
      <c r="AS1100" s="1">
        <v>44354.196527777778</v>
      </c>
      <c r="AT1100" s="1">
        <v>44354.198981481481</v>
      </c>
      <c r="AU1100" s="1">
        <v>44354.199594907404</v>
      </c>
      <c r="AV1100" t="s">
        <v>71</v>
      </c>
      <c r="AW1100" t="s">
        <v>72</v>
      </c>
      <c r="AX1100" t="s">
        <v>73</v>
      </c>
    </row>
    <row r="1101" spans="1:50" x14ac:dyDescent="0.3">
      <c r="A1101" t="str">
        <f>"202125B0000"</f>
        <v>202125B0000</v>
      </c>
      <c r="B1101" t="str">
        <f>"202125B00002"</f>
        <v>202125B00002</v>
      </c>
      <c r="C1101" t="str">
        <f t="shared" si="50"/>
        <v>20</v>
      </c>
      <c r="D1101" t="s">
        <v>67</v>
      </c>
      <c r="E1101" t="str">
        <f t="shared" si="48"/>
        <v>005</v>
      </c>
      <c r="F1101" t="s">
        <v>962</v>
      </c>
      <c r="G1101" t="str">
        <f>"2125"</f>
        <v>2125</v>
      </c>
      <c r="H1101" t="str">
        <f>"0000"</f>
        <v>0000</v>
      </c>
      <c r="I1101" t="s">
        <v>69</v>
      </c>
      <c r="J1101">
        <v>0</v>
      </c>
      <c r="K1101">
        <v>1</v>
      </c>
      <c r="L1101">
        <v>2</v>
      </c>
      <c r="M1101">
        <v>528</v>
      </c>
      <c r="N1101">
        <v>199</v>
      </c>
      <c r="O1101">
        <v>4</v>
      </c>
      <c r="P1101">
        <v>199</v>
      </c>
      <c r="Q1101">
        <v>12</v>
      </c>
      <c r="R1101">
        <v>40</v>
      </c>
      <c r="S1101">
        <v>4</v>
      </c>
      <c r="T1101">
        <v>2</v>
      </c>
      <c r="U1101">
        <v>7</v>
      </c>
      <c r="V1101">
        <v>2</v>
      </c>
      <c r="W1101">
        <v>0</v>
      </c>
      <c r="X1101">
        <v>92</v>
      </c>
      <c r="Y1101">
        <v>26</v>
      </c>
      <c r="Z1101">
        <v>5</v>
      </c>
      <c r="AA1101">
        <v>0</v>
      </c>
      <c r="AB1101">
        <v>3</v>
      </c>
      <c r="AD1101">
        <v>0</v>
      </c>
      <c r="AE1101">
        <v>0</v>
      </c>
      <c r="AF1101">
        <v>0</v>
      </c>
      <c r="AG1101">
        <v>0</v>
      </c>
      <c r="AI1101">
        <v>0</v>
      </c>
      <c r="AJ1101">
        <v>6</v>
      </c>
      <c r="AK1101">
        <v>199</v>
      </c>
      <c r="AL1101">
        <v>199</v>
      </c>
      <c r="AM1101">
        <v>683</v>
      </c>
      <c r="AN1101">
        <v>44</v>
      </c>
      <c r="AP1101">
        <v>1</v>
      </c>
      <c r="AR1101" t="s">
        <v>1187</v>
      </c>
      <c r="AS1101" s="1">
        <v>44353.956250000003</v>
      </c>
      <c r="AT1101" s="1">
        <v>44353.968414351853</v>
      </c>
      <c r="AU1101" s="1">
        <v>44353.969224537039</v>
      </c>
      <c r="AV1101" t="s">
        <v>71</v>
      </c>
      <c r="AW1101" t="s">
        <v>72</v>
      </c>
      <c r="AX1101" t="s">
        <v>73</v>
      </c>
    </row>
    <row r="1102" spans="1:50" x14ac:dyDescent="0.3">
      <c r="A1102" t="str">
        <f>"202126B0000"</f>
        <v>202126B0000</v>
      </c>
      <c r="B1102" t="str">
        <f>"202126B00002"</f>
        <v>202126B00002</v>
      </c>
      <c r="C1102" t="str">
        <f t="shared" si="50"/>
        <v>20</v>
      </c>
      <c r="D1102" t="s">
        <v>67</v>
      </c>
      <c r="E1102" t="str">
        <f t="shared" si="48"/>
        <v>005</v>
      </c>
      <c r="F1102" t="s">
        <v>962</v>
      </c>
      <c r="G1102" t="str">
        <f>"2126"</f>
        <v>2126</v>
      </c>
      <c r="H1102" t="str">
        <f>"0000"</f>
        <v>0000</v>
      </c>
      <c r="I1102" t="s">
        <v>69</v>
      </c>
      <c r="J1102">
        <v>0</v>
      </c>
      <c r="K1102">
        <v>1</v>
      </c>
      <c r="L1102">
        <v>2</v>
      </c>
      <c r="M1102">
        <v>476</v>
      </c>
      <c r="N1102">
        <v>166</v>
      </c>
      <c r="O1102">
        <v>4</v>
      </c>
      <c r="P1102">
        <v>166</v>
      </c>
      <c r="Q1102">
        <v>4</v>
      </c>
      <c r="R1102">
        <v>45</v>
      </c>
      <c r="S1102">
        <v>4</v>
      </c>
      <c r="T1102">
        <v>3</v>
      </c>
      <c r="U1102">
        <v>10</v>
      </c>
      <c r="V1102">
        <v>5</v>
      </c>
      <c r="W1102">
        <v>2</v>
      </c>
      <c r="X1102">
        <v>78</v>
      </c>
      <c r="Y1102">
        <v>8</v>
      </c>
      <c r="Z1102">
        <v>1</v>
      </c>
      <c r="AA1102">
        <v>1</v>
      </c>
      <c r="AB1102">
        <v>1</v>
      </c>
      <c r="AD1102">
        <v>3</v>
      </c>
      <c r="AE1102">
        <v>0</v>
      </c>
      <c r="AF1102">
        <v>0</v>
      </c>
      <c r="AG1102">
        <v>0</v>
      </c>
      <c r="AI1102">
        <v>0</v>
      </c>
      <c r="AJ1102">
        <v>1</v>
      </c>
      <c r="AK1102">
        <v>166</v>
      </c>
      <c r="AL1102">
        <v>166</v>
      </c>
      <c r="AM1102">
        <v>598</v>
      </c>
      <c r="AN1102">
        <v>44</v>
      </c>
      <c r="AP1102">
        <v>1</v>
      </c>
      <c r="AR1102" t="s">
        <v>1188</v>
      </c>
      <c r="AS1102" s="1">
        <v>44353.956250000003</v>
      </c>
      <c r="AT1102" s="1">
        <v>44353.96601851852</v>
      </c>
      <c r="AU1102" s="1">
        <v>44353.966504629629</v>
      </c>
      <c r="AV1102" t="s">
        <v>71</v>
      </c>
      <c r="AW1102" t="s">
        <v>72</v>
      </c>
      <c r="AX1102" t="s">
        <v>73</v>
      </c>
    </row>
    <row r="1103" spans="1:50" x14ac:dyDescent="0.3">
      <c r="A1103" t="str">
        <f>"202126E0100"</f>
        <v>202126E0100</v>
      </c>
      <c r="B1103" t="str">
        <f>"202126E01002"</f>
        <v>202126E01002</v>
      </c>
      <c r="C1103" t="str">
        <f t="shared" si="50"/>
        <v>20</v>
      </c>
      <c r="D1103" t="s">
        <v>67</v>
      </c>
      <c r="E1103" t="str">
        <f t="shared" si="48"/>
        <v>005</v>
      </c>
      <c r="F1103" t="s">
        <v>962</v>
      </c>
      <c r="G1103" t="str">
        <f>"2126"</f>
        <v>2126</v>
      </c>
      <c r="H1103" t="str">
        <f>"0001"</f>
        <v>0001</v>
      </c>
      <c r="I1103" t="s">
        <v>109</v>
      </c>
      <c r="J1103">
        <v>0</v>
      </c>
      <c r="K1103">
        <v>1</v>
      </c>
      <c r="L1103">
        <v>2</v>
      </c>
      <c r="M1103">
        <v>163</v>
      </c>
      <c r="N1103">
        <v>86</v>
      </c>
      <c r="O1103">
        <v>2</v>
      </c>
      <c r="P1103">
        <v>87</v>
      </c>
      <c r="Q1103">
        <v>1</v>
      </c>
      <c r="R1103">
        <v>3</v>
      </c>
      <c r="S1103">
        <v>5</v>
      </c>
      <c r="T1103">
        <v>1</v>
      </c>
      <c r="U1103">
        <v>1</v>
      </c>
      <c r="V1103">
        <v>2</v>
      </c>
      <c r="W1103">
        <v>1</v>
      </c>
      <c r="X1103">
        <v>60</v>
      </c>
      <c r="Y1103">
        <v>8</v>
      </c>
      <c r="Z1103">
        <v>2</v>
      </c>
      <c r="AA1103">
        <v>1</v>
      </c>
      <c r="AB1103">
        <v>1</v>
      </c>
      <c r="AD1103">
        <v>0</v>
      </c>
      <c r="AE1103">
        <v>0</v>
      </c>
      <c r="AF1103">
        <v>0</v>
      </c>
      <c r="AG1103">
        <v>0</v>
      </c>
      <c r="AI1103">
        <v>0</v>
      </c>
      <c r="AJ1103">
        <v>1</v>
      </c>
      <c r="AK1103">
        <v>87</v>
      </c>
      <c r="AL1103">
        <v>87</v>
      </c>
      <c r="AM1103">
        <v>206</v>
      </c>
      <c r="AN1103">
        <v>44</v>
      </c>
      <c r="AP1103">
        <v>1</v>
      </c>
      <c r="AR1103" t="s">
        <v>1189</v>
      </c>
      <c r="AS1103" s="1">
        <v>44353.956250000003</v>
      </c>
      <c r="AT1103" s="1">
        <v>44353.963888888888</v>
      </c>
      <c r="AU1103" s="1">
        <v>44353.964745370373</v>
      </c>
      <c r="AV1103" t="s">
        <v>71</v>
      </c>
      <c r="AW1103" t="s">
        <v>72</v>
      </c>
      <c r="AX1103" t="s">
        <v>73</v>
      </c>
    </row>
    <row r="1104" spans="1:50" x14ac:dyDescent="0.3">
      <c r="A1104" t="str">
        <f>"202127B0000"</f>
        <v>202127B0000</v>
      </c>
      <c r="B1104" t="str">
        <f>"202127B00002"</f>
        <v>202127B00002</v>
      </c>
      <c r="C1104" t="str">
        <f t="shared" si="50"/>
        <v>20</v>
      </c>
      <c r="D1104" t="s">
        <v>67</v>
      </c>
      <c r="E1104" t="str">
        <f t="shared" si="48"/>
        <v>005</v>
      </c>
      <c r="F1104" t="s">
        <v>962</v>
      </c>
      <c r="G1104" t="str">
        <f>"2127"</f>
        <v>2127</v>
      </c>
      <c r="H1104" t="str">
        <f>"0000"</f>
        <v>0000</v>
      </c>
      <c r="I1104" t="s">
        <v>69</v>
      </c>
      <c r="J1104">
        <v>0</v>
      </c>
      <c r="K1104">
        <v>1</v>
      </c>
      <c r="L1104">
        <v>2</v>
      </c>
      <c r="M1104">
        <v>73</v>
      </c>
      <c r="N1104">
        <v>60</v>
      </c>
      <c r="O1104">
        <v>0</v>
      </c>
      <c r="P1104">
        <v>60</v>
      </c>
      <c r="Q1104">
        <v>3</v>
      </c>
      <c r="R1104">
        <v>7</v>
      </c>
      <c r="S1104">
        <v>0</v>
      </c>
      <c r="T1104">
        <v>1</v>
      </c>
      <c r="U1104">
        <v>1</v>
      </c>
      <c r="V1104">
        <v>1</v>
      </c>
      <c r="W1104">
        <v>0</v>
      </c>
      <c r="X1104">
        <v>33</v>
      </c>
      <c r="Y1104">
        <v>9</v>
      </c>
      <c r="Z1104">
        <v>1</v>
      </c>
      <c r="AA1104">
        <v>0</v>
      </c>
      <c r="AB1104">
        <v>1</v>
      </c>
      <c r="AD1104">
        <v>1</v>
      </c>
      <c r="AE1104">
        <v>0</v>
      </c>
      <c r="AF1104">
        <v>0</v>
      </c>
      <c r="AG1104">
        <v>0</v>
      </c>
      <c r="AI1104">
        <v>0</v>
      </c>
      <c r="AJ1104">
        <v>2</v>
      </c>
      <c r="AK1104">
        <v>60</v>
      </c>
      <c r="AL1104">
        <v>60</v>
      </c>
      <c r="AM1104">
        <v>89</v>
      </c>
      <c r="AN1104">
        <v>44</v>
      </c>
      <c r="AP1104">
        <v>1</v>
      </c>
      <c r="AR1104" t="s">
        <v>1190</v>
      </c>
      <c r="AS1104" s="1">
        <v>44354.102777777778</v>
      </c>
      <c r="AT1104" s="1">
        <v>44354.105752314812</v>
      </c>
      <c r="AU1104" s="1">
        <v>44354.106111111112</v>
      </c>
      <c r="AV1104" t="s">
        <v>71</v>
      </c>
      <c r="AW1104" t="s">
        <v>72</v>
      </c>
      <c r="AX1104" t="s">
        <v>73</v>
      </c>
    </row>
    <row r="1105" spans="1:50" x14ac:dyDescent="0.3">
      <c r="A1105" t="str">
        <f>"202135B0000"</f>
        <v>202135B0000</v>
      </c>
      <c r="B1105" t="str">
        <f>"202135B00002"</f>
        <v>202135B00002</v>
      </c>
      <c r="C1105" t="str">
        <f t="shared" si="50"/>
        <v>20</v>
      </c>
      <c r="D1105" t="s">
        <v>67</v>
      </c>
      <c r="E1105" t="str">
        <f t="shared" si="48"/>
        <v>005</v>
      </c>
      <c r="F1105" t="s">
        <v>962</v>
      </c>
      <c r="G1105" t="str">
        <f>"2135"</f>
        <v>2135</v>
      </c>
      <c r="H1105" t="str">
        <f>"0000"</f>
        <v>0000</v>
      </c>
      <c r="I1105" t="s">
        <v>69</v>
      </c>
      <c r="J1105">
        <v>0</v>
      </c>
      <c r="K1105">
        <v>1</v>
      </c>
      <c r="L1105">
        <v>2</v>
      </c>
      <c r="M1105">
        <v>246</v>
      </c>
      <c r="N1105">
        <v>174</v>
      </c>
      <c r="O1105">
        <v>0</v>
      </c>
      <c r="P1105">
        <v>174</v>
      </c>
      <c r="Q1105">
        <v>9</v>
      </c>
      <c r="R1105">
        <v>22</v>
      </c>
      <c r="S1105">
        <v>6</v>
      </c>
      <c r="T1105">
        <v>6</v>
      </c>
      <c r="U1105">
        <v>8</v>
      </c>
      <c r="V1105">
        <v>2</v>
      </c>
      <c r="W1105">
        <v>20</v>
      </c>
      <c r="X1105">
        <v>47</v>
      </c>
      <c r="Y1105">
        <v>38</v>
      </c>
      <c r="Z1105">
        <v>1</v>
      </c>
      <c r="AA1105">
        <v>1</v>
      </c>
      <c r="AB1105">
        <v>6</v>
      </c>
      <c r="AD1105">
        <v>1</v>
      </c>
      <c r="AE1105">
        <v>0</v>
      </c>
      <c r="AF1105">
        <v>0</v>
      </c>
      <c r="AG1105">
        <v>0</v>
      </c>
      <c r="AI1105">
        <v>0</v>
      </c>
      <c r="AJ1105">
        <v>7</v>
      </c>
      <c r="AK1105">
        <v>174</v>
      </c>
      <c r="AL1105">
        <v>174</v>
      </c>
      <c r="AM1105">
        <v>376</v>
      </c>
      <c r="AN1105">
        <v>44</v>
      </c>
      <c r="AP1105">
        <v>1</v>
      </c>
      <c r="AR1105" t="s">
        <v>1191</v>
      </c>
      <c r="AS1105" s="1">
        <v>44354.058333333334</v>
      </c>
      <c r="AT1105" s="1">
        <v>44354.064525462964</v>
      </c>
      <c r="AU1105" s="1">
        <v>44354.065243055556</v>
      </c>
      <c r="AV1105" t="s">
        <v>71</v>
      </c>
      <c r="AW1105" t="s">
        <v>72</v>
      </c>
      <c r="AX1105" t="s">
        <v>73</v>
      </c>
    </row>
    <row r="1106" spans="1:50" x14ac:dyDescent="0.3">
      <c r="A1106" t="str">
        <f>"202135C0100"</f>
        <v>202135C0100</v>
      </c>
      <c r="B1106" t="str">
        <f>"202135C01002"</f>
        <v>202135C01002</v>
      </c>
      <c r="C1106" t="str">
        <f t="shared" si="50"/>
        <v>20</v>
      </c>
      <c r="D1106" t="s">
        <v>67</v>
      </c>
      <c r="E1106" t="str">
        <f t="shared" si="48"/>
        <v>005</v>
      </c>
      <c r="F1106" t="s">
        <v>962</v>
      </c>
      <c r="G1106" t="str">
        <f>"2135"</f>
        <v>2135</v>
      </c>
      <c r="H1106" t="str">
        <f>"0001"</f>
        <v>0001</v>
      </c>
      <c r="I1106" t="s">
        <v>75</v>
      </c>
      <c r="J1106">
        <v>0</v>
      </c>
      <c r="K1106">
        <v>1</v>
      </c>
      <c r="L1106">
        <v>2</v>
      </c>
      <c r="M1106">
        <v>240</v>
      </c>
      <c r="N1106">
        <v>180</v>
      </c>
      <c r="O1106">
        <v>0</v>
      </c>
      <c r="P1106">
        <v>180</v>
      </c>
      <c r="Q1106">
        <v>2</v>
      </c>
      <c r="R1106">
        <v>18</v>
      </c>
      <c r="S1106">
        <v>3</v>
      </c>
      <c r="T1106">
        <v>4</v>
      </c>
      <c r="U1106">
        <v>1</v>
      </c>
      <c r="V1106">
        <v>4</v>
      </c>
      <c r="W1106">
        <v>29</v>
      </c>
      <c r="X1106">
        <v>51</v>
      </c>
      <c r="Y1106">
        <v>36</v>
      </c>
      <c r="Z1106">
        <v>6</v>
      </c>
      <c r="AA1106">
        <v>2</v>
      </c>
      <c r="AB1106">
        <v>9</v>
      </c>
      <c r="AD1106">
        <v>0</v>
      </c>
      <c r="AE1106">
        <v>2</v>
      </c>
      <c r="AF1106">
        <v>0</v>
      </c>
      <c r="AG1106">
        <v>0</v>
      </c>
      <c r="AI1106">
        <v>0</v>
      </c>
      <c r="AJ1106">
        <v>13</v>
      </c>
      <c r="AK1106">
        <v>180</v>
      </c>
      <c r="AL1106">
        <v>180</v>
      </c>
      <c r="AM1106">
        <v>376</v>
      </c>
      <c r="AN1106">
        <v>44</v>
      </c>
      <c r="AP1106">
        <v>1</v>
      </c>
      <c r="AR1106" t="s">
        <v>1192</v>
      </c>
      <c r="AS1106" s="1">
        <v>44354.058333333334</v>
      </c>
      <c r="AT1106" s="1">
        <v>44354.065752314818</v>
      </c>
      <c r="AU1106" s="1">
        <v>44354.06621527778</v>
      </c>
      <c r="AV1106" t="s">
        <v>71</v>
      </c>
      <c r="AW1106" t="s">
        <v>72</v>
      </c>
      <c r="AX1106" t="s">
        <v>73</v>
      </c>
    </row>
    <row r="1107" spans="1:50" x14ac:dyDescent="0.3">
      <c r="A1107" t="str">
        <f>"202136B0000"</f>
        <v>202136B0000</v>
      </c>
      <c r="B1107" t="str">
        <f>"202136B00002"</f>
        <v>202136B00002</v>
      </c>
      <c r="C1107" t="str">
        <f t="shared" si="50"/>
        <v>20</v>
      </c>
      <c r="D1107" t="s">
        <v>67</v>
      </c>
      <c r="E1107" t="str">
        <f t="shared" si="48"/>
        <v>005</v>
      </c>
      <c r="F1107" t="s">
        <v>962</v>
      </c>
      <c r="G1107" t="str">
        <f>"2136"</f>
        <v>2136</v>
      </c>
      <c r="H1107" t="str">
        <f>"0000"</f>
        <v>0000</v>
      </c>
      <c r="I1107" t="s">
        <v>69</v>
      </c>
      <c r="J1107">
        <v>0</v>
      </c>
      <c r="K1107">
        <v>1</v>
      </c>
      <c r="L1107">
        <v>2</v>
      </c>
      <c r="M1107">
        <v>181</v>
      </c>
      <c r="N1107">
        <v>94</v>
      </c>
      <c r="O1107">
        <v>5</v>
      </c>
      <c r="P1107">
        <v>94</v>
      </c>
      <c r="Q1107">
        <v>0</v>
      </c>
      <c r="R1107">
        <v>29</v>
      </c>
      <c r="S1107">
        <v>3</v>
      </c>
      <c r="T1107">
        <v>8</v>
      </c>
      <c r="U1107">
        <v>2</v>
      </c>
      <c r="V1107">
        <v>1</v>
      </c>
      <c r="W1107">
        <v>3</v>
      </c>
      <c r="X1107">
        <v>16</v>
      </c>
      <c r="Y1107">
        <v>20</v>
      </c>
      <c r="Z1107">
        <v>3</v>
      </c>
      <c r="AA1107">
        <v>1</v>
      </c>
      <c r="AB1107">
        <v>0</v>
      </c>
      <c r="AD1107">
        <v>2</v>
      </c>
      <c r="AE1107">
        <v>0</v>
      </c>
      <c r="AF1107">
        <v>0</v>
      </c>
      <c r="AG1107">
        <v>1</v>
      </c>
      <c r="AI1107">
        <v>0</v>
      </c>
      <c r="AJ1107">
        <v>5</v>
      </c>
      <c r="AK1107">
        <v>94</v>
      </c>
      <c r="AL1107">
        <v>94</v>
      </c>
      <c r="AM1107">
        <v>231</v>
      </c>
      <c r="AN1107">
        <v>44</v>
      </c>
      <c r="AP1107">
        <v>1</v>
      </c>
      <c r="AR1107" t="s">
        <v>1193</v>
      </c>
      <c r="AS1107" s="1">
        <v>44354.058333333334</v>
      </c>
      <c r="AT1107" s="1">
        <v>44354.065162037034</v>
      </c>
      <c r="AU1107" s="1">
        <v>44354.066157407404</v>
      </c>
      <c r="AV1107" t="s">
        <v>71</v>
      </c>
      <c r="AW1107" t="s">
        <v>72</v>
      </c>
      <c r="AX1107" t="s">
        <v>73</v>
      </c>
    </row>
    <row r="1108" spans="1:50" x14ac:dyDescent="0.3">
      <c r="A1108" t="str">
        <f>"202136E0100"</f>
        <v>202136E0100</v>
      </c>
      <c r="B1108" t="str">
        <f>"202136E01002"</f>
        <v>202136E01002</v>
      </c>
      <c r="C1108" t="str">
        <f t="shared" si="50"/>
        <v>20</v>
      </c>
      <c r="D1108" t="s">
        <v>67</v>
      </c>
      <c r="E1108" t="str">
        <f t="shared" si="48"/>
        <v>005</v>
      </c>
      <c r="F1108" t="s">
        <v>962</v>
      </c>
      <c r="G1108" t="str">
        <f>"2136"</f>
        <v>2136</v>
      </c>
      <c r="H1108" t="str">
        <f>"0001"</f>
        <v>0001</v>
      </c>
      <c r="I1108" t="s">
        <v>109</v>
      </c>
      <c r="J1108">
        <v>0</v>
      </c>
      <c r="K1108">
        <v>1</v>
      </c>
      <c r="L1108">
        <v>2</v>
      </c>
      <c r="M1108">
        <v>153</v>
      </c>
      <c r="N1108">
        <v>86</v>
      </c>
      <c r="O1108">
        <v>0</v>
      </c>
      <c r="P1108">
        <v>86</v>
      </c>
      <c r="Q1108">
        <v>1</v>
      </c>
      <c r="R1108">
        <v>6</v>
      </c>
      <c r="S1108">
        <v>1</v>
      </c>
      <c r="T1108">
        <v>0</v>
      </c>
      <c r="U1108">
        <v>4</v>
      </c>
      <c r="V1108">
        <v>2</v>
      </c>
      <c r="W1108">
        <v>7</v>
      </c>
      <c r="X1108">
        <v>50</v>
      </c>
      <c r="Y1108">
        <v>5</v>
      </c>
      <c r="Z1108">
        <v>3</v>
      </c>
      <c r="AA1108">
        <v>1</v>
      </c>
      <c r="AB1108">
        <v>0</v>
      </c>
      <c r="AD1108">
        <v>0</v>
      </c>
      <c r="AE1108">
        <v>0</v>
      </c>
      <c r="AF1108">
        <v>0</v>
      </c>
      <c r="AG1108">
        <v>0</v>
      </c>
      <c r="AI1108">
        <v>0</v>
      </c>
      <c r="AJ1108">
        <v>6</v>
      </c>
      <c r="AK1108">
        <v>86</v>
      </c>
      <c r="AL1108">
        <v>86</v>
      </c>
      <c r="AM1108">
        <v>195</v>
      </c>
      <c r="AN1108">
        <v>44</v>
      </c>
      <c r="AP1108">
        <v>1</v>
      </c>
      <c r="AR1108" t="s">
        <v>1194</v>
      </c>
      <c r="AS1108" s="1">
        <v>44354.060416666667</v>
      </c>
      <c r="AT1108" s="1">
        <v>44354.068993055553</v>
      </c>
      <c r="AU1108" s="1">
        <v>44354.070289351854</v>
      </c>
      <c r="AV1108" t="s">
        <v>71</v>
      </c>
      <c r="AW1108" t="s">
        <v>72</v>
      </c>
      <c r="AX1108" t="s">
        <v>73</v>
      </c>
    </row>
    <row r="1109" spans="1:50" x14ac:dyDescent="0.3">
      <c r="A1109" t="str">
        <f>"202137B0000"</f>
        <v>202137B0000</v>
      </c>
      <c r="B1109" t="str">
        <f>"202137B00002"</f>
        <v>202137B00002</v>
      </c>
      <c r="C1109" t="str">
        <f t="shared" si="50"/>
        <v>20</v>
      </c>
      <c r="D1109" t="s">
        <v>67</v>
      </c>
      <c r="E1109" t="str">
        <f t="shared" si="48"/>
        <v>005</v>
      </c>
      <c r="F1109" t="s">
        <v>962</v>
      </c>
      <c r="G1109" t="str">
        <f>"2137"</f>
        <v>2137</v>
      </c>
      <c r="H1109" t="str">
        <f>"0000"</f>
        <v>0000</v>
      </c>
      <c r="I1109" t="s">
        <v>69</v>
      </c>
      <c r="J1109">
        <v>0</v>
      </c>
      <c r="K1109">
        <v>1</v>
      </c>
      <c r="L1109">
        <v>2</v>
      </c>
      <c r="M1109">
        <v>291</v>
      </c>
      <c r="N1109">
        <v>97</v>
      </c>
      <c r="O1109">
        <v>1</v>
      </c>
      <c r="P1109" t="s">
        <v>80</v>
      </c>
      <c r="Q1109">
        <v>3</v>
      </c>
      <c r="R1109">
        <v>14</v>
      </c>
      <c r="S1109">
        <v>4</v>
      </c>
      <c r="T1109">
        <v>4</v>
      </c>
      <c r="U1109">
        <v>7</v>
      </c>
      <c r="V1109">
        <v>1</v>
      </c>
      <c r="W1109">
        <v>8</v>
      </c>
      <c r="X1109">
        <v>36</v>
      </c>
      <c r="Y1109">
        <v>12</v>
      </c>
      <c r="Z1109">
        <v>0</v>
      </c>
      <c r="AA1109">
        <v>1</v>
      </c>
      <c r="AB1109">
        <v>0</v>
      </c>
      <c r="AD1109">
        <v>0</v>
      </c>
      <c r="AE1109">
        <v>0</v>
      </c>
      <c r="AF1109">
        <v>0</v>
      </c>
      <c r="AG1109">
        <v>0</v>
      </c>
      <c r="AI1109">
        <v>0</v>
      </c>
      <c r="AJ1109">
        <v>7</v>
      </c>
      <c r="AK1109">
        <v>97</v>
      </c>
      <c r="AL1109">
        <v>97</v>
      </c>
      <c r="AM1109">
        <v>344</v>
      </c>
      <c r="AN1109">
        <v>44</v>
      </c>
      <c r="AP1109">
        <v>1</v>
      </c>
      <c r="AR1109" t="s">
        <v>1195</v>
      </c>
      <c r="AS1109" s="1">
        <v>44354.07708333333</v>
      </c>
      <c r="AT1109" s="1">
        <v>44354.085775462961</v>
      </c>
      <c r="AU1109" s="1">
        <v>44354.08625</v>
      </c>
      <c r="AV1109" t="s">
        <v>71</v>
      </c>
      <c r="AW1109" t="s">
        <v>72</v>
      </c>
      <c r="AX1109" t="s">
        <v>73</v>
      </c>
    </row>
    <row r="1110" spans="1:50" x14ac:dyDescent="0.3">
      <c r="A1110" t="str">
        <f>"202137E0100"</f>
        <v>202137E0100</v>
      </c>
      <c r="B1110" t="str">
        <f>"202137E01002"</f>
        <v>202137E01002</v>
      </c>
      <c r="C1110" t="str">
        <f t="shared" si="50"/>
        <v>20</v>
      </c>
      <c r="D1110" t="s">
        <v>67</v>
      </c>
      <c r="E1110" t="str">
        <f t="shared" si="48"/>
        <v>005</v>
      </c>
      <c r="F1110" t="s">
        <v>962</v>
      </c>
      <c r="G1110" t="str">
        <f>"2137"</f>
        <v>2137</v>
      </c>
      <c r="H1110" t="str">
        <f>"0001"</f>
        <v>0001</v>
      </c>
      <c r="I1110" t="s">
        <v>109</v>
      </c>
      <c r="J1110">
        <v>0</v>
      </c>
      <c r="K1110">
        <v>1</v>
      </c>
      <c r="L1110">
        <v>2</v>
      </c>
      <c r="M1110">
        <v>127</v>
      </c>
      <c r="N1110">
        <v>86</v>
      </c>
      <c r="O1110">
        <v>0</v>
      </c>
      <c r="P1110">
        <v>86</v>
      </c>
      <c r="Q1110">
        <v>5</v>
      </c>
      <c r="R1110">
        <v>22</v>
      </c>
      <c r="S1110">
        <v>6</v>
      </c>
      <c r="T1110">
        <v>3</v>
      </c>
      <c r="U1110">
        <v>6</v>
      </c>
      <c r="V1110">
        <v>1</v>
      </c>
      <c r="W1110">
        <v>6</v>
      </c>
      <c r="X1110">
        <v>21</v>
      </c>
      <c r="Y1110">
        <v>6</v>
      </c>
      <c r="Z1110">
        <v>3</v>
      </c>
      <c r="AA1110">
        <v>1</v>
      </c>
      <c r="AB1110">
        <v>0</v>
      </c>
      <c r="AD1110">
        <v>1</v>
      </c>
      <c r="AE1110">
        <v>2</v>
      </c>
      <c r="AF1110">
        <v>0</v>
      </c>
      <c r="AG1110">
        <v>0</v>
      </c>
      <c r="AI1110">
        <v>0</v>
      </c>
      <c r="AJ1110">
        <v>3</v>
      </c>
      <c r="AK1110">
        <v>86</v>
      </c>
      <c r="AL1110">
        <v>86</v>
      </c>
      <c r="AM1110">
        <v>169</v>
      </c>
      <c r="AN1110">
        <v>44</v>
      </c>
      <c r="AP1110">
        <v>1</v>
      </c>
      <c r="AR1110" t="s">
        <v>1196</v>
      </c>
      <c r="AS1110" s="1">
        <v>44354.076388888891</v>
      </c>
      <c r="AT1110" s="1">
        <v>44354.083692129629</v>
      </c>
      <c r="AU1110" s="1">
        <v>44354.084328703706</v>
      </c>
      <c r="AV1110" t="s">
        <v>71</v>
      </c>
      <c r="AW1110" t="s">
        <v>72</v>
      </c>
      <c r="AX1110" t="s">
        <v>73</v>
      </c>
    </row>
    <row r="1111" spans="1:50" x14ac:dyDescent="0.3">
      <c r="A1111" t="str">
        <f>"202137E0200"</f>
        <v>202137E0200</v>
      </c>
      <c r="B1111" t="str">
        <f>"202137E02002"</f>
        <v>202137E02002</v>
      </c>
      <c r="C1111" t="str">
        <f t="shared" si="50"/>
        <v>20</v>
      </c>
      <c r="D1111" t="s">
        <v>67</v>
      </c>
      <c r="E1111" t="str">
        <f t="shared" si="48"/>
        <v>005</v>
      </c>
      <c r="F1111" t="s">
        <v>962</v>
      </c>
      <c r="G1111" t="str">
        <f>"2137"</f>
        <v>2137</v>
      </c>
      <c r="H1111" t="str">
        <f>"0002"</f>
        <v>0002</v>
      </c>
      <c r="I1111" t="s">
        <v>109</v>
      </c>
      <c r="J1111">
        <v>0</v>
      </c>
      <c r="K1111">
        <v>1</v>
      </c>
      <c r="L1111">
        <v>2</v>
      </c>
      <c r="M1111">
        <v>100</v>
      </c>
      <c r="N1111">
        <v>59</v>
      </c>
      <c r="O1111">
        <v>0</v>
      </c>
      <c r="P1111">
        <v>59</v>
      </c>
      <c r="Q1111">
        <v>3</v>
      </c>
      <c r="R1111">
        <v>18</v>
      </c>
      <c r="S1111">
        <v>3</v>
      </c>
      <c r="T1111">
        <v>5</v>
      </c>
      <c r="U1111">
        <v>3</v>
      </c>
      <c r="V1111">
        <v>2</v>
      </c>
      <c r="W1111">
        <v>3</v>
      </c>
      <c r="X1111">
        <v>11</v>
      </c>
      <c r="Y1111">
        <v>2</v>
      </c>
      <c r="Z1111">
        <v>2</v>
      </c>
      <c r="AA1111">
        <v>1</v>
      </c>
      <c r="AB1111">
        <v>1</v>
      </c>
      <c r="AD1111">
        <v>2</v>
      </c>
      <c r="AE1111">
        <v>0</v>
      </c>
      <c r="AF1111">
        <v>0</v>
      </c>
      <c r="AG1111">
        <v>0</v>
      </c>
      <c r="AI1111">
        <v>0</v>
      </c>
      <c r="AJ1111">
        <v>3</v>
      </c>
      <c r="AK1111">
        <v>59</v>
      </c>
      <c r="AL1111">
        <v>59</v>
      </c>
      <c r="AM1111">
        <v>115</v>
      </c>
      <c r="AN1111">
        <v>44</v>
      </c>
      <c r="AP1111">
        <v>1</v>
      </c>
      <c r="AR1111" t="s">
        <v>1197</v>
      </c>
      <c r="AS1111" s="1">
        <v>44354.051388888889</v>
      </c>
      <c r="AT1111" s="1">
        <v>44354.058506944442</v>
      </c>
      <c r="AU1111" s="1">
        <v>44354.058923611112</v>
      </c>
      <c r="AV1111" t="s">
        <v>71</v>
      </c>
      <c r="AW1111" t="s">
        <v>72</v>
      </c>
      <c r="AX1111" t="s">
        <v>73</v>
      </c>
    </row>
    <row r="1112" spans="1:50" x14ac:dyDescent="0.3">
      <c r="A1112" t="str">
        <f>"202138B0000"</f>
        <v>202138B0000</v>
      </c>
      <c r="B1112" t="str">
        <f>"202138B00002"</f>
        <v>202138B00002</v>
      </c>
      <c r="C1112" t="str">
        <f t="shared" si="50"/>
        <v>20</v>
      </c>
      <c r="D1112" t="s">
        <v>67</v>
      </c>
      <c r="E1112" t="str">
        <f t="shared" si="48"/>
        <v>005</v>
      </c>
      <c r="F1112" t="s">
        <v>962</v>
      </c>
      <c r="G1112" t="str">
        <f>"2138"</f>
        <v>2138</v>
      </c>
      <c r="H1112" t="str">
        <f>"0000"</f>
        <v>0000</v>
      </c>
      <c r="I1112" t="s">
        <v>69</v>
      </c>
      <c r="J1112">
        <v>0</v>
      </c>
      <c r="K1112">
        <v>1</v>
      </c>
      <c r="L1112">
        <v>2</v>
      </c>
      <c r="M1112">
        <v>89</v>
      </c>
      <c r="N1112">
        <v>76</v>
      </c>
      <c r="O1112">
        <v>1</v>
      </c>
      <c r="P1112">
        <v>76</v>
      </c>
      <c r="Q1112">
        <v>1</v>
      </c>
      <c r="R1112">
        <v>13</v>
      </c>
      <c r="S1112">
        <v>1</v>
      </c>
      <c r="T1112">
        <v>2</v>
      </c>
      <c r="U1112">
        <v>3</v>
      </c>
      <c r="V1112">
        <v>1</v>
      </c>
      <c r="W1112">
        <v>15</v>
      </c>
      <c r="X1112">
        <v>27</v>
      </c>
      <c r="Y1112">
        <v>5</v>
      </c>
      <c r="Z1112">
        <v>3</v>
      </c>
      <c r="AA1112">
        <v>1</v>
      </c>
      <c r="AB1112">
        <v>0</v>
      </c>
      <c r="AD1112">
        <v>0</v>
      </c>
      <c r="AE1112">
        <v>0</v>
      </c>
      <c r="AF1112">
        <v>0</v>
      </c>
      <c r="AG1112">
        <v>1</v>
      </c>
      <c r="AI1112">
        <v>2</v>
      </c>
      <c r="AJ1112">
        <v>1</v>
      </c>
      <c r="AK1112">
        <v>76</v>
      </c>
      <c r="AL1112">
        <v>76</v>
      </c>
      <c r="AM1112">
        <v>121</v>
      </c>
      <c r="AN1112">
        <v>44</v>
      </c>
      <c r="AP1112">
        <v>1</v>
      </c>
      <c r="AR1112" t="s">
        <v>1198</v>
      </c>
      <c r="AS1112" s="1">
        <v>44354.07708333333</v>
      </c>
      <c r="AT1112" s="1">
        <v>44354.086018518516</v>
      </c>
      <c r="AU1112" s="1">
        <v>44354.087407407409</v>
      </c>
      <c r="AV1112" t="s">
        <v>71</v>
      </c>
      <c r="AW1112" t="s">
        <v>72</v>
      </c>
      <c r="AX1112" t="s">
        <v>73</v>
      </c>
    </row>
    <row r="1113" spans="1:50" x14ac:dyDescent="0.3">
      <c r="A1113" t="str">
        <f>"202138E0100"</f>
        <v>202138E0100</v>
      </c>
      <c r="B1113" t="str">
        <f>"202138E01002"</f>
        <v>202138E01002</v>
      </c>
      <c r="C1113" t="str">
        <f t="shared" si="50"/>
        <v>20</v>
      </c>
      <c r="D1113" t="s">
        <v>67</v>
      </c>
      <c r="E1113" t="str">
        <f t="shared" si="48"/>
        <v>005</v>
      </c>
      <c r="F1113" t="s">
        <v>962</v>
      </c>
      <c r="G1113" t="str">
        <f>"2138"</f>
        <v>2138</v>
      </c>
      <c r="H1113" t="str">
        <f>"0001"</f>
        <v>0001</v>
      </c>
      <c r="I1113" t="s">
        <v>109</v>
      </c>
      <c r="J1113">
        <v>0</v>
      </c>
      <c r="K1113">
        <v>1</v>
      </c>
      <c r="L1113">
        <v>2</v>
      </c>
      <c r="M1113">
        <v>189</v>
      </c>
      <c r="N1113">
        <v>102</v>
      </c>
      <c r="O1113">
        <v>0</v>
      </c>
      <c r="P1113" t="s">
        <v>80</v>
      </c>
      <c r="Q1113">
        <v>3</v>
      </c>
      <c r="R1113">
        <v>19</v>
      </c>
      <c r="S1113">
        <v>8</v>
      </c>
      <c r="T1113">
        <v>3</v>
      </c>
      <c r="U1113">
        <v>4</v>
      </c>
      <c r="V1113">
        <v>2</v>
      </c>
      <c r="W1113">
        <v>3</v>
      </c>
      <c r="X1113">
        <v>31</v>
      </c>
      <c r="Y1113">
        <v>8</v>
      </c>
      <c r="Z1113">
        <v>2</v>
      </c>
      <c r="AA1113">
        <v>2</v>
      </c>
      <c r="AB1113">
        <v>1</v>
      </c>
      <c r="AD1113">
        <v>8</v>
      </c>
      <c r="AE1113">
        <v>1</v>
      </c>
      <c r="AF1113">
        <v>0</v>
      </c>
      <c r="AG1113">
        <v>0</v>
      </c>
      <c r="AI1113">
        <v>0</v>
      </c>
      <c r="AJ1113">
        <v>7</v>
      </c>
      <c r="AK1113">
        <v>102</v>
      </c>
      <c r="AL1113">
        <v>102</v>
      </c>
      <c r="AM1113">
        <v>247</v>
      </c>
      <c r="AN1113">
        <v>44</v>
      </c>
      <c r="AP1113">
        <v>1</v>
      </c>
      <c r="AR1113" t="s">
        <v>1199</v>
      </c>
      <c r="AS1113" s="1">
        <v>44354.049305555556</v>
      </c>
      <c r="AT1113" s="1">
        <v>44354.057638888888</v>
      </c>
      <c r="AU1113" s="1">
        <v>44354.058020833334</v>
      </c>
      <c r="AV1113" t="s">
        <v>71</v>
      </c>
      <c r="AW1113" t="s">
        <v>72</v>
      </c>
      <c r="AX1113" t="s">
        <v>73</v>
      </c>
    </row>
    <row r="1114" spans="1:50" x14ac:dyDescent="0.3">
      <c r="A1114" t="str">
        <f>"202139B0000"</f>
        <v>202139B0000</v>
      </c>
      <c r="B1114" t="str">
        <f>"202139B00002"</f>
        <v>202139B00002</v>
      </c>
      <c r="C1114" t="str">
        <f t="shared" si="50"/>
        <v>20</v>
      </c>
      <c r="D1114" t="s">
        <v>67</v>
      </c>
      <c r="E1114" t="str">
        <f t="shared" si="48"/>
        <v>005</v>
      </c>
      <c r="F1114" t="s">
        <v>962</v>
      </c>
      <c r="G1114" t="str">
        <f>"2139"</f>
        <v>2139</v>
      </c>
      <c r="H1114" t="str">
        <f>"0000"</f>
        <v>0000</v>
      </c>
      <c r="I1114" t="s">
        <v>69</v>
      </c>
      <c r="J1114">
        <v>0</v>
      </c>
      <c r="K1114">
        <v>1</v>
      </c>
      <c r="L1114">
        <v>2</v>
      </c>
      <c r="M1114">
        <v>238</v>
      </c>
      <c r="N1114">
        <v>238</v>
      </c>
      <c r="O1114">
        <v>0</v>
      </c>
      <c r="P1114">
        <v>238</v>
      </c>
      <c r="Q1114">
        <v>13</v>
      </c>
      <c r="R1114">
        <v>45</v>
      </c>
      <c r="S1114">
        <v>2</v>
      </c>
      <c r="T1114">
        <v>3</v>
      </c>
      <c r="U1114">
        <v>10</v>
      </c>
      <c r="V1114">
        <v>5</v>
      </c>
      <c r="W1114">
        <v>7</v>
      </c>
      <c r="X1114">
        <v>88</v>
      </c>
      <c r="Y1114">
        <v>44</v>
      </c>
      <c r="Z1114">
        <v>4</v>
      </c>
      <c r="AA1114">
        <v>1</v>
      </c>
      <c r="AB1114">
        <v>7</v>
      </c>
      <c r="AD1114">
        <v>3</v>
      </c>
      <c r="AE1114">
        <v>0</v>
      </c>
      <c r="AF1114">
        <v>1</v>
      </c>
      <c r="AG1114">
        <v>0</v>
      </c>
      <c r="AI1114">
        <v>0</v>
      </c>
      <c r="AJ1114">
        <v>5</v>
      </c>
      <c r="AK1114">
        <v>238</v>
      </c>
      <c r="AL1114">
        <v>238</v>
      </c>
      <c r="AM1114">
        <v>432</v>
      </c>
      <c r="AN1114">
        <v>44</v>
      </c>
      <c r="AP1114">
        <v>1</v>
      </c>
      <c r="AR1114" t="s">
        <v>1200</v>
      </c>
      <c r="AS1114" s="1">
        <v>44354.042361111111</v>
      </c>
      <c r="AT1114" s="1">
        <v>44354.051562499997</v>
      </c>
      <c r="AU1114" s="1">
        <v>44354.052048611113</v>
      </c>
      <c r="AV1114" t="s">
        <v>71</v>
      </c>
      <c r="AW1114" t="s">
        <v>72</v>
      </c>
      <c r="AX1114" t="s">
        <v>73</v>
      </c>
    </row>
    <row r="1115" spans="1:50" x14ac:dyDescent="0.3">
      <c r="A1115" t="str">
        <f>"202140B0000"</f>
        <v>202140B0000</v>
      </c>
      <c r="B1115" t="str">
        <f>"202140B00002"</f>
        <v>202140B00002</v>
      </c>
      <c r="C1115" t="str">
        <f t="shared" si="50"/>
        <v>20</v>
      </c>
      <c r="D1115" t="s">
        <v>67</v>
      </c>
      <c r="E1115" t="str">
        <f t="shared" si="48"/>
        <v>005</v>
      </c>
      <c r="F1115" t="s">
        <v>962</v>
      </c>
      <c r="G1115" t="str">
        <f>"2140"</f>
        <v>2140</v>
      </c>
      <c r="H1115" t="str">
        <f>"0000"</f>
        <v>0000</v>
      </c>
      <c r="I1115" t="s">
        <v>69</v>
      </c>
      <c r="J1115">
        <v>0</v>
      </c>
      <c r="K1115">
        <v>1</v>
      </c>
      <c r="L1115">
        <v>2</v>
      </c>
      <c r="M1115">
        <v>265</v>
      </c>
      <c r="N1115">
        <v>227</v>
      </c>
      <c r="O1115">
        <v>0</v>
      </c>
      <c r="P1115">
        <v>227</v>
      </c>
      <c r="Q1115">
        <v>5</v>
      </c>
      <c r="R1115">
        <v>54</v>
      </c>
      <c r="S1115">
        <v>1</v>
      </c>
      <c r="T1115">
        <v>1</v>
      </c>
      <c r="U1115">
        <v>6</v>
      </c>
      <c r="V1115">
        <v>3</v>
      </c>
      <c r="W1115">
        <v>3</v>
      </c>
      <c r="X1115">
        <v>114</v>
      </c>
      <c r="Y1115">
        <v>1</v>
      </c>
      <c r="Z1115">
        <v>6</v>
      </c>
      <c r="AA1115">
        <v>8</v>
      </c>
      <c r="AB1115">
        <v>2</v>
      </c>
      <c r="AD1115">
        <v>4</v>
      </c>
      <c r="AE1115">
        <v>1</v>
      </c>
      <c r="AF1115">
        <v>0</v>
      </c>
      <c r="AG1115">
        <v>0</v>
      </c>
      <c r="AI1115">
        <v>0</v>
      </c>
      <c r="AJ1115">
        <v>18</v>
      </c>
      <c r="AK1115">
        <v>227</v>
      </c>
      <c r="AL1115">
        <v>227</v>
      </c>
      <c r="AM1115">
        <v>448</v>
      </c>
      <c r="AN1115">
        <v>44</v>
      </c>
      <c r="AP1115">
        <v>1</v>
      </c>
      <c r="AR1115" t="s">
        <v>1201</v>
      </c>
      <c r="AS1115" s="1">
        <v>44354.132638888892</v>
      </c>
      <c r="AT1115" s="1">
        <v>44354.137245370373</v>
      </c>
      <c r="AU1115" s="1">
        <v>44354.137974537036</v>
      </c>
      <c r="AV1115" t="s">
        <v>71</v>
      </c>
      <c r="AW1115" t="s">
        <v>72</v>
      </c>
      <c r="AX1115" t="s">
        <v>73</v>
      </c>
    </row>
    <row r="1116" spans="1:50" x14ac:dyDescent="0.3">
      <c r="A1116" t="str">
        <f>"202140E0100"</f>
        <v>202140E0100</v>
      </c>
      <c r="B1116" t="str">
        <f>"202140E01002"</f>
        <v>202140E01002</v>
      </c>
      <c r="C1116" t="str">
        <f t="shared" si="50"/>
        <v>20</v>
      </c>
      <c r="D1116" t="s">
        <v>67</v>
      </c>
      <c r="E1116" t="str">
        <f t="shared" si="48"/>
        <v>005</v>
      </c>
      <c r="F1116" t="s">
        <v>962</v>
      </c>
      <c r="G1116" t="str">
        <f>"2140"</f>
        <v>2140</v>
      </c>
      <c r="H1116" t="str">
        <f>"0001"</f>
        <v>0001</v>
      </c>
      <c r="I1116" t="s">
        <v>109</v>
      </c>
      <c r="J1116">
        <v>0</v>
      </c>
      <c r="K1116">
        <v>1</v>
      </c>
      <c r="L1116">
        <v>2</v>
      </c>
      <c r="M1116">
        <v>408</v>
      </c>
      <c r="N1116">
        <v>318</v>
      </c>
      <c r="O1116">
        <v>0</v>
      </c>
      <c r="P1116" t="s">
        <v>80</v>
      </c>
      <c r="Q1116">
        <v>6</v>
      </c>
      <c r="R1116">
        <v>103</v>
      </c>
      <c r="S1116">
        <v>16</v>
      </c>
      <c r="T1116">
        <v>12</v>
      </c>
      <c r="U1116">
        <v>28</v>
      </c>
      <c r="V1116">
        <v>2</v>
      </c>
      <c r="W1116">
        <v>11</v>
      </c>
      <c r="X1116">
        <v>96</v>
      </c>
      <c r="Y1116">
        <v>1</v>
      </c>
      <c r="Z1116">
        <v>9</v>
      </c>
      <c r="AA1116">
        <v>2</v>
      </c>
      <c r="AB1116">
        <v>3</v>
      </c>
      <c r="AD1116">
        <v>1</v>
      </c>
      <c r="AE1116">
        <v>0</v>
      </c>
      <c r="AF1116">
        <v>0</v>
      </c>
      <c r="AG1116">
        <v>3</v>
      </c>
      <c r="AI1116">
        <v>0</v>
      </c>
      <c r="AJ1116">
        <v>25</v>
      </c>
      <c r="AK1116">
        <v>318</v>
      </c>
      <c r="AL1116">
        <v>318</v>
      </c>
      <c r="AM1116">
        <v>683</v>
      </c>
      <c r="AN1116">
        <v>44</v>
      </c>
      <c r="AP1116">
        <v>1</v>
      </c>
      <c r="AR1116" t="s">
        <v>1202</v>
      </c>
      <c r="AS1116" s="1">
        <v>44354.097916666666</v>
      </c>
      <c r="AT1116" s="1">
        <v>44354.1015162037</v>
      </c>
      <c r="AU1116" s="1">
        <v>44354.101956018516</v>
      </c>
      <c r="AV1116" t="s">
        <v>71</v>
      </c>
      <c r="AW1116" t="s">
        <v>72</v>
      </c>
      <c r="AX1116" t="s">
        <v>73</v>
      </c>
    </row>
    <row r="1117" spans="1:50" x14ac:dyDescent="0.3">
      <c r="A1117" t="str">
        <f>"202141B0000"</f>
        <v>202141B0000</v>
      </c>
      <c r="B1117" t="str">
        <f>"202141B00002"</f>
        <v>202141B00002</v>
      </c>
      <c r="C1117" t="str">
        <f t="shared" si="50"/>
        <v>20</v>
      </c>
      <c r="D1117" t="s">
        <v>67</v>
      </c>
      <c r="E1117" t="str">
        <f t="shared" si="48"/>
        <v>005</v>
      </c>
      <c r="F1117" t="s">
        <v>962</v>
      </c>
      <c r="G1117" t="str">
        <f>"2141"</f>
        <v>2141</v>
      </c>
      <c r="H1117" t="str">
        <f>"0000"</f>
        <v>0000</v>
      </c>
      <c r="I1117" t="s">
        <v>69</v>
      </c>
      <c r="J1117">
        <v>0</v>
      </c>
      <c r="K1117">
        <v>1</v>
      </c>
      <c r="L1117">
        <v>2</v>
      </c>
      <c r="M1117">
        <v>329</v>
      </c>
      <c r="N1117">
        <v>139</v>
      </c>
      <c r="O1117">
        <v>0</v>
      </c>
      <c r="P1117">
        <v>139</v>
      </c>
      <c r="Q1117">
        <v>5</v>
      </c>
      <c r="R1117">
        <v>42</v>
      </c>
      <c r="S1117">
        <v>8</v>
      </c>
      <c r="T1117">
        <v>4</v>
      </c>
      <c r="U1117">
        <v>7</v>
      </c>
      <c r="V1117">
        <v>1</v>
      </c>
      <c r="W1117">
        <v>2</v>
      </c>
      <c r="X1117">
        <v>54</v>
      </c>
      <c r="Y1117">
        <v>3</v>
      </c>
      <c r="Z1117">
        <v>4</v>
      </c>
      <c r="AA1117">
        <v>2</v>
      </c>
      <c r="AB1117">
        <v>0</v>
      </c>
      <c r="AD1117">
        <v>0</v>
      </c>
      <c r="AE1117">
        <v>1</v>
      </c>
      <c r="AF1117">
        <v>0</v>
      </c>
      <c r="AG1117">
        <v>1</v>
      </c>
      <c r="AI1117">
        <v>0</v>
      </c>
      <c r="AJ1117">
        <v>5</v>
      </c>
      <c r="AK1117">
        <v>139</v>
      </c>
      <c r="AL1117">
        <v>139</v>
      </c>
      <c r="AM1117">
        <v>424</v>
      </c>
      <c r="AN1117">
        <v>44</v>
      </c>
      <c r="AP1117">
        <v>1</v>
      </c>
      <c r="AR1117" t="s">
        <v>1203</v>
      </c>
      <c r="AS1117" s="1">
        <v>44354.136111111111</v>
      </c>
      <c r="AT1117" s="1">
        <v>44354.142407407409</v>
      </c>
      <c r="AU1117" s="1">
        <v>44354.142881944441</v>
      </c>
      <c r="AV1117" t="s">
        <v>71</v>
      </c>
      <c r="AW1117" t="s">
        <v>72</v>
      </c>
      <c r="AX1117" t="s">
        <v>73</v>
      </c>
    </row>
    <row r="1118" spans="1:50" x14ac:dyDescent="0.3">
      <c r="A1118" t="str">
        <f>"202141C0100"</f>
        <v>202141C0100</v>
      </c>
      <c r="B1118" t="str">
        <f>"202141C01002"</f>
        <v>202141C01002</v>
      </c>
      <c r="C1118" t="str">
        <f t="shared" si="50"/>
        <v>20</v>
      </c>
      <c r="D1118" t="s">
        <v>67</v>
      </c>
      <c r="E1118" t="str">
        <f t="shared" si="48"/>
        <v>005</v>
      </c>
      <c r="F1118" t="s">
        <v>962</v>
      </c>
      <c r="G1118" t="str">
        <f>"2141"</f>
        <v>2141</v>
      </c>
      <c r="H1118" t="str">
        <f>"0001"</f>
        <v>0001</v>
      </c>
      <c r="I1118" t="s">
        <v>75</v>
      </c>
      <c r="J1118">
        <v>0</v>
      </c>
      <c r="K1118">
        <v>1</v>
      </c>
      <c r="L1118">
        <v>2</v>
      </c>
      <c r="M1118">
        <v>342</v>
      </c>
      <c r="N1118">
        <v>125</v>
      </c>
      <c r="O1118" t="s">
        <v>80</v>
      </c>
      <c r="P1118" t="s">
        <v>80</v>
      </c>
      <c r="Q1118">
        <v>3</v>
      </c>
      <c r="R1118">
        <v>41</v>
      </c>
      <c r="S1118">
        <v>9</v>
      </c>
      <c r="T1118">
        <v>1</v>
      </c>
      <c r="U1118">
        <v>7</v>
      </c>
      <c r="V1118">
        <v>4</v>
      </c>
      <c r="W1118">
        <v>2</v>
      </c>
      <c r="X1118">
        <v>45</v>
      </c>
      <c r="Y1118">
        <v>0</v>
      </c>
      <c r="Z1118">
        <v>3</v>
      </c>
      <c r="AA1118">
        <v>3</v>
      </c>
      <c r="AB1118">
        <v>1</v>
      </c>
      <c r="AD1118">
        <v>0</v>
      </c>
      <c r="AE1118">
        <v>0</v>
      </c>
      <c r="AF1118">
        <v>0</v>
      </c>
      <c r="AG1118">
        <v>0</v>
      </c>
      <c r="AI1118" t="s">
        <v>77</v>
      </c>
      <c r="AJ1118">
        <v>6</v>
      </c>
      <c r="AK1118">
        <v>125</v>
      </c>
      <c r="AL1118">
        <v>125</v>
      </c>
      <c r="AM1118">
        <v>423</v>
      </c>
      <c r="AN1118">
        <v>44</v>
      </c>
      <c r="AO1118" t="s">
        <v>78</v>
      </c>
      <c r="AP1118">
        <v>1</v>
      </c>
      <c r="AR1118" t="s">
        <v>1204</v>
      </c>
      <c r="AS1118" s="1">
        <v>44354.134027777778</v>
      </c>
      <c r="AT1118" s="1">
        <v>44354.140868055554</v>
      </c>
      <c r="AU1118" s="1">
        <v>44354.141828703701</v>
      </c>
      <c r="AV1118" t="s">
        <v>71</v>
      </c>
      <c r="AW1118" t="s">
        <v>72</v>
      </c>
      <c r="AX1118" t="s">
        <v>73</v>
      </c>
    </row>
    <row r="1119" spans="1:50" x14ac:dyDescent="0.3">
      <c r="A1119" t="str">
        <f>"202142B0000"</f>
        <v>202142B0000</v>
      </c>
      <c r="B1119" t="str">
        <f>"202142B00002"</f>
        <v>202142B00002</v>
      </c>
      <c r="C1119" t="str">
        <f t="shared" si="50"/>
        <v>20</v>
      </c>
      <c r="D1119" t="s">
        <v>67</v>
      </c>
      <c r="E1119" t="str">
        <f t="shared" si="48"/>
        <v>005</v>
      </c>
      <c r="F1119" t="s">
        <v>962</v>
      </c>
      <c r="G1119" t="str">
        <f>"2142"</f>
        <v>2142</v>
      </c>
      <c r="H1119" t="str">
        <f>"0000"</f>
        <v>0000</v>
      </c>
      <c r="I1119" t="s">
        <v>69</v>
      </c>
      <c r="J1119">
        <v>0</v>
      </c>
      <c r="K1119">
        <v>1</v>
      </c>
      <c r="L1119">
        <v>2</v>
      </c>
      <c r="M1119">
        <v>290</v>
      </c>
      <c r="N1119">
        <v>159</v>
      </c>
      <c r="O1119">
        <v>0</v>
      </c>
      <c r="P1119">
        <v>159</v>
      </c>
      <c r="Q1119">
        <v>9</v>
      </c>
      <c r="R1119">
        <v>49</v>
      </c>
      <c r="S1119">
        <v>11</v>
      </c>
      <c r="T1119">
        <v>6</v>
      </c>
      <c r="U1119">
        <v>9</v>
      </c>
      <c r="V1119">
        <v>2</v>
      </c>
      <c r="W1119">
        <v>7</v>
      </c>
      <c r="X1119">
        <v>62</v>
      </c>
      <c r="Y1119">
        <v>3</v>
      </c>
      <c r="Z1119">
        <v>2</v>
      </c>
      <c r="AA1119">
        <v>0</v>
      </c>
      <c r="AB1119">
        <v>2</v>
      </c>
      <c r="AD1119">
        <v>0</v>
      </c>
      <c r="AE1119">
        <v>0</v>
      </c>
      <c r="AF1119">
        <v>0</v>
      </c>
      <c r="AG1119">
        <v>0</v>
      </c>
      <c r="AI1119" t="s">
        <v>77</v>
      </c>
      <c r="AJ1119" t="s">
        <v>77</v>
      </c>
      <c r="AK1119" t="s">
        <v>77</v>
      </c>
      <c r="AL1119">
        <v>162</v>
      </c>
      <c r="AM1119">
        <v>406</v>
      </c>
      <c r="AN1119">
        <v>44</v>
      </c>
      <c r="AO1119" t="s">
        <v>78</v>
      </c>
      <c r="AP1119">
        <v>1</v>
      </c>
      <c r="AR1119" t="s">
        <v>1205</v>
      </c>
      <c r="AS1119" s="1">
        <v>44354.097222222219</v>
      </c>
      <c r="AT1119" s="1">
        <v>44354.102662037039</v>
      </c>
      <c r="AU1119" s="1">
        <v>44354.103125000001</v>
      </c>
      <c r="AV1119" t="s">
        <v>71</v>
      </c>
      <c r="AW1119" t="s">
        <v>72</v>
      </c>
      <c r="AX1119" t="s">
        <v>73</v>
      </c>
    </row>
    <row r="1120" spans="1:50" x14ac:dyDescent="0.3">
      <c r="A1120" t="str">
        <f>"202142C0100"</f>
        <v>202142C0100</v>
      </c>
      <c r="B1120" t="str">
        <f>"202142C01002"</f>
        <v>202142C01002</v>
      </c>
      <c r="C1120" t="str">
        <f t="shared" si="50"/>
        <v>20</v>
      </c>
      <c r="D1120" t="s">
        <v>67</v>
      </c>
      <c r="E1120" t="str">
        <f t="shared" si="48"/>
        <v>005</v>
      </c>
      <c r="F1120" t="s">
        <v>962</v>
      </c>
      <c r="G1120" t="str">
        <f>"2142"</f>
        <v>2142</v>
      </c>
      <c r="H1120" t="str">
        <f>"0001"</f>
        <v>0001</v>
      </c>
      <c r="I1120" t="s">
        <v>75</v>
      </c>
      <c r="J1120">
        <v>0</v>
      </c>
      <c r="K1120">
        <v>1</v>
      </c>
      <c r="L1120">
        <v>2</v>
      </c>
      <c r="M1120">
        <v>265</v>
      </c>
      <c r="N1120">
        <v>185</v>
      </c>
      <c r="O1120">
        <v>0</v>
      </c>
      <c r="P1120">
        <v>185</v>
      </c>
      <c r="Q1120">
        <v>8</v>
      </c>
      <c r="R1120">
        <v>43</v>
      </c>
      <c r="S1120">
        <v>14</v>
      </c>
      <c r="T1120">
        <v>6</v>
      </c>
      <c r="U1120">
        <v>10</v>
      </c>
      <c r="V1120">
        <v>1</v>
      </c>
      <c r="W1120">
        <v>3</v>
      </c>
      <c r="X1120">
        <v>71</v>
      </c>
      <c r="Y1120">
        <v>3</v>
      </c>
      <c r="Z1120">
        <v>6</v>
      </c>
      <c r="AA1120">
        <v>5</v>
      </c>
      <c r="AB1120">
        <v>1</v>
      </c>
      <c r="AD1120">
        <v>0</v>
      </c>
      <c r="AE1120">
        <v>0</v>
      </c>
      <c r="AF1120">
        <v>1</v>
      </c>
      <c r="AG1120">
        <v>0</v>
      </c>
      <c r="AI1120" t="s">
        <v>77</v>
      </c>
      <c r="AJ1120">
        <v>13</v>
      </c>
      <c r="AK1120">
        <v>185</v>
      </c>
      <c r="AL1120">
        <v>185</v>
      </c>
      <c r="AM1120">
        <v>406</v>
      </c>
      <c r="AN1120">
        <v>44</v>
      </c>
      <c r="AO1120" t="s">
        <v>78</v>
      </c>
      <c r="AP1120">
        <v>1</v>
      </c>
      <c r="AR1120" t="s">
        <v>1206</v>
      </c>
      <c r="AS1120" s="1">
        <v>44354.097916666666</v>
      </c>
      <c r="AT1120" s="1">
        <v>44354.100787037038</v>
      </c>
      <c r="AU1120" s="1">
        <v>44354.101354166669</v>
      </c>
      <c r="AV1120" t="s">
        <v>71</v>
      </c>
      <c r="AW1120" t="s">
        <v>72</v>
      </c>
      <c r="AX1120" t="s">
        <v>73</v>
      </c>
    </row>
    <row r="1121" spans="1:50" x14ac:dyDescent="0.3">
      <c r="A1121" t="str">
        <f>"202143B0000"</f>
        <v>202143B0000</v>
      </c>
      <c r="B1121" t="str">
        <f>"202143B00002"</f>
        <v>202143B00002</v>
      </c>
      <c r="C1121" t="str">
        <f t="shared" si="50"/>
        <v>20</v>
      </c>
      <c r="D1121" t="s">
        <v>67</v>
      </c>
      <c r="E1121" t="str">
        <f t="shared" si="48"/>
        <v>005</v>
      </c>
      <c r="F1121" t="s">
        <v>962</v>
      </c>
      <c r="G1121" t="str">
        <f>"2143"</f>
        <v>2143</v>
      </c>
      <c r="H1121" t="str">
        <f>"0000"</f>
        <v>0000</v>
      </c>
      <c r="I1121" t="s">
        <v>69</v>
      </c>
      <c r="J1121">
        <v>0</v>
      </c>
      <c r="K1121">
        <v>1</v>
      </c>
      <c r="L1121">
        <v>2</v>
      </c>
      <c r="M1121">
        <v>320</v>
      </c>
      <c r="N1121">
        <v>253</v>
      </c>
      <c r="O1121">
        <v>0</v>
      </c>
      <c r="P1121">
        <v>253</v>
      </c>
      <c r="Q1121">
        <v>9</v>
      </c>
      <c r="R1121">
        <v>62</v>
      </c>
      <c r="S1121">
        <v>16</v>
      </c>
      <c r="T1121">
        <v>18</v>
      </c>
      <c r="U1121">
        <v>25</v>
      </c>
      <c r="V1121">
        <v>7</v>
      </c>
      <c r="W1121">
        <v>2</v>
      </c>
      <c r="X1121">
        <v>91</v>
      </c>
      <c r="Y1121">
        <v>2</v>
      </c>
      <c r="Z1121">
        <v>1</v>
      </c>
      <c r="AA1121">
        <v>1</v>
      </c>
      <c r="AB1121">
        <v>4</v>
      </c>
      <c r="AD1121">
        <v>0</v>
      </c>
      <c r="AE1121">
        <v>1</v>
      </c>
      <c r="AF1121">
        <v>0</v>
      </c>
      <c r="AG1121">
        <v>7</v>
      </c>
      <c r="AI1121">
        <v>19</v>
      </c>
      <c r="AJ1121" t="s">
        <v>99</v>
      </c>
      <c r="AK1121">
        <v>253</v>
      </c>
      <c r="AL1121">
        <v>265</v>
      </c>
      <c r="AM1121">
        <v>529</v>
      </c>
      <c r="AN1121">
        <v>44</v>
      </c>
      <c r="AO1121" t="s">
        <v>78</v>
      </c>
      <c r="AP1121">
        <v>1</v>
      </c>
      <c r="AR1121" t="s">
        <v>1207</v>
      </c>
      <c r="AS1121" s="1">
        <v>44354.097222222219</v>
      </c>
      <c r="AT1121" s="1">
        <v>44354.101909722223</v>
      </c>
      <c r="AU1121" s="1">
        <v>44354.103090277778</v>
      </c>
      <c r="AV1121" t="s">
        <v>71</v>
      </c>
      <c r="AW1121" t="s">
        <v>72</v>
      </c>
      <c r="AX1121" t="s">
        <v>73</v>
      </c>
    </row>
    <row r="1122" spans="1:50" x14ac:dyDescent="0.3">
      <c r="A1122" t="str">
        <f>"202186B0000"</f>
        <v>202186B0000</v>
      </c>
      <c r="B1122" t="str">
        <f>"202186B00002"</f>
        <v>202186B00002</v>
      </c>
      <c r="C1122" t="str">
        <f t="shared" si="50"/>
        <v>20</v>
      </c>
      <c r="D1122" t="s">
        <v>67</v>
      </c>
      <c r="E1122" t="str">
        <f t="shared" si="48"/>
        <v>005</v>
      </c>
      <c r="F1122" t="s">
        <v>962</v>
      </c>
      <c r="G1122" t="str">
        <f>"2186"</f>
        <v>2186</v>
      </c>
      <c r="H1122" t="str">
        <f>"0000"</f>
        <v>0000</v>
      </c>
      <c r="I1122" t="s">
        <v>69</v>
      </c>
      <c r="J1122">
        <v>0</v>
      </c>
      <c r="K1122">
        <v>1</v>
      </c>
      <c r="L1122">
        <v>2</v>
      </c>
      <c r="M1122">
        <v>233</v>
      </c>
      <c r="N1122">
        <v>168</v>
      </c>
      <c r="O1122">
        <v>5</v>
      </c>
      <c r="P1122" t="s">
        <v>99</v>
      </c>
      <c r="Q1122">
        <v>3</v>
      </c>
      <c r="R1122">
        <v>89</v>
      </c>
      <c r="S1122">
        <v>1</v>
      </c>
      <c r="T1122">
        <v>3</v>
      </c>
      <c r="U1122">
        <v>0</v>
      </c>
      <c r="V1122">
        <v>0</v>
      </c>
      <c r="W1122">
        <v>3</v>
      </c>
      <c r="X1122">
        <v>56</v>
      </c>
      <c r="Y1122">
        <v>3</v>
      </c>
      <c r="Z1122">
        <v>1</v>
      </c>
      <c r="AA1122">
        <v>0</v>
      </c>
      <c r="AB1122">
        <v>1</v>
      </c>
      <c r="AD1122">
        <v>0</v>
      </c>
      <c r="AE1122">
        <v>0</v>
      </c>
      <c r="AF1122">
        <v>0</v>
      </c>
      <c r="AG1122">
        <v>0</v>
      </c>
      <c r="AI1122">
        <v>0</v>
      </c>
      <c r="AJ1122">
        <v>8</v>
      </c>
      <c r="AK1122" t="s">
        <v>77</v>
      </c>
      <c r="AL1122">
        <v>168</v>
      </c>
      <c r="AM1122">
        <v>357</v>
      </c>
      <c r="AN1122">
        <v>44</v>
      </c>
      <c r="AP1122">
        <v>1</v>
      </c>
      <c r="AR1122" t="s">
        <v>1208</v>
      </c>
      <c r="AS1122" s="1">
        <v>44354.117361111108</v>
      </c>
      <c r="AT1122" s="1">
        <v>44354.120775462965</v>
      </c>
      <c r="AU1122" s="1">
        <v>44354.121122685188</v>
      </c>
      <c r="AV1122" t="s">
        <v>71</v>
      </c>
      <c r="AW1122" t="s">
        <v>72</v>
      </c>
      <c r="AX1122" t="s">
        <v>73</v>
      </c>
    </row>
    <row r="1123" spans="1:50" x14ac:dyDescent="0.3">
      <c r="A1123" t="str">
        <f>"202186E0100"</f>
        <v>202186E0100</v>
      </c>
      <c r="B1123" t="str">
        <f>"202186E01002"</f>
        <v>202186E01002</v>
      </c>
      <c r="C1123" t="str">
        <f t="shared" si="50"/>
        <v>20</v>
      </c>
      <c r="D1123" t="s">
        <v>67</v>
      </c>
      <c r="E1123" t="str">
        <f t="shared" si="48"/>
        <v>005</v>
      </c>
      <c r="F1123" t="s">
        <v>962</v>
      </c>
      <c r="G1123" t="str">
        <f>"2186"</f>
        <v>2186</v>
      </c>
      <c r="H1123" t="str">
        <f>"0001"</f>
        <v>0001</v>
      </c>
      <c r="I1123" t="s">
        <v>109</v>
      </c>
      <c r="J1123">
        <v>0</v>
      </c>
      <c r="K1123">
        <v>1</v>
      </c>
      <c r="L1123">
        <v>2</v>
      </c>
      <c r="M1123">
        <v>144</v>
      </c>
      <c r="N1123">
        <v>104</v>
      </c>
      <c r="O1123">
        <v>0</v>
      </c>
      <c r="P1123">
        <v>104</v>
      </c>
      <c r="Q1123">
        <v>6</v>
      </c>
      <c r="R1123">
        <v>42</v>
      </c>
      <c r="S1123">
        <v>0</v>
      </c>
      <c r="T1123">
        <v>3</v>
      </c>
      <c r="U1123">
        <v>1</v>
      </c>
      <c r="V1123">
        <v>3</v>
      </c>
      <c r="W1123">
        <v>3</v>
      </c>
      <c r="X1123">
        <v>39</v>
      </c>
      <c r="Y1123">
        <v>0</v>
      </c>
      <c r="Z1123">
        <v>0</v>
      </c>
      <c r="AA1123">
        <v>0</v>
      </c>
      <c r="AB1123">
        <v>0</v>
      </c>
      <c r="AD1123">
        <v>1</v>
      </c>
      <c r="AE1123">
        <v>0</v>
      </c>
      <c r="AF1123">
        <v>0</v>
      </c>
      <c r="AG1123">
        <v>0</v>
      </c>
      <c r="AI1123">
        <v>0</v>
      </c>
      <c r="AJ1123">
        <v>6</v>
      </c>
      <c r="AK1123">
        <v>104</v>
      </c>
      <c r="AL1123">
        <v>104</v>
      </c>
      <c r="AM1123">
        <v>204</v>
      </c>
      <c r="AN1123">
        <v>44</v>
      </c>
      <c r="AP1123">
        <v>1</v>
      </c>
      <c r="AR1123" t="s">
        <v>1209</v>
      </c>
      <c r="AS1123" s="1">
        <v>44354.115277777775</v>
      </c>
      <c r="AT1123" s="1">
        <v>44354.12091435185</v>
      </c>
      <c r="AU1123" s="1">
        <v>44354.121446759258</v>
      </c>
      <c r="AV1123" t="s">
        <v>71</v>
      </c>
      <c r="AW1123" t="s">
        <v>72</v>
      </c>
      <c r="AX1123" t="s">
        <v>73</v>
      </c>
    </row>
    <row r="1124" spans="1:50" x14ac:dyDescent="0.3">
      <c r="A1124" t="str">
        <f>"202187B0000"</f>
        <v>202187B0000</v>
      </c>
      <c r="B1124" t="str">
        <f>"202187B00002"</f>
        <v>202187B00002</v>
      </c>
      <c r="C1124" t="str">
        <f t="shared" si="50"/>
        <v>20</v>
      </c>
      <c r="D1124" t="s">
        <v>67</v>
      </c>
      <c r="E1124" t="str">
        <f t="shared" si="48"/>
        <v>005</v>
      </c>
      <c r="F1124" t="s">
        <v>962</v>
      </c>
      <c r="G1124" t="str">
        <f>"2187"</f>
        <v>2187</v>
      </c>
      <c r="H1124" t="str">
        <f>"0000"</f>
        <v>0000</v>
      </c>
      <c r="I1124" t="s">
        <v>69</v>
      </c>
      <c r="J1124">
        <v>0</v>
      </c>
      <c r="K1124">
        <v>1</v>
      </c>
      <c r="L1124">
        <v>2</v>
      </c>
      <c r="M1124">
        <v>188</v>
      </c>
      <c r="N1124">
        <v>130</v>
      </c>
      <c r="O1124">
        <v>5</v>
      </c>
      <c r="P1124">
        <v>130</v>
      </c>
      <c r="Q1124">
        <v>5</v>
      </c>
      <c r="R1124">
        <v>63</v>
      </c>
      <c r="S1124">
        <v>3</v>
      </c>
      <c r="T1124">
        <v>6</v>
      </c>
      <c r="U1124">
        <v>1</v>
      </c>
      <c r="V1124">
        <v>1</v>
      </c>
      <c r="W1124">
        <v>2</v>
      </c>
      <c r="X1124">
        <v>43</v>
      </c>
      <c r="Y1124">
        <v>1</v>
      </c>
      <c r="Z1124">
        <v>1</v>
      </c>
      <c r="AA1124">
        <v>0</v>
      </c>
      <c r="AB1124">
        <v>0</v>
      </c>
      <c r="AD1124">
        <v>0</v>
      </c>
      <c r="AE1124">
        <v>0</v>
      </c>
      <c r="AF1124">
        <v>0</v>
      </c>
      <c r="AG1124">
        <v>0</v>
      </c>
      <c r="AI1124">
        <v>0</v>
      </c>
      <c r="AJ1124">
        <v>4</v>
      </c>
      <c r="AK1124">
        <v>130</v>
      </c>
      <c r="AL1124">
        <v>130</v>
      </c>
      <c r="AM1124">
        <v>274</v>
      </c>
      <c r="AN1124">
        <v>44</v>
      </c>
      <c r="AP1124">
        <v>1</v>
      </c>
      <c r="AR1124" t="s">
        <v>1210</v>
      </c>
      <c r="AS1124" s="1">
        <v>44354.115277777775</v>
      </c>
      <c r="AT1124" s="1">
        <v>44354.117997685185</v>
      </c>
      <c r="AU1124" s="1">
        <v>44354.118472222224</v>
      </c>
      <c r="AV1124" t="s">
        <v>71</v>
      </c>
      <c r="AW1124" t="s">
        <v>72</v>
      </c>
      <c r="AX1124" t="s">
        <v>73</v>
      </c>
    </row>
    <row r="1125" spans="1:50" x14ac:dyDescent="0.3">
      <c r="A1125" t="str">
        <f>"202187E0100"</f>
        <v>202187E0100</v>
      </c>
      <c r="B1125" t="str">
        <f>"202187E01002"</f>
        <v>202187E01002</v>
      </c>
      <c r="C1125" t="str">
        <f t="shared" si="50"/>
        <v>20</v>
      </c>
      <c r="D1125" t="s">
        <v>67</v>
      </c>
      <c r="E1125" t="str">
        <f t="shared" si="48"/>
        <v>005</v>
      </c>
      <c r="F1125" t="s">
        <v>962</v>
      </c>
      <c r="G1125" t="str">
        <f>"2187"</f>
        <v>2187</v>
      </c>
      <c r="H1125" t="str">
        <f>"0001"</f>
        <v>0001</v>
      </c>
      <c r="I1125" t="s">
        <v>109</v>
      </c>
      <c r="J1125">
        <v>0</v>
      </c>
      <c r="K1125">
        <v>1</v>
      </c>
      <c r="L1125">
        <v>2</v>
      </c>
      <c r="M1125">
        <v>133</v>
      </c>
      <c r="N1125">
        <v>82</v>
      </c>
      <c r="O1125">
        <v>5</v>
      </c>
      <c r="P1125">
        <v>82</v>
      </c>
      <c r="Q1125">
        <v>4</v>
      </c>
      <c r="R1125">
        <v>43</v>
      </c>
      <c r="S1125">
        <v>3</v>
      </c>
      <c r="T1125">
        <v>2</v>
      </c>
      <c r="U1125">
        <v>1</v>
      </c>
      <c r="V1125">
        <v>1</v>
      </c>
      <c r="W1125">
        <v>0</v>
      </c>
      <c r="X1125">
        <v>24</v>
      </c>
      <c r="Y1125">
        <v>0</v>
      </c>
      <c r="Z1125">
        <v>0</v>
      </c>
      <c r="AA1125">
        <v>0</v>
      </c>
      <c r="AB1125">
        <v>0</v>
      </c>
      <c r="AD1125">
        <v>0</v>
      </c>
      <c r="AE1125">
        <v>0</v>
      </c>
      <c r="AF1125">
        <v>0</v>
      </c>
      <c r="AG1125">
        <v>0</v>
      </c>
      <c r="AI1125">
        <v>0</v>
      </c>
      <c r="AJ1125">
        <v>4</v>
      </c>
      <c r="AK1125">
        <v>82</v>
      </c>
      <c r="AL1125">
        <v>82</v>
      </c>
      <c r="AM1125">
        <v>171</v>
      </c>
      <c r="AN1125">
        <v>44</v>
      </c>
      <c r="AP1125">
        <v>1</v>
      </c>
      <c r="AR1125" t="s">
        <v>1211</v>
      </c>
      <c r="AS1125" s="1">
        <v>44354.118055555555</v>
      </c>
      <c r="AT1125" s="1">
        <v>44354.125543981485</v>
      </c>
      <c r="AU1125" s="1">
        <v>44354.13140046296</v>
      </c>
      <c r="AV1125" t="s">
        <v>71</v>
      </c>
      <c r="AW1125" t="s">
        <v>72</v>
      </c>
      <c r="AX1125" t="s">
        <v>73</v>
      </c>
    </row>
    <row r="1126" spans="1:50" x14ac:dyDescent="0.3">
      <c r="A1126" t="str">
        <f>"202188B0000"</f>
        <v>202188B0000</v>
      </c>
      <c r="B1126" t="str">
        <f>"202188B00002"</f>
        <v>202188B00002</v>
      </c>
      <c r="C1126" t="str">
        <f t="shared" si="50"/>
        <v>20</v>
      </c>
      <c r="D1126" t="s">
        <v>67</v>
      </c>
      <c r="E1126" t="str">
        <f t="shared" si="48"/>
        <v>005</v>
      </c>
      <c r="F1126" t="s">
        <v>962</v>
      </c>
      <c r="G1126" t="str">
        <f>"2188"</f>
        <v>2188</v>
      </c>
      <c r="H1126" t="str">
        <f>"0000"</f>
        <v>0000</v>
      </c>
      <c r="I1126" t="s">
        <v>69</v>
      </c>
      <c r="J1126">
        <v>0</v>
      </c>
      <c r="K1126">
        <v>1</v>
      </c>
      <c r="L1126">
        <v>2</v>
      </c>
      <c r="M1126">
        <v>306</v>
      </c>
      <c r="N1126">
        <v>148</v>
      </c>
      <c r="O1126">
        <v>0</v>
      </c>
      <c r="P1126">
        <v>148</v>
      </c>
      <c r="Q1126">
        <v>8</v>
      </c>
      <c r="R1126">
        <v>58</v>
      </c>
      <c r="S1126">
        <v>2</v>
      </c>
      <c r="T1126">
        <v>3</v>
      </c>
      <c r="U1126">
        <v>4</v>
      </c>
      <c r="V1126">
        <v>0</v>
      </c>
      <c r="W1126">
        <v>3</v>
      </c>
      <c r="X1126">
        <v>59</v>
      </c>
      <c r="Y1126">
        <v>3</v>
      </c>
      <c r="Z1126">
        <v>1</v>
      </c>
      <c r="AA1126">
        <v>2</v>
      </c>
      <c r="AB1126">
        <v>0</v>
      </c>
      <c r="AD1126">
        <v>0</v>
      </c>
      <c r="AE1126">
        <v>0</v>
      </c>
      <c r="AF1126">
        <v>0</v>
      </c>
      <c r="AG1126">
        <v>0</v>
      </c>
      <c r="AI1126">
        <v>0</v>
      </c>
      <c r="AJ1126">
        <v>5</v>
      </c>
      <c r="AK1126">
        <v>148</v>
      </c>
      <c r="AL1126">
        <v>148</v>
      </c>
      <c r="AM1126">
        <v>410</v>
      </c>
      <c r="AN1126">
        <v>44</v>
      </c>
      <c r="AP1126">
        <v>1</v>
      </c>
      <c r="AR1126" t="s">
        <v>1212</v>
      </c>
      <c r="AS1126" s="1">
        <v>44354.105555555558</v>
      </c>
      <c r="AT1126" s="1">
        <v>44354.109305555554</v>
      </c>
      <c r="AU1126" s="1">
        <v>44354.110138888886</v>
      </c>
      <c r="AV1126" t="s">
        <v>71</v>
      </c>
      <c r="AW1126" t="s">
        <v>72</v>
      </c>
      <c r="AX1126" t="s">
        <v>73</v>
      </c>
    </row>
    <row r="1127" spans="1:50" x14ac:dyDescent="0.3">
      <c r="A1127" t="str">
        <f>"202188C0100"</f>
        <v>202188C0100</v>
      </c>
      <c r="B1127" t="str">
        <f>"202188C01002"</f>
        <v>202188C01002</v>
      </c>
      <c r="C1127" t="str">
        <f t="shared" si="50"/>
        <v>20</v>
      </c>
      <c r="D1127" t="s">
        <v>67</v>
      </c>
      <c r="E1127" t="str">
        <f t="shared" si="48"/>
        <v>005</v>
      </c>
      <c r="F1127" t="s">
        <v>962</v>
      </c>
      <c r="G1127" t="str">
        <f>"2188"</f>
        <v>2188</v>
      </c>
      <c r="H1127" t="str">
        <f>"0001"</f>
        <v>0001</v>
      </c>
      <c r="I1127" t="s">
        <v>75</v>
      </c>
      <c r="J1127">
        <v>0</v>
      </c>
      <c r="K1127">
        <v>1</v>
      </c>
      <c r="L1127">
        <v>2</v>
      </c>
      <c r="M1127">
        <v>324</v>
      </c>
      <c r="N1127">
        <v>129</v>
      </c>
      <c r="O1127" t="s">
        <v>80</v>
      </c>
      <c r="P1127" t="s">
        <v>80</v>
      </c>
      <c r="Q1127">
        <v>4</v>
      </c>
      <c r="R1127">
        <v>40</v>
      </c>
      <c r="S1127">
        <v>0</v>
      </c>
      <c r="T1127">
        <v>0</v>
      </c>
      <c r="U1127">
        <v>4</v>
      </c>
      <c r="V1127">
        <v>2</v>
      </c>
      <c r="W1127">
        <v>4</v>
      </c>
      <c r="X1127">
        <v>68</v>
      </c>
      <c r="Y1127">
        <v>0</v>
      </c>
      <c r="Z1127">
        <v>2</v>
      </c>
      <c r="AA1127">
        <v>0</v>
      </c>
      <c r="AB1127">
        <v>1</v>
      </c>
      <c r="AD1127">
        <v>1</v>
      </c>
      <c r="AE1127">
        <v>0</v>
      </c>
      <c r="AF1127">
        <v>0</v>
      </c>
      <c r="AG1127">
        <v>0</v>
      </c>
      <c r="AI1127">
        <v>0</v>
      </c>
      <c r="AJ1127">
        <v>3</v>
      </c>
      <c r="AK1127">
        <v>129</v>
      </c>
      <c r="AL1127">
        <v>129</v>
      </c>
      <c r="AM1127">
        <v>409</v>
      </c>
      <c r="AN1127">
        <v>44</v>
      </c>
      <c r="AP1127">
        <v>1</v>
      </c>
      <c r="AR1127" t="s">
        <v>1213</v>
      </c>
      <c r="AS1127" s="1">
        <v>44354.106944444444</v>
      </c>
      <c r="AT1127" s="1">
        <v>44354.112847222219</v>
      </c>
      <c r="AU1127" s="1">
        <v>44354.113645833335</v>
      </c>
      <c r="AV1127" t="s">
        <v>71</v>
      </c>
      <c r="AW1127" t="s">
        <v>72</v>
      </c>
      <c r="AX1127" t="s">
        <v>73</v>
      </c>
    </row>
    <row r="1128" spans="1:50" x14ac:dyDescent="0.3">
      <c r="A1128" t="str">
        <f>"202188E0100"</f>
        <v>202188E0100</v>
      </c>
      <c r="B1128" t="str">
        <f>"202188E01002"</f>
        <v>202188E01002</v>
      </c>
      <c r="C1128" t="str">
        <f t="shared" si="50"/>
        <v>20</v>
      </c>
      <c r="D1128" t="s">
        <v>67</v>
      </c>
      <c r="E1128" t="str">
        <f t="shared" si="48"/>
        <v>005</v>
      </c>
      <c r="F1128" t="s">
        <v>962</v>
      </c>
      <c r="G1128" t="str">
        <f>"2188"</f>
        <v>2188</v>
      </c>
      <c r="H1128" t="str">
        <f>"0001"</f>
        <v>0001</v>
      </c>
      <c r="I1128" t="s">
        <v>109</v>
      </c>
      <c r="J1128">
        <v>0</v>
      </c>
      <c r="K1128">
        <v>1</v>
      </c>
      <c r="L1128">
        <v>2</v>
      </c>
      <c r="M1128">
        <v>315</v>
      </c>
      <c r="N1128">
        <v>162</v>
      </c>
      <c r="O1128">
        <v>4</v>
      </c>
      <c r="P1128">
        <v>162</v>
      </c>
      <c r="Q1128">
        <v>5</v>
      </c>
      <c r="R1128">
        <v>47</v>
      </c>
      <c r="S1128">
        <v>7</v>
      </c>
      <c r="T1128">
        <v>1</v>
      </c>
      <c r="U1128">
        <v>4</v>
      </c>
      <c r="V1128">
        <v>2</v>
      </c>
      <c r="W1128">
        <v>8</v>
      </c>
      <c r="X1128">
        <v>79</v>
      </c>
      <c r="Y1128">
        <v>0</v>
      </c>
      <c r="Z1128">
        <v>1</v>
      </c>
      <c r="AA1128">
        <v>2</v>
      </c>
      <c r="AB1128">
        <v>1</v>
      </c>
      <c r="AD1128">
        <v>0</v>
      </c>
      <c r="AE1128">
        <v>0</v>
      </c>
      <c r="AF1128">
        <v>0</v>
      </c>
      <c r="AG1128">
        <v>0</v>
      </c>
      <c r="AI1128">
        <v>0</v>
      </c>
      <c r="AJ1128">
        <v>5</v>
      </c>
      <c r="AK1128">
        <v>162</v>
      </c>
      <c r="AL1128">
        <v>162</v>
      </c>
      <c r="AM1128">
        <v>433</v>
      </c>
      <c r="AN1128">
        <v>44</v>
      </c>
      <c r="AP1128">
        <v>1</v>
      </c>
      <c r="AR1128" t="s">
        <v>1214</v>
      </c>
      <c r="AS1128" s="1">
        <v>44354.015277777777</v>
      </c>
      <c r="AT1128" s="1">
        <v>44354.025520833333</v>
      </c>
      <c r="AU1128" s="1">
        <v>44354.025868055556</v>
      </c>
      <c r="AV1128" t="s">
        <v>71</v>
      </c>
      <c r="AW1128" t="s">
        <v>72</v>
      </c>
      <c r="AX1128" t="s">
        <v>73</v>
      </c>
    </row>
    <row r="1129" spans="1:50" x14ac:dyDescent="0.3">
      <c r="A1129" t="str">
        <f>"202234B0000"</f>
        <v>202234B0000</v>
      </c>
      <c r="B1129" t="str">
        <f>"202234B00002"</f>
        <v>202234B00002</v>
      </c>
      <c r="C1129" t="str">
        <f t="shared" si="50"/>
        <v>20</v>
      </c>
      <c r="D1129" t="s">
        <v>67</v>
      </c>
      <c r="E1129" t="str">
        <f t="shared" si="48"/>
        <v>005</v>
      </c>
      <c r="F1129" t="s">
        <v>962</v>
      </c>
      <c r="G1129" t="str">
        <f>"2234"</f>
        <v>2234</v>
      </c>
      <c r="H1129" t="str">
        <f>"0000"</f>
        <v>0000</v>
      </c>
      <c r="I1129" t="s">
        <v>69</v>
      </c>
      <c r="J1129">
        <v>0</v>
      </c>
      <c r="K1129">
        <v>1</v>
      </c>
      <c r="L1129">
        <v>2</v>
      </c>
      <c r="M1129">
        <v>85</v>
      </c>
      <c r="N1129" t="s">
        <v>80</v>
      </c>
      <c r="O1129" t="s">
        <v>80</v>
      </c>
      <c r="P1129">
        <v>67</v>
      </c>
      <c r="Q1129">
        <v>0</v>
      </c>
      <c r="R1129">
        <v>18</v>
      </c>
      <c r="S1129">
        <v>0</v>
      </c>
      <c r="T1129">
        <v>4</v>
      </c>
      <c r="U1129">
        <v>2</v>
      </c>
      <c r="V1129">
        <v>1</v>
      </c>
      <c r="W1129">
        <v>5</v>
      </c>
      <c r="X1129">
        <v>29</v>
      </c>
      <c r="Y1129">
        <v>4</v>
      </c>
      <c r="Z1129">
        <v>0</v>
      </c>
      <c r="AA1129">
        <v>0</v>
      </c>
      <c r="AB1129">
        <v>1</v>
      </c>
      <c r="AD1129">
        <v>1</v>
      </c>
      <c r="AE1129" t="s">
        <v>77</v>
      </c>
      <c r="AF1129" t="s">
        <v>77</v>
      </c>
      <c r="AG1129" t="s">
        <v>77</v>
      </c>
      <c r="AI1129" t="s">
        <v>77</v>
      </c>
      <c r="AJ1129">
        <v>2</v>
      </c>
      <c r="AK1129">
        <v>67</v>
      </c>
      <c r="AL1129">
        <v>67</v>
      </c>
      <c r="AM1129">
        <v>108</v>
      </c>
      <c r="AN1129">
        <v>44</v>
      </c>
      <c r="AO1129" t="s">
        <v>78</v>
      </c>
      <c r="AP1129">
        <v>1</v>
      </c>
      <c r="AR1129" t="s">
        <v>1215</v>
      </c>
      <c r="AS1129" s="1">
        <v>44354.05972222222</v>
      </c>
      <c r="AT1129" s="1">
        <v>44354.066759259258</v>
      </c>
      <c r="AU1129" s="1">
        <v>44354.067303240743</v>
      </c>
      <c r="AV1129" t="s">
        <v>71</v>
      </c>
      <c r="AW1129" t="s">
        <v>72</v>
      </c>
      <c r="AX1129" t="s">
        <v>73</v>
      </c>
    </row>
    <row r="1130" spans="1:50" x14ac:dyDescent="0.3">
      <c r="A1130" t="str">
        <f>"202244B0000"</f>
        <v>202244B0000</v>
      </c>
      <c r="B1130" t="str">
        <f>"202244B00002"</f>
        <v>202244B00002</v>
      </c>
      <c r="C1130" t="str">
        <f t="shared" si="50"/>
        <v>20</v>
      </c>
      <c r="D1130" t="s">
        <v>67</v>
      </c>
      <c r="E1130" t="str">
        <f t="shared" si="48"/>
        <v>005</v>
      </c>
      <c r="F1130" t="s">
        <v>962</v>
      </c>
      <c r="G1130" t="str">
        <f>"2244"</f>
        <v>2244</v>
      </c>
      <c r="H1130" t="str">
        <f>"0000"</f>
        <v>0000</v>
      </c>
      <c r="I1130" t="s">
        <v>69</v>
      </c>
      <c r="J1130">
        <v>0</v>
      </c>
      <c r="K1130">
        <v>1</v>
      </c>
      <c r="L1130">
        <v>2</v>
      </c>
      <c r="M1130">
        <v>140</v>
      </c>
      <c r="N1130">
        <v>114</v>
      </c>
      <c r="O1130">
        <v>3</v>
      </c>
      <c r="P1130">
        <v>114</v>
      </c>
      <c r="Q1130">
        <v>5</v>
      </c>
      <c r="R1130">
        <v>26</v>
      </c>
      <c r="S1130">
        <v>3</v>
      </c>
      <c r="T1130">
        <v>3</v>
      </c>
      <c r="U1130">
        <v>7</v>
      </c>
      <c r="V1130">
        <v>1</v>
      </c>
      <c r="W1130">
        <v>1</v>
      </c>
      <c r="X1130">
        <v>49</v>
      </c>
      <c r="Y1130">
        <v>1</v>
      </c>
      <c r="Z1130">
        <v>1</v>
      </c>
      <c r="AA1130">
        <v>0</v>
      </c>
      <c r="AB1130">
        <v>5</v>
      </c>
      <c r="AD1130">
        <v>2</v>
      </c>
      <c r="AE1130">
        <v>1</v>
      </c>
      <c r="AF1130">
        <v>1</v>
      </c>
      <c r="AG1130">
        <v>1</v>
      </c>
      <c r="AI1130">
        <v>0</v>
      </c>
      <c r="AJ1130">
        <v>7</v>
      </c>
      <c r="AK1130">
        <v>114</v>
      </c>
      <c r="AL1130">
        <v>114</v>
      </c>
      <c r="AM1130">
        <v>210</v>
      </c>
      <c r="AN1130">
        <v>44</v>
      </c>
      <c r="AP1130">
        <v>1</v>
      </c>
      <c r="AR1130" t="s">
        <v>1216</v>
      </c>
      <c r="AS1130" s="1">
        <v>44353.964583333334</v>
      </c>
      <c r="AT1130" s="1">
        <v>44353.970937500002</v>
      </c>
      <c r="AU1130" s="1">
        <v>44353.971550925926</v>
      </c>
      <c r="AV1130" t="s">
        <v>71</v>
      </c>
      <c r="AW1130" t="s">
        <v>72</v>
      </c>
      <c r="AX1130" t="s">
        <v>73</v>
      </c>
    </row>
    <row r="1131" spans="1:50" x14ac:dyDescent="0.3">
      <c r="A1131" t="str">
        <f>"202246B0000"</f>
        <v>202246B0000</v>
      </c>
      <c r="B1131" t="str">
        <f>"202246B00002"</f>
        <v>202246B00002</v>
      </c>
      <c r="C1131" t="str">
        <f t="shared" si="50"/>
        <v>20</v>
      </c>
      <c r="D1131" t="s">
        <v>67</v>
      </c>
      <c r="E1131" t="str">
        <f t="shared" si="48"/>
        <v>005</v>
      </c>
      <c r="F1131" t="s">
        <v>962</v>
      </c>
      <c r="G1131" t="str">
        <f>"2246"</f>
        <v>2246</v>
      </c>
      <c r="H1131" t="str">
        <f>"0000"</f>
        <v>0000</v>
      </c>
      <c r="I1131" t="s">
        <v>69</v>
      </c>
      <c r="J1131">
        <v>0</v>
      </c>
      <c r="K1131">
        <v>1</v>
      </c>
      <c r="L1131">
        <v>2</v>
      </c>
      <c r="M1131">
        <v>330</v>
      </c>
      <c r="N1131">
        <v>213</v>
      </c>
      <c r="O1131">
        <v>1</v>
      </c>
      <c r="P1131">
        <v>213</v>
      </c>
      <c r="Q1131">
        <v>3</v>
      </c>
      <c r="R1131">
        <v>24</v>
      </c>
      <c r="S1131">
        <v>5</v>
      </c>
      <c r="T1131">
        <v>7</v>
      </c>
      <c r="U1131">
        <v>12</v>
      </c>
      <c r="V1131">
        <v>4</v>
      </c>
      <c r="W1131">
        <v>9</v>
      </c>
      <c r="X1131">
        <v>110</v>
      </c>
      <c r="Y1131">
        <v>16</v>
      </c>
      <c r="Z1131">
        <v>2</v>
      </c>
      <c r="AA1131">
        <v>2</v>
      </c>
      <c r="AB1131">
        <v>3</v>
      </c>
      <c r="AD1131">
        <v>1</v>
      </c>
      <c r="AE1131">
        <v>0</v>
      </c>
      <c r="AF1131">
        <v>0</v>
      </c>
      <c r="AG1131">
        <v>1</v>
      </c>
      <c r="AI1131">
        <v>0</v>
      </c>
      <c r="AJ1131">
        <v>14</v>
      </c>
      <c r="AK1131">
        <v>213</v>
      </c>
      <c r="AL1131">
        <v>213</v>
      </c>
      <c r="AM1131">
        <v>499</v>
      </c>
      <c r="AN1131">
        <v>44</v>
      </c>
      <c r="AP1131">
        <v>1</v>
      </c>
      <c r="AR1131" t="s">
        <v>1217</v>
      </c>
      <c r="AS1131" s="1">
        <v>44353.915277777778</v>
      </c>
      <c r="AT1131" s="1">
        <v>44353.921354166669</v>
      </c>
      <c r="AU1131" s="1">
        <v>44353.921875</v>
      </c>
      <c r="AV1131" t="s">
        <v>71</v>
      </c>
      <c r="AW1131" t="s">
        <v>72</v>
      </c>
      <c r="AX1131" t="s">
        <v>73</v>
      </c>
    </row>
    <row r="1132" spans="1:50" x14ac:dyDescent="0.3">
      <c r="A1132" t="str">
        <f>"202246C0100"</f>
        <v>202246C0100</v>
      </c>
      <c r="B1132" t="str">
        <f>"202246C01002"</f>
        <v>202246C01002</v>
      </c>
      <c r="C1132" t="str">
        <f t="shared" si="50"/>
        <v>20</v>
      </c>
      <c r="D1132" t="s">
        <v>67</v>
      </c>
      <c r="E1132" t="str">
        <f t="shared" si="48"/>
        <v>005</v>
      </c>
      <c r="F1132" t="s">
        <v>962</v>
      </c>
      <c r="G1132" t="str">
        <f>"2246"</f>
        <v>2246</v>
      </c>
      <c r="H1132" t="str">
        <f>"0001"</f>
        <v>0001</v>
      </c>
      <c r="I1132" t="s">
        <v>75</v>
      </c>
      <c r="J1132">
        <v>0</v>
      </c>
      <c r="K1132">
        <v>1</v>
      </c>
      <c r="L1132">
        <v>2</v>
      </c>
      <c r="M1132">
        <v>332</v>
      </c>
      <c r="N1132">
        <v>210</v>
      </c>
      <c r="O1132">
        <v>0</v>
      </c>
      <c r="P1132">
        <v>210</v>
      </c>
      <c r="Q1132">
        <v>2</v>
      </c>
      <c r="R1132">
        <v>29</v>
      </c>
      <c r="S1132">
        <v>3</v>
      </c>
      <c r="T1132">
        <v>9</v>
      </c>
      <c r="U1132">
        <v>3</v>
      </c>
      <c r="V1132">
        <v>4</v>
      </c>
      <c r="W1132">
        <v>10</v>
      </c>
      <c r="X1132">
        <v>103</v>
      </c>
      <c r="Y1132">
        <v>29</v>
      </c>
      <c r="Z1132">
        <v>0</v>
      </c>
      <c r="AA1132">
        <v>1</v>
      </c>
      <c r="AB1132">
        <v>8</v>
      </c>
      <c r="AD1132">
        <v>2</v>
      </c>
      <c r="AE1132">
        <v>0</v>
      </c>
      <c r="AF1132">
        <v>0</v>
      </c>
      <c r="AG1132">
        <v>0</v>
      </c>
      <c r="AI1132">
        <v>1</v>
      </c>
      <c r="AJ1132">
        <v>6</v>
      </c>
      <c r="AK1132">
        <v>210</v>
      </c>
      <c r="AL1132">
        <v>210</v>
      </c>
      <c r="AM1132">
        <v>499</v>
      </c>
      <c r="AN1132">
        <v>44</v>
      </c>
      <c r="AP1132">
        <v>1</v>
      </c>
      <c r="AR1132" t="s">
        <v>1218</v>
      </c>
      <c r="AS1132" s="1">
        <v>44353.918055555558</v>
      </c>
      <c r="AT1132" s="1">
        <v>44353.927083333336</v>
      </c>
      <c r="AU1132" s="1">
        <v>44353.92765046296</v>
      </c>
      <c r="AV1132" t="s">
        <v>71</v>
      </c>
      <c r="AW1132" t="s">
        <v>72</v>
      </c>
      <c r="AX1132" t="s">
        <v>73</v>
      </c>
    </row>
    <row r="1133" spans="1:50" x14ac:dyDescent="0.3">
      <c r="A1133" t="str">
        <f>"202246E0100"</f>
        <v>202246E0100</v>
      </c>
      <c r="B1133" t="str">
        <f>"202246E01002"</f>
        <v>202246E01002</v>
      </c>
      <c r="C1133" t="str">
        <f t="shared" si="50"/>
        <v>20</v>
      </c>
      <c r="D1133" t="s">
        <v>67</v>
      </c>
      <c r="E1133" t="str">
        <f t="shared" si="48"/>
        <v>005</v>
      </c>
      <c r="F1133" t="s">
        <v>962</v>
      </c>
      <c r="G1133" t="str">
        <f>"2246"</f>
        <v>2246</v>
      </c>
      <c r="H1133" t="str">
        <f>"0001"</f>
        <v>0001</v>
      </c>
      <c r="I1133" t="s">
        <v>109</v>
      </c>
      <c r="J1133">
        <v>0</v>
      </c>
      <c r="K1133">
        <v>1</v>
      </c>
      <c r="L1133">
        <v>2</v>
      </c>
      <c r="M1133">
        <v>96</v>
      </c>
      <c r="N1133">
        <v>65</v>
      </c>
      <c r="O1133">
        <v>4</v>
      </c>
      <c r="P1133">
        <v>65</v>
      </c>
      <c r="Q1133">
        <v>1</v>
      </c>
      <c r="R1133">
        <v>15</v>
      </c>
      <c r="S1133">
        <v>5</v>
      </c>
      <c r="T1133">
        <v>1</v>
      </c>
      <c r="U1133">
        <v>2</v>
      </c>
      <c r="V1133">
        <v>1</v>
      </c>
      <c r="W1133">
        <v>1</v>
      </c>
      <c r="X1133">
        <v>24</v>
      </c>
      <c r="Y1133">
        <v>7</v>
      </c>
      <c r="Z1133">
        <v>2</v>
      </c>
      <c r="AA1133">
        <v>0</v>
      </c>
      <c r="AB1133">
        <v>2</v>
      </c>
      <c r="AD1133">
        <v>1</v>
      </c>
      <c r="AE1133">
        <v>0</v>
      </c>
      <c r="AF1133">
        <v>0</v>
      </c>
      <c r="AG1133">
        <v>0</v>
      </c>
      <c r="AI1133">
        <v>0</v>
      </c>
      <c r="AJ1133">
        <v>3</v>
      </c>
      <c r="AK1133">
        <v>65</v>
      </c>
      <c r="AL1133">
        <v>65</v>
      </c>
      <c r="AM1133">
        <v>117</v>
      </c>
      <c r="AN1133">
        <v>44</v>
      </c>
      <c r="AP1133">
        <v>1</v>
      </c>
      <c r="AR1133" t="s">
        <v>1219</v>
      </c>
      <c r="AS1133" s="1">
        <v>44353.915277777778</v>
      </c>
      <c r="AT1133" s="1">
        <v>44353.92359953704</v>
      </c>
      <c r="AU1133" s="1">
        <v>44353.924780092595</v>
      </c>
      <c r="AV1133" t="s">
        <v>71</v>
      </c>
      <c r="AW1133" t="s">
        <v>72</v>
      </c>
      <c r="AX1133" t="s">
        <v>73</v>
      </c>
    </row>
    <row r="1134" spans="1:50" x14ac:dyDescent="0.3">
      <c r="A1134" t="str">
        <f>"202247B0000"</f>
        <v>202247B0000</v>
      </c>
      <c r="B1134" t="str">
        <f>"202247B00002"</f>
        <v>202247B00002</v>
      </c>
      <c r="C1134" t="str">
        <f t="shared" si="50"/>
        <v>20</v>
      </c>
      <c r="D1134" t="s">
        <v>67</v>
      </c>
      <c r="E1134" t="str">
        <f t="shared" ref="E1134:E1167" si="51">"005"</f>
        <v>005</v>
      </c>
      <c r="F1134" t="s">
        <v>962</v>
      </c>
      <c r="G1134" t="str">
        <f>"2247"</f>
        <v>2247</v>
      </c>
      <c r="H1134" t="str">
        <f>"0000"</f>
        <v>0000</v>
      </c>
      <c r="I1134" t="s">
        <v>69</v>
      </c>
      <c r="J1134">
        <v>0</v>
      </c>
      <c r="K1134">
        <v>1</v>
      </c>
      <c r="L1134">
        <v>2</v>
      </c>
      <c r="M1134">
        <v>68</v>
      </c>
      <c r="N1134">
        <v>51</v>
      </c>
      <c r="O1134">
        <v>4</v>
      </c>
      <c r="P1134">
        <v>51</v>
      </c>
      <c r="Q1134">
        <v>5</v>
      </c>
      <c r="R1134">
        <v>6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35</v>
      </c>
      <c r="Y1134">
        <v>1</v>
      </c>
      <c r="Z1134">
        <v>0</v>
      </c>
      <c r="AA1134">
        <v>1</v>
      </c>
      <c r="AB1134">
        <v>0</v>
      </c>
      <c r="AD1134">
        <v>0</v>
      </c>
      <c r="AE1134">
        <v>0</v>
      </c>
      <c r="AF1134">
        <v>0</v>
      </c>
      <c r="AG1134">
        <v>0</v>
      </c>
      <c r="AI1134">
        <v>0</v>
      </c>
      <c r="AJ1134">
        <v>2</v>
      </c>
      <c r="AK1134">
        <v>51</v>
      </c>
      <c r="AL1134">
        <v>51</v>
      </c>
      <c r="AM1134">
        <v>75</v>
      </c>
      <c r="AN1134">
        <v>44</v>
      </c>
      <c r="AP1134">
        <v>1</v>
      </c>
      <c r="AR1134" t="s">
        <v>1220</v>
      </c>
      <c r="AS1134" s="1">
        <v>44353.92083333333</v>
      </c>
      <c r="AT1134" s="1">
        <v>44353.925115740742</v>
      </c>
      <c r="AU1134" s="1">
        <v>44353.92564814815</v>
      </c>
      <c r="AV1134" t="s">
        <v>71</v>
      </c>
      <c r="AW1134" t="s">
        <v>72</v>
      </c>
      <c r="AX1134" t="s">
        <v>73</v>
      </c>
    </row>
    <row r="1135" spans="1:50" x14ac:dyDescent="0.3">
      <c r="A1135" t="str">
        <f>"202248B0000"</f>
        <v>202248B0000</v>
      </c>
      <c r="B1135" t="str">
        <f>"202248B00002"</f>
        <v>202248B00002</v>
      </c>
      <c r="C1135" t="str">
        <f t="shared" si="50"/>
        <v>20</v>
      </c>
      <c r="D1135" t="s">
        <v>67</v>
      </c>
      <c r="E1135" t="str">
        <f t="shared" si="51"/>
        <v>005</v>
      </c>
      <c r="F1135" t="s">
        <v>962</v>
      </c>
      <c r="G1135" t="str">
        <f>"2248"</f>
        <v>2248</v>
      </c>
      <c r="H1135" t="str">
        <f>"0000"</f>
        <v>0000</v>
      </c>
      <c r="I1135" t="s">
        <v>69</v>
      </c>
      <c r="J1135">
        <v>0</v>
      </c>
      <c r="K1135">
        <v>1</v>
      </c>
      <c r="L1135">
        <v>2</v>
      </c>
      <c r="M1135">
        <v>163</v>
      </c>
      <c r="N1135">
        <v>184</v>
      </c>
      <c r="O1135">
        <v>0</v>
      </c>
      <c r="P1135">
        <v>184</v>
      </c>
      <c r="Q1135">
        <v>5</v>
      </c>
      <c r="R1135">
        <v>2</v>
      </c>
      <c r="S1135">
        <v>1</v>
      </c>
      <c r="T1135">
        <v>2</v>
      </c>
      <c r="U1135">
        <v>2</v>
      </c>
      <c r="V1135">
        <v>2</v>
      </c>
      <c r="W1135">
        <v>2</v>
      </c>
      <c r="X1135">
        <v>159</v>
      </c>
      <c r="Y1135">
        <v>0</v>
      </c>
      <c r="Z1135">
        <v>1</v>
      </c>
      <c r="AA1135">
        <v>0</v>
      </c>
      <c r="AB1135">
        <v>0</v>
      </c>
      <c r="AD1135">
        <v>0</v>
      </c>
      <c r="AE1135">
        <v>0</v>
      </c>
      <c r="AF1135">
        <v>0</v>
      </c>
      <c r="AG1135">
        <v>0</v>
      </c>
      <c r="AI1135">
        <v>0</v>
      </c>
      <c r="AJ1135">
        <v>8</v>
      </c>
      <c r="AK1135">
        <v>184</v>
      </c>
      <c r="AL1135">
        <v>184</v>
      </c>
      <c r="AM1135">
        <v>303</v>
      </c>
      <c r="AN1135">
        <v>44</v>
      </c>
      <c r="AP1135">
        <v>1</v>
      </c>
      <c r="AR1135" t="s">
        <v>1221</v>
      </c>
      <c r="AS1135" s="1">
        <v>44354.118055555555</v>
      </c>
      <c r="AT1135" s="1">
        <v>44354.122013888889</v>
      </c>
      <c r="AU1135" s="1">
        <v>44354.122650462959</v>
      </c>
      <c r="AV1135" t="s">
        <v>71</v>
      </c>
      <c r="AW1135" t="s">
        <v>72</v>
      </c>
      <c r="AX1135" t="s">
        <v>73</v>
      </c>
    </row>
    <row r="1136" spans="1:50" x14ac:dyDescent="0.3">
      <c r="A1136" t="str">
        <f>"202261B0000"</f>
        <v>202261B0000</v>
      </c>
      <c r="B1136" t="str">
        <f>"202261B00002"</f>
        <v>202261B00002</v>
      </c>
      <c r="C1136" t="str">
        <f t="shared" si="50"/>
        <v>20</v>
      </c>
      <c r="D1136" t="s">
        <v>67</v>
      </c>
      <c r="E1136" t="str">
        <f t="shared" si="51"/>
        <v>005</v>
      </c>
      <c r="F1136" t="s">
        <v>962</v>
      </c>
      <c r="G1136" t="str">
        <f>"2261"</f>
        <v>2261</v>
      </c>
      <c r="H1136" t="str">
        <f>"0000"</f>
        <v>0000</v>
      </c>
      <c r="I1136" t="s">
        <v>69</v>
      </c>
      <c r="J1136">
        <v>0</v>
      </c>
      <c r="K1136">
        <v>1</v>
      </c>
      <c r="L1136">
        <v>2</v>
      </c>
      <c r="M1136">
        <v>497</v>
      </c>
      <c r="N1136">
        <v>159</v>
      </c>
      <c r="O1136">
        <v>0</v>
      </c>
      <c r="P1136">
        <v>159</v>
      </c>
      <c r="Q1136">
        <v>1</v>
      </c>
      <c r="R1136">
        <v>18</v>
      </c>
      <c r="S1136">
        <v>2</v>
      </c>
      <c r="T1136">
        <v>1</v>
      </c>
      <c r="U1136">
        <v>17</v>
      </c>
      <c r="V1136">
        <v>0</v>
      </c>
      <c r="W1136">
        <v>0</v>
      </c>
      <c r="X1136">
        <v>106</v>
      </c>
      <c r="Y1136">
        <v>1</v>
      </c>
      <c r="Z1136">
        <v>4</v>
      </c>
      <c r="AA1136">
        <v>0</v>
      </c>
      <c r="AB1136">
        <v>0</v>
      </c>
      <c r="AD1136">
        <v>2</v>
      </c>
      <c r="AE1136">
        <v>0</v>
      </c>
      <c r="AF1136">
        <v>0</v>
      </c>
      <c r="AG1136">
        <v>0</v>
      </c>
      <c r="AI1136">
        <v>0</v>
      </c>
      <c r="AJ1136">
        <v>7</v>
      </c>
      <c r="AK1136">
        <v>159</v>
      </c>
      <c r="AL1136">
        <v>159</v>
      </c>
      <c r="AM1136">
        <v>612</v>
      </c>
      <c r="AN1136">
        <v>44</v>
      </c>
      <c r="AP1136">
        <v>1</v>
      </c>
      <c r="AR1136" t="s">
        <v>1222</v>
      </c>
      <c r="AS1136" s="1">
        <v>44353.88008101852</v>
      </c>
      <c r="AT1136" s="1">
        <v>44353.881909722222</v>
      </c>
      <c r="AU1136" s="1">
        <v>44353.882662037038</v>
      </c>
      <c r="AV1136" t="s">
        <v>269</v>
      </c>
      <c r="AW1136" t="s">
        <v>270</v>
      </c>
      <c r="AX1136" t="s">
        <v>73</v>
      </c>
    </row>
    <row r="1137" spans="1:50" x14ac:dyDescent="0.3">
      <c r="A1137" t="str">
        <f>"202261C0100"</f>
        <v>202261C0100</v>
      </c>
      <c r="B1137" t="str">
        <f>"202261C01002"</f>
        <v>202261C01002</v>
      </c>
      <c r="C1137" t="str">
        <f t="shared" si="50"/>
        <v>20</v>
      </c>
      <c r="D1137" t="s">
        <v>67</v>
      </c>
      <c r="E1137" t="str">
        <f t="shared" si="51"/>
        <v>005</v>
      </c>
      <c r="F1137" t="s">
        <v>962</v>
      </c>
      <c r="G1137" t="str">
        <f>"2261"</f>
        <v>2261</v>
      </c>
      <c r="H1137" t="str">
        <f>"0001"</f>
        <v>0001</v>
      </c>
      <c r="I1137" t="s">
        <v>75</v>
      </c>
      <c r="J1137">
        <v>0</v>
      </c>
      <c r="K1137">
        <v>1</v>
      </c>
      <c r="L1137">
        <v>2</v>
      </c>
      <c r="M1137">
        <v>472</v>
      </c>
      <c r="N1137">
        <v>184</v>
      </c>
      <c r="O1137">
        <v>0</v>
      </c>
      <c r="P1137">
        <v>184</v>
      </c>
      <c r="Q1137">
        <v>4</v>
      </c>
      <c r="R1137">
        <v>12</v>
      </c>
      <c r="S1137">
        <v>3</v>
      </c>
      <c r="T1137">
        <v>2</v>
      </c>
      <c r="U1137">
        <v>26</v>
      </c>
      <c r="V1137">
        <v>0</v>
      </c>
      <c r="W1137">
        <v>3</v>
      </c>
      <c r="X1137">
        <v>123</v>
      </c>
      <c r="Y1137">
        <v>0</v>
      </c>
      <c r="Z1137">
        <v>1</v>
      </c>
      <c r="AA1137">
        <v>1</v>
      </c>
      <c r="AB1137">
        <v>1</v>
      </c>
      <c r="AD1137">
        <v>1</v>
      </c>
      <c r="AE1137" t="s">
        <v>77</v>
      </c>
      <c r="AF1137" t="s">
        <v>77</v>
      </c>
      <c r="AG1137" t="s">
        <v>77</v>
      </c>
      <c r="AI1137" t="s">
        <v>77</v>
      </c>
      <c r="AJ1137">
        <v>7</v>
      </c>
      <c r="AK1137">
        <v>184</v>
      </c>
      <c r="AL1137">
        <v>184</v>
      </c>
      <c r="AM1137">
        <v>612</v>
      </c>
      <c r="AN1137">
        <v>44</v>
      </c>
      <c r="AO1137" t="s">
        <v>78</v>
      </c>
      <c r="AP1137">
        <v>1</v>
      </c>
      <c r="AR1137" t="s">
        <v>1223</v>
      </c>
      <c r="AS1137" s="1">
        <v>44353.83189814815</v>
      </c>
      <c r="AT1137" s="1">
        <v>44353.838969907411</v>
      </c>
      <c r="AU1137" s="1">
        <v>44353.839803240742</v>
      </c>
      <c r="AV1137" t="s">
        <v>269</v>
      </c>
      <c r="AW1137" t="s">
        <v>270</v>
      </c>
      <c r="AX1137" t="s">
        <v>73</v>
      </c>
    </row>
    <row r="1138" spans="1:50" x14ac:dyDescent="0.3">
      <c r="A1138" t="str">
        <f>"202261C0200"</f>
        <v>202261C0200</v>
      </c>
      <c r="B1138" t="str">
        <f>"202261C02002"</f>
        <v>202261C02002</v>
      </c>
      <c r="C1138" t="str">
        <f t="shared" si="50"/>
        <v>20</v>
      </c>
      <c r="D1138" t="s">
        <v>67</v>
      </c>
      <c r="E1138" t="str">
        <f t="shared" si="51"/>
        <v>005</v>
      </c>
      <c r="F1138" t="s">
        <v>962</v>
      </c>
      <c r="G1138" t="str">
        <f>"2261"</f>
        <v>2261</v>
      </c>
      <c r="H1138" t="str">
        <f>"0002"</f>
        <v>0002</v>
      </c>
      <c r="I1138" t="s">
        <v>75</v>
      </c>
      <c r="J1138">
        <v>0</v>
      </c>
      <c r="K1138">
        <v>1</v>
      </c>
      <c r="L1138">
        <v>2</v>
      </c>
      <c r="M1138">
        <v>483</v>
      </c>
      <c r="N1138">
        <v>172</v>
      </c>
      <c r="O1138">
        <v>0</v>
      </c>
      <c r="P1138">
        <v>172</v>
      </c>
      <c r="Q1138">
        <v>2</v>
      </c>
      <c r="R1138">
        <v>20</v>
      </c>
      <c r="S1138">
        <v>3</v>
      </c>
      <c r="T1138">
        <v>2</v>
      </c>
      <c r="U1138">
        <v>16</v>
      </c>
      <c r="V1138">
        <v>0</v>
      </c>
      <c r="W1138">
        <v>2</v>
      </c>
      <c r="X1138">
        <v>117</v>
      </c>
      <c r="Y1138">
        <v>0</v>
      </c>
      <c r="Z1138">
        <v>1</v>
      </c>
      <c r="AA1138">
        <v>1</v>
      </c>
      <c r="AB1138">
        <v>0</v>
      </c>
      <c r="AD1138">
        <v>0</v>
      </c>
      <c r="AE1138">
        <v>0</v>
      </c>
      <c r="AF1138">
        <v>0</v>
      </c>
      <c r="AG1138">
        <v>0</v>
      </c>
      <c r="AI1138">
        <v>0</v>
      </c>
      <c r="AJ1138">
        <v>8</v>
      </c>
      <c r="AK1138">
        <v>172</v>
      </c>
      <c r="AL1138">
        <v>172</v>
      </c>
      <c r="AM1138">
        <v>611</v>
      </c>
      <c r="AN1138">
        <v>44</v>
      </c>
      <c r="AP1138">
        <v>1</v>
      </c>
      <c r="AR1138" t="s">
        <v>1224</v>
      </c>
      <c r="AS1138" s="1">
        <v>44353.828425925924</v>
      </c>
      <c r="AT1138" s="1">
        <v>44353.838009259256</v>
      </c>
      <c r="AU1138" s="1">
        <v>44353.839421296296</v>
      </c>
      <c r="AV1138" t="s">
        <v>269</v>
      </c>
      <c r="AW1138" t="s">
        <v>270</v>
      </c>
      <c r="AX1138" t="s">
        <v>73</v>
      </c>
    </row>
    <row r="1139" spans="1:50" x14ac:dyDescent="0.3">
      <c r="A1139" t="str">
        <f>"202305B0000"</f>
        <v>202305B0000</v>
      </c>
      <c r="B1139" t="str">
        <f>"202305B00002"</f>
        <v>202305B00002</v>
      </c>
      <c r="C1139" t="str">
        <f t="shared" si="50"/>
        <v>20</v>
      </c>
      <c r="D1139" t="s">
        <v>67</v>
      </c>
      <c r="E1139" t="str">
        <f t="shared" si="51"/>
        <v>005</v>
      </c>
      <c r="F1139" t="s">
        <v>962</v>
      </c>
      <c r="G1139" t="str">
        <f>"2305"</f>
        <v>2305</v>
      </c>
      <c r="H1139" t="str">
        <f>"0000"</f>
        <v>0000</v>
      </c>
      <c r="I1139" t="s">
        <v>69</v>
      </c>
      <c r="J1139">
        <v>0</v>
      </c>
      <c r="K1139">
        <v>1</v>
      </c>
      <c r="L1139">
        <v>2</v>
      </c>
      <c r="M1139">
        <v>198</v>
      </c>
      <c r="N1139">
        <v>368</v>
      </c>
      <c r="O1139">
        <v>4</v>
      </c>
      <c r="P1139">
        <v>366</v>
      </c>
      <c r="Q1139">
        <v>6</v>
      </c>
      <c r="R1139">
        <v>35</v>
      </c>
      <c r="S1139">
        <v>10</v>
      </c>
      <c r="T1139">
        <v>7</v>
      </c>
      <c r="U1139">
        <v>67</v>
      </c>
      <c r="V1139">
        <v>6</v>
      </c>
      <c r="W1139">
        <v>11</v>
      </c>
      <c r="X1139">
        <v>147</v>
      </c>
      <c r="Y1139">
        <v>4</v>
      </c>
      <c r="Z1139">
        <v>4</v>
      </c>
      <c r="AA1139">
        <v>30</v>
      </c>
      <c r="AB1139">
        <v>29</v>
      </c>
      <c r="AD1139">
        <v>0</v>
      </c>
      <c r="AE1139">
        <v>0</v>
      </c>
      <c r="AF1139">
        <v>1</v>
      </c>
      <c r="AG1139">
        <v>0</v>
      </c>
      <c r="AI1139">
        <v>0</v>
      </c>
      <c r="AJ1139">
        <v>8</v>
      </c>
      <c r="AK1139">
        <v>366</v>
      </c>
      <c r="AL1139">
        <v>365</v>
      </c>
      <c r="AM1139">
        <v>518</v>
      </c>
      <c r="AN1139">
        <v>46</v>
      </c>
      <c r="AP1139">
        <v>1</v>
      </c>
      <c r="AR1139" t="s">
        <v>1225</v>
      </c>
      <c r="AS1139" s="1">
        <v>44354.447916666664</v>
      </c>
      <c r="AT1139" s="1">
        <v>44354.453506944446</v>
      </c>
      <c r="AU1139" s="1">
        <v>44354.454097222224</v>
      </c>
      <c r="AV1139" t="s">
        <v>71</v>
      </c>
      <c r="AW1139" t="s">
        <v>72</v>
      </c>
      <c r="AX1139" t="s">
        <v>347</v>
      </c>
    </row>
    <row r="1140" spans="1:50" x14ac:dyDescent="0.3">
      <c r="A1140" t="str">
        <f>"202305C0100"</f>
        <v>202305C0100</v>
      </c>
      <c r="B1140" t="str">
        <f>"202305C01002"</f>
        <v>202305C01002</v>
      </c>
      <c r="C1140" t="str">
        <f t="shared" si="50"/>
        <v>20</v>
      </c>
      <c r="D1140" t="s">
        <v>67</v>
      </c>
      <c r="E1140" t="str">
        <f t="shared" si="51"/>
        <v>005</v>
      </c>
      <c r="F1140" t="s">
        <v>962</v>
      </c>
      <c r="G1140" t="str">
        <f>"2305"</f>
        <v>2305</v>
      </c>
      <c r="H1140" t="str">
        <f>"0001"</f>
        <v>0001</v>
      </c>
      <c r="I1140" t="s">
        <v>75</v>
      </c>
      <c r="J1140">
        <v>0</v>
      </c>
      <c r="K1140">
        <v>1</v>
      </c>
      <c r="L1140">
        <v>2</v>
      </c>
      <c r="M1140">
        <v>190</v>
      </c>
      <c r="N1140">
        <v>374</v>
      </c>
      <c r="O1140">
        <v>6</v>
      </c>
      <c r="P1140">
        <v>374</v>
      </c>
      <c r="Q1140">
        <v>4</v>
      </c>
      <c r="R1140">
        <v>47</v>
      </c>
      <c r="S1140">
        <v>3</v>
      </c>
      <c r="T1140">
        <v>2</v>
      </c>
      <c r="U1140">
        <v>77</v>
      </c>
      <c r="V1140">
        <v>2</v>
      </c>
      <c r="W1140">
        <v>24</v>
      </c>
      <c r="X1140">
        <v>145</v>
      </c>
      <c r="Y1140">
        <v>6</v>
      </c>
      <c r="Z1140">
        <v>0</v>
      </c>
      <c r="AA1140">
        <v>36</v>
      </c>
      <c r="AB1140">
        <v>20</v>
      </c>
      <c r="AD1140">
        <v>2</v>
      </c>
      <c r="AE1140">
        <v>0</v>
      </c>
      <c r="AF1140">
        <v>0</v>
      </c>
      <c r="AG1140">
        <v>0</v>
      </c>
      <c r="AI1140" t="s">
        <v>77</v>
      </c>
      <c r="AJ1140">
        <v>6</v>
      </c>
      <c r="AK1140">
        <v>374</v>
      </c>
      <c r="AL1140">
        <v>374</v>
      </c>
      <c r="AM1140">
        <v>518</v>
      </c>
      <c r="AN1140">
        <v>46</v>
      </c>
      <c r="AO1140" t="s">
        <v>78</v>
      </c>
      <c r="AP1140">
        <v>1</v>
      </c>
      <c r="AR1140" t="s">
        <v>1226</v>
      </c>
      <c r="AS1140" s="1">
        <v>44354.12222222222</v>
      </c>
      <c r="AT1140" s="1">
        <v>44354.12672453704</v>
      </c>
      <c r="AU1140" s="1">
        <v>44354.127141203702</v>
      </c>
      <c r="AV1140" t="s">
        <v>71</v>
      </c>
      <c r="AW1140" t="s">
        <v>72</v>
      </c>
      <c r="AX1140" t="s">
        <v>73</v>
      </c>
    </row>
    <row r="1141" spans="1:50" x14ac:dyDescent="0.3">
      <c r="A1141" t="str">
        <f>"202305C0200"</f>
        <v>202305C0200</v>
      </c>
      <c r="B1141" t="str">
        <f>"202305C02002"</f>
        <v>202305C02002</v>
      </c>
      <c r="C1141" t="str">
        <f t="shared" si="50"/>
        <v>20</v>
      </c>
      <c r="D1141" t="s">
        <v>67</v>
      </c>
      <c r="E1141" t="str">
        <f t="shared" si="51"/>
        <v>005</v>
      </c>
      <c r="F1141" t="s">
        <v>962</v>
      </c>
      <c r="G1141" t="str">
        <f>"2305"</f>
        <v>2305</v>
      </c>
      <c r="H1141" t="str">
        <f>"0002"</f>
        <v>0002</v>
      </c>
      <c r="I1141" t="s">
        <v>75</v>
      </c>
      <c r="J1141">
        <v>0</v>
      </c>
      <c r="K1141">
        <v>1</v>
      </c>
      <c r="L1141">
        <v>2</v>
      </c>
      <c r="M1141">
        <v>178</v>
      </c>
      <c r="N1141">
        <v>382</v>
      </c>
      <c r="O1141">
        <v>3</v>
      </c>
      <c r="P1141" t="s">
        <v>80</v>
      </c>
      <c r="Q1141">
        <v>7</v>
      </c>
      <c r="R1141">
        <v>56</v>
      </c>
      <c r="S1141">
        <v>5</v>
      </c>
      <c r="T1141">
        <v>6</v>
      </c>
      <c r="U1141">
        <v>53</v>
      </c>
      <c r="V1141">
        <v>2</v>
      </c>
      <c r="W1141">
        <v>21</v>
      </c>
      <c r="X1141">
        <v>151</v>
      </c>
      <c r="Y1141">
        <v>9</v>
      </c>
      <c r="Z1141">
        <v>6</v>
      </c>
      <c r="AA1141">
        <v>43</v>
      </c>
      <c r="AB1141">
        <v>17</v>
      </c>
      <c r="AD1141">
        <v>0</v>
      </c>
      <c r="AE1141">
        <v>0</v>
      </c>
      <c r="AF1141">
        <v>0</v>
      </c>
      <c r="AG1141">
        <v>0</v>
      </c>
      <c r="AI1141">
        <v>0</v>
      </c>
      <c r="AJ1141">
        <v>7</v>
      </c>
      <c r="AK1141">
        <v>383</v>
      </c>
      <c r="AL1141">
        <v>383</v>
      </c>
      <c r="AM1141">
        <v>517</v>
      </c>
      <c r="AN1141">
        <v>46</v>
      </c>
      <c r="AP1141">
        <v>1</v>
      </c>
      <c r="AR1141" t="s">
        <v>1227</v>
      </c>
      <c r="AS1141" s="1">
        <v>44353.913888888892</v>
      </c>
      <c r="AT1141" s="1">
        <v>44354.333009259259</v>
      </c>
      <c r="AU1141" s="1">
        <v>44354.33357638889</v>
      </c>
      <c r="AV1141" t="s">
        <v>71</v>
      </c>
      <c r="AW1141" t="s">
        <v>72</v>
      </c>
      <c r="AX1141" t="s">
        <v>73</v>
      </c>
    </row>
    <row r="1142" spans="1:50" x14ac:dyDescent="0.3">
      <c r="A1142" t="str">
        <f>"202306B0000"</f>
        <v>202306B0000</v>
      </c>
      <c r="B1142" t="str">
        <f>"202306B00002"</f>
        <v>202306B00002</v>
      </c>
      <c r="C1142" t="str">
        <f t="shared" si="50"/>
        <v>20</v>
      </c>
      <c r="D1142" t="s">
        <v>67</v>
      </c>
      <c r="E1142" t="str">
        <f t="shared" si="51"/>
        <v>005</v>
      </c>
      <c r="F1142" t="s">
        <v>962</v>
      </c>
      <c r="G1142" t="str">
        <f>"2306"</f>
        <v>2306</v>
      </c>
      <c r="H1142" t="str">
        <f>"0000"</f>
        <v>0000</v>
      </c>
      <c r="I1142" t="s">
        <v>69</v>
      </c>
      <c r="J1142">
        <v>0</v>
      </c>
      <c r="K1142">
        <v>1</v>
      </c>
      <c r="L1142">
        <v>2</v>
      </c>
      <c r="M1142">
        <v>157</v>
      </c>
      <c r="N1142">
        <v>346</v>
      </c>
      <c r="O1142">
        <v>7</v>
      </c>
      <c r="P1142">
        <v>346</v>
      </c>
      <c r="Q1142">
        <v>0</v>
      </c>
      <c r="R1142">
        <v>40</v>
      </c>
      <c r="S1142">
        <v>0</v>
      </c>
      <c r="T1142">
        <v>5</v>
      </c>
      <c r="U1142">
        <v>72</v>
      </c>
      <c r="V1142">
        <v>1</v>
      </c>
      <c r="W1142">
        <v>14</v>
      </c>
      <c r="X1142">
        <v>162</v>
      </c>
      <c r="Y1142">
        <v>9</v>
      </c>
      <c r="Z1142">
        <v>0</v>
      </c>
      <c r="AA1142">
        <v>27</v>
      </c>
      <c r="AB1142">
        <v>8</v>
      </c>
      <c r="AD1142">
        <v>0</v>
      </c>
      <c r="AE1142">
        <v>0</v>
      </c>
      <c r="AF1142">
        <v>0</v>
      </c>
      <c r="AG1142">
        <v>0</v>
      </c>
      <c r="AI1142">
        <v>0</v>
      </c>
      <c r="AJ1142">
        <v>8</v>
      </c>
      <c r="AK1142" t="s">
        <v>99</v>
      </c>
      <c r="AL1142">
        <v>346</v>
      </c>
      <c r="AM1142">
        <v>457</v>
      </c>
      <c r="AN1142">
        <v>46</v>
      </c>
      <c r="AP1142">
        <v>1</v>
      </c>
      <c r="AR1142" t="s">
        <v>1228</v>
      </c>
      <c r="AS1142" s="1">
        <v>44354.134722222225</v>
      </c>
      <c r="AT1142" s="1">
        <v>44354.137766203705</v>
      </c>
      <c r="AU1142" s="1">
        <v>44354.138541666667</v>
      </c>
      <c r="AV1142" t="s">
        <v>71</v>
      </c>
      <c r="AW1142" t="s">
        <v>72</v>
      </c>
      <c r="AX1142" t="s">
        <v>73</v>
      </c>
    </row>
    <row r="1143" spans="1:50" x14ac:dyDescent="0.3">
      <c r="A1143" t="str">
        <f>"202306C0100"</f>
        <v>202306C0100</v>
      </c>
      <c r="B1143" t="str">
        <f>"202306C01002"</f>
        <v>202306C01002</v>
      </c>
      <c r="C1143" t="str">
        <f t="shared" si="50"/>
        <v>20</v>
      </c>
      <c r="D1143" t="s">
        <v>67</v>
      </c>
      <c r="E1143" t="str">
        <f t="shared" si="51"/>
        <v>005</v>
      </c>
      <c r="F1143" t="s">
        <v>962</v>
      </c>
      <c r="G1143" t="str">
        <f>"2306"</f>
        <v>2306</v>
      </c>
      <c r="H1143" t="str">
        <f>"0001"</f>
        <v>0001</v>
      </c>
      <c r="I1143" t="s">
        <v>75</v>
      </c>
      <c r="J1143">
        <v>0</v>
      </c>
      <c r="K1143">
        <v>1</v>
      </c>
      <c r="L1143">
        <v>2</v>
      </c>
      <c r="M1143">
        <v>184</v>
      </c>
      <c r="N1143">
        <v>319</v>
      </c>
      <c r="O1143">
        <v>5</v>
      </c>
      <c r="P1143">
        <v>319</v>
      </c>
      <c r="Q1143">
        <v>3</v>
      </c>
      <c r="R1143">
        <v>37</v>
      </c>
      <c r="S1143">
        <v>9</v>
      </c>
      <c r="T1143">
        <v>2</v>
      </c>
      <c r="U1143">
        <v>65</v>
      </c>
      <c r="V1143">
        <v>0</v>
      </c>
      <c r="W1143">
        <v>6</v>
      </c>
      <c r="X1143">
        <v>133</v>
      </c>
      <c r="Y1143">
        <v>10</v>
      </c>
      <c r="Z1143">
        <v>0</v>
      </c>
      <c r="AA1143">
        <v>37</v>
      </c>
      <c r="AB1143">
        <v>5</v>
      </c>
      <c r="AD1143">
        <v>1</v>
      </c>
      <c r="AE1143">
        <v>0</v>
      </c>
      <c r="AF1143">
        <v>0</v>
      </c>
      <c r="AG1143">
        <v>1</v>
      </c>
      <c r="AI1143">
        <v>0</v>
      </c>
      <c r="AJ1143">
        <v>9</v>
      </c>
      <c r="AK1143">
        <v>319</v>
      </c>
      <c r="AL1143">
        <v>318</v>
      </c>
      <c r="AM1143">
        <v>457</v>
      </c>
      <c r="AN1143">
        <v>46</v>
      </c>
      <c r="AP1143">
        <v>1</v>
      </c>
      <c r="AR1143" t="s">
        <v>1229</v>
      </c>
      <c r="AS1143" s="1">
        <v>44353.899305555555</v>
      </c>
      <c r="AT1143" s="1">
        <v>44354.335219907407</v>
      </c>
      <c r="AU1143" s="1">
        <v>44354.336111111108</v>
      </c>
      <c r="AV1143" t="s">
        <v>71</v>
      </c>
      <c r="AW1143" t="s">
        <v>72</v>
      </c>
      <c r="AX1143" t="s">
        <v>73</v>
      </c>
    </row>
    <row r="1144" spans="1:50" x14ac:dyDescent="0.3">
      <c r="A1144" t="str">
        <f>"202306E0100"</f>
        <v>202306E0100</v>
      </c>
      <c r="B1144" t="str">
        <f>"202306E01002"</f>
        <v>202306E01002</v>
      </c>
      <c r="C1144" t="str">
        <f t="shared" si="50"/>
        <v>20</v>
      </c>
      <c r="D1144" t="s">
        <v>67</v>
      </c>
      <c r="E1144" t="str">
        <f t="shared" si="51"/>
        <v>005</v>
      </c>
      <c r="F1144" t="s">
        <v>962</v>
      </c>
      <c r="G1144" t="str">
        <f>"2306"</f>
        <v>2306</v>
      </c>
      <c r="H1144" t="str">
        <f>"0001"</f>
        <v>0001</v>
      </c>
      <c r="I1144" t="s">
        <v>109</v>
      </c>
      <c r="J1144">
        <v>0</v>
      </c>
      <c r="K1144">
        <v>1</v>
      </c>
      <c r="L1144">
        <v>2</v>
      </c>
      <c r="M1144">
        <v>136</v>
      </c>
      <c r="N1144">
        <v>174</v>
      </c>
      <c r="O1144">
        <v>0</v>
      </c>
      <c r="P1144">
        <v>174</v>
      </c>
      <c r="Q1144">
        <v>1</v>
      </c>
      <c r="R1144">
        <v>35</v>
      </c>
      <c r="S1144">
        <v>6</v>
      </c>
      <c r="T1144">
        <v>5</v>
      </c>
      <c r="U1144">
        <v>33</v>
      </c>
      <c r="V1144">
        <v>3</v>
      </c>
      <c r="W1144">
        <v>3</v>
      </c>
      <c r="X1144">
        <v>50</v>
      </c>
      <c r="Y1144">
        <v>1</v>
      </c>
      <c r="Z1144">
        <v>2</v>
      </c>
      <c r="AA1144">
        <v>20</v>
      </c>
      <c r="AB1144">
        <v>4</v>
      </c>
      <c r="AD1144">
        <v>0</v>
      </c>
      <c r="AE1144">
        <v>0</v>
      </c>
      <c r="AF1144">
        <v>0</v>
      </c>
      <c r="AG1144">
        <v>0</v>
      </c>
      <c r="AI1144">
        <v>0</v>
      </c>
      <c r="AJ1144">
        <v>11</v>
      </c>
      <c r="AK1144">
        <v>174</v>
      </c>
      <c r="AL1144">
        <v>174</v>
      </c>
      <c r="AM1144">
        <v>264</v>
      </c>
      <c r="AN1144">
        <v>46</v>
      </c>
      <c r="AP1144">
        <v>1</v>
      </c>
      <c r="AR1144" t="s">
        <v>1230</v>
      </c>
      <c r="AS1144" s="1">
        <v>44354.135416666664</v>
      </c>
      <c r="AT1144" s="1">
        <v>44354.139247685183</v>
      </c>
      <c r="AU1144" s="1">
        <v>44354.139664351853</v>
      </c>
      <c r="AV1144" t="s">
        <v>71</v>
      </c>
      <c r="AW1144" t="s">
        <v>72</v>
      </c>
      <c r="AX1144" t="s">
        <v>73</v>
      </c>
    </row>
    <row r="1145" spans="1:50" x14ac:dyDescent="0.3">
      <c r="A1145" t="str">
        <f>"202306E0200"</f>
        <v>202306E0200</v>
      </c>
      <c r="B1145" t="str">
        <f>"202306E02002"</f>
        <v>202306E02002</v>
      </c>
      <c r="C1145" t="str">
        <f t="shared" si="50"/>
        <v>20</v>
      </c>
      <c r="D1145" t="s">
        <v>67</v>
      </c>
      <c r="E1145" t="str">
        <f t="shared" si="51"/>
        <v>005</v>
      </c>
      <c r="F1145" t="s">
        <v>962</v>
      </c>
      <c r="G1145" t="str">
        <f>"2306"</f>
        <v>2306</v>
      </c>
      <c r="H1145" t="str">
        <f>"0002"</f>
        <v>0002</v>
      </c>
      <c r="I1145" t="s">
        <v>109</v>
      </c>
      <c r="J1145">
        <v>0</v>
      </c>
      <c r="K1145">
        <v>1</v>
      </c>
      <c r="L1145">
        <v>2</v>
      </c>
      <c r="M1145">
        <v>89</v>
      </c>
      <c r="N1145">
        <v>98</v>
      </c>
      <c r="O1145">
        <v>0</v>
      </c>
      <c r="P1145">
        <v>196</v>
      </c>
      <c r="Q1145">
        <v>3</v>
      </c>
      <c r="R1145">
        <v>22</v>
      </c>
      <c r="S1145">
        <v>0</v>
      </c>
      <c r="T1145">
        <v>1</v>
      </c>
      <c r="U1145">
        <v>13</v>
      </c>
      <c r="V1145">
        <v>2</v>
      </c>
      <c r="W1145">
        <v>4</v>
      </c>
      <c r="X1145">
        <v>44</v>
      </c>
      <c r="Y1145">
        <v>10</v>
      </c>
      <c r="Z1145">
        <v>0</v>
      </c>
      <c r="AA1145">
        <v>3</v>
      </c>
      <c r="AB1145">
        <v>2</v>
      </c>
      <c r="AD1145">
        <v>0</v>
      </c>
      <c r="AE1145">
        <v>0</v>
      </c>
      <c r="AF1145">
        <v>0</v>
      </c>
      <c r="AG1145">
        <v>0</v>
      </c>
      <c r="AI1145">
        <v>0</v>
      </c>
      <c r="AJ1145" t="s">
        <v>99</v>
      </c>
      <c r="AK1145">
        <v>107</v>
      </c>
      <c r="AL1145">
        <v>104</v>
      </c>
      <c r="AM1145">
        <v>150</v>
      </c>
      <c r="AN1145">
        <v>46</v>
      </c>
      <c r="AO1145" t="s">
        <v>78</v>
      </c>
      <c r="AP1145">
        <v>1</v>
      </c>
      <c r="AR1145" t="s">
        <v>1231</v>
      </c>
      <c r="AS1145" s="1">
        <v>44354.134722222225</v>
      </c>
      <c r="AT1145" s="1">
        <v>44354.138541666667</v>
      </c>
      <c r="AU1145" s="1">
        <v>44354.139421296299</v>
      </c>
      <c r="AV1145" t="s">
        <v>71</v>
      </c>
      <c r="AW1145" t="s">
        <v>72</v>
      </c>
      <c r="AX1145" t="s">
        <v>73</v>
      </c>
    </row>
    <row r="1146" spans="1:50" x14ac:dyDescent="0.3">
      <c r="A1146" t="str">
        <f>"202307B0000"</f>
        <v>202307B0000</v>
      </c>
      <c r="B1146" t="str">
        <f>"202307B00002"</f>
        <v>202307B00002</v>
      </c>
      <c r="C1146" t="str">
        <f t="shared" si="50"/>
        <v>20</v>
      </c>
      <c r="D1146" t="s">
        <v>67</v>
      </c>
      <c r="E1146" t="str">
        <f t="shared" si="51"/>
        <v>005</v>
      </c>
      <c r="F1146" t="s">
        <v>962</v>
      </c>
      <c r="G1146" t="str">
        <f>"2307"</f>
        <v>2307</v>
      </c>
      <c r="H1146" t="str">
        <f>"0000"</f>
        <v>0000</v>
      </c>
      <c r="I1146" t="s">
        <v>69</v>
      </c>
      <c r="J1146">
        <v>0</v>
      </c>
      <c r="K1146">
        <v>1</v>
      </c>
      <c r="L1146">
        <v>2</v>
      </c>
      <c r="M1146" t="s">
        <v>99</v>
      </c>
      <c r="N1146" t="s">
        <v>99</v>
      </c>
      <c r="O1146" t="s">
        <v>99</v>
      </c>
      <c r="P1146" t="s">
        <v>99</v>
      </c>
      <c r="Q1146">
        <v>8</v>
      </c>
      <c r="R1146">
        <v>94</v>
      </c>
      <c r="S1146">
        <v>6</v>
      </c>
      <c r="T1146" t="s">
        <v>99</v>
      </c>
      <c r="U1146">
        <v>49</v>
      </c>
      <c r="V1146">
        <v>3</v>
      </c>
      <c r="W1146">
        <v>11</v>
      </c>
      <c r="X1146">
        <v>119</v>
      </c>
      <c r="Y1146">
        <v>1</v>
      </c>
      <c r="Z1146">
        <v>1</v>
      </c>
      <c r="AA1146">
        <v>41</v>
      </c>
      <c r="AB1146">
        <v>9</v>
      </c>
      <c r="AD1146">
        <v>1</v>
      </c>
      <c r="AE1146">
        <v>0</v>
      </c>
      <c r="AF1146">
        <v>0</v>
      </c>
      <c r="AG1146">
        <v>0</v>
      </c>
      <c r="AI1146" t="s">
        <v>99</v>
      </c>
      <c r="AJ1146">
        <v>12</v>
      </c>
      <c r="AK1146">
        <v>320</v>
      </c>
      <c r="AL1146">
        <v>355</v>
      </c>
      <c r="AM1146">
        <v>464</v>
      </c>
      <c r="AN1146">
        <v>46</v>
      </c>
      <c r="AO1146" t="s">
        <v>78</v>
      </c>
      <c r="AP1146">
        <v>1</v>
      </c>
      <c r="AR1146" t="s">
        <v>1232</v>
      </c>
      <c r="AS1146" s="1">
        <v>44354.293055555558</v>
      </c>
      <c r="AT1146" s="1">
        <v>44354.352638888886</v>
      </c>
      <c r="AU1146" s="1">
        <v>44354.368194444447</v>
      </c>
      <c r="AV1146" t="s">
        <v>71</v>
      </c>
      <c r="AW1146" t="s">
        <v>72</v>
      </c>
      <c r="AX1146" t="s">
        <v>347</v>
      </c>
    </row>
    <row r="1147" spans="1:50" x14ac:dyDescent="0.3">
      <c r="A1147" t="str">
        <f>"202307C0100"</f>
        <v>202307C0100</v>
      </c>
      <c r="B1147" t="str">
        <f>"202307C01002"</f>
        <v>202307C01002</v>
      </c>
      <c r="C1147" t="str">
        <f t="shared" si="50"/>
        <v>20</v>
      </c>
      <c r="D1147" t="s">
        <v>67</v>
      </c>
      <c r="E1147" t="str">
        <f t="shared" si="51"/>
        <v>005</v>
      </c>
      <c r="F1147" t="s">
        <v>962</v>
      </c>
      <c r="G1147" t="str">
        <f>"2307"</f>
        <v>2307</v>
      </c>
      <c r="H1147" t="str">
        <f>"0001"</f>
        <v>0001</v>
      </c>
      <c r="I1147" t="s">
        <v>75</v>
      </c>
      <c r="J1147">
        <v>0</v>
      </c>
      <c r="K1147">
        <v>1</v>
      </c>
      <c r="L1147">
        <v>2</v>
      </c>
      <c r="M1147">
        <v>169</v>
      </c>
      <c r="N1147">
        <v>341</v>
      </c>
      <c r="O1147">
        <v>2</v>
      </c>
      <c r="P1147">
        <v>341</v>
      </c>
      <c r="Q1147">
        <v>7</v>
      </c>
      <c r="R1147">
        <v>46</v>
      </c>
      <c r="S1147">
        <v>5</v>
      </c>
      <c r="T1147">
        <v>4</v>
      </c>
      <c r="U1147">
        <v>69</v>
      </c>
      <c r="V1147">
        <v>4</v>
      </c>
      <c r="W1147">
        <v>26</v>
      </c>
      <c r="X1147">
        <v>124</v>
      </c>
      <c r="Y1147">
        <v>5</v>
      </c>
      <c r="Z1147">
        <v>3</v>
      </c>
      <c r="AA1147">
        <v>41</v>
      </c>
      <c r="AB1147">
        <v>3</v>
      </c>
      <c r="AD1147">
        <v>2</v>
      </c>
      <c r="AE1147">
        <v>0</v>
      </c>
      <c r="AF1147">
        <v>0</v>
      </c>
      <c r="AG1147">
        <v>0</v>
      </c>
      <c r="AI1147">
        <v>0</v>
      </c>
      <c r="AJ1147">
        <v>2</v>
      </c>
      <c r="AK1147">
        <v>341</v>
      </c>
      <c r="AL1147">
        <v>341</v>
      </c>
      <c r="AM1147">
        <v>464</v>
      </c>
      <c r="AN1147">
        <v>46</v>
      </c>
      <c r="AP1147">
        <v>1</v>
      </c>
      <c r="AR1147" t="s">
        <v>1233</v>
      </c>
      <c r="AS1147" s="1">
        <v>44354.122916666667</v>
      </c>
      <c r="AT1147" s="1">
        <v>44354.126238425924</v>
      </c>
      <c r="AU1147" s="1">
        <v>44354.126793981479</v>
      </c>
      <c r="AV1147" t="s">
        <v>71</v>
      </c>
      <c r="AW1147" t="s">
        <v>72</v>
      </c>
      <c r="AX1147" t="s">
        <v>73</v>
      </c>
    </row>
    <row r="1148" spans="1:50" x14ac:dyDescent="0.3">
      <c r="A1148" t="str">
        <f>"202308B0000"</f>
        <v>202308B0000</v>
      </c>
      <c r="B1148" t="str">
        <f>"202308B00002"</f>
        <v>202308B00002</v>
      </c>
      <c r="C1148" t="str">
        <f t="shared" si="50"/>
        <v>20</v>
      </c>
      <c r="D1148" t="s">
        <v>67</v>
      </c>
      <c r="E1148" t="str">
        <f t="shared" si="51"/>
        <v>005</v>
      </c>
      <c r="F1148" t="s">
        <v>962</v>
      </c>
      <c r="G1148" t="str">
        <f>"2308"</f>
        <v>2308</v>
      </c>
      <c r="H1148" t="str">
        <f>"0000"</f>
        <v>0000</v>
      </c>
      <c r="I1148" t="s">
        <v>69</v>
      </c>
      <c r="J1148">
        <v>0</v>
      </c>
      <c r="K1148">
        <v>1</v>
      </c>
      <c r="L1148">
        <v>2</v>
      </c>
      <c r="M1148">
        <v>167</v>
      </c>
      <c r="N1148">
        <v>390</v>
      </c>
      <c r="O1148">
        <v>5</v>
      </c>
      <c r="P1148" t="s">
        <v>80</v>
      </c>
      <c r="Q1148">
        <v>1</v>
      </c>
      <c r="R1148" t="s">
        <v>99</v>
      </c>
      <c r="S1148">
        <v>9</v>
      </c>
      <c r="T1148">
        <v>8</v>
      </c>
      <c r="U1148">
        <v>105</v>
      </c>
      <c r="V1148">
        <v>2</v>
      </c>
      <c r="W1148">
        <v>18</v>
      </c>
      <c r="X1148">
        <v>106</v>
      </c>
      <c r="Y1148">
        <v>13</v>
      </c>
      <c r="Z1148" t="s">
        <v>99</v>
      </c>
      <c r="AA1148">
        <v>27</v>
      </c>
      <c r="AB1148">
        <v>50</v>
      </c>
      <c r="AD1148">
        <v>1</v>
      </c>
      <c r="AE1148">
        <v>1</v>
      </c>
      <c r="AF1148">
        <v>0</v>
      </c>
      <c r="AG1148">
        <v>0</v>
      </c>
      <c r="AI1148">
        <v>0</v>
      </c>
      <c r="AJ1148">
        <v>3</v>
      </c>
      <c r="AK1148">
        <v>390</v>
      </c>
      <c r="AL1148">
        <v>344</v>
      </c>
      <c r="AM1148">
        <v>511</v>
      </c>
      <c r="AN1148">
        <v>46</v>
      </c>
      <c r="AO1148" t="s">
        <v>78</v>
      </c>
      <c r="AP1148">
        <v>1</v>
      </c>
      <c r="AR1148" t="s">
        <v>1234</v>
      </c>
      <c r="AS1148" s="1">
        <v>44354.159722222219</v>
      </c>
      <c r="AT1148" s="1">
        <v>44354.164039351854</v>
      </c>
      <c r="AU1148" s="1">
        <v>44354.164629629631</v>
      </c>
      <c r="AV1148" t="s">
        <v>71</v>
      </c>
      <c r="AW1148" t="s">
        <v>72</v>
      </c>
      <c r="AX1148" t="s">
        <v>73</v>
      </c>
    </row>
    <row r="1149" spans="1:50" x14ac:dyDescent="0.3">
      <c r="A1149" t="str">
        <f>"202308C0100"</f>
        <v>202308C0100</v>
      </c>
      <c r="B1149" t="str">
        <f>"202308C01002"</f>
        <v>202308C01002</v>
      </c>
      <c r="C1149" t="str">
        <f t="shared" si="50"/>
        <v>20</v>
      </c>
      <c r="D1149" t="s">
        <v>67</v>
      </c>
      <c r="E1149" t="str">
        <f t="shared" si="51"/>
        <v>005</v>
      </c>
      <c r="F1149" t="s">
        <v>962</v>
      </c>
      <c r="G1149" t="str">
        <f>"2308"</f>
        <v>2308</v>
      </c>
      <c r="H1149" t="str">
        <f>"0001"</f>
        <v>0001</v>
      </c>
      <c r="I1149" t="s">
        <v>75</v>
      </c>
      <c r="J1149">
        <v>0</v>
      </c>
      <c r="K1149">
        <v>1</v>
      </c>
      <c r="L1149">
        <v>2</v>
      </c>
      <c r="M1149">
        <v>197</v>
      </c>
      <c r="N1149">
        <v>359</v>
      </c>
      <c r="O1149" t="s">
        <v>99</v>
      </c>
      <c r="P1149">
        <v>359</v>
      </c>
      <c r="Q1149">
        <v>5</v>
      </c>
      <c r="R1149">
        <v>64</v>
      </c>
      <c r="S1149">
        <v>0</v>
      </c>
      <c r="T1149">
        <v>7</v>
      </c>
      <c r="U1149">
        <v>68</v>
      </c>
      <c r="V1149">
        <v>0</v>
      </c>
      <c r="W1149">
        <v>21</v>
      </c>
      <c r="X1149">
        <v>110</v>
      </c>
      <c r="Y1149">
        <v>9</v>
      </c>
      <c r="Z1149">
        <v>3</v>
      </c>
      <c r="AA1149">
        <v>33</v>
      </c>
      <c r="AB1149">
        <v>23</v>
      </c>
      <c r="AD1149">
        <v>3</v>
      </c>
      <c r="AE1149">
        <v>0</v>
      </c>
      <c r="AF1149">
        <v>0</v>
      </c>
      <c r="AG1149">
        <v>0</v>
      </c>
      <c r="AI1149">
        <v>0</v>
      </c>
      <c r="AJ1149">
        <v>13</v>
      </c>
      <c r="AK1149">
        <v>359</v>
      </c>
      <c r="AL1149">
        <v>359</v>
      </c>
      <c r="AM1149">
        <v>510</v>
      </c>
      <c r="AN1149">
        <v>46</v>
      </c>
      <c r="AP1149">
        <v>1</v>
      </c>
      <c r="AR1149" t="s">
        <v>1235</v>
      </c>
      <c r="AS1149" s="1">
        <v>44354.159722222219</v>
      </c>
      <c r="AT1149" s="1">
        <v>44354.386655092596</v>
      </c>
      <c r="AU1149" s="1">
        <v>44354.387303240743</v>
      </c>
      <c r="AV1149" t="s">
        <v>71</v>
      </c>
      <c r="AW1149" t="s">
        <v>72</v>
      </c>
      <c r="AX1149" t="s">
        <v>347</v>
      </c>
    </row>
    <row r="1150" spans="1:50" x14ac:dyDescent="0.3">
      <c r="A1150" t="str">
        <f>"202309B0000"</f>
        <v>202309B0000</v>
      </c>
      <c r="B1150" t="str">
        <f>"202309B00002"</f>
        <v>202309B00002</v>
      </c>
      <c r="C1150" t="str">
        <f t="shared" si="50"/>
        <v>20</v>
      </c>
      <c r="D1150" t="s">
        <v>67</v>
      </c>
      <c r="E1150" t="str">
        <f t="shared" si="51"/>
        <v>005</v>
      </c>
      <c r="F1150" t="s">
        <v>962</v>
      </c>
      <c r="G1150" t="str">
        <f>"2309"</f>
        <v>2309</v>
      </c>
      <c r="H1150" t="str">
        <f>"0000"</f>
        <v>0000</v>
      </c>
      <c r="I1150" t="s">
        <v>69</v>
      </c>
      <c r="J1150">
        <v>0</v>
      </c>
      <c r="K1150">
        <v>1</v>
      </c>
      <c r="L1150">
        <v>2</v>
      </c>
      <c r="M1150">
        <v>202</v>
      </c>
      <c r="N1150">
        <v>347</v>
      </c>
      <c r="O1150">
        <v>2</v>
      </c>
      <c r="P1150">
        <v>347</v>
      </c>
      <c r="Q1150">
        <v>6</v>
      </c>
      <c r="R1150">
        <v>26</v>
      </c>
      <c r="S1150">
        <v>4</v>
      </c>
      <c r="T1150">
        <v>3</v>
      </c>
      <c r="U1150">
        <v>69</v>
      </c>
      <c r="V1150">
        <v>4</v>
      </c>
      <c r="W1150">
        <v>6</v>
      </c>
      <c r="X1150">
        <v>102</v>
      </c>
      <c r="Y1150">
        <v>2</v>
      </c>
      <c r="Z1150">
        <v>4</v>
      </c>
      <c r="AA1150">
        <v>71</v>
      </c>
      <c r="AB1150">
        <v>29</v>
      </c>
      <c r="AD1150">
        <v>1</v>
      </c>
      <c r="AE1150">
        <v>0</v>
      </c>
      <c r="AF1150">
        <v>0</v>
      </c>
      <c r="AG1150">
        <v>0</v>
      </c>
      <c r="AI1150">
        <v>0</v>
      </c>
      <c r="AJ1150">
        <v>20</v>
      </c>
      <c r="AK1150">
        <v>347</v>
      </c>
      <c r="AL1150">
        <v>347</v>
      </c>
      <c r="AM1150">
        <v>503</v>
      </c>
      <c r="AN1150">
        <v>46</v>
      </c>
      <c r="AP1150">
        <v>1</v>
      </c>
      <c r="AR1150" t="s">
        <v>1236</v>
      </c>
      <c r="AS1150" s="1">
        <v>44354.15902777778</v>
      </c>
      <c r="AT1150" s="1">
        <v>44354.162164351852</v>
      </c>
      <c r="AU1150" s="1">
        <v>44354.163113425922</v>
      </c>
      <c r="AV1150" t="s">
        <v>71</v>
      </c>
      <c r="AW1150" t="s">
        <v>72</v>
      </c>
      <c r="AX1150" t="s">
        <v>73</v>
      </c>
    </row>
    <row r="1151" spans="1:50" x14ac:dyDescent="0.3">
      <c r="A1151" t="str">
        <f>"202309C0100"</f>
        <v>202309C0100</v>
      </c>
      <c r="B1151" t="str">
        <f>"202309C01002"</f>
        <v>202309C01002</v>
      </c>
      <c r="C1151" t="str">
        <f t="shared" si="50"/>
        <v>20</v>
      </c>
      <c r="D1151" t="s">
        <v>67</v>
      </c>
      <c r="E1151" t="str">
        <f t="shared" si="51"/>
        <v>005</v>
      </c>
      <c r="F1151" t="s">
        <v>962</v>
      </c>
      <c r="G1151" t="str">
        <f>"2309"</f>
        <v>2309</v>
      </c>
      <c r="H1151" t="str">
        <f>"0001"</f>
        <v>0001</v>
      </c>
      <c r="I1151" t="s">
        <v>75</v>
      </c>
      <c r="J1151">
        <v>0</v>
      </c>
      <c r="K1151">
        <v>1</v>
      </c>
      <c r="L1151">
        <v>2</v>
      </c>
      <c r="M1151">
        <v>211</v>
      </c>
      <c r="N1151">
        <v>337</v>
      </c>
      <c r="O1151">
        <v>1</v>
      </c>
      <c r="P1151">
        <v>337</v>
      </c>
      <c r="Q1151">
        <v>4</v>
      </c>
      <c r="R1151">
        <v>22</v>
      </c>
      <c r="S1151">
        <v>5</v>
      </c>
      <c r="T1151">
        <v>0</v>
      </c>
      <c r="U1151">
        <v>47</v>
      </c>
      <c r="V1151">
        <v>3</v>
      </c>
      <c r="W1151">
        <v>11</v>
      </c>
      <c r="X1151">
        <v>123</v>
      </c>
      <c r="Y1151">
        <v>7</v>
      </c>
      <c r="Z1151">
        <v>3</v>
      </c>
      <c r="AA1151">
        <v>77</v>
      </c>
      <c r="AB1151">
        <v>27</v>
      </c>
      <c r="AD1151">
        <v>0</v>
      </c>
      <c r="AE1151">
        <v>0</v>
      </c>
      <c r="AF1151">
        <v>0</v>
      </c>
      <c r="AG1151">
        <v>0</v>
      </c>
      <c r="AI1151">
        <v>0</v>
      </c>
      <c r="AJ1151">
        <v>8</v>
      </c>
      <c r="AK1151">
        <v>337</v>
      </c>
      <c r="AL1151">
        <v>337</v>
      </c>
      <c r="AM1151">
        <v>502</v>
      </c>
      <c r="AN1151">
        <v>46</v>
      </c>
      <c r="AP1151">
        <v>1</v>
      </c>
      <c r="AR1151" t="s">
        <v>1237</v>
      </c>
      <c r="AS1151" s="1">
        <v>44354.159722222219</v>
      </c>
      <c r="AT1151" s="1">
        <v>44354.162777777776</v>
      </c>
      <c r="AU1151" s="1">
        <v>44354.163773148146</v>
      </c>
      <c r="AV1151" t="s">
        <v>71</v>
      </c>
      <c r="AW1151" t="s">
        <v>72</v>
      </c>
      <c r="AX1151" t="s">
        <v>73</v>
      </c>
    </row>
    <row r="1152" spans="1:50" x14ac:dyDescent="0.3">
      <c r="A1152" t="str">
        <f>"202310B0000"</f>
        <v>202310B0000</v>
      </c>
      <c r="B1152" t="str">
        <f>"202310B00002"</f>
        <v>202310B00002</v>
      </c>
      <c r="C1152" t="str">
        <f t="shared" si="50"/>
        <v>20</v>
      </c>
      <c r="D1152" t="s">
        <v>67</v>
      </c>
      <c r="E1152" t="str">
        <f t="shared" si="51"/>
        <v>005</v>
      </c>
      <c r="F1152" t="s">
        <v>962</v>
      </c>
      <c r="G1152" t="str">
        <f>"2310"</f>
        <v>2310</v>
      </c>
      <c r="H1152" t="str">
        <f>"0000"</f>
        <v>0000</v>
      </c>
      <c r="I1152" t="s">
        <v>69</v>
      </c>
      <c r="J1152">
        <v>0</v>
      </c>
      <c r="K1152">
        <v>1</v>
      </c>
      <c r="L1152">
        <v>2</v>
      </c>
      <c r="M1152">
        <v>75</v>
      </c>
      <c r="N1152">
        <v>130</v>
      </c>
      <c r="O1152">
        <v>5</v>
      </c>
      <c r="P1152">
        <v>0</v>
      </c>
      <c r="Q1152">
        <v>0</v>
      </c>
      <c r="R1152">
        <v>5</v>
      </c>
      <c r="S1152">
        <v>1</v>
      </c>
      <c r="T1152">
        <v>1</v>
      </c>
      <c r="U1152">
        <v>45</v>
      </c>
      <c r="V1152">
        <v>1</v>
      </c>
      <c r="W1152">
        <v>2</v>
      </c>
      <c r="X1152">
        <v>56</v>
      </c>
      <c r="Y1152">
        <v>0</v>
      </c>
      <c r="Z1152">
        <v>1</v>
      </c>
      <c r="AA1152">
        <v>1</v>
      </c>
      <c r="AB1152">
        <v>15</v>
      </c>
      <c r="AD1152">
        <v>0</v>
      </c>
      <c r="AE1152">
        <v>0</v>
      </c>
      <c r="AF1152">
        <v>0</v>
      </c>
      <c r="AG1152">
        <v>0</v>
      </c>
      <c r="AI1152">
        <v>0</v>
      </c>
      <c r="AJ1152">
        <v>2</v>
      </c>
      <c r="AK1152">
        <v>130</v>
      </c>
      <c r="AL1152">
        <v>130</v>
      </c>
      <c r="AM1152">
        <v>159</v>
      </c>
      <c r="AN1152">
        <v>46</v>
      </c>
      <c r="AP1152">
        <v>1</v>
      </c>
      <c r="AR1152" t="s">
        <v>1238</v>
      </c>
      <c r="AS1152" s="1">
        <v>44354.135416666664</v>
      </c>
      <c r="AT1152" s="1">
        <v>44354.140081018515</v>
      </c>
      <c r="AU1152" s="1">
        <v>44354.1403587963</v>
      </c>
      <c r="AV1152" t="s">
        <v>71</v>
      </c>
      <c r="AW1152" t="s">
        <v>72</v>
      </c>
      <c r="AX1152" t="s">
        <v>73</v>
      </c>
    </row>
    <row r="1153" spans="1:50" x14ac:dyDescent="0.3">
      <c r="A1153" t="str">
        <f>"202321B0000"</f>
        <v>202321B0000</v>
      </c>
      <c r="B1153" t="str">
        <f>"202321B00002"</f>
        <v>202321B00002</v>
      </c>
      <c r="C1153" t="str">
        <f t="shared" si="50"/>
        <v>20</v>
      </c>
      <c r="D1153" t="s">
        <v>67</v>
      </c>
      <c r="E1153" t="str">
        <f t="shared" si="51"/>
        <v>005</v>
      </c>
      <c r="F1153" t="s">
        <v>962</v>
      </c>
      <c r="G1153" t="str">
        <f>"2321"</f>
        <v>2321</v>
      </c>
      <c r="H1153" t="str">
        <f>"0000"</f>
        <v>0000</v>
      </c>
      <c r="I1153" t="s">
        <v>69</v>
      </c>
      <c r="J1153">
        <v>0</v>
      </c>
      <c r="K1153">
        <v>1</v>
      </c>
      <c r="L1153">
        <v>2</v>
      </c>
      <c r="M1153">
        <v>204</v>
      </c>
      <c r="N1153">
        <v>566</v>
      </c>
      <c r="O1153">
        <v>2</v>
      </c>
      <c r="P1153">
        <v>566</v>
      </c>
      <c r="Q1153">
        <v>9</v>
      </c>
      <c r="R1153">
        <v>111</v>
      </c>
      <c r="S1153">
        <v>115</v>
      </c>
      <c r="T1153">
        <v>6</v>
      </c>
      <c r="U1153">
        <v>18</v>
      </c>
      <c r="V1153">
        <v>5</v>
      </c>
      <c r="W1153">
        <v>3</v>
      </c>
      <c r="X1153">
        <v>223</v>
      </c>
      <c r="Y1153">
        <v>29</v>
      </c>
      <c r="Z1153">
        <v>5</v>
      </c>
      <c r="AA1153">
        <v>8</v>
      </c>
      <c r="AB1153">
        <v>9</v>
      </c>
      <c r="AD1153">
        <v>11</v>
      </c>
      <c r="AE1153">
        <v>0</v>
      </c>
      <c r="AF1153">
        <v>0</v>
      </c>
      <c r="AG1153">
        <v>0</v>
      </c>
      <c r="AI1153">
        <v>0</v>
      </c>
      <c r="AJ1153">
        <v>13</v>
      </c>
      <c r="AK1153">
        <v>566</v>
      </c>
      <c r="AL1153">
        <v>565</v>
      </c>
      <c r="AM1153">
        <v>726</v>
      </c>
      <c r="AN1153">
        <v>44</v>
      </c>
      <c r="AP1153">
        <v>1</v>
      </c>
      <c r="AR1153" t="s">
        <v>1239</v>
      </c>
      <c r="AS1153" s="1">
        <v>44354.06722222222</v>
      </c>
      <c r="AT1153" s="1">
        <v>44354.071620370371</v>
      </c>
      <c r="AU1153" s="1">
        <v>44354.07236111111</v>
      </c>
      <c r="AV1153" t="s">
        <v>269</v>
      </c>
      <c r="AW1153" t="s">
        <v>270</v>
      </c>
      <c r="AX1153" t="s">
        <v>73</v>
      </c>
    </row>
    <row r="1154" spans="1:50" x14ac:dyDescent="0.3">
      <c r="A1154" t="str">
        <f>"202322B0000"</f>
        <v>202322B0000</v>
      </c>
      <c r="B1154" t="str">
        <f>"202322B00002"</f>
        <v>202322B00002</v>
      </c>
      <c r="C1154" t="str">
        <f t="shared" si="50"/>
        <v>20</v>
      </c>
      <c r="D1154" t="s">
        <v>67</v>
      </c>
      <c r="E1154" t="str">
        <f t="shared" si="51"/>
        <v>005</v>
      </c>
      <c r="F1154" t="s">
        <v>962</v>
      </c>
      <c r="G1154" t="str">
        <f>"2322"</f>
        <v>2322</v>
      </c>
      <c r="H1154" t="str">
        <f>"0000"</f>
        <v>0000</v>
      </c>
      <c r="I1154" t="s">
        <v>69</v>
      </c>
      <c r="J1154">
        <v>0</v>
      </c>
      <c r="K1154">
        <v>1</v>
      </c>
      <c r="L1154">
        <v>2</v>
      </c>
      <c r="M1154">
        <v>125</v>
      </c>
      <c r="N1154">
        <v>318</v>
      </c>
      <c r="O1154">
        <v>0</v>
      </c>
      <c r="P1154">
        <v>318</v>
      </c>
      <c r="Q1154">
        <v>8</v>
      </c>
      <c r="R1154">
        <v>37</v>
      </c>
      <c r="S1154">
        <v>71</v>
      </c>
      <c r="T1154">
        <v>0</v>
      </c>
      <c r="U1154">
        <v>7</v>
      </c>
      <c r="V1154">
        <v>2</v>
      </c>
      <c r="W1154">
        <v>1</v>
      </c>
      <c r="X1154">
        <v>130</v>
      </c>
      <c r="Y1154">
        <v>22</v>
      </c>
      <c r="Z1154">
        <v>1</v>
      </c>
      <c r="AA1154">
        <v>3</v>
      </c>
      <c r="AB1154">
        <v>7</v>
      </c>
      <c r="AD1154">
        <v>11</v>
      </c>
      <c r="AE1154">
        <v>0</v>
      </c>
      <c r="AF1154">
        <v>1</v>
      </c>
      <c r="AG1154">
        <v>0</v>
      </c>
      <c r="AI1154" t="s">
        <v>77</v>
      </c>
      <c r="AJ1154">
        <v>17</v>
      </c>
      <c r="AK1154">
        <v>318</v>
      </c>
      <c r="AL1154">
        <v>318</v>
      </c>
      <c r="AM1154">
        <v>399</v>
      </c>
      <c r="AN1154">
        <v>44</v>
      </c>
      <c r="AO1154" t="s">
        <v>78</v>
      </c>
      <c r="AP1154">
        <v>1</v>
      </c>
      <c r="AR1154" t="s">
        <v>1240</v>
      </c>
      <c r="AS1154" s="1">
        <v>44353.932835648149</v>
      </c>
      <c r="AT1154" s="1">
        <v>44353.934293981481</v>
      </c>
      <c r="AU1154" s="1">
        <v>44353.935150462959</v>
      </c>
      <c r="AV1154" t="s">
        <v>269</v>
      </c>
      <c r="AW1154" t="s">
        <v>270</v>
      </c>
      <c r="AX1154" t="s">
        <v>73</v>
      </c>
    </row>
    <row r="1155" spans="1:50" x14ac:dyDescent="0.3">
      <c r="A1155" t="str">
        <f>"202322C0100"</f>
        <v>202322C0100</v>
      </c>
      <c r="B1155" t="str">
        <f>"202322C01002"</f>
        <v>202322C01002</v>
      </c>
      <c r="C1155" t="str">
        <f t="shared" si="50"/>
        <v>20</v>
      </c>
      <c r="D1155" t="s">
        <v>67</v>
      </c>
      <c r="E1155" t="str">
        <f t="shared" si="51"/>
        <v>005</v>
      </c>
      <c r="F1155" t="s">
        <v>962</v>
      </c>
      <c r="G1155" t="str">
        <f>"2322"</f>
        <v>2322</v>
      </c>
      <c r="H1155" t="str">
        <f>"0001"</f>
        <v>0001</v>
      </c>
      <c r="I1155" t="s">
        <v>75</v>
      </c>
      <c r="J1155">
        <v>0</v>
      </c>
      <c r="K1155">
        <v>1</v>
      </c>
      <c r="L1155">
        <v>2</v>
      </c>
      <c r="M1155">
        <v>150</v>
      </c>
      <c r="N1155">
        <v>293</v>
      </c>
      <c r="O1155">
        <v>1</v>
      </c>
      <c r="P1155" t="s">
        <v>80</v>
      </c>
      <c r="Q1155">
        <v>7</v>
      </c>
      <c r="R1155">
        <v>33</v>
      </c>
      <c r="S1155">
        <v>76</v>
      </c>
      <c r="T1155">
        <v>0</v>
      </c>
      <c r="U1155">
        <v>4</v>
      </c>
      <c r="V1155">
        <v>2</v>
      </c>
      <c r="W1155">
        <v>2</v>
      </c>
      <c r="X1155">
        <v>120</v>
      </c>
      <c r="Y1155">
        <v>18</v>
      </c>
      <c r="Z1155">
        <v>3</v>
      </c>
      <c r="AA1155">
        <v>3</v>
      </c>
      <c r="AB1155">
        <v>9</v>
      </c>
      <c r="AD1155">
        <v>6</v>
      </c>
      <c r="AE1155">
        <v>1</v>
      </c>
      <c r="AF1155">
        <v>0</v>
      </c>
      <c r="AG1155">
        <v>1</v>
      </c>
      <c r="AI1155">
        <v>0</v>
      </c>
      <c r="AJ1155">
        <v>8</v>
      </c>
      <c r="AK1155">
        <v>293</v>
      </c>
      <c r="AL1155">
        <v>293</v>
      </c>
      <c r="AM1155">
        <v>399</v>
      </c>
      <c r="AN1155">
        <v>44</v>
      </c>
      <c r="AP1155">
        <v>1</v>
      </c>
      <c r="AR1155" t="s">
        <v>1241</v>
      </c>
      <c r="AS1155" s="1">
        <v>44353.942800925928</v>
      </c>
      <c r="AT1155" s="1">
        <v>44353.944085648145</v>
      </c>
      <c r="AU1155" s="1">
        <v>44353.944849537038</v>
      </c>
      <c r="AV1155" t="s">
        <v>269</v>
      </c>
      <c r="AW1155" t="s">
        <v>270</v>
      </c>
      <c r="AX1155" t="s">
        <v>73</v>
      </c>
    </row>
    <row r="1156" spans="1:50" x14ac:dyDescent="0.3">
      <c r="A1156" t="str">
        <f>"202323B0000"</f>
        <v>202323B0000</v>
      </c>
      <c r="B1156" t="str">
        <f>"202323B00002"</f>
        <v>202323B00002</v>
      </c>
      <c r="C1156" t="str">
        <f t="shared" si="50"/>
        <v>20</v>
      </c>
      <c r="D1156" t="s">
        <v>67</v>
      </c>
      <c r="E1156" t="str">
        <f t="shared" si="51"/>
        <v>005</v>
      </c>
      <c r="F1156" t="s">
        <v>962</v>
      </c>
      <c r="G1156" t="str">
        <f>"2323"</f>
        <v>2323</v>
      </c>
      <c r="H1156" t="str">
        <f>"0000"</f>
        <v>0000</v>
      </c>
      <c r="I1156" t="s">
        <v>69</v>
      </c>
      <c r="J1156">
        <v>0</v>
      </c>
      <c r="K1156">
        <v>1</v>
      </c>
      <c r="L1156">
        <v>2</v>
      </c>
      <c r="M1156">
        <v>125</v>
      </c>
      <c r="N1156">
        <v>196</v>
      </c>
      <c r="O1156">
        <v>5</v>
      </c>
      <c r="P1156">
        <v>196</v>
      </c>
      <c r="Q1156">
        <v>6</v>
      </c>
      <c r="R1156">
        <v>13</v>
      </c>
      <c r="S1156">
        <v>33</v>
      </c>
      <c r="T1156">
        <v>2</v>
      </c>
      <c r="U1156">
        <v>10</v>
      </c>
      <c r="V1156">
        <v>1</v>
      </c>
      <c r="W1156">
        <v>2</v>
      </c>
      <c r="X1156">
        <v>104</v>
      </c>
      <c r="Y1156">
        <v>3</v>
      </c>
      <c r="Z1156">
        <v>9</v>
      </c>
      <c r="AA1156">
        <v>3</v>
      </c>
      <c r="AB1156">
        <v>3</v>
      </c>
      <c r="AD1156">
        <v>1</v>
      </c>
      <c r="AE1156">
        <v>0</v>
      </c>
      <c r="AF1156">
        <v>0</v>
      </c>
      <c r="AG1156">
        <v>0</v>
      </c>
      <c r="AI1156">
        <v>0</v>
      </c>
      <c r="AJ1156">
        <v>6</v>
      </c>
      <c r="AK1156">
        <v>196</v>
      </c>
      <c r="AL1156">
        <v>196</v>
      </c>
      <c r="AM1156">
        <v>277</v>
      </c>
      <c r="AN1156">
        <v>44</v>
      </c>
      <c r="AP1156">
        <v>1</v>
      </c>
      <c r="AR1156" t="s">
        <v>1242</v>
      </c>
      <c r="AS1156" s="1">
        <v>44354.182638888888</v>
      </c>
      <c r="AT1156" s="1">
        <v>44354.185624999998</v>
      </c>
      <c r="AU1156" s="1">
        <v>44354.186111111114</v>
      </c>
      <c r="AV1156" t="s">
        <v>71</v>
      </c>
      <c r="AW1156" t="s">
        <v>72</v>
      </c>
      <c r="AX1156" t="s">
        <v>73</v>
      </c>
    </row>
    <row r="1157" spans="1:50" x14ac:dyDescent="0.3">
      <c r="A1157" t="str">
        <f>"202323E0100"</f>
        <v>202323E0100</v>
      </c>
      <c r="B1157" t="str">
        <f>"202323E01002"</f>
        <v>202323E01002</v>
      </c>
      <c r="C1157" t="str">
        <f t="shared" si="50"/>
        <v>20</v>
      </c>
      <c r="D1157" t="s">
        <v>67</v>
      </c>
      <c r="E1157" t="str">
        <f t="shared" si="51"/>
        <v>005</v>
      </c>
      <c r="F1157" t="s">
        <v>962</v>
      </c>
      <c r="G1157" t="str">
        <f>"2323"</f>
        <v>2323</v>
      </c>
      <c r="H1157" t="str">
        <f>"0001"</f>
        <v>0001</v>
      </c>
      <c r="I1157" t="s">
        <v>109</v>
      </c>
      <c r="J1157">
        <v>0</v>
      </c>
      <c r="K1157">
        <v>1</v>
      </c>
      <c r="L1157">
        <v>2</v>
      </c>
      <c r="M1157">
        <v>75</v>
      </c>
      <c r="N1157">
        <v>81</v>
      </c>
      <c r="O1157">
        <v>3</v>
      </c>
      <c r="P1157">
        <v>81</v>
      </c>
      <c r="Q1157">
        <v>2</v>
      </c>
      <c r="R1157">
        <v>9</v>
      </c>
      <c r="S1157">
        <v>10</v>
      </c>
      <c r="T1157">
        <v>2</v>
      </c>
      <c r="U1157">
        <v>5</v>
      </c>
      <c r="V1157">
        <v>1</v>
      </c>
      <c r="W1157">
        <v>1</v>
      </c>
      <c r="X1157">
        <v>44</v>
      </c>
      <c r="Y1157">
        <v>3</v>
      </c>
      <c r="Z1157">
        <v>1</v>
      </c>
      <c r="AA1157">
        <v>0</v>
      </c>
      <c r="AB1157">
        <v>0</v>
      </c>
      <c r="AD1157">
        <v>2</v>
      </c>
      <c r="AE1157">
        <v>0</v>
      </c>
      <c r="AF1157">
        <v>0</v>
      </c>
      <c r="AG1157">
        <v>0</v>
      </c>
      <c r="AI1157">
        <v>0</v>
      </c>
      <c r="AJ1157">
        <v>1</v>
      </c>
      <c r="AK1157">
        <v>81</v>
      </c>
      <c r="AL1157">
        <v>81</v>
      </c>
      <c r="AM1157">
        <v>112</v>
      </c>
      <c r="AN1157">
        <v>44</v>
      </c>
      <c r="AP1157">
        <v>1</v>
      </c>
      <c r="AR1157" t="s">
        <v>1243</v>
      </c>
      <c r="AS1157" s="1">
        <v>44353.84542824074</v>
      </c>
      <c r="AT1157" s="1">
        <v>44353.900254629632</v>
      </c>
      <c r="AU1157" s="1">
        <v>44353.901712962965</v>
      </c>
      <c r="AV1157" t="s">
        <v>269</v>
      </c>
      <c r="AW1157" t="s">
        <v>270</v>
      </c>
      <c r="AX1157" t="s">
        <v>73</v>
      </c>
    </row>
    <row r="1158" spans="1:50" x14ac:dyDescent="0.3">
      <c r="A1158" t="str">
        <f>"202335B0000"</f>
        <v>202335B0000</v>
      </c>
      <c r="B1158" t="str">
        <f>"202335B00002"</f>
        <v>202335B00002</v>
      </c>
      <c r="C1158" t="str">
        <f t="shared" si="50"/>
        <v>20</v>
      </c>
      <c r="D1158" t="s">
        <v>67</v>
      </c>
      <c r="E1158" t="str">
        <f t="shared" si="51"/>
        <v>005</v>
      </c>
      <c r="F1158" t="s">
        <v>962</v>
      </c>
      <c r="G1158" t="str">
        <f>"2335"</f>
        <v>2335</v>
      </c>
      <c r="H1158" t="str">
        <f>"0000"</f>
        <v>0000</v>
      </c>
      <c r="I1158" t="s">
        <v>69</v>
      </c>
      <c r="J1158">
        <v>0</v>
      </c>
      <c r="K1158">
        <v>1</v>
      </c>
      <c r="L1158">
        <v>2</v>
      </c>
      <c r="M1158">
        <v>213</v>
      </c>
      <c r="N1158">
        <v>225</v>
      </c>
      <c r="O1158">
        <v>1</v>
      </c>
      <c r="P1158">
        <v>225</v>
      </c>
      <c r="Q1158">
        <v>0</v>
      </c>
      <c r="R1158">
        <v>12</v>
      </c>
      <c r="S1158">
        <v>9</v>
      </c>
      <c r="T1158">
        <v>4</v>
      </c>
      <c r="U1158">
        <v>9</v>
      </c>
      <c r="V1158">
        <v>3</v>
      </c>
      <c r="W1158">
        <v>0</v>
      </c>
      <c r="X1158">
        <v>170</v>
      </c>
      <c r="Y1158">
        <v>6</v>
      </c>
      <c r="Z1158">
        <v>1</v>
      </c>
      <c r="AA1158">
        <v>1</v>
      </c>
      <c r="AB1158">
        <v>2</v>
      </c>
      <c r="AD1158">
        <v>0</v>
      </c>
      <c r="AE1158">
        <v>0</v>
      </c>
      <c r="AF1158">
        <v>0</v>
      </c>
      <c r="AG1158">
        <v>0</v>
      </c>
      <c r="AI1158">
        <v>0</v>
      </c>
      <c r="AJ1158">
        <v>8</v>
      </c>
      <c r="AK1158">
        <v>225</v>
      </c>
      <c r="AL1158">
        <v>225</v>
      </c>
      <c r="AM1158">
        <v>394</v>
      </c>
      <c r="AN1158">
        <v>44</v>
      </c>
      <c r="AP1158">
        <v>1</v>
      </c>
      <c r="AR1158" t="s">
        <v>1244</v>
      </c>
      <c r="AS1158" s="1">
        <v>44354.074999999997</v>
      </c>
      <c r="AT1158" s="1">
        <v>44354.082337962966</v>
      </c>
      <c r="AU1158" s="1">
        <v>44354.082824074074</v>
      </c>
      <c r="AV1158" t="s">
        <v>71</v>
      </c>
      <c r="AW1158" t="s">
        <v>72</v>
      </c>
      <c r="AX1158" t="s">
        <v>73</v>
      </c>
    </row>
    <row r="1159" spans="1:50" x14ac:dyDescent="0.3">
      <c r="A1159" t="str">
        <f>"202335C0100"</f>
        <v>202335C0100</v>
      </c>
      <c r="B1159" t="str">
        <f>"202335C01002"</f>
        <v>202335C01002</v>
      </c>
      <c r="C1159" t="str">
        <f t="shared" ref="C1159:C1222" si="52">"20"</f>
        <v>20</v>
      </c>
      <c r="D1159" t="s">
        <v>67</v>
      </c>
      <c r="E1159" t="str">
        <f t="shared" si="51"/>
        <v>005</v>
      </c>
      <c r="F1159" t="s">
        <v>962</v>
      </c>
      <c r="G1159" t="str">
        <f>"2335"</f>
        <v>2335</v>
      </c>
      <c r="H1159" t="str">
        <f>"0001"</f>
        <v>0001</v>
      </c>
      <c r="I1159" t="s">
        <v>75</v>
      </c>
      <c r="J1159">
        <v>0</v>
      </c>
      <c r="K1159">
        <v>1</v>
      </c>
      <c r="L1159">
        <v>2</v>
      </c>
      <c r="M1159">
        <v>220</v>
      </c>
      <c r="N1159">
        <v>217</v>
      </c>
      <c r="O1159">
        <v>0</v>
      </c>
      <c r="P1159">
        <v>217</v>
      </c>
      <c r="Q1159">
        <v>3</v>
      </c>
      <c r="R1159">
        <v>6</v>
      </c>
      <c r="S1159">
        <v>4</v>
      </c>
      <c r="T1159">
        <v>3</v>
      </c>
      <c r="U1159">
        <v>8</v>
      </c>
      <c r="V1159">
        <v>0</v>
      </c>
      <c r="W1159">
        <v>2</v>
      </c>
      <c r="X1159">
        <v>173</v>
      </c>
      <c r="Y1159">
        <v>4</v>
      </c>
      <c r="Z1159">
        <v>2</v>
      </c>
      <c r="AA1159">
        <v>2</v>
      </c>
      <c r="AB1159">
        <v>2</v>
      </c>
      <c r="AD1159">
        <v>0</v>
      </c>
      <c r="AE1159">
        <v>0</v>
      </c>
      <c r="AF1159">
        <v>0</v>
      </c>
      <c r="AG1159">
        <v>0</v>
      </c>
      <c r="AI1159">
        <v>0</v>
      </c>
      <c r="AJ1159">
        <v>8</v>
      </c>
      <c r="AK1159">
        <v>217</v>
      </c>
      <c r="AL1159">
        <v>217</v>
      </c>
      <c r="AM1159">
        <v>393</v>
      </c>
      <c r="AN1159">
        <v>44</v>
      </c>
      <c r="AP1159">
        <v>1</v>
      </c>
      <c r="AR1159" t="s">
        <v>1245</v>
      </c>
      <c r="AS1159" s="1">
        <v>44354.075694444444</v>
      </c>
      <c r="AT1159" s="1">
        <v>44354.082905092589</v>
      </c>
      <c r="AU1159" s="1">
        <v>44354.083298611113</v>
      </c>
      <c r="AV1159" t="s">
        <v>71</v>
      </c>
      <c r="AW1159" t="s">
        <v>72</v>
      </c>
      <c r="AX1159" t="s">
        <v>73</v>
      </c>
    </row>
    <row r="1160" spans="1:50" x14ac:dyDescent="0.3">
      <c r="A1160" t="str">
        <f>"202336B0000"</f>
        <v>202336B0000</v>
      </c>
      <c r="B1160" t="str">
        <f>"202336B00002"</f>
        <v>202336B00002</v>
      </c>
      <c r="C1160" t="str">
        <f t="shared" si="52"/>
        <v>20</v>
      </c>
      <c r="D1160" t="s">
        <v>67</v>
      </c>
      <c r="E1160" t="str">
        <f t="shared" si="51"/>
        <v>005</v>
      </c>
      <c r="F1160" t="s">
        <v>962</v>
      </c>
      <c r="G1160" t="str">
        <f>"2336"</f>
        <v>2336</v>
      </c>
      <c r="H1160" t="str">
        <f>"0000"</f>
        <v>0000</v>
      </c>
      <c r="I1160" t="s">
        <v>69</v>
      </c>
      <c r="J1160">
        <v>0</v>
      </c>
      <c r="K1160">
        <v>1</v>
      </c>
      <c r="L1160">
        <v>2</v>
      </c>
      <c r="M1160">
        <v>261</v>
      </c>
      <c r="N1160">
        <v>192</v>
      </c>
      <c r="O1160">
        <v>0</v>
      </c>
      <c r="P1160">
        <v>192</v>
      </c>
      <c r="Q1160">
        <v>5</v>
      </c>
      <c r="R1160">
        <v>23</v>
      </c>
      <c r="S1160">
        <v>1</v>
      </c>
      <c r="T1160">
        <v>13</v>
      </c>
      <c r="U1160">
        <v>6</v>
      </c>
      <c r="V1160">
        <v>3</v>
      </c>
      <c r="W1160">
        <v>2</v>
      </c>
      <c r="X1160">
        <v>107</v>
      </c>
      <c r="Y1160">
        <v>10</v>
      </c>
      <c r="Z1160">
        <v>2</v>
      </c>
      <c r="AA1160">
        <v>1</v>
      </c>
      <c r="AB1160">
        <v>10</v>
      </c>
      <c r="AD1160">
        <v>1</v>
      </c>
      <c r="AE1160">
        <v>0</v>
      </c>
      <c r="AF1160">
        <v>0</v>
      </c>
      <c r="AG1160">
        <v>0</v>
      </c>
      <c r="AI1160">
        <v>0</v>
      </c>
      <c r="AJ1160">
        <v>8</v>
      </c>
      <c r="AK1160">
        <v>192</v>
      </c>
      <c r="AL1160">
        <v>192</v>
      </c>
      <c r="AM1160">
        <v>409</v>
      </c>
      <c r="AN1160">
        <v>44</v>
      </c>
      <c r="AP1160">
        <v>1</v>
      </c>
      <c r="AR1160" t="s">
        <v>1246</v>
      </c>
      <c r="AS1160" s="1">
        <v>44354.069444444445</v>
      </c>
      <c r="AT1160" s="1">
        <v>44354.076701388891</v>
      </c>
      <c r="AU1160" s="1">
        <v>44354.077337962961</v>
      </c>
      <c r="AV1160" t="s">
        <v>71</v>
      </c>
      <c r="AW1160" t="s">
        <v>72</v>
      </c>
      <c r="AX1160" t="s">
        <v>73</v>
      </c>
    </row>
    <row r="1161" spans="1:50" x14ac:dyDescent="0.3">
      <c r="A1161" t="str">
        <f>"202336C0100"</f>
        <v>202336C0100</v>
      </c>
      <c r="B1161" t="str">
        <f>"202336C01002"</f>
        <v>202336C01002</v>
      </c>
      <c r="C1161" t="str">
        <f t="shared" si="52"/>
        <v>20</v>
      </c>
      <c r="D1161" t="s">
        <v>67</v>
      </c>
      <c r="E1161" t="str">
        <f t="shared" si="51"/>
        <v>005</v>
      </c>
      <c r="F1161" t="s">
        <v>962</v>
      </c>
      <c r="G1161" t="str">
        <f>"2336"</f>
        <v>2336</v>
      </c>
      <c r="H1161" t="str">
        <f>"0001"</f>
        <v>0001</v>
      </c>
      <c r="I1161" t="s">
        <v>75</v>
      </c>
      <c r="J1161">
        <v>0</v>
      </c>
      <c r="K1161">
        <v>1</v>
      </c>
      <c r="L1161">
        <v>2</v>
      </c>
      <c r="M1161">
        <v>290</v>
      </c>
      <c r="N1161">
        <v>163</v>
      </c>
      <c r="O1161">
        <v>0</v>
      </c>
      <c r="P1161">
        <v>163</v>
      </c>
      <c r="Q1161">
        <v>2</v>
      </c>
      <c r="R1161">
        <v>17</v>
      </c>
      <c r="S1161">
        <v>3</v>
      </c>
      <c r="T1161">
        <v>2</v>
      </c>
      <c r="U1161">
        <v>15</v>
      </c>
      <c r="V1161">
        <v>3</v>
      </c>
      <c r="W1161">
        <v>1</v>
      </c>
      <c r="X1161">
        <v>93</v>
      </c>
      <c r="Y1161">
        <v>6</v>
      </c>
      <c r="Z1161">
        <v>3</v>
      </c>
      <c r="AA1161">
        <v>0</v>
      </c>
      <c r="AB1161">
        <v>8</v>
      </c>
      <c r="AD1161">
        <v>0</v>
      </c>
      <c r="AE1161">
        <v>1</v>
      </c>
      <c r="AF1161">
        <v>0</v>
      </c>
      <c r="AG1161">
        <v>0</v>
      </c>
      <c r="AI1161">
        <v>0</v>
      </c>
      <c r="AJ1161">
        <v>9</v>
      </c>
      <c r="AK1161">
        <v>163</v>
      </c>
      <c r="AL1161">
        <v>163</v>
      </c>
      <c r="AM1161">
        <v>409</v>
      </c>
      <c r="AN1161">
        <v>44</v>
      </c>
      <c r="AP1161">
        <v>1</v>
      </c>
      <c r="AR1161" t="s">
        <v>1247</v>
      </c>
      <c r="AS1161" s="1">
        <v>44354.069444444445</v>
      </c>
      <c r="AT1161" s="1">
        <v>44354.078946759262</v>
      </c>
      <c r="AU1161" s="1">
        <v>44354.079259259262</v>
      </c>
      <c r="AV1161" t="s">
        <v>71</v>
      </c>
      <c r="AW1161" t="s">
        <v>72</v>
      </c>
      <c r="AX1161" t="s">
        <v>73</v>
      </c>
    </row>
    <row r="1162" spans="1:50" x14ac:dyDescent="0.3">
      <c r="A1162" t="str">
        <f>"202337B0000"</f>
        <v>202337B0000</v>
      </c>
      <c r="B1162" t="str">
        <f>"202337B00002"</f>
        <v>202337B00002</v>
      </c>
      <c r="C1162" t="str">
        <f t="shared" si="52"/>
        <v>20</v>
      </c>
      <c r="D1162" t="s">
        <v>67</v>
      </c>
      <c r="E1162" t="str">
        <f t="shared" si="51"/>
        <v>005</v>
      </c>
      <c r="F1162" t="s">
        <v>962</v>
      </c>
      <c r="G1162" t="str">
        <f>"2337"</f>
        <v>2337</v>
      </c>
      <c r="H1162" t="str">
        <f>"0000"</f>
        <v>0000</v>
      </c>
      <c r="I1162" t="s">
        <v>69</v>
      </c>
      <c r="J1162">
        <v>0</v>
      </c>
      <c r="K1162">
        <v>1</v>
      </c>
      <c r="L1162">
        <v>2</v>
      </c>
      <c r="M1162">
        <v>155</v>
      </c>
      <c r="N1162">
        <v>118</v>
      </c>
      <c r="O1162">
        <v>0</v>
      </c>
      <c r="P1162">
        <v>118</v>
      </c>
      <c r="Q1162">
        <v>2</v>
      </c>
      <c r="R1162">
        <v>22</v>
      </c>
      <c r="S1162">
        <v>2</v>
      </c>
      <c r="T1162">
        <v>2</v>
      </c>
      <c r="U1162">
        <v>3</v>
      </c>
      <c r="V1162">
        <v>2</v>
      </c>
      <c r="W1162">
        <v>0</v>
      </c>
      <c r="X1162">
        <v>53</v>
      </c>
      <c r="Y1162">
        <v>13</v>
      </c>
      <c r="Z1162">
        <v>3</v>
      </c>
      <c r="AA1162">
        <v>10</v>
      </c>
      <c r="AB1162">
        <v>2</v>
      </c>
      <c r="AD1162">
        <v>0</v>
      </c>
      <c r="AE1162">
        <v>0</v>
      </c>
      <c r="AF1162">
        <v>0</v>
      </c>
      <c r="AG1162">
        <v>0</v>
      </c>
      <c r="AI1162">
        <v>0</v>
      </c>
      <c r="AJ1162">
        <v>4</v>
      </c>
      <c r="AK1162">
        <v>118</v>
      </c>
      <c r="AL1162">
        <v>118</v>
      </c>
      <c r="AM1162">
        <v>229</v>
      </c>
      <c r="AN1162">
        <v>44</v>
      </c>
      <c r="AP1162">
        <v>1</v>
      </c>
      <c r="AR1162" t="s">
        <v>1248</v>
      </c>
      <c r="AS1162" s="1">
        <v>44354.069444444445</v>
      </c>
      <c r="AT1162" s="1">
        <v>44354.076898148145</v>
      </c>
      <c r="AU1162" s="1">
        <v>44354.077152777776</v>
      </c>
      <c r="AV1162" t="s">
        <v>71</v>
      </c>
      <c r="AW1162" t="s">
        <v>72</v>
      </c>
      <c r="AX1162" t="s">
        <v>73</v>
      </c>
    </row>
    <row r="1163" spans="1:50" x14ac:dyDescent="0.3">
      <c r="A1163" t="str">
        <f>"202338B0000"</f>
        <v>202338B0000</v>
      </c>
      <c r="B1163" t="str">
        <f>"202338B00002"</f>
        <v>202338B00002</v>
      </c>
      <c r="C1163" t="str">
        <f t="shared" si="52"/>
        <v>20</v>
      </c>
      <c r="D1163" t="s">
        <v>67</v>
      </c>
      <c r="E1163" t="str">
        <f t="shared" si="51"/>
        <v>005</v>
      </c>
      <c r="F1163" t="s">
        <v>962</v>
      </c>
      <c r="G1163" t="str">
        <f>"2338"</f>
        <v>2338</v>
      </c>
      <c r="H1163" t="str">
        <f>"0000"</f>
        <v>0000</v>
      </c>
      <c r="I1163" t="s">
        <v>69</v>
      </c>
      <c r="J1163">
        <v>0</v>
      </c>
      <c r="K1163">
        <v>1</v>
      </c>
      <c r="L1163">
        <v>2</v>
      </c>
      <c r="M1163">
        <v>205</v>
      </c>
      <c r="N1163">
        <v>58</v>
      </c>
      <c r="O1163">
        <v>0</v>
      </c>
      <c r="P1163">
        <v>58</v>
      </c>
      <c r="Q1163">
        <v>3</v>
      </c>
      <c r="R1163">
        <v>5</v>
      </c>
      <c r="S1163">
        <v>1</v>
      </c>
      <c r="T1163">
        <v>0</v>
      </c>
      <c r="U1163">
        <v>3</v>
      </c>
      <c r="V1163">
        <v>1</v>
      </c>
      <c r="W1163">
        <v>0</v>
      </c>
      <c r="X1163">
        <v>39</v>
      </c>
      <c r="Y1163">
        <v>2</v>
      </c>
      <c r="Z1163">
        <v>0</v>
      </c>
      <c r="AA1163">
        <v>0</v>
      </c>
      <c r="AB1163">
        <v>1</v>
      </c>
      <c r="AD1163">
        <v>0</v>
      </c>
      <c r="AE1163">
        <v>0</v>
      </c>
      <c r="AF1163">
        <v>1</v>
      </c>
      <c r="AG1163">
        <v>0</v>
      </c>
      <c r="AI1163">
        <v>0</v>
      </c>
      <c r="AJ1163">
        <v>2</v>
      </c>
      <c r="AK1163">
        <v>58</v>
      </c>
      <c r="AL1163">
        <v>58</v>
      </c>
      <c r="AM1163">
        <v>223</v>
      </c>
      <c r="AN1163">
        <v>44</v>
      </c>
      <c r="AP1163">
        <v>1</v>
      </c>
      <c r="AR1163" t="s">
        <v>1249</v>
      </c>
      <c r="AS1163" s="1">
        <v>44354.070138888892</v>
      </c>
      <c r="AT1163" s="1">
        <v>44354.077384259261</v>
      </c>
      <c r="AU1163" s="1">
        <v>44354.078182870369</v>
      </c>
      <c r="AV1163" t="s">
        <v>71</v>
      </c>
      <c r="AW1163" t="s">
        <v>72</v>
      </c>
      <c r="AX1163" t="s">
        <v>73</v>
      </c>
    </row>
    <row r="1164" spans="1:50" x14ac:dyDescent="0.3">
      <c r="A1164" t="str">
        <f>"202362B0000"</f>
        <v>202362B0000</v>
      </c>
      <c r="B1164" t="str">
        <f>"202362B00002"</f>
        <v>202362B00002</v>
      </c>
      <c r="C1164" t="str">
        <f t="shared" si="52"/>
        <v>20</v>
      </c>
      <c r="D1164" t="s">
        <v>67</v>
      </c>
      <c r="E1164" t="str">
        <f t="shared" si="51"/>
        <v>005</v>
      </c>
      <c r="F1164" t="s">
        <v>962</v>
      </c>
      <c r="G1164" t="str">
        <f>"2362"</f>
        <v>2362</v>
      </c>
      <c r="H1164" t="str">
        <f>"0000"</f>
        <v>0000</v>
      </c>
      <c r="I1164" t="s">
        <v>69</v>
      </c>
      <c r="J1164">
        <v>0</v>
      </c>
      <c r="K1164">
        <v>1</v>
      </c>
      <c r="L1164">
        <v>2</v>
      </c>
      <c r="M1164">
        <v>198</v>
      </c>
      <c r="N1164">
        <v>154</v>
      </c>
      <c r="O1164">
        <v>0</v>
      </c>
      <c r="P1164">
        <v>154</v>
      </c>
      <c r="Q1164">
        <v>0</v>
      </c>
      <c r="R1164">
        <v>8</v>
      </c>
      <c r="S1164">
        <v>2</v>
      </c>
      <c r="T1164">
        <v>3</v>
      </c>
      <c r="U1164">
        <v>12</v>
      </c>
      <c r="V1164">
        <v>1</v>
      </c>
      <c r="W1164">
        <v>0</v>
      </c>
      <c r="X1164">
        <v>110</v>
      </c>
      <c r="Y1164">
        <v>3</v>
      </c>
      <c r="Z1164">
        <v>1</v>
      </c>
      <c r="AA1164">
        <v>1</v>
      </c>
      <c r="AB1164">
        <v>1</v>
      </c>
      <c r="AD1164">
        <v>3</v>
      </c>
      <c r="AE1164">
        <v>0</v>
      </c>
      <c r="AF1164">
        <v>0</v>
      </c>
      <c r="AG1164">
        <v>0</v>
      </c>
      <c r="AI1164">
        <v>0</v>
      </c>
      <c r="AJ1164">
        <v>9</v>
      </c>
      <c r="AK1164">
        <v>154</v>
      </c>
      <c r="AL1164">
        <v>154</v>
      </c>
      <c r="AM1164">
        <v>310</v>
      </c>
      <c r="AN1164">
        <v>44</v>
      </c>
      <c r="AP1164">
        <v>1</v>
      </c>
      <c r="AR1164" t="s">
        <v>1250</v>
      </c>
      <c r="AS1164" s="1">
        <v>44354.148611111108</v>
      </c>
      <c r="AT1164" s="1">
        <v>44354.15121527778</v>
      </c>
      <c r="AU1164" s="1">
        <v>44354.152025462965</v>
      </c>
      <c r="AV1164" t="s">
        <v>71</v>
      </c>
      <c r="AW1164" t="s">
        <v>72</v>
      </c>
      <c r="AX1164" t="s">
        <v>73</v>
      </c>
    </row>
    <row r="1165" spans="1:50" x14ac:dyDescent="0.3">
      <c r="A1165" t="str">
        <f>"202393B0000"</f>
        <v>202393B0000</v>
      </c>
      <c r="B1165" t="str">
        <f>"202393B00002"</f>
        <v>202393B00002</v>
      </c>
      <c r="C1165" t="str">
        <f t="shared" si="52"/>
        <v>20</v>
      </c>
      <c r="D1165" t="s">
        <v>67</v>
      </c>
      <c r="E1165" t="str">
        <f t="shared" si="51"/>
        <v>005</v>
      </c>
      <c r="F1165" t="s">
        <v>962</v>
      </c>
      <c r="G1165" t="str">
        <f>"2393"</f>
        <v>2393</v>
      </c>
      <c r="H1165" t="str">
        <f>"0000"</f>
        <v>0000</v>
      </c>
      <c r="I1165" t="s">
        <v>69</v>
      </c>
      <c r="J1165">
        <v>0</v>
      </c>
      <c r="K1165">
        <v>1</v>
      </c>
      <c r="L1165">
        <v>2</v>
      </c>
      <c r="M1165">
        <v>148</v>
      </c>
      <c r="N1165">
        <v>2</v>
      </c>
      <c r="O1165">
        <v>0</v>
      </c>
      <c r="P1165">
        <v>123</v>
      </c>
      <c r="Q1165">
        <v>0</v>
      </c>
      <c r="R1165">
        <v>6</v>
      </c>
      <c r="S1165">
        <v>2</v>
      </c>
      <c r="T1165">
        <v>1</v>
      </c>
      <c r="U1165">
        <v>4</v>
      </c>
      <c r="V1165">
        <v>3</v>
      </c>
      <c r="W1165">
        <v>0</v>
      </c>
      <c r="X1165">
        <v>90</v>
      </c>
      <c r="Y1165">
        <v>9</v>
      </c>
      <c r="Z1165">
        <v>1</v>
      </c>
      <c r="AA1165">
        <v>2</v>
      </c>
      <c r="AB1165">
        <v>1</v>
      </c>
      <c r="AD1165">
        <v>0</v>
      </c>
      <c r="AE1165">
        <v>0</v>
      </c>
      <c r="AF1165">
        <v>0</v>
      </c>
      <c r="AG1165">
        <v>0</v>
      </c>
      <c r="AI1165">
        <v>0</v>
      </c>
      <c r="AJ1165">
        <v>4</v>
      </c>
      <c r="AK1165">
        <v>123</v>
      </c>
      <c r="AL1165">
        <v>123</v>
      </c>
      <c r="AM1165">
        <v>227</v>
      </c>
      <c r="AN1165">
        <v>44</v>
      </c>
      <c r="AP1165">
        <v>1</v>
      </c>
      <c r="AR1165" t="s">
        <v>1251</v>
      </c>
      <c r="AS1165" s="1">
        <v>44354.000694444447</v>
      </c>
      <c r="AT1165" s="1">
        <v>44354.006539351853</v>
      </c>
      <c r="AU1165" s="1">
        <v>44354.007013888891</v>
      </c>
      <c r="AV1165" t="s">
        <v>71</v>
      </c>
      <c r="AW1165" t="s">
        <v>72</v>
      </c>
      <c r="AX1165" t="s">
        <v>73</v>
      </c>
    </row>
    <row r="1166" spans="1:50" x14ac:dyDescent="0.3">
      <c r="A1166" t="str">
        <f>"202422B0000"</f>
        <v>202422B0000</v>
      </c>
      <c r="B1166" t="str">
        <f>"202422B00002"</f>
        <v>202422B00002</v>
      </c>
      <c r="C1166" t="str">
        <f t="shared" si="52"/>
        <v>20</v>
      </c>
      <c r="D1166" t="s">
        <v>67</v>
      </c>
      <c r="E1166" t="str">
        <f t="shared" si="51"/>
        <v>005</v>
      </c>
      <c r="F1166" t="s">
        <v>962</v>
      </c>
      <c r="G1166" t="str">
        <f>"2422"</f>
        <v>2422</v>
      </c>
      <c r="H1166" t="str">
        <f>"0000"</f>
        <v>0000</v>
      </c>
      <c r="I1166" t="s">
        <v>69</v>
      </c>
      <c r="J1166">
        <v>0</v>
      </c>
      <c r="K1166">
        <v>1</v>
      </c>
      <c r="L1166">
        <v>2</v>
      </c>
      <c r="M1166">
        <v>257</v>
      </c>
      <c r="N1166">
        <v>229</v>
      </c>
      <c r="O1166">
        <v>0</v>
      </c>
      <c r="P1166">
        <v>229</v>
      </c>
      <c r="Q1166">
        <v>7</v>
      </c>
      <c r="R1166">
        <v>50</v>
      </c>
      <c r="S1166">
        <v>5</v>
      </c>
      <c r="T1166">
        <v>9</v>
      </c>
      <c r="U1166">
        <v>35</v>
      </c>
      <c r="V1166">
        <v>5</v>
      </c>
      <c r="W1166">
        <v>14</v>
      </c>
      <c r="X1166">
        <v>88</v>
      </c>
      <c r="Y1166">
        <v>5</v>
      </c>
      <c r="Z1166">
        <v>1</v>
      </c>
      <c r="AA1166">
        <v>4</v>
      </c>
      <c r="AB1166">
        <v>1</v>
      </c>
      <c r="AD1166">
        <v>0</v>
      </c>
      <c r="AE1166">
        <v>0</v>
      </c>
      <c r="AF1166">
        <v>0</v>
      </c>
      <c r="AG1166">
        <v>0</v>
      </c>
      <c r="AI1166">
        <v>0</v>
      </c>
      <c r="AJ1166">
        <v>5</v>
      </c>
      <c r="AK1166">
        <v>229</v>
      </c>
      <c r="AL1166">
        <v>229</v>
      </c>
      <c r="AM1166">
        <v>442</v>
      </c>
      <c r="AN1166">
        <v>44</v>
      </c>
      <c r="AP1166">
        <v>1</v>
      </c>
      <c r="AR1166" t="s">
        <v>1252</v>
      </c>
      <c r="AS1166" s="1">
        <v>44354.175694444442</v>
      </c>
      <c r="AT1166" s="1">
        <v>44354.179525462961</v>
      </c>
      <c r="AU1166" s="1">
        <v>44354.180196759262</v>
      </c>
      <c r="AV1166" t="s">
        <v>71</v>
      </c>
      <c r="AW1166" t="s">
        <v>72</v>
      </c>
      <c r="AX1166" t="s">
        <v>73</v>
      </c>
    </row>
    <row r="1167" spans="1:50" x14ac:dyDescent="0.3">
      <c r="A1167" t="str">
        <f>"202422C0100"</f>
        <v>202422C0100</v>
      </c>
      <c r="B1167" t="str">
        <f>"202422C01002"</f>
        <v>202422C01002</v>
      </c>
      <c r="C1167" t="str">
        <f t="shared" si="52"/>
        <v>20</v>
      </c>
      <c r="D1167" t="s">
        <v>67</v>
      </c>
      <c r="E1167" t="str">
        <f t="shared" si="51"/>
        <v>005</v>
      </c>
      <c r="F1167" t="s">
        <v>962</v>
      </c>
      <c r="G1167" t="str">
        <f>"2422"</f>
        <v>2422</v>
      </c>
      <c r="H1167" t="str">
        <f>"0001"</f>
        <v>0001</v>
      </c>
      <c r="I1167" t="s">
        <v>75</v>
      </c>
      <c r="J1167">
        <v>0</v>
      </c>
      <c r="K1167">
        <v>1</v>
      </c>
      <c r="L1167">
        <v>2</v>
      </c>
      <c r="M1167">
        <v>258</v>
      </c>
      <c r="N1167">
        <v>228</v>
      </c>
      <c r="O1167">
        <v>0</v>
      </c>
      <c r="P1167">
        <v>228</v>
      </c>
      <c r="Q1167">
        <v>6</v>
      </c>
      <c r="R1167">
        <v>42</v>
      </c>
      <c r="S1167">
        <v>9</v>
      </c>
      <c r="T1167">
        <v>2</v>
      </c>
      <c r="U1167">
        <v>26</v>
      </c>
      <c r="V1167">
        <v>1</v>
      </c>
      <c r="W1167">
        <v>8</v>
      </c>
      <c r="X1167">
        <v>107</v>
      </c>
      <c r="Y1167">
        <v>3</v>
      </c>
      <c r="Z1167">
        <v>11</v>
      </c>
      <c r="AA1167">
        <v>2</v>
      </c>
      <c r="AB1167">
        <v>1</v>
      </c>
      <c r="AD1167">
        <v>0</v>
      </c>
      <c r="AE1167">
        <v>0</v>
      </c>
      <c r="AF1167">
        <v>0</v>
      </c>
      <c r="AG1167">
        <v>0</v>
      </c>
      <c r="AI1167">
        <v>0</v>
      </c>
      <c r="AJ1167">
        <v>10</v>
      </c>
      <c r="AK1167">
        <v>228</v>
      </c>
      <c r="AL1167">
        <v>228</v>
      </c>
      <c r="AM1167">
        <v>442</v>
      </c>
      <c r="AN1167">
        <v>44</v>
      </c>
      <c r="AP1167">
        <v>1</v>
      </c>
      <c r="AR1167" t="s">
        <v>1253</v>
      </c>
      <c r="AS1167" s="1">
        <v>44354.176388888889</v>
      </c>
      <c r="AT1167" s="1">
        <v>44354.1797337963</v>
      </c>
      <c r="AU1167" s="1">
        <v>44354.180115740739</v>
      </c>
      <c r="AV1167" t="s">
        <v>71</v>
      </c>
      <c r="AW1167" t="s">
        <v>72</v>
      </c>
      <c r="AX1167" t="s">
        <v>73</v>
      </c>
    </row>
    <row r="1168" spans="1:50" x14ac:dyDescent="0.3">
      <c r="A1168" t="str">
        <f>"200042B0000"</f>
        <v>200042B0000</v>
      </c>
      <c r="B1168" t="str">
        <f>"200042B00002"</f>
        <v>200042B00002</v>
      </c>
      <c r="C1168" t="str">
        <f t="shared" si="52"/>
        <v>20</v>
      </c>
      <c r="D1168" t="s">
        <v>67</v>
      </c>
      <c r="E1168" t="str">
        <f t="shared" ref="E1168:E1231" si="53">"006"</f>
        <v>006</v>
      </c>
      <c r="F1168" t="s">
        <v>1254</v>
      </c>
      <c r="G1168" t="str">
        <f>"0042"</f>
        <v>0042</v>
      </c>
      <c r="H1168" t="str">
        <f>"0000"</f>
        <v>0000</v>
      </c>
      <c r="I1168" t="s">
        <v>69</v>
      </c>
      <c r="J1168">
        <v>0</v>
      </c>
      <c r="K1168">
        <v>1</v>
      </c>
      <c r="L1168">
        <v>2</v>
      </c>
      <c r="M1168">
        <v>161</v>
      </c>
      <c r="N1168">
        <v>315</v>
      </c>
      <c r="O1168">
        <v>0</v>
      </c>
      <c r="P1168">
        <v>315</v>
      </c>
      <c r="Q1168">
        <v>93</v>
      </c>
      <c r="R1168">
        <v>15</v>
      </c>
      <c r="S1168">
        <v>2</v>
      </c>
      <c r="T1168">
        <v>7</v>
      </c>
      <c r="U1168">
        <v>3</v>
      </c>
      <c r="V1168">
        <v>1</v>
      </c>
      <c r="W1168">
        <v>2</v>
      </c>
      <c r="X1168">
        <v>65</v>
      </c>
      <c r="Y1168">
        <v>113</v>
      </c>
      <c r="Z1168">
        <v>0</v>
      </c>
      <c r="AA1168">
        <v>1</v>
      </c>
      <c r="AB1168">
        <v>0</v>
      </c>
      <c r="AD1168">
        <v>2</v>
      </c>
      <c r="AE1168">
        <v>1</v>
      </c>
      <c r="AF1168">
        <v>0</v>
      </c>
      <c r="AG1168">
        <v>0</v>
      </c>
      <c r="AI1168">
        <v>0</v>
      </c>
      <c r="AJ1168">
        <v>10</v>
      </c>
      <c r="AK1168">
        <v>315</v>
      </c>
      <c r="AL1168">
        <v>315</v>
      </c>
      <c r="AM1168">
        <v>432</v>
      </c>
      <c r="AN1168">
        <v>44</v>
      </c>
      <c r="AP1168">
        <v>1</v>
      </c>
      <c r="AR1168" t="s">
        <v>1255</v>
      </c>
      <c r="AS1168" s="1">
        <v>44354.086805555555</v>
      </c>
      <c r="AT1168" s="1">
        <v>44354.096412037034</v>
      </c>
      <c r="AU1168" s="1">
        <v>44354.097210648149</v>
      </c>
      <c r="AV1168" t="s">
        <v>71</v>
      </c>
      <c r="AW1168" t="s">
        <v>72</v>
      </c>
      <c r="AX1168" t="s">
        <v>73</v>
      </c>
    </row>
    <row r="1169" spans="1:50" x14ac:dyDescent="0.3">
      <c r="A1169" t="str">
        <f>"200042C0100"</f>
        <v>200042C0100</v>
      </c>
      <c r="B1169" t="str">
        <f>"200042C01002"</f>
        <v>200042C01002</v>
      </c>
      <c r="C1169" t="str">
        <f t="shared" si="52"/>
        <v>20</v>
      </c>
      <c r="D1169" t="s">
        <v>67</v>
      </c>
      <c r="E1169" t="str">
        <f t="shared" si="53"/>
        <v>006</v>
      </c>
      <c r="F1169" t="s">
        <v>1254</v>
      </c>
      <c r="G1169" t="str">
        <f>"0042"</f>
        <v>0042</v>
      </c>
      <c r="H1169" t="str">
        <f>"0001"</f>
        <v>0001</v>
      </c>
      <c r="I1169" t="s">
        <v>75</v>
      </c>
      <c r="J1169">
        <v>0</v>
      </c>
      <c r="K1169">
        <v>1</v>
      </c>
      <c r="L1169">
        <v>2</v>
      </c>
      <c r="M1169">
        <v>130</v>
      </c>
      <c r="N1169" t="s">
        <v>99</v>
      </c>
      <c r="O1169">
        <v>0</v>
      </c>
      <c r="P1169">
        <v>1</v>
      </c>
      <c r="Q1169">
        <v>105</v>
      </c>
      <c r="R1169">
        <v>14</v>
      </c>
      <c r="S1169">
        <v>2</v>
      </c>
      <c r="T1169">
        <v>10</v>
      </c>
      <c r="U1169">
        <v>1</v>
      </c>
      <c r="V1169">
        <v>4</v>
      </c>
      <c r="W1169">
        <v>1</v>
      </c>
      <c r="X1169">
        <v>48</v>
      </c>
      <c r="Y1169">
        <v>140</v>
      </c>
      <c r="Z1169">
        <v>2</v>
      </c>
      <c r="AA1169">
        <v>0</v>
      </c>
      <c r="AB1169">
        <v>2</v>
      </c>
      <c r="AD1169">
        <v>2</v>
      </c>
      <c r="AE1169">
        <v>2</v>
      </c>
      <c r="AF1169">
        <v>0</v>
      </c>
      <c r="AG1169">
        <v>0</v>
      </c>
      <c r="AI1169">
        <v>0</v>
      </c>
      <c r="AJ1169">
        <v>12</v>
      </c>
      <c r="AK1169" t="s">
        <v>99</v>
      </c>
      <c r="AL1169">
        <v>345</v>
      </c>
      <c r="AM1169">
        <v>432</v>
      </c>
      <c r="AN1169">
        <v>44</v>
      </c>
      <c r="AP1169">
        <v>1</v>
      </c>
      <c r="AR1169" t="s">
        <v>1256</v>
      </c>
      <c r="AS1169" s="1">
        <v>44354.087500000001</v>
      </c>
      <c r="AT1169" s="1">
        <v>44354.095370370371</v>
      </c>
      <c r="AU1169" s="1">
        <v>44354.096354166664</v>
      </c>
      <c r="AV1169" t="s">
        <v>71</v>
      </c>
      <c r="AW1169" t="s">
        <v>72</v>
      </c>
      <c r="AX1169" t="s">
        <v>73</v>
      </c>
    </row>
    <row r="1170" spans="1:50" x14ac:dyDescent="0.3">
      <c r="A1170" t="str">
        <f>"200087B0000"</f>
        <v>200087B0000</v>
      </c>
      <c r="B1170" t="str">
        <f>"200087B00002"</f>
        <v>200087B00002</v>
      </c>
      <c r="C1170" t="str">
        <f t="shared" si="52"/>
        <v>20</v>
      </c>
      <c r="D1170" t="s">
        <v>67</v>
      </c>
      <c r="E1170" t="str">
        <f t="shared" si="53"/>
        <v>006</v>
      </c>
      <c r="F1170" t="s">
        <v>1254</v>
      </c>
      <c r="G1170" t="str">
        <f>"0087"</f>
        <v>0087</v>
      </c>
      <c r="H1170" t="str">
        <f t="shared" ref="H1170:H1180" si="54">"0000"</f>
        <v>0000</v>
      </c>
      <c r="I1170" t="s">
        <v>69</v>
      </c>
      <c r="J1170">
        <v>0</v>
      </c>
      <c r="K1170">
        <v>1</v>
      </c>
      <c r="L1170">
        <v>2</v>
      </c>
      <c r="M1170">
        <v>448</v>
      </c>
      <c r="N1170">
        <v>186</v>
      </c>
      <c r="O1170">
        <v>0</v>
      </c>
      <c r="P1170">
        <v>187</v>
      </c>
      <c r="Q1170">
        <v>1</v>
      </c>
      <c r="R1170">
        <v>45</v>
      </c>
      <c r="S1170">
        <v>4</v>
      </c>
      <c r="T1170">
        <v>0</v>
      </c>
      <c r="U1170">
        <v>14</v>
      </c>
      <c r="V1170">
        <v>1</v>
      </c>
      <c r="W1170">
        <v>0</v>
      </c>
      <c r="X1170">
        <v>102</v>
      </c>
      <c r="Y1170">
        <v>1</v>
      </c>
      <c r="Z1170">
        <v>12</v>
      </c>
      <c r="AA1170">
        <v>1</v>
      </c>
      <c r="AB1170">
        <v>1</v>
      </c>
      <c r="AD1170">
        <v>0</v>
      </c>
      <c r="AE1170">
        <v>1</v>
      </c>
      <c r="AF1170">
        <v>0</v>
      </c>
      <c r="AG1170">
        <v>0</v>
      </c>
      <c r="AI1170">
        <v>0</v>
      </c>
      <c r="AJ1170">
        <v>4</v>
      </c>
      <c r="AK1170">
        <v>187</v>
      </c>
      <c r="AL1170">
        <v>187</v>
      </c>
      <c r="AM1170">
        <v>591</v>
      </c>
      <c r="AN1170">
        <v>44</v>
      </c>
      <c r="AP1170">
        <v>1</v>
      </c>
      <c r="AR1170" t="s">
        <v>1257</v>
      </c>
      <c r="AS1170" s="1">
        <v>44354.418055555558</v>
      </c>
      <c r="AT1170" s="1">
        <v>44354.420185185183</v>
      </c>
      <c r="AU1170" s="1">
        <v>44354.420706018522</v>
      </c>
      <c r="AV1170" t="s">
        <v>71</v>
      </c>
      <c r="AW1170" t="s">
        <v>72</v>
      </c>
      <c r="AX1170" t="s">
        <v>347</v>
      </c>
    </row>
    <row r="1171" spans="1:50" x14ac:dyDescent="0.3">
      <c r="A1171" t="str">
        <f>"200089B0000"</f>
        <v>200089B0000</v>
      </c>
      <c r="B1171" t="str">
        <f>"200089B00002"</f>
        <v>200089B00002</v>
      </c>
      <c r="C1171" t="str">
        <f t="shared" si="52"/>
        <v>20</v>
      </c>
      <c r="D1171" t="s">
        <v>67</v>
      </c>
      <c r="E1171" t="str">
        <f t="shared" si="53"/>
        <v>006</v>
      </c>
      <c r="F1171" t="s">
        <v>1254</v>
      </c>
      <c r="G1171" t="str">
        <f>"0089"</f>
        <v>0089</v>
      </c>
      <c r="H1171" t="str">
        <f t="shared" si="54"/>
        <v>0000</v>
      </c>
      <c r="I1171" t="s">
        <v>69</v>
      </c>
      <c r="J1171">
        <v>0</v>
      </c>
      <c r="K1171">
        <v>1</v>
      </c>
      <c r="L1171">
        <v>2</v>
      </c>
      <c r="M1171">
        <v>303</v>
      </c>
      <c r="N1171">
        <v>71</v>
      </c>
      <c r="O1171">
        <v>5</v>
      </c>
      <c r="P1171">
        <v>71</v>
      </c>
      <c r="Q1171">
        <v>4</v>
      </c>
      <c r="R1171">
        <v>4</v>
      </c>
      <c r="S1171">
        <v>6</v>
      </c>
      <c r="T1171">
        <v>1</v>
      </c>
      <c r="U1171">
        <v>2</v>
      </c>
      <c r="V1171">
        <v>0</v>
      </c>
      <c r="W1171">
        <v>1</v>
      </c>
      <c r="X1171">
        <v>40</v>
      </c>
      <c r="Y1171">
        <v>4</v>
      </c>
      <c r="Z1171">
        <v>2</v>
      </c>
      <c r="AA1171">
        <v>1</v>
      </c>
      <c r="AB1171">
        <v>1</v>
      </c>
      <c r="AD1171">
        <v>0</v>
      </c>
      <c r="AE1171">
        <v>0</v>
      </c>
      <c r="AF1171">
        <v>0</v>
      </c>
      <c r="AG1171">
        <v>0</v>
      </c>
      <c r="AI1171">
        <v>0</v>
      </c>
      <c r="AJ1171">
        <v>5</v>
      </c>
      <c r="AK1171">
        <v>71</v>
      </c>
      <c r="AL1171">
        <v>71</v>
      </c>
      <c r="AM1171">
        <v>329</v>
      </c>
      <c r="AN1171">
        <v>44</v>
      </c>
      <c r="AP1171">
        <v>1</v>
      </c>
      <c r="AR1171" t="s">
        <v>1258</v>
      </c>
      <c r="AS1171" s="1">
        <v>44354.423611111109</v>
      </c>
      <c r="AT1171" s="1">
        <v>44354.426458333335</v>
      </c>
      <c r="AU1171" s="1">
        <v>44354.42690972222</v>
      </c>
      <c r="AV1171" t="s">
        <v>71</v>
      </c>
      <c r="AW1171" t="s">
        <v>72</v>
      </c>
      <c r="AX1171" t="s">
        <v>73</v>
      </c>
    </row>
    <row r="1172" spans="1:50" x14ac:dyDescent="0.3">
      <c r="A1172" t="str">
        <f>"200144B0000"</f>
        <v>200144B0000</v>
      </c>
      <c r="B1172" t="str">
        <f>"200144B00002"</f>
        <v>200144B00002</v>
      </c>
      <c r="C1172" t="str">
        <f t="shared" si="52"/>
        <v>20</v>
      </c>
      <c r="D1172" t="s">
        <v>67</v>
      </c>
      <c r="E1172" t="str">
        <f t="shared" si="53"/>
        <v>006</v>
      </c>
      <c r="F1172" t="s">
        <v>1254</v>
      </c>
      <c r="G1172" t="str">
        <f>"0144"</f>
        <v>0144</v>
      </c>
      <c r="H1172" t="str">
        <f t="shared" si="54"/>
        <v>0000</v>
      </c>
      <c r="I1172" t="s">
        <v>69</v>
      </c>
      <c r="J1172">
        <v>0</v>
      </c>
      <c r="K1172">
        <v>1</v>
      </c>
      <c r="L1172">
        <v>2</v>
      </c>
      <c r="M1172">
        <v>162</v>
      </c>
      <c r="N1172">
        <v>233</v>
      </c>
      <c r="O1172">
        <v>0</v>
      </c>
      <c r="P1172">
        <v>233</v>
      </c>
      <c r="Q1172">
        <v>4</v>
      </c>
      <c r="R1172">
        <v>48</v>
      </c>
      <c r="S1172">
        <v>6</v>
      </c>
      <c r="T1172">
        <v>7</v>
      </c>
      <c r="U1172">
        <v>8</v>
      </c>
      <c r="V1172">
        <v>3</v>
      </c>
      <c r="W1172">
        <v>2</v>
      </c>
      <c r="X1172">
        <v>138</v>
      </c>
      <c r="Y1172">
        <v>2</v>
      </c>
      <c r="Z1172">
        <v>1</v>
      </c>
      <c r="AA1172">
        <v>2</v>
      </c>
      <c r="AB1172">
        <v>0</v>
      </c>
      <c r="AD1172">
        <v>0</v>
      </c>
      <c r="AE1172">
        <v>2</v>
      </c>
      <c r="AF1172">
        <v>0</v>
      </c>
      <c r="AG1172">
        <v>0</v>
      </c>
      <c r="AI1172">
        <v>0</v>
      </c>
      <c r="AJ1172">
        <v>10</v>
      </c>
      <c r="AK1172">
        <v>233</v>
      </c>
      <c r="AL1172">
        <v>233</v>
      </c>
      <c r="AM1172">
        <v>352</v>
      </c>
      <c r="AN1172">
        <v>44</v>
      </c>
      <c r="AP1172">
        <v>1</v>
      </c>
      <c r="AR1172" t="s">
        <v>1259</v>
      </c>
      <c r="AS1172" s="1">
        <v>44353.75</v>
      </c>
      <c r="AT1172" s="1">
        <v>44354.03019675926</v>
      </c>
      <c r="AU1172" s="1">
        <v>44354.030787037038</v>
      </c>
      <c r="AV1172" t="s">
        <v>71</v>
      </c>
      <c r="AW1172" t="s">
        <v>72</v>
      </c>
      <c r="AX1172" t="s">
        <v>73</v>
      </c>
    </row>
    <row r="1173" spans="1:50" x14ac:dyDescent="0.3">
      <c r="A1173" t="str">
        <f>"200145B0000"</f>
        <v>200145B0000</v>
      </c>
      <c r="B1173" t="str">
        <f>"200145B00002"</f>
        <v>200145B00002</v>
      </c>
      <c r="C1173" t="str">
        <f t="shared" si="52"/>
        <v>20</v>
      </c>
      <c r="D1173" t="s">
        <v>67</v>
      </c>
      <c r="E1173" t="str">
        <f t="shared" si="53"/>
        <v>006</v>
      </c>
      <c r="F1173" t="s">
        <v>1254</v>
      </c>
      <c r="G1173" t="str">
        <f>"0145"</f>
        <v>0145</v>
      </c>
      <c r="H1173" t="str">
        <f t="shared" si="54"/>
        <v>0000</v>
      </c>
      <c r="I1173" t="s">
        <v>69</v>
      </c>
      <c r="J1173">
        <v>0</v>
      </c>
      <c r="K1173">
        <v>1</v>
      </c>
      <c r="L1173">
        <v>2</v>
      </c>
      <c r="M1173">
        <v>163</v>
      </c>
      <c r="N1173">
        <v>104</v>
      </c>
      <c r="O1173">
        <v>1</v>
      </c>
      <c r="P1173">
        <v>104</v>
      </c>
      <c r="Q1173">
        <v>2</v>
      </c>
      <c r="R1173">
        <v>11</v>
      </c>
      <c r="S1173">
        <v>1</v>
      </c>
      <c r="T1173">
        <v>2</v>
      </c>
      <c r="U1173">
        <v>3</v>
      </c>
      <c r="V1173">
        <v>0</v>
      </c>
      <c r="W1173">
        <v>2</v>
      </c>
      <c r="X1173">
        <v>74</v>
      </c>
      <c r="Y1173">
        <v>2</v>
      </c>
      <c r="Z1173">
        <v>1</v>
      </c>
      <c r="AA1173">
        <v>0</v>
      </c>
      <c r="AB1173">
        <v>0</v>
      </c>
      <c r="AD1173">
        <v>1</v>
      </c>
      <c r="AE1173" t="s">
        <v>77</v>
      </c>
      <c r="AF1173" t="s">
        <v>77</v>
      </c>
      <c r="AG1173" t="s">
        <v>77</v>
      </c>
      <c r="AI1173" t="s">
        <v>77</v>
      </c>
      <c r="AJ1173">
        <v>5</v>
      </c>
      <c r="AK1173" t="s">
        <v>77</v>
      </c>
      <c r="AL1173">
        <v>104</v>
      </c>
      <c r="AM1173">
        <v>223</v>
      </c>
      <c r="AN1173">
        <v>44</v>
      </c>
      <c r="AO1173" t="s">
        <v>78</v>
      </c>
      <c r="AP1173">
        <v>1</v>
      </c>
      <c r="AR1173" t="s">
        <v>1260</v>
      </c>
      <c r="AS1173" s="1">
        <v>44354.022916666669</v>
      </c>
      <c r="AT1173" s="1">
        <v>44354.032164351855</v>
      </c>
      <c r="AU1173" s="1">
        <v>44354.032708333332</v>
      </c>
      <c r="AV1173" t="s">
        <v>71</v>
      </c>
      <c r="AW1173" t="s">
        <v>72</v>
      </c>
      <c r="AX1173" t="s">
        <v>73</v>
      </c>
    </row>
    <row r="1174" spans="1:50" x14ac:dyDescent="0.3">
      <c r="A1174" t="str">
        <f>"200146B0000"</f>
        <v>200146B0000</v>
      </c>
      <c r="B1174" t="str">
        <f>"200146B00002"</f>
        <v>200146B00002</v>
      </c>
      <c r="C1174" t="str">
        <f t="shared" si="52"/>
        <v>20</v>
      </c>
      <c r="D1174" t="s">
        <v>67</v>
      </c>
      <c r="E1174" t="str">
        <f t="shared" si="53"/>
        <v>006</v>
      </c>
      <c r="F1174" t="s">
        <v>1254</v>
      </c>
      <c r="G1174" t="str">
        <f>"0146"</f>
        <v>0146</v>
      </c>
      <c r="H1174" t="str">
        <f t="shared" si="54"/>
        <v>0000</v>
      </c>
      <c r="I1174" t="s">
        <v>69</v>
      </c>
      <c r="J1174">
        <v>0</v>
      </c>
      <c r="K1174">
        <v>1</v>
      </c>
      <c r="L1174">
        <v>2</v>
      </c>
      <c r="M1174">
        <v>86</v>
      </c>
      <c r="N1174">
        <v>45</v>
      </c>
      <c r="O1174">
        <v>3</v>
      </c>
      <c r="P1174">
        <v>45</v>
      </c>
      <c r="Q1174">
        <v>0</v>
      </c>
      <c r="R1174">
        <v>16</v>
      </c>
      <c r="S1174">
        <v>1</v>
      </c>
      <c r="T1174">
        <v>1</v>
      </c>
      <c r="U1174">
        <v>4</v>
      </c>
      <c r="V1174">
        <v>1</v>
      </c>
      <c r="W1174">
        <v>0</v>
      </c>
      <c r="X1174">
        <v>18</v>
      </c>
      <c r="Y1174">
        <v>0</v>
      </c>
      <c r="Z1174">
        <v>1</v>
      </c>
      <c r="AA1174">
        <v>0</v>
      </c>
      <c r="AB1174">
        <v>1</v>
      </c>
      <c r="AD1174">
        <v>0</v>
      </c>
      <c r="AE1174">
        <v>1</v>
      </c>
      <c r="AF1174">
        <v>0</v>
      </c>
      <c r="AG1174">
        <v>0</v>
      </c>
      <c r="AI1174">
        <v>0</v>
      </c>
      <c r="AJ1174">
        <v>1</v>
      </c>
      <c r="AK1174">
        <v>45</v>
      </c>
      <c r="AL1174">
        <v>45</v>
      </c>
      <c r="AM1174">
        <v>87</v>
      </c>
      <c r="AN1174">
        <v>44</v>
      </c>
      <c r="AP1174">
        <v>1</v>
      </c>
      <c r="AR1174" t="s">
        <v>1261</v>
      </c>
      <c r="AS1174" s="1">
        <v>44354.030555555553</v>
      </c>
      <c r="AT1174" s="1">
        <v>44354.039675925924</v>
      </c>
      <c r="AU1174" s="1">
        <v>44354.040138888886</v>
      </c>
      <c r="AV1174" t="s">
        <v>71</v>
      </c>
      <c r="AW1174" t="s">
        <v>72</v>
      </c>
      <c r="AX1174" t="s">
        <v>73</v>
      </c>
    </row>
    <row r="1175" spans="1:50" x14ac:dyDescent="0.3">
      <c r="A1175" t="str">
        <f>"200187B0000"</f>
        <v>200187B0000</v>
      </c>
      <c r="B1175" t="str">
        <f>"200187B00002"</f>
        <v>200187B00002</v>
      </c>
      <c r="C1175" t="str">
        <f t="shared" si="52"/>
        <v>20</v>
      </c>
      <c r="D1175" t="s">
        <v>67</v>
      </c>
      <c r="E1175" t="str">
        <f t="shared" si="53"/>
        <v>006</v>
      </c>
      <c r="F1175" t="s">
        <v>1254</v>
      </c>
      <c r="G1175" t="str">
        <f>"0187"</f>
        <v>0187</v>
      </c>
      <c r="H1175" t="str">
        <f t="shared" si="54"/>
        <v>0000</v>
      </c>
      <c r="I1175" t="s">
        <v>69</v>
      </c>
      <c r="J1175">
        <v>0</v>
      </c>
      <c r="K1175">
        <v>1</v>
      </c>
      <c r="L1175">
        <v>2</v>
      </c>
      <c r="M1175">
        <v>142</v>
      </c>
      <c r="N1175">
        <v>312</v>
      </c>
      <c r="O1175">
        <v>2</v>
      </c>
      <c r="P1175">
        <v>312</v>
      </c>
      <c r="Q1175">
        <v>3</v>
      </c>
      <c r="R1175">
        <v>24</v>
      </c>
      <c r="S1175">
        <v>2</v>
      </c>
      <c r="T1175">
        <v>7</v>
      </c>
      <c r="U1175">
        <v>2</v>
      </c>
      <c r="V1175">
        <v>1</v>
      </c>
      <c r="W1175">
        <v>0</v>
      </c>
      <c r="X1175">
        <v>78</v>
      </c>
      <c r="Y1175">
        <v>81</v>
      </c>
      <c r="Z1175">
        <v>0</v>
      </c>
      <c r="AA1175">
        <v>1</v>
      </c>
      <c r="AB1175">
        <v>102</v>
      </c>
      <c r="AD1175">
        <v>0</v>
      </c>
      <c r="AE1175">
        <v>0</v>
      </c>
      <c r="AF1175">
        <v>0</v>
      </c>
      <c r="AG1175">
        <v>0</v>
      </c>
      <c r="AI1175">
        <v>0</v>
      </c>
      <c r="AJ1175">
        <v>11</v>
      </c>
      <c r="AK1175">
        <v>312</v>
      </c>
      <c r="AL1175">
        <v>312</v>
      </c>
      <c r="AM1175">
        <v>410</v>
      </c>
      <c r="AN1175">
        <v>44</v>
      </c>
      <c r="AP1175">
        <v>1</v>
      </c>
      <c r="AR1175" t="s">
        <v>1262</v>
      </c>
      <c r="AS1175" s="1">
        <v>44354.443055555559</v>
      </c>
      <c r="AT1175" s="1">
        <v>44354.445208333331</v>
      </c>
      <c r="AU1175" s="1">
        <v>44354.446030092593</v>
      </c>
      <c r="AV1175" t="s">
        <v>71</v>
      </c>
      <c r="AW1175" t="s">
        <v>72</v>
      </c>
      <c r="AX1175" t="s">
        <v>73</v>
      </c>
    </row>
    <row r="1176" spans="1:50" x14ac:dyDescent="0.3">
      <c r="A1176" t="str">
        <f>"200188B0000"</f>
        <v>200188B0000</v>
      </c>
      <c r="B1176" t="str">
        <f>"200188B00002"</f>
        <v>200188B00002</v>
      </c>
      <c r="C1176" t="str">
        <f t="shared" si="52"/>
        <v>20</v>
      </c>
      <c r="D1176" t="s">
        <v>67</v>
      </c>
      <c r="E1176" t="str">
        <f t="shared" si="53"/>
        <v>006</v>
      </c>
      <c r="F1176" t="s">
        <v>1254</v>
      </c>
      <c r="G1176" t="str">
        <f>"0188"</f>
        <v>0188</v>
      </c>
      <c r="H1176" t="str">
        <f t="shared" si="54"/>
        <v>0000</v>
      </c>
      <c r="I1176" t="s">
        <v>69</v>
      </c>
      <c r="J1176">
        <v>0</v>
      </c>
      <c r="K1176">
        <v>1</v>
      </c>
      <c r="L1176">
        <v>2</v>
      </c>
      <c r="M1176">
        <v>169</v>
      </c>
      <c r="N1176">
        <v>287</v>
      </c>
      <c r="O1176">
        <v>4</v>
      </c>
      <c r="P1176">
        <v>287</v>
      </c>
      <c r="Q1176">
        <v>4</v>
      </c>
      <c r="R1176">
        <v>15</v>
      </c>
      <c r="S1176">
        <v>119</v>
      </c>
      <c r="T1176">
        <v>4</v>
      </c>
      <c r="U1176">
        <v>4</v>
      </c>
      <c r="V1176">
        <v>10</v>
      </c>
      <c r="W1176">
        <v>0</v>
      </c>
      <c r="X1176">
        <v>36</v>
      </c>
      <c r="Y1176">
        <v>17</v>
      </c>
      <c r="Z1176">
        <v>7</v>
      </c>
      <c r="AA1176">
        <v>0</v>
      </c>
      <c r="AB1176">
        <v>58</v>
      </c>
      <c r="AD1176">
        <v>0</v>
      </c>
      <c r="AE1176">
        <v>0</v>
      </c>
      <c r="AF1176">
        <v>0</v>
      </c>
      <c r="AG1176">
        <v>1</v>
      </c>
      <c r="AI1176">
        <v>0</v>
      </c>
      <c r="AJ1176">
        <v>12</v>
      </c>
      <c r="AK1176">
        <v>287</v>
      </c>
      <c r="AL1176">
        <v>287</v>
      </c>
      <c r="AM1176">
        <v>413</v>
      </c>
      <c r="AN1176">
        <v>44</v>
      </c>
      <c r="AP1176">
        <v>1</v>
      </c>
      <c r="AR1176" t="s">
        <v>1263</v>
      </c>
      <c r="AS1176" s="1">
        <v>44354.45208333333</v>
      </c>
      <c r="AT1176" s="1">
        <v>44354.456782407404</v>
      </c>
      <c r="AU1176" s="1">
        <v>44354.457453703704</v>
      </c>
      <c r="AV1176" t="s">
        <v>71</v>
      </c>
      <c r="AW1176" t="s">
        <v>72</v>
      </c>
      <c r="AX1176" t="s">
        <v>73</v>
      </c>
    </row>
    <row r="1177" spans="1:50" x14ac:dyDescent="0.3">
      <c r="A1177" t="str">
        <f>"200189B0000"</f>
        <v>200189B0000</v>
      </c>
      <c r="B1177" t="str">
        <f>"200189B00002"</f>
        <v>200189B00002</v>
      </c>
      <c r="C1177" t="str">
        <f t="shared" si="52"/>
        <v>20</v>
      </c>
      <c r="D1177" t="s">
        <v>67</v>
      </c>
      <c r="E1177" t="str">
        <f t="shared" si="53"/>
        <v>006</v>
      </c>
      <c r="F1177" t="s">
        <v>1254</v>
      </c>
      <c r="G1177" t="str">
        <f>"0189"</f>
        <v>0189</v>
      </c>
      <c r="H1177" t="str">
        <f t="shared" si="54"/>
        <v>0000</v>
      </c>
      <c r="I1177" t="s">
        <v>69</v>
      </c>
      <c r="J1177">
        <v>0</v>
      </c>
      <c r="K1177">
        <v>1</v>
      </c>
      <c r="L1177">
        <v>2</v>
      </c>
      <c r="M1177">
        <v>195</v>
      </c>
      <c r="N1177">
        <v>275</v>
      </c>
      <c r="O1177">
        <v>4</v>
      </c>
      <c r="P1177">
        <v>275</v>
      </c>
      <c r="Q1177">
        <v>5</v>
      </c>
      <c r="R1177">
        <v>87</v>
      </c>
      <c r="S1177">
        <v>2</v>
      </c>
      <c r="T1177">
        <v>9</v>
      </c>
      <c r="U1177">
        <v>0</v>
      </c>
      <c r="V1177">
        <v>0</v>
      </c>
      <c r="W1177">
        <v>3</v>
      </c>
      <c r="X1177">
        <v>96</v>
      </c>
      <c r="Y1177">
        <v>68</v>
      </c>
      <c r="Z1177">
        <v>0</v>
      </c>
      <c r="AA1177">
        <v>0</v>
      </c>
      <c r="AB1177">
        <v>0</v>
      </c>
      <c r="AD1177">
        <v>0</v>
      </c>
      <c r="AE1177">
        <v>0</v>
      </c>
      <c r="AF1177">
        <v>0</v>
      </c>
      <c r="AG1177">
        <v>0</v>
      </c>
      <c r="AI1177">
        <v>0</v>
      </c>
      <c r="AJ1177">
        <v>5</v>
      </c>
      <c r="AK1177">
        <v>275</v>
      </c>
      <c r="AL1177">
        <v>275</v>
      </c>
      <c r="AM1177">
        <v>426</v>
      </c>
      <c r="AN1177">
        <v>44</v>
      </c>
      <c r="AP1177">
        <v>1</v>
      </c>
      <c r="AR1177" t="s">
        <v>1264</v>
      </c>
      <c r="AS1177" s="1">
        <v>44354.447916666664</v>
      </c>
      <c r="AT1177" s="1">
        <v>44354.450219907405</v>
      </c>
      <c r="AU1177" s="1">
        <v>44354.45107638889</v>
      </c>
      <c r="AV1177" t="s">
        <v>71</v>
      </c>
      <c r="AW1177" t="s">
        <v>72</v>
      </c>
      <c r="AX1177" t="s">
        <v>347</v>
      </c>
    </row>
    <row r="1178" spans="1:50" x14ac:dyDescent="0.3">
      <c r="A1178" t="str">
        <f>"200190B0000"</f>
        <v>200190B0000</v>
      </c>
      <c r="B1178" t="str">
        <f>"200190B00002"</f>
        <v>200190B00002</v>
      </c>
      <c r="C1178" t="str">
        <f t="shared" si="52"/>
        <v>20</v>
      </c>
      <c r="D1178" t="s">
        <v>67</v>
      </c>
      <c r="E1178" t="str">
        <f t="shared" si="53"/>
        <v>006</v>
      </c>
      <c r="F1178" t="s">
        <v>1254</v>
      </c>
      <c r="G1178" t="str">
        <f>"0190"</f>
        <v>0190</v>
      </c>
      <c r="H1178" t="str">
        <f t="shared" si="54"/>
        <v>0000</v>
      </c>
      <c r="I1178" t="s">
        <v>69</v>
      </c>
      <c r="J1178">
        <v>0</v>
      </c>
      <c r="K1178">
        <v>1</v>
      </c>
      <c r="L1178">
        <v>2</v>
      </c>
      <c r="M1178" t="s">
        <v>99</v>
      </c>
      <c r="N1178">
        <v>173</v>
      </c>
      <c r="O1178">
        <v>2</v>
      </c>
      <c r="P1178">
        <v>173</v>
      </c>
      <c r="Q1178">
        <v>8</v>
      </c>
      <c r="R1178">
        <v>47</v>
      </c>
      <c r="S1178">
        <v>0</v>
      </c>
      <c r="T1178">
        <v>2</v>
      </c>
      <c r="U1178">
        <v>0</v>
      </c>
      <c r="V1178">
        <v>1</v>
      </c>
      <c r="W1178">
        <v>0</v>
      </c>
      <c r="X1178">
        <v>56</v>
      </c>
      <c r="Y1178">
        <v>48</v>
      </c>
      <c r="Z1178">
        <v>4</v>
      </c>
      <c r="AA1178">
        <v>0</v>
      </c>
      <c r="AB1178">
        <v>0</v>
      </c>
      <c r="AD1178">
        <v>1</v>
      </c>
      <c r="AE1178">
        <v>0</v>
      </c>
      <c r="AF1178">
        <v>0</v>
      </c>
      <c r="AG1178">
        <v>0</v>
      </c>
      <c r="AI1178">
        <v>0</v>
      </c>
      <c r="AJ1178">
        <v>6</v>
      </c>
      <c r="AK1178" t="s">
        <v>77</v>
      </c>
      <c r="AL1178">
        <v>173</v>
      </c>
      <c r="AM1178">
        <v>294</v>
      </c>
      <c r="AN1178">
        <v>44</v>
      </c>
      <c r="AP1178">
        <v>1</v>
      </c>
      <c r="AR1178" s="2" t="s">
        <v>1265</v>
      </c>
      <c r="AS1178" s="1">
        <v>44354.446527777778</v>
      </c>
      <c r="AT1178" s="1">
        <v>44354.448784722219</v>
      </c>
      <c r="AU1178" s="1">
        <v>44354.449814814812</v>
      </c>
      <c r="AV1178" t="s">
        <v>71</v>
      </c>
      <c r="AW1178" t="s">
        <v>72</v>
      </c>
      <c r="AX1178" t="s">
        <v>347</v>
      </c>
    </row>
    <row r="1179" spans="1:50" x14ac:dyDescent="0.3">
      <c r="A1179" t="str">
        <f>"200191B0000"</f>
        <v>200191B0000</v>
      </c>
      <c r="B1179" t="str">
        <f>"200191B00002"</f>
        <v>200191B00002</v>
      </c>
      <c r="C1179" t="str">
        <f t="shared" si="52"/>
        <v>20</v>
      </c>
      <c r="D1179" t="s">
        <v>67</v>
      </c>
      <c r="E1179" t="str">
        <f t="shared" si="53"/>
        <v>006</v>
      </c>
      <c r="F1179" t="s">
        <v>1254</v>
      </c>
      <c r="G1179" t="str">
        <f>"0191"</f>
        <v>0191</v>
      </c>
      <c r="H1179" t="str">
        <f t="shared" si="54"/>
        <v>0000</v>
      </c>
      <c r="I1179" t="s">
        <v>69</v>
      </c>
      <c r="J1179">
        <v>0</v>
      </c>
      <c r="K1179">
        <v>1</v>
      </c>
      <c r="L1179">
        <v>2</v>
      </c>
      <c r="M1179">
        <v>154</v>
      </c>
      <c r="N1179">
        <v>280</v>
      </c>
      <c r="O1179">
        <v>10</v>
      </c>
      <c r="P1179">
        <v>279</v>
      </c>
      <c r="Q1179">
        <v>8</v>
      </c>
      <c r="R1179">
        <v>81</v>
      </c>
      <c r="S1179">
        <v>2</v>
      </c>
      <c r="T1179">
        <v>1</v>
      </c>
      <c r="U1179">
        <v>3</v>
      </c>
      <c r="V1179">
        <v>0</v>
      </c>
      <c r="W1179">
        <v>0</v>
      </c>
      <c r="X1179">
        <v>140</v>
      </c>
      <c r="Y1179">
        <v>31</v>
      </c>
      <c r="Z1179">
        <v>2</v>
      </c>
      <c r="AA1179">
        <v>2</v>
      </c>
      <c r="AB1179">
        <v>1</v>
      </c>
      <c r="AD1179">
        <v>5</v>
      </c>
      <c r="AE1179">
        <v>0</v>
      </c>
      <c r="AF1179">
        <v>0</v>
      </c>
      <c r="AG1179">
        <v>0</v>
      </c>
      <c r="AI1179">
        <v>0</v>
      </c>
      <c r="AJ1179">
        <v>3</v>
      </c>
      <c r="AK1179">
        <v>279</v>
      </c>
      <c r="AL1179">
        <v>279</v>
      </c>
      <c r="AM1179">
        <v>389</v>
      </c>
      <c r="AN1179">
        <v>44</v>
      </c>
      <c r="AP1179">
        <v>1</v>
      </c>
      <c r="AR1179" t="s">
        <v>1266</v>
      </c>
      <c r="AS1179" s="1">
        <v>44354.470138888886</v>
      </c>
      <c r="AT1179" s="1">
        <v>44354.474537037036</v>
      </c>
      <c r="AU1179" s="1">
        <v>44354.475243055553</v>
      </c>
      <c r="AV1179" t="s">
        <v>71</v>
      </c>
      <c r="AW1179" t="s">
        <v>72</v>
      </c>
      <c r="AX1179" t="s">
        <v>73</v>
      </c>
    </row>
    <row r="1180" spans="1:50" x14ac:dyDescent="0.3">
      <c r="A1180" t="str">
        <f>"200201B0000"</f>
        <v>200201B0000</v>
      </c>
      <c r="B1180" t="str">
        <f>"200201B00002"</f>
        <v>200201B00002</v>
      </c>
      <c r="C1180" t="str">
        <f t="shared" si="52"/>
        <v>20</v>
      </c>
      <c r="D1180" t="s">
        <v>67</v>
      </c>
      <c r="E1180" t="str">
        <f t="shared" si="53"/>
        <v>006</v>
      </c>
      <c r="F1180" t="s">
        <v>1254</v>
      </c>
      <c r="G1180" t="str">
        <f>"0201"</f>
        <v>0201</v>
      </c>
      <c r="H1180" t="str">
        <f t="shared" si="54"/>
        <v>0000</v>
      </c>
      <c r="I1180" t="s">
        <v>69</v>
      </c>
      <c r="J1180">
        <v>0</v>
      </c>
      <c r="K1180">
        <v>1</v>
      </c>
      <c r="L1180">
        <v>2</v>
      </c>
      <c r="M1180">
        <v>406</v>
      </c>
      <c r="N1180">
        <v>358</v>
      </c>
      <c r="O1180">
        <v>5</v>
      </c>
      <c r="P1180">
        <v>358</v>
      </c>
      <c r="Q1180">
        <v>40</v>
      </c>
      <c r="R1180">
        <v>35</v>
      </c>
      <c r="S1180">
        <v>6</v>
      </c>
      <c r="T1180">
        <v>32</v>
      </c>
      <c r="U1180">
        <v>30</v>
      </c>
      <c r="V1180">
        <v>3</v>
      </c>
      <c r="W1180">
        <v>3</v>
      </c>
      <c r="X1180">
        <v>137</v>
      </c>
      <c r="Y1180">
        <v>33</v>
      </c>
      <c r="Z1180">
        <v>1</v>
      </c>
      <c r="AA1180">
        <v>8</v>
      </c>
      <c r="AB1180">
        <v>10</v>
      </c>
      <c r="AD1180">
        <v>7</v>
      </c>
      <c r="AE1180">
        <v>0</v>
      </c>
      <c r="AF1180">
        <v>0</v>
      </c>
      <c r="AG1180">
        <v>0</v>
      </c>
      <c r="AI1180">
        <v>1</v>
      </c>
      <c r="AJ1180">
        <v>12</v>
      </c>
      <c r="AK1180">
        <v>358</v>
      </c>
      <c r="AL1180">
        <v>358</v>
      </c>
      <c r="AM1180">
        <v>720</v>
      </c>
      <c r="AN1180">
        <v>44</v>
      </c>
      <c r="AP1180">
        <v>1</v>
      </c>
      <c r="AR1180" t="s">
        <v>1267</v>
      </c>
      <c r="AS1180" s="1">
        <v>44353.932893518519</v>
      </c>
      <c r="AT1180" s="1">
        <v>44353.934710648151</v>
      </c>
      <c r="AU1180" s="1">
        <v>44353.93540509259</v>
      </c>
      <c r="AV1180" t="s">
        <v>269</v>
      </c>
      <c r="AW1180" t="s">
        <v>270</v>
      </c>
      <c r="AX1180" t="s">
        <v>73</v>
      </c>
    </row>
    <row r="1181" spans="1:50" x14ac:dyDescent="0.3">
      <c r="A1181" t="str">
        <f>"200201C0100"</f>
        <v>200201C0100</v>
      </c>
      <c r="B1181" t="str">
        <f>"200201C01002"</f>
        <v>200201C01002</v>
      </c>
      <c r="C1181" t="str">
        <f t="shared" si="52"/>
        <v>20</v>
      </c>
      <c r="D1181" t="s">
        <v>67</v>
      </c>
      <c r="E1181" t="str">
        <f t="shared" si="53"/>
        <v>006</v>
      </c>
      <c r="F1181" t="s">
        <v>1254</v>
      </c>
      <c r="G1181" t="str">
        <f>"0201"</f>
        <v>0201</v>
      </c>
      <c r="H1181" t="str">
        <f>"0001"</f>
        <v>0001</v>
      </c>
      <c r="I1181" t="s">
        <v>75</v>
      </c>
      <c r="J1181">
        <v>0</v>
      </c>
      <c r="K1181">
        <v>1</v>
      </c>
      <c r="L1181">
        <v>2</v>
      </c>
      <c r="M1181">
        <v>426</v>
      </c>
      <c r="N1181">
        <v>338</v>
      </c>
      <c r="O1181">
        <v>2</v>
      </c>
      <c r="P1181">
        <v>338</v>
      </c>
      <c r="Q1181">
        <v>34</v>
      </c>
      <c r="R1181">
        <v>41</v>
      </c>
      <c r="S1181">
        <v>4</v>
      </c>
      <c r="T1181">
        <v>34</v>
      </c>
      <c r="U1181">
        <v>41</v>
      </c>
      <c r="V1181">
        <v>8</v>
      </c>
      <c r="W1181">
        <v>4</v>
      </c>
      <c r="X1181">
        <v>105</v>
      </c>
      <c r="Y1181">
        <v>40</v>
      </c>
      <c r="Z1181">
        <v>2</v>
      </c>
      <c r="AA1181">
        <v>10</v>
      </c>
      <c r="AB1181">
        <v>5</v>
      </c>
      <c r="AD1181">
        <v>1</v>
      </c>
      <c r="AE1181">
        <v>0</v>
      </c>
      <c r="AF1181">
        <v>0</v>
      </c>
      <c r="AG1181">
        <v>0</v>
      </c>
      <c r="AI1181">
        <v>0</v>
      </c>
      <c r="AJ1181">
        <v>9</v>
      </c>
      <c r="AK1181">
        <v>338</v>
      </c>
      <c r="AL1181">
        <v>338</v>
      </c>
      <c r="AM1181">
        <v>720</v>
      </c>
      <c r="AN1181">
        <v>44</v>
      </c>
      <c r="AP1181">
        <v>1</v>
      </c>
      <c r="AR1181" t="s">
        <v>1268</v>
      </c>
      <c r="AS1181" s="1">
        <v>44353.865347222221</v>
      </c>
      <c r="AT1181" s="1">
        <v>44353.866747685184</v>
      </c>
      <c r="AU1181" s="1">
        <v>44353.867881944447</v>
      </c>
      <c r="AV1181" t="s">
        <v>269</v>
      </c>
      <c r="AW1181" t="s">
        <v>270</v>
      </c>
      <c r="AX1181" t="s">
        <v>73</v>
      </c>
    </row>
    <row r="1182" spans="1:50" x14ac:dyDescent="0.3">
      <c r="A1182" t="str">
        <f>"200201C0200"</f>
        <v>200201C0200</v>
      </c>
      <c r="B1182" t="str">
        <f>"200201C02002"</f>
        <v>200201C02002</v>
      </c>
      <c r="C1182" t="str">
        <f t="shared" si="52"/>
        <v>20</v>
      </c>
      <c r="D1182" t="s">
        <v>67</v>
      </c>
      <c r="E1182" t="str">
        <f t="shared" si="53"/>
        <v>006</v>
      </c>
      <c r="F1182" t="s">
        <v>1254</v>
      </c>
      <c r="G1182" t="str">
        <f>"0201"</f>
        <v>0201</v>
      </c>
      <c r="H1182" t="str">
        <f>"0002"</f>
        <v>0002</v>
      </c>
      <c r="I1182" t="s">
        <v>75</v>
      </c>
      <c r="J1182">
        <v>0</v>
      </c>
      <c r="K1182">
        <v>1</v>
      </c>
      <c r="L1182">
        <v>2</v>
      </c>
      <c r="M1182">
        <v>417</v>
      </c>
      <c r="N1182">
        <v>347</v>
      </c>
      <c r="O1182">
        <v>3</v>
      </c>
      <c r="P1182">
        <v>347</v>
      </c>
      <c r="Q1182">
        <v>41</v>
      </c>
      <c r="R1182">
        <v>29</v>
      </c>
      <c r="S1182">
        <v>5</v>
      </c>
      <c r="T1182">
        <v>37</v>
      </c>
      <c r="U1182">
        <v>43</v>
      </c>
      <c r="V1182">
        <v>12</v>
      </c>
      <c r="W1182">
        <v>3</v>
      </c>
      <c r="X1182">
        <v>126</v>
      </c>
      <c r="Y1182">
        <v>26</v>
      </c>
      <c r="Z1182">
        <v>1</v>
      </c>
      <c r="AA1182">
        <v>5</v>
      </c>
      <c r="AB1182">
        <v>15</v>
      </c>
      <c r="AD1182" t="s">
        <v>77</v>
      </c>
      <c r="AE1182" t="s">
        <v>77</v>
      </c>
      <c r="AF1182" t="s">
        <v>77</v>
      </c>
      <c r="AG1182" t="s">
        <v>77</v>
      </c>
      <c r="AI1182" t="s">
        <v>77</v>
      </c>
      <c r="AJ1182">
        <v>4</v>
      </c>
      <c r="AK1182">
        <v>347</v>
      </c>
      <c r="AL1182">
        <v>347</v>
      </c>
      <c r="AM1182">
        <v>720</v>
      </c>
      <c r="AN1182">
        <v>44</v>
      </c>
      <c r="AO1182" t="s">
        <v>78</v>
      </c>
      <c r="AP1182">
        <v>1</v>
      </c>
      <c r="AR1182" t="s">
        <v>1269</v>
      </c>
      <c r="AS1182" s="1">
        <v>44354.617361111108</v>
      </c>
      <c r="AT1182" s="1">
        <v>44354.620092592595</v>
      </c>
      <c r="AU1182" s="1">
        <v>44354.620856481481</v>
      </c>
      <c r="AV1182" t="s">
        <v>71</v>
      </c>
      <c r="AW1182" t="s">
        <v>72</v>
      </c>
      <c r="AX1182" t="s">
        <v>73</v>
      </c>
    </row>
    <row r="1183" spans="1:50" x14ac:dyDescent="0.3">
      <c r="A1183" t="str">
        <f>"200201C0300"</f>
        <v>200201C0300</v>
      </c>
      <c r="B1183" t="str">
        <f>"200201C03002"</f>
        <v>200201C03002</v>
      </c>
      <c r="C1183" t="str">
        <f t="shared" si="52"/>
        <v>20</v>
      </c>
      <c r="D1183" t="s">
        <v>67</v>
      </c>
      <c r="E1183" t="str">
        <f t="shared" si="53"/>
        <v>006</v>
      </c>
      <c r="F1183" t="s">
        <v>1254</v>
      </c>
      <c r="G1183" t="str">
        <f>"0201"</f>
        <v>0201</v>
      </c>
      <c r="H1183" t="str">
        <f>"0003"</f>
        <v>0003</v>
      </c>
      <c r="I1183" t="s">
        <v>75</v>
      </c>
      <c r="J1183">
        <v>0</v>
      </c>
      <c r="K1183">
        <v>1</v>
      </c>
      <c r="L1183">
        <v>2</v>
      </c>
      <c r="M1183">
        <v>417</v>
      </c>
      <c r="N1183">
        <v>347</v>
      </c>
      <c r="O1183">
        <v>3</v>
      </c>
      <c r="P1183">
        <v>347</v>
      </c>
      <c r="Q1183">
        <v>41</v>
      </c>
      <c r="R1183">
        <v>29</v>
      </c>
      <c r="S1183">
        <v>5</v>
      </c>
      <c r="T1183">
        <v>37</v>
      </c>
      <c r="U1183">
        <v>43</v>
      </c>
      <c r="V1183">
        <v>12</v>
      </c>
      <c r="W1183">
        <v>3</v>
      </c>
      <c r="X1183">
        <v>126</v>
      </c>
      <c r="Y1183">
        <v>26</v>
      </c>
      <c r="Z1183">
        <v>1</v>
      </c>
      <c r="AA1183">
        <v>5</v>
      </c>
      <c r="AB1183">
        <v>15</v>
      </c>
      <c r="AD1183" t="s">
        <v>77</v>
      </c>
      <c r="AE1183" t="s">
        <v>77</v>
      </c>
      <c r="AF1183" t="s">
        <v>77</v>
      </c>
      <c r="AG1183" t="s">
        <v>77</v>
      </c>
      <c r="AI1183" t="s">
        <v>77</v>
      </c>
      <c r="AJ1183">
        <v>4</v>
      </c>
      <c r="AK1183">
        <v>347</v>
      </c>
      <c r="AL1183">
        <v>347</v>
      </c>
      <c r="AM1183">
        <v>720</v>
      </c>
      <c r="AN1183">
        <v>44</v>
      </c>
      <c r="AO1183" t="s">
        <v>78</v>
      </c>
      <c r="AP1183">
        <v>1</v>
      </c>
      <c r="AR1183" t="s">
        <v>1270</v>
      </c>
      <c r="AS1183" s="1">
        <v>44354.044444444444</v>
      </c>
      <c r="AT1183" s="1">
        <v>44354.053437499999</v>
      </c>
      <c r="AU1183" s="1">
        <v>44354.054085648146</v>
      </c>
      <c r="AV1183" t="s">
        <v>71</v>
      </c>
      <c r="AW1183" t="s">
        <v>72</v>
      </c>
      <c r="AX1183" t="s">
        <v>73</v>
      </c>
    </row>
    <row r="1184" spans="1:50" x14ac:dyDescent="0.3">
      <c r="A1184" t="str">
        <f>"200201C0400"</f>
        <v>200201C0400</v>
      </c>
      <c r="B1184" t="str">
        <f>"200201C04002"</f>
        <v>200201C04002</v>
      </c>
      <c r="C1184" t="str">
        <f t="shared" si="52"/>
        <v>20</v>
      </c>
      <c r="D1184" t="s">
        <v>67</v>
      </c>
      <c r="E1184" t="str">
        <f t="shared" si="53"/>
        <v>006</v>
      </c>
      <c r="F1184" t="s">
        <v>1254</v>
      </c>
      <c r="G1184" t="str">
        <f>"0201"</f>
        <v>0201</v>
      </c>
      <c r="H1184" t="str">
        <f>"0004"</f>
        <v>0004</v>
      </c>
      <c r="I1184" t="s">
        <v>75</v>
      </c>
      <c r="J1184">
        <v>0</v>
      </c>
      <c r="K1184">
        <v>1</v>
      </c>
      <c r="L1184">
        <v>2</v>
      </c>
      <c r="M1184">
        <v>407</v>
      </c>
      <c r="N1184">
        <v>356</v>
      </c>
      <c r="O1184">
        <v>4</v>
      </c>
      <c r="P1184">
        <v>356</v>
      </c>
      <c r="Q1184">
        <v>42</v>
      </c>
      <c r="R1184">
        <v>33</v>
      </c>
      <c r="S1184">
        <v>1</v>
      </c>
      <c r="T1184">
        <v>38</v>
      </c>
      <c r="U1184">
        <v>37</v>
      </c>
      <c r="V1184">
        <v>5</v>
      </c>
      <c r="W1184">
        <v>4</v>
      </c>
      <c r="X1184">
        <v>136</v>
      </c>
      <c r="Y1184">
        <v>21</v>
      </c>
      <c r="Z1184">
        <v>2</v>
      </c>
      <c r="AA1184">
        <v>9</v>
      </c>
      <c r="AB1184">
        <v>16</v>
      </c>
      <c r="AD1184">
        <v>0</v>
      </c>
      <c r="AE1184">
        <v>0</v>
      </c>
      <c r="AF1184">
        <v>0</v>
      </c>
      <c r="AG1184">
        <v>0</v>
      </c>
      <c r="AI1184">
        <v>0</v>
      </c>
      <c r="AJ1184">
        <v>12</v>
      </c>
      <c r="AK1184">
        <v>356</v>
      </c>
      <c r="AL1184">
        <v>356</v>
      </c>
      <c r="AM1184">
        <v>719</v>
      </c>
      <c r="AN1184">
        <v>44</v>
      </c>
      <c r="AP1184">
        <v>1</v>
      </c>
      <c r="AR1184" t="s">
        <v>1271</v>
      </c>
      <c r="AS1184" s="1">
        <v>44353.917812500003</v>
      </c>
      <c r="AT1184" s="1">
        <v>44353.919224537036</v>
      </c>
      <c r="AU1184" s="1">
        <v>44353.919733796298</v>
      </c>
      <c r="AV1184" t="s">
        <v>269</v>
      </c>
      <c r="AW1184" t="s">
        <v>270</v>
      </c>
      <c r="AX1184" t="s">
        <v>73</v>
      </c>
    </row>
    <row r="1185" spans="1:50" x14ac:dyDescent="0.3">
      <c r="A1185" t="str">
        <f>"200202B0000"</f>
        <v>200202B0000</v>
      </c>
      <c r="B1185" t="str">
        <f>"200202B00002"</f>
        <v>200202B00002</v>
      </c>
      <c r="C1185" t="str">
        <f t="shared" si="52"/>
        <v>20</v>
      </c>
      <c r="D1185" t="s">
        <v>67</v>
      </c>
      <c r="E1185" t="str">
        <f t="shared" si="53"/>
        <v>006</v>
      </c>
      <c r="F1185" t="s">
        <v>1254</v>
      </c>
      <c r="G1185" t="str">
        <f>"0202"</f>
        <v>0202</v>
      </c>
      <c r="H1185" t="str">
        <f>"0000"</f>
        <v>0000</v>
      </c>
      <c r="I1185" t="s">
        <v>69</v>
      </c>
      <c r="J1185">
        <v>0</v>
      </c>
      <c r="K1185">
        <v>1</v>
      </c>
      <c r="L1185">
        <v>2</v>
      </c>
      <c r="M1185">
        <v>444</v>
      </c>
      <c r="N1185">
        <v>289</v>
      </c>
      <c r="O1185">
        <v>4</v>
      </c>
      <c r="P1185">
        <v>289</v>
      </c>
      <c r="Q1185">
        <v>32</v>
      </c>
      <c r="R1185">
        <v>33</v>
      </c>
      <c r="S1185">
        <v>6</v>
      </c>
      <c r="T1185">
        <v>20</v>
      </c>
      <c r="U1185">
        <v>38</v>
      </c>
      <c r="V1185">
        <v>9</v>
      </c>
      <c r="W1185">
        <v>1</v>
      </c>
      <c r="X1185">
        <v>98</v>
      </c>
      <c r="Y1185">
        <v>16</v>
      </c>
      <c r="Z1185">
        <v>0</v>
      </c>
      <c r="AA1185">
        <v>17</v>
      </c>
      <c r="AB1185">
        <v>7</v>
      </c>
      <c r="AD1185">
        <v>1</v>
      </c>
      <c r="AE1185">
        <v>2</v>
      </c>
      <c r="AF1185">
        <v>0</v>
      </c>
      <c r="AG1185">
        <v>0</v>
      </c>
      <c r="AI1185">
        <v>0</v>
      </c>
      <c r="AJ1185">
        <v>9</v>
      </c>
      <c r="AK1185">
        <v>289</v>
      </c>
      <c r="AL1185">
        <v>289</v>
      </c>
      <c r="AM1185">
        <v>689</v>
      </c>
      <c r="AN1185">
        <v>44</v>
      </c>
      <c r="AP1185">
        <v>1</v>
      </c>
      <c r="AR1185" t="s">
        <v>1272</v>
      </c>
      <c r="AS1185" s="1">
        <v>44353.915729166663</v>
      </c>
      <c r="AT1185" s="1">
        <v>44353.923125000001</v>
      </c>
      <c r="AU1185" s="1">
        <v>44353.923958333333</v>
      </c>
      <c r="AV1185" t="s">
        <v>269</v>
      </c>
      <c r="AW1185" t="s">
        <v>270</v>
      </c>
      <c r="AX1185" t="s">
        <v>73</v>
      </c>
    </row>
    <row r="1186" spans="1:50" x14ac:dyDescent="0.3">
      <c r="A1186" t="str">
        <f>"200202C0100"</f>
        <v>200202C0100</v>
      </c>
      <c r="B1186" t="str">
        <f>"200202C01002"</f>
        <v>200202C01002</v>
      </c>
      <c r="C1186" t="str">
        <f t="shared" si="52"/>
        <v>20</v>
      </c>
      <c r="D1186" t="s">
        <v>67</v>
      </c>
      <c r="E1186" t="str">
        <f t="shared" si="53"/>
        <v>006</v>
      </c>
      <c r="F1186" t="s">
        <v>1254</v>
      </c>
      <c r="G1186" t="str">
        <f>"0202"</f>
        <v>0202</v>
      </c>
      <c r="H1186" t="str">
        <f>"0001"</f>
        <v>0001</v>
      </c>
      <c r="I1186" t="s">
        <v>75</v>
      </c>
      <c r="J1186">
        <v>0</v>
      </c>
      <c r="K1186">
        <v>1</v>
      </c>
      <c r="L1186">
        <v>2</v>
      </c>
      <c r="M1186">
        <v>413</v>
      </c>
      <c r="N1186">
        <v>320</v>
      </c>
      <c r="O1186">
        <v>9</v>
      </c>
      <c r="P1186">
        <v>320</v>
      </c>
      <c r="Q1186">
        <v>38</v>
      </c>
      <c r="R1186">
        <v>28</v>
      </c>
      <c r="S1186">
        <v>1</v>
      </c>
      <c r="T1186">
        <v>41</v>
      </c>
      <c r="U1186">
        <v>38</v>
      </c>
      <c r="V1186">
        <v>6</v>
      </c>
      <c r="W1186">
        <v>1</v>
      </c>
      <c r="X1186">
        <v>112</v>
      </c>
      <c r="Y1186">
        <v>26</v>
      </c>
      <c r="Z1186">
        <v>0</v>
      </c>
      <c r="AA1186">
        <v>8</v>
      </c>
      <c r="AB1186">
        <v>10</v>
      </c>
      <c r="AD1186">
        <v>1</v>
      </c>
      <c r="AE1186">
        <v>3</v>
      </c>
      <c r="AF1186">
        <v>0</v>
      </c>
      <c r="AG1186">
        <v>0</v>
      </c>
      <c r="AI1186">
        <v>0</v>
      </c>
      <c r="AJ1186">
        <v>7</v>
      </c>
      <c r="AK1186">
        <v>320</v>
      </c>
      <c r="AL1186">
        <v>320</v>
      </c>
      <c r="AM1186">
        <v>689</v>
      </c>
      <c r="AN1186">
        <v>44</v>
      </c>
      <c r="AP1186">
        <v>1</v>
      </c>
      <c r="AR1186" t="s">
        <v>1273</v>
      </c>
      <c r="AS1186" s="1">
        <v>44353.941041666665</v>
      </c>
      <c r="AT1186" s="1">
        <v>44353.943888888891</v>
      </c>
      <c r="AU1186" s="1">
        <v>44353.94462962963</v>
      </c>
      <c r="AV1186" t="s">
        <v>269</v>
      </c>
      <c r="AW1186" t="s">
        <v>270</v>
      </c>
      <c r="AX1186" t="s">
        <v>73</v>
      </c>
    </row>
    <row r="1187" spans="1:50" x14ac:dyDescent="0.3">
      <c r="A1187" t="str">
        <f>"200202C0200"</f>
        <v>200202C0200</v>
      </c>
      <c r="B1187" t="str">
        <f>"200202C02002"</f>
        <v>200202C02002</v>
      </c>
      <c r="C1187" t="str">
        <f t="shared" si="52"/>
        <v>20</v>
      </c>
      <c r="D1187" t="s">
        <v>67</v>
      </c>
      <c r="E1187" t="str">
        <f t="shared" si="53"/>
        <v>006</v>
      </c>
      <c r="F1187" t="s">
        <v>1254</v>
      </c>
      <c r="G1187" t="str">
        <f>"0202"</f>
        <v>0202</v>
      </c>
      <c r="H1187" t="str">
        <f>"0002"</f>
        <v>0002</v>
      </c>
      <c r="I1187" t="s">
        <v>75</v>
      </c>
      <c r="J1187">
        <v>0</v>
      </c>
      <c r="K1187">
        <v>1</v>
      </c>
      <c r="L1187">
        <v>2</v>
      </c>
      <c r="M1187">
        <v>467</v>
      </c>
      <c r="N1187">
        <v>265</v>
      </c>
      <c r="O1187">
        <v>10</v>
      </c>
      <c r="P1187">
        <v>265</v>
      </c>
      <c r="Q1187">
        <v>34</v>
      </c>
      <c r="R1187">
        <v>29</v>
      </c>
      <c r="S1187">
        <v>2</v>
      </c>
      <c r="T1187">
        <v>18</v>
      </c>
      <c r="U1187">
        <v>26</v>
      </c>
      <c r="V1187">
        <v>6</v>
      </c>
      <c r="W1187">
        <v>2</v>
      </c>
      <c r="X1187">
        <v>105</v>
      </c>
      <c r="Y1187">
        <v>20</v>
      </c>
      <c r="Z1187">
        <v>0</v>
      </c>
      <c r="AA1187">
        <v>9</v>
      </c>
      <c r="AB1187">
        <v>8</v>
      </c>
      <c r="AD1187" t="s">
        <v>77</v>
      </c>
      <c r="AE1187" t="s">
        <v>77</v>
      </c>
      <c r="AF1187" t="s">
        <v>77</v>
      </c>
      <c r="AG1187" t="s">
        <v>77</v>
      </c>
      <c r="AI1187" t="s">
        <v>77</v>
      </c>
      <c r="AJ1187">
        <v>6</v>
      </c>
      <c r="AK1187">
        <v>265</v>
      </c>
      <c r="AL1187">
        <v>265</v>
      </c>
      <c r="AM1187">
        <v>689</v>
      </c>
      <c r="AN1187">
        <v>44</v>
      </c>
      <c r="AO1187" t="s">
        <v>78</v>
      </c>
      <c r="AP1187">
        <v>1</v>
      </c>
      <c r="AR1187" t="s">
        <v>1274</v>
      </c>
      <c r="AS1187" s="1">
        <v>44353.90221064815</v>
      </c>
      <c r="AT1187" s="1">
        <v>44353.903900462959</v>
      </c>
      <c r="AU1187" s="1">
        <v>44353.904479166667</v>
      </c>
      <c r="AV1187" t="s">
        <v>269</v>
      </c>
      <c r="AW1187" t="s">
        <v>270</v>
      </c>
      <c r="AX1187" t="s">
        <v>73</v>
      </c>
    </row>
    <row r="1188" spans="1:50" x14ac:dyDescent="0.3">
      <c r="A1188" t="str">
        <f>"200202C0300"</f>
        <v>200202C0300</v>
      </c>
      <c r="B1188" t="str">
        <f>"200202C03002"</f>
        <v>200202C03002</v>
      </c>
      <c r="C1188" t="str">
        <f t="shared" si="52"/>
        <v>20</v>
      </c>
      <c r="D1188" t="s">
        <v>67</v>
      </c>
      <c r="E1188" t="str">
        <f t="shared" si="53"/>
        <v>006</v>
      </c>
      <c r="F1188" t="s">
        <v>1254</v>
      </c>
      <c r="G1188" t="str">
        <f>"0202"</f>
        <v>0202</v>
      </c>
      <c r="H1188" t="str">
        <f>"0003"</f>
        <v>0003</v>
      </c>
      <c r="I1188" t="s">
        <v>75</v>
      </c>
      <c r="J1188">
        <v>0</v>
      </c>
      <c r="K1188">
        <v>1</v>
      </c>
      <c r="L1188">
        <v>2</v>
      </c>
      <c r="M1188">
        <v>411</v>
      </c>
      <c r="N1188">
        <v>321</v>
      </c>
      <c r="O1188">
        <v>8</v>
      </c>
      <c r="P1188">
        <v>321</v>
      </c>
      <c r="Q1188">
        <v>35</v>
      </c>
      <c r="R1188">
        <v>33</v>
      </c>
      <c r="S1188">
        <v>5</v>
      </c>
      <c r="T1188">
        <v>29</v>
      </c>
      <c r="U1188">
        <v>17</v>
      </c>
      <c r="V1188">
        <v>9</v>
      </c>
      <c r="W1188">
        <v>2</v>
      </c>
      <c r="X1188">
        <v>139</v>
      </c>
      <c r="Y1188">
        <v>26</v>
      </c>
      <c r="Z1188">
        <v>2</v>
      </c>
      <c r="AA1188">
        <v>10</v>
      </c>
      <c r="AB1188">
        <v>5</v>
      </c>
      <c r="AD1188">
        <v>0</v>
      </c>
      <c r="AE1188">
        <v>0</v>
      </c>
      <c r="AF1188">
        <v>0</v>
      </c>
      <c r="AG1188">
        <v>0</v>
      </c>
      <c r="AI1188">
        <v>1</v>
      </c>
      <c r="AJ1188">
        <v>8</v>
      </c>
      <c r="AK1188">
        <v>321</v>
      </c>
      <c r="AL1188">
        <v>321</v>
      </c>
      <c r="AM1188">
        <v>688</v>
      </c>
      <c r="AN1188">
        <v>44</v>
      </c>
      <c r="AP1188">
        <v>1</v>
      </c>
      <c r="AR1188" t="s">
        <v>1275</v>
      </c>
      <c r="AS1188" s="1">
        <v>44353.896631944444</v>
      </c>
      <c r="AT1188" s="1">
        <v>44353.898726851854</v>
      </c>
      <c r="AU1188" s="1">
        <v>44353.899409722224</v>
      </c>
      <c r="AV1188" t="s">
        <v>269</v>
      </c>
      <c r="AW1188" t="s">
        <v>270</v>
      </c>
      <c r="AX1188" t="s">
        <v>73</v>
      </c>
    </row>
    <row r="1189" spans="1:50" x14ac:dyDescent="0.3">
      <c r="A1189" t="str">
        <f>"200203B0000"</f>
        <v>200203B0000</v>
      </c>
      <c r="B1189" t="str">
        <f>"200203B00002"</f>
        <v>200203B00002</v>
      </c>
      <c r="C1189" t="str">
        <f t="shared" si="52"/>
        <v>20</v>
      </c>
      <c r="D1189" t="s">
        <v>67</v>
      </c>
      <c r="E1189" t="str">
        <f t="shared" si="53"/>
        <v>006</v>
      </c>
      <c r="F1189" t="s">
        <v>1254</v>
      </c>
      <c r="G1189" t="str">
        <f>"0203"</f>
        <v>0203</v>
      </c>
      <c r="H1189" t="str">
        <f>"0000"</f>
        <v>0000</v>
      </c>
      <c r="I1189" t="s">
        <v>69</v>
      </c>
      <c r="J1189">
        <v>0</v>
      </c>
      <c r="K1189">
        <v>1</v>
      </c>
      <c r="L1189">
        <v>2</v>
      </c>
      <c r="M1189">
        <v>344</v>
      </c>
      <c r="N1189">
        <v>323</v>
      </c>
      <c r="O1189">
        <v>2</v>
      </c>
      <c r="P1189">
        <v>323</v>
      </c>
      <c r="Q1189">
        <v>30</v>
      </c>
      <c r="R1189">
        <v>19</v>
      </c>
      <c r="S1189">
        <v>4</v>
      </c>
      <c r="T1189">
        <v>19</v>
      </c>
      <c r="U1189">
        <v>45</v>
      </c>
      <c r="V1189">
        <v>4</v>
      </c>
      <c r="W1189">
        <v>2</v>
      </c>
      <c r="X1189">
        <v>154</v>
      </c>
      <c r="Y1189">
        <v>20</v>
      </c>
      <c r="Z1189">
        <v>3</v>
      </c>
      <c r="AA1189">
        <v>7</v>
      </c>
      <c r="AB1189">
        <v>3</v>
      </c>
      <c r="AD1189">
        <v>1</v>
      </c>
      <c r="AE1189">
        <v>2</v>
      </c>
      <c r="AF1189">
        <v>0</v>
      </c>
      <c r="AG1189">
        <v>0</v>
      </c>
      <c r="AI1189">
        <v>0</v>
      </c>
      <c r="AJ1189">
        <v>10</v>
      </c>
      <c r="AK1189">
        <v>323</v>
      </c>
      <c r="AL1189">
        <v>323</v>
      </c>
      <c r="AM1189">
        <v>623</v>
      </c>
      <c r="AN1189">
        <v>44</v>
      </c>
      <c r="AP1189">
        <v>1</v>
      </c>
      <c r="AR1189" t="s">
        <v>1276</v>
      </c>
      <c r="AS1189" s="1">
        <v>44354.120138888888</v>
      </c>
      <c r="AT1189" s="1">
        <v>44354.123622685183</v>
      </c>
      <c r="AU1189" s="1">
        <v>44354.124189814815</v>
      </c>
      <c r="AV1189" t="s">
        <v>71</v>
      </c>
      <c r="AW1189" t="s">
        <v>72</v>
      </c>
      <c r="AX1189" t="s">
        <v>73</v>
      </c>
    </row>
    <row r="1190" spans="1:50" x14ac:dyDescent="0.3">
      <c r="A1190" t="str">
        <f>"200203C0100"</f>
        <v>200203C0100</v>
      </c>
      <c r="B1190" t="str">
        <f>"200203C01002"</f>
        <v>200203C01002</v>
      </c>
      <c r="C1190" t="str">
        <f t="shared" si="52"/>
        <v>20</v>
      </c>
      <c r="D1190" t="s">
        <v>67</v>
      </c>
      <c r="E1190" t="str">
        <f t="shared" si="53"/>
        <v>006</v>
      </c>
      <c r="F1190" t="s">
        <v>1254</v>
      </c>
      <c r="G1190" t="str">
        <f>"0203"</f>
        <v>0203</v>
      </c>
      <c r="H1190" t="str">
        <f>"0001"</f>
        <v>0001</v>
      </c>
      <c r="I1190" t="s">
        <v>75</v>
      </c>
      <c r="J1190">
        <v>0</v>
      </c>
      <c r="K1190">
        <v>1</v>
      </c>
      <c r="L1190">
        <v>2</v>
      </c>
      <c r="M1190">
        <v>335</v>
      </c>
      <c r="N1190">
        <v>325</v>
      </c>
      <c r="O1190">
        <v>1</v>
      </c>
      <c r="P1190">
        <v>324</v>
      </c>
      <c r="Q1190">
        <v>38</v>
      </c>
      <c r="R1190">
        <v>18</v>
      </c>
      <c r="S1190">
        <v>1</v>
      </c>
      <c r="T1190">
        <v>25</v>
      </c>
      <c r="U1190">
        <v>42</v>
      </c>
      <c r="V1190">
        <v>7</v>
      </c>
      <c r="W1190">
        <v>0</v>
      </c>
      <c r="X1190">
        <v>145</v>
      </c>
      <c r="Y1190">
        <v>12</v>
      </c>
      <c r="Z1190">
        <v>2</v>
      </c>
      <c r="AA1190">
        <v>3</v>
      </c>
      <c r="AB1190">
        <v>7</v>
      </c>
      <c r="AD1190">
        <v>3</v>
      </c>
      <c r="AE1190">
        <v>2</v>
      </c>
      <c r="AF1190">
        <v>0</v>
      </c>
      <c r="AG1190">
        <v>0</v>
      </c>
      <c r="AI1190" t="s">
        <v>77</v>
      </c>
      <c r="AJ1190">
        <v>19</v>
      </c>
      <c r="AK1190">
        <v>324</v>
      </c>
      <c r="AL1190">
        <v>324</v>
      </c>
      <c r="AM1190">
        <v>623</v>
      </c>
      <c r="AN1190">
        <v>44</v>
      </c>
      <c r="AO1190" t="s">
        <v>78</v>
      </c>
      <c r="AP1190">
        <v>1</v>
      </c>
      <c r="AR1190" s="2" t="s">
        <v>1277</v>
      </c>
      <c r="AS1190" s="1">
        <v>44354.027777777781</v>
      </c>
      <c r="AT1190" s="1">
        <v>44354.035497685189</v>
      </c>
      <c r="AU1190" s="1">
        <v>44354.035960648151</v>
      </c>
      <c r="AV1190" t="s">
        <v>71</v>
      </c>
      <c r="AW1190" t="s">
        <v>72</v>
      </c>
      <c r="AX1190" t="s">
        <v>73</v>
      </c>
    </row>
    <row r="1191" spans="1:50" x14ac:dyDescent="0.3">
      <c r="A1191" t="str">
        <f>"200203C0200"</f>
        <v>200203C0200</v>
      </c>
      <c r="B1191" t="str">
        <f>"200203C02002"</f>
        <v>200203C02002</v>
      </c>
      <c r="C1191" t="str">
        <f t="shared" si="52"/>
        <v>20</v>
      </c>
      <c r="D1191" t="s">
        <v>67</v>
      </c>
      <c r="E1191" t="str">
        <f t="shared" si="53"/>
        <v>006</v>
      </c>
      <c r="F1191" t="s">
        <v>1254</v>
      </c>
      <c r="G1191" t="str">
        <f>"0203"</f>
        <v>0203</v>
      </c>
      <c r="H1191" t="str">
        <f>"0002"</f>
        <v>0002</v>
      </c>
      <c r="I1191" t="s">
        <v>75</v>
      </c>
      <c r="J1191">
        <v>0</v>
      </c>
      <c r="K1191">
        <v>1</v>
      </c>
      <c r="L1191">
        <v>2</v>
      </c>
      <c r="M1191">
        <v>344</v>
      </c>
      <c r="N1191">
        <v>323</v>
      </c>
      <c r="O1191">
        <v>3</v>
      </c>
      <c r="P1191">
        <v>323</v>
      </c>
      <c r="Q1191">
        <v>39</v>
      </c>
      <c r="R1191">
        <v>29</v>
      </c>
      <c r="S1191">
        <v>3</v>
      </c>
      <c r="T1191">
        <v>20</v>
      </c>
      <c r="U1191">
        <v>28</v>
      </c>
      <c r="V1191">
        <v>5</v>
      </c>
      <c r="W1191">
        <v>0</v>
      </c>
      <c r="X1191">
        <v>158</v>
      </c>
      <c r="Y1191">
        <v>12</v>
      </c>
      <c r="Z1191">
        <v>4</v>
      </c>
      <c r="AA1191">
        <v>7</v>
      </c>
      <c r="AB1191">
        <v>6</v>
      </c>
      <c r="AD1191">
        <v>1</v>
      </c>
      <c r="AE1191">
        <v>1</v>
      </c>
      <c r="AF1191">
        <v>0</v>
      </c>
      <c r="AG1191">
        <v>0</v>
      </c>
      <c r="AI1191">
        <v>0</v>
      </c>
      <c r="AJ1191">
        <v>10</v>
      </c>
      <c r="AK1191">
        <v>323</v>
      </c>
      <c r="AL1191">
        <v>323</v>
      </c>
      <c r="AM1191">
        <v>623</v>
      </c>
      <c r="AN1191">
        <v>44</v>
      </c>
      <c r="AP1191">
        <v>1</v>
      </c>
      <c r="AR1191" t="s">
        <v>1278</v>
      </c>
      <c r="AS1191" s="1">
        <v>44354.133333333331</v>
      </c>
      <c r="AT1191" s="1">
        <v>44354.136863425927</v>
      </c>
      <c r="AU1191" s="1">
        <v>44354.137476851851</v>
      </c>
      <c r="AV1191" t="s">
        <v>71</v>
      </c>
      <c r="AW1191" t="s">
        <v>72</v>
      </c>
      <c r="AX1191" t="s">
        <v>73</v>
      </c>
    </row>
    <row r="1192" spans="1:50" x14ac:dyDescent="0.3">
      <c r="A1192" t="str">
        <f>"200203C0300"</f>
        <v>200203C0300</v>
      </c>
      <c r="B1192" t="str">
        <f>"200203C03002"</f>
        <v>200203C03002</v>
      </c>
      <c r="C1192" t="str">
        <f t="shared" si="52"/>
        <v>20</v>
      </c>
      <c r="D1192" t="s">
        <v>67</v>
      </c>
      <c r="E1192" t="str">
        <f t="shared" si="53"/>
        <v>006</v>
      </c>
      <c r="F1192" t="s">
        <v>1254</v>
      </c>
      <c r="G1192" t="str">
        <f>"0203"</f>
        <v>0203</v>
      </c>
      <c r="H1192" t="str">
        <f>"0003"</f>
        <v>0003</v>
      </c>
      <c r="I1192" t="s">
        <v>75</v>
      </c>
      <c r="J1192">
        <v>0</v>
      </c>
      <c r="K1192">
        <v>1</v>
      </c>
      <c r="L1192">
        <v>2</v>
      </c>
      <c r="M1192">
        <v>340</v>
      </c>
      <c r="N1192">
        <v>327</v>
      </c>
      <c r="O1192">
        <v>2</v>
      </c>
      <c r="P1192">
        <v>327</v>
      </c>
      <c r="Q1192">
        <v>29</v>
      </c>
      <c r="R1192">
        <v>47</v>
      </c>
      <c r="S1192">
        <v>2</v>
      </c>
      <c r="T1192">
        <v>12</v>
      </c>
      <c r="U1192">
        <v>29</v>
      </c>
      <c r="V1192">
        <v>6</v>
      </c>
      <c r="W1192">
        <v>2</v>
      </c>
      <c r="X1192">
        <v>152</v>
      </c>
      <c r="Y1192">
        <v>22</v>
      </c>
      <c r="Z1192">
        <v>2</v>
      </c>
      <c r="AA1192">
        <v>6</v>
      </c>
      <c r="AB1192">
        <v>5</v>
      </c>
      <c r="AD1192">
        <v>3</v>
      </c>
      <c r="AE1192">
        <v>0</v>
      </c>
      <c r="AF1192">
        <v>0</v>
      </c>
      <c r="AG1192">
        <v>0</v>
      </c>
      <c r="AI1192">
        <v>0</v>
      </c>
      <c r="AJ1192">
        <v>10</v>
      </c>
      <c r="AK1192">
        <v>327</v>
      </c>
      <c r="AL1192">
        <v>327</v>
      </c>
      <c r="AM1192">
        <v>623</v>
      </c>
      <c r="AN1192">
        <v>44</v>
      </c>
      <c r="AP1192">
        <v>1</v>
      </c>
      <c r="AR1192" t="s">
        <v>1279</v>
      </c>
      <c r="AS1192" s="1">
        <v>44354.121527777781</v>
      </c>
      <c r="AT1192" s="1">
        <v>44354.123865740738</v>
      </c>
      <c r="AU1192" s="1">
        <v>44354.12431712963</v>
      </c>
      <c r="AV1192" t="s">
        <v>71</v>
      </c>
      <c r="AW1192" t="s">
        <v>72</v>
      </c>
      <c r="AX1192" t="s">
        <v>73</v>
      </c>
    </row>
    <row r="1193" spans="1:50" x14ac:dyDescent="0.3">
      <c r="A1193" t="str">
        <f>"200203C0400"</f>
        <v>200203C0400</v>
      </c>
      <c r="B1193" t="str">
        <f>"200203C04002"</f>
        <v>200203C04002</v>
      </c>
      <c r="C1193" t="str">
        <f t="shared" si="52"/>
        <v>20</v>
      </c>
      <c r="D1193" t="s">
        <v>67</v>
      </c>
      <c r="E1193" t="str">
        <f t="shared" si="53"/>
        <v>006</v>
      </c>
      <c r="F1193" t="s">
        <v>1254</v>
      </c>
      <c r="G1193" t="str">
        <f>"0203"</f>
        <v>0203</v>
      </c>
      <c r="H1193" t="str">
        <f>"0004"</f>
        <v>0004</v>
      </c>
      <c r="I1193" t="s">
        <v>75</v>
      </c>
      <c r="J1193">
        <v>0</v>
      </c>
      <c r="K1193">
        <v>1</v>
      </c>
      <c r="L1193">
        <v>2</v>
      </c>
      <c r="M1193">
        <v>364</v>
      </c>
      <c r="N1193">
        <v>303</v>
      </c>
      <c r="O1193">
        <v>7</v>
      </c>
      <c r="P1193" t="s">
        <v>80</v>
      </c>
      <c r="Q1193">
        <v>35</v>
      </c>
      <c r="R1193">
        <v>16</v>
      </c>
      <c r="S1193">
        <v>0</v>
      </c>
      <c r="T1193">
        <v>15</v>
      </c>
      <c r="U1193">
        <v>37</v>
      </c>
      <c r="V1193">
        <v>10</v>
      </c>
      <c r="W1193">
        <v>1</v>
      </c>
      <c r="X1193">
        <v>151</v>
      </c>
      <c r="Y1193">
        <v>15</v>
      </c>
      <c r="Z1193">
        <v>4</v>
      </c>
      <c r="AA1193">
        <v>9</v>
      </c>
      <c r="AB1193">
        <v>5</v>
      </c>
      <c r="AD1193">
        <v>0</v>
      </c>
      <c r="AE1193">
        <v>0</v>
      </c>
      <c r="AF1193">
        <v>0</v>
      </c>
      <c r="AG1193">
        <v>0</v>
      </c>
      <c r="AI1193">
        <v>0</v>
      </c>
      <c r="AJ1193">
        <v>5</v>
      </c>
      <c r="AK1193">
        <v>303</v>
      </c>
      <c r="AL1193">
        <v>303</v>
      </c>
      <c r="AM1193">
        <v>623</v>
      </c>
      <c r="AN1193">
        <v>44</v>
      </c>
      <c r="AP1193">
        <v>1</v>
      </c>
      <c r="AR1193" t="s">
        <v>1280</v>
      </c>
      <c r="AS1193" s="1">
        <v>44354.130555555559</v>
      </c>
      <c r="AT1193" s="1">
        <v>44354.136238425926</v>
      </c>
      <c r="AU1193" s="1">
        <v>44354.136932870373</v>
      </c>
      <c r="AV1193" t="s">
        <v>71</v>
      </c>
      <c r="AW1193" t="s">
        <v>72</v>
      </c>
      <c r="AX1193" t="s">
        <v>73</v>
      </c>
    </row>
    <row r="1194" spans="1:50" x14ac:dyDescent="0.3">
      <c r="A1194" t="str">
        <f>"200204B0000"</f>
        <v>200204B0000</v>
      </c>
      <c r="B1194" t="str">
        <f>"200204B00002"</f>
        <v>200204B00002</v>
      </c>
      <c r="C1194" t="str">
        <f t="shared" si="52"/>
        <v>20</v>
      </c>
      <c r="D1194" t="s">
        <v>67</v>
      </c>
      <c r="E1194" t="str">
        <f t="shared" si="53"/>
        <v>006</v>
      </c>
      <c r="F1194" t="s">
        <v>1254</v>
      </c>
      <c r="G1194" t="str">
        <f>"0204"</f>
        <v>0204</v>
      </c>
      <c r="H1194" t="str">
        <f>"0000"</f>
        <v>0000</v>
      </c>
      <c r="I1194" t="s">
        <v>69</v>
      </c>
      <c r="J1194">
        <v>0</v>
      </c>
      <c r="K1194">
        <v>1</v>
      </c>
      <c r="L1194">
        <v>2</v>
      </c>
      <c r="M1194">
        <v>272</v>
      </c>
      <c r="N1194">
        <v>313</v>
      </c>
      <c r="O1194">
        <v>7</v>
      </c>
      <c r="P1194">
        <v>313</v>
      </c>
      <c r="Q1194">
        <v>33</v>
      </c>
      <c r="R1194">
        <v>38</v>
      </c>
      <c r="S1194">
        <v>1</v>
      </c>
      <c r="T1194">
        <v>24</v>
      </c>
      <c r="U1194">
        <v>34</v>
      </c>
      <c r="V1194">
        <v>11</v>
      </c>
      <c r="W1194">
        <v>1</v>
      </c>
      <c r="X1194">
        <v>133</v>
      </c>
      <c r="Y1194">
        <v>9</v>
      </c>
      <c r="Z1194">
        <v>2</v>
      </c>
      <c r="AA1194">
        <v>5</v>
      </c>
      <c r="AB1194">
        <v>1</v>
      </c>
      <c r="AD1194">
        <v>0</v>
      </c>
      <c r="AE1194">
        <v>3</v>
      </c>
      <c r="AF1194">
        <v>0</v>
      </c>
      <c r="AG1194">
        <v>0</v>
      </c>
      <c r="AI1194">
        <v>0</v>
      </c>
      <c r="AJ1194">
        <v>18</v>
      </c>
      <c r="AK1194">
        <v>313</v>
      </c>
      <c r="AL1194">
        <v>313</v>
      </c>
      <c r="AM1194">
        <v>541</v>
      </c>
      <c r="AN1194">
        <v>44</v>
      </c>
      <c r="AP1194">
        <v>1</v>
      </c>
      <c r="AR1194" t="s">
        <v>1281</v>
      </c>
      <c r="AS1194" s="1">
        <v>44353.884525462963</v>
      </c>
      <c r="AT1194" s="1">
        <v>44353.887997685182</v>
      </c>
      <c r="AU1194" s="1">
        <v>44353.889861111114</v>
      </c>
      <c r="AV1194" t="s">
        <v>269</v>
      </c>
      <c r="AW1194" t="s">
        <v>270</v>
      </c>
      <c r="AX1194" t="s">
        <v>73</v>
      </c>
    </row>
    <row r="1195" spans="1:50" x14ac:dyDescent="0.3">
      <c r="A1195" t="str">
        <f>"200204C0100"</f>
        <v>200204C0100</v>
      </c>
      <c r="B1195" t="str">
        <f>"200204C01002"</f>
        <v>200204C01002</v>
      </c>
      <c r="C1195" t="str">
        <f t="shared" si="52"/>
        <v>20</v>
      </c>
      <c r="D1195" t="s">
        <v>67</v>
      </c>
      <c r="E1195" t="str">
        <f t="shared" si="53"/>
        <v>006</v>
      </c>
      <c r="F1195" t="s">
        <v>1254</v>
      </c>
      <c r="G1195" t="str">
        <f>"0204"</f>
        <v>0204</v>
      </c>
      <c r="H1195" t="str">
        <f>"0001"</f>
        <v>0001</v>
      </c>
      <c r="I1195" t="s">
        <v>75</v>
      </c>
      <c r="J1195">
        <v>0</v>
      </c>
      <c r="K1195">
        <v>1</v>
      </c>
      <c r="L1195">
        <v>2</v>
      </c>
      <c r="M1195" t="s">
        <v>80</v>
      </c>
      <c r="N1195" t="s">
        <v>80</v>
      </c>
      <c r="O1195" t="s">
        <v>80</v>
      </c>
      <c r="P1195" t="s">
        <v>80</v>
      </c>
      <c r="Q1195">
        <v>34</v>
      </c>
      <c r="R1195">
        <v>23</v>
      </c>
      <c r="S1195">
        <v>1</v>
      </c>
      <c r="T1195">
        <v>20</v>
      </c>
      <c r="U1195">
        <v>43</v>
      </c>
      <c r="V1195">
        <v>9</v>
      </c>
      <c r="W1195">
        <v>1</v>
      </c>
      <c r="X1195">
        <v>110</v>
      </c>
      <c r="Y1195">
        <v>16</v>
      </c>
      <c r="Z1195">
        <v>3</v>
      </c>
      <c r="AA1195">
        <v>9</v>
      </c>
      <c r="AB1195">
        <v>3</v>
      </c>
      <c r="AD1195">
        <v>0</v>
      </c>
      <c r="AE1195">
        <v>3</v>
      </c>
      <c r="AF1195">
        <v>0</v>
      </c>
      <c r="AG1195">
        <v>0</v>
      </c>
      <c r="AI1195">
        <v>0</v>
      </c>
      <c r="AJ1195">
        <v>5</v>
      </c>
      <c r="AK1195">
        <v>280</v>
      </c>
      <c r="AL1195">
        <v>280</v>
      </c>
      <c r="AM1195">
        <v>540</v>
      </c>
      <c r="AN1195">
        <v>44</v>
      </c>
      <c r="AP1195">
        <v>1</v>
      </c>
      <c r="AR1195" t="s">
        <v>1282</v>
      </c>
      <c r="AS1195" s="1">
        <v>44353.955555555556</v>
      </c>
      <c r="AT1195" s="1">
        <v>44353.958807870367</v>
      </c>
      <c r="AU1195" s="1">
        <v>44353.959826388891</v>
      </c>
      <c r="AV1195" t="s">
        <v>71</v>
      </c>
      <c r="AW1195" t="s">
        <v>72</v>
      </c>
      <c r="AX1195" t="s">
        <v>73</v>
      </c>
    </row>
    <row r="1196" spans="1:50" x14ac:dyDescent="0.3">
      <c r="A1196" t="str">
        <f>"200204C0200"</f>
        <v>200204C0200</v>
      </c>
      <c r="B1196" t="str">
        <f>"200204C02002"</f>
        <v>200204C02002</v>
      </c>
      <c r="C1196" t="str">
        <f t="shared" si="52"/>
        <v>20</v>
      </c>
      <c r="D1196" t="s">
        <v>67</v>
      </c>
      <c r="E1196" t="str">
        <f t="shared" si="53"/>
        <v>006</v>
      </c>
      <c r="F1196" t="s">
        <v>1254</v>
      </c>
      <c r="G1196" t="str">
        <f>"0204"</f>
        <v>0204</v>
      </c>
      <c r="H1196" t="str">
        <f>"0002"</f>
        <v>0002</v>
      </c>
      <c r="I1196" t="s">
        <v>75</v>
      </c>
      <c r="J1196">
        <v>0</v>
      </c>
      <c r="K1196">
        <v>1</v>
      </c>
      <c r="L1196">
        <v>2</v>
      </c>
      <c r="M1196">
        <v>274</v>
      </c>
      <c r="N1196">
        <v>310</v>
      </c>
      <c r="O1196">
        <v>4</v>
      </c>
      <c r="P1196">
        <v>310</v>
      </c>
      <c r="Q1196">
        <v>40</v>
      </c>
      <c r="R1196">
        <v>24</v>
      </c>
      <c r="S1196">
        <v>1</v>
      </c>
      <c r="T1196">
        <v>14</v>
      </c>
      <c r="U1196">
        <v>45</v>
      </c>
      <c r="V1196">
        <v>14</v>
      </c>
      <c r="W1196">
        <v>1</v>
      </c>
      <c r="X1196">
        <v>126</v>
      </c>
      <c r="Y1196">
        <v>15</v>
      </c>
      <c r="Z1196">
        <v>2</v>
      </c>
      <c r="AA1196">
        <v>13</v>
      </c>
      <c r="AB1196">
        <v>4</v>
      </c>
      <c r="AD1196">
        <v>2</v>
      </c>
      <c r="AE1196">
        <v>1</v>
      </c>
      <c r="AF1196">
        <v>0</v>
      </c>
      <c r="AG1196">
        <v>0</v>
      </c>
      <c r="AI1196">
        <v>0</v>
      </c>
      <c r="AJ1196">
        <v>8</v>
      </c>
      <c r="AK1196">
        <v>310</v>
      </c>
      <c r="AL1196">
        <v>310</v>
      </c>
      <c r="AM1196">
        <v>540</v>
      </c>
      <c r="AN1196">
        <v>44</v>
      </c>
      <c r="AP1196">
        <v>1</v>
      </c>
      <c r="AR1196" t="s">
        <v>1283</v>
      </c>
      <c r="AS1196" s="1">
        <v>44353.887604166666</v>
      </c>
      <c r="AT1196" s="1">
        <v>44353.889756944445</v>
      </c>
      <c r="AU1196" s="1">
        <v>44353.8905787037</v>
      </c>
      <c r="AV1196" t="s">
        <v>269</v>
      </c>
      <c r="AW1196" t="s">
        <v>270</v>
      </c>
      <c r="AX1196" t="s">
        <v>73</v>
      </c>
    </row>
    <row r="1197" spans="1:50" x14ac:dyDescent="0.3">
      <c r="A1197" t="str">
        <f>"200204E0100"</f>
        <v>200204E0100</v>
      </c>
      <c r="B1197" t="str">
        <f>"200204E01002"</f>
        <v>200204E01002</v>
      </c>
      <c r="C1197" t="str">
        <f t="shared" si="52"/>
        <v>20</v>
      </c>
      <c r="D1197" t="s">
        <v>67</v>
      </c>
      <c r="E1197" t="str">
        <f t="shared" si="53"/>
        <v>006</v>
      </c>
      <c r="F1197" t="s">
        <v>1254</v>
      </c>
      <c r="G1197" t="str">
        <f>"0204"</f>
        <v>0204</v>
      </c>
      <c r="H1197" t="str">
        <f>"0001"</f>
        <v>0001</v>
      </c>
      <c r="I1197" t="s">
        <v>109</v>
      </c>
      <c r="J1197">
        <v>0</v>
      </c>
      <c r="K1197">
        <v>1</v>
      </c>
      <c r="L1197">
        <v>2</v>
      </c>
      <c r="M1197">
        <v>217</v>
      </c>
      <c r="N1197">
        <v>255</v>
      </c>
      <c r="O1197">
        <v>3</v>
      </c>
      <c r="P1197">
        <v>255</v>
      </c>
      <c r="Q1197">
        <v>33</v>
      </c>
      <c r="R1197">
        <v>26</v>
      </c>
      <c r="S1197">
        <v>1</v>
      </c>
      <c r="T1197">
        <v>25</v>
      </c>
      <c r="U1197">
        <v>23</v>
      </c>
      <c r="V1197">
        <v>8</v>
      </c>
      <c r="W1197">
        <v>2</v>
      </c>
      <c r="X1197">
        <v>93</v>
      </c>
      <c r="Y1197">
        <v>24</v>
      </c>
      <c r="Z1197">
        <v>1</v>
      </c>
      <c r="AA1197">
        <v>11</v>
      </c>
      <c r="AB1197">
        <v>3</v>
      </c>
      <c r="AD1197">
        <v>0</v>
      </c>
      <c r="AE1197">
        <v>0</v>
      </c>
      <c r="AF1197">
        <v>1</v>
      </c>
      <c r="AG1197">
        <v>0</v>
      </c>
      <c r="AI1197">
        <v>0</v>
      </c>
      <c r="AJ1197">
        <v>4</v>
      </c>
      <c r="AK1197">
        <v>255</v>
      </c>
      <c r="AL1197">
        <v>255</v>
      </c>
      <c r="AM1197">
        <v>428</v>
      </c>
      <c r="AN1197">
        <v>44</v>
      </c>
      <c r="AP1197">
        <v>1</v>
      </c>
      <c r="AR1197" t="s">
        <v>1284</v>
      </c>
      <c r="AS1197" s="1">
        <v>44353.937604166669</v>
      </c>
      <c r="AT1197" s="1">
        <v>44353.939097222225</v>
      </c>
      <c r="AU1197" s="1">
        <v>44353.93986111111</v>
      </c>
      <c r="AV1197" t="s">
        <v>269</v>
      </c>
      <c r="AW1197" t="s">
        <v>270</v>
      </c>
      <c r="AX1197" t="s">
        <v>73</v>
      </c>
    </row>
    <row r="1198" spans="1:50" x14ac:dyDescent="0.3">
      <c r="A1198" t="str">
        <f>"200204E0101"</f>
        <v>200204E0101</v>
      </c>
      <c r="B1198" t="str">
        <f>"200204E01012"</f>
        <v>200204E01012</v>
      </c>
      <c r="C1198" t="str">
        <f t="shared" si="52"/>
        <v>20</v>
      </c>
      <c r="D1198" t="s">
        <v>67</v>
      </c>
      <c r="E1198" t="str">
        <f t="shared" si="53"/>
        <v>006</v>
      </c>
      <c r="F1198" t="s">
        <v>1254</v>
      </c>
      <c r="G1198" t="str">
        <f>"0204"</f>
        <v>0204</v>
      </c>
      <c r="H1198" t="str">
        <f>"0001"</f>
        <v>0001</v>
      </c>
      <c r="I1198" t="s">
        <v>109</v>
      </c>
      <c r="J1198">
        <v>1</v>
      </c>
      <c r="K1198">
        <v>1</v>
      </c>
      <c r="L1198">
        <v>2</v>
      </c>
      <c r="M1198">
        <v>217</v>
      </c>
      <c r="N1198">
        <v>255</v>
      </c>
      <c r="O1198">
        <v>3</v>
      </c>
      <c r="P1198">
        <v>255</v>
      </c>
      <c r="Q1198">
        <v>33</v>
      </c>
      <c r="R1198">
        <v>26</v>
      </c>
      <c r="S1198">
        <v>1</v>
      </c>
      <c r="T1198">
        <v>25</v>
      </c>
      <c r="U1198">
        <v>23</v>
      </c>
      <c r="V1198">
        <v>8</v>
      </c>
      <c r="W1198">
        <v>2</v>
      </c>
      <c r="X1198">
        <v>93</v>
      </c>
      <c r="Y1198">
        <v>24</v>
      </c>
      <c r="Z1198">
        <v>1</v>
      </c>
      <c r="AA1198">
        <v>11</v>
      </c>
      <c r="AB1198">
        <v>3</v>
      </c>
      <c r="AD1198">
        <v>0</v>
      </c>
      <c r="AE1198">
        <v>0</v>
      </c>
      <c r="AF1198">
        <v>1</v>
      </c>
      <c r="AG1198">
        <v>0</v>
      </c>
      <c r="AI1198">
        <v>0</v>
      </c>
      <c r="AJ1198">
        <v>4</v>
      </c>
      <c r="AK1198">
        <v>255</v>
      </c>
      <c r="AL1198">
        <v>255</v>
      </c>
      <c r="AM1198">
        <v>428</v>
      </c>
      <c r="AN1198">
        <v>44</v>
      </c>
      <c r="AP1198">
        <v>1</v>
      </c>
      <c r="AR1198" t="s">
        <v>1285</v>
      </c>
      <c r="AS1198" s="1">
        <v>44354.005555555559</v>
      </c>
      <c r="AT1198" s="1">
        <v>44354.694907407407</v>
      </c>
      <c r="AU1198" s="1">
        <v>44354.695787037039</v>
      </c>
      <c r="AV1198" t="s">
        <v>71</v>
      </c>
      <c r="AW1198" t="s">
        <v>72</v>
      </c>
      <c r="AX1198" t="s">
        <v>73</v>
      </c>
    </row>
    <row r="1199" spans="1:50" x14ac:dyDescent="0.3">
      <c r="A1199" t="str">
        <f>"200205B0000"</f>
        <v>200205B0000</v>
      </c>
      <c r="B1199" t="str">
        <f>"200205B00002"</f>
        <v>200205B00002</v>
      </c>
      <c r="C1199" t="str">
        <f t="shared" si="52"/>
        <v>20</v>
      </c>
      <c r="D1199" t="s">
        <v>67</v>
      </c>
      <c r="E1199" t="str">
        <f t="shared" si="53"/>
        <v>006</v>
      </c>
      <c r="F1199" t="s">
        <v>1254</v>
      </c>
      <c r="G1199" t="str">
        <f>"0205"</f>
        <v>0205</v>
      </c>
      <c r="H1199" t="str">
        <f>"0000"</f>
        <v>0000</v>
      </c>
      <c r="I1199" t="s">
        <v>69</v>
      </c>
      <c r="J1199">
        <v>0</v>
      </c>
      <c r="K1199">
        <v>1</v>
      </c>
      <c r="L1199">
        <v>2</v>
      </c>
      <c r="M1199">
        <v>302</v>
      </c>
      <c r="N1199">
        <v>325</v>
      </c>
      <c r="O1199">
        <v>2</v>
      </c>
      <c r="P1199">
        <v>325</v>
      </c>
      <c r="Q1199">
        <v>42</v>
      </c>
      <c r="R1199">
        <v>19</v>
      </c>
      <c r="S1199">
        <v>3</v>
      </c>
      <c r="T1199">
        <v>24</v>
      </c>
      <c r="U1199">
        <v>44</v>
      </c>
      <c r="V1199">
        <v>8</v>
      </c>
      <c r="W1199">
        <v>1</v>
      </c>
      <c r="X1199">
        <v>150</v>
      </c>
      <c r="Y1199">
        <v>10</v>
      </c>
      <c r="Z1199">
        <v>5</v>
      </c>
      <c r="AA1199">
        <v>5</v>
      </c>
      <c r="AB1199">
        <v>5</v>
      </c>
      <c r="AD1199">
        <v>0</v>
      </c>
      <c r="AE1199">
        <v>0</v>
      </c>
      <c r="AF1199">
        <v>0</v>
      </c>
      <c r="AG1199">
        <v>0</v>
      </c>
      <c r="AI1199">
        <v>0</v>
      </c>
      <c r="AJ1199">
        <v>9</v>
      </c>
      <c r="AK1199">
        <v>325</v>
      </c>
      <c r="AL1199">
        <v>325</v>
      </c>
      <c r="AM1199">
        <v>583</v>
      </c>
      <c r="AN1199">
        <v>44</v>
      </c>
      <c r="AP1199">
        <v>1</v>
      </c>
      <c r="AR1199" t="s">
        <v>1286</v>
      </c>
      <c r="AS1199" s="1">
        <v>44354.002083333333</v>
      </c>
      <c r="AT1199" s="1">
        <v>44354.009733796294</v>
      </c>
      <c r="AU1199" s="1">
        <v>44354.010439814818</v>
      </c>
      <c r="AV1199" t="s">
        <v>71</v>
      </c>
      <c r="AW1199" t="s">
        <v>72</v>
      </c>
      <c r="AX1199" t="s">
        <v>73</v>
      </c>
    </row>
    <row r="1200" spans="1:50" x14ac:dyDescent="0.3">
      <c r="A1200" t="str">
        <f>"200205C0100"</f>
        <v>200205C0100</v>
      </c>
      <c r="B1200" t="str">
        <f>"200205C01002"</f>
        <v>200205C01002</v>
      </c>
      <c r="C1200" t="str">
        <f t="shared" si="52"/>
        <v>20</v>
      </c>
      <c r="D1200" t="s">
        <v>67</v>
      </c>
      <c r="E1200" t="str">
        <f t="shared" si="53"/>
        <v>006</v>
      </c>
      <c r="F1200" t="s">
        <v>1254</v>
      </c>
      <c r="G1200" t="str">
        <f>"0205"</f>
        <v>0205</v>
      </c>
      <c r="H1200" t="str">
        <f>"0001"</f>
        <v>0001</v>
      </c>
      <c r="I1200" t="s">
        <v>75</v>
      </c>
      <c r="J1200">
        <v>0</v>
      </c>
      <c r="K1200">
        <v>1</v>
      </c>
      <c r="L1200">
        <v>2</v>
      </c>
      <c r="M1200">
        <v>326</v>
      </c>
      <c r="N1200">
        <v>301</v>
      </c>
      <c r="O1200">
        <v>3</v>
      </c>
      <c r="P1200">
        <v>301</v>
      </c>
      <c r="Q1200">
        <v>26</v>
      </c>
      <c r="R1200">
        <v>21</v>
      </c>
      <c r="S1200">
        <v>0</v>
      </c>
      <c r="T1200">
        <v>23</v>
      </c>
      <c r="U1200">
        <v>29</v>
      </c>
      <c r="V1200">
        <v>10</v>
      </c>
      <c r="W1200">
        <v>3</v>
      </c>
      <c r="X1200">
        <v>130</v>
      </c>
      <c r="Y1200">
        <v>25</v>
      </c>
      <c r="Z1200">
        <v>2</v>
      </c>
      <c r="AA1200">
        <v>7</v>
      </c>
      <c r="AB1200">
        <v>10</v>
      </c>
      <c r="AD1200">
        <v>2</v>
      </c>
      <c r="AE1200">
        <v>2</v>
      </c>
      <c r="AF1200">
        <v>0</v>
      </c>
      <c r="AG1200">
        <v>0</v>
      </c>
      <c r="AI1200">
        <v>0</v>
      </c>
      <c r="AJ1200">
        <v>11</v>
      </c>
      <c r="AK1200">
        <v>301</v>
      </c>
      <c r="AL1200">
        <v>301</v>
      </c>
      <c r="AM1200">
        <v>583</v>
      </c>
      <c r="AN1200">
        <v>44</v>
      </c>
      <c r="AP1200">
        <v>1</v>
      </c>
      <c r="AR1200" t="s">
        <v>1287</v>
      </c>
      <c r="AS1200" s="1">
        <v>44354.006249999999</v>
      </c>
      <c r="AT1200" s="1">
        <v>44354.012511574074</v>
      </c>
      <c r="AU1200" s="1">
        <v>44354.013206018521</v>
      </c>
      <c r="AV1200" t="s">
        <v>71</v>
      </c>
      <c r="AW1200" t="s">
        <v>72</v>
      </c>
      <c r="AX1200" t="s">
        <v>73</v>
      </c>
    </row>
    <row r="1201" spans="1:50" x14ac:dyDescent="0.3">
      <c r="A1201" t="str">
        <f>"200205C0200"</f>
        <v>200205C0200</v>
      </c>
      <c r="B1201" t="str">
        <f>"200205C02002"</f>
        <v>200205C02002</v>
      </c>
      <c r="C1201" t="str">
        <f t="shared" si="52"/>
        <v>20</v>
      </c>
      <c r="D1201" t="s">
        <v>67</v>
      </c>
      <c r="E1201" t="str">
        <f t="shared" si="53"/>
        <v>006</v>
      </c>
      <c r="F1201" t="s">
        <v>1254</v>
      </c>
      <c r="G1201" t="str">
        <f>"0205"</f>
        <v>0205</v>
      </c>
      <c r="H1201" t="str">
        <f>"0002"</f>
        <v>0002</v>
      </c>
      <c r="I1201" t="s">
        <v>75</v>
      </c>
      <c r="J1201">
        <v>0</v>
      </c>
      <c r="K1201">
        <v>1</v>
      </c>
      <c r="L1201">
        <v>2</v>
      </c>
      <c r="M1201">
        <v>338</v>
      </c>
      <c r="N1201">
        <v>288</v>
      </c>
      <c r="O1201">
        <v>7</v>
      </c>
      <c r="P1201">
        <v>288</v>
      </c>
      <c r="Q1201">
        <v>27</v>
      </c>
      <c r="R1201">
        <v>17</v>
      </c>
      <c r="S1201">
        <v>3</v>
      </c>
      <c r="T1201">
        <v>26</v>
      </c>
      <c r="U1201">
        <v>37</v>
      </c>
      <c r="V1201">
        <v>12</v>
      </c>
      <c r="W1201">
        <v>6</v>
      </c>
      <c r="X1201">
        <v>117</v>
      </c>
      <c r="Y1201">
        <v>16</v>
      </c>
      <c r="Z1201">
        <v>2</v>
      </c>
      <c r="AA1201">
        <v>6</v>
      </c>
      <c r="AB1201">
        <v>13</v>
      </c>
      <c r="AD1201">
        <v>1</v>
      </c>
      <c r="AE1201">
        <v>0</v>
      </c>
      <c r="AF1201">
        <v>0</v>
      </c>
      <c r="AG1201">
        <v>0</v>
      </c>
      <c r="AI1201">
        <v>0</v>
      </c>
      <c r="AJ1201">
        <v>5</v>
      </c>
      <c r="AK1201">
        <v>288</v>
      </c>
      <c r="AL1201">
        <v>288</v>
      </c>
      <c r="AM1201">
        <v>582</v>
      </c>
      <c r="AN1201">
        <v>44</v>
      </c>
      <c r="AP1201">
        <v>1</v>
      </c>
      <c r="AR1201" t="s">
        <v>1288</v>
      </c>
      <c r="AS1201" s="1">
        <v>44354.004166666666</v>
      </c>
      <c r="AT1201" s="1">
        <v>44354.010335648149</v>
      </c>
      <c r="AU1201" s="1">
        <v>44354.01090277778</v>
      </c>
      <c r="AV1201" t="s">
        <v>71</v>
      </c>
      <c r="AW1201" t="s">
        <v>72</v>
      </c>
      <c r="AX1201" t="s">
        <v>73</v>
      </c>
    </row>
    <row r="1202" spans="1:50" x14ac:dyDescent="0.3">
      <c r="A1202" t="str">
        <f>"200206B0000"</f>
        <v>200206B0000</v>
      </c>
      <c r="B1202" t="str">
        <f>"200206B00002"</f>
        <v>200206B00002</v>
      </c>
      <c r="C1202" t="str">
        <f t="shared" si="52"/>
        <v>20</v>
      </c>
      <c r="D1202" t="s">
        <v>67</v>
      </c>
      <c r="E1202" t="str">
        <f t="shared" si="53"/>
        <v>006</v>
      </c>
      <c r="F1202" t="s">
        <v>1254</v>
      </c>
      <c r="G1202" t="str">
        <f>"0206"</f>
        <v>0206</v>
      </c>
      <c r="H1202" t="str">
        <f>"0000"</f>
        <v>0000</v>
      </c>
      <c r="I1202" t="s">
        <v>69</v>
      </c>
      <c r="J1202">
        <v>0</v>
      </c>
      <c r="K1202">
        <v>1</v>
      </c>
      <c r="L1202">
        <v>2</v>
      </c>
      <c r="M1202">
        <v>332</v>
      </c>
      <c r="N1202">
        <v>292</v>
      </c>
      <c r="O1202">
        <v>2</v>
      </c>
      <c r="P1202">
        <v>293</v>
      </c>
      <c r="Q1202">
        <v>58</v>
      </c>
      <c r="R1202">
        <v>31</v>
      </c>
      <c r="S1202">
        <v>1</v>
      </c>
      <c r="T1202">
        <v>9</v>
      </c>
      <c r="U1202">
        <v>32</v>
      </c>
      <c r="V1202">
        <v>4</v>
      </c>
      <c r="W1202">
        <v>1</v>
      </c>
      <c r="X1202">
        <v>114</v>
      </c>
      <c r="Y1202">
        <v>9</v>
      </c>
      <c r="Z1202">
        <v>0</v>
      </c>
      <c r="AA1202">
        <v>16</v>
      </c>
      <c r="AB1202">
        <v>6</v>
      </c>
      <c r="AD1202">
        <v>0</v>
      </c>
      <c r="AE1202">
        <v>0</v>
      </c>
      <c r="AF1202">
        <v>0</v>
      </c>
      <c r="AG1202">
        <v>0</v>
      </c>
      <c r="AI1202">
        <v>0</v>
      </c>
      <c r="AJ1202">
        <v>12</v>
      </c>
      <c r="AK1202">
        <v>293</v>
      </c>
      <c r="AL1202">
        <v>293</v>
      </c>
      <c r="AM1202">
        <v>580</v>
      </c>
      <c r="AN1202">
        <v>44</v>
      </c>
      <c r="AP1202">
        <v>1</v>
      </c>
      <c r="AR1202" t="s">
        <v>1289</v>
      </c>
      <c r="AS1202" s="1">
        <v>44354.042361111111</v>
      </c>
      <c r="AT1202" s="1">
        <v>44354.05232638889</v>
      </c>
      <c r="AU1202" s="1">
        <v>44354.05269675926</v>
      </c>
      <c r="AV1202" t="s">
        <v>71</v>
      </c>
      <c r="AW1202" t="s">
        <v>72</v>
      </c>
      <c r="AX1202" t="s">
        <v>73</v>
      </c>
    </row>
    <row r="1203" spans="1:50" x14ac:dyDescent="0.3">
      <c r="A1203" t="str">
        <f>"200206C0100"</f>
        <v>200206C0100</v>
      </c>
      <c r="B1203" t="str">
        <f>"200206C01002"</f>
        <v>200206C01002</v>
      </c>
      <c r="C1203" t="str">
        <f t="shared" si="52"/>
        <v>20</v>
      </c>
      <c r="D1203" t="s">
        <v>67</v>
      </c>
      <c r="E1203" t="str">
        <f t="shared" si="53"/>
        <v>006</v>
      </c>
      <c r="F1203" t="s">
        <v>1254</v>
      </c>
      <c r="G1203" t="str">
        <f>"0206"</f>
        <v>0206</v>
      </c>
      <c r="H1203" t="str">
        <f>"0001"</f>
        <v>0001</v>
      </c>
      <c r="I1203" t="s">
        <v>75</v>
      </c>
      <c r="J1203">
        <v>0</v>
      </c>
      <c r="K1203">
        <v>1</v>
      </c>
      <c r="L1203">
        <v>2</v>
      </c>
      <c r="M1203">
        <v>342</v>
      </c>
      <c r="N1203">
        <v>281</v>
      </c>
      <c r="O1203">
        <v>5</v>
      </c>
      <c r="P1203">
        <v>281</v>
      </c>
      <c r="Q1203">
        <v>56</v>
      </c>
      <c r="R1203">
        <v>19</v>
      </c>
      <c r="S1203">
        <v>3</v>
      </c>
      <c r="T1203">
        <v>17</v>
      </c>
      <c r="U1203">
        <v>35</v>
      </c>
      <c r="V1203">
        <v>5</v>
      </c>
      <c r="W1203">
        <v>3</v>
      </c>
      <c r="X1203">
        <v>100</v>
      </c>
      <c r="Y1203">
        <v>7</v>
      </c>
      <c r="Z1203">
        <v>1</v>
      </c>
      <c r="AA1203">
        <v>9</v>
      </c>
      <c r="AB1203">
        <v>14</v>
      </c>
      <c r="AD1203">
        <v>1</v>
      </c>
      <c r="AE1203">
        <v>4</v>
      </c>
      <c r="AF1203">
        <v>0</v>
      </c>
      <c r="AG1203">
        <v>1</v>
      </c>
      <c r="AI1203">
        <v>0</v>
      </c>
      <c r="AJ1203">
        <v>6</v>
      </c>
      <c r="AK1203">
        <v>281</v>
      </c>
      <c r="AL1203">
        <v>281</v>
      </c>
      <c r="AM1203">
        <v>579</v>
      </c>
      <c r="AN1203">
        <v>44</v>
      </c>
      <c r="AP1203">
        <v>1</v>
      </c>
      <c r="AR1203" t="s">
        <v>1290</v>
      </c>
      <c r="AS1203" s="1">
        <v>44353.956469907411</v>
      </c>
      <c r="AT1203" s="1">
        <v>44353.958993055552</v>
      </c>
      <c r="AU1203" s="1">
        <v>44353.959710648145</v>
      </c>
      <c r="AV1203" t="s">
        <v>269</v>
      </c>
      <c r="AW1203" t="s">
        <v>270</v>
      </c>
      <c r="AX1203" t="s">
        <v>73</v>
      </c>
    </row>
    <row r="1204" spans="1:50" x14ac:dyDescent="0.3">
      <c r="A1204" t="str">
        <f>"200206C0200"</f>
        <v>200206C0200</v>
      </c>
      <c r="B1204" t="str">
        <f>"200206C02002"</f>
        <v>200206C02002</v>
      </c>
      <c r="C1204" t="str">
        <f t="shared" si="52"/>
        <v>20</v>
      </c>
      <c r="D1204" t="s">
        <v>67</v>
      </c>
      <c r="E1204" t="str">
        <f t="shared" si="53"/>
        <v>006</v>
      </c>
      <c r="F1204" t="s">
        <v>1254</v>
      </c>
      <c r="G1204" t="str">
        <f>"0206"</f>
        <v>0206</v>
      </c>
      <c r="H1204" t="str">
        <f>"0002"</f>
        <v>0002</v>
      </c>
      <c r="I1204" t="s">
        <v>75</v>
      </c>
      <c r="J1204">
        <v>0</v>
      </c>
      <c r="K1204">
        <v>1</v>
      </c>
      <c r="L1204">
        <v>2</v>
      </c>
      <c r="M1204">
        <v>342</v>
      </c>
      <c r="N1204">
        <v>281</v>
      </c>
      <c r="O1204">
        <v>6</v>
      </c>
      <c r="P1204">
        <v>281</v>
      </c>
      <c r="Q1204">
        <v>50</v>
      </c>
      <c r="R1204">
        <v>14</v>
      </c>
      <c r="S1204">
        <v>2</v>
      </c>
      <c r="T1204">
        <v>25</v>
      </c>
      <c r="U1204">
        <v>37</v>
      </c>
      <c r="V1204">
        <v>9</v>
      </c>
      <c r="W1204">
        <v>2</v>
      </c>
      <c r="X1204">
        <v>103</v>
      </c>
      <c r="Y1204">
        <v>10</v>
      </c>
      <c r="Z1204">
        <v>1</v>
      </c>
      <c r="AA1204">
        <v>8</v>
      </c>
      <c r="AB1204">
        <v>10</v>
      </c>
      <c r="AD1204">
        <v>0</v>
      </c>
      <c r="AE1204">
        <v>0</v>
      </c>
      <c r="AF1204">
        <v>0</v>
      </c>
      <c r="AG1204">
        <v>0</v>
      </c>
      <c r="AI1204">
        <v>0</v>
      </c>
      <c r="AJ1204">
        <v>10</v>
      </c>
      <c r="AK1204">
        <v>281</v>
      </c>
      <c r="AL1204">
        <v>281</v>
      </c>
      <c r="AM1204">
        <v>579</v>
      </c>
      <c r="AN1204">
        <v>44</v>
      </c>
      <c r="AP1204">
        <v>1</v>
      </c>
      <c r="AR1204" t="s">
        <v>1291</v>
      </c>
      <c r="AS1204" s="1">
        <v>44354.041666666664</v>
      </c>
      <c r="AT1204" s="1">
        <v>44354.050717592596</v>
      </c>
      <c r="AU1204" s="1">
        <v>44354.051215277781</v>
      </c>
      <c r="AV1204" t="s">
        <v>71</v>
      </c>
      <c r="AW1204" t="s">
        <v>72</v>
      </c>
      <c r="AX1204" t="s">
        <v>73</v>
      </c>
    </row>
    <row r="1205" spans="1:50" x14ac:dyDescent="0.3">
      <c r="A1205" t="str">
        <f>"200206C0300"</f>
        <v>200206C0300</v>
      </c>
      <c r="B1205" t="str">
        <f>"200206C03002"</f>
        <v>200206C03002</v>
      </c>
      <c r="C1205" t="str">
        <f t="shared" si="52"/>
        <v>20</v>
      </c>
      <c r="D1205" t="s">
        <v>67</v>
      </c>
      <c r="E1205" t="str">
        <f t="shared" si="53"/>
        <v>006</v>
      </c>
      <c r="F1205" t="s">
        <v>1254</v>
      </c>
      <c r="G1205" t="str">
        <f>"0206"</f>
        <v>0206</v>
      </c>
      <c r="H1205" t="str">
        <f>"0003"</f>
        <v>0003</v>
      </c>
      <c r="I1205" t="s">
        <v>75</v>
      </c>
      <c r="J1205">
        <v>0</v>
      </c>
      <c r="K1205">
        <v>1</v>
      </c>
      <c r="L1205">
        <v>2</v>
      </c>
      <c r="M1205">
        <v>355</v>
      </c>
      <c r="N1205">
        <v>268</v>
      </c>
      <c r="O1205">
        <v>3</v>
      </c>
      <c r="P1205">
        <v>268</v>
      </c>
      <c r="Q1205">
        <v>35</v>
      </c>
      <c r="R1205">
        <v>24</v>
      </c>
      <c r="S1205">
        <v>2</v>
      </c>
      <c r="T1205">
        <v>30</v>
      </c>
      <c r="U1205">
        <v>29</v>
      </c>
      <c r="V1205">
        <v>7</v>
      </c>
      <c r="W1205">
        <v>1</v>
      </c>
      <c r="X1205">
        <v>98</v>
      </c>
      <c r="Y1205">
        <v>9</v>
      </c>
      <c r="Z1205">
        <v>4</v>
      </c>
      <c r="AA1205">
        <v>13</v>
      </c>
      <c r="AB1205">
        <v>4</v>
      </c>
      <c r="AD1205">
        <v>2</v>
      </c>
      <c r="AE1205">
        <v>1</v>
      </c>
      <c r="AF1205">
        <v>0</v>
      </c>
      <c r="AG1205">
        <v>0</v>
      </c>
      <c r="AI1205">
        <v>0</v>
      </c>
      <c r="AJ1205">
        <v>9</v>
      </c>
      <c r="AK1205">
        <v>268</v>
      </c>
      <c r="AL1205">
        <v>268</v>
      </c>
      <c r="AM1205">
        <v>579</v>
      </c>
      <c r="AN1205">
        <v>44</v>
      </c>
      <c r="AP1205">
        <v>1</v>
      </c>
      <c r="AR1205" t="s">
        <v>1292</v>
      </c>
      <c r="AS1205" s="1">
        <v>44353.951585648145</v>
      </c>
      <c r="AT1205" s="1">
        <v>44353.952881944446</v>
      </c>
      <c r="AU1205" s="1">
        <v>44353.953344907408</v>
      </c>
      <c r="AV1205" t="s">
        <v>269</v>
      </c>
      <c r="AW1205" t="s">
        <v>270</v>
      </c>
      <c r="AX1205" t="s">
        <v>73</v>
      </c>
    </row>
    <row r="1206" spans="1:50" x14ac:dyDescent="0.3">
      <c r="A1206" t="str">
        <f>"200207B0000"</f>
        <v>200207B0000</v>
      </c>
      <c r="B1206" t="str">
        <f>"200207B00002"</f>
        <v>200207B00002</v>
      </c>
      <c r="C1206" t="str">
        <f t="shared" si="52"/>
        <v>20</v>
      </c>
      <c r="D1206" t="s">
        <v>67</v>
      </c>
      <c r="E1206" t="str">
        <f t="shared" si="53"/>
        <v>006</v>
      </c>
      <c r="F1206" t="s">
        <v>1254</v>
      </c>
      <c r="G1206" t="str">
        <f>"0207"</f>
        <v>0207</v>
      </c>
      <c r="H1206" t="str">
        <f>"0000"</f>
        <v>0000</v>
      </c>
      <c r="I1206" t="s">
        <v>69</v>
      </c>
      <c r="J1206">
        <v>0</v>
      </c>
      <c r="K1206">
        <v>1</v>
      </c>
      <c r="L1206">
        <v>2</v>
      </c>
      <c r="M1206">
        <v>339</v>
      </c>
      <c r="N1206">
        <v>306</v>
      </c>
      <c r="O1206">
        <v>3</v>
      </c>
      <c r="P1206">
        <v>306</v>
      </c>
      <c r="Q1206">
        <v>58</v>
      </c>
      <c r="R1206">
        <v>30</v>
      </c>
      <c r="S1206">
        <v>2</v>
      </c>
      <c r="T1206">
        <v>34</v>
      </c>
      <c r="U1206">
        <v>24</v>
      </c>
      <c r="V1206">
        <v>10</v>
      </c>
      <c r="W1206">
        <v>3</v>
      </c>
      <c r="X1206">
        <v>101</v>
      </c>
      <c r="Y1206">
        <v>14</v>
      </c>
      <c r="Z1206">
        <v>0</v>
      </c>
      <c r="AA1206">
        <v>7</v>
      </c>
      <c r="AB1206">
        <v>8</v>
      </c>
      <c r="AD1206">
        <v>2</v>
      </c>
      <c r="AE1206">
        <v>2</v>
      </c>
      <c r="AF1206">
        <v>1</v>
      </c>
      <c r="AG1206">
        <v>0</v>
      </c>
      <c r="AI1206">
        <v>0</v>
      </c>
      <c r="AJ1206">
        <v>10</v>
      </c>
      <c r="AK1206">
        <v>306</v>
      </c>
      <c r="AL1206">
        <v>306</v>
      </c>
      <c r="AM1206">
        <v>601</v>
      </c>
      <c r="AN1206">
        <v>44</v>
      </c>
      <c r="AP1206">
        <v>1</v>
      </c>
      <c r="AR1206" t="s">
        <v>1293</v>
      </c>
      <c r="AS1206" s="1">
        <v>44353.912210648145</v>
      </c>
      <c r="AT1206" s="1">
        <v>44353.913576388892</v>
      </c>
      <c r="AU1206" s="1">
        <v>44353.914652777778</v>
      </c>
      <c r="AV1206" t="s">
        <v>269</v>
      </c>
      <c r="AW1206" t="s">
        <v>270</v>
      </c>
      <c r="AX1206" t="s">
        <v>73</v>
      </c>
    </row>
    <row r="1207" spans="1:50" x14ac:dyDescent="0.3">
      <c r="A1207" t="str">
        <f>"200207C0100"</f>
        <v>200207C0100</v>
      </c>
      <c r="B1207" t="str">
        <f>"200207C01002"</f>
        <v>200207C01002</v>
      </c>
      <c r="C1207" t="str">
        <f t="shared" si="52"/>
        <v>20</v>
      </c>
      <c r="D1207" t="s">
        <v>67</v>
      </c>
      <c r="E1207" t="str">
        <f t="shared" si="53"/>
        <v>006</v>
      </c>
      <c r="F1207" t="s">
        <v>1254</v>
      </c>
      <c r="G1207" t="str">
        <f>"0207"</f>
        <v>0207</v>
      </c>
      <c r="H1207" t="str">
        <f>"0001"</f>
        <v>0001</v>
      </c>
      <c r="I1207" t="s">
        <v>75</v>
      </c>
      <c r="J1207">
        <v>0</v>
      </c>
      <c r="K1207">
        <v>1</v>
      </c>
      <c r="L1207">
        <v>2</v>
      </c>
      <c r="M1207">
        <v>341</v>
      </c>
      <c r="N1207">
        <v>304</v>
      </c>
      <c r="O1207">
        <v>3</v>
      </c>
      <c r="P1207">
        <v>304</v>
      </c>
      <c r="Q1207">
        <v>46</v>
      </c>
      <c r="R1207">
        <v>41</v>
      </c>
      <c r="S1207">
        <v>2</v>
      </c>
      <c r="T1207">
        <v>36</v>
      </c>
      <c r="U1207">
        <v>19</v>
      </c>
      <c r="V1207">
        <v>5</v>
      </c>
      <c r="W1207">
        <v>1</v>
      </c>
      <c r="X1207">
        <v>115</v>
      </c>
      <c r="Y1207">
        <v>14</v>
      </c>
      <c r="Z1207">
        <v>1</v>
      </c>
      <c r="AA1207">
        <v>8</v>
      </c>
      <c r="AB1207">
        <v>5</v>
      </c>
      <c r="AD1207">
        <v>1</v>
      </c>
      <c r="AE1207">
        <v>0</v>
      </c>
      <c r="AF1207">
        <v>0</v>
      </c>
      <c r="AG1207">
        <v>0</v>
      </c>
      <c r="AI1207">
        <v>0</v>
      </c>
      <c r="AJ1207">
        <v>11</v>
      </c>
      <c r="AK1207">
        <v>305</v>
      </c>
      <c r="AL1207">
        <v>305</v>
      </c>
      <c r="AM1207">
        <v>601</v>
      </c>
      <c r="AN1207">
        <v>44</v>
      </c>
      <c r="AP1207">
        <v>1</v>
      </c>
      <c r="AR1207" t="s">
        <v>1294</v>
      </c>
      <c r="AS1207" s="1">
        <v>44353.990277777775</v>
      </c>
      <c r="AT1207" s="1">
        <v>44353.994849537034</v>
      </c>
      <c r="AU1207" s="1">
        <v>44353.995578703703</v>
      </c>
      <c r="AV1207" t="s">
        <v>71</v>
      </c>
      <c r="AW1207" t="s">
        <v>72</v>
      </c>
      <c r="AX1207" t="s">
        <v>73</v>
      </c>
    </row>
    <row r="1208" spans="1:50" x14ac:dyDescent="0.3">
      <c r="A1208" t="str">
        <f>"200207C0200"</f>
        <v>200207C0200</v>
      </c>
      <c r="B1208" t="str">
        <f>"200207C02002"</f>
        <v>200207C02002</v>
      </c>
      <c r="C1208" t="str">
        <f t="shared" si="52"/>
        <v>20</v>
      </c>
      <c r="D1208" t="s">
        <v>67</v>
      </c>
      <c r="E1208" t="str">
        <f t="shared" si="53"/>
        <v>006</v>
      </c>
      <c r="F1208" t="s">
        <v>1254</v>
      </c>
      <c r="G1208" t="str">
        <f>"0207"</f>
        <v>0207</v>
      </c>
      <c r="H1208" t="str">
        <f>"0002"</f>
        <v>0002</v>
      </c>
      <c r="I1208" t="s">
        <v>75</v>
      </c>
      <c r="J1208">
        <v>0</v>
      </c>
      <c r="K1208">
        <v>1</v>
      </c>
      <c r="L1208">
        <v>2</v>
      </c>
      <c r="M1208">
        <v>333</v>
      </c>
      <c r="N1208">
        <v>311</v>
      </c>
      <c r="O1208">
        <v>2</v>
      </c>
      <c r="P1208">
        <v>310</v>
      </c>
      <c r="Q1208">
        <v>36</v>
      </c>
      <c r="R1208">
        <v>43</v>
      </c>
      <c r="S1208">
        <v>5</v>
      </c>
      <c r="T1208">
        <v>34</v>
      </c>
      <c r="U1208">
        <v>13</v>
      </c>
      <c r="V1208">
        <v>0</v>
      </c>
      <c r="W1208">
        <v>5</v>
      </c>
      <c r="X1208">
        <v>124</v>
      </c>
      <c r="Y1208">
        <v>23</v>
      </c>
      <c r="Z1208">
        <v>1</v>
      </c>
      <c r="AA1208">
        <v>5</v>
      </c>
      <c r="AB1208">
        <v>4</v>
      </c>
      <c r="AD1208">
        <v>3</v>
      </c>
      <c r="AE1208">
        <v>2</v>
      </c>
      <c r="AF1208">
        <v>0</v>
      </c>
      <c r="AG1208">
        <v>0</v>
      </c>
      <c r="AI1208">
        <v>0</v>
      </c>
      <c r="AJ1208">
        <v>12</v>
      </c>
      <c r="AK1208">
        <v>310</v>
      </c>
      <c r="AL1208">
        <v>310</v>
      </c>
      <c r="AM1208">
        <v>600</v>
      </c>
      <c r="AN1208">
        <v>44</v>
      </c>
      <c r="AP1208">
        <v>1</v>
      </c>
      <c r="AR1208" t="s">
        <v>1295</v>
      </c>
      <c r="AS1208" s="1">
        <v>44353.989583333336</v>
      </c>
      <c r="AT1208" s="1">
        <v>44353.993344907409</v>
      </c>
      <c r="AU1208" s="1">
        <v>44353.993773148148</v>
      </c>
      <c r="AV1208" t="s">
        <v>71</v>
      </c>
      <c r="AW1208" t="s">
        <v>72</v>
      </c>
      <c r="AX1208" t="s">
        <v>73</v>
      </c>
    </row>
    <row r="1209" spans="1:50" x14ac:dyDescent="0.3">
      <c r="A1209" t="str">
        <f>"200207C0300"</f>
        <v>200207C0300</v>
      </c>
      <c r="B1209" t="str">
        <f>"200207C03002"</f>
        <v>200207C03002</v>
      </c>
      <c r="C1209" t="str">
        <f t="shared" si="52"/>
        <v>20</v>
      </c>
      <c r="D1209" t="s">
        <v>67</v>
      </c>
      <c r="E1209" t="str">
        <f t="shared" si="53"/>
        <v>006</v>
      </c>
      <c r="F1209" t="s">
        <v>1254</v>
      </c>
      <c r="G1209" t="str">
        <f>"0207"</f>
        <v>0207</v>
      </c>
      <c r="H1209" t="str">
        <f>"0003"</f>
        <v>0003</v>
      </c>
      <c r="I1209" t="s">
        <v>75</v>
      </c>
      <c r="J1209">
        <v>0</v>
      </c>
      <c r="K1209">
        <v>1</v>
      </c>
      <c r="L1209">
        <v>2</v>
      </c>
      <c r="M1209">
        <v>341</v>
      </c>
      <c r="N1209">
        <v>303</v>
      </c>
      <c r="O1209">
        <v>1</v>
      </c>
      <c r="P1209">
        <v>303</v>
      </c>
      <c r="Q1209">
        <v>57</v>
      </c>
      <c r="R1209">
        <v>33</v>
      </c>
      <c r="S1209">
        <v>4</v>
      </c>
      <c r="T1209">
        <v>36</v>
      </c>
      <c r="U1209">
        <v>16</v>
      </c>
      <c r="V1209">
        <v>5</v>
      </c>
      <c r="W1209">
        <v>0</v>
      </c>
      <c r="X1209">
        <v>114</v>
      </c>
      <c r="Y1209">
        <v>9</v>
      </c>
      <c r="Z1209">
        <v>1</v>
      </c>
      <c r="AA1209">
        <v>5</v>
      </c>
      <c r="AB1209">
        <v>4</v>
      </c>
      <c r="AD1209">
        <v>1</v>
      </c>
      <c r="AE1209">
        <v>3</v>
      </c>
      <c r="AF1209">
        <v>0</v>
      </c>
      <c r="AG1209">
        <v>0</v>
      </c>
      <c r="AI1209">
        <v>0</v>
      </c>
      <c r="AJ1209">
        <v>15</v>
      </c>
      <c r="AK1209">
        <v>303</v>
      </c>
      <c r="AL1209">
        <v>303</v>
      </c>
      <c r="AM1209">
        <v>600</v>
      </c>
      <c r="AN1209">
        <v>44</v>
      </c>
      <c r="AP1209">
        <v>1</v>
      </c>
      <c r="AR1209" t="s">
        <v>1296</v>
      </c>
      <c r="AS1209" s="1">
        <v>44353.897847222222</v>
      </c>
      <c r="AT1209" s="1">
        <v>44353.899247685185</v>
      </c>
      <c r="AU1209" s="1">
        <v>44353.899918981479</v>
      </c>
      <c r="AV1209" t="s">
        <v>269</v>
      </c>
      <c r="AW1209" t="s">
        <v>270</v>
      </c>
      <c r="AX1209" t="s">
        <v>73</v>
      </c>
    </row>
    <row r="1210" spans="1:50" x14ac:dyDescent="0.3">
      <c r="A1210" t="str">
        <f>"200208B0000"</f>
        <v>200208B0000</v>
      </c>
      <c r="B1210" t="str">
        <f>"200208B00002"</f>
        <v>200208B00002</v>
      </c>
      <c r="C1210" t="str">
        <f t="shared" si="52"/>
        <v>20</v>
      </c>
      <c r="D1210" t="s">
        <v>67</v>
      </c>
      <c r="E1210" t="str">
        <f t="shared" si="53"/>
        <v>006</v>
      </c>
      <c r="F1210" t="s">
        <v>1254</v>
      </c>
      <c r="G1210" t="str">
        <f>"0208"</f>
        <v>0208</v>
      </c>
      <c r="H1210" t="str">
        <f>"0000"</f>
        <v>0000</v>
      </c>
      <c r="I1210" t="s">
        <v>69</v>
      </c>
      <c r="J1210">
        <v>0</v>
      </c>
      <c r="K1210">
        <v>1</v>
      </c>
      <c r="L1210">
        <v>2</v>
      </c>
      <c r="M1210">
        <v>395</v>
      </c>
      <c r="N1210">
        <v>284</v>
      </c>
      <c r="O1210">
        <v>7</v>
      </c>
      <c r="P1210">
        <v>284</v>
      </c>
      <c r="Q1210">
        <v>29</v>
      </c>
      <c r="R1210">
        <v>32</v>
      </c>
      <c r="S1210">
        <v>1</v>
      </c>
      <c r="T1210">
        <v>41</v>
      </c>
      <c r="U1210">
        <v>26</v>
      </c>
      <c r="V1210">
        <v>9</v>
      </c>
      <c r="W1210">
        <v>3</v>
      </c>
      <c r="X1210">
        <v>88</v>
      </c>
      <c r="Y1210">
        <v>16</v>
      </c>
      <c r="Z1210">
        <v>3</v>
      </c>
      <c r="AA1210">
        <v>1</v>
      </c>
      <c r="AB1210">
        <v>12</v>
      </c>
      <c r="AD1210">
        <v>2</v>
      </c>
      <c r="AE1210">
        <v>1</v>
      </c>
      <c r="AF1210">
        <v>0</v>
      </c>
      <c r="AG1210">
        <v>0</v>
      </c>
      <c r="AI1210">
        <v>0</v>
      </c>
      <c r="AJ1210">
        <v>20</v>
      </c>
      <c r="AK1210">
        <v>284</v>
      </c>
      <c r="AL1210">
        <v>284</v>
      </c>
      <c r="AM1210">
        <v>635</v>
      </c>
      <c r="AN1210">
        <v>44</v>
      </c>
      <c r="AP1210">
        <v>1</v>
      </c>
      <c r="AR1210" s="2" t="s">
        <v>1297</v>
      </c>
      <c r="AS1210" s="1">
        <v>44354.068055555559</v>
      </c>
      <c r="AT1210" s="1">
        <v>44354.09710648148</v>
      </c>
      <c r="AU1210" s="1">
        <v>44354.100740740738</v>
      </c>
      <c r="AV1210" t="s">
        <v>71</v>
      </c>
      <c r="AW1210" t="s">
        <v>72</v>
      </c>
      <c r="AX1210" t="s">
        <v>73</v>
      </c>
    </row>
    <row r="1211" spans="1:50" x14ac:dyDescent="0.3">
      <c r="A1211" t="str">
        <f>"200208C0100"</f>
        <v>200208C0100</v>
      </c>
      <c r="B1211" t="str">
        <f>"200208C01002"</f>
        <v>200208C01002</v>
      </c>
      <c r="C1211" t="str">
        <f t="shared" si="52"/>
        <v>20</v>
      </c>
      <c r="D1211" t="s">
        <v>67</v>
      </c>
      <c r="E1211" t="str">
        <f t="shared" si="53"/>
        <v>006</v>
      </c>
      <c r="F1211" t="s">
        <v>1254</v>
      </c>
      <c r="G1211" t="str">
        <f>"0208"</f>
        <v>0208</v>
      </c>
      <c r="H1211" t="str">
        <f>"0001"</f>
        <v>0001</v>
      </c>
      <c r="I1211" t="s">
        <v>75</v>
      </c>
      <c r="J1211">
        <v>0</v>
      </c>
      <c r="K1211">
        <v>1</v>
      </c>
      <c r="L1211">
        <v>2</v>
      </c>
      <c r="M1211">
        <v>396</v>
      </c>
      <c r="N1211">
        <v>283</v>
      </c>
      <c r="O1211">
        <v>0</v>
      </c>
      <c r="P1211">
        <v>0</v>
      </c>
      <c r="Q1211">
        <v>23</v>
      </c>
      <c r="R1211">
        <v>26</v>
      </c>
      <c r="S1211">
        <v>0</v>
      </c>
      <c r="T1211">
        <v>25</v>
      </c>
      <c r="U1211">
        <v>27</v>
      </c>
      <c r="V1211">
        <v>3</v>
      </c>
      <c r="W1211">
        <v>3</v>
      </c>
      <c r="X1211">
        <v>128</v>
      </c>
      <c r="Y1211">
        <v>13</v>
      </c>
      <c r="Z1211">
        <v>1</v>
      </c>
      <c r="AA1211">
        <v>4</v>
      </c>
      <c r="AB1211">
        <v>14</v>
      </c>
      <c r="AD1211">
        <v>4</v>
      </c>
      <c r="AE1211">
        <v>5</v>
      </c>
      <c r="AF1211">
        <v>1</v>
      </c>
      <c r="AG1211">
        <v>1</v>
      </c>
      <c r="AI1211">
        <v>0</v>
      </c>
      <c r="AJ1211">
        <v>5</v>
      </c>
      <c r="AK1211">
        <v>283</v>
      </c>
      <c r="AL1211">
        <v>283</v>
      </c>
      <c r="AM1211">
        <v>635</v>
      </c>
      <c r="AN1211">
        <v>44</v>
      </c>
      <c r="AP1211">
        <v>1</v>
      </c>
      <c r="AR1211" t="s">
        <v>1298</v>
      </c>
      <c r="AS1211" s="1">
        <v>44353.989131944443</v>
      </c>
      <c r="AT1211" s="1">
        <v>44353.993032407408</v>
      </c>
      <c r="AU1211" s="1">
        <v>44353.993750000001</v>
      </c>
      <c r="AV1211" t="s">
        <v>269</v>
      </c>
      <c r="AW1211" t="s">
        <v>270</v>
      </c>
      <c r="AX1211" t="s">
        <v>73</v>
      </c>
    </row>
    <row r="1212" spans="1:50" x14ac:dyDescent="0.3">
      <c r="A1212" t="str">
        <f>"200208C0200"</f>
        <v>200208C0200</v>
      </c>
      <c r="B1212" t="str">
        <f>"200208C02002"</f>
        <v>200208C02002</v>
      </c>
      <c r="C1212" t="str">
        <f t="shared" si="52"/>
        <v>20</v>
      </c>
      <c r="D1212" t="s">
        <v>67</v>
      </c>
      <c r="E1212" t="str">
        <f t="shared" si="53"/>
        <v>006</v>
      </c>
      <c r="F1212" t="s">
        <v>1254</v>
      </c>
      <c r="G1212" t="str">
        <f>"0208"</f>
        <v>0208</v>
      </c>
      <c r="H1212" t="str">
        <f>"0002"</f>
        <v>0002</v>
      </c>
      <c r="I1212" t="s">
        <v>75</v>
      </c>
      <c r="J1212">
        <v>0</v>
      </c>
      <c r="K1212">
        <v>1</v>
      </c>
      <c r="L1212">
        <v>2</v>
      </c>
      <c r="M1212">
        <v>380</v>
      </c>
      <c r="N1212">
        <v>299</v>
      </c>
      <c r="O1212">
        <v>4</v>
      </c>
      <c r="P1212">
        <v>299</v>
      </c>
      <c r="Q1212">
        <v>24</v>
      </c>
      <c r="R1212">
        <v>40</v>
      </c>
      <c r="S1212">
        <v>3</v>
      </c>
      <c r="T1212">
        <v>30</v>
      </c>
      <c r="U1212">
        <v>39</v>
      </c>
      <c r="V1212">
        <v>1</v>
      </c>
      <c r="W1212">
        <v>7</v>
      </c>
      <c r="X1212">
        <v>102</v>
      </c>
      <c r="Y1212">
        <v>18</v>
      </c>
      <c r="Z1212">
        <v>5</v>
      </c>
      <c r="AA1212">
        <v>2</v>
      </c>
      <c r="AB1212">
        <v>7</v>
      </c>
      <c r="AD1212">
        <v>1</v>
      </c>
      <c r="AE1212">
        <v>6</v>
      </c>
      <c r="AF1212">
        <v>0</v>
      </c>
      <c r="AG1212">
        <v>0</v>
      </c>
      <c r="AI1212">
        <v>0</v>
      </c>
      <c r="AJ1212">
        <v>14</v>
      </c>
      <c r="AK1212">
        <v>299</v>
      </c>
      <c r="AL1212">
        <v>299</v>
      </c>
      <c r="AM1212">
        <v>635</v>
      </c>
      <c r="AN1212">
        <v>44</v>
      </c>
      <c r="AP1212">
        <v>1</v>
      </c>
      <c r="AR1212" t="s">
        <v>1299</v>
      </c>
      <c r="AS1212" s="1">
        <v>44353.94127314815</v>
      </c>
      <c r="AT1212" s="1">
        <v>44353.943460648145</v>
      </c>
      <c r="AU1212" s="1">
        <v>44353.943796296298</v>
      </c>
      <c r="AV1212" t="s">
        <v>269</v>
      </c>
      <c r="AW1212" t="s">
        <v>270</v>
      </c>
      <c r="AX1212" t="s">
        <v>73</v>
      </c>
    </row>
    <row r="1213" spans="1:50" x14ac:dyDescent="0.3">
      <c r="A1213" t="str">
        <f>"200208C0300"</f>
        <v>200208C0300</v>
      </c>
      <c r="B1213" t="str">
        <f>"200208C03002"</f>
        <v>200208C03002</v>
      </c>
      <c r="C1213" t="str">
        <f t="shared" si="52"/>
        <v>20</v>
      </c>
      <c r="D1213" t="s">
        <v>67</v>
      </c>
      <c r="E1213" t="str">
        <f t="shared" si="53"/>
        <v>006</v>
      </c>
      <c r="F1213" t="s">
        <v>1254</v>
      </c>
      <c r="G1213" t="str">
        <f>"0208"</f>
        <v>0208</v>
      </c>
      <c r="H1213" t="str">
        <f>"0003"</f>
        <v>0003</v>
      </c>
      <c r="I1213" t="s">
        <v>75</v>
      </c>
      <c r="J1213">
        <v>0</v>
      </c>
      <c r="K1213">
        <v>1</v>
      </c>
      <c r="L1213">
        <v>2</v>
      </c>
      <c r="M1213">
        <v>360</v>
      </c>
      <c r="N1213">
        <v>319</v>
      </c>
      <c r="O1213">
        <v>5</v>
      </c>
      <c r="P1213">
        <v>319</v>
      </c>
      <c r="Q1213">
        <v>23</v>
      </c>
      <c r="R1213">
        <v>35</v>
      </c>
      <c r="S1213">
        <v>3</v>
      </c>
      <c r="T1213">
        <v>26</v>
      </c>
      <c r="U1213">
        <v>24</v>
      </c>
      <c r="V1213">
        <v>5</v>
      </c>
      <c r="W1213">
        <v>0</v>
      </c>
      <c r="X1213">
        <v>139</v>
      </c>
      <c r="Y1213">
        <v>23</v>
      </c>
      <c r="Z1213">
        <v>1</v>
      </c>
      <c r="AA1213">
        <v>6</v>
      </c>
      <c r="AB1213">
        <v>16</v>
      </c>
      <c r="AD1213">
        <v>2</v>
      </c>
      <c r="AE1213">
        <v>2</v>
      </c>
      <c r="AF1213">
        <v>0</v>
      </c>
      <c r="AG1213">
        <v>0</v>
      </c>
      <c r="AI1213">
        <v>0</v>
      </c>
      <c r="AJ1213">
        <v>14</v>
      </c>
      <c r="AK1213">
        <v>139</v>
      </c>
      <c r="AL1213">
        <v>319</v>
      </c>
      <c r="AM1213">
        <v>635</v>
      </c>
      <c r="AN1213">
        <v>44</v>
      </c>
      <c r="AP1213">
        <v>1</v>
      </c>
      <c r="AR1213" t="s">
        <v>1300</v>
      </c>
      <c r="AS1213" s="1">
        <v>44354.582638888889</v>
      </c>
      <c r="AT1213" s="1">
        <v>44354.585300925923</v>
      </c>
      <c r="AU1213" s="1">
        <v>44354.58662037037</v>
      </c>
      <c r="AV1213" t="s">
        <v>71</v>
      </c>
      <c r="AW1213" t="s">
        <v>72</v>
      </c>
      <c r="AX1213" t="s">
        <v>73</v>
      </c>
    </row>
    <row r="1214" spans="1:50" x14ac:dyDescent="0.3">
      <c r="A1214" t="str">
        <f>"200208C0400"</f>
        <v>200208C0400</v>
      </c>
      <c r="B1214" t="str">
        <f>"200208C04002"</f>
        <v>200208C04002</v>
      </c>
      <c r="C1214" t="str">
        <f t="shared" si="52"/>
        <v>20</v>
      </c>
      <c r="D1214" t="s">
        <v>67</v>
      </c>
      <c r="E1214" t="str">
        <f t="shared" si="53"/>
        <v>006</v>
      </c>
      <c r="F1214" t="s">
        <v>1254</v>
      </c>
      <c r="G1214" t="str">
        <f>"0208"</f>
        <v>0208</v>
      </c>
      <c r="H1214" t="str">
        <f>"0004"</f>
        <v>0004</v>
      </c>
      <c r="I1214" t="s">
        <v>75</v>
      </c>
      <c r="J1214">
        <v>0</v>
      </c>
      <c r="K1214">
        <v>1</v>
      </c>
      <c r="L1214">
        <v>2</v>
      </c>
      <c r="M1214">
        <v>402</v>
      </c>
      <c r="N1214">
        <v>276</v>
      </c>
      <c r="O1214">
        <v>9</v>
      </c>
      <c r="P1214">
        <v>276</v>
      </c>
      <c r="Q1214">
        <v>31</v>
      </c>
      <c r="R1214">
        <v>31</v>
      </c>
      <c r="S1214">
        <v>0</v>
      </c>
      <c r="T1214">
        <v>41</v>
      </c>
      <c r="U1214">
        <v>17</v>
      </c>
      <c r="V1214">
        <v>6</v>
      </c>
      <c r="W1214">
        <v>2</v>
      </c>
      <c r="X1214">
        <v>122</v>
      </c>
      <c r="Y1214">
        <v>16</v>
      </c>
      <c r="Z1214">
        <v>0</v>
      </c>
      <c r="AA1214">
        <v>1</v>
      </c>
      <c r="AB1214">
        <v>2</v>
      </c>
      <c r="AD1214">
        <v>1</v>
      </c>
      <c r="AE1214">
        <v>0</v>
      </c>
      <c r="AF1214">
        <v>0</v>
      </c>
      <c r="AG1214">
        <v>0</v>
      </c>
      <c r="AI1214">
        <v>0</v>
      </c>
      <c r="AJ1214">
        <v>6</v>
      </c>
      <c r="AK1214">
        <v>276</v>
      </c>
      <c r="AL1214">
        <v>276</v>
      </c>
      <c r="AM1214">
        <v>634</v>
      </c>
      <c r="AN1214">
        <v>44</v>
      </c>
      <c r="AP1214">
        <v>1</v>
      </c>
      <c r="AR1214" t="s">
        <v>1301</v>
      </c>
      <c r="AS1214" s="1">
        <v>44353.882731481484</v>
      </c>
      <c r="AT1214" s="1">
        <v>44353.884664351855</v>
      </c>
      <c r="AU1214" s="1">
        <v>44353.885509259257</v>
      </c>
      <c r="AV1214" t="s">
        <v>269</v>
      </c>
      <c r="AW1214" t="s">
        <v>270</v>
      </c>
      <c r="AX1214" t="s">
        <v>73</v>
      </c>
    </row>
    <row r="1215" spans="1:50" x14ac:dyDescent="0.3">
      <c r="A1215" t="str">
        <f>"200209B0000"</f>
        <v>200209B0000</v>
      </c>
      <c r="B1215" t="str">
        <f>"200209B00002"</f>
        <v>200209B00002</v>
      </c>
      <c r="C1215" t="str">
        <f t="shared" si="52"/>
        <v>20</v>
      </c>
      <c r="D1215" t="s">
        <v>67</v>
      </c>
      <c r="E1215" t="str">
        <f t="shared" si="53"/>
        <v>006</v>
      </c>
      <c r="F1215" t="s">
        <v>1254</v>
      </c>
      <c r="G1215" t="str">
        <f>"0209"</f>
        <v>0209</v>
      </c>
      <c r="H1215" t="str">
        <f>"0000"</f>
        <v>0000</v>
      </c>
      <c r="I1215" t="s">
        <v>69</v>
      </c>
      <c r="J1215">
        <v>0</v>
      </c>
      <c r="K1215">
        <v>1</v>
      </c>
      <c r="L1215">
        <v>2</v>
      </c>
      <c r="M1215">
        <v>312</v>
      </c>
      <c r="N1215">
        <v>267</v>
      </c>
      <c r="O1215">
        <v>5</v>
      </c>
      <c r="P1215">
        <v>267</v>
      </c>
      <c r="Q1215">
        <v>59</v>
      </c>
      <c r="R1215">
        <v>23</v>
      </c>
      <c r="S1215">
        <v>4</v>
      </c>
      <c r="T1215">
        <v>19</v>
      </c>
      <c r="U1215">
        <v>20</v>
      </c>
      <c r="V1215">
        <v>9</v>
      </c>
      <c r="W1215">
        <v>1</v>
      </c>
      <c r="X1215">
        <v>97</v>
      </c>
      <c r="Y1215">
        <v>10</v>
      </c>
      <c r="Z1215">
        <v>1</v>
      </c>
      <c r="AA1215">
        <v>1</v>
      </c>
      <c r="AB1215">
        <v>5</v>
      </c>
      <c r="AD1215">
        <v>0</v>
      </c>
      <c r="AE1215">
        <v>6</v>
      </c>
      <c r="AF1215">
        <v>0</v>
      </c>
      <c r="AG1215">
        <v>0</v>
      </c>
      <c r="AI1215">
        <v>1</v>
      </c>
      <c r="AJ1215">
        <v>11</v>
      </c>
      <c r="AK1215">
        <v>267</v>
      </c>
      <c r="AL1215">
        <v>267</v>
      </c>
      <c r="AM1215">
        <v>535</v>
      </c>
      <c r="AN1215">
        <v>44</v>
      </c>
      <c r="AP1215">
        <v>1</v>
      </c>
      <c r="AR1215" t="s">
        <v>1302</v>
      </c>
      <c r="AS1215" s="1">
        <v>44353.906342592592</v>
      </c>
      <c r="AT1215" s="1">
        <v>44353.907488425924</v>
      </c>
      <c r="AU1215" s="1">
        <v>44353.908136574071</v>
      </c>
      <c r="AV1215" t="s">
        <v>269</v>
      </c>
      <c r="AW1215" t="s">
        <v>270</v>
      </c>
      <c r="AX1215" t="s">
        <v>73</v>
      </c>
    </row>
    <row r="1216" spans="1:50" x14ac:dyDescent="0.3">
      <c r="A1216" t="str">
        <f>"200209C0100"</f>
        <v>200209C0100</v>
      </c>
      <c r="B1216" t="str">
        <f>"200209C01002"</f>
        <v>200209C01002</v>
      </c>
      <c r="C1216" t="str">
        <f t="shared" si="52"/>
        <v>20</v>
      </c>
      <c r="D1216" t="s">
        <v>67</v>
      </c>
      <c r="E1216" t="str">
        <f t="shared" si="53"/>
        <v>006</v>
      </c>
      <c r="F1216" t="s">
        <v>1254</v>
      </c>
      <c r="G1216" t="str">
        <f>"0209"</f>
        <v>0209</v>
      </c>
      <c r="H1216" t="str">
        <f>"0001"</f>
        <v>0001</v>
      </c>
      <c r="I1216" t="s">
        <v>75</v>
      </c>
      <c r="J1216">
        <v>0</v>
      </c>
      <c r="K1216">
        <v>1</v>
      </c>
      <c r="L1216">
        <v>2</v>
      </c>
      <c r="M1216">
        <v>256</v>
      </c>
      <c r="N1216">
        <v>322</v>
      </c>
      <c r="O1216">
        <v>6</v>
      </c>
      <c r="P1216">
        <v>322</v>
      </c>
      <c r="Q1216">
        <v>90</v>
      </c>
      <c r="R1216">
        <v>13</v>
      </c>
      <c r="S1216">
        <v>3</v>
      </c>
      <c r="T1216">
        <v>45</v>
      </c>
      <c r="U1216">
        <v>17</v>
      </c>
      <c r="V1216">
        <v>5</v>
      </c>
      <c r="W1216">
        <v>1</v>
      </c>
      <c r="X1216">
        <v>109</v>
      </c>
      <c r="Y1216">
        <v>12</v>
      </c>
      <c r="Z1216">
        <v>1</v>
      </c>
      <c r="AA1216">
        <v>4</v>
      </c>
      <c r="AB1216">
        <v>6</v>
      </c>
      <c r="AD1216">
        <v>3</v>
      </c>
      <c r="AE1216">
        <v>4</v>
      </c>
      <c r="AF1216">
        <v>0</v>
      </c>
      <c r="AG1216">
        <v>0</v>
      </c>
      <c r="AI1216">
        <v>0</v>
      </c>
      <c r="AJ1216">
        <v>9</v>
      </c>
      <c r="AK1216">
        <v>322</v>
      </c>
      <c r="AL1216">
        <v>322</v>
      </c>
      <c r="AM1216">
        <v>534</v>
      </c>
      <c r="AN1216">
        <v>44</v>
      </c>
      <c r="AP1216">
        <v>1</v>
      </c>
      <c r="AR1216" t="s">
        <v>1303</v>
      </c>
      <c r="AS1216" s="1">
        <v>44353.902395833335</v>
      </c>
      <c r="AT1216" s="1">
        <v>44353.904016203705</v>
      </c>
      <c r="AU1216" s="1">
        <v>44353.904513888891</v>
      </c>
      <c r="AV1216" t="s">
        <v>269</v>
      </c>
      <c r="AW1216" t="s">
        <v>270</v>
      </c>
      <c r="AX1216" t="s">
        <v>73</v>
      </c>
    </row>
    <row r="1217" spans="1:50" x14ac:dyDescent="0.3">
      <c r="A1217" t="str">
        <f>"200209C0200"</f>
        <v>200209C0200</v>
      </c>
      <c r="B1217" t="str">
        <f>"200209C02002"</f>
        <v>200209C02002</v>
      </c>
      <c r="C1217" t="str">
        <f t="shared" si="52"/>
        <v>20</v>
      </c>
      <c r="D1217" t="s">
        <v>67</v>
      </c>
      <c r="E1217" t="str">
        <f t="shared" si="53"/>
        <v>006</v>
      </c>
      <c r="F1217" t="s">
        <v>1254</v>
      </c>
      <c r="G1217" t="str">
        <f>"0209"</f>
        <v>0209</v>
      </c>
      <c r="H1217" t="str">
        <f>"0002"</f>
        <v>0002</v>
      </c>
      <c r="I1217" t="s">
        <v>75</v>
      </c>
      <c r="J1217">
        <v>0</v>
      </c>
      <c r="K1217">
        <v>1</v>
      </c>
      <c r="L1217">
        <v>2</v>
      </c>
      <c r="M1217">
        <v>306</v>
      </c>
      <c r="N1217">
        <v>271</v>
      </c>
      <c r="O1217">
        <v>7</v>
      </c>
      <c r="P1217" t="s">
        <v>80</v>
      </c>
      <c r="Q1217">
        <v>58</v>
      </c>
      <c r="R1217">
        <v>21</v>
      </c>
      <c r="S1217">
        <v>2</v>
      </c>
      <c r="T1217">
        <v>41</v>
      </c>
      <c r="U1217">
        <v>23</v>
      </c>
      <c r="V1217">
        <v>5</v>
      </c>
      <c r="W1217">
        <v>2</v>
      </c>
      <c r="X1217">
        <v>96</v>
      </c>
      <c r="Y1217">
        <v>9</v>
      </c>
      <c r="Z1217">
        <v>0</v>
      </c>
      <c r="AA1217">
        <v>1</v>
      </c>
      <c r="AB1217">
        <v>3</v>
      </c>
      <c r="AD1217">
        <v>1</v>
      </c>
      <c r="AE1217">
        <v>3</v>
      </c>
      <c r="AF1217">
        <v>0</v>
      </c>
      <c r="AG1217">
        <v>0</v>
      </c>
      <c r="AI1217">
        <v>0</v>
      </c>
      <c r="AJ1217">
        <v>6</v>
      </c>
      <c r="AK1217">
        <v>271</v>
      </c>
      <c r="AL1217">
        <v>271</v>
      </c>
      <c r="AM1217">
        <v>534</v>
      </c>
      <c r="AN1217">
        <v>44</v>
      </c>
      <c r="AP1217">
        <v>1</v>
      </c>
      <c r="AR1217" t="s">
        <v>1304</v>
      </c>
      <c r="AS1217" s="1">
        <v>44353.9</v>
      </c>
      <c r="AT1217" s="1">
        <v>44353.90357638889</v>
      </c>
      <c r="AU1217" s="1">
        <v>44353.904502314814</v>
      </c>
      <c r="AV1217" t="s">
        <v>269</v>
      </c>
      <c r="AW1217" t="s">
        <v>270</v>
      </c>
      <c r="AX1217" t="s">
        <v>73</v>
      </c>
    </row>
    <row r="1218" spans="1:50" x14ac:dyDescent="0.3">
      <c r="A1218" t="str">
        <f>"200210B0000"</f>
        <v>200210B0000</v>
      </c>
      <c r="B1218" t="str">
        <f>"200210B00002"</f>
        <v>200210B00002</v>
      </c>
      <c r="C1218" t="str">
        <f t="shared" si="52"/>
        <v>20</v>
      </c>
      <c r="D1218" t="s">
        <v>67</v>
      </c>
      <c r="E1218" t="str">
        <f t="shared" si="53"/>
        <v>006</v>
      </c>
      <c r="F1218" t="s">
        <v>1254</v>
      </c>
      <c r="G1218" t="str">
        <f>"0210"</f>
        <v>0210</v>
      </c>
      <c r="H1218" t="str">
        <f>"0000"</f>
        <v>0000</v>
      </c>
      <c r="I1218" t="s">
        <v>69</v>
      </c>
      <c r="J1218">
        <v>0</v>
      </c>
      <c r="K1218">
        <v>1</v>
      </c>
      <c r="L1218">
        <v>2</v>
      </c>
      <c r="M1218">
        <v>299</v>
      </c>
      <c r="N1218">
        <v>305</v>
      </c>
      <c r="O1218">
        <v>4</v>
      </c>
      <c r="P1218">
        <v>305</v>
      </c>
      <c r="Q1218">
        <v>78</v>
      </c>
      <c r="R1218">
        <v>42</v>
      </c>
      <c r="S1218">
        <v>2</v>
      </c>
      <c r="T1218">
        <v>23</v>
      </c>
      <c r="U1218">
        <v>10</v>
      </c>
      <c r="V1218">
        <v>15</v>
      </c>
      <c r="W1218">
        <v>1</v>
      </c>
      <c r="X1218">
        <v>100</v>
      </c>
      <c r="Y1218">
        <v>13</v>
      </c>
      <c r="Z1218">
        <v>3</v>
      </c>
      <c r="AA1218">
        <v>0</v>
      </c>
      <c r="AB1218">
        <v>9</v>
      </c>
      <c r="AD1218">
        <v>3</v>
      </c>
      <c r="AE1218">
        <v>0</v>
      </c>
      <c r="AF1218">
        <v>0</v>
      </c>
      <c r="AG1218">
        <v>0</v>
      </c>
      <c r="AI1218">
        <v>0</v>
      </c>
      <c r="AJ1218">
        <v>6</v>
      </c>
      <c r="AK1218">
        <v>305</v>
      </c>
      <c r="AL1218">
        <v>305</v>
      </c>
      <c r="AM1218">
        <v>560</v>
      </c>
      <c r="AN1218">
        <v>44</v>
      </c>
      <c r="AP1218">
        <v>1</v>
      </c>
      <c r="AR1218" t="s">
        <v>1305</v>
      </c>
      <c r="AS1218" s="1">
        <v>44353.897916666669</v>
      </c>
      <c r="AT1218" s="1">
        <v>44354.127025462964</v>
      </c>
      <c r="AU1218" s="1">
        <v>44354.127511574072</v>
      </c>
      <c r="AV1218" t="s">
        <v>71</v>
      </c>
      <c r="AW1218" t="s">
        <v>72</v>
      </c>
      <c r="AX1218" t="s">
        <v>73</v>
      </c>
    </row>
    <row r="1219" spans="1:50" x14ac:dyDescent="0.3">
      <c r="A1219" t="str">
        <f>"200210C0100"</f>
        <v>200210C0100</v>
      </c>
      <c r="B1219" t="str">
        <f>"200210C01002"</f>
        <v>200210C01002</v>
      </c>
      <c r="C1219" t="str">
        <f t="shared" si="52"/>
        <v>20</v>
      </c>
      <c r="D1219" t="s">
        <v>67</v>
      </c>
      <c r="E1219" t="str">
        <f t="shared" si="53"/>
        <v>006</v>
      </c>
      <c r="F1219" t="s">
        <v>1254</v>
      </c>
      <c r="G1219" t="str">
        <f>"0210"</f>
        <v>0210</v>
      </c>
      <c r="H1219" t="str">
        <f>"0001"</f>
        <v>0001</v>
      </c>
      <c r="I1219" t="s">
        <v>75</v>
      </c>
      <c r="J1219">
        <v>0</v>
      </c>
      <c r="K1219">
        <v>1</v>
      </c>
      <c r="L1219">
        <v>2</v>
      </c>
      <c r="M1219">
        <v>290</v>
      </c>
      <c r="N1219">
        <v>313</v>
      </c>
      <c r="O1219">
        <v>4</v>
      </c>
      <c r="P1219">
        <v>313</v>
      </c>
      <c r="Q1219">
        <v>57</v>
      </c>
      <c r="R1219">
        <v>42</v>
      </c>
      <c r="S1219">
        <v>1</v>
      </c>
      <c r="T1219">
        <v>26</v>
      </c>
      <c r="U1219">
        <v>24</v>
      </c>
      <c r="V1219">
        <v>6</v>
      </c>
      <c r="W1219">
        <v>2</v>
      </c>
      <c r="X1219">
        <v>122</v>
      </c>
      <c r="Y1219">
        <v>5</v>
      </c>
      <c r="Z1219">
        <v>1</v>
      </c>
      <c r="AA1219">
        <v>5</v>
      </c>
      <c r="AB1219">
        <v>12</v>
      </c>
      <c r="AD1219">
        <v>1</v>
      </c>
      <c r="AE1219">
        <v>3</v>
      </c>
      <c r="AF1219">
        <v>0</v>
      </c>
      <c r="AG1219">
        <v>0</v>
      </c>
      <c r="AI1219">
        <v>0</v>
      </c>
      <c r="AJ1219">
        <v>6</v>
      </c>
      <c r="AK1219">
        <v>313</v>
      </c>
      <c r="AL1219">
        <v>313</v>
      </c>
      <c r="AM1219">
        <v>559</v>
      </c>
      <c r="AN1219">
        <v>44</v>
      </c>
      <c r="AP1219">
        <v>1</v>
      </c>
      <c r="AR1219" t="s">
        <v>1306</v>
      </c>
      <c r="AS1219" s="1">
        <v>44354.115972222222</v>
      </c>
      <c r="AT1219" s="1">
        <v>44354.118252314816</v>
      </c>
      <c r="AU1219" s="1">
        <v>44354.118796296294</v>
      </c>
      <c r="AV1219" t="s">
        <v>71</v>
      </c>
      <c r="AW1219" t="s">
        <v>72</v>
      </c>
      <c r="AX1219" t="s">
        <v>73</v>
      </c>
    </row>
    <row r="1220" spans="1:50" x14ac:dyDescent="0.3">
      <c r="A1220" t="str">
        <f>"200211B0000"</f>
        <v>200211B0000</v>
      </c>
      <c r="B1220" t="str">
        <f>"200211B00002"</f>
        <v>200211B00002</v>
      </c>
      <c r="C1220" t="str">
        <f t="shared" si="52"/>
        <v>20</v>
      </c>
      <c r="D1220" t="s">
        <v>67</v>
      </c>
      <c r="E1220" t="str">
        <f t="shared" si="53"/>
        <v>006</v>
      </c>
      <c r="F1220" t="s">
        <v>1254</v>
      </c>
      <c r="G1220" t="str">
        <f>"0211"</f>
        <v>0211</v>
      </c>
      <c r="H1220" t="str">
        <f>"0000"</f>
        <v>0000</v>
      </c>
      <c r="I1220" t="s">
        <v>69</v>
      </c>
      <c r="J1220">
        <v>0</v>
      </c>
      <c r="K1220">
        <v>1</v>
      </c>
      <c r="L1220">
        <v>2</v>
      </c>
      <c r="M1220">
        <v>316</v>
      </c>
      <c r="N1220">
        <v>340</v>
      </c>
      <c r="O1220">
        <v>5</v>
      </c>
      <c r="P1220">
        <v>340</v>
      </c>
      <c r="Q1220">
        <v>71</v>
      </c>
      <c r="R1220">
        <v>46</v>
      </c>
      <c r="S1220">
        <v>1</v>
      </c>
      <c r="T1220">
        <v>42</v>
      </c>
      <c r="U1220">
        <v>22</v>
      </c>
      <c r="V1220">
        <v>6</v>
      </c>
      <c r="W1220">
        <v>1</v>
      </c>
      <c r="X1220">
        <v>98</v>
      </c>
      <c r="Y1220">
        <v>17</v>
      </c>
      <c r="Z1220">
        <v>2</v>
      </c>
      <c r="AA1220">
        <v>6</v>
      </c>
      <c r="AB1220">
        <v>11</v>
      </c>
      <c r="AD1220">
        <v>2</v>
      </c>
      <c r="AE1220">
        <v>7</v>
      </c>
      <c r="AF1220">
        <v>0</v>
      </c>
      <c r="AG1220">
        <v>0</v>
      </c>
      <c r="AI1220">
        <v>0</v>
      </c>
      <c r="AJ1220">
        <v>8</v>
      </c>
      <c r="AK1220">
        <v>340</v>
      </c>
      <c r="AL1220">
        <v>340</v>
      </c>
      <c r="AM1220">
        <v>612</v>
      </c>
      <c r="AN1220">
        <v>44</v>
      </c>
      <c r="AP1220">
        <v>1</v>
      </c>
      <c r="AR1220" t="s">
        <v>1307</v>
      </c>
      <c r="AS1220" s="1">
        <v>44354.07708333333</v>
      </c>
      <c r="AT1220" s="1">
        <v>44354.082708333335</v>
      </c>
      <c r="AU1220" s="1">
        <v>44354.083194444444</v>
      </c>
      <c r="AV1220" t="s">
        <v>71</v>
      </c>
      <c r="AW1220" t="s">
        <v>72</v>
      </c>
      <c r="AX1220" t="s">
        <v>73</v>
      </c>
    </row>
    <row r="1221" spans="1:50" x14ac:dyDescent="0.3">
      <c r="A1221" t="str">
        <f>"200212B0000"</f>
        <v>200212B0000</v>
      </c>
      <c r="B1221" t="str">
        <f>"200212B00002"</f>
        <v>200212B00002</v>
      </c>
      <c r="C1221" t="str">
        <f t="shared" si="52"/>
        <v>20</v>
      </c>
      <c r="D1221" t="s">
        <v>67</v>
      </c>
      <c r="E1221" t="str">
        <f t="shared" si="53"/>
        <v>006</v>
      </c>
      <c r="F1221" t="s">
        <v>1254</v>
      </c>
      <c r="G1221" t="str">
        <f>"0212"</f>
        <v>0212</v>
      </c>
      <c r="H1221" t="str">
        <f>"0000"</f>
        <v>0000</v>
      </c>
      <c r="I1221" t="s">
        <v>69</v>
      </c>
      <c r="J1221">
        <v>0</v>
      </c>
      <c r="K1221">
        <v>1</v>
      </c>
      <c r="L1221">
        <v>2</v>
      </c>
      <c r="M1221">
        <v>318</v>
      </c>
      <c r="N1221">
        <v>662</v>
      </c>
      <c r="O1221">
        <v>10</v>
      </c>
      <c r="P1221">
        <v>344</v>
      </c>
      <c r="Q1221">
        <v>58</v>
      </c>
      <c r="R1221">
        <v>28</v>
      </c>
      <c r="S1221">
        <v>9</v>
      </c>
      <c r="T1221">
        <v>38</v>
      </c>
      <c r="U1221">
        <v>39</v>
      </c>
      <c r="V1221">
        <v>20</v>
      </c>
      <c r="W1221">
        <v>3</v>
      </c>
      <c r="X1221">
        <v>103</v>
      </c>
      <c r="Y1221">
        <v>14</v>
      </c>
      <c r="Z1221">
        <v>3</v>
      </c>
      <c r="AA1221">
        <v>2</v>
      </c>
      <c r="AB1221">
        <v>11</v>
      </c>
      <c r="AD1221">
        <v>1</v>
      </c>
      <c r="AE1221">
        <v>5</v>
      </c>
      <c r="AF1221">
        <v>0</v>
      </c>
      <c r="AG1221">
        <v>0</v>
      </c>
      <c r="AI1221">
        <v>0</v>
      </c>
      <c r="AJ1221">
        <v>9</v>
      </c>
      <c r="AK1221">
        <v>344</v>
      </c>
      <c r="AL1221">
        <v>343</v>
      </c>
      <c r="AM1221">
        <v>618</v>
      </c>
      <c r="AN1221">
        <v>44</v>
      </c>
      <c r="AP1221">
        <v>1</v>
      </c>
      <c r="AR1221" t="s">
        <v>1308</v>
      </c>
      <c r="AS1221" s="1">
        <v>44353.949930555558</v>
      </c>
      <c r="AT1221" s="1">
        <v>44353.951365740744</v>
      </c>
      <c r="AU1221" s="1">
        <v>44353.951851851853</v>
      </c>
      <c r="AV1221" t="s">
        <v>269</v>
      </c>
      <c r="AW1221" t="s">
        <v>270</v>
      </c>
      <c r="AX1221" t="s">
        <v>73</v>
      </c>
    </row>
    <row r="1222" spans="1:50" x14ac:dyDescent="0.3">
      <c r="A1222" t="str">
        <f>"200212C0100"</f>
        <v>200212C0100</v>
      </c>
      <c r="B1222" t="str">
        <f>"200212C01002"</f>
        <v>200212C01002</v>
      </c>
      <c r="C1222" t="str">
        <f t="shared" si="52"/>
        <v>20</v>
      </c>
      <c r="D1222" t="s">
        <v>67</v>
      </c>
      <c r="E1222" t="str">
        <f t="shared" si="53"/>
        <v>006</v>
      </c>
      <c r="F1222" t="s">
        <v>1254</v>
      </c>
      <c r="G1222" t="str">
        <f>"0212"</f>
        <v>0212</v>
      </c>
      <c r="H1222" t="str">
        <f>"0001"</f>
        <v>0001</v>
      </c>
      <c r="I1222" t="s">
        <v>75</v>
      </c>
      <c r="J1222">
        <v>0</v>
      </c>
      <c r="K1222">
        <v>1</v>
      </c>
      <c r="L1222">
        <v>2</v>
      </c>
      <c r="M1222">
        <v>362</v>
      </c>
      <c r="N1222">
        <v>301</v>
      </c>
      <c r="O1222">
        <v>5</v>
      </c>
      <c r="P1222">
        <v>300</v>
      </c>
      <c r="Q1222">
        <v>48</v>
      </c>
      <c r="R1222">
        <v>28</v>
      </c>
      <c r="S1222">
        <v>3</v>
      </c>
      <c r="T1222">
        <v>24</v>
      </c>
      <c r="U1222">
        <v>29</v>
      </c>
      <c r="V1222">
        <v>15</v>
      </c>
      <c r="W1222">
        <v>1</v>
      </c>
      <c r="X1222">
        <v>112</v>
      </c>
      <c r="Y1222">
        <v>13</v>
      </c>
      <c r="Z1222">
        <v>0</v>
      </c>
      <c r="AA1222">
        <v>6</v>
      </c>
      <c r="AB1222">
        <v>9</v>
      </c>
      <c r="AD1222">
        <v>3</v>
      </c>
      <c r="AE1222">
        <v>1</v>
      </c>
      <c r="AF1222">
        <v>0</v>
      </c>
      <c r="AG1222">
        <v>0</v>
      </c>
      <c r="AI1222">
        <v>0</v>
      </c>
      <c r="AJ1222">
        <v>8</v>
      </c>
      <c r="AK1222">
        <v>300</v>
      </c>
      <c r="AL1222">
        <v>300</v>
      </c>
      <c r="AM1222">
        <v>618</v>
      </c>
      <c r="AN1222">
        <v>44</v>
      </c>
      <c r="AP1222">
        <v>1</v>
      </c>
      <c r="AR1222" t="s">
        <v>1309</v>
      </c>
      <c r="AS1222" s="1">
        <v>44354.192361111112</v>
      </c>
      <c r="AT1222" s="1">
        <v>44354.197523148148</v>
      </c>
      <c r="AU1222" s="1">
        <v>44354.198483796295</v>
      </c>
      <c r="AV1222" t="s">
        <v>71</v>
      </c>
      <c r="AW1222" t="s">
        <v>72</v>
      </c>
      <c r="AX1222" t="s">
        <v>73</v>
      </c>
    </row>
    <row r="1223" spans="1:50" x14ac:dyDescent="0.3">
      <c r="A1223" t="str">
        <f>"200212S0100"</f>
        <v>200212S0100</v>
      </c>
      <c r="B1223" t="str">
        <f>"200212S01002EMR"</f>
        <v>200212S01002EMR</v>
      </c>
      <c r="C1223" t="str">
        <f t="shared" ref="C1223:C1286" si="55">"20"</f>
        <v>20</v>
      </c>
      <c r="D1223" t="s">
        <v>67</v>
      </c>
      <c r="E1223" t="str">
        <f t="shared" si="53"/>
        <v>006</v>
      </c>
      <c r="F1223" t="s">
        <v>1254</v>
      </c>
      <c r="G1223" t="str">
        <f>"0212"</f>
        <v>0212</v>
      </c>
      <c r="H1223" t="str">
        <f>"0001"</f>
        <v>0001</v>
      </c>
      <c r="I1223" t="s">
        <v>85</v>
      </c>
      <c r="J1223">
        <v>0</v>
      </c>
      <c r="K1223">
        <v>1</v>
      </c>
      <c r="L1223" t="s">
        <v>86</v>
      </c>
      <c r="M1223">
        <v>540</v>
      </c>
      <c r="N1223" t="s">
        <v>80</v>
      </c>
      <c r="O1223">
        <v>0</v>
      </c>
      <c r="P1223" t="s">
        <v>80</v>
      </c>
      <c r="Q1223">
        <v>19</v>
      </c>
      <c r="R1223">
        <v>14</v>
      </c>
      <c r="S1223">
        <v>0</v>
      </c>
      <c r="T1223">
        <v>20</v>
      </c>
      <c r="U1223">
        <v>5</v>
      </c>
      <c r="V1223">
        <v>3</v>
      </c>
      <c r="W1223">
        <v>3</v>
      </c>
      <c r="X1223">
        <v>77</v>
      </c>
      <c r="Y1223">
        <v>11</v>
      </c>
      <c r="Z1223">
        <v>1</v>
      </c>
      <c r="AA1223">
        <v>5</v>
      </c>
      <c r="AB1223">
        <v>0</v>
      </c>
      <c r="AD1223" t="s">
        <v>77</v>
      </c>
      <c r="AE1223" t="s">
        <v>77</v>
      </c>
      <c r="AF1223" t="s">
        <v>77</v>
      </c>
      <c r="AG1223" t="s">
        <v>77</v>
      </c>
      <c r="AI1223" t="s">
        <v>77</v>
      </c>
      <c r="AJ1223">
        <v>4</v>
      </c>
      <c r="AK1223">
        <v>162</v>
      </c>
      <c r="AL1223">
        <v>162</v>
      </c>
      <c r="AM1223">
        <v>0</v>
      </c>
      <c r="AN1223">
        <v>44</v>
      </c>
      <c r="AO1223" t="s">
        <v>78</v>
      </c>
      <c r="AP1223">
        <v>1</v>
      </c>
      <c r="AR1223" t="s">
        <v>1310</v>
      </c>
      <c r="AS1223" s="1">
        <v>44354.611805555556</v>
      </c>
      <c r="AT1223" s="1">
        <v>44354.616793981484</v>
      </c>
      <c r="AU1223" s="1">
        <v>44354.617546296293</v>
      </c>
      <c r="AV1223" t="s">
        <v>71</v>
      </c>
      <c r="AW1223" t="s">
        <v>72</v>
      </c>
      <c r="AX1223" t="s">
        <v>73</v>
      </c>
    </row>
    <row r="1224" spans="1:50" x14ac:dyDescent="0.3">
      <c r="A1224" t="str">
        <f>"200213B0000"</f>
        <v>200213B0000</v>
      </c>
      <c r="B1224" t="str">
        <f>"200213B00002"</f>
        <v>200213B00002</v>
      </c>
      <c r="C1224" t="str">
        <f t="shared" si="55"/>
        <v>20</v>
      </c>
      <c r="D1224" t="s">
        <v>67</v>
      </c>
      <c r="E1224" t="str">
        <f t="shared" si="53"/>
        <v>006</v>
      </c>
      <c r="F1224" t="s">
        <v>1254</v>
      </c>
      <c r="G1224" t="str">
        <f>"0213"</f>
        <v>0213</v>
      </c>
      <c r="H1224" t="str">
        <f>"0000"</f>
        <v>0000</v>
      </c>
      <c r="I1224" t="s">
        <v>69</v>
      </c>
      <c r="J1224">
        <v>0</v>
      </c>
      <c r="K1224">
        <v>1</v>
      </c>
      <c r="L1224">
        <v>2</v>
      </c>
      <c r="M1224">
        <v>233</v>
      </c>
      <c r="N1224" t="s">
        <v>99</v>
      </c>
      <c r="O1224" t="s">
        <v>99</v>
      </c>
      <c r="P1224">
        <v>316</v>
      </c>
      <c r="Q1224">
        <v>53</v>
      </c>
      <c r="R1224">
        <v>44</v>
      </c>
      <c r="S1224">
        <v>0</v>
      </c>
      <c r="T1224">
        <v>35</v>
      </c>
      <c r="U1224">
        <v>32</v>
      </c>
      <c r="V1224">
        <v>4</v>
      </c>
      <c r="W1224">
        <v>3</v>
      </c>
      <c r="X1224">
        <v>92</v>
      </c>
      <c r="Y1224">
        <v>15</v>
      </c>
      <c r="Z1224">
        <v>0</v>
      </c>
      <c r="AA1224">
        <v>4</v>
      </c>
      <c r="AB1224">
        <v>15</v>
      </c>
      <c r="AD1224">
        <v>0</v>
      </c>
      <c r="AE1224">
        <v>5</v>
      </c>
      <c r="AF1224">
        <v>0</v>
      </c>
      <c r="AG1224">
        <v>0</v>
      </c>
      <c r="AI1224">
        <v>0</v>
      </c>
      <c r="AJ1224">
        <v>12</v>
      </c>
      <c r="AK1224">
        <v>316</v>
      </c>
      <c r="AL1224">
        <v>314</v>
      </c>
      <c r="AM1224">
        <v>505</v>
      </c>
      <c r="AN1224">
        <v>44</v>
      </c>
      <c r="AP1224">
        <v>1</v>
      </c>
      <c r="AR1224" t="s">
        <v>1311</v>
      </c>
      <c r="AS1224" s="1">
        <v>44353.911689814813</v>
      </c>
      <c r="AT1224" s="1">
        <v>44353.918912037036</v>
      </c>
      <c r="AU1224" s="1">
        <v>44353.921863425923</v>
      </c>
      <c r="AV1224" t="s">
        <v>269</v>
      </c>
      <c r="AW1224" t="s">
        <v>270</v>
      </c>
      <c r="AX1224" t="s">
        <v>73</v>
      </c>
    </row>
    <row r="1225" spans="1:50" x14ac:dyDescent="0.3">
      <c r="A1225" t="str">
        <f>"200213C0100"</f>
        <v>200213C0100</v>
      </c>
      <c r="B1225" t="str">
        <f>"200213C01002"</f>
        <v>200213C01002</v>
      </c>
      <c r="C1225" t="str">
        <f t="shared" si="55"/>
        <v>20</v>
      </c>
      <c r="D1225" t="s">
        <v>67</v>
      </c>
      <c r="E1225" t="str">
        <f t="shared" si="53"/>
        <v>006</v>
      </c>
      <c r="F1225" t="s">
        <v>1254</v>
      </c>
      <c r="G1225" t="str">
        <f>"0213"</f>
        <v>0213</v>
      </c>
      <c r="H1225" t="str">
        <f>"0001"</f>
        <v>0001</v>
      </c>
      <c r="I1225" t="s">
        <v>75</v>
      </c>
      <c r="J1225">
        <v>0</v>
      </c>
      <c r="K1225">
        <v>1</v>
      </c>
      <c r="L1225">
        <v>2</v>
      </c>
      <c r="M1225">
        <v>220</v>
      </c>
      <c r="N1225">
        <v>329</v>
      </c>
      <c r="O1225">
        <v>7</v>
      </c>
      <c r="P1225">
        <v>329</v>
      </c>
      <c r="Q1225">
        <v>96</v>
      </c>
      <c r="R1225">
        <v>45</v>
      </c>
      <c r="S1225">
        <v>3</v>
      </c>
      <c r="T1225">
        <v>24</v>
      </c>
      <c r="U1225">
        <v>21</v>
      </c>
      <c r="V1225">
        <v>6</v>
      </c>
      <c r="W1225">
        <v>0</v>
      </c>
      <c r="X1225">
        <v>86</v>
      </c>
      <c r="Y1225">
        <v>15</v>
      </c>
      <c r="Z1225">
        <v>2</v>
      </c>
      <c r="AA1225">
        <v>0</v>
      </c>
      <c r="AB1225">
        <v>14</v>
      </c>
      <c r="AD1225">
        <v>1</v>
      </c>
      <c r="AE1225">
        <v>6</v>
      </c>
      <c r="AF1225">
        <v>0</v>
      </c>
      <c r="AG1225">
        <v>0</v>
      </c>
      <c r="AI1225">
        <v>0</v>
      </c>
      <c r="AJ1225">
        <v>10</v>
      </c>
      <c r="AK1225">
        <v>329</v>
      </c>
      <c r="AL1225">
        <v>329</v>
      </c>
      <c r="AM1225">
        <v>505</v>
      </c>
      <c r="AN1225">
        <v>44</v>
      </c>
      <c r="AP1225">
        <v>1</v>
      </c>
      <c r="AR1225" t="s">
        <v>1312</v>
      </c>
      <c r="AS1225" s="1">
        <v>44354.175694444442</v>
      </c>
      <c r="AT1225" s="1">
        <v>44354.197280092594</v>
      </c>
      <c r="AU1225" s="1">
        <v>44354.197766203702</v>
      </c>
      <c r="AV1225" t="s">
        <v>71</v>
      </c>
      <c r="AW1225" t="s">
        <v>72</v>
      </c>
      <c r="AX1225" t="s">
        <v>73</v>
      </c>
    </row>
    <row r="1226" spans="1:50" x14ac:dyDescent="0.3">
      <c r="A1226" t="str">
        <f>"200214B0000"</f>
        <v>200214B0000</v>
      </c>
      <c r="B1226" t="str">
        <f>"200214B00002"</f>
        <v>200214B00002</v>
      </c>
      <c r="C1226" t="str">
        <f t="shared" si="55"/>
        <v>20</v>
      </c>
      <c r="D1226" t="s">
        <v>67</v>
      </c>
      <c r="E1226" t="str">
        <f t="shared" si="53"/>
        <v>006</v>
      </c>
      <c r="F1226" t="s">
        <v>1254</v>
      </c>
      <c r="G1226" t="str">
        <f>"0214"</f>
        <v>0214</v>
      </c>
      <c r="H1226" t="str">
        <f>"0000"</f>
        <v>0000</v>
      </c>
      <c r="I1226" t="s">
        <v>69</v>
      </c>
      <c r="J1226">
        <v>0</v>
      </c>
      <c r="K1226">
        <v>1</v>
      </c>
      <c r="L1226">
        <v>2</v>
      </c>
      <c r="M1226">
        <v>339</v>
      </c>
      <c r="N1226">
        <v>351</v>
      </c>
      <c r="O1226">
        <v>3</v>
      </c>
      <c r="P1226">
        <v>351</v>
      </c>
      <c r="Q1226">
        <v>88</v>
      </c>
      <c r="R1226" t="s">
        <v>99</v>
      </c>
      <c r="S1226">
        <v>5</v>
      </c>
      <c r="T1226">
        <v>43</v>
      </c>
      <c r="U1226">
        <v>26</v>
      </c>
      <c r="V1226">
        <v>7</v>
      </c>
      <c r="W1226">
        <v>1</v>
      </c>
      <c r="X1226">
        <v>116</v>
      </c>
      <c r="Y1226">
        <v>10</v>
      </c>
      <c r="Z1226">
        <v>0</v>
      </c>
      <c r="AA1226">
        <v>7</v>
      </c>
      <c r="AB1226">
        <v>4</v>
      </c>
      <c r="AD1226">
        <v>0</v>
      </c>
      <c r="AE1226">
        <v>1</v>
      </c>
      <c r="AF1226">
        <v>0</v>
      </c>
      <c r="AG1226">
        <v>0</v>
      </c>
      <c r="AI1226">
        <v>0</v>
      </c>
      <c r="AJ1226">
        <v>11</v>
      </c>
      <c r="AK1226">
        <v>351</v>
      </c>
      <c r="AL1226">
        <v>319</v>
      </c>
      <c r="AM1226">
        <v>646</v>
      </c>
      <c r="AN1226">
        <v>44</v>
      </c>
      <c r="AO1226" t="s">
        <v>78</v>
      </c>
      <c r="AP1226">
        <v>1</v>
      </c>
      <c r="AR1226" t="s">
        <v>1313</v>
      </c>
      <c r="AS1226" s="1">
        <v>44354.040972222225</v>
      </c>
      <c r="AT1226" s="1">
        <v>44354.050057870372</v>
      </c>
      <c r="AU1226" s="1">
        <v>44354.050995370373</v>
      </c>
      <c r="AV1226" t="s">
        <v>71</v>
      </c>
      <c r="AW1226" t="s">
        <v>72</v>
      </c>
      <c r="AX1226" t="s">
        <v>73</v>
      </c>
    </row>
    <row r="1227" spans="1:50" x14ac:dyDescent="0.3">
      <c r="A1227" t="str">
        <f>"200214E0100"</f>
        <v>200214E0100</v>
      </c>
      <c r="B1227" t="str">
        <f>"200214E01002"</f>
        <v>200214E01002</v>
      </c>
      <c r="C1227" t="str">
        <f t="shared" si="55"/>
        <v>20</v>
      </c>
      <c r="D1227" t="s">
        <v>67</v>
      </c>
      <c r="E1227" t="str">
        <f t="shared" si="53"/>
        <v>006</v>
      </c>
      <c r="F1227" t="s">
        <v>1254</v>
      </c>
      <c r="G1227" t="str">
        <f>"0214"</f>
        <v>0214</v>
      </c>
      <c r="H1227" t="str">
        <f>"0001"</f>
        <v>0001</v>
      </c>
      <c r="I1227" t="s">
        <v>109</v>
      </c>
      <c r="J1227">
        <v>0</v>
      </c>
      <c r="K1227">
        <v>1</v>
      </c>
      <c r="L1227">
        <v>2</v>
      </c>
      <c r="M1227">
        <v>463</v>
      </c>
      <c r="N1227">
        <v>324</v>
      </c>
      <c r="O1227">
        <v>1</v>
      </c>
      <c r="P1227">
        <v>324</v>
      </c>
      <c r="Q1227">
        <v>49</v>
      </c>
      <c r="R1227">
        <v>25</v>
      </c>
      <c r="S1227">
        <v>2</v>
      </c>
      <c r="T1227">
        <v>45</v>
      </c>
      <c r="U1227">
        <v>28</v>
      </c>
      <c r="V1227">
        <v>5</v>
      </c>
      <c r="W1227">
        <v>2</v>
      </c>
      <c r="X1227">
        <v>129</v>
      </c>
      <c r="Y1227">
        <v>19</v>
      </c>
      <c r="Z1227">
        <v>2</v>
      </c>
      <c r="AA1227">
        <v>1</v>
      </c>
      <c r="AB1227">
        <v>12</v>
      </c>
      <c r="AD1227" t="s">
        <v>77</v>
      </c>
      <c r="AE1227" t="s">
        <v>77</v>
      </c>
      <c r="AF1227" t="s">
        <v>77</v>
      </c>
      <c r="AG1227" t="s">
        <v>77</v>
      </c>
      <c r="AI1227">
        <v>1</v>
      </c>
      <c r="AJ1227">
        <v>3</v>
      </c>
      <c r="AK1227">
        <v>324</v>
      </c>
      <c r="AL1227">
        <v>323</v>
      </c>
      <c r="AM1227">
        <v>743</v>
      </c>
      <c r="AN1227">
        <v>44</v>
      </c>
      <c r="AO1227" t="s">
        <v>78</v>
      </c>
      <c r="AP1227">
        <v>1</v>
      </c>
      <c r="AR1227" t="s">
        <v>1314</v>
      </c>
      <c r="AS1227" s="1">
        <v>44353.939328703702</v>
      </c>
      <c r="AT1227" s="1">
        <v>44353.940844907411</v>
      </c>
      <c r="AU1227" s="1">
        <v>44353.941932870373</v>
      </c>
      <c r="AV1227" t="s">
        <v>269</v>
      </c>
      <c r="AW1227" t="s">
        <v>270</v>
      </c>
      <c r="AX1227" t="s">
        <v>73</v>
      </c>
    </row>
    <row r="1228" spans="1:50" x14ac:dyDescent="0.3">
      <c r="A1228" t="str">
        <f>"200214E0101"</f>
        <v>200214E0101</v>
      </c>
      <c r="B1228" t="str">
        <f>"200214E01012"</f>
        <v>200214E01012</v>
      </c>
      <c r="C1228" t="str">
        <f t="shared" si="55"/>
        <v>20</v>
      </c>
      <c r="D1228" t="s">
        <v>67</v>
      </c>
      <c r="E1228" t="str">
        <f t="shared" si="53"/>
        <v>006</v>
      </c>
      <c r="F1228" t="s">
        <v>1254</v>
      </c>
      <c r="G1228" t="str">
        <f>"0214"</f>
        <v>0214</v>
      </c>
      <c r="H1228" t="str">
        <f>"0001"</f>
        <v>0001</v>
      </c>
      <c r="I1228" t="s">
        <v>109</v>
      </c>
      <c r="J1228">
        <v>1</v>
      </c>
      <c r="K1228">
        <v>1</v>
      </c>
      <c r="L1228">
        <v>2</v>
      </c>
      <c r="M1228">
        <v>449</v>
      </c>
      <c r="N1228">
        <v>346</v>
      </c>
      <c r="O1228">
        <v>8</v>
      </c>
      <c r="P1228">
        <v>338</v>
      </c>
      <c r="Q1228">
        <v>54</v>
      </c>
      <c r="R1228">
        <v>45</v>
      </c>
      <c r="S1228">
        <v>4</v>
      </c>
      <c r="T1228">
        <v>45</v>
      </c>
      <c r="U1228">
        <v>22</v>
      </c>
      <c r="V1228">
        <v>2</v>
      </c>
      <c r="W1228">
        <v>3</v>
      </c>
      <c r="X1228">
        <v>131</v>
      </c>
      <c r="Y1228">
        <v>10</v>
      </c>
      <c r="Z1228">
        <v>0</v>
      </c>
      <c r="AA1228">
        <v>4</v>
      </c>
      <c r="AB1228">
        <v>5</v>
      </c>
      <c r="AD1228">
        <v>1</v>
      </c>
      <c r="AE1228">
        <v>1</v>
      </c>
      <c r="AF1228">
        <v>0</v>
      </c>
      <c r="AG1228">
        <v>0</v>
      </c>
      <c r="AI1228">
        <v>0</v>
      </c>
      <c r="AJ1228">
        <v>11</v>
      </c>
      <c r="AK1228">
        <v>338</v>
      </c>
      <c r="AL1228">
        <v>338</v>
      </c>
      <c r="AM1228">
        <v>743</v>
      </c>
      <c r="AN1228">
        <v>44</v>
      </c>
      <c r="AP1228">
        <v>1</v>
      </c>
      <c r="AR1228" t="s">
        <v>1315</v>
      </c>
      <c r="AS1228" s="1">
        <v>44353.936076388891</v>
      </c>
      <c r="AT1228" s="1">
        <v>44353.93854166667</v>
      </c>
      <c r="AU1228" s="1">
        <v>44353.939305555556</v>
      </c>
      <c r="AV1228" t="s">
        <v>269</v>
      </c>
      <c r="AW1228" t="s">
        <v>270</v>
      </c>
      <c r="AX1228" t="s">
        <v>73</v>
      </c>
    </row>
    <row r="1229" spans="1:50" x14ac:dyDescent="0.3">
      <c r="A1229" t="str">
        <f>"200214E0200"</f>
        <v>200214E0200</v>
      </c>
      <c r="B1229" t="str">
        <f>"200214E02002"</f>
        <v>200214E02002</v>
      </c>
      <c r="C1229" t="str">
        <f t="shared" si="55"/>
        <v>20</v>
      </c>
      <c r="D1229" t="s">
        <v>67</v>
      </c>
      <c r="E1229" t="str">
        <f t="shared" si="53"/>
        <v>006</v>
      </c>
      <c r="F1229" t="s">
        <v>1254</v>
      </c>
      <c r="G1229" t="str">
        <f>"0214"</f>
        <v>0214</v>
      </c>
      <c r="H1229" t="str">
        <f>"0002"</f>
        <v>0002</v>
      </c>
      <c r="I1229" t="s">
        <v>109</v>
      </c>
      <c r="J1229">
        <v>0</v>
      </c>
      <c r="K1229">
        <v>1</v>
      </c>
      <c r="L1229">
        <v>2</v>
      </c>
      <c r="M1229">
        <v>255</v>
      </c>
      <c r="N1229">
        <v>235</v>
      </c>
      <c r="O1229">
        <v>6</v>
      </c>
      <c r="P1229">
        <v>235</v>
      </c>
      <c r="Q1229">
        <v>28</v>
      </c>
      <c r="R1229">
        <v>22</v>
      </c>
      <c r="S1229">
        <v>0</v>
      </c>
      <c r="T1229">
        <v>27</v>
      </c>
      <c r="U1229">
        <v>27</v>
      </c>
      <c r="V1229">
        <v>5</v>
      </c>
      <c r="W1229">
        <v>1</v>
      </c>
      <c r="X1229">
        <v>82</v>
      </c>
      <c r="Y1229">
        <v>14</v>
      </c>
      <c r="Z1229">
        <v>1</v>
      </c>
      <c r="AA1229">
        <v>3</v>
      </c>
      <c r="AB1229">
        <v>11</v>
      </c>
      <c r="AD1229">
        <v>2</v>
      </c>
      <c r="AE1229">
        <v>0</v>
      </c>
      <c r="AF1229">
        <v>0</v>
      </c>
      <c r="AG1229">
        <v>0</v>
      </c>
      <c r="AI1229">
        <v>0</v>
      </c>
      <c r="AJ1229">
        <v>12</v>
      </c>
      <c r="AK1229">
        <v>235</v>
      </c>
      <c r="AL1229">
        <v>235</v>
      </c>
      <c r="AM1229">
        <v>446</v>
      </c>
      <c r="AN1229">
        <v>44</v>
      </c>
      <c r="AP1229">
        <v>1</v>
      </c>
      <c r="AR1229" t="s">
        <v>1316</v>
      </c>
      <c r="AS1229" s="1">
        <v>44353.996527777781</v>
      </c>
      <c r="AT1229" s="1">
        <v>44354.002280092594</v>
      </c>
      <c r="AU1229" s="1">
        <v>44354.002847222226</v>
      </c>
      <c r="AV1229" t="s">
        <v>71</v>
      </c>
      <c r="AW1229" t="s">
        <v>72</v>
      </c>
      <c r="AX1229" t="s">
        <v>73</v>
      </c>
    </row>
    <row r="1230" spans="1:50" x14ac:dyDescent="0.3">
      <c r="A1230" t="str">
        <f>"200215B0000"</f>
        <v>200215B0000</v>
      </c>
      <c r="B1230" t="str">
        <f>"200215B00002"</f>
        <v>200215B00002</v>
      </c>
      <c r="C1230" t="str">
        <f t="shared" si="55"/>
        <v>20</v>
      </c>
      <c r="D1230" t="s">
        <v>67</v>
      </c>
      <c r="E1230" t="str">
        <f t="shared" si="53"/>
        <v>006</v>
      </c>
      <c r="F1230" t="s">
        <v>1254</v>
      </c>
      <c r="G1230" t="str">
        <f>"0215"</f>
        <v>0215</v>
      </c>
      <c r="H1230" t="str">
        <f>"0000"</f>
        <v>0000</v>
      </c>
      <c r="I1230" t="s">
        <v>69</v>
      </c>
      <c r="J1230">
        <v>0</v>
      </c>
      <c r="K1230">
        <v>1</v>
      </c>
      <c r="L1230">
        <v>2</v>
      </c>
      <c r="M1230">
        <v>193</v>
      </c>
      <c r="N1230">
        <v>235</v>
      </c>
      <c r="O1230">
        <v>5</v>
      </c>
      <c r="P1230">
        <v>235</v>
      </c>
      <c r="Q1230">
        <v>61</v>
      </c>
      <c r="R1230">
        <v>28</v>
      </c>
      <c r="S1230">
        <v>0</v>
      </c>
      <c r="T1230">
        <v>17</v>
      </c>
      <c r="U1230">
        <v>14</v>
      </c>
      <c r="V1230">
        <v>6</v>
      </c>
      <c r="W1230">
        <v>1</v>
      </c>
      <c r="X1230">
        <v>78</v>
      </c>
      <c r="Y1230">
        <v>9</v>
      </c>
      <c r="Z1230">
        <v>0</v>
      </c>
      <c r="AA1230">
        <v>5</v>
      </c>
      <c r="AB1230">
        <v>5</v>
      </c>
      <c r="AD1230" t="s">
        <v>77</v>
      </c>
      <c r="AE1230">
        <v>3</v>
      </c>
      <c r="AF1230" t="s">
        <v>77</v>
      </c>
      <c r="AG1230" t="s">
        <v>77</v>
      </c>
      <c r="AI1230" t="s">
        <v>77</v>
      </c>
      <c r="AJ1230">
        <v>8</v>
      </c>
      <c r="AK1230">
        <v>235</v>
      </c>
      <c r="AL1230">
        <v>235</v>
      </c>
      <c r="AM1230">
        <v>384</v>
      </c>
      <c r="AN1230">
        <v>44</v>
      </c>
      <c r="AO1230" t="s">
        <v>78</v>
      </c>
      <c r="AP1230">
        <v>1</v>
      </c>
      <c r="AR1230" t="s">
        <v>1317</v>
      </c>
      <c r="AS1230" s="1">
        <v>44353.889606481483</v>
      </c>
      <c r="AT1230" s="1">
        <v>44353.892418981479</v>
      </c>
      <c r="AU1230" s="1">
        <v>44353.893067129633</v>
      </c>
      <c r="AV1230" t="s">
        <v>269</v>
      </c>
      <c r="AW1230" t="s">
        <v>270</v>
      </c>
      <c r="AX1230" t="s">
        <v>73</v>
      </c>
    </row>
    <row r="1231" spans="1:50" x14ac:dyDescent="0.3">
      <c r="A1231" t="str">
        <f>"200215C0100"</f>
        <v>200215C0100</v>
      </c>
      <c r="B1231" t="str">
        <f>"200215C01002"</f>
        <v>200215C01002</v>
      </c>
      <c r="C1231" t="str">
        <f t="shared" si="55"/>
        <v>20</v>
      </c>
      <c r="D1231" t="s">
        <v>67</v>
      </c>
      <c r="E1231" t="str">
        <f t="shared" si="53"/>
        <v>006</v>
      </c>
      <c r="F1231" t="s">
        <v>1254</v>
      </c>
      <c r="G1231" t="str">
        <f>"0215"</f>
        <v>0215</v>
      </c>
      <c r="H1231" t="str">
        <f>"0001"</f>
        <v>0001</v>
      </c>
      <c r="I1231" t="s">
        <v>75</v>
      </c>
      <c r="J1231">
        <v>0</v>
      </c>
      <c r="K1231">
        <v>1</v>
      </c>
      <c r="L1231">
        <v>2</v>
      </c>
      <c r="M1231">
        <v>192</v>
      </c>
      <c r="N1231">
        <v>235</v>
      </c>
      <c r="O1231">
        <v>9</v>
      </c>
      <c r="P1231">
        <v>235</v>
      </c>
      <c r="Q1231">
        <v>50</v>
      </c>
      <c r="R1231">
        <v>35</v>
      </c>
      <c r="S1231">
        <v>1</v>
      </c>
      <c r="T1231">
        <v>23</v>
      </c>
      <c r="U1231">
        <v>10</v>
      </c>
      <c r="V1231">
        <v>5</v>
      </c>
      <c r="W1231">
        <v>2</v>
      </c>
      <c r="X1231">
        <v>75</v>
      </c>
      <c r="Y1231">
        <v>3</v>
      </c>
      <c r="Z1231">
        <v>1</v>
      </c>
      <c r="AA1231">
        <v>7</v>
      </c>
      <c r="AB1231">
        <v>9</v>
      </c>
      <c r="AD1231">
        <v>1</v>
      </c>
      <c r="AE1231">
        <v>3</v>
      </c>
      <c r="AF1231">
        <v>1</v>
      </c>
      <c r="AG1231">
        <v>0</v>
      </c>
      <c r="AI1231">
        <v>0</v>
      </c>
      <c r="AJ1231">
        <v>9</v>
      </c>
      <c r="AK1231">
        <v>235</v>
      </c>
      <c r="AL1231">
        <v>235</v>
      </c>
      <c r="AM1231">
        <v>383</v>
      </c>
      <c r="AN1231">
        <v>44</v>
      </c>
      <c r="AP1231">
        <v>1</v>
      </c>
      <c r="AR1231" t="s">
        <v>1318</v>
      </c>
      <c r="AS1231" s="1">
        <v>44353.894178240742</v>
      </c>
      <c r="AT1231" s="1">
        <v>44353.896296296298</v>
      </c>
      <c r="AU1231" s="1">
        <v>44353.89707175926</v>
      </c>
      <c r="AV1231" t="s">
        <v>269</v>
      </c>
      <c r="AW1231" t="s">
        <v>270</v>
      </c>
      <c r="AX1231" t="s">
        <v>73</v>
      </c>
    </row>
    <row r="1232" spans="1:50" x14ac:dyDescent="0.3">
      <c r="A1232" t="str">
        <f>"200216B0000"</f>
        <v>200216B0000</v>
      </c>
      <c r="B1232" t="str">
        <f>"200216B00002"</f>
        <v>200216B00002</v>
      </c>
      <c r="C1232" t="str">
        <f t="shared" si="55"/>
        <v>20</v>
      </c>
      <c r="D1232" t="s">
        <v>67</v>
      </c>
      <c r="E1232" t="str">
        <f t="shared" ref="E1232:E1295" si="56">"006"</f>
        <v>006</v>
      </c>
      <c r="F1232" t="s">
        <v>1254</v>
      </c>
      <c r="G1232" t="str">
        <f>"0216"</f>
        <v>0216</v>
      </c>
      <c r="H1232" t="str">
        <f>"0000"</f>
        <v>0000</v>
      </c>
      <c r="I1232" t="s">
        <v>69</v>
      </c>
      <c r="J1232">
        <v>0</v>
      </c>
      <c r="K1232">
        <v>1</v>
      </c>
      <c r="L1232">
        <v>2</v>
      </c>
      <c r="M1232">
        <v>401</v>
      </c>
      <c r="N1232">
        <v>351</v>
      </c>
      <c r="O1232">
        <v>3</v>
      </c>
      <c r="P1232">
        <v>351</v>
      </c>
      <c r="Q1232">
        <v>68</v>
      </c>
      <c r="R1232">
        <v>36</v>
      </c>
      <c r="S1232">
        <v>4</v>
      </c>
      <c r="T1232">
        <v>33</v>
      </c>
      <c r="U1232">
        <v>15</v>
      </c>
      <c r="V1232">
        <v>13</v>
      </c>
      <c r="W1232">
        <v>2</v>
      </c>
      <c r="X1232">
        <v>131</v>
      </c>
      <c r="Y1232">
        <v>18</v>
      </c>
      <c r="Z1232">
        <v>0</v>
      </c>
      <c r="AA1232">
        <v>6</v>
      </c>
      <c r="AB1232">
        <v>9</v>
      </c>
      <c r="AD1232">
        <v>1</v>
      </c>
      <c r="AE1232">
        <v>6</v>
      </c>
      <c r="AF1232">
        <v>0</v>
      </c>
      <c r="AG1232">
        <v>0</v>
      </c>
      <c r="AI1232">
        <v>0</v>
      </c>
      <c r="AJ1232">
        <v>9</v>
      </c>
      <c r="AK1232">
        <v>351</v>
      </c>
      <c r="AL1232">
        <v>351</v>
      </c>
      <c r="AM1232">
        <v>713</v>
      </c>
      <c r="AN1232">
        <v>44</v>
      </c>
      <c r="AP1232">
        <v>1</v>
      </c>
      <c r="AR1232" t="s">
        <v>1319</v>
      </c>
      <c r="AS1232" s="1">
        <v>44353.987662037034</v>
      </c>
      <c r="AT1232" s="1">
        <v>44353.990474537037</v>
      </c>
      <c r="AU1232" s="1">
        <v>44353.991643518515</v>
      </c>
      <c r="AV1232" t="s">
        <v>269</v>
      </c>
      <c r="AW1232" t="s">
        <v>270</v>
      </c>
      <c r="AX1232" t="s">
        <v>73</v>
      </c>
    </row>
    <row r="1233" spans="1:50" x14ac:dyDescent="0.3">
      <c r="A1233" t="str">
        <f>"200216C0100"</f>
        <v>200216C0100</v>
      </c>
      <c r="B1233" t="str">
        <f>"200216C01002"</f>
        <v>200216C01002</v>
      </c>
      <c r="C1233" t="str">
        <f t="shared" si="55"/>
        <v>20</v>
      </c>
      <c r="D1233" t="s">
        <v>67</v>
      </c>
      <c r="E1233" t="str">
        <f t="shared" si="56"/>
        <v>006</v>
      </c>
      <c r="F1233" t="s">
        <v>1254</v>
      </c>
      <c r="G1233" t="str">
        <f>"0216"</f>
        <v>0216</v>
      </c>
      <c r="H1233" t="str">
        <f>"0001"</f>
        <v>0001</v>
      </c>
      <c r="I1233" t="s">
        <v>75</v>
      </c>
      <c r="J1233">
        <v>0</v>
      </c>
      <c r="K1233">
        <v>1</v>
      </c>
      <c r="L1233">
        <v>2</v>
      </c>
      <c r="M1233">
        <v>373</v>
      </c>
      <c r="N1233">
        <v>384</v>
      </c>
      <c r="O1233">
        <v>6</v>
      </c>
      <c r="P1233">
        <v>384</v>
      </c>
      <c r="Q1233">
        <v>69</v>
      </c>
      <c r="R1233">
        <v>55</v>
      </c>
      <c r="S1233">
        <v>1</v>
      </c>
      <c r="T1233">
        <v>37</v>
      </c>
      <c r="U1233">
        <v>21</v>
      </c>
      <c r="V1233">
        <v>1</v>
      </c>
      <c r="W1233">
        <v>1</v>
      </c>
      <c r="X1233">
        <v>151</v>
      </c>
      <c r="Y1233">
        <v>17</v>
      </c>
      <c r="Z1233">
        <v>2</v>
      </c>
      <c r="AA1233">
        <v>4</v>
      </c>
      <c r="AB1233">
        <v>2</v>
      </c>
      <c r="AD1233">
        <v>0</v>
      </c>
      <c r="AE1233">
        <v>2</v>
      </c>
      <c r="AF1233">
        <v>0</v>
      </c>
      <c r="AG1233">
        <v>0</v>
      </c>
      <c r="AI1233">
        <v>1</v>
      </c>
      <c r="AJ1233">
        <v>10</v>
      </c>
      <c r="AK1233">
        <v>384</v>
      </c>
      <c r="AL1233">
        <v>374</v>
      </c>
      <c r="AM1233">
        <v>713</v>
      </c>
      <c r="AN1233">
        <v>44</v>
      </c>
      <c r="AP1233">
        <v>1</v>
      </c>
      <c r="AR1233" t="s">
        <v>1320</v>
      </c>
      <c r="AS1233" s="1">
        <v>44353.991030092591</v>
      </c>
      <c r="AT1233" s="1">
        <v>44353.994340277779</v>
      </c>
      <c r="AU1233" s="1">
        <v>44353.995115740741</v>
      </c>
      <c r="AV1233" t="s">
        <v>269</v>
      </c>
      <c r="AW1233" t="s">
        <v>270</v>
      </c>
      <c r="AX1233" t="s">
        <v>73</v>
      </c>
    </row>
    <row r="1234" spans="1:50" x14ac:dyDescent="0.3">
      <c r="A1234" t="str">
        <f>"200216E0100"</f>
        <v>200216E0100</v>
      </c>
      <c r="B1234" t="str">
        <f>"200216E01002"</f>
        <v>200216E01002</v>
      </c>
      <c r="C1234" t="str">
        <f t="shared" si="55"/>
        <v>20</v>
      </c>
      <c r="D1234" t="s">
        <v>67</v>
      </c>
      <c r="E1234" t="str">
        <f t="shared" si="56"/>
        <v>006</v>
      </c>
      <c r="F1234" t="s">
        <v>1254</v>
      </c>
      <c r="G1234" t="str">
        <f>"0216"</f>
        <v>0216</v>
      </c>
      <c r="H1234" t="str">
        <f>"0001"</f>
        <v>0001</v>
      </c>
      <c r="I1234" t="s">
        <v>109</v>
      </c>
      <c r="J1234">
        <v>0</v>
      </c>
      <c r="K1234">
        <v>1</v>
      </c>
      <c r="L1234">
        <v>2</v>
      </c>
      <c r="M1234">
        <v>435</v>
      </c>
      <c r="N1234">
        <v>301</v>
      </c>
      <c r="O1234">
        <v>3</v>
      </c>
      <c r="P1234">
        <v>301</v>
      </c>
      <c r="Q1234">
        <v>49</v>
      </c>
      <c r="R1234">
        <v>38</v>
      </c>
      <c r="S1234">
        <v>3</v>
      </c>
      <c r="T1234">
        <v>23</v>
      </c>
      <c r="U1234">
        <v>22</v>
      </c>
      <c r="V1234">
        <v>5</v>
      </c>
      <c r="W1234">
        <v>2</v>
      </c>
      <c r="X1234">
        <v>118</v>
      </c>
      <c r="Y1234">
        <v>16</v>
      </c>
      <c r="Z1234">
        <v>5</v>
      </c>
      <c r="AA1234">
        <v>3</v>
      </c>
      <c r="AB1234">
        <v>9</v>
      </c>
      <c r="AD1234">
        <v>1</v>
      </c>
      <c r="AE1234">
        <v>2</v>
      </c>
      <c r="AF1234">
        <v>0</v>
      </c>
      <c r="AG1234">
        <v>0</v>
      </c>
      <c r="AI1234">
        <v>0</v>
      </c>
      <c r="AJ1234">
        <v>5</v>
      </c>
      <c r="AK1234">
        <v>301</v>
      </c>
      <c r="AL1234">
        <v>301</v>
      </c>
      <c r="AM1234">
        <v>692</v>
      </c>
      <c r="AN1234">
        <v>44</v>
      </c>
      <c r="AP1234">
        <v>1</v>
      </c>
      <c r="AR1234" t="s">
        <v>1321</v>
      </c>
      <c r="AS1234" s="1">
        <v>44354.041666666664</v>
      </c>
      <c r="AT1234" s="1">
        <v>44354.050949074073</v>
      </c>
      <c r="AU1234" s="1">
        <v>44354.051469907405</v>
      </c>
      <c r="AV1234" t="s">
        <v>71</v>
      </c>
      <c r="AW1234" t="s">
        <v>72</v>
      </c>
      <c r="AX1234" t="s">
        <v>73</v>
      </c>
    </row>
    <row r="1235" spans="1:50" x14ac:dyDescent="0.3">
      <c r="A1235" t="str">
        <f>"200216E0101"</f>
        <v>200216E0101</v>
      </c>
      <c r="B1235" t="str">
        <f>"200216E01012"</f>
        <v>200216E01012</v>
      </c>
      <c r="C1235" t="str">
        <f t="shared" si="55"/>
        <v>20</v>
      </c>
      <c r="D1235" t="s">
        <v>67</v>
      </c>
      <c r="E1235" t="str">
        <f t="shared" si="56"/>
        <v>006</v>
      </c>
      <c r="F1235" t="s">
        <v>1254</v>
      </c>
      <c r="G1235" t="str">
        <f>"0216"</f>
        <v>0216</v>
      </c>
      <c r="H1235" t="str">
        <f>"0001"</f>
        <v>0001</v>
      </c>
      <c r="I1235" t="s">
        <v>109</v>
      </c>
      <c r="J1235">
        <v>1</v>
      </c>
      <c r="K1235">
        <v>1</v>
      </c>
      <c r="L1235">
        <v>2</v>
      </c>
      <c r="M1235" t="s">
        <v>99</v>
      </c>
      <c r="N1235" t="s">
        <v>99</v>
      </c>
      <c r="O1235" t="s">
        <v>99</v>
      </c>
      <c r="P1235" t="s">
        <v>99</v>
      </c>
      <c r="Q1235">
        <v>46</v>
      </c>
      <c r="R1235">
        <v>37</v>
      </c>
      <c r="S1235">
        <v>3</v>
      </c>
      <c r="T1235">
        <v>23</v>
      </c>
      <c r="U1235">
        <v>26</v>
      </c>
      <c r="V1235">
        <v>2</v>
      </c>
      <c r="W1235">
        <v>5</v>
      </c>
      <c r="X1235">
        <v>126</v>
      </c>
      <c r="Y1235">
        <v>15</v>
      </c>
      <c r="Z1235">
        <v>0</v>
      </c>
      <c r="AA1235">
        <v>24</v>
      </c>
      <c r="AB1235">
        <v>10</v>
      </c>
      <c r="AD1235">
        <v>2</v>
      </c>
      <c r="AE1235">
        <v>3</v>
      </c>
      <c r="AF1235">
        <v>0</v>
      </c>
      <c r="AG1235">
        <v>0</v>
      </c>
      <c r="AI1235">
        <v>0</v>
      </c>
      <c r="AJ1235">
        <v>10</v>
      </c>
      <c r="AK1235">
        <v>332</v>
      </c>
      <c r="AL1235">
        <v>332</v>
      </c>
      <c r="AM1235">
        <v>692</v>
      </c>
      <c r="AN1235">
        <v>44</v>
      </c>
      <c r="AP1235">
        <v>1</v>
      </c>
      <c r="AR1235" t="s">
        <v>1322</v>
      </c>
      <c r="AS1235" s="1">
        <v>44354.077777777777</v>
      </c>
      <c r="AT1235" s="1">
        <v>44354.102384259262</v>
      </c>
      <c r="AU1235" s="1">
        <v>44354.104108796295</v>
      </c>
      <c r="AV1235" t="s">
        <v>71</v>
      </c>
      <c r="AW1235" t="s">
        <v>72</v>
      </c>
      <c r="AX1235" t="s">
        <v>73</v>
      </c>
    </row>
    <row r="1236" spans="1:50" x14ac:dyDescent="0.3">
      <c r="A1236" t="str">
        <f>"200217B0000"</f>
        <v>200217B0000</v>
      </c>
      <c r="B1236" t="str">
        <f>"200217B00002"</f>
        <v>200217B00002</v>
      </c>
      <c r="C1236" t="str">
        <f t="shared" si="55"/>
        <v>20</v>
      </c>
      <c r="D1236" t="s">
        <v>67</v>
      </c>
      <c r="E1236" t="str">
        <f t="shared" si="56"/>
        <v>006</v>
      </c>
      <c r="F1236" t="s">
        <v>1254</v>
      </c>
      <c r="G1236" t="str">
        <f>"0217"</f>
        <v>0217</v>
      </c>
      <c r="H1236" t="str">
        <f>"0000"</f>
        <v>0000</v>
      </c>
      <c r="I1236" t="s">
        <v>69</v>
      </c>
      <c r="J1236">
        <v>0</v>
      </c>
      <c r="K1236">
        <v>1</v>
      </c>
      <c r="L1236">
        <v>2</v>
      </c>
      <c r="M1236">
        <v>495</v>
      </c>
      <c r="N1236">
        <v>290</v>
      </c>
      <c r="O1236">
        <v>3</v>
      </c>
      <c r="P1236">
        <v>290</v>
      </c>
      <c r="Q1236">
        <v>41</v>
      </c>
      <c r="R1236">
        <v>42</v>
      </c>
      <c r="S1236">
        <v>2</v>
      </c>
      <c r="T1236">
        <v>22</v>
      </c>
      <c r="U1236">
        <v>11</v>
      </c>
      <c r="V1236">
        <v>12</v>
      </c>
      <c r="W1236">
        <v>1</v>
      </c>
      <c r="X1236">
        <v>110</v>
      </c>
      <c r="Y1236">
        <v>21</v>
      </c>
      <c r="Z1236">
        <v>2</v>
      </c>
      <c r="AA1236">
        <v>4</v>
      </c>
      <c r="AB1236">
        <v>7</v>
      </c>
      <c r="AD1236">
        <v>0</v>
      </c>
      <c r="AE1236">
        <v>2</v>
      </c>
      <c r="AF1236">
        <v>0</v>
      </c>
      <c r="AG1236">
        <v>0</v>
      </c>
      <c r="AI1236">
        <v>1</v>
      </c>
      <c r="AJ1236">
        <v>12</v>
      </c>
      <c r="AK1236">
        <v>290</v>
      </c>
      <c r="AL1236">
        <v>290</v>
      </c>
      <c r="AM1236">
        <v>741</v>
      </c>
      <c r="AN1236">
        <v>44</v>
      </c>
      <c r="AP1236">
        <v>1</v>
      </c>
      <c r="AR1236" t="s">
        <v>1323</v>
      </c>
      <c r="AS1236" s="1">
        <v>44353.919907407406</v>
      </c>
      <c r="AT1236" s="1">
        <v>44353.921296296299</v>
      </c>
      <c r="AU1236" s="1">
        <v>44353.921863425923</v>
      </c>
      <c r="AV1236" t="s">
        <v>269</v>
      </c>
      <c r="AW1236" t="s">
        <v>270</v>
      </c>
      <c r="AX1236" t="s">
        <v>73</v>
      </c>
    </row>
    <row r="1237" spans="1:50" x14ac:dyDescent="0.3">
      <c r="A1237" t="str">
        <f>"200217C0100"</f>
        <v>200217C0100</v>
      </c>
      <c r="B1237" t="str">
        <f>"200217C01002"</f>
        <v>200217C01002</v>
      </c>
      <c r="C1237" t="str">
        <f t="shared" si="55"/>
        <v>20</v>
      </c>
      <c r="D1237" t="s">
        <v>67</v>
      </c>
      <c r="E1237" t="str">
        <f t="shared" si="56"/>
        <v>006</v>
      </c>
      <c r="F1237" t="s">
        <v>1254</v>
      </c>
      <c r="G1237" t="str">
        <f>"0217"</f>
        <v>0217</v>
      </c>
      <c r="H1237" t="str">
        <f>"0001"</f>
        <v>0001</v>
      </c>
      <c r="I1237" t="s">
        <v>75</v>
      </c>
      <c r="J1237">
        <v>0</v>
      </c>
      <c r="K1237">
        <v>1</v>
      </c>
      <c r="L1237">
        <v>2</v>
      </c>
      <c r="M1237">
        <v>504</v>
      </c>
      <c r="N1237">
        <v>281</v>
      </c>
      <c r="O1237">
        <v>6</v>
      </c>
      <c r="P1237">
        <v>281</v>
      </c>
      <c r="Q1237">
        <v>27</v>
      </c>
      <c r="R1237">
        <v>43</v>
      </c>
      <c r="S1237">
        <v>3</v>
      </c>
      <c r="T1237">
        <v>38</v>
      </c>
      <c r="U1237">
        <v>17</v>
      </c>
      <c r="V1237">
        <v>4</v>
      </c>
      <c r="W1237">
        <v>2</v>
      </c>
      <c r="X1237">
        <v>87</v>
      </c>
      <c r="Y1237">
        <v>30</v>
      </c>
      <c r="Z1237">
        <v>3</v>
      </c>
      <c r="AA1237">
        <v>0</v>
      </c>
      <c r="AB1237">
        <v>6</v>
      </c>
      <c r="AD1237">
        <v>1</v>
      </c>
      <c r="AE1237">
        <v>3</v>
      </c>
      <c r="AF1237">
        <v>0</v>
      </c>
      <c r="AG1237">
        <v>0</v>
      </c>
      <c r="AI1237">
        <v>0</v>
      </c>
      <c r="AJ1237">
        <v>14</v>
      </c>
      <c r="AK1237">
        <v>281</v>
      </c>
      <c r="AL1237">
        <v>278</v>
      </c>
      <c r="AM1237">
        <v>741</v>
      </c>
      <c r="AN1237">
        <v>44</v>
      </c>
      <c r="AP1237">
        <v>1</v>
      </c>
      <c r="AR1237" t="s">
        <v>1324</v>
      </c>
      <c r="AS1237" s="1">
        <v>44353.91002314815</v>
      </c>
      <c r="AT1237" s="1">
        <v>44353.911817129629</v>
      </c>
      <c r="AU1237" s="1">
        <v>44353.912349537037</v>
      </c>
      <c r="AV1237" t="s">
        <v>269</v>
      </c>
      <c r="AW1237" t="s">
        <v>270</v>
      </c>
      <c r="AX1237" t="s">
        <v>73</v>
      </c>
    </row>
    <row r="1238" spans="1:50" x14ac:dyDescent="0.3">
      <c r="A1238" t="str">
        <f>"200217C0200"</f>
        <v>200217C0200</v>
      </c>
      <c r="B1238" t="str">
        <f>"200217C02002"</f>
        <v>200217C02002</v>
      </c>
      <c r="C1238" t="str">
        <f t="shared" si="55"/>
        <v>20</v>
      </c>
      <c r="D1238" t="s">
        <v>67</v>
      </c>
      <c r="E1238" t="str">
        <f t="shared" si="56"/>
        <v>006</v>
      </c>
      <c r="F1238" t="s">
        <v>1254</v>
      </c>
      <c r="G1238" t="str">
        <f>"0217"</f>
        <v>0217</v>
      </c>
      <c r="H1238" t="str">
        <f>"0002"</f>
        <v>0002</v>
      </c>
      <c r="I1238" t="s">
        <v>75</v>
      </c>
      <c r="J1238">
        <v>0</v>
      </c>
      <c r="K1238">
        <v>1</v>
      </c>
      <c r="L1238">
        <v>2</v>
      </c>
      <c r="M1238">
        <v>489</v>
      </c>
      <c r="N1238">
        <v>296</v>
      </c>
      <c r="O1238">
        <v>6</v>
      </c>
      <c r="P1238">
        <v>296</v>
      </c>
      <c r="Q1238">
        <v>38</v>
      </c>
      <c r="R1238">
        <v>24</v>
      </c>
      <c r="S1238">
        <v>2</v>
      </c>
      <c r="T1238">
        <v>23</v>
      </c>
      <c r="U1238">
        <v>19</v>
      </c>
      <c r="V1238">
        <v>6</v>
      </c>
      <c r="W1238">
        <v>2</v>
      </c>
      <c r="X1238">
        <v>125</v>
      </c>
      <c r="Y1238">
        <v>23</v>
      </c>
      <c r="Z1238">
        <v>2</v>
      </c>
      <c r="AA1238">
        <v>9</v>
      </c>
      <c r="AB1238">
        <v>14</v>
      </c>
      <c r="AD1238">
        <v>1</v>
      </c>
      <c r="AE1238">
        <v>4</v>
      </c>
      <c r="AF1238">
        <v>0</v>
      </c>
      <c r="AG1238">
        <v>0</v>
      </c>
      <c r="AI1238">
        <v>0</v>
      </c>
      <c r="AJ1238">
        <v>4</v>
      </c>
      <c r="AK1238">
        <v>296</v>
      </c>
      <c r="AL1238">
        <v>296</v>
      </c>
      <c r="AM1238">
        <v>741</v>
      </c>
      <c r="AN1238">
        <v>44</v>
      </c>
      <c r="AP1238">
        <v>1</v>
      </c>
      <c r="AR1238" t="s">
        <v>1325</v>
      </c>
      <c r="AS1238" s="1">
        <v>44353.844768518517</v>
      </c>
      <c r="AT1238" s="1">
        <v>44353.846875000003</v>
      </c>
      <c r="AU1238" s="1">
        <v>44353.847650462965</v>
      </c>
      <c r="AV1238" t="s">
        <v>269</v>
      </c>
      <c r="AW1238" t="s">
        <v>270</v>
      </c>
      <c r="AX1238" t="s">
        <v>73</v>
      </c>
    </row>
    <row r="1239" spans="1:50" x14ac:dyDescent="0.3">
      <c r="A1239" t="str">
        <f>"200217C0300"</f>
        <v>200217C0300</v>
      </c>
      <c r="B1239" t="str">
        <f>"200217C03002"</f>
        <v>200217C03002</v>
      </c>
      <c r="C1239" t="str">
        <f t="shared" si="55"/>
        <v>20</v>
      </c>
      <c r="D1239" t="s">
        <v>67</v>
      </c>
      <c r="E1239" t="str">
        <f t="shared" si="56"/>
        <v>006</v>
      </c>
      <c r="F1239" t="s">
        <v>1254</v>
      </c>
      <c r="G1239" t="str">
        <f>"0217"</f>
        <v>0217</v>
      </c>
      <c r="H1239" t="str">
        <f>"0003"</f>
        <v>0003</v>
      </c>
      <c r="I1239" t="s">
        <v>75</v>
      </c>
      <c r="J1239">
        <v>0</v>
      </c>
      <c r="K1239">
        <v>1</v>
      </c>
      <c r="L1239">
        <v>2</v>
      </c>
      <c r="M1239">
        <v>490</v>
      </c>
      <c r="N1239">
        <v>292</v>
      </c>
      <c r="O1239">
        <v>2</v>
      </c>
      <c r="P1239">
        <v>294</v>
      </c>
      <c r="Q1239">
        <v>37</v>
      </c>
      <c r="R1239">
        <v>46</v>
      </c>
      <c r="S1239">
        <v>6</v>
      </c>
      <c r="T1239">
        <v>25</v>
      </c>
      <c r="U1239">
        <v>15</v>
      </c>
      <c r="V1239">
        <v>12</v>
      </c>
      <c r="W1239">
        <v>4</v>
      </c>
      <c r="X1239">
        <v>102</v>
      </c>
      <c r="Y1239">
        <v>19</v>
      </c>
      <c r="Z1239">
        <v>1</v>
      </c>
      <c r="AA1239">
        <v>6</v>
      </c>
      <c r="AB1239">
        <v>4</v>
      </c>
      <c r="AD1239">
        <v>1</v>
      </c>
      <c r="AE1239">
        <v>2</v>
      </c>
      <c r="AF1239">
        <v>0</v>
      </c>
      <c r="AG1239">
        <v>0</v>
      </c>
      <c r="AI1239">
        <v>1</v>
      </c>
      <c r="AJ1239">
        <v>13</v>
      </c>
      <c r="AK1239">
        <v>294</v>
      </c>
      <c r="AL1239">
        <v>294</v>
      </c>
      <c r="AM1239">
        <v>741</v>
      </c>
      <c r="AN1239">
        <v>44</v>
      </c>
      <c r="AP1239">
        <v>1</v>
      </c>
      <c r="AR1239" t="s">
        <v>1326</v>
      </c>
      <c r="AS1239" s="1">
        <v>44353.86246527778</v>
      </c>
      <c r="AT1239" s="1">
        <v>44353.864386574074</v>
      </c>
      <c r="AU1239" s="1">
        <v>44353.865162037036</v>
      </c>
      <c r="AV1239" t="s">
        <v>269</v>
      </c>
      <c r="AW1239" t="s">
        <v>270</v>
      </c>
      <c r="AX1239" t="s">
        <v>73</v>
      </c>
    </row>
    <row r="1240" spans="1:50" x14ac:dyDescent="0.3">
      <c r="A1240" t="str">
        <f>"200217C0400"</f>
        <v>200217C0400</v>
      </c>
      <c r="B1240" t="str">
        <f>"200217C04002"</f>
        <v>200217C04002</v>
      </c>
      <c r="C1240" t="str">
        <f t="shared" si="55"/>
        <v>20</v>
      </c>
      <c r="D1240" t="s">
        <v>67</v>
      </c>
      <c r="E1240" t="str">
        <f t="shared" si="56"/>
        <v>006</v>
      </c>
      <c r="F1240" t="s">
        <v>1254</v>
      </c>
      <c r="G1240" t="str">
        <f>"0217"</f>
        <v>0217</v>
      </c>
      <c r="H1240" t="str">
        <f>"0004"</f>
        <v>0004</v>
      </c>
      <c r="I1240" t="s">
        <v>75</v>
      </c>
      <c r="J1240">
        <v>0</v>
      </c>
      <c r="K1240">
        <v>1</v>
      </c>
      <c r="L1240">
        <v>2</v>
      </c>
      <c r="M1240">
        <v>494</v>
      </c>
      <c r="N1240">
        <v>290</v>
      </c>
      <c r="O1240">
        <v>1</v>
      </c>
      <c r="P1240">
        <v>290</v>
      </c>
      <c r="Q1240">
        <v>44</v>
      </c>
      <c r="R1240">
        <v>26</v>
      </c>
      <c r="S1240">
        <v>6</v>
      </c>
      <c r="T1240">
        <v>34</v>
      </c>
      <c r="U1240">
        <v>13</v>
      </c>
      <c r="V1240">
        <v>8</v>
      </c>
      <c r="W1240">
        <v>4</v>
      </c>
      <c r="X1240">
        <v>102</v>
      </c>
      <c r="Y1240">
        <v>23</v>
      </c>
      <c r="Z1240">
        <v>2</v>
      </c>
      <c r="AA1240">
        <v>5</v>
      </c>
      <c r="AB1240">
        <v>6</v>
      </c>
      <c r="AD1240">
        <v>1</v>
      </c>
      <c r="AE1240">
        <v>3</v>
      </c>
      <c r="AF1240">
        <v>0</v>
      </c>
      <c r="AG1240">
        <v>0</v>
      </c>
      <c r="AI1240">
        <v>0</v>
      </c>
      <c r="AJ1240">
        <v>13</v>
      </c>
      <c r="AK1240">
        <v>290</v>
      </c>
      <c r="AL1240">
        <v>290</v>
      </c>
      <c r="AM1240">
        <v>740</v>
      </c>
      <c r="AN1240">
        <v>44</v>
      </c>
      <c r="AP1240">
        <v>1</v>
      </c>
      <c r="AR1240" t="s">
        <v>1327</v>
      </c>
      <c r="AS1240" s="1">
        <v>44353.893148148149</v>
      </c>
      <c r="AT1240" s="1">
        <v>44353.894363425927</v>
      </c>
      <c r="AU1240" s="1">
        <v>44353.895046296297</v>
      </c>
      <c r="AV1240" t="s">
        <v>269</v>
      </c>
      <c r="AW1240" t="s">
        <v>270</v>
      </c>
      <c r="AX1240" t="s">
        <v>73</v>
      </c>
    </row>
    <row r="1241" spans="1:50" x14ac:dyDescent="0.3">
      <c r="A1241" t="str">
        <f>"200218B0000"</f>
        <v>200218B0000</v>
      </c>
      <c r="B1241" t="str">
        <f>"200218B00002"</f>
        <v>200218B00002</v>
      </c>
      <c r="C1241" t="str">
        <f t="shared" si="55"/>
        <v>20</v>
      </c>
      <c r="D1241" t="s">
        <v>67</v>
      </c>
      <c r="E1241" t="str">
        <f t="shared" si="56"/>
        <v>006</v>
      </c>
      <c r="F1241" t="s">
        <v>1254</v>
      </c>
      <c r="G1241" t="str">
        <f t="shared" ref="G1241:G1246" si="57">"0218"</f>
        <v>0218</v>
      </c>
      <c r="H1241" t="str">
        <f>"0000"</f>
        <v>0000</v>
      </c>
      <c r="I1241" t="s">
        <v>69</v>
      </c>
      <c r="J1241">
        <v>0</v>
      </c>
      <c r="K1241">
        <v>1</v>
      </c>
      <c r="L1241">
        <v>2</v>
      </c>
      <c r="M1241">
        <v>407</v>
      </c>
      <c r="N1241">
        <v>310</v>
      </c>
      <c r="O1241">
        <v>5</v>
      </c>
      <c r="P1241">
        <v>308</v>
      </c>
      <c r="Q1241">
        <v>30</v>
      </c>
      <c r="R1241">
        <v>43</v>
      </c>
      <c r="S1241">
        <v>2</v>
      </c>
      <c r="T1241">
        <v>32</v>
      </c>
      <c r="U1241">
        <v>22</v>
      </c>
      <c r="V1241">
        <v>5</v>
      </c>
      <c r="W1241">
        <v>2</v>
      </c>
      <c r="X1241">
        <v>108</v>
      </c>
      <c r="Y1241">
        <v>29</v>
      </c>
      <c r="Z1241">
        <v>5</v>
      </c>
      <c r="AA1241">
        <v>7</v>
      </c>
      <c r="AB1241">
        <v>5</v>
      </c>
      <c r="AD1241">
        <v>2</v>
      </c>
      <c r="AE1241">
        <v>3</v>
      </c>
      <c r="AF1241" t="s">
        <v>77</v>
      </c>
      <c r="AG1241" t="s">
        <v>77</v>
      </c>
      <c r="AI1241" t="s">
        <v>77</v>
      </c>
      <c r="AJ1241">
        <v>14</v>
      </c>
      <c r="AK1241">
        <v>308</v>
      </c>
      <c r="AL1241">
        <v>309</v>
      </c>
      <c r="AM1241">
        <v>673</v>
      </c>
      <c r="AN1241">
        <v>44</v>
      </c>
      <c r="AO1241" t="s">
        <v>78</v>
      </c>
      <c r="AP1241">
        <v>1</v>
      </c>
      <c r="AR1241" t="s">
        <v>1328</v>
      </c>
      <c r="AS1241" s="1">
        <v>44353.899699074071</v>
      </c>
      <c r="AT1241" s="1">
        <v>44353.90347222222</v>
      </c>
      <c r="AU1241" s="1">
        <v>44353.904108796298</v>
      </c>
      <c r="AV1241" t="s">
        <v>269</v>
      </c>
      <c r="AW1241" t="s">
        <v>270</v>
      </c>
      <c r="AX1241" t="s">
        <v>73</v>
      </c>
    </row>
    <row r="1242" spans="1:50" x14ac:dyDescent="0.3">
      <c r="A1242" t="str">
        <f>"200218C0100"</f>
        <v>200218C0100</v>
      </c>
      <c r="B1242" t="str">
        <f>"200218C01002"</f>
        <v>200218C01002</v>
      </c>
      <c r="C1242" t="str">
        <f t="shared" si="55"/>
        <v>20</v>
      </c>
      <c r="D1242" t="s">
        <v>67</v>
      </c>
      <c r="E1242" t="str">
        <f t="shared" si="56"/>
        <v>006</v>
      </c>
      <c r="F1242" t="s">
        <v>1254</v>
      </c>
      <c r="G1242" t="str">
        <f t="shared" si="57"/>
        <v>0218</v>
      </c>
      <c r="H1242" t="str">
        <f>"0001"</f>
        <v>0001</v>
      </c>
      <c r="I1242" t="s">
        <v>75</v>
      </c>
      <c r="J1242">
        <v>0</v>
      </c>
      <c r="K1242">
        <v>1</v>
      </c>
      <c r="L1242">
        <v>2</v>
      </c>
      <c r="M1242">
        <v>412</v>
      </c>
      <c r="N1242">
        <v>305</v>
      </c>
      <c r="O1242">
        <v>2</v>
      </c>
      <c r="P1242">
        <v>305</v>
      </c>
      <c r="Q1242">
        <v>46</v>
      </c>
      <c r="R1242">
        <v>53</v>
      </c>
      <c r="S1242">
        <v>3</v>
      </c>
      <c r="T1242">
        <v>32</v>
      </c>
      <c r="U1242">
        <v>22</v>
      </c>
      <c r="V1242">
        <v>3</v>
      </c>
      <c r="W1242">
        <v>5</v>
      </c>
      <c r="X1242">
        <v>94</v>
      </c>
      <c r="Y1242">
        <v>16</v>
      </c>
      <c r="Z1242">
        <v>3</v>
      </c>
      <c r="AA1242">
        <v>8</v>
      </c>
      <c r="AB1242">
        <v>7</v>
      </c>
      <c r="AD1242">
        <v>2</v>
      </c>
      <c r="AE1242">
        <v>2</v>
      </c>
      <c r="AF1242">
        <v>0</v>
      </c>
      <c r="AG1242">
        <v>0</v>
      </c>
      <c r="AI1242">
        <v>0</v>
      </c>
      <c r="AJ1242">
        <v>9</v>
      </c>
      <c r="AK1242">
        <v>305</v>
      </c>
      <c r="AL1242">
        <v>305</v>
      </c>
      <c r="AM1242">
        <v>673</v>
      </c>
      <c r="AN1242">
        <v>44</v>
      </c>
      <c r="AP1242">
        <v>1</v>
      </c>
      <c r="AR1242" t="s">
        <v>1329</v>
      </c>
      <c r="AS1242" s="1">
        <v>44353.930428240739</v>
      </c>
      <c r="AT1242" s="1">
        <v>44353.932743055557</v>
      </c>
      <c r="AU1242" s="1">
        <v>44353.933703703704</v>
      </c>
      <c r="AV1242" t="s">
        <v>269</v>
      </c>
      <c r="AW1242" t="s">
        <v>270</v>
      </c>
      <c r="AX1242" t="s">
        <v>73</v>
      </c>
    </row>
    <row r="1243" spans="1:50" x14ac:dyDescent="0.3">
      <c r="A1243" t="str">
        <f>"200218C0200"</f>
        <v>200218C0200</v>
      </c>
      <c r="B1243" t="str">
        <f>"200218C02002"</f>
        <v>200218C02002</v>
      </c>
      <c r="C1243" t="str">
        <f t="shared" si="55"/>
        <v>20</v>
      </c>
      <c r="D1243" t="s">
        <v>67</v>
      </c>
      <c r="E1243" t="str">
        <f t="shared" si="56"/>
        <v>006</v>
      </c>
      <c r="F1243" t="s">
        <v>1254</v>
      </c>
      <c r="G1243" t="str">
        <f t="shared" si="57"/>
        <v>0218</v>
      </c>
      <c r="H1243" t="str">
        <f>"0002"</f>
        <v>0002</v>
      </c>
      <c r="I1243" t="s">
        <v>75</v>
      </c>
      <c r="J1243">
        <v>0</v>
      </c>
      <c r="K1243">
        <v>1</v>
      </c>
      <c r="L1243">
        <v>2</v>
      </c>
      <c r="M1243">
        <v>413</v>
      </c>
      <c r="N1243">
        <v>304</v>
      </c>
      <c r="O1243">
        <v>0</v>
      </c>
      <c r="P1243" t="s">
        <v>80</v>
      </c>
      <c r="Q1243">
        <v>40</v>
      </c>
      <c r="R1243">
        <v>51</v>
      </c>
      <c r="S1243">
        <v>2</v>
      </c>
      <c r="T1243">
        <v>30</v>
      </c>
      <c r="U1243">
        <v>17</v>
      </c>
      <c r="V1243">
        <v>6</v>
      </c>
      <c r="W1243">
        <v>5</v>
      </c>
      <c r="X1243">
        <v>85</v>
      </c>
      <c r="Y1243">
        <v>32</v>
      </c>
      <c r="Z1243">
        <v>3</v>
      </c>
      <c r="AA1243">
        <v>7</v>
      </c>
      <c r="AB1243">
        <v>8</v>
      </c>
      <c r="AD1243">
        <v>3</v>
      </c>
      <c r="AE1243">
        <v>1</v>
      </c>
      <c r="AF1243">
        <v>1</v>
      </c>
      <c r="AG1243">
        <v>0</v>
      </c>
      <c r="AI1243">
        <v>0</v>
      </c>
      <c r="AJ1243">
        <v>14</v>
      </c>
      <c r="AK1243">
        <v>304</v>
      </c>
      <c r="AL1243">
        <v>305</v>
      </c>
      <c r="AM1243">
        <v>673</v>
      </c>
      <c r="AN1243">
        <v>44</v>
      </c>
      <c r="AP1243">
        <v>1</v>
      </c>
      <c r="AR1243" t="s">
        <v>1330</v>
      </c>
      <c r="AS1243" s="1">
        <v>44353.981319444443</v>
      </c>
      <c r="AT1243" s="1">
        <v>44353.982893518521</v>
      </c>
      <c r="AU1243" s="1">
        <v>44353.983483796299</v>
      </c>
      <c r="AV1243" t="s">
        <v>269</v>
      </c>
      <c r="AW1243" t="s">
        <v>270</v>
      </c>
      <c r="AX1243" t="s">
        <v>73</v>
      </c>
    </row>
    <row r="1244" spans="1:50" x14ac:dyDescent="0.3">
      <c r="A1244" t="str">
        <f>"200218C0300"</f>
        <v>200218C0300</v>
      </c>
      <c r="B1244" t="str">
        <f>"200218C03002"</f>
        <v>200218C03002</v>
      </c>
      <c r="C1244" t="str">
        <f t="shared" si="55"/>
        <v>20</v>
      </c>
      <c r="D1244" t="s">
        <v>67</v>
      </c>
      <c r="E1244" t="str">
        <f t="shared" si="56"/>
        <v>006</v>
      </c>
      <c r="F1244" t="s">
        <v>1254</v>
      </c>
      <c r="G1244" t="str">
        <f t="shared" si="57"/>
        <v>0218</v>
      </c>
      <c r="H1244" t="str">
        <f>"0003"</f>
        <v>0003</v>
      </c>
      <c r="I1244" t="s">
        <v>75</v>
      </c>
      <c r="J1244">
        <v>0</v>
      </c>
      <c r="K1244">
        <v>1</v>
      </c>
      <c r="L1244">
        <v>2</v>
      </c>
      <c r="M1244">
        <v>394</v>
      </c>
      <c r="N1244">
        <v>323</v>
      </c>
      <c r="O1244">
        <v>1</v>
      </c>
      <c r="P1244">
        <v>323</v>
      </c>
      <c r="Q1244">
        <v>47</v>
      </c>
      <c r="R1244">
        <v>25</v>
      </c>
      <c r="S1244">
        <v>3</v>
      </c>
      <c r="T1244">
        <v>34</v>
      </c>
      <c r="U1244">
        <v>19</v>
      </c>
      <c r="V1244">
        <v>5</v>
      </c>
      <c r="W1244">
        <v>6</v>
      </c>
      <c r="X1244">
        <v>138</v>
      </c>
      <c r="Y1244">
        <v>20</v>
      </c>
      <c r="Z1244">
        <v>2</v>
      </c>
      <c r="AA1244">
        <v>2</v>
      </c>
      <c r="AB1244">
        <v>9</v>
      </c>
      <c r="AD1244">
        <v>1</v>
      </c>
      <c r="AE1244">
        <v>2</v>
      </c>
      <c r="AF1244">
        <v>0</v>
      </c>
      <c r="AG1244">
        <v>0</v>
      </c>
      <c r="AI1244">
        <v>0</v>
      </c>
      <c r="AJ1244">
        <v>10</v>
      </c>
      <c r="AK1244">
        <v>323</v>
      </c>
      <c r="AL1244">
        <v>323</v>
      </c>
      <c r="AM1244">
        <v>673</v>
      </c>
      <c r="AN1244">
        <v>44</v>
      </c>
      <c r="AP1244">
        <v>1</v>
      </c>
      <c r="AR1244" t="s">
        <v>1331</v>
      </c>
      <c r="AS1244" s="1">
        <v>44353.944456018522</v>
      </c>
      <c r="AT1244" s="1">
        <v>44353.946192129632</v>
      </c>
      <c r="AU1244" s="1">
        <v>44353.946608796294</v>
      </c>
      <c r="AV1244" t="s">
        <v>269</v>
      </c>
      <c r="AW1244" t="s">
        <v>270</v>
      </c>
      <c r="AX1244" t="s">
        <v>73</v>
      </c>
    </row>
    <row r="1245" spans="1:50" x14ac:dyDescent="0.3">
      <c r="A1245" t="str">
        <f>"200218C0400"</f>
        <v>200218C0400</v>
      </c>
      <c r="B1245" t="str">
        <f>"200218C04002"</f>
        <v>200218C04002</v>
      </c>
      <c r="C1245" t="str">
        <f t="shared" si="55"/>
        <v>20</v>
      </c>
      <c r="D1245" t="s">
        <v>67</v>
      </c>
      <c r="E1245" t="str">
        <f t="shared" si="56"/>
        <v>006</v>
      </c>
      <c r="F1245" t="s">
        <v>1254</v>
      </c>
      <c r="G1245" t="str">
        <f t="shared" si="57"/>
        <v>0218</v>
      </c>
      <c r="H1245" t="str">
        <f>"0004"</f>
        <v>0004</v>
      </c>
      <c r="I1245" t="s">
        <v>75</v>
      </c>
      <c r="J1245">
        <v>0</v>
      </c>
      <c r="K1245">
        <v>1</v>
      </c>
      <c r="L1245">
        <v>2</v>
      </c>
      <c r="M1245">
        <v>417</v>
      </c>
      <c r="N1245">
        <v>299</v>
      </c>
      <c r="O1245">
        <v>5</v>
      </c>
      <c r="P1245">
        <v>3</v>
      </c>
      <c r="Q1245">
        <v>53</v>
      </c>
      <c r="R1245">
        <v>28</v>
      </c>
      <c r="S1245">
        <v>5</v>
      </c>
      <c r="T1245">
        <v>26</v>
      </c>
      <c r="U1245">
        <v>17</v>
      </c>
      <c r="V1245">
        <v>5</v>
      </c>
      <c r="W1245">
        <v>2</v>
      </c>
      <c r="X1245">
        <v>111</v>
      </c>
      <c r="Y1245">
        <v>18</v>
      </c>
      <c r="Z1245">
        <v>4</v>
      </c>
      <c r="AA1245">
        <v>7</v>
      </c>
      <c r="AB1245">
        <v>17</v>
      </c>
      <c r="AD1245">
        <v>1</v>
      </c>
      <c r="AE1245">
        <v>0</v>
      </c>
      <c r="AF1245">
        <v>0</v>
      </c>
      <c r="AG1245">
        <v>0</v>
      </c>
      <c r="AI1245">
        <v>1</v>
      </c>
      <c r="AJ1245">
        <v>5</v>
      </c>
      <c r="AK1245">
        <v>296</v>
      </c>
      <c r="AL1245">
        <v>300</v>
      </c>
      <c r="AM1245">
        <v>672</v>
      </c>
      <c r="AN1245">
        <v>44</v>
      </c>
      <c r="AP1245">
        <v>1</v>
      </c>
      <c r="AR1245" t="s">
        <v>1332</v>
      </c>
      <c r="AS1245" s="1">
        <v>44353.946527777778</v>
      </c>
      <c r="AT1245" s="1">
        <v>44353.948194444441</v>
      </c>
      <c r="AU1245" s="1">
        <v>44353.948506944442</v>
      </c>
      <c r="AV1245" t="s">
        <v>269</v>
      </c>
      <c r="AW1245" t="s">
        <v>270</v>
      </c>
      <c r="AX1245" t="s">
        <v>73</v>
      </c>
    </row>
    <row r="1246" spans="1:50" x14ac:dyDescent="0.3">
      <c r="A1246" t="str">
        <f>"200218C0500"</f>
        <v>200218C0500</v>
      </c>
      <c r="B1246" t="str">
        <f>"200218C05002"</f>
        <v>200218C05002</v>
      </c>
      <c r="C1246" t="str">
        <f t="shared" si="55"/>
        <v>20</v>
      </c>
      <c r="D1246" t="s">
        <v>67</v>
      </c>
      <c r="E1246" t="str">
        <f t="shared" si="56"/>
        <v>006</v>
      </c>
      <c r="F1246" t="s">
        <v>1254</v>
      </c>
      <c r="G1246" t="str">
        <f t="shared" si="57"/>
        <v>0218</v>
      </c>
      <c r="H1246" t="str">
        <f>"0005"</f>
        <v>0005</v>
      </c>
      <c r="I1246" t="s">
        <v>75</v>
      </c>
      <c r="J1246">
        <v>0</v>
      </c>
      <c r="K1246">
        <v>1</v>
      </c>
      <c r="L1246">
        <v>2</v>
      </c>
      <c r="M1246">
        <v>399</v>
      </c>
      <c r="N1246">
        <v>317</v>
      </c>
      <c r="O1246">
        <v>4</v>
      </c>
      <c r="P1246">
        <v>317</v>
      </c>
      <c r="Q1246">
        <v>39</v>
      </c>
      <c r="R1246">
        <v>34</v>
      </c>
      <c r="S1246">
        <v>1</v>
      </c>
      <c r="T1246">
        <v>29</v>
      </c>
      <c r="U1246">
        <v>19</v>
      </c>
      <c r="V1246">
        <v>8</v>
      </c>
      <c r="W1246">
        <v>2</v>
      </c>
      <c r="X1246">
        <v>122</v>
      </c>
      <c r="Y1246">
        <v>34</v>
      </c>
      <c r="Z1246">
        <v>1</v>
      </c>
      <c r="AA1246">
        <v>10</v>
      </c>
      <c r="AB1246">
        <v>7</v>
      </c>
      <c r="AD1246">
        <v>1</v>
      </c>
      <c r="AE1246">
        <v>1</v>
      </c>
      <c r="AF1246">
        <v>1</v>
      </c>
      <c r="AG1246">
        <v>0</v>
      </c>
      <c r="AI1246">
        <v>0</v>
      </c>
      <c r="AJ1246">
        <v>8</v>
      </c>
      <c r="AK1246">
        <v>317</v>
      </c>
      <c r="AL1246">
        <v>317</v>
      </c>
      <c r="AM1246">
        <v>672</v>
      </c>
      <c r="AN1246">
        <v>44</v>
      </c>
      <c r="AP1246">
        <v>1</v>
      </c>
      <c r="AR1246" t="s">
        <v>1333</v>
      </c>
      <c r="AS1246" s="1">
        <v>44353.920520833337</v>
      </c>
      <c r="AT1246" s="1">
        <v>44353.922025462962</v>
      </c>
      <c r="AU1246" s="1">
        <v>44353.92454861111</v>
      </c>
      <c r="AV1246" t="s">
        <v>269</v>
      </c>
      <c r="AW1246" t="s">
        <v>270</v>
      </c>
      <c r="AX1246" t="s">
        <v>73</v>
      </c>
    </row>
    <row r="1247" spans="1:50" x14ac:dyDescent="0.3">
      <c r="A1247" t="str">
        <f>"200219B0000"</f>
        <v>200219B0000</v>
      </c>
      <c r="B1247" t="str">
        <f>"200219B00002"</f>
        <v>200219B00002</v>
      </c>
      <c r="C1247" t="str">
        <f t="shared" si="55"/>
        <v>20</v>
      </c>
      <c r="D1247" t="s">
        <v>67</v>
      </c>
      <c r="E1247" t="str">
        <f t="shared" si="56"/>
        <v>006</v>
      </c>
      <c r="F1247" t="s">
        <v>1254</v>
      </c>
      <c r="G1247" t="str">
        <f>"0219"</f>
        <v>0219</v>
      </c>
      <c r="H1247" t="str">
        <f>"0000"</f>
        <v>0000</v>
      </c>
      <c r="I1247" t="s">
        <v>69</v>
      </c>
      <c r="J1247">
        <v>0</v>
      </c>
      <c r="K1247">
        <v>1</v>
      </c>
      <c r="L1247">
        <v>2</v>
      </c>
      <c r="M1247">
        <v>314</v>
      </c>
      <c r="N1247">
        <v>316</v>
      </c>
      <c r="O1247">
        <v>3</v>
      </c>
      <c r="P1247" t="s">
        <v>80</v>
      </c>
      <c r="Q1247">
        <v>65</v>
      </c>
      <c r="R1247">
        <v>31</v>
      </c>
      <c r="S1247">
        <v>6</v>
      </c>
      <c r="T1247">
        <v>31</v>
      </c>
      <c r="U1247">
        <v>22</v>
      </c>
      <c r="V1247">
        <v>3</v>
      </c>
      <c r="W1247">
        <v>2</v>
      </c>
      <c r="X1247">
        <v>115</v>
      </c>
      <c r="Y1247">
        <v>21</v>
      </c>
      <c r="Z1247">
        <v>1</v>
      </c>
      <c r="AA1247">
        <v>4</v>
      </c>
      <c r="AB1247">
        <v>3</v>
      </c>
      <c r="AD1247">
        <v>1</v>
      </c>
      <c r="AE1247">
        <v>1</v>
      </c>
      <c r="AF1247">
        <v>1</v>
      </c>
      <c r="AG1247">
        <v>0</v>
      </c>
      <c r="AI1247">
        <v>0</v>
      </c>
      <c r="AJ1247">
        <v>9</v>
      </c>
      <c r="AK1247">
        <v>316</v>
      </c>
      <c r="AL1247">
        <v>316</v>
      </c>
      <c r="AM1247">
        <v>586</v>
      </c>
      <c r="AN1247">
        <v>44</v>
      </c>
      <c r="AP1247">
        <v>1</v>
      </c>
      <c r="AR1247" t="s">
        <v>1334</v>
      </c>
      <c r="AS1247" s="1">
        <v>44354.008333333331</v>
      </c>
      <c r="AT1247" s="1">
        <v>44354.015763888892</v>
      </c>
      <c r="AU1247" s="1">
        <v>44354.016122685185</v>
      </c>
      <c r="AV1247" t="s">
        <v>71</v>
      </c>
      <c r="AW1247" t="s">
        <v>72</v>
      </c>
      <c r="AX1247" t="s">
        <v>73</v>
      </c>
    </row>
    <row r="1248" spans="1:50" x14ac:dyDescent="0.3">
      <c r="A1248" t="str">
        <f>"200219C0100"</f>
        <v>200219C0100</v>
      </c>
      <c r="B1248" t="str">
        <f>"200219C01002"</f>
        <v>200219C01002</v>
      </c>
      <c r="C1248" t="str">
        <f t="shared" si="55"/>
        <v>20</v>
      </c>
      <c r="D1248" t="s">
        <v>67</v>
      </c>
      <c r="E1248" t="str">
        <f t="shared" si="56"/>
        <v>006</v>
      </c>
      <c r="F1248" t="s">
        <v>1254</v>
      </c>
      <c r="G1248" t="str">
        <f>"0219"</f>
        <v>0219</v>
      </c>
      <c r="H1248" t="str">
        <f>"0001"</f>
        <v>0001</v>
      </c>
      <c r="I1248" t="s">
        <v>75</v>
      </c>
      <c r="J1248">
        <v>0</v>
      </c>
      <c r="K1248">
        <v>1</v>
      </c>
      <c r="L1248">
        <v>2</v>
      </c>
      <c r="M1248">
        <v>308</v>
      </c>
      <c r="N1248">
        <v>322</v>
      </c>
      <c r="O1248">
        <v>2</v>
      </c>
      <c r="P1248">
        <v>322</v>
      </c>
      <c r="Q1248">
        <v>64</v>
      </c>
      <c r="R1248">
        <v>33</v>
      </c>
      <c r="S1248">
        <v>6</v>
      </c>
      <c r="T1248">
        <v>37</v>
      </c>
      <c r="U1248">
        <v>20</v>
      </c>
      <c r="V1248">
        <v>3</v>
      </c>
      <c r="W1248">
        <v>4</v>
      </c>
      <c r="X1248">
        <v>100</v>
      </c>
      <c r="Y1248">
        <v>26</v>
      </c>
      <c r="Z1248">
        <v>1</v>
      </c>
      <c r="AA1248">
        <v>4</v>
      </c>
      <c r="AB1248">
        <v>10</v>
      </c>
      <c r="AD1248">
        <v>0</v>
      </c>
      <c r="AE1248">
        <v>3</v>
      </c>
      <c r="AF1248">
        <v>0</v>
      </c>
      <c r="AG1248">
        <v>0</v>
      </c>
      <c r="AI1248">
        <v>0</v>
      </c>
      <c r="AJ1248">
        <v>11</v>
      </c>
      <c r="AK1248">
        <v>322</v>
      </c>
      <c r="AL1248">
        <v>322</v>
      </c>
      <c r="AM1248">
        <v>586</v>
      </c>
      <c r="AN1248">
        <v>44</v>
      </c>
      <c r="AP1248">
        <v>1</v>
      </c>
      <c r="AR1248" t="s">
        <v>1335</v>
      </c>
      <c r="AS1248" s="1">
        <v>44354.011805555558</v>
      </c>
      <c r="AT1248" s="1">
        <v>44354.019305555557</v>
      </c>
      <c r="AU1248" s="1">
        <v>44354.019942129627</v>
      </c>
      <c r="AV1248" t="s">
        <v>71</v>
      </c>
      <c r="AW1248" t="s">
        <v>72</v>
      </c>
      <c r="AX1248" t="s">
        <v>73</v>
      </c>
    </row>
    <row r="1249" spans="1:50" x14ac:dyDescent="0.3">
      <c r="A1249" t="str">
        <f>"200219C0200"</f>
        <v>200219C0200</v>
      </c>
      <c r="B1249" t="str">
        <f>"200219C02002"</f>
        <v>200219C02002</v>
      </c>
      <c r="C1249" t="str">
        <f t="shared" si="55"/>
        <v>20</v>
      </c>
      <c r="D1249" t="s">
        <v>67</v>
      </c>
      <c r="E1249" t="str">
        <f t="shared" si="56"/>
        <v>006</v>
      </c>
      <c r="F1249" t="s">
        <v>1254</v>
      </c>
      <c r="G1249" t="str">
        <f>"0219"</f>
        <v>0219</v>
      </c>
      <c r="H1249" t="str">
        <f>"0002"</f>
        <v>0002</v>
      </c>
      <c r="I1249" t="s">
        <v>75</v>
      </c>
      <c r="J1249">
        <v>0</v>
      </c>
      <c r="K1249">
        <v>1</v>
      </c>
      <c r="L1249">
        <v>2</v>
      </c>
      <c r="M1249">
        <v>317</v>
      </c>
      <c r="N1249">
        <v>313</v>
      </c>
      <c r="O1249">
        <v>5</v>
      </c>
      <c r="P1249">
        <v>313</v>
      </c>
      <c r="Q1249">
        <v>52</v>
      </c>
      <c r="R1249">
        <v>25</v>
      </c>
      <c r="S1249">
        <v>5</v>
      </c>
      <c r="T1249">
        <v>31</v>
      </c>
      <c r="U1249">
        <v>14</v>
      </c>
      <c r="V1249">
        <v>9</v>
      </c>
      <c r="W1249">
        <v>1</v>
      </c>
      <c r="X1249">
        <v>123</v>
      </c>
      <c r="Y1249">
        <v>18</v>
      </c>
      <c r="Z1249">
        <v>3</v>
      </c>
      <c r="AA1249">
        <v>9</v>
      </c>
      <c r="AB1249">
        <v>9</v>
      </c>
      <c r="AD1249">
        <v>5</v>
      </c>
      <c r="AE1249">
        <v>0</v>
      </c>
      <c r="AF1249">
        <v>0</v>
      </c>
      <c r="AG1249">
        <v>0</v>
      </c>
      <c r="AI1249">
        <v>0</v>
      </c>
      <c r="AJ1249">
        <v>9</v>
      </c>
      <c r="AK1249">
        <v>313</v>
      </c>
      <c r="AL1249">
        <v>313</v>
      </c>
      <c r="AM1249">
        <v>586</v>
      </c>
      <c r="AN1249">
        <v>44</v>
      </c>
      <c r="AP1249">
        <v>1</v>
      </c>
      <c r="AR1249" t="s">
        <v>1336</v>
      </c>
      <c r="AS1249" s="1">
        <v>44354.012499999997</v>
      </c>
      <c r="AT1249" s="1">
        <v>44354.02071759259</v>
      </c>
      <c r="AU1249" s="1">
        <v>44354.021990740737</v>
      </c>
      <c r="AV1249" t="s">
        <v>71</v>
      </c>
      <c r="AW1249" t="s">
        <v>72</v>
      </c>
      <c r="AX1249" t="s">
        <v>73</v>
      </c>
    </row>
    <row r="1250" spans="1:50" x14ac:dyDescent="0.3">
      <c r="A1250" t="str">
        <f>"200219C0300"</f>
        <v>200219C0300</v>
      </c>
      <c r="B1250" t="str">
        <f>"200219C03002"</f>
        <v>200219C03002</v>
      </c>
      <c r="C1250" t="str">
        <f t="shared" si="55"/>
        <v>20</v>
      </c>
      <c r="D1250" t="s">
        <v>67</v>
      </c>
      <c r="E1250" t="str">
        <f t="shared" si="56"/>
        <v>006</v>
      </c>
      <c r="F1250" t="s">
        <v>1254</v>
      </c>
      <c r="G1250" t="str">
        <f>"0219"</f>
        <v>0219</v>
      </c>
      <c r="H1250" t="str">
        <f>"0003"</f>
        <v>0003</v>
      </c>
      <c r="I1250" t="s">
        <v>75</v>
      </c>
      <c r="J1250">
        <v>0</v>
      </c>
      <c r="K1250">
        <v>1</v>
      </c>
      <c r="L1250">
        <v>2</v>
      </c>
      <c r="M1250">
        <v>342</v>
      </c>
      <c r="N1250">
        <v>288</v>
      </c>
      <c r="O1250">
        <v>3</v>
      </c>
      <c r="P1250" t="s">
        <v>80</v>
      </c>
      <c r="Q1250">
        <v>49</v>
      </c>
      <c r="R1250">
        <v>35</v>
      </c>
      <c r="S1250">
        <v>1</v>
      </c>
      <c r="T1250">
        <v>28</v>
      </c>
      <c r="U1250">
        <v>14</v>
      </c>
      <c r="V1250">
        <v>7</v>
      </c>
      <c r="W1250">
        <v>1</v>
      </c>
      <c r="X1250">
        <v>108</v>
      </c>
      <c r="Y1250">
        <v>24</v>
      </c>
      <c r="Z1250">
        <v>0</v>
      </c>
      <c r="AA1250">
        <v>5</v>
      </c>
      <c r="AB1250">
        <v>5</v>
      </c>
      <c r="AD1250">
        <v>1</v>
      </c>
      <c r="AE1250">
        <v>3</v>
      </c>
      <c r="AF1250">
        <v>0</v>
      </c>
      <c r="AG1250">
        <v>0</v>
      </c>
      <c r="AI1250">
        <v>0</v>
      </c>
      <c r="AJ1250">
        <v>7</v>
      </c>
      <c r="AK1250">
        <v>288</v>
      </c>
      <c r="AL1250">
        <v>288</v>
      </c>
      <c r="AM1250">
        <v>586</v>
      </c>
      <c r="AN1250">
        <v>44</v>
      </c>
      <c r="AP1250">
        <v>1</v>
      </c>
      <c r="AR1250" t="s">
        <v>1337</v>
      </c>
      <c r="AS1250" s="1">
        <v>44354.007638888892</v>
      </c>
      <c r="AT1250" s="1">
        <v>44354.013472222221</v>
      </c>
      <c r="AU1250" s="1">
        <v>44354.013761574075</v>
      </c>
      <c r="AV1250" t="s">
        <v>71</v>
      </c>
      <c r="AW1250" t="s">
        <v>72</v>
      </c>
      <c r="AX1250" t="s">
        <v>73</v>
      </c>
    </row>
    <row r="1251" spans="1:50" x14ac:dyDescent="0.3">
      <c r="A1251" t="str">
        <f>"200220B0000"</f>
        <v>200220B0000</v>
      </c>
      <c r="B1251" t="str">
        <f>"200220B00002"</f>
        <v>200220B00002</v>
      </c>
      <c r="C1251" t="str">
        <f t="shared" si="55"/>
        <v>20</v>
      </c>
      <c r="D1251" t="s">
        <v>67</v>
      </c>
      <c r="E1251" t="str">
        <f t="shared" si="56"/>
        <v>006</v>
      </c>
      <c r="F1251" t="s">
        <v>1254</v>
      </c>
      <c r="G1251" t="str">
        <f t="shared" ref="G1251:G1256" si="58">"0220"</f>
        <v>0220</v>
      </c>
      <c r="H1251" t="str">
        <f>"0000"</f>
        <v>0000</v>
      </c>
      <c r="I1251" t="s">
        <v>69</v>
      </c>
      <c r="J1251">
        <v>0</v>
      </c>
      <c r="K1251">
        <v>1</v>
      </c>
      <c r="L1251">
        <v>2</v>
      </c>
      <c r="M1251">
        <v>321</v>
      </c>
      <c r="N1251">
        <v>331</v>
      </c>
      <c r="O1251">
        <v>5</v>
      </c>
      <c r="P1251">
        <v>330</v>
      </c>
      <c r="Q1251">
        <v>70</v>
      </c>
      <c r="R1251">
        <v>25</v>
      </c>
      <c r="S1251">
        <v>1</v>
      </c>
      <c r="T1251">
        <v>37</v>
      </c>
      <c r="U1251">
        <v>24</v>
      </c>
      <c r="V1251">
        <v>4</v>
      </c>
      <c r="W1251">
        <v>4</v>
      </c>
      <c r="X1251">
        <v>108</v>
      </c>
      <c r="Y1251">
        <v>27</v>
      </c>
      <c r="Z1251">
        <v>4</v>
      </c>
      <c r="AA1251">
        <v>5</v>
      </c>
      <c r="AB1251">
        <v>9</v>
      </c>
      <c r="AD1251">
        <v>1</v>
      </c>
      <c r="AE1251">
        <v>3</v>
      </c>
      <c r="AF1251">
        <v>0</v>
      </c>
      <c r="AG1251">
        <v>0</v>
      </c>
      <c r="AI1251">
        <v>0</v>
      </c>
      <c r="AJ1251">
        <v>8</v>
      </c>
      <c r="AK1251">
        <v>330</v>
      </c>
      <c r="AL1251">
        <v>330</v>
      </c>
      <c r="AM1251">
        <v>608</v>
      </c>
      <c r="AN1251">
        <v>44</v>
      </c>
      <c r="AP1251">
        <v>1</v>
      </c>
      <c r="AR1251" t="s">
        <v>1338</v>
      </c>
      <c r="AS1251" s="1">
        <v>44353.920381944445</v>
      </c>
      <c r="AT1251" s="1">
        <v>44353.922361111108</v>
      </c>
      <c r="AU1251" s="1">
        <v>44353.923425925925</v>
      </c>
      <c r="AV1251" t="s">
        <v>269</v>
      </c>
      <c r="AW1251" t="s">
        <v>270</v>
      </c>
      <c r="AX1251" t="s">
        <v>73</v>
      </c>
    </row>
    <row r="1252" spans="1:50" x14ac:dyDescent="0.3">
      <c r="A1252" t="str">
        <f>"200220C0100"</f>
        <v>200220C0100</v>
      </c>
      <c r="B1252" t="str">
        <f>"200220C01002"</f>
        <v>200220C01002</v>
      </c>
      <c r="C1252" t="str">
        <f t="shared" si="55"/>
        <v>20</v>
      </c>
      <c r="D1252" t="s">
        <v>67</v>
      </c>
      <c r="E1252" t="str">
        <f t="shared" si="56"/>
        <v>006</v>
      </c>
      <c r="F1252" t="s">
        <v>1254</v>
      </c>
      <c r="G1252" t="str">
        <f t="shared" si="58"/>
        <v>0220</v>
      </c>
      <c r="H1252" t="str">
        <f>"0001"</f>
        <v>0001</v>
      </c>
      <c r="I1252" t="s">
        <v>75</v>
      </c>
      <c r="J1252">
        <v>0</v>
      </c>
      <c r="K1252">
        <v>1</v>
      </c>
      <c r="L1252">
        <v>2</v>
      </c>
      <c r="M1252">
        <v>351</v>
      </c>
      <c r="N1252">
        <v>301</v>
      </c>
      <c r="O1252">
        <v>5</v>
      </c>
      <c r="P1252" t="s">
        <v>80</v>
      </c>
      <c r="Q1252">
        <v>68</v>
      </c>
      <c r="R1252">
        <v>25</v>
      </c>
      <c r="S1252">
        <v>4</v>
      </c>
      <c r="T1252">
        <v>30</v>
      </c>
      <c r="U1252">
        <v>13</v>
      </c>
      <c r="V1252">
        <v>5</v>
      </c>
      <c r="W1252">
        <v>3</v>
      </c>
      <c r="X1252">
        <v>88</v>
      </c>
      <c r="Y1252">
        <v>30</v>
      </c>
      <c r="Z1252">
        <v>8</v>
      </c>
      <c r="AA1252">
        <v>4</v>
      </c>
      <c r="AB1252">
        <v>8</v>
      </c>
      <c r="AD1252">
        <v>1</v>
      </c>
      <c r="AE1252">
        <v>1</v>
      </c>
      <c r="AF1252">
        <v>0</v>
      </c>
      <c r="AG1252">
        <v>0</v>
      </c>
      <c r="AI1252">
        <v>0</v>
      </c>
      <c r="AJ1252">
        <v>14</v>
      </c>
      <c r="AK1252">
        <v>302</v>
      </c>
      <c r="AL1252">
        <v>302</v>
      </c>
      <c r="AM1252">
        <v>608</v>
      </c>
      <c r="AN1252">
        <v>44</v>
      </c>
      <c r="AP1252">
        <v>1</v>
      </c>
      <c r="AR1252" t="s">
        <v>1339</v>
      </c>
      <c r="AS1252" s="1">
        <v>44353.916041666664</v>
      </c>
      <c r="AT1252" s="1">
        <v>44353.917546296296</v>
      </c>
      <c r="AU1252" s="1">
        <v>44353.918611111112</v>
      </c>
      <c r="AV1252" t="s">
        <v>269</v>
      </c>
      <c r="AW1252" t="s">
        <v>270</v>
      </c>
      <c r="AX1252" t="s">
        <v>73</v>
      </c>
    </row>
    <row r="1253" spans="1:50" x14ac:dyDescent="0.3">
      <c r="A1253" t="str">
        <f>"200220C0200"</f>
        <v>200220C0200</v>
      </c>
      <c r="B1253" t="str">
        <f>"200220C02002"</f>
        <v>200220C02002</v>
      </c>
      <c r="C1253" t="str">
        <f t="shared" si="55"/>
        <v>20</v>
      </c>
      <c r="D1253" t="s">
        <v>67</v>
      </c>
      <c r="E1253" t="str">
        <f t="shared" si="56"/>
        <v>006</v>
      </c>
      <c r="F1253" t="s">
        <v>1254</v>
      </c>
      <c r="G1253" t="str">
        <f t="shared" si="58"/>
        <v>0220</v>
      </c>
      <c r="H1253" t="str">
        <f>"0002"</f>
        <v>0002</v>
      </c>
      <c r="I1253" t="s">
        <v>75</v>
      </c>
      <c r="J1253">
        <v>0</v>
      </c>
      <c r="K1253">
        <v>1</v>
      </c>
      <c r="L1253">
        <v>2</v>
      </c>
      <c r="M1253">
        <v>365</v>
      </c>
      <c r="N1253">
        <v>286</v>
      </c>
      <c r="O1253">
        <v>6</v>
      </c>
      <c r="P1253">
        <v>285</v>
      </c>
      <c r="Q1253">
        <v>51</v>
      </c>
      <c r="R1253">
        <v>22</v>
      </c>
      <c r="S1253">
        <v>1</v>
      </c>
      <c r="T1253">
        <v>28</v>
      </c>
      <c r="U1253">
        <v>23</v>
      </c>
      <c r="V1253">
        <v>6</v>
      </c>
      <c r="W1253">
        <v>1</v>
      </c>
      <c r="X1253">
        <v>114</v>
      </c>
      <c r="Y1253">
        <v>11</v>
      </c>
      <c r="Z1253">
        <v>4</v>
      </c>
      <c r="AA1253">
        <v>4</v>
      </c>
      <c r="AB1253">
        <v>5</v>
      </c>
      <c r="AD1253">
        <v>0</v>
      </c>
      <c r="AE1253">
        <v>2</v>
      </c>
      <c r="AF1253">
        <v>0</v>
      </c>
      <c r="AG1253">
        <v>0</v>
      </c>
      <c r="AI1253">
        <v>0</v>
      </c>
      <c r="AJ1253">
        <v>13</v>
      </c>
      <c r="AK1253">
        <v>285</v>
      </c>
      <c r="AL1253">
        <v>285</v>
      </c>
      <c r="AM1253">
        <v>607</v>
      </c>
      <c r="AN1253">
        <v>44</v>
      </c>
      <c r="AP1253">
        <v>1</v>
      </c>
      <c r="AR1253" t="s">
        <v>1340</v>
      </c>
      <c r="AS1253" s="1">
        <v>44353.952777777777</v>
      </c>
      <c r="AT1253" s="1">
        <v>44353.956250000003</v>
      </c>
      <c r="AU1253" s="1">
        <v>44353.956932870373</v>
      </c>
      <c r="AV1253" t="s">
        <v>71</v>
      </c>
      <c r="AW1253" t="s">
        <v>72</v>
      </c>
      <c r="AX1253" t="s">
        <v>73</v>
      </c>
    </row>
    <row r="1254" spans="1:50" x14ac:dyDescent="0.3">
      <c r="A1254" t="str">
        <f>"200220C0300"</f>
        <v>200220C0300</v>
      </c>
      <c r="B1254" t="str">
        <f>"200220C03002"</f>
        <v>200220C03002</v>
      </c>
      <c r="C1254" t="str">
        <f t="shared" si="55"/>
        <v>20</v>
      </c>
      <c r="D1254" t="s">
        <v>67</v>
      </c>
      <c r="E1254" t="str">
        <f t="shared" si="56"/>
        <v>006</v>
      </c>
      <c r="F1254" t="s">
        <v>1254</v>
      </c>
      <c r="G1254" t="str">
        <f t="shared" si="58"/>
        <v>0220</v>
      </c>
      <c r="H1254" t="str">
        <f>"0003"</f>
        <v>0003</v>
      </c>
      <c r="I1254" t="s">
        <v>75</v>
      </c>
      <c r="J1254">
        <v>0</v>
      </c>
      <c r="K1254">
        <v>1</v>
      </c>
      <c r="L1254">
        <v>2</v>
      </c>
      <c r="M1254">
        <v>358</v>
      </c>
      <c r="N1254">
        <v>293</v>
      </c>
      <c r="O1254">
        <v>4</v>
      </c>
      <c r="P1254">
        <v>294</v>
      </c>
      <c r="Q1254">
        <v>54</v>
      </c>
      <c r="R1254">
        <v>34</v>
      </c>
      <c r="S1254">
        <v>1</v>
      </c>
      <c r="T1254">
        <v>25</v>
      </c>
      <c r="U1254">
        <v>20</v>
      </c>
      <c r="V1254">
        <v>4</v>
      </c>
      <c r="W1254">
        <v>1</v>
      </c>
      <c r="X1254">
        <v>87</v>
      </c>
      <c r="Y1254">
        <v>30</v>
      </c>
      <c r="Z1254">
        <v>4</v>
      </c>
      <c r="AA1254">
        <v>7</v>
      </c>
      <c r="AB1254">
        <v>9</v>
      </c>
      <c r="AD1254" t="s">
        <v>77</v>
      </c>
      <c r="AE1254">
        <v>4</v>
      </c>
      <c r="AF1254" t="s">
        <v>77</v>
      </c>
      <c r="AG1254" t="s">
        <v>77</v>
      </c>
      <c r="AI1254" t="s">
        <v>77</v>
      </c>
      <c r="AJ1254">
        <v>14</v>
      </c>
      <c r="AK1254" t="s">
        <v>77</v>
      </c>
      <c r="AL1254">
        <v>294</v>
      </c>
      <c r="AM1254">
        <v>607</v>
      </c>
      <c r="AN1254">
        <v>44</v>
      </c>
      <c r="AO1254" t="s">
        <v>78</v>
      </c>
      <c r="AP1254">
        <v>1</v>
      </c>
      <c r="AR1254" t="s">
        <v>1341</v>
      </c>
      <c r="AS1254" s="1">
        <v>44353.935277777775</v>
      </c>
      <c r="AT1254" s="1">
        <v>44353.936585648145</v>
      </c>
      <c r="AU1254" s="1">
        <v>44353.937106481484</v>
      </c>
      <c r="AV1254" t="s">
        <v>269</v>
      </c>
      <c r="AW1254" t="s">
        <v>270</v>
      </c>
      <c r="AX1254" t="s">
        <v>73</v>
      </c>
    </row>
    <row r="1255" spans="1:50" x14ac:dyDescent="0.3">
      <c r="A1255" t="str">
        <f>"200220C0400"</f>
        <v>200220C0400</v>
      </c>
      <c r="B1255" t="str">
        <f>"200220C04002"</f>
        <v>200220C04002</v>
      </c>
      <c r="C1255" t="str">
        <f t="shared" si="55"/>
        <v>20</v>
      </c>
      <c r="D1255" t="s">
        <v>67</v>
      </c>
      <c r="E1255" t="str">
        <f t="shared" si="56"/>
        <v>006</v>
      </c>
      <c r="F1255" t="s">
        <v>1254</v>
      </c>
      <c r="G1255" t="str">
        <f t="shared" si="58"/>
        <v>0220</v>
      </c>
      <c r="H1255" t="str">
        <f>"0004"</f>
        <v>0004</v>
      </c>
      <c r="I1255" t="s">
        <v>75</v>
      </c>
      <c r="J1255">
        <v>0</v>
      </c>
      <c r="K1255">
        <v>1</v>
      </c>
      <c r="L1255">
        <v>2</v>
      </c>
      <c r="M1255">
        <v>360</v>
      </c>
      <c r="N1255">
        <v>291</v>
      </c>
      <c r="O1255">
        <v>5</v>
      </c>
      <c r="P1255">
        <v>291</v>
      </c>
      <c r="Q1255">
        <v>33</v>
      </c>
      <c r="R1255">
        <v>32</v>
      </c>
      <c r="S1255">
        <v>3</v>
      </c>
      <c r="T1255">
        <v>38</v>
      </c>
      <c r="U1255">
        <v>20</v>
      </c>
      <c r="V1255">
        <v>7</v>
      </c>
      <c r="W1255">
        <v>2</v>
      </c>
      <c r="X1255">
        <v>113</v>
      </c>
      <c r="Y1255">
        <v>17</v>
      </c>
      <c r="Z1255">
        <v>0</v>
      </c>
      <c r="AA1255">
        <v>1</v>
      </c>
      <c r="AB1255">
        <v>13</v>
      </c>
      <c r="AD1255">
        <v>1</v>
      </c>
      <c r="AE1255">
        <v>0</v>
      </c>
      <c r="AF1255">
        <v>0</v>
      </c>
      <c r="AG1255">
        <v>0</v>
      </c>
      <c r="AI1255">
        <v>0</v>
      </c>
      <c r="AJ1255">
        <v>11</v>
      </c>
      <c r="AK1255">
        <v>291</v>
      </c>
      <c r="AL1255">
        <v>291</v>
      </c>
      <c r="AM1255">
        <v>607</v>
      </c>
      <c r="AN1255">
        <v>44</v>
      </c>
      <c r="AP1255">
        <v>1</v>
      </c>
      <c r="AR1255" t="s">
        <v>1342</v>
      </c>
      <c r="AS1255" s="1">
        <v>44354.034722222219</v>
      </c>
      <c r="AT1255" s="1">
        <v>44354.04178240741</v>
      </c>
      <c r="AU1255" s="1">
        <v>44354.04215277778</v>
      </c>
      <c r="AV1255" t="s">
        <v>71</v>
      </c>
      <c r="AW1255" t="s">
        <v>72</v>
      </c>
      <c r="AX1255" t="s">
        <v>73</v>
      </c>
    </row>
    <row r="1256" spans="1:50" x14ac:dyDescent="0.3">
      <c r="A1256" t="str">
        <f>"200220E0100"</f>
        <v>200220E0100</v>
      </c>
      <c r="B1256" t="str">
        <f>"200220E01002"</f>
        <v>200220E01002</v>
      </c>
      <c r="C1256" t="str">
        <f t="shared" si="55"/>
        <v>20</v>
      </c>
      <c r="D1256" t="s">
        <v>67</v>
      </c>
      <c r="E1256" t="str">
        <f t="shared" si="56"/>
        <v>006</v>
      </c>
      <c r="F1256" t="s">
        <v>1254</v>
      </c>
      <c r="G1256" t="str">
        <f t="shared" si="58"/>
        <v>0220</v>
      </c>
      <c r="H1256" t="str">
        <f>"0001"</f>
        <v>0001</v>
      </c>
      <c r="I1256" t="s">
        <v>109</v>
      </c>
      <c r="J1256">
        <v>0</v>
      </c>
      <c r="K1256">
        <v>1</v>
      </c>
      <c r="L1256">
        <v>2</v>
      </c>
      <c r="M1256">
        <v>341</v>
      </c>
      <c r="N1256">
        <v>244</v>
      </c>
      <c r="O1256">
        <v>6</v>
      </c>
      <c r="P1256">
        <v>244</v>
      </c>
      <c r="Q1256">
        <v>42</v>
      </c>
      <c r="R1256">
        <v>37</v>
      </c>
      <c r="S1256">
        <v>5</v>
      </c>
      <c r="T1256">
        <v>20</v>
      </c>
      <c r="U1256">
        <v>3</v>
      </c>
      <c r="V1256">
        <v>7</v>
      </c>
      <c r="W1256">
        <v>1</v>
      </c>
      <c r="X1256">
        <v>89</v>
      </c>
      <c r="Y1256">
        <v>20</v>
      </c>
      <c r="Z1256">
        <v>1</v>
      </c>
      <c r="AA1256">
        <v>2</v>
      </c>
      <c r="AB1256">
        <v>3</v>
      </c>
      <c r="AD1256">
        <v>0</v>
      </c>
      <c r="AE1256">
        <v>3</v>
      </c>
      <c r="AF1256">
        <v>0</v>
      </c>
      <c r="AG1256">
        <v>0</v>
      </c>
      <c r="AI1256">
        <v>0</v>
      </c>
      <c r="AJ1256">
        <v>11</v>
      </c>
      <c r="AK1256">
        <v>244</v>
      </c>
      <c r="AL1256">
        <v>244</v>
      </c>
      <c r="AM1256">
        <v>541</v>
      </c>
      <c r="AN1256">
        <v>44</v>
      </c>
      <c r="AP1256">
        <v>1</v>
      </c>
      <c r="AR1256" t="s">
        <v>1343</v>
      </c>
      <c r="AS1256" s="1">
        <v>44353.945104166669</v>
      </c>
      <c r="AT1256" s="1">
        <v>44354.094641203701</v>
      </c>
      <c r="AU1256" s="1">
        <v>44354.098703703705</v>
      </c>
      <c r="AV1256" t="s">
        <v>269</v>
      </c>
      <c r="AW1256" t="s">
        <v>270</v>
      </c>
      <c r="AX1256" t="s">
        <v>73</v>
      </c>
    </row>
    <row r="1257" spans="1:50" x14ac:dyDescent="0.3">
      <c r="A1257" t="str">
        <f>"200221B0000"</f>
        <v>200221B0000</v>
      </c>
      <c r="B1257" t="str">
        <f>"200221B00002"</f>
        <v>200221B00002</v>
      </c>
      <c r="C1257" t="str">
        <f t="shared" si="55"/>
        <v>20</v>
      </c>
      <c r="D1257" t="s">
        <v>67</v>
      </c>
      <c r="E1257" t="str">
        <f t="shared" si="56"/>
        <v>006</v>
      </c>
      <c r="F1257" t="s">
        <v>1254</v>
      </c>
      <c r="G1257" t="str">
        <f>"0221"</f>
        <v>0221</v>
      </c>
      <c r="H1257" t="str">
        <f>"0000"</f>
        <v>0000</v>
      </c>
      <c r="I1257" t="s">
        <v>69</v>
      </c>
      <c r="J1257">
        <v>0</v>
      </c>
      <c r="K1257">
        <v>1</v>
      </c>
      <c r="L1257">
        <v>2</v>
      </c>
      <c r="M1257">
        <v>383</v>
      </c>
      <c r="N1257">
        <v>306</v>
      </c>
      <c r="O1257">
        <v>6</v>
      </c>
      <c r="P1257">
        <v>306</v>
      </c>
      <c r="Q1257">
        <v>48</v>
      </c>
      <c r="R1257">
        <v>40</v>
      </c>
      <c r="S1257">
        <v>2</v>
      </c>
      <c r="T1257">
        <v>37</v>
      </c>
      <c r="U1257">
        <v>13</v>
      </c>
      <c r="V1257">
        <v>6</v>
      </c>
      <c r="W1257">
        <v>1</v>
      </c>
      <c r="X1257">
        <v>106</v>
      </c>
      <c r="Y1257">
        <v>27</v>
      </c>
      <c r="Z1257">
        <v>2</v>
      </c>
      <c r="AA1257">
        <v>3</v>
      </c>
      <c r="AB1257">
        <v>9</v>
      </c>
      <c r="AD1257">
        <v>1</v>
      </c>
      <c r="AE1257">
        <v>2</v>
      </c>
      <c r="AF1257">
        <v>0</v>
      </c>
      <c r="AG1257">
        <v>0</v>
      </c>
      <c r="AI1257">
        <v>0</v>
      </c>
      <c r="AJ1257">
        <v>9</v>
      </c>
      <c r="AK1257">
        <v>306</v>
      </c>
      <c r="AL1257">
        <v>306</v>
      </c>
      <c r="AM1257">
        <v>645</v>
      </c>
      <c r="AN1257">
        <v>44</v>
      </c>
      <c r="AP1257">
        <v>1</v>
      </c>
      <c r="AR1257" t="s">
        <v>1344</v>
      </c>
      <c r="AS1257" s="1">
        <v>44353.895254629628</v>
      </c>
      <c r="AT1257" s="1">
        <v>44353.896944444445</v>
      </c>
      <c r="AU1257" s="1">
        <v>44353.898182870369</v>
      </c>
      <c r="AV1257" t="s">
        <v>269</v>
      </c>
      <c r="AW1257" t="s">
        <v>270</v>
      </c>
      <c r="AX1257" t="s">
        <v>73</v>
      </c>
    </row>
    <row r="1258" spans="1:50" x14ac:dyDescent="0.3">
      <c r="A1258" t="str">
        <f>"200221C0100"</f>
        <v>200221C0100</v>
      </c>
      <c r="B1258" t="str">
        <f>"200221C01002"</f>
        <v>200221C01002</v>
      </c>
      <c r="C1258" t="str">
        <f t="shared" si="55"/>
        <v>20</v>
      </c>
      <c r="D1258" t="s">
        <v>67</v>
      </c>
      <c r="E1258" t="str">
        <f t="shared" si="56"/>
        <v>006</v>
      </c>
      <c r="F1258" t="s">
        <v>1254</v>
      </c>
      <c r="G1258" t="str">
        <f>"0221"</f>
        <v>0221</v>
      </c>
      <c r="H1258" t="str">
        <f>"0001"</f>
        <v>0001</v>
      </c>
      <c r="I1258" t="s">
        <v>75</v>
      </c>
      <c r="J1258">
        <v>0</v>
      </c>
      <c r="K1258">
        <v>1</v>
      </c>
      <c r="L1258">
        <v>2</v>
      </c>
      <c r="M1258">
        <v>348</v>
      </c>
      <c r="N1258">
        <v>341</v>
      </c>
      <c r="O1258">
        <v>1</v>
      </c>
      <c r="P1258">
        <v>341</v>
      </c>
      <c r="Q1258">
        <v>35</v>
      </c>
      <c r="R1258">
        <v>30</v>
      </c>
      <c r="S1258">
        <v>2</v>
      </c>
      <c r="T1258">
        <v>45</v>
      </c>
      <c r="U1258">
        <v>18</v>
      </c>
      <c r="V1258">
        <v>7</v>
      </c>
      <c r="W1258">
        <v>5</v>
      </c>
      <c r="X1258">
        <v>145</v>
      </c>
      <c r="Y1258">
        <v>17</v>
      </c>
      <c r="Z1258">
        <v>3</v>
      </c>
      <c r="AA1258">
        <v>6</v>
      </c>
      <c r="AB1258">
        <v>10</v>
      </c>
      <c r="AD1258">
        <v>1</v>
      </c>
      <c r="AE1258">
        <v>5</v>
      </c>
      <c r="AF1258">
        <v>0</v>
      </c>
      <c r="AG1258">
        <v>0</v>
      </c>
      <c r="AI1258">
        <v>0</v>
      </c>
      <c r="AJ1258">
        <v>12</v>
      </c>
      <c r="AK1258">
        <v>341</v>
      </c>
      <c r="AL1258">
        <v>341</v>
      </c>
      <c r="AM1258">
        <v>645</v>
      </c>
      <c r="AN1258">
        <v>44</v>
      </c>
      <c r="AP1258">
        <v>1</v>
      </c>
      <c r="AR1258" t="s">
        <v>1345</v>
      </c>
      <c r="AS1258" s="1">
        <v>44353.890162037038</v>
      </c>
      <c r="AT1258" s="1">
        <v>44353.892858796295</v>
      </c>
      <c r="AU1258" s="1">
        <v>44353.893703703703</v>
      </c>
      <c r="AV1258" t="s">
        <v>269</v>
      </c>
      <c r="AW1258" t="s">
        <v>270</v>
      </c>
      <c r="AX1258" t="s">
        <v>73</v>
      </c>
    </row>
    <row r="1259" spans="1:50" x14ac:dyDescent="0.3">
      <c r="A1259" t="str">
        <f>"200222B0000"</f>
        <v>200222B0000</v>
      </c>
      <c r="B1259" t="str">
        <f>"200222B00002"</f>
        <v>200222B00002</v>
      </c>
      <c r="C1259" t="str">
        <f t="shared" si="55"/>
        <v>20</v>
      </c>
      <c r="D1259" t="s">
        <v>67</v>
      </c>
      <c r="E1259" t="str">
        <f t="shared" si="56"/>
        <v>006</v>
      </c>
      <c r="F1259" t="s">
        <v>1254</v>
      </c>
      <c r="G1259" t="str">
        <f>"0222"</f>
        <v>0222</v>
      </c>
      <c r="H1259" t="str">
        <f>"0000"</f>
        <v>0000</v>
      </c>
      <c r="I1259" t="s">
        <v>69</v>
      </c>
      <c r="J1259">
        <v>0</v>
      </c>
      <c r="K1259">
        <v>1</v>
      </c>
      <c r="L1259">
        <v>2</v>
      </c>
      <c r="M1259">
        <v>321</v>
      </c>
      <c r="N1259">
        <v>372</v>
      </c>
      <c r="O1259">
        <v>4</v>
      </c>
      <c r="P1259">
        <v>372</v>
      </c>
      <c r="Q1259">
        <v>77</v>
      </c>
      <c r="R1259">
        <v>58</v>
      </c>
      <c r="S1259">
        <v>2</v>
      </c>
      <c r="T1259">
        <v>80</v>
      </c>
      <c r="U1259">
        <v>9</v>
      </c>
      <c r="V1259">
        <v>3</v>
      </c>
      <c r="W1259">
        <v>2</v>
      </c>
      <c r="X1259">
        <v>100</v>
      </c>
      <c r="Y1259">
        <v>11</v>
      </c>
      <c r="Z1259">
        <v>3</v>
      </c>
      <c r="AA1259">
        <v>3</v>
      </c>
      <c r="AB1259">
        <v>4</v>
      </c>
      <c r="AD1259">
        <v>2</v>
      </c>
      <c r="AE1259">
        <v>3</v>
      </c>
      <c r="AF1259">
        <v>0</v>
      </c>
      <c r="AG1259">
        <v>0</v>
      </c>
      <c r="AI1259">
        <v>0</v>
      </c>
      <c r="AJ1259">
        <v>15</v>
      </c>
      <c r="AK1259">
        <v>372</v>
      </c>
      <c r="AL1259">
        <v>372</v>
      </c>
      <c r="AM1259">
        <v>649</v>
      </c>
      <c r="AN1259">
        <v>44</v>
      </c>
      <c r="AP1259">
        <v>1</v>
      </c>
      <c r="AR1259" t="s">
        <v>1346</v>
      </c>
      <c r="AS1259" s="1">
        <v>44353.941550925927</v>
      </c>
      <c r="AT1259" s="1">
        <v>44353.943113425928</v>
      </c>
      <c r="AU1259" s="1">
        <v>44353.944178240738</v>
      </c>
      <c r="AV1259" t="s">
        <v>269</v>
      </c>
      <c r="AW1259" t="s">
        <v>270</v>
      </c>
      <c r="AX1259" t="s">
        <v>73</v>
      </c>
    </row>
    <row r="1260" spans="1:50" x14ac:dyDescent="0.3">
      <c r="A1260" t="str">
        <f>"200222C0100"</f>
        <v>200222C0100</v>
      </c>
      <c r="B1260" t="str">
        <f>"200222C01002"</f>
        <v>200222C01002</v>
      </c>
      <c r="C1260" t="str">
        <f t="shared" si="55"/>
        <v>20</v>
      </c>
      <c r="D1260" t="s">
        <v>67</v>
      </c>
      <c r="E1260" t="str">
        <f t="shared" si="56"/>
        <v>006</v>
      </c>
      <c r="F1260" t="s">
        <v>1254</v>
      </c>
      <c r="G1260" t="str">
        <f>"0222"</f>
        <v>0222</v>
      </c>
      <c r="H1260" t="str">
        <f>"0001"</f>
        <v>0001</v>
      </c>
      <c r="I1260" t="s">
        <v>75</v>
      </c>
      <c r="J1260">
        <v>0</v>
      </c>
      <c r="K1260">
        <v>1</v>
      </c>
      <c r="L1260">
        <v>2</v>
      </c>
      <c r="M1260">
        <v>316</v>
      </c>
      <c r="N1260">
        <v>377</v>
      </c>
      <c r="O1260">
        <v>5</v>
      </c>
      <c r="P1260">
        <v>377</v>
      </c>
      <c r="Q1260">
        <v>70</v>
      </c>
      <c r="R1260">
        <v>77</v>
      </c>
      <c r="S1260">
        <v>2</v>
      </c>
      <c r="T1260">
        <v>64</v>
      </c>
      <c r="U1260">
        <v>13</v>
      </c>
      <c r="V1260">
        <v>2</v>
      </c>
      <c r="W1260">
        <v>2</v>
      </c>
      <c r="X1260">
        <v>117</v>
      </c>
      <c r="Y1260">
        <v>10</v>
      </c>
      <c r="Z1260">
        <v>3</v>
      </c>
      <c r="AA1260">
        <v>0</v>
      </c>
      <c r="AB1260">
        <v>1</v>
      </c>
      <c r="AD1260">
        <v>0</v>
      </c>
      <c r="AE1260">
        <v>7</v>
      </c>
      <c r="AF1260">
        <v>0</v>
      </c>
      <c r="AG1260">
        <v>0</v>
      </c>
      <c r="AI1260">
        <v>0</v>
      </c>
      <c r="AJ1260">
        <v>9</v>
      </c>
      <c r="AK1260">
        <v>377</v>
      </c>
      <c r="AL1260">
        <v>377</v>
      </c>
      <c r="AM1260">
        <v>649</v>
      </c>
      <c r="AN1260">
        <v>44</v>
      </c>
      <c r="AP1260">
        <v>1</v>
      </c>
      <c r="AR1260" t="s">
        <v>1347</v>
      </c>
      <c r="AS1260" s="1">
        <v>44353.939618055556</v>
      </c>
      <c r="AT1260" s="1">
        <v>44353.941284722219</v>
      </c>
      <c r="AU1260" s="1">
        <v>44353.942465277774</v>
      </c>
      <c r="AV1260" t="s">
        <v>269</v>
      </c>
      <c r="AW1260" t="s">
        <v>270</v>
      </c>
      <c r="AX1260" t="s">
        <v>73</v>
      </c>
    </row>
    <row r="1261" spans="1:50" x14ac:dyDescent="0.3">
      <c r="A1261" t="str">
        <f>"200223B0000"</f>
        <v>200223B0000</v>
      </c>
      <c r="B1261" t="str">
        <f>"200223B00002"</f>
        <v>200223B00002</v>
      </c>
      <c r="C1261" t="str">
        <f t="shared" si="55"/>
        <v>20</v>
      </c>
      <c r="D1261" t="s">
        <v>67</v>
      </c>
      <c r="E1261" t="str">
        <f t="shared" si="56"/>
        <v>006</v>
      </c>
      <c r="F1261" t="s">
        <v>1254</v>
      </c>
      <c r="G1261" t="str">
        <f>"0223"</f>
        <v>0223</v>
      </c>
      <c r="H1261" t="str">
        <f>"0000"</f>
        <v>0000</v>
      </c>
      <c r="I1261" t="s">
        <v>69</v>
      </c>
      <c r="J1261">
        <v>0</v>
      </c>
      <c r="K1261">
        <v>1</v>
      </c>
      <c r="L1261">
        <v>2</v>
      </c>
      <c r="M1261">
        <v>164</v>
      </c>
      <c r="N1261">
        <v>128</v>
      </c>
      <c r="O1261">
        <v>5</v>
      </c>
      <c r="P1261">
        <v>128</v>
      </c>
      <c r="Q1261">
        <v>10</v>
      </c>
      <c r="R1261">
        <v>57</v>
      </c>
      <c r="S1261">
        <v>3</v>
      </c>
      <c r="T1261">
        <v>6</v>
      </c>
      <c r="U1261">
        <v>2</v>
      </c>
      <c r="V1261">
        <v>1</v>
      </c>
      <c r="W1261">
        <v>0</v>
      </c>
      <c r="X1261">
        <v>30</v>
      </c>
      <c r="Y1261">
        <v>7</v>
      </c>
      <c r="Z1261">
        <v>2</v>
      </c>
      <c r="AA1261">
        <v>1</v>
      </c>
      <c r="AB1261">
        <v>0</v>
      </c>
      <c r="AD1261">
        <v>0</v>
      </c>
      <c r="AE1261">
        <v>5</v>
      </c>
      <c r="AF1261">
        <v>0</v>
      </c>
      <c r="AG1261">
        <v>0</v>
      </c>
      <c r="AI1261">
        <v>0</v>
      </c>
      <c r="AJ1261">
        <v>4</v>
      </c>
      <c r="AK1261">
        <v>128</v>
      </c>
      <c r="AL1261">
        <v>128</v>
      </c>
      <c r="AM1261">
        <v>248</v>
      </c>
      <c r="AN1261">
        <v>44</v>
      </c>
      <c r="AP1261">
        <v>1</v>
      </c>
      <c r="AR1261" t="s">
        <v>1348</v>
      </c>
      <c r="AS1261" s="1">
        <v>44353.936620370368</v>
      </c>
      <c r="AT1261" s="1">
        <v>44354.047418981485</v>
      </c>
      <c r="AU1261" s="1">
        <v>44354.048425925925</v>
      </c>
      <c r="AV1261" t="s">
        <v>269</v>
      </c>
      <c r="AW1261" t="s">
        <v>270</v>
      </c>
      <c r="AX1261" t="s">
        <v>73</v>
      </c>
    </row>
    <row r="1262" spans="1:50" x14ac:dyDescent="0.3">
      <c r="A1262" t="str">
        <f>"200224B0000"</f>
        <v>200224B0000</v>
      </c>
      <c r="B1262" t="str">
        <f>"200224B00002"</f>
        <v>200224B00002</v>
      </c>
      <c r="C1262" t="str">
        <f t="shared" si="55"/>
        <v>20</v>
      </c>
      <c r="D1262" t="s">
        <v>67</v>
      </c>
      <c r="E1262" t="str">
        <f t="shared" si="56"/>
        <v>006</v>
      </c>
      <c r="F1262" t="s">
        <v>1254</v>
      </c>
      <c r="G1262" t="str">
        <f>"0224"</f>
        <v>0224</v>
      </c>
      <c r="H1262" t="str">
        <f>"0000"</f>
        <v>0000</v>
      </c>
      <c r="I1262" t="s">
        <v>69</v>
      </c>
      <c r="J1262">
        <v>0</v>
      </c>
      <c r="K1262">
        <v>1</v>
      </c>
      <c r="L1262">
        <v>2</v>
      </c>
      <c r="M1262">
        <v>102</v>
      </c>
      <c r="N1262">
        <v>99</v>
      </c>
      <c r="O1262">
        <v>16</v>
      </c>
      <c r="P1262">
        <v>99</v>
      </c>
      <c r="Q1262">
        <v>29</v>
      </c>
      <c r="R1262">
        <v>27</v>
      </c>
      <c r="S1262">
        <v>0</v>
      </c>
      <c r="T1262">
        <v>4</v>
      </c>
      <c r="U1262">
        <v>5</v>
      </c>
      <c r="V1262">
        <v>1</v>
      </c>
      <c r="W1262">
        <v>2</v>
      </c>
      <c r="X1262">
        <v>19</v>
      </c>
      <c r="Y1262">
        <v>7</v>
      </c>
      <c r="Z1262">
        <v>1</v>
      </c>
      <c r="AA1262">
        <v>0</v>
      </c>
      <c r="AB1262">
        <v>1</v>
      </c>
      <c r="AD1262" t="s">
        <v>77</v>
      </c>
      <c r="AE1262" t="s">
        <v>77</v>
      </c>
      <c r="AF1262" t="s">
        <v>77</v>
      </c>
      <c r="AG1262" t="s">
        <v>77</v>
      </c>
      <c r="AI1262" t="s">
        <v>77</v>
      </c>
      <c r="AJ1262">
        <v>2</v>
      </c>
      <c r="AK1262">
        <v>99</v>
      </c>
      <c r="AL1262">
        <v>98</v>
      </c>
      <c r="AM1262">
        <v>157</v>
      </c>
      <c r="AN1262">
        <v>44</v>
      </c>
      <c r="AO1262" t="s">
        <v>78</v>
      </c>
      <c r="AP1262">
        <v>1</v>
      </c>
      <c r="AR1262" t="s">
        <v>1349</v>
      </c>
      <c r="AS1262" s="1">
        <v>44354.007534722223</v>
      </c>
      <c r="AT1262" s="1">
        <v>44354.046863425923</v>
      </c>
      <c r="AU1262" s="1">
        <v>44354.048032407409</v>
      </c>
      <c r="AV1262" t="s">
        <v>269</v>
      </c>
      <c r="AW1262" t="s">
        <v>270</v>
      </c>
      <c r="AX1262" t="s">
        <v>73</v>
      </c>
    </row>
    <row r="1263" spans="1:50" x14ac:dyDescent="0.3">
      <c r="A1263" t="str">
        <f>"200225B0000"</f>
        <v>200225B0000</v>
      </c>
      <c r="B1263" t="str">
        <f>"200225B00002"</f>
        <v>200225B00002</v>
      </c>
      <c r="C1263" t="str">
        <f t="shared" si="55"/>
        <v>20</v>
      </c>
      <c r="D1263" t="s">
        <v>67</v>
      </c>
      <c r="E1263" t="str">
        <f t="shared" si="56"/>
        <v>006</v>
      </c>
      <c r="F1263" t="s">
        <v>1254</v>
      </c>
      <c r="G1263" t="str">
        <f>"0225"</f>
        <v>0225</v>
      </c>
      <c r="H1263" t="str">
        <f>"0000"</f>
        <v>0000</v>
      </c>
      <c r="I1263" t="s">
        <v>69</v>
      </c>
      <c r="J1263">
        <v>0</v>
      </c>
      <c r="K1263">
        <v>1</v>
      </c>
      <c r="L1263">
        <v>2</v>
      </c>
      <c r="M1263">
        <v>128</v>
      </c>
      <c r="N1263">
        <v>135</v>
      </c>
      <c r="O1263">
        <v>2</v>
      </c>
      <c r="P1263">
        <v>135</v>
      </c>
      <c r="Q1263">
        <v>23</v>
      </c>
      <c r="R1263">
        <v>47</v>
      </c>
      <c r="S1263">
        <v>1</v>
      </c>
      <c r="T1263">
        <v>17</v>
      </c>
      <c r="U1263">
        <v>2</v>
      </c>
      <c r="V1263">
        <v>2</v>
      </c>
      <c r="W1263">
        <v>0</v>
      </c>
      <c r="X1263">
        <v>31</v>
      </c>
      <c r="Y1263">
        <v>7</v>
      </c>
      <c r="Z1263">
        <v>2</v>
      </c>
      <c r="AA1263">
        <v>2</v>
      </c>
      <c r="AB1263">
        <v>0</v>
      </c>
      <c r="AD1263">
        <v>0</v>
      </c>
      <c r="AE1263">
        <v>0</v>
      </c>
      <c r="AF1263">
        <v>0</v>
      </c>
      <c r="AG1263">
        <v>0</v>
      </c>
      <c r="AI1263">
        <v>0</v>
      </c>
      <c r="AJ1263">
        <v>1</v>
      </c>
      <c r="AK1263">
        <v>135</v>
      </c>
      <c r="AL1263">
        <v>135</v>
      </c>
      <c r="AM1263">
        <v>219</v>
      </c>
      <c r="AN1263">
        <v>44</v>
      </c>
      <c r="AP1263">
        <v>1</v>
      </c>
      <c r="AR1263" t="s">
        <v>1350</v>
      </c>
      <c r="AS1263" s="1">
        <v>44354.046458333331</v>
      </c>
      <c r="AT1263" s="1">
        <v>44354.053159722222</v>
      </c>
      <c r="AU1263" s="1">
        <v>44354.053761574076</v>
      </c>
      <c r="AV1263" t="s">
        <v>269</v>
      </c>
      <c r="AW1263" t="s">
        <v>270</v>
      </c>
      <c r="AX1263" t="s">
        <v>73</v>
      </c>
    </row>
    <row r="1264" spans="1:50" x14ac:dyDescent="0.3">
      <c r="A1264" t="str">
        <f>"200226B0000"</f>
        <v>200226B0000</v>
      </c>
      <c r="B1264" t="str">
        <f>"200226B00002"</f>
        <v>200226B00002</v>
      </c>
      <c r="C1264" t="str">
        <f t="shared" si="55"/>
        <v>20</v>
      </c>
      <c r="D1264" t="s">
        <v>67</v>
      </c>
      <c r="E1264" t="str">
        <f t="shared" si="56"/>
        <v>006</v>
      </c>
      <c r="F1264" t="s">
        <v>1254</v>
      </c>
      <c r="G1264" t="str">
        <f>"0226"</f>
        <v>0226</v>
      </c>
      <c r="H1264" t="str">
        <f>"0000"</f>
        <v>0000</v>
      </c>
      <c r="I1264" t="s">
        <v>69</v>
      </c>
      <c r="J1264">
        <v>0</v>
      </c>
      <c r="K1264">
        <v>1</v>
      </c>
      <c r="L1264">
        <v>2</v>
      </c>
      <c r="M1264">
        <v>436</v>
      </c>
      <c r="N1264">
        <v>308</v>
      </c>
      <c r="O1264">
        <v>2</v>
      </c>
      <c r="P1264">
        <v>308</v>
      </c>
      <c r="Q1264">
        <v>61</v>
      </c>
      <c r="R1264">
        <v>43</v>
      </c>
      <c r="S1264">
        <v>1</v>
      </c>
      <c r="T1264">
        <v>48</v>
      </c>
      <c r="U1264">
        <v>26</v>
      </c>
      <c r="V1264">
        <v>1</v>
      </c>
      <c r="W1264">
        <v>7</v>
      </c>
      <c r="X1264">
        <v>50</v>
      </c>
      <c r="Y1264">
        <v>28</v>
      </c>
      <c r="Z1264">
        <v>6</v>
      </c>
      <c r="AA1264">
        <v>5</v>
      </c>
      <c r="AB1264">
        <v>2</v>
      </c>
      <c r="AD1264">
        <v>2</v>
      </c>
      <c r="AE1264">
        <v>5</v>
      </c>
      <c r="AF1264">
        <v>0</v>
      </c>
      <c r="AG1264">
        <v>0</v>
      </c>
      <c r="AI1264">
        <v>0</v>
      </c>
      <c r="AJ1264">
        <v>13</v>
      </c>
      <c r="AK1264">
        <v>308</v>
      </c>
      <c r="AL1264">
        <v>298</v>
      </c>
      <c r="AM1264">
        <v>700</v>
      </c>
      <c r="AN1264">
        <v>44</v>
      </c>
      <c r="AP1264">
        <v>1</v>
      </c>
      <c r="AR1264" t="s">
        <v>1351</v>
      </c>
      <c r="AS1264" s="1">
        <v>44354.07916666667</v>
      </c>
      <c r="AT1264" s="1">
        <v>44354.086273148147</v>
      </c>
      <c r="AU1264" s="1">
        <v>44354.087488425925</v>
      </c>
      <c r="AV1264" t="s">
        <v>71</v>
      </c>
      <c r="AW1264" t="s">
        <v>72</v>
      </c>
      <c r="AX1264" t="s">
        <v>73</v>
      </c>
    </row>
    <row r="1265" spans="1:50" x14ac:dyDescent="0.3">
      <c r="A1265" t="str">
        <f>"200227B0000"</f>
        <v>200227B0000</v>
      </c>
      <c r="B1265" t="str">
        <f>"200227B00002"</f>
        <v>200227B00002</v>
      </c>
      <c r="C1265" t="str">
        <f t="shared" si="55"/>
        <v>20</v>
      </c>
      <c r="D1265" t="s">
        <v>67</v>
      </c>
      <c r="E1265" t="str">
        <f t="shared" si="56"/>
        <v>006</v>
      </c>
      <c r="F1265" t="s">
        <v>1254</v>
      </c>
      <c r="G1265" t="str">
        <f>"0227"</f>
        <v>0227</v>
      </c>
      <c r="H1265" t="str">
        <f>"0000"</f>
        <v>0000</v>
      </c>
      <c r="I1265" t="s">
        <v>69</v>
      </c>
      <c r="J1265">
        <v>0</v>
      </c>
      <c r="K1265">
        <v>1</v>
      </c>
      <c r="L1265">
        <v>2</v>
      </c>
      <c r="M1265">
        <v>300</v>
      </c>
      <c r="N1265">
        <v>209</v>
      </c>
      <c r="O1265">
        <v>4</v>
      </c>
      <c r="P1265">
        <v>209</v>
      </c>
      <c r="Q1265">
        <v>71</v>
      </c>
      <c r="R1265">
        <v>20</v>
      </c>
      <c r="S1265">
        <v>2</v>
      </c>
      <c r="T1265">
        <v>19</v>
      </c>
      <c r="U1265">
        <v>26</v>
      </c>
      <c r="V1265">
        <v>11</v>
      </c>
      <c r="W1265">
        <v>1</v>
      </c>
      <c r="X1265">
        <v>43</v>
      </c>
      <c r="Y1265">
        <v>3</v>
      </c>
      <c r="Z1265">
        <v>1</v>
      </c>
      <c r="AA1265">
        <v>1</v>
      </c>
      <c r="AB1265">
        <v>5</v>
      </c>
      <c r="AD1265">
        <v>3</v>
      </c>
      <c r="AE1265">
        <v>0</v>
      </c>
      <c r="AF1265">
        <v>0</v>
      </c>
      <c r="AG1265">
        <v>0</v>
      </c>
      <c r="AI1265">
        <v>0</v>
      </c>
      <c r="AJ1265">
        <v>3</v>
      </c>
      <c r="AK1265">
        <v>209</v>
      </c>
      <c r="AL1265">
        <v>209</v>
      </c>
      <c r="AM1265">
        <v>465</v>
      </c>
      <c r="AN1265">
        <v>44</v>
      </c>
      <c r="AP1265">
        <v>1</v>
      </c>
      <c r="AR1265" t="s">
        <v>1352</v>
      </c>
      <c r="AS1265" s="1">
        <v>44354.15625</v>
      </c>
      <c r="AT1265" s="1">
        <v>44354.160578703704</v>
      </c>
      <c r="AU1265" s="1">
        <v>44354.160995370374</v>
      </c>
      <c r="AV1265" t="s">
        <v>71</v>
      </c>
      <c r="AW1265" t="s">
        <v>72</v>
      </c>
      <c r="AX1265" t="s">
        <v>73</v>
      </c>
    </row>
    <row r="1266" spans="1:50" x14ac:dyDescent="0.3">
      <c r="A1266" t="str">
        <f>"200227C0100"</f>
        <v>200227C0100</v>
      </c>
      <c r="B1266" t="str">
        <f>"200227C01002"</f>
        <v>200227C01002</v>
      </c>
      <c r="C1266" t="str">
        <f t="shared" si="55"/>
        <v>20</v>
      </c>
      <c r="D1266" t="s">
        <v>67</v>
      </c>
      <c r="E1266" t="str">
        <f t="shared" si="56"/>
        <v>006</v>
      </c>
      <c r="F1266" t="s">
        <v>1254</v>
      </c>
      <c r="G1266" t="str">
        <f>"0227"</f>
        <v>0227</v>
      </c>
      <c r="H1266" t="str">
        <f>"0001"</f>
        <v>0001</v>
      </c>
      <c r="I1266" t="s">
        <v>75</v>
      </c>
      <c r="J1266">
        <v>0</v>
      </c>
      <c r="K1266">
        <v>1</v>
      </c>
      <c r="L1266">
        <v>2</v>
      </c>
      <c r="M1266">
        <v>295</v>
      </c>
      <c r="N1266">
        <v>214</v>
      </c>
      <c r="O1266">
        <v>2</v>
      </c>
      <c r="P1266">
        <v>214</v>
      </c>
      <c r="Q1266">
        <v>61</v>
      </c>
      <c r="R1266">
        <v>19</v>
      </c>
      <c r="S1266">
        <v>1</v>
      </c>
      <c r="T1266">
        <v>15</v>
      </c>
      <c r="U1266">
        <v>29</v>
      </c>
      <c r="V1266">
        <v>3</v>
      </c>
      <c r="W1266">
        <v>1</v>
      </c>
      <c r="X1266">
        <v>55</v>
      </c>
      <c r="Y1266">
        <v>12</v>
      </c>
      <c r="Z1266">
        <v>1</v>
      </c>
      <c r="AA1266">
        <v>1</v>
      </c>
      <c r="AB1266">
        <v>7</v>
      </c>
      <c r="AD1266">
        <v>1</v>
      </c>
      <c r="AE1266">
        <v>0</v>
      </c>
      <c r="AF1266">
        <v>0</v>
      </c>
      <c r="AG1266">
        <v>0</v>
      </c>
      <c r="AI1266">
        <v>0</v>
      </c>
      <c r="AJ1266">
        <v>8</v>
      </c>
      <c r="AK1266">
        <v>214</v>
      </c>
      <c r="AL1266">
        <v>214</v>
      </c>
      <c r="AM1266">
        <v>465</v>
      </c>
      <c r="AN1266">
        <v>44</v>
      </c>
      <c r="AP1266">
        <v>1</v>
      </c>
      <c r="AR1266" t="s">
        <v>1353</v>
      </c>
      <c r="AS1266" s="1">
        <v>44354.175694444442</v>
      </c>
      <c r="AT1266" s="1">
        <v>44354.200798611113</v>
      </c>
      <c r="AU1266" s="1">
        <v>44354.201319444444</v>
      </c>
      <c r="AV1266" t="s">
        <v>71</v>
      </c>
      <c r="AW1266" t="s">
        <v>72</v>
      </c>
      <c r="AX1266" t="s">
        <v>73</v>
      </c>
    </row>
    <row r="1267" spans="1:50" x14ac:dyDescent="0.3">
      <c r="A1267" t="str">
        <f>"200229B0000"</f>
        <v>200229B0000</v>
      </c>
      <c r="B1267" t="str">
        <f>"200229B00002"</f>
        <v>200229B00002</v>
      </c>
      <c r="C1267" t="str">
        <f t="shared" si="55"/>
        <v>20</v>
      </c>
      <c r="D1267" t="s">
        <v>67</v>
      </c>
      <c r="E1267" t="str">
        <f t="shared" si="56"/>
        <v>006</v>
      </c>
      <c r="F1267" t="s">
        <v>1254</v>
      </c>
      <c r="G1267" t="str">
        <f>"0229"</f>
        <v>0229</v>
      </c>
      <c r="H1267" t="str">
        <f>"0000"</f>
        <v>0000</v>
      </c>
      <c r="I1267" t="s">
        <v>69</v>
      </c>
      <c r="J1267">
        <v>0</v>
      </c>
      <c r="K1267">
        <v>1</v>
      </c>
      <c r="L1267">
        <v>2</v>
      </c>
      <c r="M1267">
        <v>79</v>
      </c>
      <c r="N1267">
        <v>73</v>
      </c>
      <c r="O1267">
        <v>3</v>
      </c>
      <c r="P1267">
        <v>73</v>
      </c>
      <c r="Q1267">
        <v>8</v>
      </c>
      <c r="R1267">
        <v>38</v>
      </c>
      <c r="S1267">
        <v>0</v>
      </c>
      <c r="T1267">
        <v>5</v>
      </c>
      <c r="U1267">
        <v>1</v>
      </c>
      <c r="V1267">
        <v>0</v>
      </c>
      <c r="W1267">
        <v>1</v>
      </c>
      <c r="X1267">
        <v>15</v>
      </c>
      <c r="Y1267">
        <v>2</v>
      </c>
      <c r="Z1267">
        <v>1</v>
      </c>
      <c r="AA1267">
        <v>0</v>
      </c>
      <c r="AB1267">
        <v>0</v>
      </c>
      <c r="AD1267">
        <v>0</v>
      </c>
      <c r="AE1267">
        <v>0</v>
      </c>
      <c r="AF1267">
        <v>0</v>
      </c>
      <c r="AG1267">
        <v>0</v>
      </c>
      <c r="AI1267">
        <v>0</v>
      </c>
      <c r="AJ1267">
        <v>2</v>
      </c>
      <c r="AK1267">
        <v>73</v>
      </c>
      <c r="AL1267">
        <v>73</v>
      </c>
      <c r="AM1267">
        <v>108</v>
      </c>
      <c r="AN1267">
        <v>44</v>
      </c>
      <c r="AP1267">
        <v>1</v>
      </c>
      <c r="AR1267" t="s">
        <v>1354</v>
      </c>
      <c r="AS1267" s="1">
        <v>44354.010416666664</v>
      </c>
      <c r="AT1267" s="1">
        <v>44354.016701388886</v>
      </c>
      <c r="AU1267" s="1">
        <v>44354.017418981479</v>
      </c>
      <c r="AV1267" t="s">
        <v>71</v>
      </c>
      <c r="AW1267" t="s">
        <v>72</v>
      </c>
      <c r="AX1267" t="s">
        <v>73</v>
      </c>
    </row>
    <row r="1268" spans="1:50" x14ac:dyDescent="0.3">
      <c r="A1268" t="str">
        <f>"200230B0000"</f>
        <v>200230B0000</v>
      </c>
      <c r="B1268" t="str">
        <f>"200230B00002"</f>
        <v>200230B00002</v>
      </c>
      <c r="C1268" t="str">
        <f t="shared" si="55"/>
        <v>20</v>
      </c>
      <c r="D1268" t="s">
        <v>67</v>
      </c>
      <c r="E1268" t="str">
        <f t="shared" si="56"/>
        <v>006</v>
      </c>
      <c r="F1268" t="s">
        <v>1254</v>
      </c>
      <c r="G1268" t="str">
        <f>"0230"</f>
        <v>0230</v>
      </c>
      <c r="H1268" t="str">
        <f>"0000"</f>
        <v>0000</v>
      </c>
      <c r="I1268" t="s">
        <v>69</v>
      </c>
      <c r="J1268">
        <v>0</v>
      </c>
      <c r="K1268">
        <v>1</v>
      </c>
      <c r="L1268">
        <v>2</v>
      </c>
      <c r="M1268">
        <v>127</v>
      </c>
      <c r="N1268">
        <v>156</v>
      </c>
      <c r="O1268">
        <v>4</v>
      </c>
      <c r="P1268">
        <v>156</v>
      </c>
      <c r="Q1268">
        <v>50</v>
      </c>
      <c r="R1268">
        <v>20</v>
      </c>
      <c r="S1268">
        <v>3</v>
      </c>
      <c r="T1268">
        <v>14</v>
      </c>
      <c r="U1268">
        <v>3</v>
      </c>
      <c r="V1268">
        <v>0</v>
      </c>
      <c r="W1268">
        <v>1</v>
      </c>
      <c r="X1268">
        <v>49</v>
      </c>
      <c r="Y1268">
        <v>4</v>
      </c>
      <c r="Z1268">
        <v>0</v>
      </c>
      <c r="AA1268">
        <v>2</v>
      </c>
      <c r="AB1268">
        <v>2</v>
      </c>
      <c r="AD1268">
        <v>1</v>
      </c>
      <c r="AE1268">
        <v>2</v>
      </c>
      <c r="AF1268">
        <v>0</v>
      </c>
      <c r="AG1268">
        <v>0</v>
      </c>
      <c r="AI1268">
        <v>0</v>
      </c>
      <c r="AJ1268">
        <v>5</v>
      </c>
      <c r="AK1268">
        <v>156</v>
      </c>
      <c r="AL1268">
        <v>156</v>
      </c>
      <c r="AM1268">
        <v>239</v>
      </c>
      <c r="AN1268">
        <v>44</v>
      </c>
      <c r="AP1268">
        <v>1</v>
      </c>
      <c r="AR1268" t="s">
        <v>1355</v>
      </c>
      <c r="AS1268" s="1">
        <v>44354.013194444444</v>
      </c>
      <c r="AT1268" s="1">
        <v>44354.021180555559</v>
      </c>
      <c r="AU1268" s="1">
        <v>44354.021585648145</v>
      </c>
      <c r="AV1268" t="s">
        <v>71</v>
      </c>
      <c r="AW1268" t="s">
        <v>72</v>
      </c>
      <c r="AX1268" t="s">
        <v>73</v>
      </c>
    </row>
    <row r="1269" spans="1:50" x14ac:dyDescent="0.3">
      <c r="A1269" t="str">
        <f>"200231B0000"</f>
        <v>200231B0000</v>
      </c>
      <c r="B1269" t="str">
        <f>"200231B00002"</f>
        <v>200231B00002</v>
      </c>
      <c r="C1269" t="str">
        <f t="shared" si="55"/>
        <v>20</v>
      </c>
      <c r="D1269" t="s">
        <v>67</v>
      </c>
      <c r="E1269" t="str">
        <f t="shared" si="56"/>
        <v>006</v>
      </c>
      <c r="F1269" t="s">
        <v>1254</v>
      </c>
      <c r="G1269" t="str">
        <f>"0231"</f>
        <v>0231</v>
      </c>
      <c r="H1269" t="str">
        <f>"0000"</f>
        <v>0000</v>
      </c>
      <c r="I1269" t="s">
        <v>69</v>
      </c>
      <c r="J1269">
        <v>0</v>
      </c>
      <c r="K1269">
        <v>1</v>
      </c>
      <c r="L1269">
        <v>2</v>
      </c>
      <c r="M1269">
        <v>407</v>
      </c>
      <c r="N1269">
        <v>289</v>
      </c>
      <c r="O1269">
        <v>2</v>
      </c>
      <c r="P1269">
        <v>289</v>
      </c>
      <c r="Q1269">
        <v>55</v>
      </c>
      <c r="R1269">
        <v>21</v>
      </c>
      <c r="S1269">
        <v>4</v>
      </c>
      <c r="T1269">
        <v>16</v>
      </c>
      <c r="U1269">
        <v>27</v>
      </c>
      <c r="V1269">
        <v>5</v>
      </c>
      <c r="W1269">
        <v>2</v>
      </c>
      <c r="X1269">
        <v>120</v>
      </c>
      <c r="Y1269">
        <v>11</v>
      </c>
      <c r="Z1269">
        <v>3</v>
      </c>
      <c r="AA1269">
        <v>10</v>
      </c>
      <c r="AB1269">
        <v>6</v>
      </c>
      <c r="AD1269">
        <v>2</v>
      </c>
      <c r="AE1269">
        <v>0</v>
      </c>
      <c r="AF1269">
        <v>0</v>
      </c>
      <c r="AG1269">
        <v>0</v>
      </c>
      <c r="AI1269">
        <v>0</v>
      </c>
      <c r="AJ1269">
        <v>7</v>
      </c>
      <c r="AK1269">
        <v>289</v>
      </c>
      <c r="AL1269">
        <v>289</v>
      </c>
      <c r="AM1269">
        <v>652</v>
      </c>
      <c r="AN1269">
        <v>44</v>
      </c>
      <c r="AP1269">
        <v>1</v>
      </c>
      <c r="AR1269" t="s">
        <v>1356</v>
      </c>
      <c r="AS1269" s="1">
        <v>44353.969027777777</v>
      </c>
      <c r="AT1269" s="1">
        <v>44353.970393518517</v>
      </c>
      <c r="AU1269" s="1">
        <v>44353.970937500002</v>
      </c>
      <c r="AV1269" t="s">
        <v>269</v>
      </c>
      <c r="AW1269" t="s">
        <v>270</v>
      </c>
      <c r="AX1269" t="s">
        <v>73</v>
      </c>
    </row>
    <row r="1270" spans="1:50" x14ac:dyDescent="0.3">
      <c r="A1270" t="str">
        <f>"200231C0100"</f>
        <v>200231C0100</v>
      </c>
      <c r="B1270" t="str">
        <f>"200231C01002"</f>
        <v>200231C01002</v>
      </c>
      <c r="C1270" t="str">
        <f t="shared" si="55"/>
        <v>20</v>
      </c>
      <c r="D1270" t="s">
        <v>67</v>
      </c>
      <c r="E1270" t="str">
        <f t="shared" si="56"/>
        <v>006</v>
      </c>
      <c r="F1270" t="s">
        <v>1254</v>
      </c>
      <c r="G1270" t="str">
        <f>"0231"</f>
        <v>0231</v>
      </c>
      <c r="H1270" t="str">
        <f>"0001"</f>
        <v>0001</v>
      </c>
      <c r="I1270" t="s">
        <v>75</v>
      </c>
      <c r="J1270">
        <v>0</v>
      </c>
      <c r="K1270">
        <v>1</v>
      </c>
      <c r="L1270">
        <v>2</v>
      </c>
      <c r="M1270">
        <v>389</v>
      </c>
      <c r="N1270">
        <v>307</v>
      </c>
      <c r="O1270">
        <v>2</v>
      </c>
      <c r="P1270">
        <v>307</v>
      </c>
      <c r="Q1270">
        <v>43</v>
      </c>
      <c r="R1270">
        <v>19</v>
      </c>
      <c r="S1270">
        <v>5</v>
      </c>
      <c r="T1270">
        <v>27</v>
      </c>
      <c r="U1270">
        <v>25</v>
      </c>
      <c r="V1270">
        <v>6</v>
      </c>
      <c r="W1270">
        <v>2</v>
      </c>
      <c r="X1270">
        <v>115</v>
      </c>
      <c r="Y1270">
        <v>16</v>
      </c>
      <c r="Z1270">
        <v>0</v>
      </c>
      <c r="AA1270">
        <v>24</v>
      </c>
      <c r="AB1270">
        <v>9</v>
      </c>
      <c r="AD1270">
        <v>0</v>
      </c>
      <c r="AE1270">
        <v>3</v>
      </c>
      <c r="AF1270">
        <v>0</v>
      </c>
      <c r="AG1270">
        <v>0</v>
      </c>
      <c r="AI1270">
        <v>0</v>
      </c>
      <c r="AJ1270">
        <v>13</v>
      </c>
      <c r="AK1270">
        <v>307</v>
      </c>
      <c r="AL1270">
        <v>307</v>
      </c>
      <c r="AM1270">
        <v>652</v>
      </c>
      <c r="AN1270">
        <v>44</v>
      </c>
      <c r="AP1270">
        <v>1</v>
      </c>
      <c r="AR1270" t="s">
        <v>1357</v>
      </c>
      <c r="AS1270" s="1">
        <v>44353.965277777781</v>
      </c>
      <c r="AT1270" s="1">
        <v>44353.966782407406</v>
      </c>
      <c r="AU1270" s="1">
        <v>44353.967210648145</v>
      </c>
      <c r="AV1270" t="s">
        <v>269</v>
      </c>
      <c r="AW1270" t="s">
        <v>270</v>
      </c>
      <c r="AX1270" t="s">
        <v>73</v>
      </c>
    </row>
    <row r="1271" spans="1:50" x14ac:dyDescent="0.3">
      <c r="A1271" t="str">
        <f>"200231C0200"</f>
        <v>200231C0200</v>
      </c>
      <c r="B1271" t="str">
        <f>"200231C02002"</f>
        <v>200231C02002</v>
      </c>
      <c r="C1271" t="str">
        <f t="shared" si="55"/>
        <v>20</v>
      </c>
      <c r="D1271" t="s">
        <v>67</v>
      </c>
      <c r="E1271" t="str">
        <f t="shared" si="56"/>
        <v>006</v>
      </c>
      <c r="F1271" t="s">
        <v>1254</v>
      </c>
      <c r="G1271" t="str">
        <f>"0231"</f>
        <v>0231</v>
      </c>
      <c r="H1271" t="str">
        <f>"0002"</f>
        <v>0002</v>
      </c>
      <c r="I1271" t="s">
        <v>75</v>
      </c>
      <c r="J1271">
        <v>0</v>
      </c>
      <c r="K1271">
        <v>1</v>
      </c>
      <c r="L1271">
        <v>2</v>
      </c>
      <c r="M1271">
        <v>395</v>
      </c>
      <c r="N1271">
        <v>300</v>
      </c>
      <c r="O1271">
        <v>7</v>
      </c>
      <c r="P1271">
        <v>300</v>
      </c>
      <c r="Q1271">
        <v>64</v>
      </c>
      <c r="R1271">
        <v>35</v>
      </c>
      <c r="S1271">
        <v>1</v>
      </c>
      <c r="T1271">
        <v>13</v>
      </c>
      <c r="U1271">
        <v>25</v>
      </c>
      <c r="V1271">
        <v>3</v>
      </c>
      <c r="W1271">
        <v>1</v>
      </c>
      <c r="X1271">
        <v>108</v>
      </c>
      <c r="Y1271">
        <v>12</v>
      </c>
      <c r="Z1271">
        <v>1</v>
      </c>
      <c r="AA1271">
        <v>24</v>
      </c>
      <c r="AB1271">
        <v>3</v>
      </c>
      <c r="AD1271">
        <v>4</v>
      </c>
      <c r="AE1271">
        <v>0</v>
      </c>
      <c r="AF1271">
        <v>0</v>
      </c>
      <c r="AG1271">
        <v>0</v>
      </c>
      <c r="AI1271">
        <v>0</v>
      </c>
      <c r="AJ1271">
        <v>6</v>
      </c>
      <c r="AK1271">
        <v>300</v>
      </c>
      <c r="AL1271">
        <v>300</v>
      </c>
      <c r="AM1271">
        <v>651</v>
      </c>
      <c r="AN1271">
        <v>44</v>
      </c>
      <c r="AP1271">
        <v>1</v>
      </c>
      <c r="AR1271" t="s">
        <v>1358</v>
      </c>
      <c r="AS1271" s="1">
        <v>44354.182638888888</v>
      </c>
      <c r="AT1271" s="1">
        <v>44354.186168981483</v>
      </c>
      <c r="AU1271" s="1">
        <v>44354.187083333331</v>
      </c>
      <c r="AV1271" t="s">
        <v>71</v>
      </c>
      <c r="AW1271" t="s">
        <v>72</v>
      </c>
      <c r="AX1271" t="s">
        <v>73</v>
      </c>
    </row>
    <row r="1272" spans="1:50" x14ac:dyDescent="0.3">
      <c r="A1272" t="str">
        <f>"200231C0300"</f>
        <v>200231C0300</v>
      </c>
      <c r="B1272" t="str">
        <f>"200231C03002"</f>
        <v>200231C03002</v>
      </c>
      <c r="C1272" t="str">
        <f t="shared" si="55"/>
        <v>20</v>
      </c>
      <c r="D1272" t="s">
        <v>67</v>
      </c>
      <c r="E1272" t="str">
        <f t="shared" si="56"/>
        <v>006</v>
      </c>
      <c r="F1272" t="s">
        <v>1254</v>
      </c>
      <c r="G1272" t="str">
        <f>"0231"</f>
        <v>0231</v>
      </c>
      <c r="H1272" t="str">
        <f>"0003"</f>
        <v>0003</v>
      </c>
      <c r="I1272" t="s">
        <v>75</v>
      </c>
      <c r="J1272">
        <v>0</v>
      </c>
      <c r="K1272">
        <v>1</v>
      </c>
      <c r="L1272">
        <v>2</v>
      </c>
      <c r="M1272">
        <v>389</v>
      </c>
      <c r="N1272">
        <v>306</v>
      </c>
      <c r="O1272">
        <v>0</v>
      </c>
      <c r="P1272">
        <v>306</v>
      </c>
      <c r="Q1272">
        <v>57</v>
      </c>
      <c r="R1272">
        <v>22</v>
      </c>
      <c r="S1272">
        <v>4</v>
      </c>
      <c r="T1272">
        <v>16</v>
      </c>
      <c r="U1272">
        <v>23</v>
      </c>
      <c r="V1272">
        <v>8</v>
      </c>
      <c r="W1272">
        <v>4</v>
      </c>
      <c r="X1272">
        <v>110</v>
      </c>
      <c r="Y1272">
        <v>17</v>
      </c>
      <c r="Z1272">
        <v>3</v>
      </c>
      <c r="AA1272">
        <v>24</v>
      </c>
      <c r="AB1272">
        <v>5</v>
      </c>
      <c r="AD1272">
        <v>0</v>
      </c>
      <c r="AE1272">
        <v>3</v>
      </c>
      <c r="AF1272">
        <v>0</v>
      </c>
      <c r="AG1272">
        <v>0</v>
      </c>
      <c r="AI1272">
        <v>0</v>
      </c>
      <c r="AJ1272">
        <v>10</v>
      </c>
      <c r="AK1272">
        <v>306</v>
      </c>
      <c r="AL1272">
        <v>306</v>
      </c>
      <c r="AM1272">
        <v>651</v>
      </c>
      <c r="AN1272">
        <v>44</v>
      </c>
      <c r="AP1272">
        <v>1</v>
      </c>
      <c r="AR1272" t="s">
        <v>1359</v>
      </c>
      <c r="AS1272" s="1">
        <v>44353.955416666664</v>
      </c>
      <c r="AT1272" s="1">
        <v>44353.957025462965</v>
      </c>
      <c r="AU1272" s="1">
        <v>44353.957916666666</v>
      </c>
      <c r="AV1272" t="s">
        <v>269</v>
      </c>
      <c r="AW1272" t="s">
        <v>270</v>
      </c>
      <c r="AX1272" t="s">
        <v>73</v>
      </c>
    </row>
    <row r="1273" spans="1:50" x14ac:dyDescent="0.3">
      <c r="A1273" t="str">
        <f>"200231S0100"</f>
        <v>200231S0100</v>
      </c>
      <c r="B1273" t="str">
        <f>"200231S01002EMR"</f>
        <v>200231S01002EMR</v>
      </c>
      <c r="C1273" t="str">
        <f t="shared" si="55"/>
        <v>20</v>
      </c>
      <c r="D1273" t="s">
        <v>67</v>
      </c>
      <c r="E1273" t="str">
        <f t="shared" si="56"/>
        <v>006</v>
      </c>
      <c r="F1273" t="s">
        <v>1254</v>
      </c>
      <c r="G1273" t="str">
        <f>"0231"</f>
        <v>0231</v>
      </c>
      <c r="H1273" t="str">
        <f>"0001"</f>
        <v>0001</v>
      </c>
      <c r="I1273" t="s">
        <v>85</v>
      </c>
      <c r="J1273">
        <v>0</v>
      </c>
      <c r="K1273">
        <v>1</v>
      </c>
      <c r="L1273" t="s">
        <v>86</v>
      </c>
      <c r="AM1273">
        <v>0</v>
      </c>
      <c r="AN1273">
        <v>44</v>
      </c>
      <c r="AO1273" t="s">
        <v>352</v>
      </c>
      <c r="AP1273">
        <v>0</v>
      </c>
      <c r="AR1273" t="s">
        <v>1360</v>
      </c>
      <c r="AS1273" s="1">
        <v>44354.652083333334</v>
      </c>
      <c r="AT1273" s="1">
        <v>44354.654513888891</v>
      </c>
      <c r="AU1273" s="1">
        <v>44354.654513888891</v>
      </c>
      <c r="AV1273" t="s">
        <v>71</v>
      </c>
      <c r="AW1273" t="s">
        <v>72</v>
      </c>
      <c r="AX1273" t="s">
        <v>73</v>
      </c>
    </row>
    <row r="1274" spans="1:50" x14ac:dyDescent="0.3">
      <c r="A1274" t="str">
        <f>"200389B0000"</f>
        <v>200389B0000</v>
      </c>
      <c r="B1274" t="str">
        <f>"200389B00002"</f>
        <v>200389B00002</v>
      </c>
      <c r="C1274" t="str">
        <f t="shared" si="55"/>
        <v>20</v>
      </c>
      <c r="D1274" t="s">
        <v>67</v>
      </c>
      <c r="E1274" t="str">
        <f t="shared" si="56"/>
        <v>006</v>
      </c>
      <c r="F1274" t="s">
        <v>1254</v>
      </c>
      <c r="G1274" t="str">
        <f>"0389"</f>
        <v>0389</v>
      </c>
      <c r="H1274" t="str">
        <f>"0000"</f>
        <v>0000</v>
      </c>
      <c r="I1274" t="s">
        <v>69</v>
      </c>
      <c r="J1274">
        <v>0</v>
      </c>
      <c r="K1274">
        <v>1</v>
      </c>
      <c r="L1274">
        <v>2</v>
      </c>
      <c r="M1274">
        <v>178</v>
      </c>
      <c r="N1274">
        <v>543</v>
      </c>
      <c r="O1274">
        <v>6</v>
      </c>
      <c r="P1274">
        <v>364</v>
      </c>
      <c r="Q1274">
        <v>0</v>
      </c>
      <c r="R1274">
        <v>130</v>
      </c>
      <c r="S1274">
        <v>0</v>
      </c>
      <c r="T1274">
        <v>5</v>
      </c>
      <c r="U1274">
        <v>29</v>
      </c>
      <c r="V1274">
        <v>4</v>
      </c>
      <c r="W1274">
        <v>16</v>
      </c>
      <c r="X1274">
        <v>111</v>
      </c>
      <c r="Y1274">
        <v>51</v>
      </c>
      <c r="Z1274">
        <v>3</v>
      </c>
      <c r="AA1274">
        <v>0</v>
      </c>
      <c r="AB1274">
        <v>5</v>
      </c>
      <c r="AD1274">
        <v>0</v>
      </c>
      <c r="AE1274">
        <v>0</v>
      </c>
      <c r="AF1274">
        <v>0</v>
      </c>
      <c r="AG1274">
        <v>0</v>
      </c>
      <c r="AI1274">
        <v>0</v>
      </c>
      <c r="AJ1274">
        <v>10</v>
      </c>
      <c r="AK1274">
        <v>365</v>
      </c>
      <c r="AL1274">
        <v>364</v>
      </c>
      <c r="AM1274">
        <v>499</v>
      </c>
      <c r="AN1274">
        <v>44</v>
      </c>
      <c r="AP1274">
        <v>1</v>
      </c>
      <c r="AR1274" t="s">
        <v>1361</v>
      </c>
      <c r="AS1274" s="1">
        <v>44354.445138888892</v>
      </c>
      <c r="AT1274" s="1">
        <v>44354.44903935185</v>
      </c>
      <c r="AU1274" s="1">
        <v>44354.449918981481</v>
      </c>
      <c r="AV1274" t="s">
        <v>71</v>
      </c>
      <c r="AW1274" t="s">
        <v>72</v>
      </c>
      <c r="AX1274" t="s">
        <v>73</v>
      </c>
    </row>
    <row r="1275" spans="1:50" x14ac:dyDescent="0.3">
      <c r="A1275" t="str">
        <f>"200389C0100"</f>
        <v>200389C0100</v>
      </c>
      <c r="B1275" t="str">
        <f>"200389C01002"</f>
        <v>200389C01002</v>
      </c>
      <c r="C1275" t="str">
        <f t="shared" si="55"/>
        <v>20</v>
      </c>
      <c r="D1275" t="s">
        <v>67</v>
      </c>
      <c r="E1275" t="str">
        <f t="shared" si="56"/>
        <v>006</v>
      </c>
      <c r="F1275" t="s">
        <v>1254</v>
      </c>
      <c r="G1275" t="str">
        <f>"0389"</f>
        <v>0389</v>
      </c>
      <c r="H1275" t="str">
        <f>"0001"</f>
        <v>0001</v>
      </c>
      <c r="I1275" t="s">
        <v>75</v>
      </c>
      <c r="J1275">
        <v>0</v>
      </c>
      <c r="K1275">
        <v>1</v>
      </c>
      <c r="L1275">
        <v>2</v>
      </c>
      <c r="M1275">
        <v>180</v>
      </c>
      <c r="N1275">
        <v>362</v>
      </c>
      <c r="O1275">
        <v>3</v>
      </c>
      <c r="P1275">
        <v>362</v>
      </c>
      <c r="Q1275">
        <v>16</v>
      </c>
      <c r="R1275">
        <v>88</v>
      </c>
      <c r="S1275">
        <v>1</v>
      </c>
      <c r="T1275">
        <v>7</v>
      </c>
      <c r="U1275">
        <v>28</v>
      </c>
      <c r="V1275">
        <v>4</v>
      </c>
      <c r="W1275">
        <v>25</v>
      </c>
      <c r="X1275">
        <v>134</v>
      </c>
      <c r="Y1275">
        <v>46</v>
      </c>
      <c r="Z1275">
        <v>4</v>
      </c>
      <c r="AA1275">
        <v>0</v>
      </c>
      <c r="AB1275">
        <v>1</v>
      </c>
      <c r="AD1275">
        <v>0</v>
      </c>
      <c r="AE1275">
        <v>0</v>
      </c>
      <c r="AF1275">
        <v>0</v>
      </c>
      <c r="AG1275">
        <v>0</v>
      </c>
      <c r="AI1275">
        <v>0</v>
      </c>
      <c r="AJ1275">
        <v>8</v>
      </c>
      <c r="AK1275">
        <v>362</v>
      </c>
      <c r="AL1275">
        <v>362</v>
      </c>
      <c r="AM1275">
        <v>498</v>
      </c>
      <c r="AN1275">
        <v>44</v>
      </c>
      <c r="AP1275">
        <v>1</v>
      </c>
      <c r="AR1275" t="s">
        <v>1362</v>
      </c>
      <c r="AS1275" s="1">
        <v>44354.451388888891</v>
      </c>
      <c r="AT1275" s="1">
        <v>44354.454768518517</v>
      </c>
      <c r="AU1275" s="1">
        <v>44354.455671296295</v>
      </c>
      <c r="AV1275" t="s">
        <v>71</v>
      </c>
      <c r="AW1275" t="s">
        <v>72</v>
      </c>
      <c r="AX1275" t="s">
        <v>73</v>
      </c>
    </row>
    <row r="1276" spans="1:50" x14ac:dyDescent="0.3">
      <c r="A1276" t="str">
        <f>"200390B0000"</f>
        <v>200390B0000</v>
      </c>
      <c r="B1276" t="str">
        <f>"200390B00002"</f>
        <v>200390B00002</v>
      </c>
      <c r="C1276" t="str">
        <f t="shared" si="55"/>
        <v>20</v>
      </c>
      <c r="D1276" t="s">
        <v>67</v>
      </c>
      <c r="E1276" t="str">
        <f t="shared" si="56"/>
        <v>006</v>
      </c>
      <c r="F1276" t="s">
        <v>1254</v>
      </c>
      <c r="G1276" t="str">
        <f>"0390"</f>
        <v>0390</v>
      </c>
      <c r="H1276" t="str">
        <f t="shared" ref="H1276:H1283" si="59">"0000"</f>
        <v>0000</v>
      </c>
      <c r="I1276" t="s">
        <v>69</v>
      </c>
      <c r="J1276">
        <v>0</v>
      </c>
      <c r="K1276">
        <v>1</v>
      </c>
      <c r="L1276">
        <v>2</v>
      </c>
      <c r="M1276">
        <v>149</v>
      </c>
      <c r="N1276">
        <v>248</v>
      </c>
      <c r="O1276">
        <v>11</v>
      </c>
      <c r="P1276">
        <v>248</v>
      </c>
      <c r="Q1276">
        <v>7</v>
      </c>
      <c r="R1276">
        <v>45</v>
      </c>
      <c r="S1276">
        <v>1</v>
      </c>
      <c r="T1276">
        <v>3</v>
      </c>
      <c r="U1276">
        <v>45</v>
      </c>
      <c r="V1276">
        <v>2</v>
      </c>
      <c r="W1276">
        <v>6</v>
      </c>
      <c r="X1276">
        <v>82</v>
      </c>
      <c r="Y1276">
        <v>45</v>
      </c>
      <c r="Z1276">
        <v>4</v>
      </c>
      <c r="AA1276">
        <v>0</v>
      </c>
      <c r="AB1276">
        <v>3</v>
      </c>
      <c r="AD1276">
        <v>2</v>
      </c>
      <c r="AE1276">
        <v>0</v>
      </c>
      <c r="AF1276">
        <v>0</v>
      </c>
      <c r="AG1276">
        <v>0</v>
      </c>
      <c r="AI1276">
        <v>0</v>
      </c>
      <c r="AJ1276">
        <v>3</v>
      </c>
      <c r="AK1276">
        <v>248</v>
      </c>
      <c r="AL1276">
        <v>248</v>
      </c>
      <c r="AM1276">
        <v>353</v>
      </c>
      <c r="AN1276">
        <v>44</v>
      </c>
      <c r="AP1276">
        <v>1</v>
      </c>
      <c r="AR1276" s="2" t="s">
        <v>1363</v>
      </c>
      <c r="AS1276" s="1">
        <v>44354.463888888888</v>
      </c>
      <c r="AT1276" s="1">
        <v>44354.46670138889</v>
      </c>
      <c r="AU1276" s="1">
        <v>44354.467187499999</v>
      </c>
      <c r="AV1276" t="s">
        <v>71</v>
      </c>
      <c r="AW1276" t="s">
        <v>72</v>
      </c>
      <c r="AX1276" t="s">
        <v>73</v>
      </c>
    </row>
    <row r="1277" spans="1:50" x14ac:dyDescent="0.3">
      <c r="A1277" t="str">
        <f>"200391B0000"</f>
        <v>200391B0000</v>
      </c>
      <c r="B1277" t="str">
        <f>"200391B00002"</f>
        <v>200391B00002</v>
      </c>
      <c r="C1277" t="str">
        <f t="shared" si="55"/>
        <v>20</v>
      </c>
      <c r="D1277" t="s">
        <v>67</v>
      </c>
      <c r="E1277" t="str">
        <f t="shared" si="56"/>
        <v>006</v>
      </c>
      <c r="F1277" t="s">
        <v>1254</v>
      </c>
      <c r="G1277" t="str">
        <f>"0391"</f>
        <v>0391</v>
      </c>
      <c r="H1277" t="str">
        <f t="shared" si="59"/>
        <v>0000</v>
      </c>
      <c r="I1277" t="s">
        <v>69</v>
      </c>
      <c r="J1277">
        <v>0</v>
      </c>
      <c r="K1277">
        <v>1</v>
      </c>
      <c r="L1277">
        <v>2</v>
      </c>
      <c r="M1277">
        <v>202</v>
      </c>
      <c r="N1277">
        <v>403</v>
      </c>
      <c r="O1277">
        <v>8</v>
      </c>
      <c r="P1277">
        <v>403</v>
      </c>
      <c r="Q1277">
        <v>22</v>
      </c>
      <c r="R1277">
        <v>83</v>
      </c>
      <c r="S1277">
        <v>1</v>
      </c>
      <c r="T1277">
        <v>4</v>
      </c>
      <c r="U1277">
        <v>63</v>
      </c>
      <c r="V1277">
        <v>4</v>
      </c>
      <c r="W1277">
        <v>31</v>
      </c>
      <c r="X1277">
        <v>147</v>
      </c>
      <c r="Y1277">
        <v>21</v>
      </c>
      <c r="Z1277">
        <v>13</v>
      </c>
      <c r="AA1277">
        <v>1</v>
      </c>
      <c r="AB1277">
        <v>3</v>
      </c>
      <c r="AD1277">
        <v>0</v>
      </c>
      <c r="AE1277">
        <v>0</v>
      </c>
      <c r="AF1277">
        <v>0</v>
      </c>
      <c r="AG1277">
        <v>0</v>
      </c>
      <c r="AI1277">
        <v>0</v>
      </c>
      <c r="AJ1277">
        <v>10</v>
      </c>
      <c r="AK1277">
        <v>403</v>
      </c>
      <c r="AL1277">
        <v>403</v>
      </c>
      <c r="AM1277">
        <v>561</v>
      </c>
      <c r="AN1277">
        <v>44</v>
      </c>
      <c r="AP1277">
        <v>1</v>
      </c>
      <c r="AR1277" t="s">
        <v>1364</v>
      </c>
      <c r="AS1277" s="1">
        <v>44354.465277777781</v>
      </c>
      <c r="AT1277" s="1">
        <v>44354.469826388886</v>
      </c>
      <c r="AU1277" s="1">
        <v>44354.470601851855</v>
      </c>
      <c r="AV1277" t="s">
        <v>71</v>
      </c>
      <c r="AW1277" t="s">
        <v>72</v>
      </c>
      <c r="AX1277" t="s">
        <v>73</v>
      </c>
    </row>
    <row r="1278" spans="1:50" x14ac:dyDescent="0.3">
      <c r="A1278" t="str">
        <f>"200392B0000"</f>
        <v>200392B0000</v>
      </c>
      <c r="B1278" t="str">
        <f>"200392B00002"</f>
        <v>200392B00002</v>
      </c>
      <c r="C1278" t="str">
        <f t="shared" si="55"/>
        <v>20</v>
      </c>
      <c r="D1278" t="s">
        <v>67</v>
      </c>
      <c r="E1278" t="str">
        <f t="shared" si="56"/>
        <v>006</v>
      </c>
      <c r="F1278" t="s">
        <v>1254</v>
      </c>
      <c r="G1278" t="str">
        <f>"0392"</f>
        <v>0392</v>
      </c>
      <c r="H1278" t="str">
        <f t="shared" si="59"/>
        <v>0000</v>
      </c>
      <c r="I1278" t="s">
        <v>69</v>
      </c>
      <c r="J1278">
        <v>0</v>
      </c>
      <c r="K1278">
        <v>1</v>
      </c>
      <c r="L1278">
        <v>2</v>
      </c>
      <c r="M1278">
        <v>87</v>
      </c>
      <c r="N1278">
        <v>62</v>
      </c>
      <c r="O1278">
        <v>5</v>
      </c>
      <c r="P1278">
        <v>62</v>
      </c>
      <c r="Q1278">
        <v>4</v>
      </c>
      <c r="R1278">
        <v>7</v>
      </c>
      <c r="S1278">
        <v>1</v>
      </c>
      <c r="T1278">
        <v>1</v>
      </c>
      <c r="U1278">
        <v>7</v>
      </c>
      <c r="V1278">
        <v>0</v>
      </c>
      <c r="W1278">
        <v>5</v>
      </c>
      <c r="X1278">
        <v>25</v>
      </c>
      <c r="Y1278">
        <v>8</v>
      </c>
      <c r="Z1278">
        <v>4</v>
      </c>
      <c r="AA1278">
        <v>0</v>
      </c>
      <c r="AB1278">
        <v>0</v>
      </c>
      <c r="AD1278">
        <v>0</v>
      </c>
      <c r="AE1278">
        <v>0</v>
      </c>
      <c r="AF1278">
        <v>0</v>
      </c>
      <c r="AG1278">
        <v>0</v>
      </c>
      <c r="AI1278">
        <v>0</v>
      </c>
      <c r="AJ1278">
        <v>0</v>
      </c>
      <c r="AK1278">
        <v>62</v>
      </c>
      <c r="AL1278">
        <v>62</v>
      </c>
      <c r="AM1278">
        <v>105</v>
      </c>
      <c r="AN1278">
        <v>44</v>
      </c>
      <c r="AP1278">
        <v>1</v>
      </c>
      <c r="AR1278" t="s">
        <v>1365</v>
      </c>
      <c r="AS1278" s="1">
        <v>44354.464583333334</v>
      </c>
      <c r="AT1278" s="1">
        <v>44354.466863425929</v>
      </c>
      <c r="AU1278" s="1">
        <v>44354.467557870368</v>
      </c>
      <c r="AV1278" t="s">
        <v>71</v>
      </c>
      <c r="AW1278" t="s">
        <v>72</v>
      </c>
      <c r="AX1278" t="s">
        <v>73</v>
      </c>
    </row>
    <row r="1279" spans="1:50" x14ac:dyDescent="0.3">
      <c r="A1279" t="str">
        <f>"200393B0000"</f>
        <v>200393B0000</v>
      </c>
      <c r="B1279" t="str">
        <f>"200393B00002"</f>
        <v>200393B00002</v>
      </c>
      <c r="C1279" t="str">
        <f t="shared" si="55"/>
        <v>20</v>
      </c>
      <c r="D1279" t="s">
        <v>67</v>
      </c>
      <c r="E1279" t="str">
        <f t="shared" si="56"/>
        <v>006</v>
      </c>
      <c r="F1279" t="s">
        <v>1254</v>
      </c>
      <c r="G1279" t="str">
        <f>"0393"</f>
        <v>0393</v>
      </c>
      <c r="H1279" t="str">
        <f t="shared" si="59"/>
        <v>0000</v>
      </c>
      <c r="I1279" t="s">
        <v>69</v>
      </c>
      <c r="J1279">
        <v>0</v>
      </c>
      <c r="K1279">
        <v>1</v>
      </c>
      <c r="L1279">
        <v>2</v>
      </c>
      <c r="M1279">
        <v>185</v>
      </c>
      <c r="N1279">
        <v>200</v>
      </c>
      <c r="O1279">
        <v>12</v>
      </c>
      <c r="P1279">
        <v>200</v>
      </c>
      <c r="Q1279">
        <v>3</v>
      </c>
      <c r="R1279">
        <v>49</v>
      </c>
      <c r="S1279">
        <v>1</v>
      </c>
      <c r="T1279">
        <v>2</v>
      </c>
      <c r="U1279">
        <v>8</v>
      </c>
      <c r="V1279">
        <v>1</v>
      </c>
      <c r="W1279">
        <v>18</v>
      </c>
      <c r="X1279">
        <v>37</v>
      </c>
      <c r="Y1279">
        <v>4</v>
      </c>
      <c r="Z1279">
        <v>64</v>
      </c>
      <c r="AA1279">
        <v>1</v>
      </c>
      <c r="AB1279">
        <v>0</v>
      </c>
      <c r="AD1279">
        <v>0</v>
      </c>
      <c r="AE1279">
        <v>0</v>
      </c>
      <c r="AF1279">
        <v>0</v>
      </c>
      <c r="AG1279">
        <v>0</v>
      </c>
      <c r="AI1279">
        <v>0</v>
      </c>
      <c r="AJ1279">
        <v>12</v>
      </c>
      <c r="AK1279">
        <v>200</v>
      </c>
      <c r="AL1279">
        <v>200</v>
      </c>
      <c r="AM1279">
        <v>341</v>
      </c>
      <c r="AN1279">
        <v>44</v>
      </c>
      <c r="AP1279">
        <v>1</v>
      </c>
      <c r="AR1279" t="s">
        <v>1366</v>
      </c>
      <c r="AS1279" s="1">
        <v>44354.478472222225</v>
      </c>
      <c r="AT1279" s="1">
        <v>44354.48196759259</v>
      </c>
      <c r="AU1279" s="1">
        <v>44354.482361111113</v>
      </c>
      <c r="AV1279" t="s">
        <v>71</v>
      </c>
      <c r="AW1279" t="s">
        <v>72</v>
      </c>
      <c r="AX1279" t="s">
        <v>73</v>
      </c>
    </row>
    <row r="1280" spans="1:50" x14ac:dyDescent="0.3">
      <c r="A1280" t="str">
        <f>"200394B0000"</f>
        <v>200394B0000</v>
      </c>
      <c r="B1280" t="str">
        <f>"200394B00002"</f>
        <v>200394B00002</v>
      </c>
      <c r="C1280" t="str">
        <f t="shared" si="55"/>
        <v>20</v>
      </c>
      <c r="D1280" t="s">
        <v>67</v>
      </c>
      <c r="E1280" t="str">
        <f t="shared" si="56"/>
        <v>006</v>
      </c>
      <c r="F1280" t="s">
        <v>1254</v>
      </c>
      <c r="G1280" t="str">
        <f>"0394"</f>
        <v>0394</v>
      </c>
      <c r="H1280" t="str">
        <f t="shared" si="59"/>
        <v>0000</v>
      </c>
      <c r="I1280" t="s">
        <v>69</v>
      </c>
      <c r="J1280">
        <v>0</v>
      </c>
      <c r="K1280">
        <v>1</v>
      </c>
      <c r="L1280">
        <v>2</v>
      </c>
      <c r="M1280">
        <v>162</v>
      </c>
      <c r="N1280">
        <v>231</v>
      </c>
      <c r="O1280">
        <v>5</v>
      </c>
      <c r="P1280">
        <v>231</v>
      </c>
      <c r="Q1280">
        <v>4</v>
      </c>
      <c r="R1280">
        <v>49</v>
      </c>
      <c r="S1280">
        <v>1</v>
      </c>
      <c r="T1280">
        <v>3</v>
      </c>
      <c r="U1280">
        <v>8</v>
      </c>
      <c r="V1280">
        <v>1</v>
      </c>
      <c r="W1280">
        <v>47</v>
      </c>
      <c r="X1280">
        <v>43</v>
      </c>
      <c r="Y1280">
        <v>51</v>
      </c>
      <c r="Z1280">
        <v>15</v>
      </c>
      <c r="AA1280">
        <v>0</v>
      </c>
      <c r="AB1280">
        <v>0</v>
      </c>
      <c r="AD1280" t="s">
        <v>77</v>
      </c>
      <c r="AE1280" t="s">
        <v>77</v>
      </c>
      <c r="AF1280" t="s">
        <v>77</v>
      </c>
      <c r="AG1280" t="s">
        <v>77</v>
      </c>
      <c r="AI1280" t="s">
        <v>77</v>
      </c>
      <c r="AJ1280">
        <v>9</v>
      </c>
      <c r="AK1280">
        <v>231</v>
      </c>
      <c r="AL1280">
        <v>231</v>
      </c>
      <c r="AM1280">
        <v>349</v>
      </c>
      <c r="AN1280">
        <v>44</v>
      </c>
      <c r="AO1280" t="s">
        <v>78</v>
      </c>
      <c r="AP1280">
        <v>1</v>
      </c>
      <c r="AR1280" t="s">
        <v>1367</v>
      </c>
      <c r="AS1280" s="1">
        <v>44353.951261574075</v>
      </c>
      <c r="AT1280" s="1">
        <v>44353.958020833335</v>
      </c>
      <c r="AU1280" s="1">
        <v>44353.958587962959</v>
      </c>
      <c r="AV1280" t="s">
        <v>269</v>
      </c>
      <c r="AW1280" t="s">
        <v>270</v>
      </c>
      <c r="AX1280" t="s">
        <v>73</v>
      </c>
    </row>
    <row r="1281" spans="1:50" x14ac:dyDescent="0.3">
      <c r="A1281" t="str">
        <f>"200395B0000"</f>
        <v>200395B0000</v>
      </c>
      <c r="B1281" t="str">
        <f>"200395B00002"</f>
        <v>200395B00002</v>
      </c>
      <c r="C1281" t="str">
        <f t="shared" si="55"/>
        <v>20</v>
      </c>
      <c r="D1281" t="s">
        <v>67</v>
      </c>
      <c r="E1281" t="str">
        <f t="shared" si="56"/>
        <v>006</v>
      </c>
      <c r="F1281" t="s">
        <v>1254</v>
      </c>
      <c r="G1281" t="str">
        <f>"0395"</f>
        <v>0395</v>
      </c>
      <c r="H1281" t="str">
        <f t="shared" si="59"/>
        <v>0000</v>
      </c>
      <c r="I1281" t="s">
        <v>69</v>
      </c>
      <c r="J1281">
        <v>0</v>
      </c>
      <c r="K1281">
        <v>1</v>
      </c>
      <c r="L1281">
        <v>2</v>
      </c>
      <c r="M1281">
        <v>105</v>
      </c>
      <c r="N1281">
        <v>106</v>
      </c>
      <c r="O1281">
        <v>8</v>
      </c>
      <c r="P1281">
        <v>106</v>
      </c>
      <c r="Q1281">
        <v>0</v>
      </c>
      <c r="R1281">
        <v>26</v>
      </c>
      <c r="S1281">
        <v>1</v>
      </c>
      <c r="T1281">
        <v>0</v>
      </c>
      <c r="U1281">
        <v>12</v>
      </c>
      <c r="V1281">
        <v>0</v>
      </c>
      <c r="W1281">
        <v>7</v>
      </c>
      <c r="X1281">
        <v>36</v>
      </c>
      <c r="Y1281">
        <v>14</v>
      </c>
      <c r="Z1281">
        <v>6</v>
      </c>
      <c r="AA1281">
        <v>2</v>
      </c>
      <c r="AB1281">
        <v>0</v>
      </c>
      <c r="AD1281">
        <v>0</v>
      </c>
      <c r="AE1281">
        <v>0</v>
      </c>
      <c r="AF1281">
        <v>0</v>
      </c>
      <c r="AG1281">
        <v>0</v>
      </c>
      <c r="AI1281">
        <v>0</v>
      </c>
      <c r="AJ1281">
        <v>1</v>
      </c>
      <c r="AK1281">
        <v>106</v>
      </c>
      <c r="AL1281">
        <v>105</v>
      </c>
      <c r="AM1281">
        <v>167</v>
      </c>
      <c r="AN1281">
        <v>44</v>
      </c>
      <c r="AP1281">
        <v>1</v>
      </c>
      <c r="AR1281" t="s">
        <v>1368</v>
      </c>
      <c r="AS1281" s="1">
        <v>44354.586805555555</v>
      </c>
      <c r="AT1281" s="1">
        <v>44354.588796296295</v>
      </c>
      <c r="AU1281" s="1">
        <v>44354.58965277778</v>
      </c>
      <c r="AV1281" t="s">
        <v>71</v>
      </c>
      <c r="AW1281" t="s">
        <v>72</v>
      </c>
      <c r="AX1281" t="s">
        <v>347</v>
      </c>
    </row>
    <row r="1282" spans="1:50" x14ac:dyDescent="0.3">
      <c r="A1282" t="str">
        <f>"200761B0000"</f>
        <v>200761B0000</v>
      </c>
      <c r="B1282" t="str">
        <f>"200761B00002"</f>
        <v>200761B00002</v>
      </c>
      <c r="C1282" t="str">
        <f t="shared" si="55"/>
        <v>20</v>
      </c>
      <c r="D1282" t="s">
        <v>67</v>
      </c>
      <c r="E1282" t="str">
        <f t="shared" si="56"/>
        <v>006</v>
      </c>
      <c r="F1282" t="s">
        <v>1254</v>
      </c>
      <c r="G1282" t="str">
        <f>"0761"</f>
        <v>0761</v>
      </c>
      <c r="H1282" t="str">
        <f t="shared" si="59"/>
        <v>0000</v>
      </c>
      <c r="I1282" t="s">
        <v>69</v>
      </c>
      <c r="J1282">
        <v>0</v>
      </c>
      <c r="K1282">
        <v>1</v>
      </c>
      <c r="L1282">
        <v>2</v>
      </c>
      <c r="M1282">
        <v>8</v>
      </c>
      <c r="N1282">
        <v>94</v>
      </c>
      <c r="O1282">
        <v>0</v>
      </c>
      <c r="P1282">
        <v>94</v>
      </c>
      <c r="Q1282">
        <v>1</v>
      </c>
      <c r="R1282">
        <v>12</v>
      </c>
      <c r="S1282">
        <v>2</v>
      </c>
      <c r="T1282">
        <v>0</v>
      </c>
      <c r="U1282">
        <v>7</v>
      </c>
      <c r="V1282">
        <v>2</v>
      </c>
      <c r="W1282">
        <v>1</v>
      </c>
      <c r="X1282">
        <v>55</v>
      </c>
      <c r="Y1282">
        <v>0</v>
      </c>
      <c r="Z1282">
        <v>1</v>
      </c>
      <c r="AA1282">
        <v>5</v>
      </c>
      <c r="AB1282">
        <v>0</v>
      </c>
      <c r="AD1282">
        <v>0</v>
      </c>
      <c r="AE1282">
        <v>0</v>
      </c>
      <c r="AF1282">
        <v>0</v>
      </c>
      <c r="AG1282">
        <v>0</v>
      </c>
      <c r="AI1282">
        <v>0</v>
      </c>
      <c r="AJ1282">
        <v>8</v>
      </c>
      <c r="AK1282">
        <v>94</v>
      </c>
      <c r="AL1282">
        <v>94</v>
      </c>
      <c r="AM1282">
        <v>314</v>
      </c>
      <c r="AN1282">
        <v>44</v>
      </c>
      <c r="AP1282">
        <v>1</v>
      </c>
      <c r="AR1282" t="s">
        <v>1369</v>
      </c>
      <c r="AS1282" s="1">
        <v>44354.413888888892</v>
      </c>
      <c r="AT1282" s="1">
        <v>44354.417326388888</v>
      </c>
      <c r="AU1282" s="1">
        <v>44354.417743055557</v>
      </c>
      <c r="AV1282" t="s">
        <v>71</v>
      </c>
      <c r="AW1282" t="s">
        <v>72</v>
      </c>
      <c r="AX1282" t="s">
        <v>73</v>
      </c>
    </row>
    <row r="1283" spans="1:50" x14ac:dyDescent="0.3">
      <c r="A1283" t="str">
        <f>"200907B0000"</f>
        <v>200907B0000</v>
      </c>
      <c r="B1283" t="str">
        <f>"200907B00002"</f>
        <v>200907B00002</v>
      </c>
      <c r="C1283" t="str">
        <f t="shared" si="55"/>
        <v>20</v>
      </c>
      <c r="D1283" t="s">
        <v>67</v>
      </c>
      <c r="E1283" t="str">
        <f t="shared" si="56"/>
        <v>006</v>
      </c>
      <c r="F1283" t="s">
        <v>1254</v>
      </c>
      <c r="G1283" t="str">
        <f>"0907"</f>
        <v>0907</v>
      </c>
      <c r="H1283" t="str">
        <f t="shared" si="59"/>
        <v>0000</v>
      </c>
      <c r="I1283" t="s">
        <v>69</v>
      </c>
      <c r="J1283">
        <v>0</v>
      </c>
      <c r="K1283">
        <v>1</v>
      </c>
      <c r="L1283">
        <v>2</v>
      </c>
      <c r="M1283">
        <v>453</v>
      </c>
      <c r="N1283">
        <v>116</v>
      </c>
      <c r="O1283">
        <v>0</v>
      </c>
      <c r="P1283">
        <v>116</v>
      </c>
      <c r="Q1283">
        <v>5</v>
      </c>
      <c r="R1283">
        <v>25</v>
      </c>
      <c r="S1283">
        <v>8</v>
      </c>
      <c r="T1283">
        <v>3</v>
      </c>
      <c r="U1283">
        <v>6</v>
      </c>
      <c r="V1283">
        <v>2</v>
      </c>
      <c r="W1283">
        <v>1</v>
      </c>
      <c r="X1283">
        <v>54</v>
      </c>
      <c r="Y1283">
        <v>1</v>
      </c>
      <c r="Z1283">
        <v>0</v>
      </c>
      <c r="AA1283">
        <v>4</v>
      </c>
      <c r="AB1283">
        <v>1</v>
      </c>
      <c r="AD1283">
        <v>0</v>
      </c>
      <c r="AE1283">
        <v>1</v>
      </c>
      <c r="AF1283">
        <v>0</v>
      </c>
      <c r="AG1283">
        <v>0</v>
      </c>
      <c r="AI1283">
        <v>0</v>
      </c>
      <c r="AJ1283">
        <v>5</v>
      </c>
      <c r="AK1283">
        <v>116</v>
      </c>
      <c r="AL1283">
        <v>116</v>
      </c>
      <c r="AM1283">
        <v>525</v>
      </c>
      <c r="AN1283">
        <v>44</v>
      </c>
      <c r="AP1283">
        <v>1</v>
      </c>
      <c r="AR1283" t="s">
        <v>1370</v>
      </c>
      <c r="AS1283" s="1">
        <v>44354.417361111111</v>
      </c>
      <c r="AT1283" s="1">
        <v>44354.421030092592</v>
      </c>
      <c r="AU1283" s="1">
        <v>44354.42150462963</v>
      </c>
      <c r="AV1283" t="s">
        <v>71</v>
      </c>
      <c r="AW1283" t="s">
        <v>72</v>
      </c>
      <c r="AX1283" t="s">
        <v>73</v>
      </c>
    </row>
    <row r="1284" spans="1:50" x14ac:dyDescent="0.3">
      <c r="A1284" t="str">
        <f>"200907C0100"</f>
        <v>200907C0100</v>
      </c>
      <c r="B1284" t="str">
        <f>"200907C01002"</f>
        <v>200907C01002</v>
      </c>
      <c r="C1284" t="str">
        <f t="shared" si="55"/>
        <v>20</v>
      </c>
      <c r="D1284" t="s">
        <v>67</v>
      </c>
      <c r="E1284" t="str">
        <f t="shared" si="56"/>
        <v>006</v>
      </c>
      <c r="F1284" t="s">
        <v>1254</v>
      </c>
      <c r="G1284" t="str">
        <f>"0907"</f>
        <v>0907</v>
      </c>
      <c r="H1284" t="str">
        <f>"0001"</f>
        <v>0001</v>
      </c>
      <c r="I1284" t="s">
        <v>75</v>
      </c>
      <c r="J1284">
        <v>0</v>
      </c>
      <c r="K1284">
        <v>1</v>
      </c>
      <c r="L1284">
        <v>2</v>
      </c>
      <c r="M1284">
        <v>435</v>
      </c>
      <c r="N1284">
        <v>134</v>
      </c>
      <c r="O1284">
        <v>0</v>
      </c>
      <c r="P1284">
        <v>134</v>
      </c>
      <c r="Q1284">
        <v>1</v>
      </c>
      <c r="R1284">
        <v>31</v>
      </c>
      <c r="S1284">
        <v>5</v>
      </c>
      <c r="T1284">
        <v>3</v>
      </c>
      <c r="U1284">
        <v>4</v>
      </c>
      <c r="V1284">
        <v>2</v>
      </c>
      <c r="W1284">
        <v>2</v>
      </c>
      <c r="X1284">
        <v>69</v>
      </c>
      <c r="Y1284">
        <v>8</v>
      </c>
      <c r="Z1284">
        <v>2</v>
      </c>
      <c r="AA1284">
        <v>3</v>
      </c>
      <c r="AB1284">
        <v>0</v>
      </c>
      <c r="AD1284">
        <v>0</v>
      </c>
      <c r="AE1284">
        <v>0</v>
      </c>
      <c r="AF1284">
        <v>0</v>
      </c>
      <c r="AG1284">
        <v>0</v>
      </c>
      <c r="AI1284">
        <v>0</v>
      </c>
      <c r="AJ1284">
        <v>4</v>
      </c>
      <c r="AK1284">
        <v>134</v>
      </c>
      <c r="AL1284">
        <v>134</v>
      </c>
      <c r="AM1284">
        <v>525</v>
      </c>
      <c r="AN1284">
        <v>44</v>
      </c>
      <c r="AP1284">
        <v>1</v>
      </c>
      <c r="AR1284" t="s">
        <v>1371</v>
      </c>
      <c r="AS1284" s="1">
        <v>44354.415277777778</v>
      </c>
      <c r="AT1284" s="1">
        <v>44354.417557870373</v>
      </c>
      <c r="AU1284" s="1">
        <v>44354.41815972222</v>
      </c>
      <c r="AV1284" t="s">
        <v>71</v>
      </c>
      <c r="AW1284" t="s">
        <v>72</v>
      </c>
      <c r="AX1284" t="s">
        <v>73</v>
      </c>
    </row>
    <row r="1285" spans="1:50" x14ac:dyDescent="0.3">
      <c r="A1285" t="str">
        <f>"200907E0100"</f>
        <v>200907E0100</v>
      </c>
      <c r="B1285" t="str">
        <f>"200907E01002"</f>
        <v>200907E01002</v>
      </c>
      <c r="C1285" t="str">
        <f t="shared" si="55"/>
        <v>20</v>
      </c>
      <c r="D1285" t="s">
        <v>67</v>
      </c>
      <c r="E1285" t="str">
        <f t="shared" si="56"/>
        <v>006</v>
      </c>
      <c r="F1285" t="s">
        <v>1254</v>
      </c>
      <c r="G1285" t="str">
        <f>"0907"</f>
        <v>0907</v>
      </c>
      <c r="H1285" t="str">
        <f>"0001"</f>
        <v>0001</v>
      </c>
      <c r="I1285" t="s">
        <v>109</v>
      </c>
      <c r="J1285">
        <v>0</v>
      </c>
      <c r="K1285">
        <v>1</v>
      </c>
      <c r="L1285">
        <v>2</v>
      </c>
      <c r="M1285">
        <v>393</v>
      </c>
      <c r="N1285">
        <v>201</v>
      </c>
      <c r="O1285">
        <v>0</v>
      </c>
      <c r="P1285">
        <v>201</v>
      </c>
      <c r="Q1285">
        <v>8</v>
      </c>
      <c r="R1285">
        <v>21</v>
      </c>
      <c r="S1285">
        <v>20</v>
      </c>
      <c r="T1285">
        <v>16</v>
      </c>
      <c r="U1285">
        <v>25</v>
      </c>
      <c r="V1285">
        <v>12</v>
      </c>
      <c r="W1285">
        <v>3</v>
      </c>
      <c r="X1285">
        <v>70</v>
      </c>
      <c r="Y1285">
        <v>6</v>
      </c>
      <c r="Z1285">
        <v>4</v>
      </c>
      <c r="AA1285">
        <v>0</v>
      </c>
      <c r="AB1285">
        <v>4</v>
      </c>
      <c r="AD1285">
        <v>0</v>
      </c>
      <c r="AE1285">
        <v>0</v>
      </c>
      <c r="AF1285">
        <v>0</v>
      </c>
      <c r="AG1285">
        <v>0</v>
      </c>
      <c r="AI1285">
        <v>0</v>
      </c>
      <c r="AJ1285">
        <v>12</v>
      </c>
      <c r="AK1285">
        <v>201</v>
      </c>
      <c r="AL1285">
        <v>201</v>
      </c>
      <c r="AM1285">
        <v>550</v>
      </c>
      <c r="AN1285">
        <v>44</v>
      </c>
      <c r="AP1285">
        <v>1</v>
      </c>
      <c r="AR1285" t="s">
        <v>1372</v>
      </c>
      <c r="AS1285" s="1">
        <v>44354.413888888892</v>
      </c>
      <c r="AT1285" s="1">
        <v>44354.418009259258</v>
      </c>
      <c r="AU1285" s="1">
        <v>44354.418807870374</v>
      </c>
      <c r="AV1285" t="s">
        <v>71</v>
      </c>
      <c r="AW1285" t="s">
        <v>72</v>
      </c>
      <c r="AX1285" t="s">
        <v>73</v>
      </c>
    </row>
    <row r="1286" spans="1:50" x14ac:dyDescent="0.3">
      <c r="A1286" t="str">
        <f>"200924B0000"</f>
        <v>200924B0000</v>
      </c>
      <c r="B1286" t="str">
        <f>"200924B00002"</f>
        <v>200924B00002</v>
      </c>
      <c r="C1286" t="str">
        <f t="shared" si="55"/>
        <v>20</v>
      </c>
      <c r="D1286" t="s">
        <v>67</v>
      </c>
      <c r="E1286" t="str">
        <f t="shared" si="56"/>
        <v>006</v>
      </c>
      <c r="F1286" t="s">
        <v>1254</v>
      </c>
      <c r="G1286" t="str">
        <f>"0924"</f>
        <v>0924</v>
      </c>
      <c r="H1286" t="str">
        <f>"0000"</f>
        <v>0000</v>
      </c>
      <c r="I1286" t="s">
        <v>69</v>
      </c>
      <c r="J1286">
        <v>0</v>
      </c>
      <c r="K1286">
        <v>1</v>
      </c>
      <c r="L1286">
        <v>2</v>
      </c>
      <c r="M1286">
        <v>295</v>
      </c>
      <c r="N1286">
        <v>305</v>
      </c>
      <c r="O1286">
        <v>0</v>
      </c>
      <c r="P1286">
        <v>305</v>
      </c>
      <c r="Q1286">
        <v>27</v>
      </c>
      <c r="R1286">
        <v>144</v>
      </c>
      <c r="S1286">
        <v>0</v>
      </c>
      <c r="T1286">
        <v>16</v>
      </c>
      <c r="U1286">
        <v>1</v>
      </c>
      <c r="V1286">
        <v>4</v>
      </c>
      <c r="W1286">
        <v>0</v>
      </c>
      <c r="X1286">
        <v>90</v>
      </c>
      <c r="Y1286">
        <v>0</v>
      </c>
      <c r="Z1286">
        <v>2</v>
      </c>
      <c r="AA1286">
        <v>3</v>
      </c>
      <c r="AB1286">
        <v>5</v>
      </c>
      <c r="AD1286">
        <v>1</v>
      </c>
      <c r="AE1286">
        <v>3</v>
      </c>
      <c r="AF1286">
        <v>0</v>
      </c>
      <c r="AG1286">
        <v>1</v>
      </c>
      <c r="AI1286">
        <v>0</v>
      </c>
      <c r="AJ1286">
        <v>8</v>
      </c>
      <c r="AK1286">
        <v>305</v>
      </c>
      <c r="AL1286">
        <v>305</v>
      </c>
      <c r="AM1286">
        <v>556</v>
      </c>
      <c r="AN1286">
        <v>44</v>
      </c>
      <c r="AP1286">
        <v>1</v>
      </c>
      <c r="AR1286" t="s">
        <v>1373</v>
      </c>
      <c r="AS1286" s="1">
        <v>44354.182638888888</v>
      </c>
      <c r="AT1286" s="1">
        <v>44354.189745370371</v>
      </c>
      <c r="AU1286" s="1">
        <v>44354.190150462964</v>
      </c>
      <c r="AV1286" t="s">
        <v>71</v>
      </c>
      <c r="AW1286" t="s">
        <v>72</v>
      </c>
      <c r="AX1286" t="s">
        <v>73</v>
      </c>
    </row>
    <row r="1287" spans="1:50" x14ac:dyDescent="0.3">
      <c r="A1287" t="str">
        <f>"200925B0000"</f>
        <v>200925B0000</v>
      </c>
      <c r="B1287" t="str">
        <f>"200925B00002"</f>
        <v>200925B00002</v>
      </c>
      <c r="C1287" t="str">
        <f t="shared" ref="C1287:C1350" si="60">"20"</f>
        <v>20</v>
      </c>
      <c r="D1287" t="s">
        <v>67</v>
      </c>
      <c r="E1287" t="str">
        <f t="shared" si="56"/>
        <v>006</v>
      </c>
      <c r="F1287" t="s">
        <v>1254</v>
      </c>
      <c r="G1287" t="str">
        <f>"0925"</f>
        <v>0925</v>
      </c>
      <c r="H1287" t="str">
        <f>"0000"</f>
        <v>0000</v>
      </c>
      <c r="I1287" t="s">
        <v>69</v>
      </c>
      <c r="J1287">
        <v>0</v>
      </c>
      <c r="K1287">
        <v>1</v>
      </c>
      <c r="L1287">
        <v>2</v>
      </c>
      <c r="M1287">
        <v>322</v>
      </c>
      <c r="N1287">
        <v>347</v>
      </c>
      <c r="O1287">
        <v>0</v>
      </c>
      <c r="P1287">
        <v>347</v>
      </c>
      <c r="Q1287">
        <v>56</v>
      </c>
      <c r="R1287">
        <v>132</v>
      </c>
      <c r="S1287">
        <v>5</v>
      </c>
      <c r="T1287">
        <v>6</v>
      </c>
      <c r="U1287">
        <v>4</v>
      </c>
      <c r="V1287">
        <v>1</v>
      </c>
      <c r="W1287">
        <v>1</v>
      </c>
      <c r="X1287">
        <v>113</v>
      </c>
      <c r="Y1287">
        <v>0</v>
      </c>
      <c r="Z1287">
        <v>5</v>
      </c>
      <c r="AA1287">
        <v>3</v>
      </c>
      <c r="AB1287">
        <v>1</v>
      </c>
      <c r="AD1287">
        <v>2</v>
      </c>
      <c r="AE1287">
        <v>2</v>
      </c>
      <c r="AF1287">
        <v>0</v>
      </c>
      <c r="AG1287">
        <v>1</v>
      </c>
      <c r="AI1287">
        <v>0</v>
      </c>
      <c r="AJ1287">
        <v>15</v>
      </c>
      <c r="AK1287">
        <v>347</v>
      </c>
      <c r="AL1287">
        <v>347</v>
      </c>
      <c r="AM1287">
        <v>625</v>
      </c>
      <c r="AN1287">
        <v>44</v>
      </c>
      <c r="AP1287">
        <v>1</v>
      </c>
      <c r="AR1287" t="s">
        <v>1374</v>
      </c>
      <c r="AS1287" s="1">
        <v>44354.179166666669</v>
      </c>
      <c r="AT1287" s="1">
        <v>44354.190300925926</v>
      </c>
      <c r="AU1287" s="1">
        <v>44354.19158564815</v>
      </c>
      <c r="AV1287" t="s">
        <v>71</v>
      </c>
      <c r="AW1287" t="s">
        <v>72</v>
      </c>
      <c r="AX1287" t="s">
        <v>73</v>
      </c>
    </row>
    <row r="1288" spans="1:50" x14ac:dyDescent="0.3">
      <c r="A1288" t="str">
        <f>"200926B0000"</f>
        <v>200926B0000</v>
      </c>
      <c r="B1288" t="str">
        <f>"200926B00002"</f>
        <v>200926B00002</v>
      </c>
      <c r="C1288" t="str">
        <f t="shared" si="60"/>
        <v>20</v>
      </c>
      <c r="D1288" t="s">
        <v>67</v>
      </c>
      <c r="E1288" t="str">
        <f t="shared" si="56"/>
        <v>006</v>
      </c>
      <c r="F1288" t="s">
        <v>1254</v>
      </c>
      <c r="G1288" t="str">
        <f>"0926"</f>
        <v>0926</v>
      </c>
      <c r="H1288" t="str">
        <f>"0000"</f>
        <v>0000</v>
      </c>
      <c r="I1288" t="s">
        <v>69</v>
      </c>
      <c r="J1288">
        <v>0</v>
      </c>
      <c r="K1288">
        <v>1</v>
      </c>
      <c r="L1288">
        <v>2</v>
      </c>
      <c r="M1288">
        <v>249</v>
      </c>
      <c r="N1288">
        <v>202</v>
      </c>
      <c r="O1288">
        <v>9</v>
      </c>
      <c r="P1288">
        <v>202</v>
      </c>
      <c r="Q1288">
        <v>84</v>
      </c>
      <c r="R1288">
        <v>21</v>
      </c>
      <c r="S1288">
        <v>2</v>
      </c>
      <c r="T1288">
        <v>6</v>
      </c>
      <c r="U1288">
        <v>6</v>
      </c>
      <c r="V1288">
        <v>2</v>
      </c>
      <c r="W1288">
        <v>0</v>
      </c>
      <c r="X1288">
        <v>43</v>
      </c>
      <c r="Y1288">
        <v>17</v>
      </c>
      <c r="Z1288">
        <v>3</v>
      </c>
      <c r="AA1288">
        <v>4</v>
      </c>
      <c r="AB1288">
        <v>3</v>
      </c>
      <c r="AD1288">
        <v>0</v>
      </c>
      <c r="AE1288">
        <v>3</v>
      </c>
      <c r="AF1288">
        <v>0</v>
      </c>
      <c r="AG1288">
        <v>0</v>
      </c>
      <c r="AI1288">
        <v>0</v>
      </c>
      <c r="AJ1288">
        <v>8</v>
      </c>
      <c r="AK1288">
        <v>202</v>
      </c>
      <c r="AL1288">
        <v>202</v>
      </c>
      <c r="AM1288">
        <v>408</v>
      </c>
      <c r="AN1288">
        <v>44</v>
      </c>
      <c r="AP1288">
        <v>1</v>
      </c>
      <c r="AR1288" t="s">
        <v>1375</v>
      </c>
      <c r="AS1288" s="1">
        <v>44353.981180555558</v>
      </c>
      <c r="AT1288" s="1">
        <v>44354.094143518516</v>
      </c>
      <c r="AU1288" s="1">
        <v>44354.095138888886</v>
      </c>
      <c r="AV1288" t="s">
        <v>269</v>
      </c>
      <c r="AW1288" t="s">
        <v>270</v>
      </c>
      <c r="AX1288" t="s">
        <v>73</v>
      </c>
    </row>
    <row r="1289" spans="1:50" x14ac:dyDescent="0.3">
      <c r="A1289" t="str">
        <f>"200938B0000"</f>
        <v>200938B0000</v>
      </c>
      <c r="B1289" t="str">
        <f>"200938B00002"</f>
        <v>200938B00002</v>
      </c>
      <c r="C1289" t="str">
        <f t="shared" si="60"/>
        <v>20</v>
      </c>
      <c r="D1289" t="s">
        <v>67</v>
      </c>
      <c r="E1289" t="str">
        <f t="shared" si="56"/>
        <v>006</v>
      </c>
      <c r="F1289" t="s">
        <v>1254</v>
      </c>
      <c r="G1289" t="str">
        <f>"0938"</f>
        <v>0938</v>
      </c>
      <c r="H1289" t="str">
        <f>"0000"</f>
        <v>0000</v>
      </c>
      <c r="I1289" t="s">
        <v>69</v>
      </c>
      <c r="J1289">
        <v>0</v>
      </c>
      <c r="K1289">
        <v>1</v>
      </c>
      <c r="L1289">
        <v>2</v>
      </c>
      <c r="M1289">
        <v>523</v>
      </c>
      <c r="N1289" t="s">
        <v>80</v>
      </c>
      <c r="O1289">
        <v>0</v>
      </c>
      <c r="P1289">
        <v>76</v>
      </c>
      <c r="Q1289">
        <v>4</v>
      </c>
      <c r="R1289">
        <v>11</v>
      </c>
      <c r="S1289">
        <v>2</v>
      </c>
      <c r="T1289">
        <v>1</v>
      </c>
      <c r="U1289">
        <v>5</v>
      </c>
      <c r="V1289">
        <v>0</v>
      </c>
      <c r="W1289">
        <v>2</v>
      </c>
      <c r="X1289">
        <v>41</v>
      </c>
      <c r="Y1289">
        <v>0</v>
      </c>
      <c r="Z1289">
        <v>0</v>
      </c>
      <c r="AA1289">
        <v>0</v>
      </c>
      <c r="AB1289">
        <v>0</v>
      </c>
      <c r="AD1289">
        <v>0</v>
      </c>
      <c r="AE1289">
        <v>0</v>
      </c>
      <c r="AF1289">
        <v>0</v>
      </c>
      <c r="AG1289">
        <v>0</v>
      </c>
      <c r="AI1289">
        <v>0</v>
      </c>
      <c r="AJ1289">
        <v>10</v>
      </c>
      <c r="AK1289">
        <v>76</v>
      </c>
      <c r="AL1289">
        <v>76</v>
      </c>
      <c r="AM1289">
        <v>555</v>
      </c>
      <c r="AN1289">
        <v>44</v>
      </c>
      <c r="AP1289">
        <v>1</v>
      </c>
      <c r="AR1289" t="s">
        <v>1376</v>
      </c>
      <c r="AS1289" s="1">
        <v>44354.267361111109</v>
      </c>
      <c r="AT1289" s="1">
        <v>44354.271215277775</v>
      </c>
      <c r="AU1289" s="1">
        <v>44354.271747685183</v>
      </c>
      <c r="AV1289" t="s">
        <v>71</v>
      </c>
      <c r="AW1289" t="s">
        <v>72</v>
      </c>
      <c r="AX1289" t="s">
        <v>73</v>
      </c>
    </row>
    <row r="1290" spans="1:50" x14ac:dyDescent="0.3">
      <c r="A1290" t="str">
        <f>"200938C0100"</f>
        <v>200938C0100</v>
      </c>
      <c r="B1290" t="str">
        <f>"200938C01002"</f>
        <v>200938C01002</v>
      </c>
      <c r="C1290" t="str">
        <f t="shared" si="60"/>
        <v>20</v>
      </c>
      <c r="D1290" t="s">
        <v>67</v>
      </c>
      <c r="E1290" t="str">
        <f t="shared" si="56"/>
        <v>006</v>
      </c>
      <c r="F1290" t="s">
        <v>1254</v>
      </c>
      <c r="G1290" t="str">
        <f>"0938"</f>
        <v>0938</v>
      </c>
      <c r="H1290" t="str">
        <f>"0001"</f>
        <v>0001</v>
      </c>
      <c r="I1290" t="s">
        <v>75</v>
      </c>
      <c r="J1290">
        <v>0</v>
      </c>
      <c r="K1290">
        <v>1</v>
      </c>
      <c r="L1290">
        <v>2</v>
      </c>
      <c r="M1290">
        <v>505</v>
      </c>
      <c r="N1290">
        <v>188</v>
      </c>
      <c r="O1290">
        <v>94</v>
      </c>
      <c r="P1290">
        <v>94</v>
      </c>
      <c r="Q1290">
        <v>4</v>
      </c>
      <c r="R1290">
        <v>10</v>
      </c>
      <c r="S1290">
        <v>6</v>
      </c>
      <c r="T1290">
        <v>2</v>
      </c>
      <c r="U1290">
        <v>5</v>
      </c>
      <c r="V1290">
        <v>4</v>
      </c>
      <c r="W1290">
        <v>2</v>
      </c>
      <c r="X1290">
        <v>51</v>
      </c>
      <c r="Y1290">
        <v>1</v>
      </c>
      <c r="Z1290">
        <v>2</v>
      </c>
      <c r="AA1290">
        <v>3</v>
      </c>
      <c r="AB1290">
        <v>0</v>
      </c>
      <c r="AD1290">
        <v>20</v>
      </c>
      <c r="AE1290">
        <v>14</v>
      </c>
      <c r="AF1290">
        <v>10</v>
      </c>
      <c r="AG1290">
        <v>16</v>
      </c>
      <c r="AI1290">
        <v>0</v>
      </c>
      <c r="AJ1290">
        <v>4</v>
      </c>
      <c r="AK1290">
        <v>64</v>
      </c>
      <c r="AL1290">
        <v>154</v>
      </c>
      <c r="AM1290">
        <v>554</v>
      </c>
      <c r="AN1290">
        <v>44</v>
      </c>
      <c r="AP1290">
        <v>1</v>
      </c>
      <c r="AR1290" s="2" t="s">
        <v>1377</v>
      </c>
      <c r="AS1290" s="1">
        <v>44354.274305555555</v>
      </c>
      <c r="AT1290" s="1">
        <v>44354.281354166669</v>
      </c>
      <c r="AU1290" s="1">
        <v>44354.282106481478</v>
      </c>
      <c r="AV1290" t="s">
        <v>71</v>
      </c>
      <c r="AW1290" t="s">
        <v>72</v>
      </c>
      <c r="AX1290" t="s">
        <v>73</v>
      </c>
    </row>
    <row r="1291" spans="1:50" x14ac:dyDescent="0.3">
      <c r="A1291" t="str">
        <f>"200938C0200"</f>
        <v>200938C0200</v>
      </c>
      <c r="B1291" t="str">
        <f>"200938C02002"</f>
        <v>200938C02002</v>
      </c>
      <c r="C1291" t="str">
        <f t="shared" si="60"/>
        <v>20</v>
      </c>
      <c r="D1291" t="s">
        <v>67</v>
      </c>
      <c r="E1291" t="str">
        <f t="shared" si="56"/>
        <v>006</v>
      </c>
      <c r="F1291" t="s">
        <v>1254</v>
      </c>
      <c r="G1291" t="str">
        <f>"0938"</f>
        <v>0938</v>
      </c>
      <c r="H1291" t="str">
        <f>"0002"</f>
        <v>0002</v>
      </c>
      <c r="I1291" t="s">
        <v>75</v>
      </c>
      <c r="J1291">
        <v>0</v>
      </c>
      <c r="K1291">
        <v>1</v>
      </c>
      <c r="L1291">
        <v>2</v>
      </c>
      <c r="M1291">
        <v>517</v>
      </c>
      <c r="N1291">
        <v>81</v>
      </c>
      <c r="O1291">
        <v>0</v>
      </c>
      <c r="P1291">
        <v>81</v>
      </c>
      <c r="Q1291">
        <v>0</v>
      </c>
      <c r="R1291">
        <v>6</v>
      </c>
      <c r="S1291">
        <v>6</v>
      </c>
      <c r="T1291">
        <v>0</v>
      </c>
      <c r="U1291">
        <v>6</v>
      </c>
      <c r="V1291">
        <v>2</v>
      </c>
      <c r="W1291">
        <v>1</v>
      </c>
      <c r="X1291">
        <v>53</v>
      </c>
      <c r="Y1291">
        <v>1</v>
      </c>
      <c r="Z1291">
        <v>1</v>
      </c>
      <c r="AA1291">
        <v>1</v>
      </c>
      <c r="AB1291">
        <v>0</v>
      </c>
      <c r="AD1291">
        <v>0</v>
      </c>
      <c r="AE1291">
        <v>0</v>
      </c>
      <c r="AF1291">
        <v>0</v>
      </c>
      <c r="AG1291">
        <v>0</v>
      </c>
      <c r="AI1291">
        <v>1</v>
      </c>
      <c r="AJ1291">
        <v>3</v>
      </c>
      <c r="AK1291">
        <v>81</v>
      </c>
      <c r="AL1291">
        <v>81</v>
      </c>
      <c r="AM1291">
        <v>554</v>
      </c>
      <c r="AN1291">
        <v>44</v>
      </c>
      <c r="AP1291">
        <v>1</v>
      </c>
      <c r="AR1291" t="s">
        <v>1378</v>
      </c>
      <c r="AS1291" s="1">
        <v>44354.27847222222</v>
      </c>
      <c r="AT1291" s="1">
        <v>44354.283090277779</v>
      </c>
      <c r="AU1291" s="1">
        <v>44354.283530092594</v>
      </c>
      <c r="AV1291" t="s">
        <v>71</v>
      </c>
      <c r="AW1291" t="s">
        <v>72</v>
      </c>
      <c r="AX1291" t="s">
        <v>73</v>
      </c>
    </row>
    <row r="1292" spans="1:50" x14ac:dyDescent="0.3">
      <c r="A1292" t="str">
        <f>"200939B0000"</f>
        <v>200939B0000</v>
      </c>
      <c r="B1292" t="str">
        <f>"200939B00002"</f>
        <v>200939B00002</v>
      </c>
      <c r="C1292" t="str">
        <f t="shared" si="60"/>
        <v>20</v>
      </c>
      <c r="D1292" t="s">
        <v>67</v>
      </c>
      <c r="E1292" t="str">
        <f t="shared" si="56"/>
        <v>006</v>
      </c>
      <c r="F1292" t="s">
        <v>1254</v>
      </c>
      <c r="G1292" t="str">
        <f>"0939"</f>
        <v>0939</v>
      </c>
      <c r="H1292" t="str">
        <f t="shared" ref="H1292:H1299" si="61">"0000"</f>
        <v>0000</v>
      </c>
      <c r="I1292" t="s">
        <v>69</v>
      </c>
      <c r="J1292">
        <v>0</v>
      </c>
      <c r="K1292">
        <v>1</v>
      </c>
      <c r="L1292">
        <v>2</v>
      </c>
      <c r="M1292">
        <v>423</v>
      </c>
      <c r="N1292">
        <v>123</v>
      </c>
      <c r="O1292">
        <v>0</v>
      </c>
      <c r="P1292">
        <v>123</v>
      </c>
      <c r="Q1292">
        <v>3</v>
      </c>
      <c r="R1292">
        <v>14</v>
      </c>
      <c r="S1292">
        <v>12</v>
      </c>
      <c r="T1292">
        <v>4</v>
      </c>
      <c r="U1292">
        <v>7</v>
      </c>
      <c r="V1292">
        <v>1</v>
      </c>
      <c r="W1292">
        <v>1</v>
      </c>
      <c r="X1292">
        <v>58</v>
      </c>
      <c r="Y1292">
        <v>2</v>
      </c>
      <c r="Z1292">
        <v>2</v>
      </c>
      <c r="AA1292">
        <v>4</v>
      </c>
      <c r="AB1292">
        <v>4</v>
      </c>
      <c r="AD1292">
        <v>0</v>
      </c>
      <c r="AE1292">
        <v>0</v>
      </c>
      <c r="AF1292">
        <v>0</v>
      </c>
      <c r="AG1292">
        <v>0</v>
      </c>
      <c r="AI1292">
        <v>0</v>
      </c>
      <c r="AJ1292">
        <v>11</v>
      </c>
      <c r="AK1292">
        <v>123</v>
      </c>
      <c r="AL1292">
        <v>123</v>
      </c>
      <c r="AM1292">
        <v>502</v>
      </c>
      <c r="AN1292">
        <v>44</v>
      </c>
      <c r="AP1292">
        <v>1</v>
      </c>
      <c r="AR1292" t="s">
        <v>1379</v>
      </c>
      <c r="AS1292" s="1">
        <v>44354.26458333333</v>
      </c>
      <c r="AT1292" s="1">
        <v>44354.274502314816</v>
      </c>
      <c r="AU1292" s="1">
        <v>44354.27584490741</v>
      </c>
      <c r="AV1292" t="s">
        <v>71</v>
      </c>
      <c r="AW1292" t="s">
        <v>72</v>
      </c>
      <c r="AX1292" t="s">
        <v>73</v>
      </c>
    </row>
    <row r="1293" spans="1:50" x14ac:dyDescent="0.3">
      <c r="A1293" t="str">
        <f>"200940B0000"</f>
        <v>200940B0000</v>
      </c>
      <c r="B1293" t="str">
        <f>"200940B00002"</f>
        <v>200940B00002</v>
      </c>
      <c r="C1293" t="str">
        <f t="shared" si="60"/>
        <v>20</v>
      </c>
      <c r="D1293" t="s">
        <v>67</v>
      </c>
      <c r="E1293" t="str">
        <f t="shared" si="56"/>
        <v>006</v>
      </c>
      <c r="F1293" t="s">
        <v>1254</v>
      </c>
      <c r="G1293" t="str">
        <f>"0940"</f>
        <v>0940</v>
      </c>
      <c r="H1293" t="str">
        <f t="shared" si="61"/>
        <v>0000</v>
      </c>
      <c r="I1293" t="s">
        <v>69</v>
      </c>
      <c r="J1293">
        <v>0</v>
      </c>
      <c r="K1293">
        <v>1</v>
      </c>
      <c r="L1293">
        <v>2</v>
      </c>
      <c r="M1293">
        <v>150</v>
      </c>
      <c r="N1293">
        <v>106</v>
      </c>
      <c r="O1293">
        <v>4</v>
      </c>
      <c r="P1293">
        <v>106</v>
      </c>
      <c r="Q1293">
        <v>1</v>
      </c>
      <c r="R1293">
        <v>4</v>
      </c>
      <c r="S1293">
        <v>4</v>
      </c>
      <c r="T1293">
        <v>4</v>
      </c>
      <c r="U1293">
        <v>0</v>
      </c>
      <c r="V1293">
        <v>1</v>
      </c>
      <c r="W1293">
        <v>0</v>
      </c>
      <c r="X1293">
        <v>86</v>
      </c>
      <c r="Y1293">
        <v>0</v>
      </c>
      <c r="Z1293">
        <v>0</v>
      </c>
      <c r="AA1293">
        <v>0</v>
      </c>
      <c r="AB1293">
        <v>0</v>
      </c>
      <c r="AD1293">
        <v>0</v>
      </c>
      <c r="AE1293">
        <v>0</v>
      </c>
      <c r="AF1293">
        <v>0</v>
      </c>
      <c r="AG1293">
        <v>0</v>
      </c>
      <c r="AI1293">
        <v>0</v>
      </c>
      <c r="AJ1293">
        <v>6</v>
      </c>
      <c r="AK1293">
        <v>106</v>
      </c>
      <c r="AL1293">
        <v>106</v>
      </c>
      <c r="AM1293">
        <v>212</v>
      </c>
      <c r="AN1293">
        <v>44</v>
      </c>
      <c r="AP1293">
        <v>1</v>
      </c>
      <c r="AR1293" t="s">
        <v>1380</v>
      </c>
      <c r="AS1293" s="1">
        <v>44354.268055555556</v>
      </c>
      <c r="AT1293" s="1">
        <v>44354.273923611108</v>
      </c>
      <c r="AU1293" s="1">
        <v>44354.274953703702</v>
      </c>
      <c r="AV1293" t="s">
        <v>71</v>
      </c>
      <c r="AW1293" t="s">
        <v>72</v>
      </c>
      <c r="AX1293" t="s">
        <v>73</v>
      </c>
    </row>
    <row r="1294" spans="1:50" x14ac:dyDescent="0.3">
      <c r="A1294" t="str">
        <f>"200941B0000"</f>
        <v>200941B0000</v>
      </c>
      <c r="B1294" t="str">
        <f>"200941B00002"</f>
        <v>200941B00002</v>
      </c>
      <c r="C1294" t="str">
        <f t="shared" si="60"/>
        <v>20</v>
      </c>
      <c r="D1294" t="s">
        <v>67</v>
      </c>
      <c r="E1294" t="str">
        <f t="shared" si="56"/>
        <v>006</v>
      </c>
      <c r="F1294" t="s">
        <v>1254</v>
      </c>
      <c r="G1294" t="str">
        <f>"0941"</f>
        <v>0941</v>
      </c>
      <c r="H1294" t="str">
        <f t="shared" si="61"/>
        <v>0000</v>
      </c>
      <c r="I1294" t="s">
        <v>69</v>
      </c>
      <c r="J1294">
        <v>0</v>
      </c>
      <c r="K1294">
        <v>1</v>
      </c>
      <c r="L1294">
        <v>2</v>
      </c>
      <c r="M1294">
        <v>531</v>
      </c>
      <c r="N1294">
        <v>220</v>
      </c>
      <c r="O1294">
        <v>0</v>
      </c>
      <c r="P1294">
        <v>220</v>
      </c>
      <c r="Q1294">
        <v>10</v>
      </c>
      <c r="R1294">
        <v>67</v>
      </c>
      <c r="S1294">
        <v>6</v>
      </c>
      <c r="T1294">
        <v>2</v>
      </c>
      <c r="U1294">
        <v>5</v>
      </c>
      <c r="V1294">
        <v>1</v>
      </c>
      <c r="W1294">
        <v>1</v>
      </c>
      <c r="X1294">
        <v>100</v>
      </c>
      <c r="Y1294">
        <v>5</v>
      </c>
      <c r="Z1294">
        <v>2</v>
      </c>
      <c r="AA1294">
        <v>5</v>
      </c>
      <c r="AB1294">
        <v>1</v>
      </c>
      <c r="AD1294" t="s">
        <v>77</v>
      </c>
      <c r="AE1294">
        <v>1</v>
      </c>
      <c r="AF1294" t="s">
        <v>77</v>
      </c>
      <c r="AG1294" t="s">
        <v>77</v>
      </c>
      <c r="AI1294" t="s">
        <v>77</v>
      </c>
      <c r="AJ1294">
        <v>14</v>
      </c>
      <c r="AK1294">
        <v>220</v>
      </c>
      <c r="AL1294">
        <v>220</v>
      </c>
      <c r="AM1294">
        <v>707</v>
      </c>
      <c r="AN1294">
        <v>44</v>
      </c>
      <c r="AO1294" t="s">
        <v>78</v>
      </c>
      <c r="AP1294">
        <v>1</v>
      </c>
      <c r="AR1294" t="s">
        <v>1381</v>
      </c>
      <c r="AS1294" s="1">
        <v>44354.188194444447</v>
      </c>
      <c r="AT1294" s="1">
        <v>44354.191851851851</v>
      </c>
      <c r="AU1294" s="1">
        <v>44354.192499999997</v>
      </c>
      <c r="AV1294" t="s">
        <v>71</v>
      </c>
      <c r="AW1294" t="s">
        <v>72</v>
      </c>
      <c r="AX1294" t="s">
        <v>73</v>
      </c>
    </row>
    <row r="1295" spans="1:50" x14ac:dyDescent="0.3">
      <c r="A1295" t="str">
        <f>"200942B0000"</f>
        <v>200942B0000</v>
      </c>
      <c r="B1295" t="str">
        <f>"200942B00002"</f>
        <v>200942B00002</v>
      </c>
      <c r="C1295" t="str">
        <f t="shared" si="60"/>
        <v>20</v>
      </c>
      <c r="D1295" t="s">
        <v>67</v>
      </c>
      <c r="E1295" t="str">
        <f t="shared" si="56"/>
        <v>006</v>
      </c>
      <c r="F1295" t="s">
        <v>1254</v>
      </c>
      <c r="G1295" t="str">
        <f>"0942"</f>
        <v>0942</v>
      </c>
      <c r="H1295" t="str">
        <f t="shared" si="61"/>
        <v>0000</v>
      </c>
      <c r="I1295" t="s">
        <v>69</v>
      </c>
      <c r="J1295">
        <v>0</v>
      </c>
      <c r="K1295">
        <v>1</v>
      </c>
      <c r="L1295">
        <v>2</v>
      </c>
      <c r="M1295">
        <v>324</v>
      </c>
      <c r="N1295">
        <v>154</v>
      </c>
      <c r="O1295">
        <v>0</v>
      </c>
      <c r="P1295">
        <v>154</v>
      </c>
      <c r="Q1295">
        <v>3</v>
      </c>
      <c r="R1295">
        <v>76</v>
      </c>
      <c r="S1295">
        <v>2</v>
      </c>
      <c r="T1295">
        <v>4</v>
      </c>
      <c r="U1295">
        <v>2</v>
      </c>
      <c r="V1295">
        <v>2</v>
      </c>
      <c r="W1295">
        <v>0</v>
      </c>
      <c r="X1295">
        <v>44</v>
      </c>
      <c r="Y1295">
        <v>6</v>
      </c>
      <c r="Z1295">
        <v>2</v>
      </c>
      <c r="AA1295">
        <v>1</v>
      </c>
      <c r="AB1295">
        <v>1</v>
      </c>
      <c r="AD1295">
        <v>3</v>
      </c>
      <c r="AE1295">
        <v>1</v>
      </c>
      <c r="AF1295">
        <v>0</v>
      </c>
      <c r="AG1295">
        <v>0</v>
      </c>
      <c r="AI1295">
        <v>0</v>
      </c>
      <c r="AJ1295">
        <v>7</v>
      </c>
      <c r="AK1295">
        <v>154</v>
      </c>
      <c r="AL1295">
        <v>154</v>
      </c>
      <c r="AM1295">
        <v>435</v>
      </c>
      <c r="AN1295">
        <v>44</v>
      </c>
      <c r="AP1295">
        <v>1</v>
      </c>
      <c r="AR1295" t="s">
        <v>1382</v>
      </c>
      <c r="AS1295" s="1">
        <v>44354.181250000001</v>
      </c>
      <c r="AT1295" s="1">
        <v>44354.184502314813</v>
      </c>
      <c r="AU1295" s="1">
        <v>44354.184907407405</v>
      </c>
      <c r="AV1295" t="s">
        <v>71</v>
      </c>
      <c r="AW1295" t="s">
        <v>72</v>
      </c>
      <c r="AX1295" t="s">
        <v>73</v>
      </c>
    </row>
    <row r="1296" spans="1:50" x14ac:dyDescent="0.3">
      <c r="A1296" t="str">
        <f>"201005B0000"</f>
        <v>201005B0000</v>
      </c>
      <c r="B1296" t="str">
        <f>"201005B00002"</f>
        <v>201005B00002</v>
      </c>
      <c r="C1296" t="str">
        <f t="shared" si="60"/>
        <v>20</v>
      </c>
      <c r="D1296" t="s">
        <v>67</v>
      </c>
      <c r="E1296" t="str">
        <f t="shared" ref="E1296:E1359" si="62">"006"</f>
        <v>006</v>
      </c>
      <c r="F1296" t="s">
        <v>1254</v>
      </c>
      <c r="G1296" t="str">
        <f>"1005"</f>
        <v>1005</v>
      </c>
      <c r="H1296" t="str">
        <f t="shared" si="61"/>
        <v>0000</v>
      </c>
      <c r="I1296" t="s">
        <v>69</v>
      </c>
      <c r="J1296">
        <v>0</v>
      </c>
      <c r="K1296">
        <v>1</v>
      </c>
      <c r="L1296">
        <v>2</v>
      </c>
      <c r="M1296">
        <v>129</v>
      </c>
      <c r="N1296">
        <v>229</v>
      </c>
      <c r="O1296">
        <v>0</v>
      </c>
      <c r="P1296">
        <v>229</v>
      </c>
      <c r="Q1296">
        <v>45</v>
      </c>
      <c r="R1296">
        <v>31</v>
      </c>
      <c r="S1296">
        <v>1</v>
      </c>
      <c r="T1296">
        <v>59</v>
      </c>
      <c r="U1296">
        <v>1</v>
      </c>
      <c r="V1296">
        <v>1</v>
      </c>
      <c r="W1296">
        <v>0</v>
      </c>
      <c r="X1296">
        <v>73</v>
      </c>
      <c r="Y1296">
        <v>2</v>
      </c>
      <c r="Z1296">
        <v>1</v>
      </c>
      <c r="AA1296">
        <v>8</v>
      </c>
      <c r="AB1296">
        <v>1</v>
      </c>
      <c r="AD1296">
        <v>1</v>
      </c>
      <c r="AE1296">
        <v>0</v>
      </c>
      <c r="AF1296">
        <v>0</v>
      </c>
      <c r="AG1296">
        <v>0</v>
      </c>
      <c r="AI1296">
        <v>0</v>
      </c>
      <c r="AJ1296">
        <v>5</v>
      </c>
      <c r="AK1296">
        <v>229</v>
      </c>
      <c r="AL1296">
        <v>229</v>
      </c>
      <c r="AM1296">
        <v>314</v>
      </c>
      <c r="AN1296">
        <v>44</v>
      </c>
      <c r="AP1296">
        <v>1</v>
      </c>
      <c r="AR1296" t="s">
        <v>1383</v>
      </c>
      <c r="AS1296" s="1">
        <v>44353.98196759259</v>
      </c>
      <c r="AT1296" s="1">
        <v>44354.056562500002</v>
      </c>
      <c r="AU1296" s="1">
        <v>44354.057129629633</v>
      </c>
      <c r="AV1296" t="s">
        <v>269</v>
      </c>
      <c r="AW1296" t="s">
        <v>270</v>
      </c>
      <c r="AX1296" t="s">
        <v>73</v>
      </c>
    </row>
    <row r="1297" spans="1:50" x14ac:dyDescent="0.3">
      <c r="A1297" t="str">
        <f>"201006B0000"</f>
        <v>201006B0000</v>
      </c>
      <c r="B1297" t="str">
        <f>"201006B00002"</f>
        <v>201006B00002</v>
      </c>
      <c r="C1297" t="str">
        <f t="shared" si="60"/>
        <v>20</v>
      </c>
      <c r="D1297" t="s">
        <v>67</v>
      </c>
      <c r="E1297" t="str">
        <f t="shared" si="62"/>
        <v>006</v>
      </c>
      <c r="F1297" t="s">
        <v>1254</v>
      </c>
      <c r="G1297" t="str">
        <f>"1006"</f>
        <v>1006</v>
      </c>
      <c r="H1297" t="str">
        <f t="shared" si="61"/>
        <v>0000</v>
      </c>
      <c r="I1297" t="s">
        <v>69</v>
      </c>
      <c r="J1297">
        <v>0</v>
      </c>
      <c r="K1297">
        <v>1</v>
      </c>
      <c r="L1297">
        <v>2</v>
      </c>
      <c r="M1297">
        <v>60</v>
      </c>
      <c r="N1297">
        <v>85</v>
      </c>
      <c r="O1297">
        <v>5</v>
      </c>
      <c r="P1297">
        <v>85</v>
      </c>
      <c r="Q1297">
        <v>1</v>
      </c>
      <c r="R1297">
        <v>14</v>
      </c>
      <c r="S1297">
        <v>1</v>
      </c>
      <c r="T1297">
        <v>14</v>
      </c>
      <c r="U1297">
        <v>3</v>
      </c>
      <c r="V1297">
        <v>6</v>
      </c>
      <c r="W1297">
        <v>0</v>
      </c>
      <c r="X1297">
        <v>37</v>
      </c>
      <c r="Y1297">
        <v>3</v>
      </c>
      <c r="Z1297">
        <v>1</v>
      </c>
      <c r="AA1297">
        <v>4</v>
      </c>
      <c r="AB1297">
        <v>0</v>
      </c>
      <c r="AD1297">
        <v>0</v>
      </c>
      <c r="AE1297">
        <v>0</v>
      </c>
      <c r="AF1297">
        <v>0</v>
      </c>
      <c r="AG1297">
        <v>0</v>
      </c>
      <c r="AI1297">
        <v>0</v>
      </c>
      <c r="AJ1297">
        <v>1</v>
      </c>
      <c r="AK1297">
        <v>85</v>
      </c>
      <c r="AL1297">
        <v>85</v>
      </c>
      <c r="AM1297">
        <v>101</v>
      </c>
      <c r="AN1297">
        <v>44</v>
      </c>
      <c r="AP1297">
        <v>1</v>
      </c>
      <c r="AR1297" t="s">
        <v>1384</v>
      </c>
      <c r="AS1297" s="1">
        <v>44353.963240740741</v>
      </c>
      <c r="AT1297" s="1">
        <v>44353.965486111112</v>
      </c>
      <c r="AU1297" s="1">
        <v>44353.965925925928</v>
      </c>
      <c r="AV1297" t="s">
        <v>269</v>
      </c>
      <c r="AW1297" t="s">
        <v>270</v>
      </c>
      <c r="AX1297" t="s">
        <v>73</v>
      </c>
    </row>
    <row r="1298" spans="1:50" x14ac:dyDescent="0.3">
      <c r="A1298" t="str">
        <f>"201007B0000"</f>
        <v>201007B0000</v>
      </c>
      <c r="B1298" t="str">
        <f>"201007B00002"</f>
        <v>201007B00002</v>
      </c>
      <c r="C1298" t="str">
        <f t="shared" si="60"/>
        <v>20</v>
      </c>
      <c r="D1298" t="s">
        <v>67</v>
      </c>
      <c r="E1298" t="str">
        <f t="shared" si="62"/>
        <v>006</v>
      </c>
      <c r="F1298" t="s">
        <v>1254</v>
      </c>
      <c r="G1298" t="str">
        <f>"1007"</f>
        <v>1007</v>
      </c>
      <c r="H1298" t="str">
        <f t="shared" si="61"/>
        <v>0000</v>
      </c>
      <c r="I1298" t="s">
        <v>69</v>
      </c>
      <c r="J1298">
        <v>0</v>
      </c>
      <c r="K1298">
        <v>1</v>
      </c>
      <c r="L1298">
        <v>2</v>
      </c>
      <c r="M1298">
        <v>448</v>
      </c>
      <c r="N1298">
        <v>216</v>
      </c>
      <c r="O1298">
        <v>7</v>
      </c>
      <c r="P1298">
        <v>216</v>
      </c>
      <c r="Q1298">
        <v>17</v>
      </c>
      <c r="R1298">
        <v>38</v>
      </c>
      <c r="S1298">
        <v>1</v>
      </c>
      <c r="T1298">
        <v>5</v>
      </c>
      <c r="U1298">
        <v>26</v>
      </c>
      <c r="V1298">
        <v>3</v>
      </c>
      <c r="W1298">
        <v>0</v>
      </c>
      <c r="X1298">
        <v>106</v>
      </c>
      <c r="Y1298">
        <v>0</v>
      </c>
      <c r="Z1298">
        <v>2</v>
      </c>
      <c r="AA1298">
        <v>3</v>
      </c>
      <c r="AB1298">
        <v>1</v>
      </c>
      <c r="AD1298">
        <v>0</v>
      </c>
      <c r="AE1298">
        <v>0</v>
      </c>
      <c r="AF1298">
        <v>0</v>
      </c>
      <c r="AG1298">
        <v>0</v>
      </c>
      <c r="AI1298">
        <v>0</v>
      </c>
      <c r="AJ1298">
        <v>14</v>
      </c>
      <c r="AK1298">
        <v>216</v>
      </c>
      <c r="AL1298">
        <v>216</v>
      </c>
      <c r="AM1298">
        <v>620</v>
      </c>
      <c r="AN1298">
        <v>44</v>
      </c>
      <c r="AP1298">
        <v>1</v>
      </c>
      <c r="AR1298" t="s">
        <v>1385</v>
      </c>
      <c r="AS1298" s="1">
        <v>44354.417361111111</v>
      </c>
      <c r="AT1298" s="1">
        <v>44354.419548611113</v>
      </c>
      <c r="AU1298" s="1">
        <v>44354.420289351852</v>
      </c>
      <c r="AV1298" t="s">
        <v>71</v>
      </c>
      <c r="AW1298" t="s">
        <v>72</v>
      </c>
      <c r="AX1298" t="s">
        <v>73</v>
      </c>
    </row>
    <row r="1299" spans="1:50" x14ac:dyDescent="0.3">
      <c r="A1299" t="str">
        <f>"201008B0000"</f>
        <v>201008B0000</v>
      </c>
      <c r="B1299" t="str">
        <f>"201008B00002"</f>
        <v>201008B00002</v>
      </c>
      <c r="C1299" t="str">
        <f t="shared" si="60"/>
        <v>20</v>
      </c>
      <c r="D1299" t="s">
        <v>67</v>
      </c>
      <c r="E1299" t="str">
        <f t="shared" si="62"/>
        <v>006</v>
      </c>
      <c r="F1299" t="s">
        <v>1254</v>
      </c>
      <c r="G1299" t="str">
        <f>"1008"</f>
        <v>1008</v>
      </c>
      <c r="H1299" t="str">
        <f t="shared" si="61"/>
        <v>0000</v>
      </c>
      <c r="I1299" t="s">
        <v>69</v>
      </c>
      <c r="J1299">
        <v>0</v>
      </c>
      <c r="K1299">
        <v>1</v>
      </c>
      <c r="L1299">
        <v>2</v>
      </c>
      <c r="M1299">
        <v>153</v>
      </c>
      <c r="N1299">
        <v>100</v>
      </c>
      <c r="O1299">
        <v>2</v>
      </c>
      <c r="P1299">
        <v>100</v>
      </c>
      <c r="Q1299">
        <v>0</v>
      </c>
      <c r="R1299">
        <v>4</v>
      </c>
      <c r="S1299">
        <v>1</v>
      </c>
      <c r="T1299">
        <v>1</v>
      </c>
      <c r="U1299">
        <v>72</v>
      </c>
      <c r="V1299">
        <v>0</v>
      </c>
      <c r="W1299">
        <v>0</v>
      </c>
      <c r="X1299">
        <v>20</v>
      </c>
      <c r="Y1299">
        <v>0</v>
      </c>
      <c r="Z1299">
        <v>0</v>
      </c>
      <c r="AA1299">
        <v>0</v>
      </c>
      <c r="AB1299">
        <v>0</v>
      </c>
      <c r="AD1299">
        <v>0</v>
      </c>
      <c r="AE1299">
        <v>0</v>
      </c>
      <c r="AF1299">
        <v>0</v>
      </c>
      <c r="AG1299">
        <v>0</v>
      </c>
      <c r="AI1299">
        <v>0</v>
      </c>
      <c r="AJ1299">
        <v>2</v>
      </c>
      <c r="AK1299">
        <v>100</v>
      </c>
      <c r="AL1299">
        <v>100</v>
      </c>
      <c r="AM1299">
        <v>209</v>
      </c>
      <c r="AN1299">
        <v>44</v>
      </c>
      <c r="AP1299">
        <v>1</v>
      </c>
      <c r="AR1299" t="s">
        <v>1386</v>
      </c>
      <c r="AS1299" s="1">
        <v>44354.436111111114</v>
      </c>
      <c r="AT1299" s="1">
        <v>44354.438321759262</v>
      </c>
      <c r="AU1299" s="1">
        <v>44354.438888888886</v>
      </c>
      <c r="AV1299" t="s">
        <v>71</v>
      </c>
      <c r="AW1299" t="s">
        <v>72</v>
      </c>
      <c r="AX1299" t="s">
        <v>73</v>
      </c>
    </row>
    <row r="1300" spans="1:50" x14ac:dyDescent="0.3">
      <c r="A1300" t="str">
        <f>"201008E0100"</f>
        <v>201008E0100</v>
      </c>
      <c r="B1300" t="str">
        <f>"201008E01002"</f>
        <v>201008E01002</v>
      </c>
      <c r="C1300" t="str">
        <f t="shared" si="60"/>
        <v>20</v>
      </c>
      <c r="D1300" t="s">
        <v>67</v>
      </c>
      <c r="E1300" t="str">
        <f t="shared" si="62"/>
        <v>006</v>
      </c>
      <c r="F1300" t="s">
        <v>1254</v>
      </c>
      <c r="G1300" t="str">
        <f>"1008"</f>
        <v>1008</v>
      </c>
      <c r="H1300" t="str">
        <f>"0001"</f>
        <v>0001</v>
      </c>
      <c r="I1300" t="s">
        <v>109</v>
      </c>
      <c r="J1300">
        <v>0</v>
      </c>
      <c r="K1300">
        <v>1</v>
      </c>
      <c r="L1300">
        <v>2</v>
      </c>
      <c r="M1300">
        <v>134</v>
      </c>
      <c r="N1300">
        <v>75</v>
      </c>
      <c r="O1300">
        <v>2</v>
      </c>
      <c r="P1300">
        <v>75</v>
      </c>
      <c r="Q1300">
        <v>9</v>
      </c>
      <c r="R1300">
        <v>8</v>
      </c>
      <c r="S1300">
        <v>6</v>
      </c>
      <c r="T1300">
        <v>1</v>
      </c>
      <c r="U1300">
        <v>9</v>
      </c>
      <c r="V1300">
        <v>7</v>
      </c>
      <c r="W1300">
        <v>1</v>
      </c>
      <c r="X1300">
        <v>29</v>
      </c>
      <c r="Y1300">
        <v>0</v>
      </c>
      <c r="Z1300">
        <v>1</v>
      </c>
      <c r="AA1300">
        <v>0</v>
      </c>
      <c r="AB1300">
        <v>1</v>
      </c>
      <c r="AD1300">
        <v>1</v>
      </c>
      <c r="AE1300">
        <v>0</v>
      </c>
      <c r="AF1300">
        <v>0</v>
      </c>
      <c r="AG1300">
        <v>1</v>
      </c>
      <c r="AI1300">
        <v>0</v>
      </c>
      <c r="AJ1300">
        <v>1</v>
      </c>
      <c r="AK1300">
        <v>75</v>
      </c>
      <c r="AL1300">
        <v>75</v>
      </c>
      <c r="AM1300">
        <v>165</v>
      </c>
      <c r="AN1300">
        <v>44</v>
      </c>
      <c r="AP1300">
        <v>1</v>
      </c>
      <c r="AR1300" t="s">
        <v>1387</v>
      </c>
      <c r="AS1300" s="1">
        <v>44354.436805555553</v>
      </c>
      <c r="AT1300" s="1">
        <v>44354.440775462965</v>
      </c>
      <c r="AU1300" s="1">
        <v>44354.442928240744</v>
      </c>
      <c r="AV1300" t="s">
        <v>71</v>
      </c>
      <c r="AW1300" t="s">
        <v>72</v>
      </c>
      <c r="AX1300" t="s">
        <v>73</v>
      </c>
    </row>
    <row r="1301" spans="1:50" x14ac:dyDescent="0.3">
      <c r="A1301" t="str">
        <f>"201110B0000"</f>
        <v>201110B0000</v>
      </c>
      <c r="B1301" t="str">
        <f>"201110B00002"</f>
        <v>201110B00002</v>
      </c>
      <c r="C1301" t="str">
        <f t="shared" si="60"/>
        <v>20</v>
      </c>
      <c r="D1301" t="s">
        <v>67</v>
      </c>
      <c r="E1301" t="str">
        <f t="shared" si="62"/>
        <v>006</v>
      </c>
      <c r="F1301" t="s">
        <v>1254</v>
      </c>
      <c r="G1301" t="str">
        <f>"1110"</f>
        <v>1110</v>
      </c>
      <c r="H1301" t="str">
        <f t="shared" ref="H1301:H1310" si="63">"0000"</f>
        <v>0000</v>
      </c>
      <c r="I1301" t="s">
        <v>69</v>
      </c>
      <c r="J1301">
        <v>0</v>
      </c>
      <c r="K1301">
        <v>1</v>
      </c>
      <c r="L1301">
        <v>2</v>
      </c>
      <c r="M1301">
        <v>309</v>
      </c>
      <c r="N1301">
        <v>0</v>
      </c>
      <c r="O1301">
        <v>0</v>
      </c>
      <c r="P1301" t="s">
        <v>99</v>
      </c>
      <c r="Q1301">
        <v>3</v>
      </c>
      <c r="R1301">
        <v>27</v>
      </c>
      <c r="S1301">
        <v>4</v>
      </c>
      <c r="T1301">
        <v>1</v>
      </c>
      <c r="U1301">
        <v>10</v>
      </c>
      <c r="V1301">
        <v>3</v>
      </c>
      <c r="W1301">
        <v>0</v>
      </c>
      <c r="X1301">
        <v>93</v>
      </c>
      <c r="Y1301">
        <v>0</v>
      </c>
      <c r="Z1301">
        <v>2</v>
      </c>
      <c r="AA1301">
        <v>5</v>
      </c>
      <c r="AB1301">
        <v>0</v>
      </c>
      <c r="AD1301">
        <v>0</v>
      </c>
      <c r="AE1301">
        <v>0</v>
      </c>
      <c r="AF1301">
        <v>0</v>
      </c>
      <c r="AG1301">
        <v>0</v>
      </c>
      <c r="AI1301">
        <v>0</v>
      </c>
      <c r="AJ1301">
        <v>3</v>
      </c>
      <c r="AK1301" t="s">
        <v>99</v>
      </c>
      <c r="AL1301">
        <v>151</v>
      </c>
      <c r="AM1301">
        <v>416</v>
      </c>
      <c r="AN1301">
        <v>44</v>
      </c>
      <c r="AP1301">
        <v>1</v>
      </c>
      <c r="AR1301" t="s">
        <v>1388</v>
      </c>
      <c r="AS1301" s="1">
        <v>44354.459722222222</v>
      </c>
      <c r="AT1301" s="1">
        <v>44354.46603009259</v>
      </c>
      <c r="AU1301" s="1">
        <v>44354.466793981483</v>
      </c>
      <c r="AV1301" t="s">
        <v>71</v>
      </c>
      <c r="AW1301" t="s">
        <v>72</v>
      </c>
      <c r="AX1301" t="s">
        <v>73</v>
      </c>
    </row>
    <row r="1302" spans="1:50" x14ac:dyDescent="0.3">
      <c r="A1302" t="str">
        <f>"201162B0000"</f>
        <v>201162B0000</v>
      </c>
      <c r="B1302" t="str">
        <f>"201162B00002"</f>
        <v>201162B00002</v>
      </c>
      <c r="C1302" t="str">
        <f t="shared" si="60"/>
        <v>20</v>
      </c>
      <c r="D1302" t="s">
        <v>67</v>
      </c>
      <c r="E1302" t="str">
        <f t="shared" si="62"/>
        <v>006</v>
      </c>
      <c r="F1302" t="s">
        <v>1254</v>
      </c>
      <c r="G1302" t="str">
        <f>"1162"</f>
        <v>1162</v>
      </c>
      <c r="H1302" t="str">
        <f t="shared" si="63"/>
        <v>0000</v>
      </c>
      <c r="I1302" t="s">
        <v>69</v>
      </c>
      <c r="J1302">
        <v>0</v>
      </c>
      <c r="K1302">
        <v>1</v>
      </c>
      <c r="L1302">
        <v>2</v>
      </c>
      <c r="M1302">
        <v>200</v>
      </c>
      <c r="N1302">
        <v>196</v>
      </c>
      <c r="O1302">
        <v>0</v>
      </c>
      <c r="P1302">
        <v>196</v>
      </c>
      <c r="Q1302">
        <v>7</v>
      </c>
      <c r="R1302">
        <v>62</v>
      </c>
      <c r="S1302">
        <v>2</v>
      </c>
      <c r="T1302">
        <v>5</v>
      </c>
      <c r="U1302">
        <v>0</v>
      </c>
      <c r="V1302">
        <v>3</v>
      </c>
      <c r="W1302">
        <v>0</v>
      </c>
      <c r="X1302">
        <v>94</v>
      </c>
      <c r="Y1302">
        <v>1</v>
      </c>
      <c r="Z1302">
        <v>3</v>
      </c>
      <c r="AA1302">
        <v>0</v>
      </c>
      <c r="AB1302">
        <v>1</v>
      </c>
      <c r="AD1302">
        <v>0</v>
      </c>
      <c r="AE1302">
        <v>0</v>
      </c>
      <c r="AF1302">
        <v>0</v>
      </c>
      <c r="AG1302">
        <v>0</v>
      </c>
      <c r="AI1302">
        <v>0</v>
      </c>
      <c r="AJ1302">
        <v>18</v>
      </c>
      <c r="AK1302">
        <v>196</v>
      </c>
      <c r="AL1302">
        <v>196</v>
      </c>
      <c r="AM1302">
        <v>352</v>
      </c>
      <c r="AN1302">
        <v>44</v>
      </c>
      <c r="AP1302">
        <v>1</v>
      </c>
      <c r="AR1302" t="s">
        <v>1389</v>
      </c>
      <c r="AS1302" s="1">
        <v>44354.408333333333</v>
      </c>
      <c r="AT1302" s="1">
        <v>44354.411030092589</v>
      </c>
      <c r="AU1302" s="1">
        <v>44354.411608796298</v>
      </c>
      <c r="AV1302" t="s">
        <v>71</v>
      </c>
      <c r="AW1302" t="s">
        <v>72</v>
      </c>
      <c r="AX1302" t="s">
        <v>73</v>
      </c>
    </row>
    <row r="1303" spans="1:50" x14ac:dyDescent="0.3">
      <c r="A1303" t="str">
        <f>"201163B0000"</f>
        <v>201163B0000</v>
      </c>
      <c r="B1303" t="str">
        <f>"201163B00002"</f>
        <v>201163B00002</v>
      </c>
      <c r="C1303" t="str">
        <f t="shared" si="60"/>
        <v>20</v>
      </c>
      <c r="D1303" t="s">
        <v>67</v>
      </c>
      <c r="E1303" t="str">
        <f t="shared" si="62"/>
        <v>006</v>
      </c>
      <c r="F1303" t="s">
        <v>1254</v>
      </c>
      <c r="G1303" t="str">
        <f>"1163"</f>
        <v>1163</v>
      </c>
      <c r="H1303" t="str">
        <f t="shared" si="63"/>
        <v>0000</v>
      </c>
      <c r="I1303" t="s">
        <v>69</v>
      </c>
      <c r="J1303">
        <v>0</v>
      </c>
      <c r="K1303">
        <v>1</v>
      </c>
      <c r="L1303">
        <v>2</v>
      </c>
      <c r="M1303">
        <v>107</v>
      </c>
      <c r="N1303">
        <v>117</v>
      </c>
      <c r="O1303">
        <v>0</v>
      </c>
      <c r="P1303">
        <v>117</v>
      </c>
      <c r="Q1303">
        <v>1</v>
      </c>
      <c r="R1303">
        <v>76</v>
      </c>
      <c r="S1303">
        <v>2</v>
      </c>
      <c r="T1303">
        <v>2</v>
      </c>
      <c r="U1303">
        <v>1</v>
      </c>
      <c r="V1303">
        <v>4</v>
      </c>
      <c r="W1303">
        <v>0</v>
      </c>
      <c r="X1303">
        <v>25</v>
      </c>
      <c r="Y1303">
        <v>0</v>
      </c>
      <c r="Z1303">
        <v>1</v>
      </c>
      <c r="AA1303">
        <v>4</v>
      </c>
      <c r="AB1303">
        <v>1</v>
      </c>
      <c r="AD1303">
        <v>0</v>
      </c>
      <c r="AE1303">
        <v>0</v>
      </c>
      <c r="AF1303">
        <v>0</v>
      </c>
      <c r="AG1303">
        <v>0</v>
      </c>
      <c r="AI1303">
        <v>0</v>
      </c>
      <c r="AJ1303">
        <v>0</v>
      </c>
      <c r="AK1303">
        <v>117</v>
      </c>
      <c r="AL1303">
        <v>117</v>
      </c>
      <c r="AM1303">
        <v>180</v>
      </c>
      <c r="AN1303">
        <v>44</v>
      </c>
      <c r="AP1303">
        <v>1</v>
      </c>
      <c r="AR1303" t="s">
        <v>1390</v>
      </c>
      <c r="AS1303" s="1">
        <v>44354.459722222222</v>
      </c>
      <c r="AT1303" s="1">
        <v>44354.461331018516</v>
      </c>
      <c r="AU1303" s="1">
        <v>44354.461956018517</v>
      </c>
      <c r="AV1303" t="s">
        <v>71</v>
      </c>
      <c r="AW1303" t="s">
        <v>72</v>
      </c>
      <c r="AX1303" t="s">
        <v>73</v>
      </c>
    </row>
    <row r="1304" spans="1:50" x14ac:dyDescent="0.3">
      <c r="A1304" t="str">
        <f>"201251B0000"</f>
        <v>201251B0000</v>
      </c>
      <c r="B1304" t="str">
        <f>"201251B00002"</f>
        <v>201251B00002</v>
      </c>
      <c r="C1304" t="str">
        <f t="shared" si="60"/>
        <v>20</v>
      </c>
      <c r="D1304" t="s">
        <v>67</v>
      </c>
      <c r="E1304" t="str">
        <f t="shared" si="62"/>
        <v>006</v>
      </c>
      <c r="F1304" t="s">
        <v>1254</v>
      </c>
      <c r="G1304" t="str">
        <f>"1251"</f>
        <v>1251</v>
      </c>
      <c r="H1304" t="str">
        <f t="shared" si="63"/>
        <v>0000</v>
      </c>
      <c r="I1304" t="s">
        <v>69</v>
      </c>
      <c r="J1304">
        <v>0</v>
      </c>
      <c r="K1304">
        <v>1</v>
      </c>
      <c r="L1304">
        <v>2</v>
      </c>
      <c r="M1304">
        <v>335</v>
      </c>
      <c r="N1304">
        <v>116</v>
      </c>
      <c r="O1304">
        <v>4</v>
      </c>
      <c r="P1304">
        <v>116</v>
      </c>
      <c r="Q1304">
        <v>1</v>
      </c>
      <c r="R1304">
        <v>20</v>
      </c>
      <c r="S1304">
        <v>3</v>
      </c>
      <c r="T1304">
        <v>2</v>
      </c>
      <c r="U1304">
        <v>2</v>
      </c>
      <c r="V1304">
        <v>1</v>
      </c>
      <c r="W1304">
        <v>0</v>
      </c>
      <c r="X1304">
        <v>72</v>
      </c>
      <c r="Y1304">
        <v>0</v>
      </c>
      <c r="Z1304">
        <v>6</v>
      </c>
      <c r="AA1304">
        <v>1</v>
      </c>
      <c r="AB1304">
        <v>1</v>
      </c>
      <c r="AD1304">
        <v>0</v>
      </c>
      <c r="AE1304">
        <v>0</v>
      </c>
      <c r="AF1304">
        <v>0</v>
      </c>
      <c r="AG1304">
        <v>0</v>
      </c>
      <c r="AI1304">
        <v>0</v>
      </c>
      <c r="AJ1304">
        <v>7</v>
      </c>
      <c r="AK1304">
        <v>116</v>
      </c>
      <c r="AL1304">
        <v>116</v>
      </c>
      <c r="AM1304">
        <v>407</v>
      </c>
      <c r="AN1304">
        <v>44</v>
      </c>
      <c r="AP1304">
        <v>1</v>
      </c>
      <c r="AR1304" t="s">
        <v>1391</v>
      </c>
      <c r="AS1304" s="1">
        <v>44354.275694444441</v>
      </c>
      <c r="AT1304" s="1">
        <v>44354.27820601852</v>
      </c>
      <c r="AU1304" s="1">
        <v>44354.278749999998</v>
      </c>
      <c r="AV1304" t="s">
        <v>71</v>
      </c>
      <c r="AW1304" t="s">
        <v>72</v>
      </c>
      <c r="AX1304" t="s">
        <v>73</v>
      </c>
    </row>
    <row r="1305" spans="1:50" x14ac:dyDescent="0.3">
      <c r="A1305" t="str">
        <f>"201252B0000"</f>
        <v>201252B0000</v>
      </c>
      <c r="B1305" t="str">
        <f>"201252B00002"</f>
        <v>201252B00002</v>
      </c>
      <c r="C1305" t="str">
        <f t="shared" si="60"/>
        <v>20</v>
      </c>
      <c r="D1305" t="s">
        <v>67</v>
      </c>
      <c r="E1305" t="str">
        <f t="shared" si="62"/>
        <v>006</v>
      </c>
      <c r="F1305" t="s">
        <v>1254</v>
      </c>
      <c r="G1305" t="str">
        <f>"1252"</f>
        <v>1252</v>
      </c>
      <c r="H1305" t="str">
        <f t="shared" si="63"/>
        <v>0000</v>
      </c>
      <c r="I1305" t="s">
        <v>69</v>
      </c>
      <c r="J1305">
        <v>0</v>
      </c>
      <c r="K1305">
        <v>1</v>
      </c>
      <c r="L1305">
        <v>2</v>
      </c>
      <c r="M1305">
        <v>281</v>
      </c>
      <c r="N1305" t="s">
        <v>80</v>
      </c>
      <c r="O1305" t="s">
        <v>80</v>
      </c>
      <c r="P1305">
        <v>128</v>
      </c>
      <c r="Q1305">
        <v>2</v>
      </c>
      <c r="R1305">
        <v>11</v>
      </c>
      <c r="S1305">
        <v>9</v>
      </c>
      <c r="T1305">
        <v>3</v>
      </c>
      <c r="U1305">
        <v>4</v>
      </c>
      <c r="V1305">
        <v>0</v>
      </c>
      <c r="W1305">
        <v>4</v>
      </c>
      <c r="X1305">
        <v>82</v>
      </c>
      <c r="Y1305">
        <v>0</v>
      </c>
      <c r="Z1305">
        <v>2</v>
      </c>
      <c r="AA1305">
        <v>3</v>
      </c>
      <c r="AB1305">
        <v>1</v>
      </c>
      <c r="AD1305">
        <v>0</v>
      </c>
      <c r="AE1305">
        <v>0</v>
      </c>
      <c r="AF1305">
        <v>0</v>
      </c>
      <c r="AG1305">
        <v>0</v>
      </c>
      <c r="AI1305">
        <v>0</v>
      </c>
      <c r="AJ1305">
        <v>7</v>
      </c>
      <c r="AK1305">
        <v>128</v>
      </c>
      <c r="AL1305">
        <v>128</v>
      </c>
      <c r="AM1305">
        <v>364</v>
      </c>
      <c r="AN1305">
        <v>44</v>
      </c>
      <c r="AP1305">
        <v>1</v>
      </c>
      <c r="AR1305" s="2" t="s">
        <v>1392</v>
      </c>
      <c r="AS1305" s="1">
        <v>44354.260416666664</v>
      </c>
      <c r="AT1305" s="1">
        <v>44354.267534722225</v>
      </c>
      <c r="AU1305" s="1">
        <v>44354.268078703702</v>
      </c>
      <c r="AV1305" t="s">
        <v>71</v>
      </c>
      <c r="AW1305" t="s">
        <v>72</v>
      </c>
      <c r="AX1305" t="s">
        <v>73</v>
      </c>
    </row>
    <row r="1306" spans="1:50" x14ac:dyDescent="0.3">
      <c r="A1306" t="str">
        <f>"201278B0000"</f>
        <v>201278B0000</v>
      </c>
      <c r="B1306" t="str">
        <f>"201278B00002"</f>
        <v>201278B00002</v>
      </c>
      <c r="C1306" t="str">
        <f t="shared" si="60"/>
        <v>20</v>
      </c>
      <c r="D1306" t="s">
        <v>67</v>
      </c>
      <c r="E1306" t="str">
        <f t="shared" si="62"/>
        <v>006</v>
      </c>
      <c r="F1306" t="s">
        <v>1254</v>
      </c>
      <c r="G1306" t="str">
        <f>"1278"</f>
        <v>1278</v>
      </c>
      <c r="H1306" t="str">
        <f t="shared" si="63"/>
        <v>0000</v>
      </c>
      <c r="I1306" t="s">
        <v>69</v>
      </c>
      <c r="J1306">
        <v>0</v>
      </c>
      <c r="K1306">
        <v>1</v>
      </c>
      <c r="L1306">
        <v>2</v>
      </c>
      <c r="M1306">
        <v>364</v>
      </c>
      <c r="N1306">
        <v>332</v>
      </c>
      <c r="O1306">
        <v>6</v>
      </c>
      <c r="P1306">
        <v>332</v>
      </c>
      <c r="Q1306">
        <v>15</v>
      </c>
      <c r="R1306">
        <v>34</v>
      </c>
      <c r="S1306">
        <v>37</v>
      </c>
      <c r="T1306">
        <v>3</v>
      </c>
      <c r="U1306">
        <v>9</v>
      </c>
      <c r="V1306">
        <v>15</v>
      </c>
      <c r="W1306">
        <v>2</v>
      </c>
      <c r="X1306">
        <v>137</v>
      </c>
      <c r="Y1306">
        <v>52</v>
      </c>
      <c r="Z1306">
        <v>1</v>
      </c>
      <c r="AA1306">
        <v>2</v>
      </c>
      <c r="AB1306">
        <v>2</v>
      </c>
      <c r="AD1306">
        <v>2</v>
      </c>
      <c r="AE1306">
        <v>0</v>
      </c>
      <c r="AF1306">
        <v>1</v>
      </c>
      <c r="AG1306">
        <v>0</v>
      </c>
      <c r="AI1306">
        <v>0</v>
      </c>
      <c r="AJ1306">
        <v>20</v>
      </c>
      <c r="AK1306">
        <v>332</v>
      </c>
      <c r="AL1306">
        <v>332</v>
      </c>
      <c r="AM1306">
        <v>652</v>
      </c>
      <c r="AN1306">
        <v>44</v>
      </c>
      <c r="AP1306">
        <v>1</v>
      </c>
      <c r="AR1306" t="s">
        <v>1393</v>
      </c>
      <c r="AS1306" s="1">
        <v>44354.26666666667</v>
      </c>
      <c r="AT1306" s="1">
        <v>44354.270509259259</v>
      </c>
      <c r="AU1306" s="1">
        <v>44354.271168981482</v>
      </c>
      <c r="AV1306" t="s">
        <v>71</v>
      </c>
      <c r="AW1306" t="s">
        <v>72</v>
      </c>
      <c r="AX1306" t="s">
        <v>73</v>
      </c>
    </row>
    <row r="1307" spans="1:50" x14ac:dyDescent="0.3">
      <c r="A1307" t="str">
        <f>"201279B0000"</f>
        <v>201279B0000</v>
      </c>
      <c r="B1307" t="str">
        <f>"201279B00002"</f>
        <v>201279B00002</v>
      </c>
      <c r="C1307" t="str">
        <f t="shared" si="60"/>
        <v>20</v>
      </c>
      <c r="D1307" t="s">
        <v>67</v>
      </c>
      <c r="E1307" t="str">
        <f t="shared" si="62"/>
        <v>006</v>
      </c>
      <c r="F1307" t="s">
        <v>1254</v>
      </c>
      <c r="G1307" t="str">
        <f>"1279"</f>
        <v>1279</v>
      </c>
      <c r="H1307" t="str">
        <f t="shared" si="63"/>
        <v>0000</v>
      </c>
      <c r="I1307" t="s">
        <v>69</v>
      </c>
      <c r="J1307">
        <v>0</v>
      </c>
      <c r="K1307">
        <v>1</v>
      </c>
      <c r="L1307">
        <v>2</v>
      </c>
      <c r="M1307">
        <v>216</v>
      </c>
      <c r="N1307">
        <v>214</v>
      </c>
      <c r="O1307">
        <v>3</v>
      </c>
      <c r="P1307">
        <v>213</v>
      </c>
      <c r="Q1307">
        <v>5</v>
      </c>
      <c r="R1307">
        <v>15</v>
      </c>
      <c r="S1307">
        <v>18</v>
      </c>
      <c r="T1307">
        <v>3</v>
      </c>
      <c r="U1307">
        <v>5</v>
      </c>
      <c r="V1307">
        <v>11</v>
      </c>
      <c r="W1307">
        <v>2</v>
      </c>
      <c r="X1307">
        <v>127</v>
      </c>
      <c r="Y1307">
        <v>19</v>
      </c>
      <c r="Z1307">
        <v>1</v>
      </c>
      <c r="AA1307">
        <v>0</v>
      </c>
      <c r="AB1307">
        <v>0</v>
      </c>
      <c r="AD1307">
        <v>0</v>
      </c>
      <c r="AE1307">
        <v>0</v>
      </c>
      <c r="AF1307">
        <v>0</v>
      </c>
      <c r="AG1307">
        <v>0</v>
      </c>
      <c r="AI1307">
        <v>0</v>
      </c>
      <c r="AJ1307">
        <v>7</v>
      </c>
      <c r="AK1307">
        <v>213</v>
      </c>
      <c r="AL1307">
        <v>213</v>
      </c>
      <c r="AM1307">
        <v>385</v>
      </c>
      <c r="AN1307">
        <v>44</v>
      </c>
      <c r="AP1307">
        <v>1</v>
      </c>
      <c r="AR1307" t="s">
        <v>1394</v>
      </c>
      <c r="AS1307" s="1">
        <v>44354.273611111108</v>
      </c>
      <c r="AT1307" s="1">
        <v>44354.277442129627</v>
      </c>
      <c r="AU1307" s="1">
        <v>44354.278055555558</v>
      </c>
      <c r="AV1307" t="s">
        <v>71</v>
      </c>
      <c r="AW1307" t="s">
        <v>72</v>
      </c>
      <c r="AX1307" t="s">
        <v>73</v>
      </c>
    </row>
    <row r="1308" spans="1:50" x14ac:dyDescent="0.3">
      <c r="A1308" t="str">
        <f>"201280B0000"</f>
        <v>201280B0000</v>
      </c>
      <c r="B1308" t="str">
        <f>"201280B00002"</f>
        <v>201280B00002</v>
      </c>
      <c r="C1308" t="str">
        <f t="shared" si="60"/>
        <v>20</v>
      </c>
      <c r="D1308" t="s">
        <v>67</v>
      </c>
      <c r="E1308" t="str">
        <f t="shared" si="62"/>
        <v>006</v>
      </c>
      <c r="F1308" t="s">
        <v>1254</v>
      </c>
      <c r="G1308" t="str">
        <f>"1280"</f>
        <v>1280</v>
      </c>
      <c r="H1308" t="str">
        <f t="shared" si="63"/>
        <v>0000</v>
      </c>
      <c r="I1308" t="s">
        <v>69</v>
      </c>
      <c r="J1308">
        <v>0</v>
      </c>
      <c r="K1308">
        <v>1</v>
      </c>
      <c r="L1308">
        <v>2</v>
      </c>
      <c r="M1308">
        <v>347</v>
      </c>
      <c r="N1308">
        <v>296</v>
      </c>
      <c r="O1308">
        <v>3</v>
      </c>
      <c r="P1308">
        <v>297</v>
      </c>
      <c r="Q1308">
        <v>66</v>
      </c>
      <c r="R1308">
        <v>29</v>
      </c>
      <c r="S1308">
        <v>3</v>
      </c>
      <c r="T1308">
        <v>20</v>
      </c>
      <c r="U1308">
        <v>23</v>
      </c>
      <c r="V1308">
        <v>4</v>
      </c>
      <c r="W1308">
        <v>1</v>
      </c>
      <c r="X1308">
        <v>100</v>
      </c>
      <c r="Y1308">
        <v>24</v>
      </c>
      <c r="Z1308">
        <v>2</v>
      </c>
      <c r="AA1308">
        <v>12</v>
      </c>
      <c r="AB1308">
        <v>2</v>
      </c>
      <c r="AD1308">
        <v>1</v>
      </c>
      <c r="AE1308">
        <v>4</v>
      </c>
      <c r="AF1308">
        <v>0</v>
      </c>
      <c r="AG1308">
        <v>0</v>
      </c>
      <c r="AI1308">
        <v>0</v>
      </c>
      <c r="AJ1308">
        <v>6</v>
      </c>
      <c r="AK1308">
        <v>297</v>
      </c>
      <c r="AL1308">
        <v>297</v>
      </c>
      <c r="AM1308">
        <v>600</v>
      </c>
      <c r="AN1308">
        <v>44</v>
      </c>
      <c r="AP1308">
        <v>1</v>
      </c>
      <c r="AR1308" t="s">
        <v>1395</v>
      </c>
      <c r="AS1308" s="1">
        <v>44354.017361111109</v>
      </c>
      <c r="AT1308" s="1">
        <v>44354.026608796295</v>
      </c>
      <c r="AU1308" s="1">
        <v>44354.027002314811</v>
      </c>
      <c r="AV1308" t="s">
        <v>71</v>
      </c>
      <c r="AW1308" t="s">
        <v>72</v>
      </c>
      <c r="AX1308" t="s">
        <v>73</v>
      </c>
    </row>
    <row r="1309" spans="1:50" x14ac:dyDescent="0.3">
      <c r="A1309" t="str">
        <f>"201281B0000"</f>
        <v>201281B0000</v>
      </c>
      <c r="B1309" t="str">
        <f>"201281B00002"</f>
        <v>201281B00002</v>
      </c>
      <c r="C1309" t="str">
        <f t="shared" si="60"/>
        <v>20</v>
      </c>
      <c r="D1309" t="s">
        <v>67</v>
      </c>
      <c r="E1309" t="str">
        <f t="shared" si="62"/>
        <v>006</v>
      </c>
      <c r="F1309" t="s">
        <v>1254</v>
      </c>
      <c r="G1309" t="str">
        <f>"1281"</f>
        <v>1281</v>
      </c>
      <c r="H1309" t="str">
        <f t="shared" si="63"/>
        <v>0000</v>
      </c>
      <c r="I1309" t="s">
        <v>69</v>
      </c>
      <c r="J1309">
        <v>0</v>
      </c>
      <c r="K1309">
        <v>1</v>
      </c>
      <c r="L1309">
        <v>2</v>
      </c>
      <c r="M1309">
        <v>194</v>
      </c>
      <c r="N1309">
        <v>134</v>
      </c>
      <c r="O1309">
        <v>4</v>
      </c>
      <c r="P1309">
        <v>134</v>
      </c>
      <c r="Q1309">
        <v>1</v>
      </c>
      <c r="R1309">
        <v>2</v>
      </c>
      <c r="S1309">
        <v>2</v>
      </c>
      <c r="T1309">
        <v>2</v>
      </c>
      <c r="U1309">
        <v>10</v>
      </c>
      <c r="V1309">
        <v>0</v>
      </c>
      <c r="W1309">
        <v>0</v>
      </c>
      <c r="X1309">
        <v>54</v>
      </c>
      <c r="Y1309">
        <v>58</v>
      </c>
      <c r="Z1309">
        <v>0</v>
      </c>
      <c r="AA1309">
        <v>0</v>
      </c>
      <c r="AB1309">
        <v>1</v>
      </c>
      <c r="AD1309">
        <v>0</v>
      </c>
      <c r="AE1309">
        <v>0</v>
      </c>
      <c r="AF1309">
        <v>0</v>
      </c>
      <c r="AG1309">
        <v>0</v>
      </c>
      <c r="AI1309">
        <v>0</v>
      </c>
      <c r="AJ1309">
        <v>4</v>
      </c>
      <c r="AK1309">
        <v>134</v>
      </c>
      <c r="AL1309">
        <v>134</v>
      </c>
      <c r="AM1309">
        <v>284</v>
      </c>
      <c r="AN1309">
        <v>44</v>
      </c>
      <c r="AP1309">
        <v>1</v>
      </c>
      <c r="AR1309" t="s">
        <v>1396</v>
      </c>
      <c r="AS1309" s="1">
        <v>44354.276388888888</v>
      </c>
      <c r="AT1309" s="1">
        <v>44354.280023148145</v>
      </c>
      <c r="AU1309" s="1">
        <v>44354.280393518522</v>
      </c>
      <c r="AV1309" t="s">
        <v>71</v>
      </c>
      <c r="AW1309" t="s">
        <v>72</v>
      </c>
      <c r="AX1309" t="s">
        <v>73</v>
      </c>
    </row>
    <row r="1310" spans="1:50" x14ac:dyDescent="0.3">
      <c r="A1310" t="str">
        <f>"201294B0000"</f>
        <v>201294B0000</v>
      </c>
      <c r="B1310" t="str">
        <f>"201294B00002"</f>
        <v>201294B00002</v>
      </c>
      <c r="C1310" t="str">
        <f t="shared" si="60"/>
        <v>20</v>
      </c>
      <c r="D1310" t="s">
        <v>67</v>
      </c>
      <c r="E1310" t="str">
        <f t="shared" si="62"/>
        <v>006</v>
      </c>
      <c r="F1310" t="s">
        <v>1254</v>
      </c>
      <c r="G1310" t="str">
        <f>"1294"</f>
        <v>1294</v>
      </c>
      <c r="H1310" t="str">
        <f t="shared" si="63"/>
        <v>0000</v>
      </c>
      <c r="I1310" t="s">
        <v>69</v>
      </c>
      <c r="J1310">
        <v>0</v>
      </c>
      <c r="K1310">
        <v>1</v>
      </c>
      <c r="L1310">
        <v>2</v>
      </c>
      <c r="M1310">
        <v>173</v>
      </c>
      <c r="N1310">
        <v>311</v>
      </c>
      <c r="O1310">
        <v>7</v>
      </c>
      <c r="P1310">
        <v>304</v>
      </c>
      <c r="Q1310">
        <v>1</v>
      </c>
      <c r="R1310">
        <v>149</v>
      </c>
      <c r="S1310">
        <v>43</v>
      </c>
      <c r="T1310">
        <v>3</v>
      </c>
      <c r="U1310">
        <v>4</v>
      </c>
      <c r="V1310">
        <v>0</v>
      </c>
      <c r="W1310">
        <v>0</v>
      </c>
      <c r="X1310">
        <v>79</v>
      </c>
      <c r="Y1310">
        <v>3</v>
      </c>
      <c r="Z1310">
        <v>2</v>
      </c>
      <c r="AA1310">
        <v>4</v>
      </c>
      <c r="AB1310">
        <v>1</v>
      </c>
      <c r="AD1310">
        <v>3</v>
      </c>
      <c r="AE1310">
        <v>0</v>
      </c>
      <c r="AF1310">
        <v>0</v>
      </c>
      <c r="AG1310">
        <v>0</v>
      </c>
      <c r="AI1310">
        <v>0</v>
      </c>
      <c r="AJ1310">
        <v>12</v>
      </c>
      <c r="AK1310">
        <v>304</v>
      </c>
      <c r="AL1310">
        <v>304</v>
      </c>
      <c r="AM1310">
        <v>434</v>
      </c>
      <c r="AN1310">
        <v>44</v>
      </c>
      <c r="AP1310">
        <v>1</v>
      </c>
      <c r="AR1310" t="s">
        <v>1397</v>
      </c>
      <c r="AS1310" s="1">
        <v>44354.478472222225</v>
      </c>
      <c r="AT1310" s="1">
        <v>44354.481122685182</v>
      </c>
      <c r="AU1310" s="1">
        <v>44354.481909722221</v>
      </c>
      <c r="AV1310" t="s">
        <v>71</v>
      </c>
      <c r="AW1310" t="s">
        <v>72</v>
      </c>
      <c r="AX1310" t="s">
        <v>73</v>
      </c>
    </row>
    <row r="1311" spans="1:50" x14ac:dyDescent="0.3">
      <c r="A1311" t="str">
        <f>"201294C0100"</f>
        <v>201294C0100</v>
      </c>
      <c r="B1311" t="str">
        <f>"201294C01002"</f>
        <v>201294C01002</v>
      </c>
      <c r="C1311" t="str">
        <f t="shared" si="60"/>
        <v>20</v>
      </c>
      <c r="D1311" t="s">
        <v>67</v>
      </c>
      <c r="E1311" t="str">
        <f t="shared" si="62"/>
        <v>006</v>
      </c>
      <c r="F1311" t="s">
        <v>1254</v>
      </c>
      <c r="G1311" t="str">
        <f>"1294"</f>
        <v>1294</v>
      </c>
      <c r="H1311" t="str">
        <f>"0001"</f>
        <v>0001</v>
      </c>
      <c r="I1311" t="s">
        <v>75</v>
      </c>
      <c r="J1311">
        <v>0</v>
      </c>
      <c r="K1311">
        <v>1</v>
      </c>
      <c r="L1311">
        <v>2</v>
      </c>
      <c r="M1311">
        <v>169</v>
      </c>
      <c r="N1311">
        <v>369</v>
      </c>
      <c r="O1311">
        <v>0</v>
      </c>
      <c r="P1311">
        <v>308</v>
      </c>
      <c r="Q1311">
        <v>3</v>
      </c>
      <c r="R1311">
        <v>170</v>
      </c>
      <c r="S1311">
        <v>40</v>
      </c>
      <c r="T1311">
        <v>1</v>
      </c>
      <c r="U1311">
        <v>5</v>
      </c>
      <c r="V1311">
        <v>1</v>
      </c>
      <c r="W1311">
        <v>0</v>
      </c>
      <c r="X1311">
        <v>70</v>
      </c>
      <c r="Y1311">
        <v>0</v>
      </c>
      <c r="Z1311">
        <v>2</v>
      </c>
      <c r="AA1311">
        <v>0</v>
      </c>
      <c r="AB1311">
        <v>2</v>
      </c>
      <c r="AD1311">
        <v>2</v>
      </c>
      <c r="AE1311">
        <v>0</v>
      </c>
      <c r="AF1311">
        <v>0</v>
      </c>
      <c r="AG1311">
        <v>2</v>
      </c>
      <c r="AI1311">
        <v>0</v>
      </c>
      <c r="AJ1311">
        <v>9</v>
      </c>
      <c r="AK1311">
        <v>308</v>
      </c>
      <c r="AL1311">
        <v>307</v>
      </c>
      <c r="AM1311">
        <v>433</v>
      </c>
      <c r="AN1311">
        <v>44</v>
      </c>
      <c r="AP1311">
        <v>1</v>
      </c>
      <c r="AR1311" t="s">
        <v>1398</v>
      </c>
      <c r="AS1311" s="1">
        <v>44354.473611111112</v>
      </c>
      <c r="AT1311" s="1">
        <v>44354.482002314813</v>
      </c>
      <c r="AU1311" s="1">
        <v>44354.482615740744</v>
      </c>
      <c r="AV1311" t="s">
        <v>71</v>
      </c>
      <c r="AW1311" t="s">
        <v>72</v>
      </c>
      <c r="AX1311" t="s">
        <v>73</v>
      </c>
    </row>
    <row r="1312" spans="1:50" x14ac:dyDescent="0.3">
      <c r="A1312" t="str">
        <f>"201295B0000"</f>
        <v>201295B0000</v>
      </c>
      <c r="B1312" t="str">
        <f>"201295B00002"</f>
        <v>201295B00002</v>
      </c>
      <c r="C1312" t="str">
        <f t="shared" si="60"/>
        <v>20</v>
      </c>
      <c r="D1312" t="s">
        <v>67</v>
      </c>
      <c r="E1312" t="str">
        <f t="shared" si="62"/>
        <v>006</v>
      </c>
      <c r="F1312" t="s">
        <v>1254</v>
      </c>
      <c r="G1312" t="str">
        <f>"1295"</f>
        <v>1295</v>
      </c>
      <c r="H1312" t="str">
        <f>"0000"</f>
        <v>0000</v>
      </c>
      <c r="I1312" t="s">
        <v>69</v>
      </c>
      <c r="J1312">
        <v>0</v>
      </c>
      <c r="K1312">
        <v>1</v>
      </c>
      <c r="L1312">
        <v>2</v>
      </c>
      <c r="M1312">
        <v>200</v>
      </c>
      <c r="N1312">
        <v>233</v>
      </c>
      <c r="O1312">
        <v>6</v>
      </c>
      <c r="P1312">
        <v>233</v>
      </c>
      <c r="Q1312">
        <v>2</v>
      </c>
      <c r="R1312">
        <v>84</v>
      </c>
      <c r="S1312">
        <v>5</v>
      </c>
      <c r="T1312">
        <v>0</v>
      </c>
      <c r="U1312">
        <v>1</v>
      </c>
      <c r="V1312">
        <v>1</v>
      </c>
      <c r="W1312">
        <v>1</v>
      </c>
      <c r="X1312">
        <v>131</v>
      </c>
      <c r="Y1312">
        <v>3</v>
      </c>
      <c r="Z1312">
        <v>0</v>
      </c>
      <c r="AA1312">
        <v>1</v>
      </c>
      <c r="AB1312">
        <v>1</v>
      </c>
      <c r="AD1312">
        <v>1</v>
      </c>
      <c r="AE1312">
        <v>0</v>
      </c>
      <c r="AF1312">
        <v>0</v>
      </c>
      <c r="AG1312">
        <v>0</v>
      </c>
      <c r="AI1312">
        <v>0</v>
      </c>
      <c r="AJ1312">
        <v>2</v>
      </c>
      <c r="AK1312">
        <v>233</v>
      </c>
      <c r="AL1312">
        <v>233</v>
      </c>
      <c r="AM1312">
        <v>389</v>
      </c>
      <c r="AN1312">
        <v>44</v>
      </c>
      <c r="AP1312">
        <v>1</v>
      </c>
      <c r="AR1312" t="s">
        <v>1399</v>
      </c>
      <c r="AS1312" s="1">
        <v>44354.454861111109</v>
      </c>
      <c r="AT1312" s="1">
        <v>44354.457962962966</v>
      </c>
      <c r="AU1312" s="1">
        <v>44354.458668981482</v>
      </c>
      <c r="AV1312" t="s">
        <v>71</v>
      </c>
      <c r="AW1312" t="s">
        <v>72</v>
      </c>
      <c r="AX1312" t="s">
        <v>73</v>
      </c>
    </row>
    <row r="1313" spans="1:50" x14ac:dyDescent="0.3">
      <c r="A1313" t="str">
        <f>"201303B0000"</f>
        <v>201303B0000</v>
      </c>
      <c r="B1313" t="str">
        <f>"201303B00002"</f>
        <v>201303B00002</v>
      </c>
      <c r="C1313" t="str">
        <f t="shared" si="60"/>
        <v>20</v>
      </c>
      <c r="D1313" t="s">
        <v>67</v>
      </c>
      <c r="E1313" t="str">
        <f t="shared" si="62"/>
        <v>006</v>
      </c>
      <c r="F1313" t="s">
        <v>1254</v>
      </c>
      <c r="G1313" t="str">
        <f>"1303"</f>
        <v>1303</v>
      </c>
      <c r="H1313" t="str">
        <f>"0000"</f>
        <v>0000</v>
      </c>
      <c r="I1313" t="s">
        <v>69</v>
      </c>
      <c r="J1313">
        <v>0</v>
      </c>
      <c r="K1313">
        <v>1</v>
      </c>
      <c r="L1313">
        <v>2</v>
      </c>
      <c r="M1313">
        <v>357</v>
      </c>
      <c r="N1313">
        <v>84</v>
      </c>
      <c r="O1313">
        <v>0</v>
      </c>
      <c r="P1313">
        <v>84</v>
      </c>
      <c r="Q1313">
        <v>11</v>
      </c>
      <c r="R1313">
        <v>11</v>
      </c>
      <c r="S1313">
        <v>2</v>
      </c>
      <c r="T1313">
        <v>1</v>
      </c>
      <c r="U1313">
        <v>2</v>
      </c>
      <c r="V1313">
        <v>1</v>
      </c>
      <c r="W1313">
        <v>3</v>
      </c>
      <c r="X1313">
        <v>48</v>
      </c>
      <c r="Y1313">
        <v>0</v>
      </c>
      <c r="Z1313">
        <v>1</v>
      </c>
      <c r="AA1313">
        <v>0</v>
      </c>
      <c r="AB1313">
        <v>0</v>
      </c>
      <c r="AD1313">
        <v>1</v>
      </c>
      <c r="AE1313">
        <v>0</v>
      </c>
      <c r="AF1313">
        <v>0</v>
      </c>
      <c r="AG1313">
        <v>0</v>
      </c>
      <c r="AI1313">
        <v>0</v>
      </c>
      <c r="AJ1313">
        <v>3</v>
      </c>
      <c r="AK1313">
        <v>84</v>
      </c>
      <c r="AL1313">
        <v>84</v>
      </c>
      <c r="AM1313">
        <v>397</v>
      </c>
      <c r="AN1313">
        <v>44</v>
      </c>
      <c r="AP1313">
        <v>1</v>
      </c>
      <c r="AR1313" t="s">
        <v>1400</v>
      </c>
      <c r="AS1313" s="1">
        <v>44354.412499999999</v>
      </c>
      <c r="AT1313" s="1">
        <v>44354.416956018518</v>
      </c>
      <c r="AU1313" s="1">
        <v>44354.41746527778</v>
      </c>
      <c r="AV1313" t="s">
        <v>71</v>
      </c>
      <c r="AW1313" t="s">
        <v>72</v>
      </c>
      <c r="AX1313" t="s">
        <v>73</v>
      </c>
    </row>
    <row r="1314" spans="1:50" x14ac:dyDescent="0.3">
      <c r="A1314" t="str">
        <f>"201303C0100"</f>
        <v>201303C0100</v>
      </c>
      <c r="B1314" t="str">
        <f>"201303C01002"</f>
        <v>201303C01002</v>
      </c>
      <c r="C1314" t="str">
        <f t="shared" si="60"/>
        <v>20</v>
      </c>
      <c r="D1314" t="s">
        <v>67</v>
      </c>
      <c r="E1314" t="str">
        <f t="shared" si="62"/>
        <v>006</v>
      </c>
      <c r="F1314" t="s">
        <v>1254</v>
      </c>
      <c r="G1314" t="str">
        <f>"1303"</f>
        <v>1303</v>
      </c>
      <c r="H1314" t="str">
        <f>"0001"</f>
        <v>0001</v>
      </c>
      <c r="I1314" t="s">
        <v>75</v>
      </c>
      <c r="J1314">
        <v>0</v>
      </c>
      <c r="K1314">
        <v>1</v>
      </c>
      <c r="L1314">
        <v>2</v>
      </c>
      <c r="M1314">
        <v>346</v>
      </c>
      <c r="N1314">
        <v>95</v>
      </c>
      <c r="O1314">
        <v>0</v>
      </c>
      <c r="P1314">
        <v>95</v>
      </c>
      <c r="Q1314">
        <v>10</v>
      </c>
      <c r="R1314">
        <v>15</v>
      </c>
      <c r="S1314">
        <v>4</v>
      </c>
      <c r="T1314">
        <v>3</v>
      </c>
      <c r="U1314">
        <v>4</v>
      </c>
      <c r="V1314">
        <v>2</v>
      </c>
      <c r="W1314">
        <v>1</v>
      </c>
      <c r="X1314">
        <v>50</v>
      </c>
      <c r="Y1314">
        <v>0</v>
      </c>
      <c r="Z1314">
        <v>2</v>
      </c>
      <c r="AA1314">
        <v>1</v>
      </c>
      <c r="AB1314">
        <v>0</v>
      </c>
      <c r="AD1314">
        <v>0</v>
      </c>
      <c r="AE1314">
        <v>1</v>
      </c>
      <c r="AF1314">
        <v>0</v>
      </c>
      <c r="AG1314">
        <v>0</v>
      </c>
      <c r="AI1314">
        <v>0</v>
      </c>
      <c r="AJ1314">
        <v>2</v>
      </c>
      <c r="AK1314">
        <v>95</v>
      </c>
      <c r="AL1314">
        <v>95</v>
      </c>
      <c r="AM1314">
        <v>397</v>
      </c>
      <c r="AN1314">
        <v>44</v>
      </c>
      <c r="AP1314">
        <v>1</v>
      </c>
      <c r="AR1314" t="s">
        <v>1401</v>
      </c>
      <c r="AS1314" s="1">
        <v>44354.412499999999</v>
      </c>
      <c r="AT1314" s="1">
        <v>44354.415810185186</v>
      </c>
      <c r="AU1314" s="1">
        <v>44354.416319444441</v>
      </c>
      <c r="AV1314" t="s">
        <v>71</v>
      </c>
      <c r="AW1314" t="s">
        <v>72</v>
      </c>
      <c r="AX1314" t="s">
        <v>73</v>
      </c>
    </row>
    <row r="1315" spans="1:50" x14ac:dyDescent="0.3">
      <c r="A1315" t="str">
        <f>"201320B0000"</f>
        <v>201320B0000</v>
      </c>
      <c r="B1315" t="str">
        <f>"201320B00002"</f>
        <v>201320B00002</v>
      </c>
      <c r="C1315" t="str">
        <f t="shared" si="60"/>
        <v>20</v>
      </c>
      <c r="D1315" t="s">
        <v>67</v>
      </c>
      <c r="E1315" t="str">
        <f t="shared" si="62"/>
        <v>006</v>
      </c>
      <c r="F1315" t="s">
        <v>1254</v>
      </c>
      <c r="G1315" t="str">
        <f>"1320"</f>
        <v>1320</v>
      </c>
      <c r="H1315" t="str">
        <f>"0000"</f>
        <v>0000</v>
      </c>
      <c r="I1315" t="s">
        <v>69</v>
      </c>
      <c r="J1315">
        <v>0</v>
      </c>
      <c r="K1315">
        <v>1</v>
      </c>
      <c r="L1315">
        <v>2</v>
      </c>
      <c r="M1315">
        <v>315</v>
      </c>
      <c r="N1315">
        <v>465</v>
      </c>
      <c r="O1315">
        <v>0</v>
      </c>
      <c r="P1315">
        <v>465</v>
      </c>
      <c r="Q1315">
        <v>185</v>
      </c>
      <c r="R1315">
        <v>69</v>
      </c>
      <c r="S1315">
        <v>1</v>
      </c>
      <c r="T1315">
        <v>4</v>
      </c>
      <c r="U1315">
        <v>2</v>
      </c>
      <c r="V1315">
        <v>6</v>
      </c>
      <c r="W1315">
        <v>1</v>
      </c>
      <c r="X1315">
        <v>134</v>
      </c>
      <c r="Y1315">
        <v>0</v>
      </c>
      <c r="Z1315">
        <v>1</v>
      </c>
      <c r="AA1315">
        <v>5</v>
      </c>
      <c r="AB1315">
        <v>33</v>
      </c>
      <c r="AD1315">
        <v>0</v>
      </c>
      <c r="AE1315">
        <v>0</v>
      </c>
      <c r="AF1315">
        <v>2</v>
      </c>
      <c r="AG1315">
        <v>0</v>
      </c>
      <c r="AI1315">
        <v>0</v>
      </c>
      <c r="AJ1315">
        <v>22</v>
      </c>
      <c r="AK1315">
        <v>465</v>
      </c>
      <c r="AL1315">
        <v>465</v>
      </c>
      <c r="AM1315">
        <v>736</v>
      </c>
      <c r="AN1315">
        <v>44</v>
      </c>
      <c r="AP1315">
        <v>1</v>
      </c>
      <c r="AR1315" t="s">
        <v>1402</v>
      </c>
      <c r="AS1315" s="1">
        <v>44354.407638888886</v>
      </c>
      <c r="AT1315" s="1">
        <v>44354.410069444442</v>
      </c>
      <c r="AU1315" s="1">
        <v>44354.411192129628</v>
      </c>
      <c r="AV1315" t="s">
        <v>71</v>
      </c>
      <c r="AW1315" t="s">
        <v>72</v>
      </c>
      <c r="AX1315" t="s">
        <v>73</v>
      </c>
    </row>
    <row r="1316" spans="1:50" x14ac:dyDescent="0.3">
      <c r="A1316" t="str">
        <f>"201320C0100"</f>
        <v>201320C0100</v>
      </c>
      <c r="B1316" t="str">
        <f>"201320C01002"</f>
        <v>201320C01002</v>
      </c>
      <c r="C1316" t="str">
        <f t="shared" si="60"/>
        <v>20</v>
      </c>
      <c r="D1316" t="s">
        <v>67</v>
      </c>
      <c r="E1316" t="str">
        <f t="shared" si="62"/>
        <v>006</v>
      </c>
      <c r="F1316" t="s">
        <v>1254</v>
      </c>
      <c r="G1316" t="str">
        <f>"1320"</f>
        <v>1320</v>
      </c>
      <c r="H1316" t="str">
        <f>"0001"</f>
        <v>0001</v>
      </c>
      <c r="I1316" t="s">
        <v>75</v>
      </c>
      <c r="J1316">
        <v>0</v>
      </c>
      <c r="K1316">
        <v>1</v>
      </c>
      <c r="L1316">
        <v>2</v>
      </c>
      <c r="M1316">
        <v>295</v>
      </c>
      <c r="N1316">
        <v>484</v>
      </c>
      <c r="O1316">
        <v>0</v>
      </c>
      <c r="P1316">
        <v>484</v>
      </c>
      <c r="Q1316">
        <v>136</v>
      </c>
      <c r="R1316">
        <v>116</v>
      </c>
      <c r="S1316">
        <v>2</v>
      </c>
      <c r="T1316">
        <v>6</v>
      </c>
      <c r="U1316">
        <v>1</v>
      </c>
      <c r="V1316">
        <v>0</v>
      </c>
      <c r="W1316">
        <v>2</v>
      </c>
      <c r="X1316">
        <v>175</v>
      </c>
      <c r="Y1316">
        <v>0</v>
      </c>
      <c r="Z1316">
        <v>2</v>
      </c>
      <c r="AA1316">
        <v>12</v>
      </c>
      <c r="AB1316">
        <v>18</v>
      </c>
      <c r="AD1316">
        <v>0</v>
      </c>
      <c r="AE1316">
        <v>0</v>
      </c>
      <c r="AF1316">
        <v>0</v>
      </c>
      <c r="AG1316">
        <v>0</v>
      </c>
      <c r="AI1316">
        <v>0</v>
      </c>
      <c r="AJ1316">
        <v>14</v>
      </c>
      <c r="AK1316">
        <v>484</v>
      </c>
      <c r="AL1316">
        <v>484</v>
      </c>
      <c r="AM1316">
        <v>735</v>
      </c>
      <c r="AN1316">
        <v>44</v>
      </c>
      <c r="AP1316">
        <v>1</v>
      </c>
      <c r="AR1316" t="s">
        <v>1403</v>
      </c>
      <c r="AS1316" s="1">
        <v>44354.406944444447</v>
      </c>
      <c r="AT1316" s="1">
        <v>44354.410925925928</v>
      </c>
      <c r="AU1316" s="1">
        <v>44354.411736111113</v>
      </c>
      <c r="AV1316" t="s">
        <v>71</v>
      </c>
      <c r="AW1316" t="s">
        <v>72</v>
      </c>
      <c r="AX1316" t="s">
        <v>73</v>
      </c>
    </row>
    <row r="1317" spans="1:50" x14ac:dyDescent="0.3">
      <c r="A1317" t="str">
        <f>"201321B0000"</f>
        <v>201321B0000</v>
      </c>
      <c r="B1317" t="str">
        <f>"201321B00002"</f>
        <v>201321B00002</v>
      </c>
      <c r="C1317" t="str">
        <f t="shared" si="60"/>
        <v>20</v>
      </c>
      <c r="D1317" t="s">
        <v>67</v>
      </c>
      <c r="E1317" t="str">
        <f t="shared" si="62"/>
        <v>006</v>
      </c>
      <c r="F1317" t="s">
        <v>1254</v>
      </c>
      <c r="G1317" t="str">
        <f>"1321"</f>
        <v>1321</v>
      </c>
      <c r="H1317" t="str">
        <f>"0000"</f>
        <v>0000</v>
      </c>
      <c r="I1317" t="s">
        <v>69</v>
      </c>
      <c r="J1317">
        <v>0</v>
      </c>
      <c r="K1317">
        <v>1</v>
      </c>
      <c r="L1317">
        <v>2</v>
      </c>
      <c r="M1317">
        <v>167</v>
      </c>
      <c r="N1317">
        <v>142</v>
      </c>
      <c r="O1317">
        <v>10</v>
      </c>
      <c r="P1317">
        <v>142</v>
      </c>
      <c r="Q1317">
        <v>64</v>
      </c>
      <c r="R1317">
        <v>20</v>
      </c>
      <c r="S1317">
        <v>2</v>
      </c>
      <c r="T1317">
        <v>0</v>
      </c>
      <c r="U1317">
        <v>3</v>
      </c>
      <c r="V1317">
        <v>0</v>
      </c>
      <c r="W1317">
        <v>1</v>
      </c>
      <c r="X1317">
        <v>44</v>
      </c>
      <c r="Y1317">
        <v>0</v>
      </c>
      <c r="Z1317">
        <v>0</v>
      </c>
      <c r="AA1317">
        <v>0</v>
      </c>
      <c r="AB1317">
        <v>7</v>
      </c>
      <c r="AD1317">
        <v>0</v>
      </c>
      <c r="AE1317">
        <v>0</v>
      </c>
      <c r="AF1317">
        <v>0</v>
      </c>
      <c r="AG1317">
        <v>0</v>
      </c>
      <c r="AI1317">
        <v>0</v>
      </c>
      <c r="AJ1317">
        <v>1</v>
      </c>
      <c r="AK1317">
        <v>142</v>
      </c>
      <c r="AL1317">
        <v>142</v>
      </c>
      <c r="AM1317">
        <v>265</v>
      </c>
      <c r="AN1317">
        <v>44</v>
      </c>
      <c r="AP1317">
        <v>1</v>
      </c>
      <c r="AR1317" t="s">
        <v>1404</v>
      </c>
      <c r="AS1317" s="1">
        <v>44354.406944444447</v>
      </c>
      <c r="AT1317" s="1">
        <v>44354.409074074072</v>
      </c>
      <c r="AU1317" s="1">
        <v>44354.409375000003</v>
      </c>
      <c r="AV1317" t="s">
        <v>71</v>
      </c>
      <c r="AW1317" t="s">
        <v>72</v>
      </c>
      <c r="AX1317" t="s">
        <v>73</v>
      </c>
    </row>
    <row r="1318" spans="1:50" x14ac:dyDescent="0.3">
      <c r="A1318" t="str">
        <f>"201324B0000"</f>
        <v>201324B0000</v>
      </c>
      <c r="B1318" t="str">
        <f>"201324B00002"</f>
        <v>201324B00002</v>
      </c>
      <c r="C1318" t="str">
        <f t="shared" si="60"/>
        <v>20</v>
      </c>
      <c r="D1318" t="s">
        <v>67</v>
      </c>
      <c r="E1318" t="str">
        <f t="shared" si="62"/>
        <v>006</v>
      </c>
      <c r="F1318" t="s">
        <v>1254</v>
      </c>
      <c r="G1318" t="str">
        <f>"1324"</f>
        <v>1324</v>
      </c>
      <c r="H1318" t="str">
        <f>"0000"</f>
        <v>0000</v>
      </c>
      <c r="I1318" t="s">
        <v>69</v>
      </c>
      <c r="J1318">
        <v>0</v>
      </c>
      <c r="K1318">
        <v>1</v>
      </c>
      <c r="L1318">
        <v>2</v>
      </c>
      <c r="M1318">
        <v>196</v>
      </c>
      <c r="N1318">
        <v>537</v>
      </c>
      <c r="O1318">
        <v>7</v>
      </c>
      <c r="P1318">
        <v>537</v>
      </c>
      <c r="Q1318">
        <v>150</v>
      </c>
      <c r="R1318">
        <v>60</v>
      </c>
      <c r="S1318">
        <v>3</v>
      </c>
      <c r="T1318">
        <v>7</v>
      </c>
      <c r="U1318">
        <v>220</v>
      </c>
      <c r="V1318">
        <v>4</v>
      </c>
      <c r="W1318">
        <v>0</v>
      </c>
      <c r="X1318">
        <v>59</v>
      </c>
      <c r="Y1318">
        <v>13</v>
      </c>
      <c r="Z1318">
        <v>6</v>
      </c>
      <c r="AA1318">
        <v>1</v>
      </c>
      <c r="AB1318">
        <v>0</v>
      </c>
      <c r="AD1318">
        <v>0</v>
      </c>
      <c r="AE1318">
        <v>0</v>
      </c>
      <c r="AF1318">
        <v>0</v>
      </c>
      <c r="AG1318">
        <v>0</v>
      </c>
      <c r="AI1318">
        <v>0</v>
      </c>
      <c r="AJ1318">
        <v>14</v>
      </c>
      <c r="AK1318">
        <v>537</v>
      </c>
      <c r="AL1318">
        <v>537</v>
      </c>
      <c r="AM1318">
        <v>690</v>
      </c>
      <c r="AN1318">
        <v>44</v>
      </c>
      <c r="AP1318">
        <v>1</v>
      </c>
      <c r="AR1318" t="s">
        <v>1405</v>
      </c>
      <c r="AS1318" s="1">
        <v>44354.304861111108</v>
      </c>
      <c r="AT1318" s="1">
        <v>44354.307974537034</v>
      </c>
      <c r="AU1318" s="1">
        <v>44354.308645833335</v>
      </c>
      <c r="AV1318" t="s">
        <v>71</v>
      </c>
      <c r="AW1318" t="s">
        <v>72</v>
      </c>
      <c r="AX1318" t="s">
        <v>73</v>
      </c>
    </row>
    <row r="1319" spans="1:50" x14ac:dyDescent="0.3">
      <c r="A1319" t="str">
        <f>"201324E0100"</f>
        <v>201324E0100</v>
      </c>
      <c r="B1319" t="str">
        <f>"201324E01002"</f>
        <v>201324E01002</v>
      </c>
      <c r="C1319" t="str">
        <f t="shared" si="60"/>
        <v>20</v>
      </c>
      <c r="D1319" t="s">
        <v>67</v>
      </c>
      <c r="E1319" t="str">
        <f t="shared" si="62"/>
        <v>006</v>
      </c>
      <c r="F1319" t="s">
        <v>1254</v>
      </c>
      <c r="G1319" t="str">
        <f>"1324"</f>
        <v>1324</v>
      </c>
      <c r="H1319" t="str">
        <f>"0001"</f>
        <v>0001</v>
      </c>
      <c r="I1319" t="s">
        <v>109</v>
      </c>
      <c r="J1319">
        <v>0</v>
      </c>
      <c r="K1319">
        <v>1</v>
      </c>
      <c r="L1319">
        <v>2</v>
      </c>
      <c r="M1319">
        <v>94</v>
      </c>
      <c r="N1319">
        <v>221</v>
      </c>
      <c r="O1319">
        <v>4</v>
      </c>
      <c r="P1319">
        <v>221</v>
      </c>
      <c r="Q1319">
        <v>136</v>
      </c>
      <c r="R1319">
        <v>2</v>
      </c>
      <c r="S1319">
        <v>1</v>
      </c>
      <c r="T1319" t="s">
        <v>77</v>
      </c>
      <c r="U1319">
        <v>52</v>
      </c>
      <c r="V1319" t="s">
        <v>77</v>
      </c>
      <c r="W1319" t="s">
        <v>77</v>
      </c>
      <c r="X1319">
        <v>20</v>
      </c>
      <c r="Y1319">
        <v>2</v>
      </c>
      <c r="Z1319" t="s">
        <v>77</v>
      </c>
      <c r="AA1319" t="s">
        <v>77</v>
      </c>
      <c r="AB1319" t="s">
        <v>77</v>
      </c>
      <c r="AD1319" t="s">
        <v>77</v>
      </c>
      <c r="AE1319" t="s">
        <v>77</v>
      </c>
      <c r="AF1319" t="s">
        <v>77</v>
      </c>
      <c r="AG1319" t="s">
        <v>77</v>
      </c>
      <c r="AI1319" t="s">
        <v>77</v>
      </c>
      <c r="AJ1319">
        <v>8</v>
      </c>
      <c r="AK1319">
        <v>221</v>
      </c>
      <c r="AL1319">
        <v>221</v>
      </c>
      <c r="AM1319">
        <v>271</v>
      </c>
      <c r="AN1319">
        <v>44</v>
      </c>
      <c r="AO1319" t="s">
        <v>78</v>
      </c>
      <c r="AP1319">
        <v>1</v>
      </c>
      <c r="AR1319" t="s">
        <v>1406</v>
      </c>
      <c r="AS1319" s="1">
        <v>44354.29791666667</v>
      </c>
      <c r="AT1319" s="1">
        <v>44354.30060185185</v>
      </c>
      <c r="AU1319" s="1">
        <v>44354.301122685189</v>
      </c>
      <c r="AV1319" t="s">
        <v>71</v>
      </c>
      <c r="AW1319" t="s">
        <v>72</v>
      </c>
      <c r="AX1319" t="s">
        <v>73</v>
      </c>
    </row>
    <row r="1320" spans="1:50" x14ac:dyDescent="0.3">
      <c r="A1320" t="str">
        <f>"201325B0000"</f>
        <v>201325B0000</v>
      </c>
      <c r="B1320" t="str">
        <f>"201325B00002"</f>
        <v>201325B00002</v>
      </c>
      <c r="C1320" t="str">
        <f t="shared" si="60"/>
        <v>20</v>
      </c>
      <c r="D1320" t="s">
        <v>67</v>
      </c>
      <c r="E1320" t="str">
        <f t="shared" si="62"/>
        <v>006</v>
      </c>
      <c r="F1320" t="s">
        <v>1254</v>
      </c>
      <c r="G1320" t="str">
        <f>"1325"</f>
        <v>1325</v>
      </c>
      <c r="H1320" t="str">
        <f>"0000"</f>
        <v>0000</v>
      </c>
      <c r="I1320" t="s">
        <v>69</v>
      </c>
      <c r="J1320">
        <v>0</v>
      </c>
      <c r="K1320">
        <v>1</v>
      </c>
      <c r="L1320">
        <v>2</v>
      </c>
      <c r="M1320">
        <v>225</v>
      </c>
      <c r="N1320">
        <v>308</v>
      </c>
      <c r="O1320">
        <v>4</v>
      </c>
      <c r="P1320" t="s">
        <v>99</v>
      </c>
      <c r="Q1320">
        <v>104</v>
      </c>
      <c r="R1320">
        <v>46</v>
      </c>
      <c r="S1320">
        <v>4</v>
      </c>
      <c r="T1320">
        <v>1</v>
      </c>
      <c r="U1320">
        <v>101</v>
      </c>
      <c r="V1320">
        <v>1</v>
      </c>
      <c r="W1320" t="s">
        <v>77</v>
      </c>
      <c r="X1320">
        <v>22</v>
      </c>
      <c r="Y1320">
        <v>12</v>
      </c>
      <c r="Z1320">
        <v>1</v>
      </c>
      <c r="AA1320">
        <v>1</v>
      </c>
      <c r="AB1320" t="s">
        <v>77</v>
      </c>
      <c r="AD1320" t="s">
        <v>77</v>
      </c>
      <c r="AE1320" t="s">
        <v>77</v>
      </c>
      <c r="AF1320" t="s">
        <v>77</v>
      </c>
      <c r="AG1320" t="s">
        <v>77</v>
      </c>
      <c r="AI1320" t="s">
        <v>77</v>
      </c>
      <c r="AJ1320">
        <v>16</v>
      </c>
      <c r="AK1320">
        <v>292</v>
      </c>
      <c r="AL1320">
        <v>309</v>
      </c>
      <c r="AM1320">
        <v>489</v>
      </c>
      <c r="AN1320">
        <v>44</v>
      </c>
      <c r="AO1320" t="s">
        <v>78</v>
      </c>
      <c r="AP1320">
        <v>1</v>
      </c>
      <c r="AR1320" t="s">
        <v>1407</v>
      </c>
      <c r="AS1320" s="1">
        <v>44354.294444444444</v>
      </c>
      <c r="AT1320" s="1">
        <v>44354.297222222223</v>
      </c>
      <c r="AU1320" s="1">
        <v>44354.29791666667</v>
      </c>
      <c r="AV1320" t="s">
        <v>71</v>
      </c>
      <c r="AW1320" t="s">
        <v>72</v>
      </c>
      <c r="AX1320" t="s">
        <v>73</v>
      </c>
    </row>
    <row r="1321" spans="1:50" x14ac:dyDescent="0.3">
      <c r="A1321" t="str">
        <f>"201325C0100"</f>
        <v>201325C0100</v>
      </c>
      <c r="B1321" t="str">
        <f>"201325C01002"</f>
        <v>201325C01002</v>
      </c>
      <c r="C1321" t="str">
        <f t="shared" si="60"/>
        <v>20</v>
      </c>
      <c r="D1321" t="s">
        <v>67</v>
      </c>
      <c r="E1321" t="str">
        <f t="shared" si="62"/>
        <v>006</v>
      </c>
      <c r="F1321" t="s">
        <v>1254</v>
      </c>
      <c r="G1321" t="str">
        <f>"1325"</f>
        <v>1325</v>
      </c>
      <c r="H1321" t="str">
        <f>"0001"</f>
        <v>0001</v>
      </c>
      <c r="I1321" t="s">
        <v>75</v>
      </c>
      <c r="J1321">
        <v>0</v>
      </c>
      <c r="K1321">
        <v>1</v>
      </c>
      <c r="L1321">
        <v>2</v>
      </c>
      <c r="M1321">
        <v>236</v>
      </c>
      <c r="N1321">
        <v>297</v>
      </c>
      <c r="O1321">
        <v>3</v>
      </c>
      <c r="P1321">
        <v>297</v>
      </c>
      <c r="Q1321">
        <v>77</v>
      </c>
      <c r="R1321">
        <v>58</v>
      </c>
      <c r="S1321">
        <v>7</v>
      </c>
      <c r="T1321">
        <v>2</v>
      </c>
      <c r="U1321">
        <v>121</v>
      </c>
      <c r="V1321">
        <v>0</v>
      </c>
      <c r="W1321">
        <v>0</v>
      </c>
      <c r="X1321">
        <v>17</v>
      </c>
      <c r="Y1321">
        <v>6</v>
      </c>
      <c r="Z1321">
        <v>1</v>
      </c>
      <c r="AA1321">
        <v>0</v>
      </c>
      <c r="AB1321">
        <v>0</v>
      </c>
      <c r="AD1321">
        <v>0</v>
      </c>
      <c r="AE1321">
        <v>0</v>
      </c>
      <c r="AF1321">
        <v>0</v>
      </c>
      <c r="AG1321">
        <v>0</v>
      </c>
      <c r="AI1321">
        <v>0</v>
      </c>
      <c r="AJ1321">
        <v>8</v>
      </c>
      <c r="AK1321">
        <v>297</v>
      </c>
      <c r="AL1321">
        <v>297</v>
      </c>
      <c r="AM1321">
        <v>489</v>
      </c>
      <c r="AN1321">
        <v>44</v>
      </c>
      <c r="AP1321">
        <v>1</v>
      </c>
      <c r="AR1321" t="s">
        <v>1408</v>
      </c>
      <c r="AS1321" s="1">
        <v>44354.302777777775</v>
      </c>
      <c r="AT1321" s="1">
        <v>44354.305381944447</v>
      </c>
      <c r="AU1321" s="1">
        <v>44354.305983796294</v>
      </c>
      <c r="AV1321" t="s">
        <v>71</v>
      </c>
      <c r="AW1321" t="s">
        <v>72</v>
      </c>
      <c r="AX1321" t="s">
        <v>73</v>
      </c>
    </row>
    <row r="1322" spans="1:50" x14ac:dyDescent="0.3">
      <c r="A1322" t="str">
        <f>"201326B0000"</f>
        <v>201326B0000</v>
      </c>
      <c r="B1322" t="str">
        <f>"201326B00002"</f>
        <v>201326B00002</v>
      </c>
      <c r="C1322" t="str">
        <f t="shared" si="60"/>
        <v>20</v>
      </c>
      <c r="D1322" t="s">
        <v>67</v>
      </c>
      <c r="E1322" t="str">
        <f t="shared" si="62"/>
        <v>006</v>
      </c>
      <c r="F1322" t="s">
        <v>1254</v>
      </c>
      <c r="G1322" t="str">
        <f>"1326"</f>
        <v>1326</v>
      </c>
      <c r="H1322" t="str">
        <f>"0000"</f>
        <v>0000</v>
      </c>
      <c r="I1322" t="s">
        <v>69</v>
      </c>
      <c r="J1322">
        <v>0</v>
      </c>
      <c r="K1322">
        <v>1</v>
      </c>
      <c r="L1322">
        <v>2</v>
      </c>
      <c r="M1322">
        <v>166</v>
      </c>
      <c r="N1322">
        <v>330</v>
      </c>
      <c r="O1322">
        <v>11</v>
      </c>
      <c r="P1322">
        <v>330</v>
      </c>
      <c r="Q1322">
        <v>99</v>
      </c>
      <c r="R1322">
        <v>72</v>
      </c>
      <c r="S1322">
        <v>21</v>
      </c>
      <c r="T1322">
        <v>0</v>
      </c>
      <c r="U1322">
        <v>60</v>
      </c>
      <c r="V1322">
        <v>0</v>
      </c>
      <c r="W1322">
        <v>0</v>
      </c>
      <c r="X1322">
        <v>52</v>
      </c>
      <c r="Y1322">
        <v>17</v>
      </c>
      <c r="Z1322">
        <v>1</v>
      </c>
      <c r="AA1322">
        <v>0</v>
      </c>
      <c r="AB1322">
        <v>0</v>
      </c>
      <c r="AD1322">
        <v>0</v>
      </c>
      <c r="AE1322">
        <v>0</v>
      </c>
      <c r="AF1322">
        <v>0</v>
      </c>
      <c r="AG1322">
        <v>0</v>
      </c>
      <c r="AI1322">
        <v>0</v>
      </c>
      <c r="AJ1322">
        <v>8</v>
      </c>
      <c r="AK1322">
        <v>330</v>
      </c>
      <c r="AL1322">
        <v>330</v>
      </c>
      <c r="AM1322">
        <v>452</v>
      </c>
      <c r="AN1322">
        <v>44</v>
      </c>
      <c r="AP1322">
        <v>1</v>
      </c>
      <c r="AR1322" t="s">
        <v>1409</v>
      </c>
      <c r="AS1322" s="1">
        <v>44354.302777777775</v>
      </c>
      <c r="AT1322" s="1">
        <v>44354.305173611108</v>
      </c>
      <c r="AU1322" s="1">
        <v>44354.305995370371</v>
      </c>
      <c r="AV1322" t="s">
        <v>71</v>
      </c>
      <c r="AW1322" t="s">
        <v>72</v>
      </c>
      <c r="AX1322" t="s">
        <v>73</v>
      </c>
    </row>
    <row r="1323" spans="1:50" x14ac:dyDescent="0.3">
      <c r="A1323" t="str">
        <f>"201326E0100"</f>
        <v>201326E0100</v>
      </c>
      <c r="B1323" t="str">
        <f>"201326E01002"</f>
        <v>201326E01002</v>
      </c>
      <c r="C1323" t="str">
        <f t="shared" si="60"/>
        <v>20</v>
      </c>
      <c r="D1323" t="s">
        <v>67</v>
      </c>
      <c r="E1323" t="str">
        <f t="shared" si="62"/>
        <v>006</v>
      </c>
      <c r="F1323" t="s">
        <v>1254</v>
      </c>
      <c r="G1323" t="str">
        <f>"1326"</f>
        <v>1326</v>
      </c>
      <c r="H1323" t="str">
        <f>"0001"</f>
        <v>0001</v>
      </c>
      <c r="I1323" t="s">
        <v>109</v>
      </c>
      <c r="J1323">
        <v>0</v>
      </c>
      <c r="K1323">
        <v>1</v>
      </c>
      <c r="L1323">
        <v>2</v>
      </c>
      <c r="M1323">
        <v>283</v>
      </c>
      <c r="N1323">
        <v>481</v>
      </c>
      <c r="O1323">
        <v>2</v>
      </c>
      <c r="P1323">
        <v>481</v>
      </c>
      <c r="Q1323">
        <v>138</v>
      </c>
      <c r="R1323">
        <v>98</v>
      </c>
      <c r="S1323">
        <v>6</v>
      </c>
      <c r="T1323">
        <v>11</v>
      </c>
      <c r="U1323">
        <v>115</v>
      </c>
      <c r="V1323">
        <v>2</v>
      </c>
      <c r="W1323">
        <v>1</v>
      </c>
      <c r="X1323">
        <v>50</v>
      </c>
      <c r="Y1323">
        <v>41</v>
      </c>
      <c r="Z1323">
        <v>2</v>
      </c>
      <c r="AA1323">
        <v>1</v>
      </c>
      <c r="AB1323">
        <v>2</v>
      </c>
      <c r="AD1323">
        <v>0</v>
      </c>
      <c r="AE1323">
        <v>3</v>
      </c>
      <c r="AF1323">
        <v>0</v>
      </c>
      <c r="AG1323">
        <v>0</v>
      </c>
      <c r="AI1323">
        <v>0</v>
      </c>
      <c r="AJ1323">
        <v>11</v>
      </c>
      <c r="AK1323">
        <v>481</v>
      </c>
      <c r="AL1323">
        <v>481</v>
      </c>
      <c r="AM1323">
        <v>720</v>
      </c>
      <c r="AN1323">
        <v>44</v>
      </c>
      <c r="AP1323">
        <v>1</v>
      </c>
      <c r="AR1323" t="s">
        <v>1410</v>
      </c>
      <c r="AS1323" s="1">
        <v>44354.300694444442</v>
      </c>
      <c r="AT1323" s="1">
        <v>44354.303657407407</v>
      </c>
      <c r="AU1323" s="1">
        <v>44354.305312500001</v>
      </c>
      <c r="AV1323" t="s">
        <v>71</v>
      </c>
      <c r="AW1323" t="s">
        <v>72</v>
      </c>
      <c r="AX1323" t="s">
        <v>73</v>
      </c>
    </row>
    <row r="1324" spans="1:50" x14ac:dyDescent="0.3">
      <c r="A1324" t="str">
        <f>"201327B0000"</f>
        <v>201327B0000</v>
      </c>
      <c r="B1324" t="str">
        <f>"201327B00002"</f>
        <v>201327B00002</v>
      </c>
      <c r="C1324" t="str">
        <f t="shared" si="60"/>
        <v>20</v>
      </c>
      <c r="D1324" t="s">
        <v>67</v>
      </c>
      <c r="E1324" t="str">
        <f t="shared" si="62"/>
        <v>006</v>
      </c>
      <c r="F1324" t="s">
        <v>1254</v>
      </c>
      <c r="G1324" t="str">
        <f>"1327"</f>
        <v>1327</v>
      </c>
      <c r="H1324" t="str">
        <f>"0000"</f>
        <v>0000</v>
      </c>
      <c r="I1324" t="s">
        <v>69</v>
      </c>
      <c r="J1324">
        <v>0</v>
      </c>
      <c r="K1324">
        <v>1</v>
      </c>
      <c r="L1324">
        <v>2</v>
      </c>
      <c r="M1324">
        <v>166</v>
      </c>
      <c r="N1324">
        <v>345</v>
      </c>
      <c r="O1324">
        <v>5</v>
      </c>
      <c r="P1324">
        <v>345</v>
      </c>
      <c r="Q1324">
        <v>124</v>
      </c>
      <c r="R1324">
        <v>56</v>
      </c>
      <c r="S1324">
        <v>1</v>
      </c>
      <c r="T1324">
        <v>5</v>
      </c>
      <c r="U1324">
        <v>95</v>
      </c>
      <c r="V1324" t="s">
        <v>77</v>
      </c>
      <c r="W1324" t="s">
        <v>77</v>
      </c>
      <c r="X1324">
        <v>53</v>
      </c>
      <c r="Y1324">
        <v>4</v>
      </c>
      <c r="Z1324" t="s">
        <v>77</v>
      </c>
      <c r="AA1324" t="s">
        <v>77</v>
      </c>
      <c r="AB1324">
        <v>4</v>
      </c>
      <c r="AD1324" t="s">
        <v>77</v>
      </c>
      <c r="AE1324" t="s">
        <v>77</v>
      </c>
      <c r="AF1324" t="s">
        <v>77</v>
      </c>
      <c r="AG1324" t="s">
        <v>77</v>
      </c>
      <c r="AI1324" t="s">
        <v>77</v>
      </c>
      <c r="AJ1324">
        <v>3</v>
      </c>
      <c r="AK1324">
        <v>345</v>
      </c>
      <c r="AL1324">
        <v>345</v>
      </c>
      <c r="AM1324">
        <v>467</v>
      </c>
      <c r="AN1324">
        <v>44</v>
      </c>
      <c r="AO1324" t="s">
        <v>78</v>
      </c>
      <c r="AP1324">
        <v>1</v>
      </c>
      <c r="AR1324" s="2" t="s">
        <v>1411</v>
      </c>
      <c r="AS1324" s="1">
        <v>44354.300694444442</v>
      </c>
      <c r="AT1324" s="1">
        <v>44354.303495370368</v>
      </c>
      <c r="AU1324" s="1">
        <v>44354.304282407407</v>
      </c>
      <c r="AV1324" t="s">
        <v>71</v>
      </c>
      <c r="AW1324" t="s">
        <v>72</v>
      </c>
      <c r="AX1324" t="s">
        <v>73</v>
      </c>
    </row>
    <row r="1325" spans="1:50" x14ac:dyDescent="0.3">
      <c r="A1325" t="str">
        <f>"201327E0100"</f>
        <v>201327E0100</v>
      </c>
      <c r="B1325" t="str">
        <f>"201327E01002"</f>
        <v>201327E01002</v>
      </c>
      <c r="C1325" t="str">
        <f t="shared" si="60"/>
        <v>20</v>
      </c>
      <c r="D1325" t="s">
        <v>67</v>
      </c>
      <c r="E1325" t="str">
        <f t="shared" si="62"/>
        <v>006</v>
      </c>
      <c r="F1325" t="s">
        <v>1254</v>
      </c>
      <c r="G1325" t="str">
        <f>"1327"</f>
        <v>1327</v>
      </c>
      <c r="H1325" t="str">
        <f>"0001"</f>
        <v>0001</v>
      </c>
      <c r="I1325" t="s">
        <v>109</v>
      </c>
      <c r="J1325">
        <v>0</v>
      </c>
      <c r="K1325">
        <v>1</v>
      </c>
      <c r="L1325">
        <v>2</v>
      </c>
      <c r="M1325">
        <v>94</v>
      </c>
      <c r="N1325">
        <v>160</v>
      </c>
      <c r="O1325">
        <v>7</v>
      </c>
      <c r="P1325">
        <v>160</v>
      </c>
      <c r="Q1325">
        <v>52</v>
      </c>
      <c r="R1325">
        <v>8</v>
      </c>
      <c r="S1325">
        <v>1</v>
      </c>
      <c r="T1325">
        <v>0</v>
      </c>
      <c r="U1325">
        <v>60</v>
      </c>
      <c r="V1325">
        <v>0</v>
      </c>
      <c r="W1325">
        <v>0</v>
      </c>
      <c r="X1325">
        <v>21</v>
      </c>
      <c r="Y1325">
        <v>15</v>
      </c>
      <c r="Z1325">
        <v>0</v>
      </c>
      <c r="AA1325">
        <v>0</v>
      </c>
      <c r="AB1325">
        <v>0</v>
      </c>
      <c r="AD1325" t="s">
        <v>77</v>
      </c>
      <c r="AE1325" t="s">
        <v>77</v>
      </c>
      <c r="AF1325" t="s">
        <v>77</v>
      </c>
      <c r="AG1325" t="s">
        <v>77</v>
      </c>
      <c r="AI1325" t="s">
        <v>77</v>
      </c>
      <c r="AJ1325">
        <v>3</v>
      </c>
      <c r="AK1325">
        <v>160</v>
      </c>
      <c r="AL1325">
        <v>160</v>
      </c>
      <c r="AM1325">
        <v>210</v>
      </c>
      <c r="AN1325">
        <v>44</v>
      </c>
      <c r="AO1325" t="s">
        <v>78</v>
      </c>
      <c r="AP1325">
        <v>1</v>
      </c>
      <c r="AR1325" t="s">
        <v>1412</v>
      </c>
      <c r="AS1325" s="1">
        <v>44354.29791666667</v>
      </c>
      <c r="AT1325" s="1">
        <v>44354.299907407411</v>
      </c>
      <c r="AU1325" s="1">
        <v>44354.300543981481</v>
      </c>
      <c r="AV1325" t="s">
        <v>71</v>
      </c>
      <c r="AW1325" t="s">
        <v>72</v>
      </c>
      <c r="AX1325" t="s">
        <v>73</v>
      </c>
    </row>
    <row r="1326" spans="1:50" x14ac:dyDescent="0.3">
      <c r="A1326" t="str">
        <f>"201328B0000"</f>
        <v>201328B0000</v>
      </c>
      <c r="B1326" t="str">
        <f>"201328B00002"</f>
        <v>201328B00002</v>
      </c>
      <c r="C1326" t="str">
        <f t="shared" si="60"/>
        <v>20</v>
      </c>
      <c r="D1326" t="s">
        <v>67</v>
      </c>
      <c r="E1326" t="str">
        <f t="shared" si="62"/>
        <v>006</v>
      </c>
      <c r="F1326" t="s">
        <v>1254</v>
      </c>
      <c r="G1326" t="str">
        <f>"1328"</f>
        <v>1328</v>
      </c>
      <c r="H1326" t="str">
        <f t="shared" ref="H1326:H1331" si="64">"0000"</f>
        <v>0000</v>
      </c>
      <c r="I1326" t="s">
        <v>69</v>
      </c>
      <c r="J1326">
        <v>0</v>
      </c>
      <c r="K1326">
        <v>1</v>
      </c>
      <c r="L1326">
        <v>2</v>
      </c>
      <c r="M1326">
        <v>76</v>
      </c>
      <c r="N1326">
        <v>114</v>
      </c>
      <c r="O1326">
        <v>5</v>
      </c>
      <c r="P1326">
        <v>114</v>
      </c>
      <c r="Q1326">
        <v>35</v>
      </c>
      <c r="R1326">
        <v>23</v>
      </c>
      <c r="S1326" t="s">
        <v>77</v>
      </c>
      <c r="T1326" t="s">
        <v>77</v>
      </c>
      <c r="U1326">
        <v>20</v>
      </c>
      <c r="V1326">
        <v>3</v>
      </c>
      <c r="W1326">
        <v>3</v>
      </c>
      <c r="X1326">
        <v>21</v>
      </c>
      <c r="Y1326" t="s">
        <v>77</v>
      </c>
      <c r="Z1326">
        <v>2</v>
      </c>
      <c r="AA1326" t="s">
        <v>77</v>
      </c>
      <c r="AB1326" t="s">
        <v>77</v>
      </c>
      <c r="AD1326" t="s">
        <v>77</v>
      </c>
      <c r="AE1326" t="s">
        <v>77</v>
      </c>
      <c r="AF1326" t="s">
        <v>77</v>
      </c>
      <c r="AG1326" t="s">
        <v>77</v>
      </c>
      <c r="AI1326" t="s">
        <v>77</v>
      </c>
      <c r="AJ1326" t="s">
        <v>77</v>
      </c>
      <c r="AK1326">
        <v>114</v>
      </c>
      <c r="AL1326">
        <v>107</v>
      </c>
      <c r="AM1326">
        <v>146</v>
      </c>
      <c r="AN1326">
        <v>44</v>
      </c>
      <c r="AO1326" t="s">
        <v>78</v>
      </c>
      <c r="AP1326">
        <v>1</v>
      </c>
      <c r="AR1326" t="s">
        <v>1413</v>
      </c>
      <c r="AS1326" s="1">
        <v>44354.310416666667</v>
      </c>
      <c r="AT1326" s="1">
        <v>44354.311724537038</v>
      </c>
      <c r="AU1326" s="1">
        <v>44354.312314814815</v>
      </c>
      <c r="AV1326" t="s">
        <v>71</v>
      </c>
      <c r="AW1326" t="s">
        <v>72</v>
      </c>
      <c r="AX1326" t="s">
        <v>347</v>
      </c>
    </row>
    <row r="1327" spans="1:50" x14ac:dyDescent="0.3">
      <c r="A1327" t="str">
        <f>"201329B0000"</f>
        <v>201329B0000</v>
      </c>
      <c r="B1327" t="str">
        <f>"201329B00002"</f>
        <v>201329B00002</v>
      </c>
      <c r="C1327" t="str">
        <f t="shared" si="60"/>
        <v>20</v>
      </c>
      <c r="D1327" t="s">
        <v>67</v>
      </c>
      <c r="E1327" t="str">
        <f t="shared" si="62"/>
        <v>006</v>
      </c>
      <c r="F1327" t="s">
        <v>1254</v>
      </c>
      <c r="G1327" t="str">
        <f>"1329"</f>
        <v>1329</v>
      </c>
      <c r="H1327" t="str">
        <f t="shared" si="64"/>
        <v>0000</v>
      </c>
      <c r="I1327" t="s">
        <v>69</v>
      </c>
      <c r="J1327">
        <v>0</v>
      </c>
      <c r="K1327">
        <v>1</v>
      </c>
      <c r="L1327">
        <v>2</v>
      </c>
      <c r="M1327">
        <v>118</v>
      </c>
      <c r="N1327">
        <v>185</v>
      </c>
      <c r="O1327">
        <v>5</v>
      </c>
      <c r="P1327">
        <v>185</v>
      </c>
      <c r="Q1327">
        <v>52</v>
      </c>
      <c r="R1327">
        <v>56</v>
      </c>
      <c r="S1327">
        <v>2</v>
      </c>
      <c r="T1327">
        <v>0</v>
      </c>
      <c r="U1327">
        <v>64</v>
      </c>
      <c r="V1327">
        <v>0</v>
      </c>
      <c r="W1327">
        <v>0</v>
      </c>
      <c r="X1327">
        <v>0</v>
      </c>
      <c r="Y1327">
        <v>3</v>
      </c>
      <c r="Z1327">
        <v>0</v>
      </c>
      <c r="AA1327">
        <v>0</v>
      </c>
      <c r="AB1327">
        <v>0</v>
      </c>
      <c r="AD1327">
        <v>0</v>
      </c>
      <c r="AE1327">
        <v>0</v>
      </c>
      <c r="AF1327">
        <v>0</v>
      </c>
      <c r="AG1327">
        <v>1</v>
      </c>
      <c r="AI1327">
        <v>0</v>
      </c>
      <c r="AJ1327">
        <v>7</v>
      </c>
      <c r="AK1327">
        <v>185</v>
      </c>
      <c r="AL1327">
        <v>185</v>
      </c>
      <c r="AM1327">
        <v>259</v>
      </c>
      <c r="AN1327">
        <v>44</v>
      </c>
      <c r="AP1327">
        <v>1</v>
      </c>
      <c r="AR1327" t="s">
        <v>1414</v>
      </c>
      <c r="AS1327" s="1">
        <v>44353.8125</v>
      </c>
      <c r="AT1327" s="1">
        <v>44354.308449074073</v>
      </c>
      <c r="AU1327" s="1">
        <v>44354.30908564815</v>
      </c>
      <c r="AV1327" t="s">
        <v>71</v>
      </c>
      <c r="AW1327" t="s">
        <v>72</v>
      </c>
      <c r="AX1327" t="s">
        <v>73</v>
      </c>
    </row>
    <row r="1328" spans="1:50" x14ac:dyDescent="0.3">
      <c r="A1328" t="str">
        <f>"201330B0000"</f>
        <v>201330B0000</v>
      </c>
      <c r="B1328" t="str">
        <f>"201330B00002"</f>
        <v>201330B00002</v>
      </c>
      <c r="C1328" t="str">
        <f t="shared" si="60"/>
        <v>20</v>
      </c>
      <c r="D1328" t="s">
        <v>67</v>
      </c>
      <c r="E1328" t="str">
        <f t="shared" si="62"/>
        <v>006</v>
      </c>
      <c r="F1328" t="s">
        <v>1254</v>
      </c>
      <c r="G1328" t="str">
        <f>"1330"</f>
        <v>1330</v>
      </c>
      <c r="H1328" t="str">
        <f t="shared" si="64"/>
        <v>0000</v>
      </c>
      <c r="I1328" t="s">
        <v>69</v>
      </c>
      <c r="J1328">
        <v>0</v>
      </c>
      <c r="K1328">
        <v>1</v>
      </c>
      <c r="L1328">
        <v>2</v>
      </c>
      <c r="M1328">
        <v>123</v>
      </c>
      <c r="N1328">
        <v>278</v>
      </c>
      <c r="O1328">
        <v>7</v>
      </c>
      <c r="P1328">
        <v>278</v>
      </c>
      <c r="Q1328">
        <v>121</v>
      </c>
      <c r="R1328">
        <v>60</v>
      </c>
      <c r="S1328" t="s">
        <v>77</v>
      </c>
      <c r="T1328">
        <v>1</v>
      </c>
      <c r="U1328">
        <v>52</v>
      </c>
      <c r="V1328" t="s">
        <v>77</v>
      </c>
      <c r="W1328" t="s">
        <v>77</v>
      </c>
      <c r="X1328">
        <v>29</v>
      </c>
      <c r="Y1328">
        <v>2</v>
      </c>
      <c r="Z1328" t="s">
        <v>77</v>
      </c>
      <c r="AA1328" t="s">
        <v>77</v>
      </c>
      <c r="AB1328">
        <v>1</v>
      </c>
      <c r="AD1328" t="s">
        <v>77</v>
      </c>
      <c r="AE1328" t="s">
        <v>77</v>
      </c>
      <c r="AF1328" t="s">
        <v>77</v>
      </c>
      <c r="AG1328" t="s">
        <v>77</v>
      </c>
      <c r="AI1328" t="s">
        <v>77</v>
      </c>
      <c r="AJ1328">
        <v>12</v>
      </c>
      <c r="AK1328">
        <v>278</v>
      </c>
      <c r="AL1328">
        <v>278</v>
      </c>
      <c r="AM1328">
        <v>357</v>
      </c>
      <c r="AN1328">
        <v>44</v>
      </c>
      <c r="AO1328" t="s">
        <v>78</v>
      </c>
      <c r="AP1328">
        <v>1</v>
      </c>
      <c r="AR1328" t="s">
        <v>1415</v>
      </c>
      <c r="AS1328" s="1">
        <v>44354.304166666669</v>
      </c>
      <c r="AT1328" s="1">
        <v>44354.306805555556</v>
      </c>
      <c r="AU1328" s="1">
        <v>44354.307199074072</v>
      </c>
      <c r="AV1328" t="s">
        <v>71</v>
      </c>
      <c r="AW1328" t="s">
        <v>72</v>
      </c>
      <c r="AX1328" t="s">
        <v>73</v>
      </c>
    </row>
    <row r="1329" spans="1:50" x14ac:dyDescent="0.3">
      <c r="A1329" t="str">
        <f>"201331B0000"</f>
        <v>201331B0000</v>
      </c>
      <c r="B1329" t="str">
        <f>"201331B00002"</f>
        <v>201331B00002</v>
      </c>
      <c r="C1329" t="str">
        <f t="shared" si="60"/>
        <v>20</v>
      </c>
      <c r="D1329" t="s">
        <v>67</v>
      </c>
      <c r="E1329" t="str">
        <f t="shared" si="62"/>
        <v>006</v>
      </c>
      <c r="F1329" t="s">
        <v>1254</v>
      </c>
      <c r="G1329" t="str">
        <f>"1331"</f>
        <v>1331</v>
      </c>
      <c r="H1329" t="str">
        <f t="shared" si="64"/>
        <v>0000</v>
      </c>
      <c r="I1329" t="s">
        <v>69</v>
      </c>
      <c r="J1329">
        <v>0</v>
      </c>
      <c r="K1329">
        <v>1</v>
      </c>
      <c r="L1329">
        <v>2</v>
      </c>
      <c r="M1329">
        <v>199</v>
      </c>
      <c r="N1329">
        <v>453</v>
      </c>
      <c r="O1329">
        <v>6</v>
      </c>
      <c r="P1329">
        <v>454</v>
      </c>
      <c r="Q1329">
        <v>159</v>
      </c>
      <c r="R1329">
        <v>136</v>
      </c>
      <c r="S1329">
        <v>4</v>
      </c>
      <c r="T1329">
        <v>2</v>
      </c>
      <c r="U1329">
        <v>120</v>
      </c>
      <c r="V1329">
        <v>0</v>
      </c>
      <c r="W1329">
        <v>0</v>
      </c>
      <c r="X1329">
        <v>23</v>
      </c>
      <c r="Y1329">
        <v>2</v>
      </c>
      <c r="Z1329">
        <v>0</v>
      </c>
      <c r="AA1329">
        <v>2</v>
      </c>
      <c r="AB1329">
        <v>0</v>
      </c>
      <c r="AD1329">
        <v>0</v>
      </c>
      <c r="AE1329">
        <v>2</v>
      </c>
      <c r="AF1329">
        <v>0</v>
      </c>
      <c r="AG1329">
        <v>0</v>
      </c>
      <c r="AI1329">
        <v>0</v>
      </c>
      <c r="AJ1329">
        <v>4</v>
      </c>
      <c r="AK1329">
        <v>454</v>
      </c>
      <c r="AL1329">
        <v>454</v>
      </c>
      <c r="AM1329">
        <v>609</v>
      </c>
      <c r="AN1329">
        <v>44</v>
      </c>
      <c r="AP1329">
        <v>1</v>
      </c>
      <c r="AR1329" t="s">
        <v>1416</v>
      </c>
      <c r="AS1329" s="1">
        <v>44354.306944444441</v>
      </c>
      <c r="AT1329" s="1">
        <v>44354.310011574074</v>
      </c>
      <c r="AU1329" s="1">
        <v>44354.310706018521</v>
      </c>
      <c r="AV1329" t="s">
        <v>71</v>
      </c>
      <c r="AW1329" t="s">
        <v>72</v>
      </c>
      <c r="AX1329" t="s">
        <v>73</v>
      </c>
    </row>
    <row r="1330" spans="1:50" x14ac:dyDescent="0.3">
      <c r="A1330" t="str">
        <f>"201332B0000"</f>
        <v>201332B0000</v>
      </c>
      <c r="B1330" t="str">
        <f>"201332B00002"</f>
        <v>201332B00002</v>
      </c>
      <c r="C1330" t="str">
        <f t="shared" si="60"/>
        <v>20</v>
      </c>
      <c r="D1330" t="s">
        <v>67</v>
      </c>
      <c r="E1330" t="str">
        <f t="shared" si="62"/>
        <v>006</v>
      </c>
      <c r="F1330" t="s">
        <v>1254</v>
      </c>
      <c r="G1330" t="str">
        <f>"1332"</f>
        <v>1332</v>
      </c>
      <c r="H1330" t="str">
        <f t="shared" si="64"/>
        <v>0000</v>
      </c>
      <c r="I1330" t="s">
        <v>69</v>
      </c>
      <c r="J1330">
        <v>0</v>
      </c>
      <c r="K1330">
        <v>1</v>
      </c>
      <c r="L1330">
        <v>2</v>
      </c>
      <c r="AM1330">
        <v>139</v>
      </c>
      <c r="AN1330">
        <v>44</v>
      </c>
      <c r="AO1330" t="s">
        <v>352</v>
      </c>
      <c r="AP1330">
        <v>0</v>
      </c>
      <c r="AR1330" t="s">
        <v>1417</v>
      </c>
      <c r="AS1330" s="1">
        <v>44354.644444444442</v>
      </c>
      <c r="AT1330" s="1">
        <v>44354.650358796294</v>
      </c>
      <c r="AU1330" s="1">
        <v>44354.650358796294</v>
      </c>
      <c r="AV1330" t="s">
        <v>71</v>
      </c>
      <c r="AW1330" t="s">
        <v>72</v>
      </c>
      <c r="AX1330" t="s">
        <v>73</v>
      </c>
    </row>
    <row r="1331" spans="1:50" x14ac:dyDescent="0.3">
      <c r="A1331" t="str">
        <f>"201418B0000"</f>
        <v>201418B0000</v>
      </c>
      <c r="B1331" t="str">
        <f>"201418B00002"</f>
        <v>201418B00002</v>
      </c>
      <c r="C1331" t="str">
        <f t="shared" si="60"/>
        <v>20</v>
      </c>
      <c r="D1331" t="s">
        <v>67</v>
      </c>
      <c r="E1331" t="str">
        <f t="shared" si="62"/>
        <v>006</v>
      </c>
      <c r="F1331" t="s">
        <v>1254</v>
      </c>
      <c r="G1331" t="str">
        <f>"1418"</f>
        <v>1418</v>
      </c>
      <c r="H1331" t="str">
        <f t="shared" si="64"/>
        <v>0000</v>
      </c>
      <c r="I1331" t="s">
        <v>69</v>
      </c>
      <c r="J1331">
        <v>0</v>
      </c>
      <c r="K1331">
        <v>1</v>
      </c>
      <c r="L1331">
        <v>2</v>
      </c>
      <c r="M1331">
        <v>178</v>
      </c>
      <c r="N1331">
        <v>279</v>
      </c>
      <c r="O1331">
        <v>0</v>
      </c>
      <c r="P1331">
        <v>279</v>
      </c>
      <c r="Q1331">
        <v>3</v>
      </c>
      <c r="R1331">
        <v>12</v>
      </c>
      <c r="S1331">
        <v>76</v>
      </c>
      <c r="T1331">
        <v>2</v>
      </c>
      <c r="U1331">
        <v>2</v>
      </c>
      <c r="V1331">
        <v>0</v>
      </c>
      <c r="W1331">
        <v>1</v>
      </c>
      <c r="X1331">
        <v>109</v>
      </c>
      <c r="Y1331">
        <v>0</v>
      </c>
      <c r="Z1331">
        <v>9</v>
      </c>
      <c r="AA1331">
        <v>0</v>
      </c>
      <c r="AB1331">
        <v>57</v>
      </c>
      <c r="AD1331" t="s">
        <v>77</v>
      </c>
      <c r="AE1331" t="s">
        <v>77</v>
      </c>
      <c r="AF1331" t="s">
        <v>77</v>
      </c>
      <c r="AG1331" t="s">
        <v>77</v>
      </c>
      <c r="AI1331" t="s">
        <v>77</v>
      </c>
      <c r="AJ1331">
        <v>8</v>
      </c>
      <c r="AK1331">
        <v>279</v>
      </c>
      <c r="AL1331">
        <v>279</v>
      </c>
      <c r="AM1331">
        <v>413</v>
      </c>
      <c r="AN1331">
        <v>44</v>
      </c>
      <c r="AO1331" t="s">
        <v>78</v>
      </c>
      <c r="AP1331">
        <v>1</v>
      </c>
      <c r="AR1331" t="s">
        <v>1418</v>
      </c>
      <c r="AS1331" s="1">
        <v>44354.438194444447</v>
      </c>
      <c r="AT1331" s="1">
        <v>44354.44295138889</v>
      </c>
      <c r="AU1331" s="1">
        <v>44354.443518518521</v>
      </c>
      <c r="AV1331" t="s">
        <v>71</v>
      </c>
      <c r="AW1331" t="s">
        <v>72</v>
      </c>
      <c r="AX1331" t="s">
        <v>73</v>
      </c>
    </row>
    <row r="1332" spans="1:50" x14ac:dyDescent="0.3">
      <c r="A1332" t="str">
        <f>"201418C0100"</f>
        <v>201418C0100</v>
      </c>
      <c r="B1332" t="str">
        <f>"201418C01002"</f>
        <v>201418C01002</v>
      </c>
      <c r="C1332" t="str">
        <f t="shared" si="60"/>
        <v>20</v>
      </c>
      <c r="D1332" t="s">
        <v>67</v>
      </c>
      <c r="E1332" t="str">
        <f t="shared" si="62"/>
        <v>006</v>
      </c>
      <c r="F1332" t="s">
        <v>1254</v>
      </c>
      <c r="G1332" t="str">
        <f>"1418"</f>
        <v>1418</v>
      </c>
      <c r="H1332" t="str">
        <f>"0001"</f>
        <v>0001</v>
      </c>
      <c r="I1332" t="s">
        <v>75</v>
      </c>
      <c r="J1332">
        <v>0</v>
      </c>
      <c r="K1332">
        <v>1</v>
      </c>
      <c r="L1332">
        <v>2</v>
      </c>
      <c r="M1332">
        <v>150</v>
      </c>
      <c r="N1332">
        <v>306</v>
      </c>
      <c r="O1332">
        <v>0</v>
      </c>
      <c r="P1332">
        <v>306</v>
      </c>
      <c r="Q1332">
        <v>5</v>
      </c>
      <c r="R1332">
        <v>18</v>
      </c>
      <c r="S1332">
        <v>83</v>
      </c>
      <c r="T1332">
        <v>4</v>
      </c>
      <c r="U1332">
        <v>0</v>
      </c>
      <c r="V1332">
        <v>2</v>
      </c>
      <c r="W1332">
        <v>0</v>
      </c>
      <c r="X1332">
        <v>120</v>
      </c>
      <c r="Y1332">
        <v>2</v>
      </c>
      <c r="Z1332">
        <v>5</v>
      </c>
      <c r="AA1332">
        <v>6</v>
      </c>
      <c r="AB1332">
        <v>52</v>
      </c>
      <c r="AD1332">
        <v>1</v>
      </c>
      <c r="AE1332">
        <v>0</v>
      </c>
      <c r="AF1332">
        <v>0</v>
      </c>
      <c r="AG1332">
        <v>0</v>
      </c>
      <c r="AI1332">
        <v>0</v>
      </c>
      <c r="AJ1332">
        <v>8</v>
      </c>
      <c r="AK1332">
        <v>306</v>
      </c>
      <c r="AL1332">
        <v>306</v>
      </c>
      <c r="AM1332">
        <v>412</v>
      </c>
      <c r="AN1332">
        <v>44</v>
      </c>
      <c r="AP1332">
        <v>1</v>
      </c>
      <c r="AR1332" t="s">
        <v>1419</v>
      </c>
      <c r="AS1332" s="1">
        <v>44354.439583333333</v>
      </c>
      <c r="AT1332" s="1">
        <v>44354.442708333336</v>
      </c>
      <c r="AU1332" s="1">
        <v>44354.443240740744</v>
      </c>
      <c r="AV1332" t="s">
        <v>71</v>
      </c>
      <c r="AW1332" t="s">
        <v>72</v>
      </c>
      <c r="AX1332" t="s">
        <v>73</v>
      </c>
    </row>
    <row r="1333" spans="1:50" x14ac:dyDescent="0.3">
      <c r="A1333" t="str">
        <f>"201594B0000"</f>
        <v>201594B0000</v>
      </c>
      <c r="B1333" t="str">
        <f>"201594B00002"</f>
        <v>201594B00002</v>
      </c>
      <c r="C1333" t="str">
        <f t="shared" si="60"/>
        <v>20</v>
      </c>
      <c r="D1333" t="s">
        <v>67</v>
      </c>
      <c r="E1333" t="str">
        <f t="shared" si="62"/>
        <v>006</v>
      </c>
      <c r="F1333" t="s">
        <v>1254</v>
      </c>
      <c r="G1333" t="str">
        <f>"1594"</f>
        <v>1594</v>
      </c>
      <c r="H1333" t="str">
        <f t="shared" ref="H1333:H1340" si="65">"0000"</f>
        <v>0000</v>
      </c>
      <c r="I1333" t="s">
        <v>69</v>
      </c>
      <c r="J1333">
        <v>0</v>
      </c>
      <c r="K1333">
        <v>1</v>
      </c>
      <c r="L1333">
        <v>2</v>
      </c>
      <c r="M1333">
        <v>334</v>
      </c>
      <c r="N1333">
        <v>149</v>
      </c>
      <c r="O1333">
        <v>0</v>
      </c>
      <c r="P1333">
        <v>149</v>
      </c>
      <c r="Q1333">
        <v>15</v>
      </c>
      <c r="R1333">
        <v>22</v>
      </c>
      <c r="S1333">
        <v>3</v>
      </c>
      <c r="T1333">
        <v>5</v>
      </c>
      <c r="U1333">
        <v>11</v>
      </c>
      <c r="V1333">
        <v>4</v>
      </c>
      <c r="W1333">
        <v>1</v>
      </c>
      <c r="X1333">
        <v>77</v>
      </c>
      <c r="Y1333">
        <v>3</v>
      </c>
      <c r="Z1333">
        <v>3</v>
      </c>
      <c r="AA1333">
        <v>1</v>
      </c>
      <c r="AB1333">
        <v>0</v>
      </c>
      <c r="AD1333">
        <v>0</v>
      </c>
      <c r="AE1333">
        <v>0</v>
      </c>
      <c r="AF1333">
        <v>0</v>
      </c>
      <c r="AG1333">
        <v>0</v>
      </c>
      <c r="AI1333">
        <v>0</v>
      </c>
      <c r="AJ1333">
        <v>4</v>
      </c>
      <c r="AK1333">
        <v>149</v>
      </c>
      <c r="AL1333">
        <v>149</v>
      </c>
      <c r="AM1333">
        <v>439</v>
      </c>
      <c r="AN1333">
        <v>44</v>
      </c>
      <c r="AP1333">
        <v>1</v>
      </c>
      <c r="AR1333" t="s">
        <v>1420</v>
      </c>
      <c r="AS1333" s="1">
        <v>44354.083333333336</v>
      </c>
      <c r="AT1333" s="1">
        <v>44354.093124999999</v>
      </c>
      <c r="AU1333" s="1">
        <v>44354.093530092592</v>
      </c>
      <c r="AV1333" t="s">
        <v>71</v>
      </c>
      <c r="AW1333" t="s">
        <v>72</v>
      </c>
      <c r="AX1333" t="s">
        <v>73</v>
      </c>
    </row>
    <row r="1334" spans="1:50" x14ac:dyDescent="0.3">
      <c r="A1334" t="str">
        <f>"201595B0000"</f>
        <v>201595B0000</v>
      </c>
      <c r="B1334" t="str">
        <f>"201595B00002"</f>
        <v>201595B00002</v>
      </c>
      <c r="C1334" t="str">
        <f t="shared" si="60"/>
        <v>20</v>
      </c>
      <c r="D1334" t="s">
        <v>67</v>
      </c>
      <c r="E1334" t="str">
        <f t="shared" si="62"/>
        <v>006</v>
      </c>
      <c r="F1334" t="s">
        <v>1254</v>
      </c>
      <c r="G1334" t="str">
        <f>"1595"</f>
        <v>1595</v>
      </c>
      <c r="H1334" t="str">
        <f t="shared" si="65"/>
        <v>0000</v>
      </c>
      <c r="I1334" t="s">
        <v>69</v>
      </c>
      <c r="J1334">
        <v>0</v>
      </c>
      <c r="K1334">
        <v>1</v>
      </c>
      <c r="L1334">
        <v>2</v>
      </c>
      <c r="M1334">
        <v>99</v>
      </c>
      <c r="N1334">
        <v>87</v>
      </c>
      <c r="O1334">
        <v>1</v>
      </c>
      <c r="P1334">
        <v>87</v>
      </c>
      <c r="Q1334">
        <v>10</v>
      </c>
      <c r="R1334">
        <v>11</v>
      </c>
      <c r="S1334">
        <v>1</v>
      </c>
      <c r="T1334">
        <v>3</v>
      </c>
      <c r="U1334">
        <v>11</v>
      </c>
      <c r="V1334">
        <v>4</v>
      </c>
      <c r="W1334">
        <v>3</v>
      </c>
      <c r="X1334">
        <v>31</v>
      </c>
      <c r="Y1334">
        <v>4</v>
      </c>
      <c r="Z1334">
        <v>0</v>
      </c>
      <c r="AA1334">
        <v>2</v>
      </c>
      <c r="AB1334">
        <v>0</v>
      </c>
      <c r="AD1334" t="s">
        <v>77</v>
      </c>
      <c r="AE1334" t="s">
        <v>77</v>
      </c>
      <c r="AF1334" t="s">
        <v>77</v>
      </c>
      <c r="AG1334" t="s">
        <v>77</v>
      </c>
      <c r="AI1334" t="s">
        <v>77</v>
      </c>
      <c r="AJ1334">
        <v>7</v>
      </c>
      <c r="AK1334">
        <v>87</v>
      </c>
      <c r="AL1334">
        <v>87</v>
      </c>
      <c r="AM1334">
        <v>142</v>
      </c>
      <c r="AN1334">
        <v>44</v>
      </c>
      <c r="AO1334" t="s">
        <v>78</v>
      </c>
      <c r="AP1334">
        <v>1</v>
      </c>
      <c r="AR1334" t="s">
        <v>1421</v>
      </c>
      <c r="AS1334" s="1">
        <v>44354.079861111109</v>
      </c>
      <c r="AT1334" s="1">
        <v>44354.087696759256</v>
      </c>
      <c r="AU1334" s="1">
        <v>44354.088217592594</v>
      </c>
      <c r="AV1334" t="s">
        <v>71</v>
      </c>
      <c r="AW1334" t="s">
        <v>72</v>
      </c>
      <c r="AX1334" t="s">
        <v>73</v>
      </c>
    </row>
    <row r="1335" spans="1:50" x14ac:dyDescent="0.3">
      <c r="A1335" t="str">
        <f>"201596B0000"</f>
        <v>201596B0000</v>
      </c>
      <c r="B1335" t="str">
        <f>"201596B00002"</f>
        <v>201596B00002</v>
      </c>
      <c r="C1335" t="str">
        <f t="shared" si="60"/>
        <v>20</v>
      </c>
      <c r="D1335" t="s">
        <v>67</v>
      </c>
      <c r="E1335" t="str">
        <f t="shared" si="62"/>
        <v>006</v>
      </c>
      <c r="F1335" t="s">
        <v>1254</v>
      </c>
      <c r="G1335" t="str">
        <f>"1596"</f>
        <v>1596</v>
      </c>
      <c r="H1335" t="str">
        <f t="shared" si="65"/>
        <v>0000</v>
      </c>
      <c r="I1335" t="s">
        <v>69</v>
      </c>
      <c r="J1335">
        <v>0</v>
      </c>
      <c r="K1335">
        <v>1</v>
      </c>
      <c r="L1335">
        <v>2</v>
      </c>
      <c r="M1335">
        <v>139</v>
      </c>
      <c r="N1335">
        <v>127</v>
      </c>
      <c r="O1335">
        <v>1</v>
      </c>
      <c r="P1335">
        <v>126</v>
      </c>
      <c r="Q1335">
        <v>1</v>
      </c>
      <c r="R1335">
        <v>29</v>
      </c>
      <c r="S1335">
        <v>3</v>
      </c>
      <c r="T1335">
        <v>2</v>
      </c>
      <c r="U1335">
        <v>3</v>
      </c>
      <c r="V1335">
        <v>0</v>
      </c>
      <c r="W1335">
        <v>0</v>
      </c>
      <c r="X1335">
        <v>71</v>
      </c>
      <c r="Y1335">
        <v>5</v>
      </c>
      <c r="Z1335">
        <v>1</v>
      </c>
      <c r="AA1335">
        <v>0</v>
      </c>
      <c r="AB1335">
        <v>1</v>
      </c>
      <c r="AD1335">
        <v>0</v>
      </c>
      <c r="AE1335">
        <v>0</v>
      </c>
      <c r="AF1335">
        <v>0</v>
      </c>
      <c r="AG1335">
        <v>0</v>
      </c>
      <c r="AI1335">
        <v>0</v>
      </c>
      <c r="AJ1335">
        <v>11</v>
      </c>
      <c r="AK1335">
        <v>127</v>
      </c>
      <c r="AL1335">
        <v>127</v>
      </c>
      <c r="AM1335">
        <v>223</v>
      </c>
      <c r="AN1335">
        <v>44</v>
      </c>
      <c r="AP1335">
        <v>1</v>
      </c>
      <c r="AR1335" t="s">
        <v>1422</v>
      </c>
      <c r="AS1335" s="1">
        <v>44354.103472222225</v>
      </c>
      <c r="AT1335" s="1">
        <v>44354.107106481482</v>
      </c>
      <c r="AU1335" s="1">
        <v>44354.107847222222</v>
      </c>
      <c r="AV1335" t="s">
        <v>71</v>
      </c>
      <c r="AW1335" t="s">
        <v>72</v>
      </c>
      <c r="AX1335" t="s">
        <v>73</v>
      </c>
    </row>
    <row r="1336" spans="1:50" x14ac:dyDescent="0.3">
      <c r="A1336" t="str">
        <f>"201597B0000"</f>
        <v>201597B0000</v>
      </c>
      <c r="B1336" t="str">
        <f>"201597B00002"</f>
        <v>201597B00002</v>
      </c>
      <c r="C1336" t="str">
        <f t="shared" si="60"/>
        <v>20</v>
      </c>
      <c r="D1336" t="s">
        <v>67</v>
      </c>
      <c r="E1336" t="str">
        <f t="shared" si="62"/>
        <v>006</v>
      </c>
      <c r="F1336" t="s">
        <v>1254</v>
      </c>
      <c r="G1336" t="str">
        <f>"1597"</f>
        <v>1597</v>
      </c>
      <c r="H1336" t="str">
        <f t="shared" si="65"/>
        <v>0000</v>
      </c>
      <c r="I1336" t="s">
        <v>69</v>
      </c>
      <c r="J1336">
        <v>0</v>
      </c>
      <c r="K1336">
        <v>1</v>
      </c>
      <c r="L1336">
        <v>2</v>
      </c>
      <c r="M1336">
        <v>85</v>
      </c>
      <c r="N1336">
        <v>75</v>
      </c>
      <c r="O1336">
        <v>4</v>
      </c>
      <c r="P1336">
        <v>75</v>
      </c>
      <c r="Q1336">
        <v>1</v>
      </c>
      <c r="R1336">
        <v>14</v>
      </c>
      <c r="S1336">
        <v>0</v>
      </c>
      <c r="T1336">
        <v>2</v>
      </c>
      <c r="U1336">
        <v>8</v>
      </c>
      <c r="V1336">
        <v>1</v>
      </c>
      <c r="W1336">
        <v>1</v>
      </c>
      <c r="X1336">
        <v>42</v>
      </c>
      <c r="Y1336">
        <v>0</v>
      </c>
      <c r="Z1336">
        <v>3</v>
      </c>
      <c r="AA1336">
        <v>1</v>
      </c>
      <c r="AB1336">
        <v>1</v>
      </c>
      <c r="AD1336" t="s">
        <v>77</v>
      </c>
      <c r="AE1336" t="s">
        <v>77</v>
      </c>
      <c r="AF1336" t="s">
        <v>77</v>
      </c>
      <c r="AG1336" t="s">
        <v>77</v>
      </c>
      <c r="AI1336" t="s">
        <v>77</v>
      </c>
      <c r="AJ1336">
        <v>1</v>
      </c>
      <c r="AK1336">
        <v>75</v>
      </c>
      <c r="AL1336">
        <v>75</v>
      </c>
      <c r="AM1336">
        <v>116</v>
      </c>
      <c r="AN1336">
        <v>44</v>
      </c>
      <c r="AO1336" t="s">
        <v>78</v>
      </c>
      <c r="AP1336">
        <v>1</v>
      </c>
      <c r="AR1336" t="s">
        <v>1423</v>
      </c>
      <c r="AS1336" s="1">
        <v>44354.024305555555</v>
      </c>
      <c r="AT1336" s="1">
        <v>44354.031215277777</v>
      </c>
      <c r="AU1336" s="1">
        <v>44354.031666666669</v>
      </c>
      <c r="AV1336" t="s">
        <v>71</v>
      </c>
      <c r="AW1336" t="s">
        <v>72</v>
      </c>
      <c r="AX1336" t="s">
        <v>73</v>
      </c>
    </row>
    <row r="1337" spans="1:50" x14ac:dyDescent="0.3">
      <c r="A1337" t="str">
        <f>"201598B0000"</f>
        <v>201598B0000</v>
      </c>
      <c r="B1337" t="str">
        <f>"201598B00002"</f>
        <v>201598B00002</v>
      </c>
      <c r="C1337" t="str">
        <f t="shared" si="60"/>
        <v>20</v>
      </c>
      <c r="D1337" t="s">
        <v>67</v>
      </c>
      <c r="E1337" t="str">
        <f t="shared" si="62"/>
        <v>006</v>
      </c>
      <c r="F1337" t="s">
        <v>1254</v>
      </c>
      <c r="G1337" t="str">
        <f>"1598"</f>
        <v>1598</v>
      </c>
      <c r="H1337" t="str">
        <f t="shared" si="65"/>
        <v>0000</v>
      </c>
      <c r="I1337" t="s">
        <v>69</v>
      </c>
      <c r="J1337">
        <v>0</v>
      </c>
      <c r="K1337">
        <v>1</v>
      </c>
      <c r="L1337">
        <v>2</v>
      </c>
      <c r="M1337">
        <v>116</v>
      </c>
      <c r="N1337">
        <v>100</v>
      </c>
      <c r="O1337">
        <v>0</v>
      </c>
      <c r="P1337">
        <v>100</v>
      </c>
      <c r="Q1337">
        <v>5</v>
      </c>
      <c r="R1337">
        <v>6</v>
      </c>
      <c r="S1337">
        <v>2</v>
      </c>
      <c r="T1337">
        <v>2</v>
      </c>
      <c r="U1337">
        <v>17</v>
      </c>
      <c r="V1337">
        <v>1</v>
      </c>
      <c r="W1337">
        <v>0</v>
      </c>
      <c r="X1337">
        <v>57</v>
      </c>
      <c r="Y1337">
        <v>3</v>
      </c>
      <c r="Z1337">
        <v>5</v>
      </c>
      <c r="AA1337">
        <v>1</v>
      </c>
      <c r="AB1337">
        <v>0</v>
      </c>
      <c r="AD1337">
        <v>0</v>
      </c>
      <c r="AE1337">
        <v>0</v>
      </c>
      <c r="AF1337">
        <v>0</v>
      </c>
      <c r="AG1337">
        <v>0</v>
      </c>
      <c r="AI1337">
        <v>0</v>
      </c>
      <c r="AJ1337">
        <v>1</v>
      </c>
      <c r="AK1337">
        <v>100</v>
      </c>
      <c r="AL1337">
        <v>100</v>
      </c>
      <c r="AM1337">
        <v>172</v>
      </c>
      <c r="AN1337">
        <v>44</v>
      </c>
      <c r="AP1337">
        <v>1</v>
      </c>
      <c r="AR1337" t="s">
        <v>1424</v>
      </c>
      <c r="AS1337" s="1">
        <v>44354.027083333334</v>
      </c>
      <c r="AT1337" s="1">
        <v>44354.036273148151</v>
      </c>
      <c r="AU1337" s="1">
        <v>44354.036782407406</v>
      </c>
      <c r="AV1337" t="s">
        <v>71</v>
      </c>
      <c r="AW1337" t="s">
        <v>72</v>
      </c>
      <c r="AX1337" t="s">
        <v>73</v>
      </c>
    </row>
    <row r="1338" spans="1:50" x14ac:dyDescent="0.3">
      <c r="A1338" t="str">
        <f>"201599B0000"</f>
        <v>201599B0000</v>
      </c>
      <c r="B1338" t="str">
        <f>"201599B00002"</f>
        <v>201599B00002</v>
      </c>
      <c r="C1338" t="str">
        <f t="shared" si="60"/>
        <v>20</v>
      </c>
      <c r="D1338" t="s">
        <v>67</v>
      </c>
      <c r="E1338" t="str">
        <f t="shared" si="62"/>
        <v>006</v>
      </c>
      <c r="F1338" t="s">
        <v>1254</v>
      </c>
      <c r="G1338" t="str">
        <f>"1599"</f>
        <v>1599</v>
      </c>
      <c r="H1338" t="str">
        <f t="shared" si="65"/>
        <v>0000</v>
      </c>
      <c r="I1338" t="s">
        <v>69</v>
      </c>
      <c r="J1338">
        <v>0</v>
      </c>
      <c r="K1338">
        <v>1</v>
      </c>
      <c r="L1338">
        <v>2</v>
      </c>
      <c r="M1338">
        <v>89</v>
      </c>
      <c r="N1338">
        <v>51</v>
      </c>
      <c r="O1338">
        <v>0</v>
      </c>
      <c r="P1338">
        <v>51</v>
      </c>
      <c r="Q1338">
        <v>3</v>
      </c>
      <c r="R1338">
        <v>8</v>
      </c>
      <c r="S1338">
        <v>1</v>
      </c>
      <c r="T1338">
        <v>0</v>
      </c>
      <c r="U1338">
        <v>3</v>
      </c>
      <c r="V1338">
        <v>0</v>
      </c>
      <c r="W1338">
        <v>0</v>
      </c>
      <c r="X1338">
        <v>30</v>
      </c>
      <c r="Y1338">
        <v>2</v>
      </c>
      <c r="Z1338">
        <v>0</v>
      </c>
      <c r="AA1338">
        <v>0</v>
      </c>
      <c r="AB1338">
        <v>1</v>
      </c>
      <c r="AD1338">
        <v>0</v>
      </c>
      <c r="AE1338">
        <v>0</v>
      </c>
      <c r="AF1338">
        <v>0</v>
      </c>
      <c r="AG1338">
        <v>1</v>
      </c>
      <c r="AI1338">
        <v>0</v>
      </c>
      <c r="AJ1338">
        <v>2</v>
      </c>
      <c r="AK1338">
        <v>51</v>
      </c>
      <c r="AL1338">
        <v>51</v>
      </c>
      <c r="AM1338">
        <v>96</v>
      </c>
      <c r="AN1338">
        <v>44</v>
      </c>
      <c r="AP1338">
        <v>1</v>
      </c>
      <c r="AR1338" t="s">
        <v>1425</v>
      </c>
      <c r="AS1338" s="1">
        <v>44354.052777777775</v>
      </c>
      <c r="AT1338" s="1">
        <v>44354.060428240744</v>
      </c>
      <c r="AU1338" s="1">
        <v>44354.060937499999</v>
      </c>
      <c r="AV1338" t="s">
        <v>71</v>
      </c>
      <c r="AW1338" t="s">
        <v>72</v>
      </c>
      <c r="AX1338" t="s">
        <v>73</v>
      </c>
    </row>
    <row r="1339" spans="1:50" x14ac:dyDescent="0.3">
      <c r="A1339" t="str">
        <f>"201600B0000"</f>
        <v>201600B0000</v>
      </c>
      <c r="B1339" t="str">
        <f>"201600B00002"</f>
        <v>201600B00002</v>
      </c>
      <c r="C1339" t="str">
        <f t="shared" si="60"/>
        <v>20</v>
      </c>
      <c r="D1339" t="s">
        <v>67</v>
      </c>
      <c r="E1339" t="str">
        <f t="shared" si="62"/>
        <v>006</v>
      </c>
      <c r="F1339" t="s">
        <v>1254</v>
      </c>
      <c r="G1339" t="str">
        <f>"1600"</f>
        <v>1600</v>
      </c>
      <c r="H1339" t="str">
        <f t="shared" si="65"/>
        <v>0000</v>
      </c>
      <c r="I1339" t="s">
        <v>69</v>
      </c>
      <c r="J1339">
        <v>0</v>
      </c>
      <c r="K1339">
        <v>1</v>
      </c>
      <c r="L1339">
        <v>2</v>
      </c>
      <c r="M1339">
        <v>203</v>
      </c>
      <c r="N1339">
        <v>96</v>
      </c>
      <c r="O1339" t="s">
        <v>80</v>
      </c>
      <c r="P1339">
        <v>96</v>
      </c>
      <c r="Q1339">
        <v>3</v>
      </c>
      <c r="R1339">
        <v>19</v>
      </c>
      <c r="S1339">
        <v>7</v>
      </c>
      <c r="T1339">
        <v>2</v>
      </c>
      <c r="U1339">
        <v>7</v>
      </c>
      <c r="V1339">
        <v>1</v>
      </c>
      <c r="W1339">
        <v>1</v>
      </c>
      <c r="X1339">
        <v>43</v>
      </c>
      <c r="Y1339">
        <v>6</v>
      </c>
      <c r="Z1339">
        <v>4</v>
      </c>
      <c r="AA1339">
        <v>1</v>
      </c>
      <c r="AB1339" t="s">
        <v>77</v>
      </c>
      <c r="AD1339" t="s">
        <v>77</v>
      </c>
      <c r="AE1339" t="s">
        <v>77</v>
      </c>
      <c r="AF1339" t="s">
        <v>77</v>
      </c>
      <c r="AG1339" t="s">
        <v>77</v>
      </c>
      <c r="AI1339" t="s">
        <v>77</v>
      </c>
      <c r="AJ1339">
        <v>2</v>
      </c>
      <c r="AK1339">
        <v>96</v>
      </c>
      <c r="AL1339">
        <v>96</v>
      </c>
      <c r="AM1339">
        <v>255</v>
      </c>
      <c r="AN1339">
        <v>44</v>
      </c>
      <c r="AO1339" t="s">
        <v>78</v>
      </c>
      <c r="AP1339">
        <v>1</v>
      </c>
      <c r="AR1339" t="s">
        <v>1426</v>
      </c>
      <c r="AS1339" s="1">
        <v>44354.054166666669</v>
      </c>
      <c r="AT1339" s="1">
        <v>44354.06046296296</v>
      </c>
      <c r="AU1339" s="1">
        <v>44354.061041666668</v>
      </c>
      <c r="AV1339" t="s">
        <v>71</v>
      </c>
      <c r="AW1339" t="s">
        <v>72</v>
      </c>
      <c r="AX1339" t="s">
        <v>73</v>
      </c>
    </row>
    <row r="1340" spans="1:50" x14ac:dyDescent="0.3">
      <c r="A1340" t="str">
        <f>"201636B0000"</f>
        <v>201636B0000</v>
      </c>
      <c r="B1340" t="str">
        <f>"201636B00002"</f>
        <v>201636B00002</v>
      </c>
      <c r="C1340" t="str">
        <f t="shared" si="60"/>
        <v>20</v>
      </c>
      <c r="D1340" t="s">
        <v>67</v>
      </c>
      <c r="E1340" t="str">
        <f t="shared" si="62"/>
        <v>006</v>
      </c>
      <c r="F1340" t="s">
        <v>1254</v>
      </c>
      <c r="G1340" t="str">
        <f>"1636"</f>
        <v>1636</v>
      </c>
      <c r="H1340" t="str">
        <f t="shared" si="65"/>
        <v>0000</v>
      </c>
      <c r="I1340" t="s">
        <v>69</v>
      </c>
      <c r="J1340">
        <v>0</v>
      </c>
      <c r="K1340">
        <v>1</v>
      </c>
      <c r="L1340">
        <v>2</v>
      </c>
      <c r="M1340">
        <v>470</v>
      </c>
      <c r="N1340">
        <v>249</v>
      </c>
      <c r="O1340">
        <v>0</v>
      </c>
      <c r="P1340">
        <v>249</v>
      </c>
      <c r="Q1340">
        <v>0</v>
      </c>
      <c r="R1340">
        <v>125</v>
      </c>
      <c r="S1340">
        <v>19</v>
      </c>
      <c r="T1340">
        <v>3</v>
      </c>
      <c r="U1340">
        <v>1</v>
      </c>
      <c r="V1340">
        <v>3</v>
      </c>
      <c r="W1340">
        <v>2</v>
      </c>
      <c r="X1340">
        <v>62</v>
      </c>
      <c r="Y1340">
        <v>1</v>
      </c>
      <c r="Z1340">
        <v>4</v>
      </c>
      <c r="AA1340">
        <v>2</v>
      </c>
      <c r="AB1340">
        <v>0</v>
      </c>
      <c r="AD1340">
        <v>1</v>
      </c>
      <c r="AE1340">
        <v>3</v>
      </c>
      <c r="AF1340">
        <v>0</v>
      </c>
      <c r="AG1340">
        <v>0</v>
      </c>
      <c r="AI1340">
        <v>0</v>
      </c>
      <c r="AJ1340">
        <v>23</v>
      </c>
      <c r="AK1340">
        <v>249</v>
      </c>
      <c r="AL1340">
        <v>249</v>
      </c>
      <c r="AM1340">
        <v>675</v>
      </c>
      <c r="AN1340">
        <v>44</v>
      </c>
      <c r="AP1340">
        <v>1</v>
      </c>
      <c r="AR1340" t="s">
        <v>1427</v>
      </c>
      <c r="AS1340" s="1">
        <v>44354.288194444445</v>
      </c>
      <c r="AT1340" s="1">
        <v>44354.291087962964</v>
      </c>
      <c r="AU1340" s="1">
        <v>44354.29179398148</v>
      </c>
      <c r="AV1340" t="s">
        <v>71</v>
      </c>
      <c r="AW1340" t="s">
        <v>72</v>
      </c>
      <c r="AX1340" t="s">
        <v>73</v>
      </c>
    </row>
    <row r="1341" spans="1:50" x14ac:dyDescent="0.3">
      <c r="A1341" t="str">
        <f>"201636C0100"</f>
        <v>201636C0100</v>
      </c>
      <c r="B1341" t="str">
        <f>"201636C01002"</f>
        <v>201636C01002</v>
      </c>
      <c r="C1341" t="str">
        <f t="shared" si="60"/>
        <v>20</v>
      </c>
      <c r="D1341" t="s">
        <v>67</v>
      </c>
      <c r="E1341" t="str">
        <f t="shared" si="62"/>
        <v>006</v>
      </c>
      <c r="F1341" t="s">
        <v>1254</v>
      </c>
      <c r="G1341" t="str">
        <f>"1636"</f>
        <v>1636</v>
      </c>
      <c r="H1341" t="str">
        <f>"0001"</f>
        <v>0001</v>
      </c>
      <c r="I1341" t="s">
        <v>75</v>
      </c>
      <c r="J1341">
        <v>0</v>
      </c>
      <c r="K1341">
        <v>1</v>
      </c>
      <c r="L1341">
        <v>2</v>
      </c>
      <c r="M1341">
        <v>450</v>
      </c>
      <c r="N1341">
        <v>719</v>
      </c>
      <c r="O1341" t="s">
        <v>99</v>
      </c>
      <c r="P1341">
        <v>269</v>
      </c>
      <c r="Q1341">
        <v>1</v>
      </c>
      <c r="R1341">
        <v>114</v>
      </c>
      <c r="S1341">
        <v>18</v>
      </c>
      <c r="T1341">
        <v>6</v>
      </c>
      <c r="U1341">
        <v>7</v>
      </c>
      <c r="V1341">
        <v>2</v>
      </c>
      <c r="W1341">
        <v>5</v>
      </c>
      <c r="X1341">
        <v>90</v>
      </c>
      <c r="Y1341">
        <v>2</v>
      </c>
      <c r="Z1341">
        <v>3</v>
      </c>
      <c r="AA1341">
        <v>4</v>
      </c>
      <c r="AB1341">
        <v>0</v>
      </c>
      <c r="AD1341">
        <v>0</v>
      </c>
      <c r="AE1341">
        <v>0</v>
      </c>
      <c r="AF1341">
        <v>0</v>
      </c>
      <c r="AG1341">
        <v>1</v>
      </c>
      <c r="AI1341">
        <v>0</v>
      </c>
      <c r="AJ1341" t="s">
        <v>99</v>
      </c>
      <c r="AK1341" t="s">
        <v>99</v>
      </c>
      <c r="AL1341">
        <v>253</v>
      </c>
      <c r="AM1341">
        <v>675</v>
      </c>
      <c r="AN1341">
        <v>44</v>
      </c>
      <c r="AO1341" t="s">
        <v>78</v>
      </c>
      <c r="AP1341">
        <v>1</v>
      </c>
      <c r="AR1341" t="s">
        <v>1428</v>
      </c>
      <c r="AS1341" s="1">
        <v>44354.286111111112</v>
      </c>
      <c r="AT1341" s="1">
        <v>44354.289768518516</v>
      </c>
      <c r="AU1341" s="1">
        <v>44354.29179398148</v>
      </c>
      <c r="AV1341" t="s">
        <v>71</v>
      </c>
      <c r="AW1341" t="s">
        <v>72</v>
      </c>
      <c r="AX1341" t="s">
        <v>73</v>
      </c>
    </row>
    <row r="1342" spans="1:50" x14ac:dyDescent="0.3">
      <c r="A1342" t="str">
        <f>"201636C0200"</f>
        <v>201636C0200</v>
      </c>
      <c r="B1342" t="str">
        <f>"201636C02002"</f>
        <v>201636C02002</v>
      </c>
      <c r="C1342" t="str">
        <f t="shared" si="60"/>
        <v>20</v>
      </c>
      <c r="D1342" t="s">
        <v>67</v>
      </c>
      <c r="E1342" t="str">
        <f t="shared" si="62"/>
        <v>006</v>
      </c>
      <c r="F1342" t="s">
        <v>1254</v>
      </c>
      <c r="G1342" t="str">
        <f>"1636"</f>
        <v>1636</v>
      </c>
      <c r="H1342" t="str">
        <f>"0002"</f>
        <v>0002</v>
      </c>
      <c r="I1342" t="s">
        <v>75</v>
      </c>
      <c r="J1342">
        <v>0</v>
      </c>
      <c r="K1342">
        <v>1</v>
      </c>
      <c r="L1342">
        <v>2</v>
      </c>
      <c r="M1342">
        <v>463</v>
      </c>
      <c r="N1342">
        <v>256</v>
      </c>
      <c r="O1342">
        <v>0</v>
      </c>
      <c r="P1342">
        <v>256</v>
      </c>
      <c r="Q1342">
        <v>2</v>
      </c>
      <c r="R1342">
        <v>103</v>
      </c>
      <c r="S1342">
        <v>26</v>
      </c>
      <c r="T1342">
        <v>4</v>
      </c>
      <c r="U1342">
        <v>7</v>
      </c>
      <c r="V1342">
        <v>1</v>
      </c>
      <c r="W1342">
        <v>2</v>
      </c>
      <c r="X1342">
        <v>74</v>
      </c>
      <c r="Y1342">
        <v>0</v>
      </c>
      <c r="Z1342">
        <v>2</v>
      </c>
      <c r="AA1342">
        <v>4</v>
      </c>
      <c r="AB1342">
        <v>2</v>
      </c>
      <c r="AD1342" t="s">
        <v>77</v>
      </c>
      <c r="AE1342">
        <v>3</v>
      </c>
      <c r="AF1342" t="s">
        <v>77</v>
      </c>
      <c r="AG1342" t="s">
        <v>77</v>
      </c>
      <c r="AI1342" t="s">
        <v>77</v>
      </c>
      <c r="AJ1342">
        <v>26</v>
      </c>
      <c r="AK1342">
        <v>256</v>
      </c>
      <c r="AL1342">
        <v>256</v>
      </c>
      <c r="AM1342">
        <v>675</v>
      </c>
      <c r="AN1342">
        <v>44</v>
      </c>
      <c r="AO1342" t="s">
        <v>78</v>
      </c>
      <c r="AP1342">
        <v>1</v>
      </c>
      <c r="AR1342" t="s">
        <v>1429</v>
      </c>
      <c r="AS1342" s="1">
        <v>44354.286805555559</v>
      </c>
      <c r="AT1342" s="1">
        <v>44354.289456018516</v>
      </c>
      <c r="AU1342" s="1">
        <v>44354.289861111109</v>
      </c>
      <c r="AV1342" t="s">
        <v>71</v>
      </c>
      <c r="AW1342" t="s">
        <v>72</v>
      </c>
      <c r="AX1342" t="s">
        <v>73</v>
      </c>
    </row>
    <row r="1343" spans="1:50" x14ac:dyDescent="0.3">
      <c r="A1343" t="str">
        <f>"201636C0300"</f>
        <v>201636C0300</v>
      </c>
      <c r="B1343" t="str">
        <f>"201636C03002"</f>
        <v>201636C03002</v>
      </c>
      <c r="C1343" t="str">
        <f t="shared" si="60"/>
        <v>20</v>
      </c>
      <c r="D1343" t="s">
        <v>67</v>
      </c>
      <c r="E1343" t="str">
        <f t="shared" si="62"/>
        <v>006</v>
      </c>
      <c r="F1343" t="s">
        <v>1254</v>
      </c>
      <c r="G1343" t="str">
        <f>"1636"</f>
        <v>1636</v>
      </c>
      <c r="H1343" t="str">
        <f>"0003"</f>
        <v>0003</v>
      </c>
      <c r="I1343" t="s">
        <v>75</v>
      </c>
      <c r="J1343">
        <v>0</v>
      </c>
      <c r="K1343">
        <v>1</v>
      </c>
      <c r="L1343">
        <v>2</v>
      </c>
      <c r="M1343">
        <v>513</v>
      </c>
      <c r="N1343">
        <v>205</v>
      </c>
      <c r="O1343">
        <v>1</v>
      </c>
      <c r="P1343">
        <v>205</v>
      </c>
      <c r="Q1343">
        <v>1</v>
      </c>
      <c r="R1343">
        <v>97</v>
      </c>
      <c r="S1343">
        <v>11</v>
      </c>
      <c r="T1343">
        <v>3</v>
      </c>
      <c r="U1343">
        <v>13</v>
      </c>
      <c r="V1343">
        <v>3</v>
      </c>
      <c r="W1343">
        <v>2</v>
      </c>
      <c r="X1343">
        <v>49</v>
      </c>
      <c r="Y1343">
        <v>0</v>
      </c>
      <c r="Z1343">
        <v>1</v>
      </c>
      <c r="AA1343">
        <v>2</v>
      </c>
      <c r="AB1343">
        <v>1</v>
      </c>
      <c r="AD1343">
        <v>0</v>
      </c>
      <c r="AE1343">
        <v>0</v>
      </c>
      <c r="AF1343">
        <v>0</v>
      </c>
      <c r="AG1343">
        <v>0</v>
      </c>
      <c r="AI1343">
        <v>0</v>
      </c>
      <c r="AJ1343">
        <v>22</v>
      </c>
      <c r="AK1343">
        <v>205</v>
      </c>
      <c r="AL1343">
        <v>205</v>
      </c>
      <c r="AM1343">
        <v>674</v>
      </c>
      <c r="AN1343">
        <v>44</v>
      </c>
      <c r="AP1343">
        <v>1</v>
      </c>
      <c r="AR1343" t="s">
        <v>1430</v>
      </c>
      <c r="AS1343" s="1">
        <v>44354.284722222219</v>
      </c>
      <c r="AT1343" s="1">
        <v>44354.287685185183</v>
      </c>
      <c r="AU1343" s="1">
        <v>44354.288298611114</v>
      </c>
      <c r="AV1343" t="s">
        <v>71</v>
      </c>
      <c r="AW1343" t="s">
        <v>72</v>
      </c>
      <c r="AX1343" t="s">
        <v>73</v>
      </c>
    </row>
    <row r="1344" spans="1:50" x14ac:dyDescent="0.3">
      <c r="A1344" t="str">
        <f>"201683B0000"</f>
        <v>201683B0000</v>
      </c>
      <c r="B1344" t="str">
        <f>"201683B00002"</f>
        <v>201683B00002</v>
      </c>
      <c r="C1344" t="str">
        <f t="shared" si="60"/>
        <v>20</v>
      </c>
      <c r="D1344" t="s">
        <v>67</v>
      </c>
      <c r="E1344" t="str">
        <f t="shared" si="62"/>
        <v>006</v>
      </c>
      <c r="F1344" t="s">
        <v>1254</v>
      </c>
      <c r="G1344" t="str">
        <f>"1683"</f>
        <v>1683</v>
      </c>
      <c r="H1344" t="str">
        <f>"0000"</f>
        <v>0000</v>
      </c>
      <c r="I1344" t="s">
        <v>69</v>
      </c>
      <c r="J1344">
        <v>0</v>
      </c>
      <c r="K1344">
        <v>1</v>
      </c>
      <c r="L1344">
        <v>2</v>
      </c>
      <c r="M1344">
        <v>248</v>
      </c>
      <c r="N1344">
        <v>149</v>
      </c>
      <c r="O1344">
        <v>1</v>
      </c>
      <c r="P1344">
        <v>149</v>
      </c>
      <c r="Q1344">
        <v>9</v>
      </c>
      <c r="R1344">
        <v>23</v>
      </c>
      <c r="S1344">
        <v>2</v>
      </c>
      <c r="T1344">
        <v>12</v>
      </c>
      <c r="U1344">
        <v>2</v>
      </c>
      <c r="V1344">
        <v>2</v>
      </c>
      <c r="W1344">
        <v>0</v>
      </c>
      <c r="X1344">
        <v>82</v>
      </c>
      <c r="Y1344">
        <v>4</v>
      </c>
      <c r="Z1344">
        <v>5</v>
      </c>
      <c r="AA1344">
        <v>1</v>
      </c>
      <c r="AB1344">
        <v>0</v>
      </c>
      <c r="AD1344">
        <v>1</v>
      </c>
      <c r="AE1344">
        <v>0</v>
      </c>
      <c r="AF1344">
        <v>0</v>
      </c>
      <c r="AG1344">
        <v>0</v>
      </c>
      <c r="AI1344">
        <v>0</v>
      </c>
      <c r="AJ1344">
        <v>6</v>
      </c>
      <c r="AK1344">
        <v>149</v>
      </c>
      <c r="AL1344">
        <v>149</v>
      </c>
      <c r="AM1344">
        <v>353</v>
      </c>
      <c r="AN1344">
        <v>44</v>
      </c>
      <c r="AP1344">
        <v>1</v>
      </c>
      <c r="AR1344" t="s">
        <v>1431</v>
      </c>
      <c r="AS1344" s="1">
        <v>44353.874224537038</v>
      </c>
      <c r="AT1344" s="1">
        <v>44353.876284722224</v>
      </c>
      <c r="AU1344" s="1">
        <v>44353.876863425925</v>
      </c>
      <c r="AV1344" t="s">
        <v>269</v>
      </c>
      <c r="AW1344" t="s">
        <v>270</v>
      </c>
      <c r="AX1344" t="s">
        <v>73</v>
      </c>
    </row>
    <row r="1345" spans="1:50" x14ac:dyDescent="0.3">
      <c r="A1345" t="str">
        <f>"201690B0000"</f>
        <v>201690B0000</v>
      </c>
      <c r="B1345" t="str">
        <f>"201690B00002"</f>
        <v>201690B00002</v>
      </c>
      <c r="C1345" t="str">
        <f t="shared" si="60"/>
        <v>20</v>
      </c>
      <c r="D1345" t="s">
        <v>67</v>
      </c>
      <c r="E1345" t="str">
        <f t="shared" si="62"/>
        <v>006</v>
      </c>
      <c r="F1345" t="s">
        <v>1254</v>
      </c>
      <c r="G1345" t="str">
        <f>"1690"</f>
        <v>1690</v>
      </c>
      <c r="H1345" t="str">
        <f>"0000"</f>
        <v>0000</v>
      </c>
      <c r="I1345" t="s">
        <v>69</v>
      </c>
      <c r="J1345">
        <v>0</v>
      </c>
      <c r="K1345">
        <v>1</v>
      </c>
      <c r="L1345">
        <v>2</v>
      </c>
      <c r="M1345">
        <v>208</v>
      </c>
      <c r="N1345">
        <v>140</v>
      </c>
      <c r="O1345">
        <v>0</v>
      </c>
      <c r="P1345">
        <v>140</v>
      </c>
      <c r="Q1345">
        <v>0</v>
      </c>
      <c r="R1345">
        <v>74</v>
      </c>
      <c r="S1345">
        <v>4</v>
      </c>
      <c r="T1345">
        <v>7</v>
      </c>
      <c r="U1345">
        <v>0</v>
      </c>
      <c r="V1345">
        <v>0</v>
      </c>
      <c r="W1345">
        <v>0</v>
      </c>
      <c r="X1345">
        <v>40</v>
      </c>
      <c r="Y1345">
        <v>1</v>
      </c>
      <c r="Z1345">
        <v>2</v>
      </c>
      <c r="AA1345">
        <v>2</v>
      </c>
      <c r="AB1345">
        <v>4</v>
      </c>
      <c r="AD1345">
        <v>0</v>
      </c>
      <c r="AE1345">
        <v>0</v>
      </c>
      <c r="AF1345">
        <v>0</v>
      </c>
      <c r="AG1345">
        <v>0</v>
      </c>
      <c r="AI1345">
        <v>0</v>
      </c>
      <c r="AJ1345">
        <v>6</v>
      </c>
      <c r="AK1345">
        <v>140</v>
      </c>
      <c r="AL1345">
        <v>140</v>
      </c>
      <c r="AM1345">
        <v>304</v>
      </c>
      <c r="AN1345">
        <v>44</v>
      </c>
      <c r="AP1345">
        <v>1</v>
      </c>
      <c r="AR1345" t="s">
        <v>1432</v>
      </c>
      <c r="AS1345" s="1">
        <v>44354.421527777777</v>
      </c>
      <c r="AT1345" s="1">
        <v>44354.425682870373</v>
      </c>
      <c r="AU1345" s="1">
        <v>44354.426041666666</v>
      </c>
      <c r="AV1345" t="s">
        <v>71</v>
      </c>
      <c r="AW1345" t="s">
        <v>72</v>
      </c>
      <c r="AX1345" t="s">
        <v>347</v>
      </c>
    </row>
    <row r="1346" spans="1:50" x14ac:dyDescent="0.3">
      <c r="A1346" t="str">
        <f>"201704B0000"</f>
        <v>201704B0000</v>
      </c>
      <c r="B1346" t="str">
        <f>"201704B00002"</f>
        <v>201704B00002</v>
      </c>
      <c r="C1346" t="str">
        <f t="shared" si="60"/>
        <v>20</v>
      </c>
      <c r="D1346" t="s">
        <v>67</v>
      </c>
      <c r="E1346" t="str">
        <f t="shared" si="62"/>
        <v>006</v>
      </c>
      <c r="F1346" t="s">
        <v>1254</v>
      </c>
      <c r="G1346" t="str">
        <f>"1704"</f>
        <v>1704</v>
      </c>
      <c r="H1346" t="str">
        <f>"0000"</f>
        <v>0000</v>
      </c>
      <c r="I1346" t="s">
        <v>69</v>
      </c>
      <c r="J1346">
        <v>0</v>
      </c>
      <c r="K1346">
        <v>1</v>
      </c>
      <c r="L1346">
        <v>2</v>
      </c>
      <c r="M1346">
        <v>189</v>
      </c>
      <c r="N1346">
        <v>334</v>
      </c>
      <c r="O1346">
        <v>6</v>
      </c>
      <c r="P1346">
        <v>334</v>
      </c>
      <c r="Q1346">
        <v>13</v>
      </c>
      <c r="R1346">
        <v>8</v>
      </c>
      <c r="S1346">
        <v>33</v>
      </c>
      <c r="T1346">
        <v>33</v>
      </c>
      <c r="U1346">
        <v>4</v>
      </c>
      <c r="V1346">
        <v>60</v>
      </c>
      <c r="W1346">
        <v>1</v>
      </c>
      <c r="X1346">
        <v>102</v>
      </c>
      <c r="Y1346">
        <v>0</v>
      </c>
      <c r="Z1346">
        <v>32</v>
      </c>
      <c r="AA1346">
        <v>2</v>
      </c>
      <c r="AB1346">
        <v>35</v>
      </c>
      <c r="AD1346">
        <v>1</v>
      </c>
      <c r="AE1346">
        <v>0</v>
      </c>
      <c r="AF1346">
        <v>0</v>
      </c>
      <c r="AG1346">
        <v>0</v>
      </c>
      <c r="AI1346">
        <v>0</v>
      </c>
      <c r="AJ1346">
        <v>10</v>
      </c>
      <c r="AK1346">
        <v>334</v>
      </c>
      <c r="AL1346">
        <v>334</v>
      </c>
      <c r="AM1346">
        <v>479</v>
      </c>
      <c r="AN1346">
        <v>44</v>
      </c>
      <c r="AP1346">
        <v>1</v>
      </c>
      <c r="AR1346" t="s">
        <v>1433</v>
      </c>
      <c r="AS1346" s="1">
        <v>44354.469444444447</v>
      </c>
      <c r="AT1346" s="1">
        <v>44354.472870370373</v>
      </c>
      <c r="AU1346" s="1">
        <v>44354.473726851851</v>
      </c>
      <c r="AV1346" t="s">
        <v>71</v>
      </c>
      <c r="AW1346" t="s">
        <v>72</v>
      </c>
      <c r="AX1346" t="s">
        <v>73</v>
      </c>
    </row>
    <row r="1347" spans="1:50" x14ac:dyDescent="0.3">
      <c r="A1347" t="str">
        <f>"201704C0100"</f>
        <v>201704C0100</v>
      </c>
      <c r="B1347" t="str">
        <f>"201704C01002"</f>
        <v>201704C01002</v>
      </c>
      <c r="C1347" t="str">
        <f t="shared" si="60"/>
        <v>20</v>
      </c>
      <c r="D1347" t="s">
        <v>67</v>
      </c>
      <c r="E1347" t="str">
        <f t="shared" si="62"/>
        <v>006</v>
      </c>
      <c r="F1347" t="s">
        <v>1254</v>
      </c>
      <c r="G1347" t="str">
        <f>"1704"</f>
        <v>1704</v>
      </c>
      <c r="H1347" t="str">
        <f>"0001"</f>
        <v>0001</v>
      </c>
      <c r="I1347" t="s">
        <v>75</v>
      </c>
      <c r="J1347">
        <v>0</v>
      </c>
      <c r="K1347">
        <v>1</v>
      </c>
      <c r="L1347">
        <v>2</v>
      </c>
      <c r="M1347">
        <v>191</v>
      </c>
      <c r="N1347">
        <v>331</v>
      </c>
      <c r="O1347">
        <v>2</v>
      </c>
      <c r="P1347" t="s">
        <v>80</v>
      </c>
      <c r="Q1347">
        <v>7</v>
      </c>
      <c r="R1347">
        <v>10</v>
      </c>
      <c r="S1347">
        <v>25</v>
      </c>
      <c r="T1347">
        <v>23</v>
      </c>
      <c r="U1347">
        <v>6</v>
      </c>
      <c r="V1347">
        <v>79</v>
      </c>
      <c r="W1347">
        <v>5</v>
      </c>
      <c r="X1347">
        <v>90</v>
      </c>
      <c r="Y1347">
        <v>2</v>
      </c>
      <c r="Z1347">
        <v>35</v>
      </c>
      <c r="AA1347">
        <v>1</v>
      </c>
      <c r="AB1347">
        <v>27</v>
      </c>
      <c r="AD1347">
        <v>1</v>
      </c>
      <c r="AE1347">
        <v>1</v>
      </c>
      <c r="AF1347">
        <v>0</v>
      </c>
      <c r="AG1347">
        <v>0</v>
      </c>
      <c r="AI1347">
        <v>0</v>
      </c>
      <c r="AJ1347">
        <v>19</v>
      </c>
      <c r="AK1347">
        <v>331</v>
      </c>
      <c r="AL1347">
        <v>331</v>
      </c>
      <c r="AM1347">
        <v>478</v>
      </c>
      <c r="AN1347">
        <v>44</v>
      </c>
      <c r="AP1347">
        <v>1</v>
      </c>
      <c r="AR1347" s="2" t="s">
        <v>1434</v>
      </c>
      <c r="AS1347" s="1">
        <v>44354.466666666667</v>
      </c>
      <c r="AT1347" s="1">
        <v>44354.469409722224</v>
      </c>
      <c r="AU1347" s="1">
        <v>44354.469942129632</v>
      </c>
      <c r="AV1347" t="s">
        <v>71</v>
      </c>
      <c r="AW1347" t="s">
        <v>72</v>
      </c>
      <c r="AX1347" t="s">
        <v>73</v>
      </c>
    </row>
    <row r="1348" spans="1:50" x14ac:dyDescent="0.3">
      <c r="A1348" t="str">
        <f>"201705B0000"</f>
        <v>201705B0000</v>
      </c>
      <c r="B1348" t="str">
        <f>"201705B00002"</f>
        <v>201705B00002</v>
      </c>
      <c r="C1348" t="str">
        <f t="shared" si="60"/>
        <v>20</v>
      </c>
      <c r="D1348" t="s">
        <v>67</v>
      </c>
      <c r="E1348" t="str">
        <f t="shared" si="62"/>
        <v>006</v>
      </c>
      <c r="F1348" t="s">
        <v>1254</v>
      </c>
      <c r="G1348" t="str">
        <f>"1705"</f>
        <v>1705</v>
      </c>
      <c r="H1348" t="str">
        <f>"0000"</f>
        <v>0000</v>
      </c>
      <c r="I1348" t="s">
        <v>69</v>
      </c>
      <c r="J1348">
        <v>0</v>
      </c>
      <c r="K1348">
        <v>1</v>
      </c>
      <c r="L1348">
        <v>2</v>
      </c>
      <c r="M1348">
        <v>187</v>
      </c>
      <c r="N1348">
        <v>248</v>
      </c>
      <c r="O1348">
        <v>0</v>
      </c>
      <c r="P1348">
        <v>248</v>
      </c>
      <c r="Q1348">
        <v>2</v>
      </c>
      <c r="R1348">
        <v>15</v>
      </c>
      <c r="S1348">
        <v>9</v>
      </c>
      <c r="T1348">
        <v>29</v>
      </c>
      <c r="U1348">
        <v>2</v>
      </c>
      <c r="V1348">
        <v>54</v>
      </c>
      <c r="W1348">
        <v>2</v>
      </c>
      <c r="X1348">
        <v>69</v>
      </c>
      <c r="Y1348">
        <v>1</v>
      </c>
      <c r="Z1348">
        <v>43</v>
      </c>
      <c r="AA1348">
        <v>1</v>
      </c>
      <c r="AB1348">
        <v>12</v>
      </c>
      <c r="AD1348">
        <v>0</v>
      </c>
      <c r="AE1348">
        <v>0</v>
      </c>
      <c r="AF1348">
        <v>0</v>
      </c>
      <c r="AG1348">
        <v>0</v>
      </c>
      <c r="AI1348">
        <v>0</v>
      </c>
      <c r="AJ1348">
        <v>9</v>
      </c>
      <c r="AK1348">
        <v>248</v>
      </c>
      <c r="AL1348">
        <v>248</v>
      </c>
      <c r="AM1348">
        <v>391</v>
      </c>
      <c r="AN1348">
        <v>44</v>
      </c>
      <c r="AP1348">
        <v>1</v>
      </c>
      <c r="AR1348" t="s">
        <v>1435</v>
      </c>
      <c r="AS1348" s="1">
        <v>44354.447916666664</v>
      </c>
      <c r="AT1348" s="1">
        <v>44354.451342592591</v>
      </c>
      <c r="AU1348" s="1">
        <v>44354.451655092591</v>
      </c>
      <c r="AV1348" t="s">
        <v>71</v>
      </c>
      <c r="AW1348" t="s">
        <v>72</v>
      </c>
      <c r="AX1348" t="s">
        <v>73</v>
      </c>
    </row>
    <row r="1349" spans="1:50" x14ac:dyDescent="0.3">
      <c r="A1349" t="str">
        <f>"201705C0100"</f>
        <v>201705C0100</v>
      </c>
      <c r="B1349" t="str">
        <f>"201705C01002"</f>
        <v>201705C01002</v>
      </c>
      <c r="C1349" t="str">
        <f t="shared" si="60"/>
        <v>20</v>
      </c>
      <c r="D1349" t="s">
        <v>67</v>
      </c>
      <c r="E1349" t="str">
        <f t="shared" si="62"/>
        <v>006</v>
      </c>
      <c r="F1349" t="s">
        <v>1254</v>
      </c>
      <c r="G1349" t="str">
        <f>"1705"</f>
        <v>1705</v>
      </c>
      <c r="H1349" t="str">
        <f>"0001"</f>
        <v>0001</v>
      </c>
      <c r="I1349" t="s">
        <v>75</v>
      </c>
      <c r="J1349">
        <v>0</v>
      </c>
      <c r="K1349">
        <v>1</v>
      </c>
      <c r="L1349">
        <v>2</v>
      </c>
      <c r="M1349">
        <v>157</v>
      </c>
      <c r="N1349">
        <v>278</v>
      </c>
      <c r="O1349">
        <v>1</v>
      </c>
      <c r="P1349">
        <v>278</v>
      </c>
      <c r="Q1349">
        <v>7</v>
      </c>
      <c r="R1349">
        <v>9</v>
      </c>
      <c r="S1349">
        <v>15</v>
      </c>
      <c r="T1349">
        <v>27</v>
      </c>
      <c r="U1349">
        <v>5</v>
      </c>
      <c r="V1349">
        <v>83</v>
      </c>
      <c r="W1349">
        <v>0</v>
      </c>
      <c r="X1349">
        <v>64</v>
      </c>
      <c r="Y1349">
        <v>0</v>
      </c>
      <c r="Z1349">
        <v>44</v>
      </c>
      <c r="AA1349">
        <v>0</v>
      </c>
      <c r="AB1349">
        <v>14</v>
      </c>
      <c r="AD1349">
        <v>0</v>
      </c>
      <c r="AE1349">
        <v>0</v>
      </c>
      <c r="AF1349">
        <v>0</v>
      </c>
      <c r="AG1349">
        <v>0</v>
      </c>
      <c r="AI1349">
        <v>0</v>
      </c>
      <c r="AJ1349">
        <v>10</v>
      </c>
      <c r="AK1349">
        <v>278</v>
      </c>
      <c r="AL1349">
        <v>278</v>
      </c>
      <c r="AM1349">
        <v>391</v>
      </c>
      <c r="AN1349">
        <v>44</v>
      </c>
      <c r="AP1349">
        <v>1</v>
      </c>
      <c r="AR1349" t="s">
        <v>1436</v>
      </c>
      <c r="AS1349" s="1">
        <v>44354.450694444444</v>
      </c>
      <c r="AT1349" s="1">
        <v>44354.453576388885</v>
      </c>
      <c r="AU1349" s="1">
        <v>44354.454270833332</v>
      </c>
      <c r="AV1349" t="s">
        <v>71</v>
      </c>
      <c r="AW1349" t="s">
        <v>72</v>
      </c>
      <c r="AX1349" t="s">
        <v>73</v>
      </c>
    </row>
    <row r="1350" spans="1:50" x14ac:dyDescent="0.3">
      <c r="A1350" t="str">
        <f>"201706B0000"</f>
        <v>201706B0000</v>
      </c>
      <c r="B1350" t="str">
        <f>"201706B00002"</f>
        <v>201706B00002</v>
      </c>
      <c r="C1350" t="str">
        <f t="shared" si="60"/>
        <v>20</v>
      </c>
      <c r="D1350" t="s">
        <v>67</v>
      </c>
      <c r="E1350" t="str">
        <f t="shared" si="62"/>
        <v>006</v>
      </c>
      <c r="F1350" t="s">
        <v>1254</v>
      </c>
      <c r="G1350" t="str">
        <f>"1706"</f>
        <v>1706</v>
      </c>
      <c r="H1350" t="str">
        <f>"0000"</f>
        <v>0000</v>
      </c>
      <c r="I1350" t="s">
        <v>69</v>
      </c>
      <c r="J1350">
        <v>0</v>
      </c>
      <c r="K1350">
        <v>1</v>
      </c>
      <c r="L1350">
        <v>2</v>
      </c>
      <c r="M1350">
        <v>215</v>
      </c>
      <c r="N1350">
        <v>217</v>
      </c>
      <c r="O1350">
        <v>2</v>
      </c>
      <c r="P1350">
        <v>217</v>
      </c>
      <c r="Q1350">
        <v>4</v>
      </c>
      <c r="R1350">
        <v>16</v>
      </c>
      <c r="S1350">
        <v>3</v>
      </c>
      <c r="T1350">
        <v>24</v>
      </c>
      <c r="U1350">
        <v>6</v>
      </c>
      <c r="V1350">
        <v>43</v>
      </c>
      <c r="W1350">
        <v>0</v>
      </c>
      <c r="X1350">
        <v>100</v>
      </c>
      <c r="Y1350">
        <v>0</v>
      </c>
      <c r="Z1350">
        <v>13</v>
      </c>
      <c r="AA1350">
        <v>0</v>
      </c>
      <c r="AB1350">
        <v>3</v>
      </c>
      <c r="AD1350">
        <v>0</v>
      </c>
      <c r="AE1350">
        <v>0</v>
      </c>
      <c r="AF1350">
        <v>0</v>
      </c>
      <c r="AG1350">
        <v>0</v>
      </c>
      <c r="AI1350">
        <v>0</v>
      </c>
      <c r="AJ1350">
        <v>5</v>
      </c>
      <c r="AK1350">
        <v>217</v>
      </c>
      <c r="AL1350">
        <v>217</v>
      </c>
      <c r="AM1350">
        <v>388</v>
      </c>
      <c r="AN1350">
        <v>44</v>
      </c>
      <c r="AP1350">
        <v>1</v>
      </c>
      <c r="AR1350" t="s">
        <v>1437</v>
      </c>
      <c r="AS1350" s="1">
        <v>44354.450694444444</v>
      </c>
      <c r="AT1350" s="1">
        <v>44354.451736111114</v>
      </c>
      <c r="AU1350" s="1">
        <v>44354.452372685184</v>
      </c>
      <c r="AV1350" t="s">
        <v>71</v>
      </c>
      <c r="AW1350" t="s">
        <v>72</v>
      </c>
      <c r="AX1350" t="s">
        <v>347</v>
      </c>
    </row>
    <row r="1351" spans="1:50" x14ac:dyDescent="0.3">
      <c r="A1351" t="str">
        <f>"201787B0000"</f>
        <v>201787B0000</v>
      </c>
      <c r="B1351" t="str">
        <f>"201787B00002"</f>
        <v>201787B00002</v>
      </c>
      <c r="C1351" t="str">
        <f t="shared" ref="C1351:C1414" si="66">"20"</f>
        <v>20</v>
      </c>
      <c r="D1351" t="s">
        <v>67</v>
      </c>
      <c r="E1351" t="str">
        <f t="shared" si="62"/>
        <v>006</v>
      </c>
      <c r="F1351" t="s">
        <v>1254</v>
      </c>
      <c r="G1351" t="str">
        <f>"1787"</f>
        <v>1787</v>
      </c>
      <c r="H1351" t="str">
        <f>"0000"</f>
        <v>0000</v>
      </c>
      <c r="I1351" t="s">
        <v>69</v>
      </c>
      <c r="J1351">
        <v>0</v>
      </c>
      <c r="K1351">
        <v>1</v>
      </c>
      <c r="L1351">
        <v>2</v>
      </c>
      <c r="M1351">
        <v>509</v>
      </c>
      <c r="N1351">
        <v>217</v>
      </c>
      <c r="O1351">
        <v>2</v>
      </c>
      <c r="P1351">
        <v>217</v>
      </c>
      <c r="Q1351">
        <v>8</v>
      </c>
      <c r="R1351">
        <v>81</v>
      </c>
      <c r="S1351">
        <v>5</v>
      </c>
      <c r="T1351">
        <v>1</v>
      </c>
      <c r="U1351">
        <v>2</v>
      </c>
      <c r="V1351">
        <v>9</v>
      </c>
      <c r="W1351">
        <v>2</v>
      </c>
      <c r="X1351">
        <v>98</v>
      </c>
      <c r="Y1351">
        <v>2</v>
      </c>
      <c r="Z1351">
        <v>2</v>
      </c>
      <c r="AA1351">
        <v>2</v>
      </c>
      <c r="AB1351">
        <v>0</v>
      </c>
      <c r="AD1351">
        <v>0</v>
      </c>
      <c r="AE1351">
        <v>1</v>
      </c>
      <c r="AF1351">
        <v>0</v>
      </c>
      <c r="AG1351">
        <v>0</v>
      </c>
      <c r="AI1351">
        <v>0</v>
      </c>
      <c r="AJ1351">
        <v>4</v>
      </c>
      <c r="AK1351" t="s">
        <v>77</v>
      </c>
      <c r="AL1351">
        <v>217</v>
      </c>
      <c r="AM1351">
        <v>683</v>
      </c>
      <c r="AN1351">
        <v>44</v>
      </c>
      <c r="AP1351">
        <v>1</v>
      </c>
      <c r="AR1351" t="s">
        <v>1438</v>
      </c>
      <c r="AS1351" s="1">
        <v>44354.175694444442</v>
      </c>
      <c r="AT1351" s="1">
        <v>44354.177685185183</v>
      </c>
      <c r="AU1351" s="1">
        <v>44354.178217592591</v>
      </c>
      <c r="AV1351" t="s">
        <v>71</v>
      </c>
      <c r="AW1351" t="s">
        <v>72</v>
      </c>
      <c r="AX1351" t="s">
        <v>73</v>
      </c>
    </row>
    <row r="1352" spans="1:50" x14ac:dyDescent="0.3">
      <c r="A1352" t="str">
        <f>"201788B0000"</f>
        <v>201788B0000</v>
      </c>
      <c r="B1352" t="str">
        <f>"201788B00002"</f>
        <v>201788B00002</v>
      </c>
      <c r="C1352" t="str">
        <f t="shared" si="66"/>
        <v>20</v>
      </c>
      <c r="D1352" t="s">
        <v>67</v>
      </c>
      <c r="E1352" t="str">
        <f t="shared" si="62"/>
        <v>006</v>
      </c>
      <c r="F1352" t="s">
        <v>1254</v>
      </c>
      <c r="G1352" t="str">
        <f>"1788"</f>
        <v>1788</v>
      </c>
      <c r="H1352" t="str">
        <f>"0000"</f>
        <v>0000</v>
      </c>
      <c r="I1352" t="s">
        <v>69</v>
      </c>
      <c r="J1352">
        <v>0</v>
      </c>
      <c r="K1352">
        <v>1</v>
      </c>
      <c r="L1352">
        <v>2</v>
      </c>
      <c r="AM1352">
        <v>695</v>
      </c>
      <c r="AN1352">
        <v>44</v>
      </c>
      <c r="AO1352" t="s">
        <v>352</v>
      </c>
      <c r="AP1352">
        <v>0</v>
      </c>
      <c r="AR1352" t="s">
        <v>1439</v>
      </c>
      <c r="AS1352" s="1">
        <v>44354.686111111114</v>
      </c>
      <c r="AT1352" s="1">
        <v>44354.688611111109</v>
      </c>
      <c r="AU1352" s="1">
        <v>44354.688611111109</v>
      </c>
      <c r="AV1352" t="s">
        <v>71</v>
      </c>
      <c r="AW1352" t="s">
        <v>72</v>
      </c>
      <c r="AX1352" t="s">
        <v>73</v>
      </c>
    </row>
    <row r="1353" spans="1:50" x14ac:dyDescent="0.3">
      <c r="A1353" t="str">
        <f>"201971B0000"</f>
        <v>201971B0000</v>
      </c>
      <c r="B1353" t="str">
        <f>"201971B00002"</f>
        <v>201971B00002</v>
      </c>
      <c r="C1353" t="str">
        <f t="shared" si="66"/>
        <v>20</v>
      </c>
      <c r="D1353" t="s">
        <v>67</v>
      </c>
      <c r="E1353" t="str">
        <f t="shared" si="62"/>
        <v>006</v>
      </c>
      <c r="F1353" t="s">
        <v>1254</v>
      </c>
      <c r="G1353" t="str">
        <f>"1971"</f>
        <v>1971</v>
      </c>
      <c r="H1353" t="str">
        <f>"0000"</f>
        <v>0000</v>
      </c>
      <c r="I1353" t="s">
        <v>69</v>
      </c>
      <c r="J1353">
        <v>0</v>
      </c>
      <c r="K1353">
        <v>1</v>
      </c>
      <c r="L1353">
        <v>2</v>
      </c>
      <c r="M1353">
        <v>335</v>
      </c>
      <c r="N1353">
        <v>389</v>
      </c>
      <c r="O1353">
        <v>0</v>
      </c>
      <c r="P1353">
        <v>390</v>
      </c>
      <c r="Q1353">
        <v>133</v>
      </c>
      <c r="R1353">
        <v>138</v>
      </c>
      <c r="S1353">
        <v>0</v>
      </c>
      <c r="T1353">
        <v>2</v>
      </c>
      <c r="U1353">
        <v>1</v>
      </c>
      <c r="V1353">
        <v>3</v>
      </c>
      <c r="W1353">
        <v>3</v>
      </c>
      <c r="X1353">
        <v>82</v>
      </c>
      <c r="Y1353">
        <v>7</v>
      </c>
      <c r="Z1353">
        <v>4</v>
      </c>
      <c r="AA1353">
        <v>1</v>
      </c>
      <c r="AB1353">
        <v>2</v>
      </c>
      <c r="AD1353">
        <v>0</v>
      </c>
      <c r="AE1353">
        <v>1</v>
      </c>
      <c r="AF1353">
        <v>0</v>
      </c>
      <c r="AG1353">
        <v>0</v>
      </c>
      <c r="AI1353">
        <v>0</v>
      </c>
      <c r="AJ1353">
        <v>13</v>
      </c>
      <c r="AK1353">
        <v>390</v>
      </c>
      <c r="AL1353">
        <v>390</v>
      </c>
      <c r="AM1353">
        <v>680</v>
      </c>
      <c r="AN1353">
        <v>44</v>
      </c>
      <c r="AP1353">
        <v>1</v>
      </c>
      <c r="AR1353" t="s">
        <v>1440</v>
      </c>
      <c r="AS1353" s="1">
        <v>44354.184027777781</v>
      </c>
      <c r="AT1353" s="1">
        <v>44354.186921296299</v>
      </c>
      <c r="AU1353" s="1">
        <v>44354.1874537037</v>
      </c>
      <c r="AV1353" t="s">
        <v>71</v>
      </c>
      <c r="AW1353" t="s">
        <v>72</v>
      </c>
      <c r="AX1353" t="s">
        <v>73</v>
      </c>
    </row>
    <row r="1354" spans="1:50" x14ac:dyDescent="0.3">
      <c r="A1354" t="str">
        <f>"201971C0100"</f>
        <v>201971C0100</v>
      </c>
      <c r="B1354" t="str">
        <f>"201971C01002"</f>
        <v>201971C01002</v>
      </c>
      <c r="C1354" t="str">
        <f t="shared" si="66"/>
        <v>20</v>
      </c>
      <c r="D1354" t="s">
        <v>67</v>
      </c>
      <c r="E1354" t="str">
        <f t="shared" si="62"/>
        <v>006</v>
      </c>
      <c r="F1354" t="s">
        <v>1254</v>
      </c>
      <c r="G1354" t="str">
        <f>"1971"</f>
        <v>1971</v>
      </c>
      <c r="H1354" t="str">
        <f>"0001"</f>
        <v>0001</v>
      </c>
      <c r="I1354" t="s">
        <v>75</v>
      </c>
      <c r="J1354">
        <v>0</v>
      </c>
      <c r="K1354">
        <v>1</v>
      </c>
      <c r="L1354">
        <v>2</v>
      </c>
      <c r="M1354">
        <v>299</v>
      </c>
      <c r="N1354">
        <v>424</v>
      </c>
      <c r="O1354">
        <v>0</v>
      </c>
      <c r="P1354">
        <v>422</v>
      </c>
      <c r="Q1354">
        <v>194</v>
      </c>
      <c r="R1354">
        <v>123</v>
      </c>
      <c r="S1354">
        <v>2</v>
      </c>
      <c r="T1354">
        <v>14</v>
      </c>
      <c r="U1354">
        <v>4</v>
      </c>
      <c r="V1354">
        <v>1</v>
      </c>
      <c r="W1354">
        <v>1</v>
      </c>
      <c r="X1354">
        <v>58</v>
      </c>
      <c r="Y1354">
        <v>0</v>
      </c>
      <c r="Z1354">
        <v>1</v>
      </c>
      <c r="AA1354">
        <v>2</v>
      </c>
      <c r="AB1354">
        <v>0</v>
      </c>
      <c r="AD1354">
        <v>2</v>
      </c>
      <c r="AE1354">
        <v>0</v>
      </c>
      <c r="AF1354">
        <v>0</v>
      </c>
      <c r="AG1354">
        <v>0</v>
      </c>
      <c r="AI1354">
        <v>0</v>
      </c>
      <c r="AJ1354">
        <v>20</v>
      </c>
      <c r="AK1354">
        <v>422</v>
      </c>
      <c r="AL1354">
        <v>422</v>
      </c>
      <c r="AM1354">
        <v>679</v>
      </c>
      <c r="AN1354">
        <v>44</v>
      </c>
      <c r="AP1354">
        <v>1</v>
      </c>
      <c r="AR1354" t="s">
        <v>1441</v>
      </c>
      <c r="AS1354" s="1">
        <v>44354.177083333336</v>
      </c>
      <c r="AT1354" s="1">
        <v>44354.193194444444</v>
      </c>
      <c r="AU1354" s="1">
        <v>44354.194178240738</v>
      </c>
      <c r="AV1354" t="s">
        <v>71</v>
      </c>
      <c r="AW1354" t="s">
        <v>72</v>
      </c>
      <c r="AX1354" t="s">
        <v>73</v>
      </c>
    </row>
    <row r="1355" spans="1:50" x14ac:dyDescent="0.3">
      <c r="A1355" t="str">
        <f>"201971E0100"</f>
        <v>201971E0100</v>
      </c>
      <c r="B1355" t="str">
        <f>"201971E01002"</f>
        <v>201971E01002</v>
      </c>
      <c r="C1355" t="str">
        <f t="shared" si="66"/>
        <v>20</v>
      </c>
      <c r="D1355" t="s">
        <v>67</v>
      </c>
      <c r="E1355" t="str">
        <f t="shared" si="62"/>
        <v>006</v>
      </c>
      <c r="F1355" t="s">
        <v>1254</v>
      </c>
      <c r="G1355" t="str">
        <f>"1971"</f>
        <v>1971</v>
      </c>
      <c r="H1355" t="str">
        <f>"0001"</f>
        <v>0001</v>
      </c>
      <c r="I1355" t="s">
        <v>109</v>
      </c>
      <c r="J1355">
        <v>0</v>
      </c>
      <c r="K1355">
        <v>1</v>
      </c>
      <c r="L1355">
        <v>2</v>
      </c>
      <c r="M1355">
        <v>79</v>
      </c>
      <c r="N1355">
        <v>88</v>
      </c>
      <c r="O1355">
        <v>5</v>
      </c>
      <c r="P1355">
        <v>88</v>
      </c>
      <c r="Q1355">
        <v>35</v>
      </c>
      <c r="R1355">
        <v>15</v>
      </c>
      <c r="S1355">
        <v>1</v>
      </c>
      <c r="T1355">
        <v>1</v>
      </c>
      <c r="U1355">
        <v>0</v>
      </c>
      <c r="V1355">
        <v>0</v>
      </c>
      <c r="W1355">
        <v>1</v>
      </c>
      <c r="X1355">
        <v>29</v>
      </c>
      <c r="Y1355">
        <v>0</v>
      </c>
      <c r="Z1355">
        <v>2</v>
      </c>
      <c r="AA1355">
        <v>0</v>
      </c>
      <c r="AB1355">
        <v>0</v>
      </c>
      <c r="AD1355">
        <v>0</v>
      </c>
      <c r="AE1355">
        <v>0</v>
      </c>
      <c r="AF1355">
        <v>0</v>
      </c>
      <c r="AG1355">
        <v>0</v>
      </c>
      <c r="AI1355">
        <v>0</v>
      </c>
      <c r="AJ1355">
        <v>4</v>
      </c>
      <c r="AK1355">
        <v>88</v>
      </c>
      <c r="AL1355">
        <v>88</v>
      </c>
      <c r="AM1355">
        <v>123</v>
      </c>
      <c r="AN1355">
        <v>44</v>
      </c>
      <c r="AP1355">
        <v>1</v>
      </c>
      <c r="AR1355" s="2" t="s">
        <v>1442</v>
      </c>
      <c r="AS1355" s="1">
        <v>44354.188194444447</v>
      </c>
      <c r="AT1355" s="1">
        <v>44354.192800925928</v>
      </c>
      <c r="AU1355" s="1">
        <v>44354.193553240744</v>
      </c>
      <c r="AV1355" t="s">
        <v>71</v>
      </c>
      <c r="AW1355" t="s">
        <v>72</v>
      </c>
      <c r="AX1355" t="s">
        <v>73</v>
      </c>
    </row>
    <row r="1356" spans="1:50" x14ac:dyDescent="0.3">
      <c r="A1356" t="str">
        <f>"201972B0000"</f>
        <v>201972B0000</v>
      </c>
      <c r="B1356" t="str">
        <f>"201972B00002"</f>
        <v>201972B00002</v>
      </c>
      <c r="C1356" t="str">
        <f t="shared" si="66"/>
        <v>20</v>
      </c>
      <c r="D1356" t="s">
        <v>67</v>
      </c>
      <c r="E1356" t="str">
        <f t="shared" si="62"/>
        <v>006</v>
      </c>
      <c r="F1356" t="s">
        <v>1254</v>
      </c>
      <c r="G1356" t="str">
        <f>"1972"</f>
        <v>1972</v>
      </c>
      <c r="H1356" t="str">
        <f>"0000"</f>
        <v>0000</v>
      </c>
      <c r="I1356" t="s">
        <v>69</v>
      </c>
      <c r="J1356">
        <v>0</v>
      </c>
      <c r="K1356">
        <v>1</v>
      </c>
      <c r="L1356">
        <v>2</v>
      </c>
      <c r="AM1356">
        <v>532</v>
      </c>
      <c r="AN1356">
        <v>44</v>
      </c>
      <c r="AO1356" t="s">
        <v>352</v>
      </c>
      <c r="AP1356">
        <v>0</v>
      </c>
      <c r="AR1356" t="s">
        <v>1443</v>
      </c>
      <c r="AS1356" s="1">
        <v>44354.446527777778</v>
      </c>
      <c r="AT1356" s="1">
        <v>44354.466793981483</v>
      </c>
      <c r="AU1356" s="1">
        <v>44354.466793981483</v>
      </c>
      <c r="AV1356" t="s">
        <v>71</v>
      </c>
      <c r="AW1356" t="s">
        <v>72</v>
      </c>
      <c r="AX1356" t="s">
        <v>73</v>
      </c>
    </row>
    <row r="1357" spans="1:50" x14ac:dyDescent="0.3">
      <c r="A1357" t="str">
        <f>"201978B0000"</f>
        <v>201978B0000</v>
      </c>
      <c r="B1357" t="str">
        <f>"201978B00002"</f>
        <v>201978B00002</v>
      </c>
      <c r="C1357" t="str">
        <f t="shared" si="66"/>
        <v>20</v>
      </c>
      <c r="D1357" t="s">
        <v>67</v>
      </c>
      <c r="E1357" t="str">
        <f t="shared" si="62"/>
        <v>006</v>
      </c>
      <c r="F1357" t="s">
        <v>1254</v>
      </c>
      <c r="G1357" t="str">
        <f>"1978"</f>
        <v>1978</v>
      </c>
      <c r="H1357" t="str">
        <f>"0000"</f>
        <v>0000</v>
      </c>
      <c r="I1357" t="s">
        <v>69</v>
      </c>
      <c r="J1357">
        <v>0</v>
      </c>
      <c r="K1357">
        <v>1</v>
      </c>
      <c r="L1357">
        <v>2</v>
      </c>
      <c r="M1357">
        <v>216</v>
      </c>
      <c r="N1357">
        <v>393</v>
      </c>
      <c r="O1357">
        <v>2</v>
      </c>
      <c r="P1357">
        <v>393</v>
      </c>
      <c r="Q1357">
        <v>5</v>
      </c>
      <c r="R1357">
        <v>100</v>
      </c>
      <c r="S1357">
        <v>4</v>
      </c>
      <c r="T1357">
        <v>3</v>
      </c>
      <c r="U1357">
        <v>87</v>
      </c>
      <c r="V1357">
        <v>5</v>
      </c>
      <c r="W1357">
        <v>17</v>
      </c>
      <c r="X1357">
        <v>154</v>
      </c>
      <c r="Y1357">
        <v>1</v>
      </c>
      <c r="Z1357">
        <v>0</v>
      </c>
      <c r="AA1357">
        <v>1</v>
      </c>
      <c r="AB1357">
        <v>2</v>
      </c>
      <c r="AD1357">
        <v>1</v>
      </c>
      <c r="AE1357">
        <v>2</v>
      </c>
      <c r="AF1357">
        <v>0</v>
      </c>
      <c r="AG1357">
        <v>2</v>
      </c>
      <c r="AI1357">
        <v>0</v>
      </c>
      <c r="AJ1357">
        <v>9</v>
      </c>
      <c r="AK1357">
        <v>393</v>
      </c>
      <c r="AL1357">
        <v>393</v>
      </c>
      <c r="AM1357">
        <v>565</v>
      </c>
      <c r="AN1357">
        <v>44</v>
      </c>
      <c r="AP1357">
        <v>1</v>
      </c>
      <c r="AR1357" t="s">
        <v>1444</v>
      </c>
      <c r="AS1357" s="1">
        <v>44354.116666666669</v>
      </c>
      <c r="AT1357" s="1">
        <v>44354.120173611111</v>
      </c>
      <c r="AU1357" s="1">
        <v>44354.120821759258</v>
      </c>
      <c r="AV1357" t="s">
        <v>71</v>
      </c>
      <c r="AW1357" t="s">
        <v>72</v>
      </c>
      <c r="AX1357" t="s">
        <v>73</v>
      </c>
    </row>
    <row r="1358" spans="1:50" x14ac:dyDescent="0.3">
      <c r="A1358" t="str">
        <f>"201978C0100"</f>
        <v>201978C0100</v>
      </c>
      <c r="B1358" t="str">
        <f>"201978C01002"</f>
        <v>201978C01002</v>
      </c>
      <c r="C1358" t="str">
        <f t="shared" si="66"/>
        <v>20</v>
      </c>
      <c r="D1358" t="s">
        <v>67</v>
      </c>
      <c r="E1358" t="str">
        <f t="shared" si="62"/>
        <v>006</v>
      </c>
      <c r="F1358" t="s">
        <v>1254</v>
      </c>
      <c r="G1358" t="str">
        <f>"1978"</f>
        <v>1978</v>
      </c>
      <c r="H1358" t="str">
        <f>"0001"</f>
        <v>0001</v>
      </c>
      <c r="I1358" t="s">
        <v>75</v>
      </c>
      <c r="J1358">
        <v>0</v>
      </c>
      <c r="K1358">
        <v>1</v>
      </c>
      <c r="L1358">
        <v>2</v>
      </c>
      <c r="M1358">
        <v>214</v>
      </c>
      <c r="N1358">
        <v>395</v>
      </c>
      <c r="O1358">
        <v>1</v>
      </c>
      <c r="P1358">
        <v>395</v>
      </c>
      <c r="Q1358">
        <v>6</v>
      </c>
      <c r="R1358">
        <v>119</v>
      </c>
      <c r="S1358">
        <v>2</v>
      </c>
      <c r="T1358">
        <v>10</v>
      </c>
      <c r="U1358">
        <v>67</v>
      </c>
      <c r="V1358">
        <v>7</v>
      </c>
      <c r="W1358">
        <v>15</v>
      </c>
      <c r="X1358">
        <v>144</v>
      </c>
      <c r="Y1358">
        <v>2</v>
      </c>
      <c r="Z1358">
        <v>1</v>
      </c>
      <c r="AA1358">
        <v>0</v>
      </c>
      <c r="AB1358">
        <v>1</v>
      </c>
      <c r="AD1358">
        <v>5</v>
      </c>
      <c r="AE1358">
        <v>1</v>
      </c>
      <c r="AF1358">
        <v>0</v>
      </c>
      <c r="AG1358">
        <v>1</v>
      </c>
      <c r="AI1358">
        <v>1</v>
      </c>
      <c r="AJ1358">
        <v>13</v>
      </c>
      <c r="AK1358">
        <v>395</v>
      </c>
      <c r="AL1358">
        <v>395</v>
      </c>
      <c r="AM1358">
        <v>565</v>
      </c>
      <c r="AN1358">
        <v>44</v>
      </c>
      <c r="AP1358">
        <v>1</v>
      </c>
      <c r="AR1358" t="s">
        <v>1445</v>
      </c>
      <c r="AS1358" s="1">
        <v>44354.095833333333</v>
      </c>
      <c r="AT1358" s="1">
        <v>44354.099270833336</v>
      </c>
      <c r="AU1358" s="1">
        <v>44354.099756944444</v>
      </c>
      <c r="AV1358" t="s">
        <v>71</v>
      </c>
      <c r="AW1358" t="s">
        <v>72</v>
      </c>
      <c r="AX1358" t="s">
        <v>73</v>
      </c>
    </row>
    <row r="1359" spans="1:50" x14ac:dyDescent="0.3">
      <c r="A1359" t="str">
        <f>"201979B0000"</f>
        <v>201979B0000</v>
      </c>
      <c r="B1359" t="str">
        <f>"201979B00002"</f>
        <v>201979B00002</v>
      </c>
      <c r="C1359" t="str">
        <f t="shared" si="66"/>
        <v>20</v>
      </c>
      <c r="D1359" t="s">
        <v>67</v>
      </c>
      <c r="E1359" t="str">
        <f t="shared" si="62"/>
        <v>006</v>
      </c>
      <c r="F1359" t="s">
        <v>1254</v>
      </c>
      <c r="G1359" t="str">
        <f>"1979"</f>
        <v>1979</v>
      </c>
      <c r="H1359" t="str">
        <f t="shared" ref="H1359:H1369" si="67">"0000"</f>
        <v>0000</v>
      </c>
      <c r="I1359" t="s">
        <v>69</v>
      </c>
      <c r="J1359">
        <v>0</v>
      </c>
      <c r="K1359">
        <v>1</v>
      </c>
      <c r="L1359">
        <v>2</v>
      </c>
      <c r="M1359">
        <v>282</v>
      </c>
      <c r="N1359">
        <v>502</v>
      </c>
      <c r="O1359">
        <v>2</v>
      </c>
      <c r="P1359">
        <v>502</v>
      </c>
      <c r="Q1359">
        <v>12</v>
      </c>
      <c r="R1359">
        <v>141</v>
      </c>
      <c r="S1359">
        <v>5</v>
      </c>
      <c r="T1359">
        <v>9</v>
      </c>
      <c r="U1359">
        <v>102</v>
      </c>
      <c r="V1359">
        <v>5</v>
      </c>
      <c r="W1359">
        <v>13</v>
      </c>
      <c r="X1359">
        <v>192</v>
      </c>
      <c r="Y1359">
        <v>2</v>
      </c>
      <c r="Z1359">
        <v>1</v>
      </c>
      <c r="AA1359">
        <v>3</v>
      </c>
      <c r="AB1359">
        <v>2</v>
      </c>
      <c r="AD1359">
        <v>0</v>
      </c>
      <c r="AE1359">
        <v>0</v>
      </c>
      <c r="AF1359">
        <v>0</v>
      </c>
      <c r="AG1359">
        <v>1</v>
      </c>
      <c r="AI1359">
        <v>1</v>
      </c>
      <c r="AJ1359">
        <v>13</v>
      </c>
      <c r="AK1359">
        <v>502</v>
      </c>
      <c r="AL1359">
        <v>502</v>
      </c>
      <c r="AM1359">
        <v>740</v>
      </c>
      <c r="AN1359">
        <v>44</v>
      </c>
      <c r="AP1359">
        <v>1</v>
      </c>
      <c r="AR1359" t="s">
        <v>1446</v>
      </c>
      <c r="AS1359" s="1">
        <v>44354.020879629628</v>
      </c>
      <c r="AT1359" s="1">
        <v>44354.029641203706</v>
      </c>
      <c r="AU1359" s="1">
        <v>44354.030300925922</v>
      </c>
      <c r="AV1359" t="s">
        <v>269</v>
      </c>
      <c r="AW1359" t="s">
        <v>270</v>
      </c>
      <c r="AX1359" t="s">
        <v>73</v>
      </c>
    </row>
    <row r="1360" spans="1:50" x14ac:dyDescent="0.3">
      <c r="A1360" t="str">
        <f>"201980B0000"</f>
        <v>201980B0000</v>
      </c>
      <c r="B1360" t="str">
        <f>"201980B00002"</f>
        <v>201980B00002</v>
      </c>
      <c r="C1360" t="str">
        <f t="shared" si="66"/>
        <v>20</v>
      </c>
      <c r="D1360" t="s">
        <v>67</v>
      </c>
      <c r="E1360" t="str">
        <f t="shared" ref="E1360:E1423" si="68">"006"</f>
        <v>006</v>
      </c>
      <c r="F1360" t="s">
        <v>1254</v>
      </c>
      <c r="G1360" t="str">
        <f>"1980"</f>
        <v>1980</v>
      </c>
      <c r="H1360" t="str">
        <f t="shared" si="67"/>
        <v>0000</v>
      </c>
      <c r="I1360" t="s">
        <v>69</v>
      </c>
      <c r="J1360">
        <v>0</v>
      </c>
      <c r="K1360">
        <v>1</v>
      </c>
      <c r="L1360">
        <v>2</v>
      </c>
      <c r="M1360">
        <v>134</v>
      </c>
      <c r="N1360">
        <v>221</v>
      </c>
      <c r="O1360">
        <v>3</v>
      </c>
      <c r="P1360">
        <v>0</v>
      </c>
      <c r="Q1360">
        <v>0</v>
      </c>
      <c r="R1360">
        <v>31</v>
      </c>
      <c r="S1360">
        <v>0</v>
      </c>
      <c r="T1360">
        <v>2</v>
      </c>
      <c r="U1360">
        <v>104</v>
      </c>
      <c r="V1360">
        <v>2</v>
      </c>
      <c r="W1360">
        <v>28</v>
      </c>
      <c r="X1360">
        <v>46</v>
      </c>
      <c r="Y1360">
        <v>0</v>
      </c>
      <c r="Z1360">
        <v>1</v>
      </c>
      <c r="AA1360">
        <v>0</v>
      </c>
      <c r="AB1360">
        <v>2</v>
      </c>
      <c r="AD1360">
        <v>0</v>
      </c>
      <c r="AE1360">
        <v>0</v>
      </c>
      <c r="AF1360">
        <v>0</v>
      </c>
      <c r="AG1360">
        <v>0</v>
      </c>
      <c r="AI1360">
        <v>0</v>
      </c>
      <c r="AJ1360">
        <v>5</v>
      </c>
      <c r="AK1360">
        <v>221</v>
      </c>
      <c r="AL1360">
        <v>221</v>
      </c>
      <c r="AM1360">
        <v>311</v>
      </c>
      <c r="AN1360">
        <v>44</v>
      </c>
      <c r="AP1360">
        <v>1</v>
      </c>
      <c r="AR1360" t="s">
        <v>1447</v>
      </c>
      <c r="AS1360" s="1">
        <v>44354.186111111114</v>
      </c>
      <c r="AT1360" s="1">
        <v>44354.188831018517</v>
      </c>
      <c r="AU1360" s="1">
        <v>44354.189247685186</v>
      </c>
      <c r="AV1360" t="s">
        <v>71</v>
      </c>
      <c r="AW1360" t="s">
        <v>72</v>
      </c>
      <c r="AX1360" t="s">
        <v>73</v>
      </c>
    </row>
    <row r="1361" spans="1:50" x14ac:dyDescent="0.3">
      <c r="A1361" t="str">
        <f>"201981B0000"</f>
        <v>201981B0000</v>
      </c>
      <c r="B1361" t="str">
        <f>"201981B00002"</f>
        <v>201981B00002</v>
      </c>
      <c r="C1361" t="str">
        <f t="shared" si="66"/>
        <v>20</v>
      </c>
      <c r="D1361" t="s">
        <v>67</v>
      </c>
      <c r="E1361" t="str">
        <f t="shared" si="68"/>
        <v>006</v>
      </c>
      <c r="F1361" t="s">
        <v>1254</v>
      </c>
      <c r="G1361" t="str">
        <f>"1981"</f>
        <v>1981</v>
      </c>
      <c r="H1361" t="str">
        <f t="shared" si="67"/>
        <v>0000</v>
      </c>
      <c r="I1361" t="s">
        <v>69</v>
      </c>
      <c r="J1361">
        <v>0</v>
      </c>
      <c r="K1361">
        <v>1</v>
      </c>
      <c r="L1361">
        <v>2</v>
      </c>
      <c r="M1361">
        <v>108</v>
      </c>
      <c r="N1361">
        <v>135</v>
      </c>
      <c r="O1361">
        <v>2</v>
      </c>
      <c r="P1361">
        <v>135</v>
      </c>
      <c r="Q1361">
        <v>4</v>
      </c>
      <c r="R1361">
        <v>28</v>
      </c>
      <c r="S1361">
        <v>6</v>
      </c>
      <c r="T1361">
        <v>3</v>
      </c>
      <c r="U1361">
        <v>20</v>
      </c>
      <c r="V1361">
        <v>0</v>
      </c>
      <c r="W1361">
        <v>14</v>
      </c>
      <c r="X1361">
        <v>55</v>
      </c>
      <c r="Y1361">
        <v>1</v>
      </c>
      <c r="Z1361">
        <v>0</v>
      </c>
      <c r="AA1361">
        <v>0</v>
      </c>
      <c r="AB1361">
        <v>1</v>
      </c>
      <c r="AD1361">
        <v>0</v>
      </c>
      <c r="AE1361">
        <v>0</v>
      </c>
      <c r="AF1361">
        <v>0</v>
      </c>
      <c r="AG1361">
        <v>0</v>
      </c>
      <c r="AI1361">
        <v>0</v>
      </c>
      <c r="AJ1361">
        <v>3</v>
      </c>
      <c r="AK1361">
        <v>135</v>
      </c>
      <c r="AL1361">
        <v>135</v>
      </c>
      <c r="AM1361">
        <v>199</v>
      </c>
      <c r="AN1361">
        <v>44</v>
      </c>
      <c r="AP1361">
        <v>1</v>
      </c>
      <c r="AR1361" t="s">
        <v>1448</v>
      </c>
      <c r="AS1361" s="1">
        <v>44354.122916666667</v>
      </c>
      <c r="AT1361" s="1">
        <v>44354.125636574077</v>
      </c>
      <c r="AU1361" s="1">
        <v>44354.126689814817</v>
      </c>
      <c r="AV1361" t="s">
        <v>71</v>
      </c>
      <c r="AW1361" t="s">
        <v>72</v>
      </c>
      <c r="AX1361" t="s">
        <v>73</v>
      </c>
    </row>
    <row r="1362" spans="1:50" x14ac:dyDescent="0.3">
      <c r="A1362" t="str">
        <f>"201982B0000"</f>
        <v>201982B0000</v>
      </c>
      <c r="B1362" t="str">
        <f>"201982B00002"</f>
        <v>201982B00002</v>
      </c>
      <c r="C1362" t="str">
        <f t="shared" si="66"/>
        <v>20</v>
      </c>
      <c r="D1362" t="s">
        <v>67</v>
      </c>
      <c r="E1362" t="str">
        <f t="shared" si="68"/>
        <v>006</v>
      </c>
      <c r="F1362" t="s">
        <v>1254</v>
      </c>
      <c r="G1362" t="str">
        <f>"1982"</f>
        <v>1982</v>
      </c>
      <c r="H1362" t="str">
        <f t="shared" si="67"/>
        <v>0000</v>
      </c>
      <c r="I1362" t="s">
        <v>69</v>
      </c>
      <c r="J1362">
        <v>0</v>
      </c>
      <c r="K1362">
        <v>1</v>
      </c>
      <c r="L1362">
        <v>2</v>
      </c>
      <c r="M1362">
        <v>145</v>
      </c>
      <c r="N1362">
        <v>199</v>
      </c>
      <c r="O1362">
        <v>1</v>
      </c>
      <c r="P1362">
        <v>199</v>
      </c>
      <c r="Q1362">
        <v>2</v>
      </c>
      <c r="R1362">
        <v>27</v>
      </c>
      <c r="S1362">
        <v>1</v>
      </c>
      <c r="T1362">
        <v>2</v>
      </c>
      <c r="U1362">
        <v>95</v>
      </c>
      <c r="V1362">
        <v>1</v>
      </c>
      <c r="W1362">
        <v>18</v>
      </c>
      <c r="X1362">
        <v>45</v>
      </c>
      <c r="Y1362">
        <v>0</v>
      </c>
      <c r="Z1362">
        <v>1</v>
      </c>
      <c r="AA1362">
        <v>1</v>
      </c>
      <c r="AB1362">
        <v>1</v>
      </c>
      <c r="AD1362">
        <v>0</v>
      </c>
      <c r="AE1362">
        <v>0</v>
      </c>
      <c r="AF1362">
        <v>0</v>
      </c>
      <c r="AG1362">
        <v>0</v>
      </c>
      <c r="AI1362">
        <v>0</v>
      </c>
      <c r="AJ1362">
        <v>5</v>
      </c>
      <c r="AK1362">
        <v>199</v>
      </c>
      <c r="AL1362">
        <v>199</v>
      </c>
      <c r="AM1362">
        <v>300</v>
      </c>
      <c r="AN1362">
        <v>44</v>
      </c>
      <c r="AP1362">
        <v>1</v>
      </c>
      <c r="AR1362" t="s">
        <v>1449</v>
      </c>
      <c r="AS1362" s="1">
        <v>44354.18472222222</v>
      </c>
      <c r="AT1362" s="1">
        <v>44354.187997685185</v>
      </c>
      <c r="AU1362" s="1">
        <v>44354.188518518517</v>
      </c>
      <c r="AV1362" t="s">
        <v>71</v>
      </c>
      <c r="AW1362" t="s">
        <v>72</v>
      </c>
      <c r="AX1362" t="s">
        <v>73</v>
      </c>
    </row>
    <row r="1363" spans="1:50" x14ac:dyDescent="0.3">
      <c r="A1363" t="str">
        <f>"201983B0000"</f>
        <v>201983B0000</v>
      </c>
      <c r="B1363" t="str">
        <f>"201983B00002"</f>
        <v>201983B00002</v>
      </c>
      <c r="C1363" t="str">
        <f t="shared" si="66"/>
        <v>20</v>
      </c>
      <c r="D1363" t="s">
        <v>67</v>
      </c>
      <c r="E1363" t="str">
        <f t="shared" si="68"/>
        <v>006</v>
      </c>
      <c r="F1363" t="s">
        <v>1254</v>
      </c>
      <c r="G1363" t="str">
        <f>"1983"</f>
        <v>1983</v>
      </c>
      <c r="H1363" t="str">
        <f t="shared" si="67"/>
        <v>0000</v>
      </c>
      <c r="I1363" t="s">
        <v>69</v>
      </c>
      <c r="J1363">
        <v>0</v>
      </c>
      <c r="K1363">
        <v>1</v>
      </c>
      <c r="L1363">
        <v>2</v>
      </c>
      <c r="M1363">
        <v>91</v>
      </c>
      <c r="N1363">
        <v>151</v>
      </c>
      <c r="O1363">
        <v>0</v>
      </c>
      <c r="P1363">
        <v>151</v>
      </c>
      <c r="Q1363">
        <v>4</v>
      </c>
      <c r="R1363">
        <v>31</v>
      </c>
      <c r="S1363">
        <v>3</v>
      </c>
      <c r="T1363">
        <v>2</v>
      </c>
      <c r="U1363">
        <v>27</v>
      </c>
      <c r="V1363">
        <v>9</v>
      </c>
      <c r="W1363">
        <v>6</v>
      </c>
      <c r="X1363">
        <v>64</v>
      </c>
      <c r="Y1363">
        <v>0</v>
      </c>
      <c r="Z1363">
        <v>0</v>
      </c>
      <c r="AA1363">
        <v>0</v>
      </c>
      <c r="AB1363">
        <v>1</v>
      </c>
      <c r="AD1363">
        <v>0</v>
      </c>
      <c r="AE1363">
        <v>0</v>
      </c>
      <c r="AF1363">
        <v>0</v>
      </c>
      <c r="AG1363">
        <v>0</v>
      </c>
      <c r="AI1363">
        <v>0</v>
      </c>
      <c r="AJ1363">
        <v>4</v>
      </c>
      <c r="AK1363">
        <v>151</v>
      </c>
      <c r="AL1363">
        <v>151</v>
      </c>
      <c r="AM1363">
        <v>198</v>
      </c>
      <c r="AN1363">
        <v>44</v>
      </c>
      <c r="AP1363">
        <v>1</v>
      </c>
      <c r="AR1363" t="s">
        <v>1450</v>
      </c>
      <c r="AS1363" s="1">
        <v>44353.87877314815</v>
      </c>
      <c r="AT1363" s="1">
        <v>44354.10800925926</v>
      </c>
      <c r="AU1363" s="1">
        <v>44354.108611111114</v>
      </c>
      <c r="AV1363" t="s">
        <v>269</v>
      </c>
      <c r="AW1363" t="s">
        <v>270</v>
      </c>
      <c r="AX1363" t="s">
        <v>73</v>
      </c>
    </row>
    <row r="1364" spans="1:50" x14ac:dyDescent="0.3">
      <c r="A1364" t="str">
        <f>"201984B0000"</f>
        <v>201984B0000</v>
      </c>
      <c r="B1364" t="str">
        <f>"201984B00002"</f>
        <v>201984B00002</v>
      </c>
      <c r="C1364" t="str">
        <f t="shared" si="66"/>
        <v>20</v>
      </c>
      <c r="D1364" t="s">
        <v>67</v>
      </c>
      <c r="E1364" t="str">
        <f t="shared" si="68"/>
        <v>006</v>
      </c>
      <c r="F1364" t="s">
        <v>1254</v>
      </c>
      <c r="G1364" t="str">
        <f>"1984"</f>
        <v>1984</v>
      </c>
      <c r="H1364" t="str">
        <f t="shared" si="67"/>
        <v>0000</v>
      </c>
      <c r="I1364" t="s">
        <v>69</v>
      </c>
      <c r="J1364">
        <v>0</v>
      </c>
      <c r="K1364">
        <v>1</v>
      </c>
      <c r="L1364">
        <v>2</v>
      </c>
      <c r="M1364">
        <v>63</v>
      </c>
      <c r="N1364">
        <v>91</v>
      </c>
      <c r="O1364">
        <v>3</v>
      </c>
      <c r="P1364">
        <v>91</v>
      </c>
      <c r="Q1364">
        <v>0</v>
      </c>
      <c r="R1364">
        <v>11</v>
      </c>
      <c r="S1364">
        <v>1</v>
      </c>
      <c r="T1364">
        <v>1</v>
      </c>
      <c r="U1364">
        <v>46</v>
      </c>
      <c r="V1364">
        <v>0</v>
      </c>
      <c r="W1364">
        <v>2</v>
      </c>
      <c r="X1364">
        <v>23</v>
      </c>
      <c r="Y1364">
        <v>2</v>
      </c>
      <c r="Z1364">
        <v>0</v>
      </c>
      <c r="AA1364">
        <v>0</v>
      </c>
      <c r="AB1364">
        <v>0</v>
      </c>
      <c r="AD1364">
        <v>0</v>
      </c>
      <c r="AE1364">
        <v>0</v>
      </c>
      <c r="AF1364">
        <v>0</v>
      </c>
      <c r="AG1364">
        <v>0</v>
      </c>
      <c r="AI1364">
        <v>0</v>
      </c>
      <c r="AJ1364">
        <v>5</v>
      </c>
      <c r="AK1364">
        <v>91</v>
      </c>
      <c r="AL1364">
        <v>91</v>
      </c>
      <c r="AM1364">
        <v>110</v>
      </c>
      <c r="AN1364">
        <v>44</v>
      </c>
      <c r="AP1364">
        <v>1</v>
      </c>
      <c r="AR1364" t="s">
        <v>1451</v>
      </c>
      <c r="AS1364" s="1">
        <v>44353.947604166664</v>
      </c>
      <c r="AT1364" s="1">
        <v>44354.107881944445</v>
      </c>
      <c r="AU1364" s="1">
        <v>44354.108530092592</v>
      </c>
      <c r="AV1364" t="s">
        <v>269</v>
      </c>
      <c r="AW1364" t="s">
        <v>270</v>
      </c>
      <c r="AX1364" t="s">
        <v>73</v>
      </c>
    </row>
    <row r="1365" spans="1:50" x14ac:dyDescent="0.3">
      <c r="A1365" t="str">
        <f>"201985B0000"</f>
        <v>201985B0000</v>
      </c>
      <c r="B1365" t="str">
        <f>"201985B00002"</f>
        <v>201985B00002</v>
      </c>
      <c r="C1365" t="str">
        <f t="shared" si="66"/>
        <v>20</v>
      </c>
      <c r="D1365" t="s">
        <v>67</v>
      </c>
      <c r="E1365" t="str">
        <f t="shared" si="68"/>
        <v>006</v>
      </c>
      <c r="F1365" t="s">
        <v>1254</v>
      </c>
      <c r="G1365" t="str">
        <f>"1985"</f>
        <v>1985</v>
      </c>
      <c r="H1365" t="str">
        <f t="shared" si="67"/>
        <v>0000</v>
      </c>
      <c r="I1365" t="s">
        <v>69</v>
      </c>
      <c r="J1365">
        <v>0</v>
      </c>
      <c r="K1365">
        <v>1</v>
      </c>
      <c r="L1365">
        <v>2</v>
      </c>
      <c r="M1365">
        <v>95</v>
      </c>
      <c r="N1365">
        <v>165</v>
      </c>
      <c r="O1365">
        <v>3</v>
      </c>
      <c r="P1365">
        <v>165</v>
      </c>
      <c r="Q1365">
        <v>0</v>
      </c>
      <c r="R1365">
        <v>26</v>
      </c>
      <c r="S1365">
        <v>2</v>
      </c>
      <c r="T1365">
        <v>0</v>
      </c>
      <c r="U1365">
        <v>38</v>
      </c>
      <c r="V1365">
        <v>1</v>
      </c>
      <c r="W1365">
        <v>2</v>
      </c>
      <c r="X1365">
        <v>82</v>
      </c>
      <c r="Y1365">
        <v>1</v>
      </c>
      <c r="Z1365">
        <v>1</v>
      </c>
      <c r="AA1365">
        <v>3</v>
      </c>
      <c r="AB1365">
        <v>0</v>
      </c>
      <c r="AD1365">
        <v>0</v>
      </c>
      <c r="AE1365">
        <v>0</v>
      </c>
      <c r="AF1365">
        <v>0</v>
      </c>
      <c r="AG1365">
        <v>0</v>
      </c>
      <c r="AI1365">
        <v>0</v>
      </c>
      <c r="AJ1365">
        <v>9</v>
      </c>
      <c r="AK1365">
        <v>165</v>
      </c>
      <c r="AL1365">
        <v>165</v>
      </c>
      <c r="AM1365">
        <v>216</v>
      </c>
      <c r="AN1365">
        <v>44</v>
      </c>
      <c r="AP1365">
        <v>1</v>
      </c>
      <c r="AR1365" t="s">
        <v>1452</v>
      </c>
      <c r="AS1365" s="1">
        <v>44353.916273148148</v>
      </c>
      <c r="AT1365" s="1">
        <v>44354.107627314814</v>
      </c>
      <c r="AU1365" s="1">
        <v>44354.10832175926</v>
      </c>
      <c r="AV1365" t="s">
        <v>269</v>
      </c>
      <c r="AW1365" t="s">
        <v>270</v>
      </c>
      <c r="AX1365" t="s">
        <v>73</v>
      </c>
    </row>
    <row r="1366" spans="1:50" x14ac:dyDescent="0.3">
      <c r="A1366" t="str">
        <f>"201986B0000"</f>
        <v>201986B0000</v>
      </c>
      <c r="B1366" t="str">
        <f>"201986B00002"</f>
        <v>201986B00002</v>
      </c>
      <c r="C1366" t="str">
        <f t="shared" si="66"/>
        <v>20</v>
      </c>
      <c r="D1366" t="s">
        <v>67</v>
      </c>
      <c r="E1366" t="str">
        <f t="shared" si="68"/>
        <v>006</v>
      </c>
      <c r="F1366" t="s">
        <v>1254</v>
      </c>
      <c r="G1366" t="str">
        <f>"1986"</f>
        <v>1986</v>
      </c>
      <c r="H1366" t="str">
        <f t="shared" si="67"/>
        <v>0000</v>
      </c>
      <c r="I1366" t="s">
        <v>69</v>
      </c>
      <c r="J1366">
        <v>0</v>
      </c>
      <c r="K1366">
        <v>1</v>
      </c>
      <c r="L1366">
        <v>2</v>
      </c>
      <c r="M1366">
        <v>131</v>
      </c>
      <c r="N1366">
        <v>207</v>
      </c>
      <c r="O1366">
        <v>1</v>
      </c>
      <c r="P1366">
        <v>0</v>
      </c>
      <c r="Q1366">
        <v>0</v>
      </c>
      <c r="R1366">
        <v>21</v>
      </c>
      <c r="S1366">
        <v>0</v>
      </c>
      <c r="T1366">
        <v>1</v>
      </c>
      <c r="U1366">
        <v>76</v>
      </c>
      <c r="V1366">
        <v>2</v>
      </c>
      <c r="W1366">
        <v>28</v>
      </c>
      <c r="X1366">
        <v>38</v>
      </c>
      <c r="Y1366">
        <v>26</v>
      </c>
      <c r="Z1366">
        <v>1</v>
      </c>
      <c r="AA1366">
        <v>1</v>
      </c>
      <c r="AB1366">
        <v>0</v>
      </c>
      <c r="AD1366">
        <v>0</v>
      </c>
      <c r="AE1366">
        <v>0</v>
      </c>
      <c r="AF1366">
        <v>2</v>
      </c>
      <c r="AG1366">
        <v>0</v>
      </c>
      <c r="AI1366">
        <v>0</v>
      </c>
      <c r="AJ1366">
        <v>11</v>
      </c>
      <c r="AK1366">
        <v>207</v>
      </c>
      <c r="AL1366">
        <v>207</v>
      </c>
      <c r="AM1366">
        <v>294</v>
      </c>
      <c r="AN1366">
        <v>44</v>
      </c>
      <c r="AP1366">
        <v>1</v>
      </c>
      <c r="AR1366" t="s">
        <v>1453</v>
      </c>
      <c r="AS1366" s="1">
        <v>44354.094444444447</v>
      </c>
      <c r="AT1366" s="1">
        <v>44354.099756944444</v>
      </c>
      <c r="AU1366" s="1">
        <v>44354.100844907407</v>
      </c>
      <c r="AV1366" t="s">
        <v>71</v>
      </c>
      <c r="AW1366" t="s">
        <v>72</v>
      </c>
      <c r="AX1366" t="s">
        <v>73</v>
      </c>
    </row>
    <row r="1367" spans="1:50" x14ac:dyDescent="0.3">
      <c r="A1367" t="str">
        <f>"201993B0000"</f>
        <v>201993B0000</v>
      </c>
      <c r="B1367" t="str">
        <f>"201993B00002"</f>
        <v>201993B00002</v>
      </c>
      <c r="C1367" t="str">
        <f t="shared" si="66"/>
        <v>20</v>
      </c>
      <c r="D1367" t="s">
        <v>67</v>
      </c>
      <c r="E1367" t="str">
        <f t="shared" si="68"/>
        <v>006</v>
      </c>
      <c r="F1367" t="s">
        <v>1254</v>
      </c>
      <c r="G1367" t="str">
        <f>"1993"</f>
        <v>1993</v>
      </c>
      <c r="H1367" t="str">
        <f t="shared" si="67"/>
        <v>0000</v>
      </c>
      <c r="I1367" t="s">
        <v>69</v>
      </c>
      <c r="J1367">
        <v>0</v>
      </c>
      <c r="K1367">
        <v>1</v>
      </c>
      <c r="L1367">
        <v>2</v>
      </c>
      <c r="M1367">
        <v>251</v>
      </c>
      <c r="N1367">
        <v>124</v>
      </c>
      <c r="O1367">
        <v>4</v>
      </c>
      <c r="P1367">
        <v>124</v>
      </c>
      <c r="Q1367">
        <v>2</v>
      </c>
      <c r="R1367">
        <v>10</v>
      </c>
      <c r="S1367">
        <v>7</v>
      </c>
      <c r="T1367">
        <v>1</v>
      </c>
      <c r="U1367">
        <v>1</v>
      </c>
      <c r="V1367">
        <v>4</v>
      </c>
      <c r="W1367">
        <v>1</v>
      </c>
      <c r="X1367">
        <v>89</v>
      </c>
      <c r="Y1367">
        <v>1</v>
      </c>
      <c r="Z1367">
        <v>3</v>
      </c>
      <c r="AA1367">
        <v>1</v>
      </c>
      <c r="AB1367">
        <v>1</v>
      </c>
      <c r="AD1367">
        <v>0</v>
      </c>
      <c r="AE1367">
        <v>0</v>
      </c>
      <c r="AF1367">
        <v>1</v>
      </c>
      <c r="AG1367">
        <v>0</v>
      </c>
      <c r="AI1367">
        <v>0</v>
      </c>
      <c r="AJ1367">
        <v>2</v>
      </c>
      <c r="AK1367">
        <v>124</v>
      </c>
      <c r="AL1367">
        <v>124</v>
      </c>
      <c r="AM1367">
        <v>331</v>
      </c>
      <c r="AN1367">
        <v>44</v>
      </c>
      <c r="AP1367">
        <v>1</v>
      </c>
      <c r="AR1367" t="s">
        <v>1454</v>
      </c>
      <c r="AS1367" s="1">
        <v>44354.28125</v>
      </c>
      <c r="AT1367" s="1">
        <v>44354.283518518518</v>
      </c>
      <c r="AU1367" s="1">
        <v>44354.283912037034</v>
      </c>
      <c r="AV1367" t="s">
        <v>71</v>
      </c>
      <c r="AW1367" t="s">
        <v>72</v>
      </c>
      <c r="AX1367" t="s">
        <v>73</v>
      </c>
    </row>
    <row r="1368" spans="1:50" x14ac:dyDescent="0.3">
      <c r="A1368" t="str">
        <f>"201994B0000"</f>
        <v>201994B0000</v>
      </c>
      <c r="B1368" t="str">
        <f>"201994B00002"</f>
        <v>201994B00002</v>
      </c>
      <c r="C1368" t="str">
        <f t="shared" si="66"/>
        <v>20</v>
      </c>
      <c r="D1368" t="s">
        <v>67</v>
      </c>
      <c r="E1368" t="str">
        <f t="shared" si="68"/>
        <v>006</v>
      </c>
      <c r="F1368" t="s">
        <v>1254</v>
      </c>
      <c r="G1368" t="str">
        <f>"1994"</f>
        <v>1994</v>
      </c>
      <c r="H1368" t="str">
        <f t="shared" si="67"/>
        <v>0000</v>
      </c>
      <c r="I1368" t="s">
        <v>69</v>
      </c>
      <c r="J1368">
        <v>0</v>
      </c>
      <c r="K1368">
        <v>1</v>
      </c>
      <c r="L1368">
        <v>2</v>
      </c>
      <c r="M1368">
        <v>172</v>
      </c>
      <c r="N1368">
        <v>63</v>
      </c>
      <c r="O1368">
        <v>3</v>
      </c>
      <c r="P1368">
        <v>63</v>
      </c>
      <c r="Q1368">
        <v>1</v>
      </c>
      <c r="R1368">
        <v>6</v>
      </c>
      <c r="S1368">
        <v>2</v>
      </c>
      <c r="T1368">
        <v>2</v>
      </c>
      <c r="U1368">
        <v>12</v>
      </c>
      <c r="V1368">
        <v>0</v>
      </c>
      <c r="W1368">
        <v>0</v>
      </c>
      <c r="X1368">
        <v>36</v>
      </c>
      <c r="Y1368">
        <v>0</v>
      </c>
      <c r="Z1368">
        <v>1</v>
      </c>
      <c r="AA1368">
        <v>0</v>
      </c>
      <c r="AB1368">
        <v>1</v>
      </c>
      <c r="AD1368">
        <v>0</v>
      </c>
      <c r="AE1368">
        <v>0</v>
      </c>
      <c r="AF1368">
        <v>0</v>
      </c>
      <c r="AG1368">
        <v>0</v>
      </c>
      <c r="AI1368">
        <v>0</v>
      </c>
      <c r="AJ1368">
        <v>2</v>
      </c>
      <c r="AK1368">
        <v>63</v>
      </c>
      <c r="AL1368">
        <v>63</v>
      </c>
      <c r="AM1368">
        <v>191</v>
      </c>
      <c r="AN1368">
        <v>44</v>
      </c>
      <c r="AP1368">
        <v>1</v>
      </c>
      <c r="AR1368" t="s">
        <v>1455</v>
      </c>
      <c r="AS1368" s="1">
        <v>44354.28402777778</v>
      </c>
      <c r="AT1368" s="1">
        <v>44354.287442129629</v>
      </c>
      <c r="AU1368" s="1">
        <v>44354.288287037038</v>
      </c>
      <c r="AV1368" t="s">
        <v>71</v>
      </c>
      <c r="AW1368" t="s">
        <v>72</v>
      </c>
      <c r="AX1368" t="s">
        <v>73</v>
      </c>
    </row>
    <row r="1369" spans="1:50" x14ac:dyDescent="0.3">
      <c r="A1369" t="str">
        <f>"201995B0000"</f>
        <v>201995B0000</v>
      </c>
      <c r="B1369" t="str">
        <f>"201995B00002"</f>
        <v>201995B00002</v>
      </c>
      <c r="C1369" t="str">
        <f t="shared" si="66"/>
        <v>20</v>
      </c>
      <c r="D1369" t="s">
        <v>67</v>
      </c>
      <c r="E1369" t="str">
        <f t="shared" si="68"/>
        <v>006</v>
      </c>
      <c r="F1369" t="s">
        <v>1254</v>
      </c>
      <c r="G1369" t="str">
        <f>"1995"</f>
        <v>1995</v>
      </c>
      <c r="H1369" t="str">
        <f t="shared" si="67"/>
        <v>0000</v>
      </c>
      <c r="I1369" t="s">
        <v>69</v>
      </c>
      <c r="J1369">
        <v>0</v>
      </c>
      <c r="K1369">
        <v>1</v>
      </c>
      <c r="L1369">
        <v>2</v>
      </c>
      <c r="M1369">
        <v>247</v>
      </c>
      <c r="N1369">
        <v>391</v>
      </c>
      <c r="O1369">
        <v>1</v>
      </c>
      <c r="P1369">
        <v>391</v>
      </c>
      <c r="Q1369">
        <v>26</v>
      </c>
      <c r="R1369">
        <v>26</v>
      </c>
      <c r="S1369">
        <v>3</v>
      </c>
      <c r="T1369">
        <v>49</v>
      </c>
      <c r="U1369">
        <v>37</v>
      </c>
      <c r="V1369">
        <v>4</v>
      </c>
      <c r="W1369">
        <v>0</v>
      </c>
      <c r="X1369">
        <v>109</v>
      </c>
      <c r="Y1369">
        <v>44</v>
      </c>
      <c r="Z1369">
        <v>2</v>
      </c>
      <c r="AA1369">
        <v>1</v>
      </c>
      <c r="AB1369">
        <v>60</v>
      </c>
      <c r="AD1369">
        <v>1</v>
      </c>
      <c r="AE1369">
        <v>0</v>
      </c>
      <c r="AF1369">
        <v>0</v>
      </c>
      <c r="AG1369">
        <v>0</v>
      </c>
      <c r="AI1369">
        <v>0</v>
      </c>
      <c r="AJ1369">
        <v>29</v>
      </c>
      <c r="AK1369">
        <v>391</v>
      </c>
      <c r="AL1369">
        <v>391</v>
      </c>
      <c r="AM1369">
        <v>594</v>
      </c>
      <c r="AN1369">
        <v>44</v>
      </c>
      <c r="AP1369">
        <v>1</v>
      </c>
      <c r="AR1369" t="s">
        <v>1456</v>
      </c>
      <c r="AS1369" s="1">
        <v>44353.983946759261</v>
      </c>
      <c r="AT1369" s="1">
        <v>44353.98542824074</v>
      </c>
      <c r="AU1369" s="1">
        <v>44353.986157407409</v>
      </c>
      <c r="AV1369" t="s">
        <v>269</v>
      </c>
      <c r="AW1369" t="s">
        <v>270</v>
      </c>
      <c r="AX1369" t="s">
        <v>73</v>
      </c>
    </row>
    <row r="1370" spans="1:50" x14ac:dyDescent="0.3">
      <c r="A1370" t="str">
        <f>"201995C0100"</f>
        <v>201995C0100</v>
      </c>
      <c r="B1370" t="str">
        <f>"201995C01002"</f>
        <v>201995C01002</v>
      </c>
      <c r="C1370" t="str">
        <f t="shared" si="66"/>
        <v>20</v>
      </c>
      <c r="D1370" t="s">
        <v>67</v>
      </c>
      <c r="E1370" t="str">
        <f t="shared" si="68"/>
        <v>006</v>
      </c>
      <c r="F1370" t="s">
        <v>1254</v>
      </c>
      <c r="G1370" t="str">
        <f>"1995"</f>
        <v>1995</v>
      </c>
      <c r="H1370" t="str">
        <f>"0001"</f>
        <v>0001</v>
      </c>
      <c r="I1370" t="s">
        <v>75</v>
      </c>
      <c r="J1370">
        <v>0</v>
      </c>
      <c r="K1370">
        <v>1</v>
      </c>
      <c r="L1370">
        <v>2</v>
      </c>
      <c r="M1370">
        <v>219</v>
      </c>
      <c r="N1370">
        <v>419</v>
      </c>
      <c r="O1370">
        <v>0</v>
      </c>
      <c r="P1370">
        <v>419</v>
      </c>
      <c r="Q1370">
        <v>23</v>
      </c>
      <c r="R1370">
        <v>39</v>
      </c>
      <c r="S1370">
        <v>3</v>
      </c>
      <c r="T1370">
        <v>30</v>
      </c>
      <c r="U1370">
        <v>31</v>
      </c>
      <c r="V1370">
        <v>3</v>
      </c>
      <c r="W1370">
        <v>0</v>
      </c>
      <c r="X1370">
        <v>155</v>
      </c>
      <c r="Y1370">
        <v>56</v>
      </c>
      <c r="Z1370">
        <v>2</v>
      </c>
      <c r="AA1370">
        <v>0</v>
      </c>
      <c r="AB1370">
        <v>51</v>
      </c>
      <c r="AD1370">
        <v>1</v>
      </c>
      <c r="AE1370">
        <v>0</v>
      </c>
      <c r="AF1370">
        <v>0</v>
      </c>
      <c r="AG1370">
        <v>0</v>
      </c>
      <c r="AI1370">
        <v>1</v>
      </c>
      <c r="AJ1370">
        <v>24</v>
      </c>
      <c r="AK1370">
        <v>419</v>
      </c>
      <c r="AL1370">
        <v>419</v>
      </c>
      <c r="AM1370">
        <v>594</v>
      </c>
      <c r="AN1370">
        <v>44</v>
      </c>
      <c r="AP1370">
        <v>1</v>
      </c>
      <c r="AR1370" t="s">
        <v>1457</v>
      </c>
      <c r="AS1370" s="1">
        <v>44353.974166666667</v>
      </c>
      <c r="AT1370" s="1">
        <v>44353.97625</v>
      </c>
      <c r="AU1370" s="1">
        <v>44353.977175925924</v>
      </c>
      <c r="AV1370" t="s">
        <v>269</v>
      </c>
      <c r="AW1370" t="s">
        <v>270</v>
      </c>
      <c r="AX1370" t="s">
        <v>73</v>
      </c>
    </row>
    <row r="1371" spans="1:50" x14ac:dyDescent="0.3">
      <c r="A1371" t="str">
        <f>"201995C0200"</f>
        <v>201995C0200</v>
      </c>
      <c r="B1371" t="str">
        <f>"201995C02002"</f>
        <v>201995C02002</v>
      </c>
      <c r="C1371" t="str">
        <f t="shared" si="66"/>
        <v>20</v>
      </c>
      <c r="D1371" t="s">
        <v>67</v>
      </c>
      <c r="E1371" t="str">
        <f t="shared" si="68"/>
        <v>006</v>
      </c>
      <c r="F1371" t="s">
        <v>1254</v>
      </c>
      <c r="G1371" t="str">
        <f>"1995"</f>
        <v>1995</v>
      </c>
      <c r="H1371" t="str">
        <f>"0002"</f>
        <v>0002</v>
      </c>
      <c r="I1371" t="s">
        <v>75</v>
      </c>
      <c r="J1371">
        <v>0</v>
      </c>
      <c r="K1371">
        <v>1</v>
      </c>
      <c r="L1371">
        <v>2</v>
      </c>
      <c r="M1371">
        <v>235</v>
      </c>
      <c r="N1371">
        <v>403</v>
      </c>
      <c r="O1371">
        <v>3</v>
      </c>
      <c r="P1371">
        <v>403</v>
      </c>
      <c r="Q1371">
        <v>38</v>
      </c>
      <c r="R1371">
        <v>45</v>
      </c>
      <c r="S1371">
        <v>0</v>
      </c>
      <c r="T1371">
        <v>38</v>
      </c>
      <c r="U1371">
        <v>45</v>
      </c>
      <c r="V1371">
        <v>4</v>
      </c>
      <c r="W1371">
        <v>0</v>
      </c>
      <c r="X1371">
        <v>125</v>
      </c>
      <c r="Y1371">
        <v>53</v>
      </c>
      <c r="Z1371">
        <v>0</v>
      </c>
      <c r="AA1371">
        <v>4</v>
      </c>
      <c r="AB1371">
        <v>33</v>
      </c>
      <c r="AD1371">
        <v>0</v>
      </c>
      <c r="AE1371">
        <v>1</v>
      </c>
      <c r="AF1371">
        <v>0</v>
      </c>
      <c r="AG1371">
        <v>0</v>
      </c>
      <c r="AI1371">
        <v>0</v>
      </c>
      <c r="AJ1371">
        <v>17</v>
      </c>
      <c r="AK1371">
        <v>407</v>
      </c>
      <c r="AL1371">
        <v>403</v>
      </c>
      <c r="AM1371">
        <v>594</v>
      </c>
      <c r="AN1371">
        <v>44</v>
      </c>
      <c r="AP1371">
        <v>1</v>
      </c>
      <c r="AR1371" t="s">
        <v>1458</v>
      </c>
      <c r="AS1371" s="1">
        <v>44353.978738425925</v>
      </c>
      <c r="AT1371" s="1">
        <v>44353.982870370368</v>
      </c>
      <c r="AU1371" s="1">
        <v>44353.984189814815</v>
      </c>
      <c r="AV1371" t="s">
        <v>269</v>
      </c>
      <c r="AW1371" t="s">
        <v>270</v>
      </c>
      <c r="AX1371" t="s">
        <v>73</v>
      </c>
    </row>
    <row r="1372" spans="1:50" x14ac:dyDescent="0.3">
      <c r="A1372" t="str">
        <f>"201995E0100"</f>
        <v>201995E0100</v>
      </c>
      <c r="B1372" t="str">
        <f>"201995E01002"</f>
        <v>201995E01002</v>
      </c>
      <c r="C1372" t="str">
        <f t="shared" si="66"/>
        <v>20</v>
      </c>
      <c r="D1372" t="s">
        <v>67</v>
      </c>
      <c r="E1372" t="str">
        <f t="shared" si="68"/>
        <v>006</v>
      </c>
      <c r="F1372" t="s">
        <v>1254</v>
      </c>
      <c r="G1372" t="str">
        <f>"1995"</f>
        <v>1995</v>
      </c>
      <c r="H1372" t="str">
        <f>"0001"</f>
        <v>0001</v>
      </c>
      <c r="I1372" t="s">
        <v>109</v>
      </c>
      <c r="J1372">
        <v>0</v>
      </c>
      <c r="K1372">
        <v>1</v>
      </c>
      <c r="L1372">
        <v>2</v>
      </c>
      <c r="M1372">
        <v>112</v>
      </c>
      <c r="N1372">
        <v>110</v>
      </c>
      <c r="O1372">
        <v>4</v>
      </c>
      <c r="P1372">
        <v>110</v>
      </c>
      <c r="Q1372">
        <v>8</v>
      </c>
      <c r="R1372">
        <v>2</v>
      </c>
      <c r="S1372">
        <v>1</v>
      </c>
      <c r="T1372">
        <v>7</v>
      </c>
      <c r="U1372">
        <v>21</v>
      </c>
      <c r="V1372">
        <v>2</v>
      </c>
      <c r="W1372">
        <v>0</v>
      </c>
      <c r="X1372">
        <v>23</v>
      </c>
      <c r="Y1372">
        <v>6</v>
      </c>
      <c r="Z1372">
        <v>2</v>
      </c>
      <c r="AA1372">
        <v>3</v>
      </c>
      <c r="AB1372">
        <v>33</v>
      </c>
      <c r="AD1372">
        <v>0</v>
      </c>
      <c r="AE1372">
        <v>0</v>
      </c>
      <c r="AF1372">
        <v>0</v>
      </c>
      <c r="AG1372">
        <v>0</v>
      </c>
      <c r="AI1372">
        <v>0</v>
      </c>
      <c r="AJ1372">
        <v>2</v>
      </c>
      <c r="AK1372">
        <v>110</v>
      </c>
      <c r="AL1372">
        <v>110</v>
      </c>
      <c r="AM1372">
        <v>178</v>
      </c>
      <c r="AN1372">
        <v>44</v>
      </c>
      <c r="AP1372">
        <v>1</v>
      </c>
      <c r="AR1372" t="s">
        <v>1459</v>
      </c>
      <c r="AS1372" s="1">
        <v>44353.930937500001</v>
      </c>
      <c r="AT1372" s="1">
        <v>44353.93241898148</v>
      </c>
      <c r="AU1372" s="1">
        <v>44353.93340277778</v>
      </c>
      <c r="AV1372" t="s">
        <v>269</v>
      </c>
      <c r="AW1372" t="s">
        <v>270</v>
      </c>
      <c r="AX1372" t="s">
        <v>73</v>
      </c>
    </row>
    <row r="1373" spans="1:50" x14ac:dyDescent="0.3">
      <c r="A1373" t="str">
        <f>"201996B0000"</f>
        <v>201996B0000</v>
      </c>
      <c r="B1373" t="str">
        <f>"201996B00002"</f>
        <v>201996B00002</v>
      </c>
      <c r="C1373" t="str">
        <f t="shared" si="66"/>
        <v>20</v>
      </c>
      <c r="D1373" t="s">
        <v>67</v>
      </c>
      <c r="E1373" t="str">
        <f t="shared" si="68"/>
        <v>006</v>
      </c>
      <c r="F1373" t="s">
        <v>1254</v>
      </c>
      <c r="G1373" t="str">
        <f>"1996"</f>
        <v>1996</v>
      </c>
      <c r="H1373" t="str">
        <f>"0000"</f>
        <v>0000</v>
      </c>
      <c r="I1373" t="s">
        <v>69</v>
      </c>
      <c r="J1373">
        <v>0</v>
      </c>
      <c r="K1373">
        <v>1</v>
      </c>
      <c r="L1373">
        <v>2</v>
      </c>
      <c r="M1373">
        <v>234</v>
      </c>
      <c r="N1373">
        <v>210</v>
      </c>
      <c r="O1373">
        <v>2</v>
      </c>
      <c r="P1373">
        <v>210</v>
      </c>
      <c r="Q1373">
        <v>6</v>
      </c>
      <c r="R1373">
        <v>21</v>
      </c>
      <c r="S1373">
        <v>4</v>
      </c>
      <c r="T1373">
        <v>6</v>
      </c>
      <c r="U1373">
        <v>42</v>
      </c>
      <c r="V1373">
        <v>2</v>
      </c>
      <c r="W1373">
        <v>1</v>
      </c>
      <c r="X1373">
        <v>67</v>
      </c>
      <c r="Y1373">
        <v>33</v>
      </c>
      <c r="Z1373">
        <v>0</v>
      </c>
      <c r="AA1373">
        <v>0</v>
      </c>
      <c r="AB1373">
        <v>20</v>
      </c>
      <c r="AD1373">
        <v>0</v>
      </c>
      <c r="AE1373">
        <v>2</v>
      </c>
      <c r="AF1373">
        <v>0</v>
      </c>
      <c r="AG1373">
        <v>0</v>
      </c>
      <c r="AI1373">
        <v>0</v>
      </c>
      <c r="AJ1373">
        <v>6</v>
      </c>
      <c r="AK1373">
        <v>210</v>
      </c>
      <c r="AL1373">
        <v>210</v>
      </c>
      <c r="AM1373">
        <v>400</v>
      </c>
      <c r="AN1373">
        <v>44</v>
      </c>
      <c r="AP1373">
        <v>1</v>
      </c>
      <c r="AR1373" t="s">
        <v>1460</v>
      </c>
      <c r="AS1373" s="1">
        <v>44353.861562500002</v>
      </c>
      <c r="AT1373" s="1">
        <v>44353.863726851851</v>
      </c>
      <c r="AU1373" s="1">
        <v>44353.864305555559</v>
      </c>
      <c r="AV1373" t="s">
        <v>269</v>
      </c>
      <c r="AW1373" t="s">
        <v>270</v>
      </c>
      <c r="AX1373" t="s">
        <v>73</v>
      </c>
    </row>
    <row r="1374" spans="1:50" x14ac:dyDescent="0.3">
      <c r="A1374" t="str">
        <f>"201997B0000"</f>
        <v>201997B0000</v>
      </c>
      <c r="B1374" t="str">
        <f>"201997B00002"</f>
        <v>201997B00002</v>
      </c>
      <c r="C1374" t="str">
        <f t="shared" si="66"/>
        <v>20</v>
      </c>
      <c r="D1374" t="s">
        <v>67</v>
      </c>
      <c r="E1374" t="str">
        <f t="shared" si="68"/>
        <v>006</v>
      </c>
      <c r="F1374" t="s">
        <v>1254</v>
      </c>
      <c r="G1374" t="str">
        <f>"1997"</f>
        <v>1997</v>
      </c>
      <c r="H1374" t="str">
        <f>"0000"</f>
        <v>0000</v>
      </c>
      <c r="I1374" t="s">
        <v>69</v>
      </c>
      <c r="J1374">
        <v>0</v>
      </c>
      <c r="K1374">
        <v>1</v>
      </c>
      <c r="L1374">
        <v>2</v>
      </c>
      <c r="M1374">
        <v>211</v>
      </c>
      <c r="N1374">
        <v>221</v>
      </c>
      <c r="O1374">
        <v>5</v>
      </c>
      <c r="P1374">
        <v>221</v>
      </c>
      <c r="Q1374">
        <v>8</v>
      </c>
      <c r="R1374">
        <v>9</v>
      </c>
      <c r="S1374">
        <v>0</v>
      </c>
      <c r="T1374">
        <v>3</v>
      </c>
      <c r="U1374">
        <v>62</v>
      </c>
      <c r="V1374">
        <v>0</v>
      </c>
      <c r="W1374">
        <v>0</v>
      </c>
      <c r="X1374">
        <v>54</v>
      </c>
      <c r="Y1374">
        <v>28</v>
      </c>
      <c r="Z1374">
        <v>1</v>
      </c>
      <c r="AA1374">
        <v>1</v>
      </c>
      <c r="AB1374">
        <v>47</v>
      </c>
      <c r="AD1374">
        <v>0</v>
      </c>
      <c r="AE1374">
        <v>0</v>
      </c>
      <c r="AF1374">
        <v>0</v>
      </c>
      <c r="AG1374">
        <v>0</v>
      </c>
      <c r="AI1374">
        <v>0</v>
      </c>
      <c r="AJ1374">
        <v>8</v>
      </c>
      <c r="AK1374">
        <v>221</v>
      </c>
      <c r="AL1374">
        <v>221</v>
      </c>
      <c r="AM1374">
        <v>388</v>
      </c>
      <c r="AN1374">
        <v>44</v>
      </c>
      <c r="AP1374">
        <v>1</v>
      </c>
      <c r="AR1374" t="s">
        <v>1461</v>
      </c>
      <c r="AS1374" s="1">
        <v>44354.033333333333</v>
      </c>
      <c r="AT1374" s="1">
        <v>44354.041504629633</v>
      </c>
      <c r="AU1374" s="1">
        <v>44354.04215277778</v>
      </c>
      <c r="AV1374" t="s">
        <v>71</v>
      </c>
      <c r="AW1374" t="s">
        <v>72</v>
      </c>
      <c r="AX1374" t="s">
        <v>73</v>
      </c>
    </row>
    <row r="1375" spans="1:50" x14ac:dyDescent="0.3">
      <c r="A1375" t="str">
        <f>"201998B0000"</f>
        <v>201998B0000</v>
      </c>
      <c r="B1375" t="str">
        <f>"201998B00002"</f>
        <v>201998B00002</v>
      </c>
      <c r="C1375" t="str">
        <f t="shared" si="66"/>
        <v>20</v>
      </c>
      <c r="D1375" t="s">
        <v>67</v>
      </c>
      <c r="E1375" t="str">
        <f t="shared" si="68"/>
        <v>006</v>
      </c>
      <c r="F1375" t="s">
        <v>1254</v>
      </c>
      <c r="G1375" t="str">
        <f>"1998"</f>
        <v>1998</v>
      </c>
      <c r="H1375" t="str">
        <f>"0000"</f>
        <v>0000</v>
      </c>
      <c r="I1375" t="s">
        <v>69</v>
      </c>
      <c r="J1375">
        <v>0</v>
      </c>
      <c r="K1375">
        <v>1</v>
      </c>
      <c r="L1375">
        <v>2</v>
      </c>
      <c r="M1375">
        <v>194</v>
      </c>
      <c r="N1375">
        <v>436</v>
      </c>
      <c r="O1375">
        <v>436</v>
      </c>
      <c r="P1375">
        <v>436</v>
      </c>
      <c r="Q1375">
        <v>6</v>
      </c>
      <c r="R1375">
        <v>41</v>
      </c>
      <c r="S1375">
        <v>3</v>
      </c>
      <c r="T1375">
        <v>15</v>
      </c>
      <c r="U1375">
        <v>45</v>
      </c>
      <c r="V1375">
        <v>4</v>
      </c>
      <c r="W1375">
        <v>3</v>
      </c>
      <c r="X1375">
        <v>121</v>
      </c>
      <c r="Y1375">
        <v>107</v>
      </c>
      <c r="Z1375">
        <v>3</v>
      </c>
      <c r="AA1375">
        <v>2</v>
      </c>
      <c r="AB1375">
        <v>66</v>
      </c>
      <c r="AD1375">
        <v>0</v>
      </c>
      <c r="AE1375">
        <v>0</v>
      </c>
      <c r="AF1375">
        <v>0</v>
      </c>
      <c r="AG1375">
        <v>0</v>
      </c>
      <c r="AI1375">
        <v>0</v>
      </c>
      <c r="AJ1375">
        <v>20</v>
      </c>
      <c r="AK1375">
        <v>436</v>
      </c>
      <c r="AL1375">
        <v>436</v>
      </c>
      <c r="AM1375">
        <v>587</v>
      </c>
      <c r="AN1375">
        <v>44</v>
      </c>
      <c r="AP1375">
        <v>1</v>
      </c>
      <c r="AR1375" t="s">
        <v>1462</v>
      </c>
      <c r="AS1375" s="1">
        <v>44354.193055555559</v>
      </c>
      <c r="AT1375" s="1">
        <v>44354.195798611108</v>
      </c>
      <c r="AU1375" s="1">
        <v>44354.196215277778</v>
      </c>
      <c r="AV1375" t="s">
        <v>71</v>
      </c>
      <c r="AW1375" t="s">
        <v>72</v>
      </c>
      <c r="AX1375" t="s">
        <v>73</v>
      </c>
    </row>
    <row r="1376" spans="1:50" x14ac:dyDescent="0.3">
      <c r="A1376" t="str">
        <f>"201998E0100"</f>
        <v>201998E0100</v>
      </c>
      <c r="B1376" t="str">
        <f>"201998E01002"</f>
        <v>201998E01002</v>
      </c>
      <c r="C1376" t="str">
        <f t="shared" si="66"/>
        <v>20</v>
      </c>
      <c r="D1376" t="s">
        <v>67</v>
      </c>
      <c r="E1376" t="str">
        <f t="shared" si="68"/>
        <v>006</v>
      </c>
      <c r="F1376" t="s">
        <v>1254</v>
      </c>
      <c r="G1376" t="str">
        <f>"1998"</f>
        <v>1998</v>
      </c>
      <c r="H1376" t="str">
        <f>"0001"</f>
        <v>0001</v>
      </c>
      <c r="I1376" t="s">
        <v>109</v>
      </c>
      <c r="J1376">
        <v>0</v>
      </c>
      <c r="K1376">
        <v>1</v>
      </c>
      <c r="L1376">
        <v>2</v>
      </c>
      <c r="M1376">
        <v>78</v>
      </c>
      <c r="N1376">
        <v>121</v>
      </c>
      <c r="O1376">
        <v>7</v>
      </c>
      <c r="P1376">
        <v>121</v>
      </c>
      <c r="Q1376">
        <v>0</v>
      </c>
      <c r="R1376">
        <v>5</v>
      </c>
      <c r="S1376">
        <v>0</v>
      </c>
      <c r="T1376">
        <v>3</v>
      </c>
      <c r="U1376">
        <v>18</v>
      </c>
      <c r="V1376">
        <v>0</v>
      </c>
      <c r="W1376">
        <v>0</v>
      </c>
      <c r="X1376">
        <v>10</v>
      </c>
      <c r="Y1376">
        <v>47</v>
      </c>
      <c r="Z1376">
        <v>0</v>
      </c>
      <c r="AA1376">
        <v>0</v>
      </c>
      <c r="AB1376">
        <v>36</v>
      </c>
      <c r="AD1376">
        <v>0</v>
      </c>
      <c r="AE1376">
        <v>0</v>
      </c>
      <c r="AF1376">
        <v>0</v>
      </c>
      <c r="AG1376">
        <v>0</v>
      </c>
      <c r="AI1376">
        <v>0</v>
      </c>
      <c r="AJ1376">
        <v>2</v>
      </c>
      <c r="AK1376">
        <v>121</v>
      </c>
      <c r="AL1376">
        <v>121</v>
      </c>
      <c r="AM1376">
        <v>155</v>
      </c>
      <c r="AN1376">
        <v>44</v>
      </c>
      <c r="AP1376">
        <v>1</v>
      </c>
      <c r="AR1376" t="s">
        <v>1463</v>
      </c>
      <c r="AS1376" s="1">
        <v>44354.036805555559</v>
      </c>
      <c r="AT1376" s="1">
        <v>44354.0471412037</v>
      </c>
      <c r="AU1376" s="1">
        <v>44354.047592592593</v>
      </c>
      <c r="AV1376" t="s">
        <v>71</v>
      </c>
      <c r="AW1376" t="s">
        <v>72</v>
      </c>
      <c r="AX1376" t="s">
        <v>73</v>
      </c>
    </row>
    <row r="1377" spans="1:50" x14ac:dyDescent="0.3">
      <c r="A1377" t="str">
        <f>"202070B0000"</f>
        <v>202070B0000</v>
      </c>
      <c r="B1377" t="str">
        <f>"202070B00002"</f>
        <v>202070B00002</v>
      </c>
      <c r="C1377" t="str">
        <f t="shared" si="66"/>
        <v>20</v>
      </c>
      <c r="D1377" t="s">
        <v>67</v>
      </c>
      <c r="E1377" t="str">
        <f t="shared" si="68"/>
        <v>006</v>
      </c>
      <c r="F1377" t="s">
        <v>1254</v>
      </c>
      <c r="G1377" t="str">
        <f>"2070"</f>
        <v>2070</v>
      </c>
      <c r="H1377" t="str">
        <f>"0000"</f>
        <v>0000</v>
      </c>
      <c r="I1377" t="s">
        <v>69</v>
      </c>
      <c r="J1377">
        <v>0</v>
      </c>
      <c r="K1377">
        <v>1</v>
      </c>
      <c r="L1377">
        <v>2</v>
      </c>
      <c r="M1377">
        <v>187</v>
      </c>
      <c r="N1377">
        <v>164</v>
      </c>
      <c r="O1377">
        <v>0</v>
      </c>
      <c r="P1377" t="s">
        <v>80</v>
      </c>
      <c r="Q1377">
        <v>4</v>
      </c>
      <c r="R1377">
        <v>35</v>
      </c>
      <c r="S1377">
        <v>3</v>
      </c>
      <c r="T1377">
        <v>7</v>
      </c>
      <c r="U1377">
        <v>9</v>
      </c>
      <c r="V1377">
        <v>3</v>
      </c>
      <c r="W1377">
        <v>0</v>
      </c>
      <c r="X1377">
        <v>77</v>
      </c>
      <c r="Y1377">
        <v>17</v>
      </c>
      <c r="Z1377">
        <v>3</v>
      </c>
      <c r="AA1377">
        <v>2</v>
      </c>
      <c r="AB1377">
        <v>1</v>
      </c>
      <c r="AD1377">
        <v>0</v>
      </c>
      <c r="AE1377">
        <v>0</v>
      </c>
      <c r="AF1377">
        <v>0</v>
      </c>
      <c r="AG1377">
        <v>0</v>
      </c>
      <c r="AI1377">
        <v>0</v>
      </c>
      <c r="AJ1377">
        <v>0</v>
      </c>
      <c r="AK1377">
        <v>164</v>
      </c>
      <c r="AL1377">
        <v>161</v>
      </c>
      <c r="AM1377">
        <v>309</v>
      </c>
      <c r="AN1377">
        <v>44</v>
      </c>
      <c r="AP1377">
        <v>1</v>
      </c>
      <c r="AR1377" t="s">
        <v>1464</v>
      </c>
      <c r="AS1377" s="1">
        <v>44353.933321759258</v>
      </c>
      <c r="AT1377" s="1">
        <v>44353.939293981479</v>
      </c>
      <c r="AU1377" s="1">
        <v>44353.939768518518</v>
      </c>
      <c r="AV1377" t="s">
        <v>269</v>
      </c>
      <c r="AW1377" t="s">
        <v>270</v>
      </c>
      <c r="AX1377" t="s">
        <v>73</v>
      </c>
    </row>
    <row r="1378" spans="1:50" x14ac:dyDescent="0.3">
      <c r="A1378" t="str">
        <f>"202117B0000"</f>
        <v>202117B0000</v>
      </c>
      <c r="B1378" t="str">
        <f>"202117B00002"</f>
        <v>202117B00002</v>
      </c>
      <c r="C1378" t="str">
        <f t="shared" si="66"/>
        <v>20</v>
      </c>
      <c r="D1378" t="s">
        <v>67</v>
      </c>
      <c r="E1378" t="str">
        <f t="shared" si="68"/>
        <v>006</v>
      </c>
      <c r="F1378" t="s">
        <v>1254</v>
      </c>
      <c r="G1378" t="str">
        <f>"2117"</f>
        <v>2117</v>
      </c>
      <c r="H1378" t="str">
        <f>"0000"</f>
        <v>0000</v>
      </c>
      <c r="I1378" t="s">
        <v>69</v>
      </c>
      <c r="J1378">
        <v>0</v>
      </c>
      <c r="K1378">
        <v>1</v>
      </c>
      <c r="L1378">
        <v>2</v>
      </c>
      <c r="M1378">
        <v>175</v>
      </c>
      <c r="N1378">
        <v>255</v>
      </c>
      <c r="O1378">
        <v>0</v>
      </c>
      <c r="P1378">
        <v>255</v>
      </c>
      <c r="Q1378">
        <v>6</v>
      </c>
      <c r="R1378">
        <v>73</v>
      </c>
      <c r="S1378">
        <v>4</v>
      </c>
      <c r="T1378">
        <v>0</v>
      </c>
      <c r="U1378">
        <v>20</v>
      </c>
      <c r="V1378" t="s">
        <v>77</v>
      </c>
      <c r="W1378" t="s">
        <v>77</v>
      </c>
      <c r="X1378">
        <v>134</v>
      </c>
      <c r="Y1378" t="s">
        <v>77</v>
      </c>
      <c r="Z1378">
        <v>3</v>
      </c>
      <c r="AA1378">
        <v>5</v>
      </c>
      <c r="AB1378">
        <v>1</v>
      </c>
      <c r="AD1378">
        <v>2</v>
      </c>
      <c r="AE1378" t="s">
        <v>77</v>
      </c>
      <c r="AF1378" t="s">
        <v>77</v>
      </c>
      <c r="AG1378" t="s">
        <v>77</v>
      </c>
      <c r="AI1378" t="s">
        <v>77</v>
      </c>
      <c r="AJ1378">
        <v>7</v>
      </c>
      <c r="AK1378">
        <v>255</v>
      </c>
      <c r="AL1378">
        <v>255</v>
      </c>
      <c r="AM1378">
        <v>386</v>
      </c>
      <c r="AN1378">
        <v>44</v>
      </c>
      <c r="AO1378" t="s">
        <v>78</v>
      </c>
      <c r="AP1378">
        <v>1</v>
      </c>
      <c r="AR1378" t="s">
        <v>1465</v>
      </c>
      <c r="AS1378" s="1">
        <v>44354.426388888889</v>
      </c>
      <c r="AT1378" s="1">
        <v>44354.432349537034</v>
      </c>
      <c r="AU1378" s="1">
        <v>44354.433483796296</v>
      </c>
      <c r="AV1378" t="s">
        <v>71</v>
      </c>
      <c r="AW1378" t="s">
        <v>72</v>
      </c>
      <c r="AX1378" t="s">
        <v>73</v>
      </c>
    </row>
    <row r="1379" spans="1:50" x14ac:dyDescent="0.3">
      <c r="A1379" t="str">
        <f>"202117C0100"</f>
        <v>202117C0100</v>
      </c>
      <c r="B1379" t="str">
        <f>"202117C01002"</f>
        <v>202117C01002</v>
      </c>
      <c r="C1379" t="str">
        <f t="shared" si="66"/>
        <v>20</v>
      </c>
      <c r="D1379" t="s">
        <v>67</v>
      </c>
      <c r="E1379" t="str">
        <f t="shared" si="68"/>
        <v>006</v>
      </c>
      <c r="F1379" t="s">
        <v>1254</v>
      </c>
      <c r="G1379" t="str">
        <f>"2117"</f>
        <v>2117</v>
      </c>
      <c r="H1379" t="str">
        <f>"0001"</f>
        <v>0001</v>
      </c>
      <c r="I1379" t="s">
        <v>75</v>
      </c>
      <c r="J1379">
        <v>0</v>
      </c>
      <c r="K1379">
        <v>1</v>
      </c>
      <c r="L1379">
        <v>2</v>
      </c>
      <c r="M1379">
        <v>180</v>
      </c>
      <c r="N1379">
        <v>250</v>
      </c>
      <c r="O1379">
        <v>1</v>
      </c>
      <c r="P1379">
        <v>250</v>
      </c>
      <c r="Q1379">
        <v>2</v>
      </c>
      <c r="R1379">
        <v>84</v>
      </c>
      <c r="S1379">
        <v>2</v>
      </c>
      <c r="T1379">
        <v>3</v>
      </c>
      <c r="U1379">
        <v>15</v>
      </c>
      <c r="V1379">
        <v>1</v>
      </c>
      <c r="W1379">
        <v>1</v>
      </c>
      <c r="X1379">
        <v>124</v>
      </c>
      <c r="Y1379">
        <v>2</v>
      </c>
      <c r="Z1379">
        <v>3</v>
      </c>
      <c r="AA1379">
        <v>3</v>
      </c>
      <c r="AB1379" t="s">
        <v>77</v>
      </c>
      <c r="AD1379">
        <v>3</v>
      </c>
      <c r="AE1379">
        <v>1</v>
      </c>
      <c r="AF1379" t="s">
        <v>77</v>
      </c>
      <c r="AG1379" t="s">
        <v>77</v>
      </c>
      <c r="AI1379" t="s">
        <v>77</v>
      </c>
      <c r="AJ1379">
        <v>6</v>
      </c>
      <c r="AK1379">
        <v>250</v>
      </c>
      <c r="AL1379">
        <v>250</v>
      </c>
      <c r="AM1379">
        <v>386</v>
      </c>
      <c r="AN1379">
        <v>44</v>
      </c>
      <c r="AO1379" t="s">
        <v>78</v>
      </c>
      <c r="AP1379">
        <v>1</v>
      </c>
      <c r="AR1379" t="s">
        <v>1466</v>
      </c>
      <c r="AS1379" s="1">
        <v>44354.425694444442</v>
      </c>
      <c r="AT1379" s="1">
        <v>44354.430393518516</v>
      </c>
      <c r="AU1379" s="1">
        <v>44354.431157407409</v>
      </c>
      <c r="AV1379" t="s">
        <v>71</v>
      </c>
      <c r="AW1379" t="s">
        <v>72</v>
      </c>
      <c r="AX1379" t="s">
        <v>73</v>
      </c>
    </row>
    <row r="1380" spans="1:50" x14ac:dyDescent="0.3">
      <c r="A1380" t="str">
        <f>"202118B0000"</f>
        <v>202118B0000</v>
      </c>
      <c r="B1380" t="str">
        <f>"202118B00002"</f>
        <v>202118B00002</v>
      </c>
      <c r="C1380" t="str">
        <f t="shared" si="66"/>
        <v>20</v>
      </c>
      <c r="D1380" t="s">
        <v>67</v>
      </c>
      <c r="E1380" t="str">
        <f t="shared" si="68"/>
        <v>006</v>
      </c>
      <c r="F1380" t="s">
        <v>1254</v>
      </c>
      <c r="G1380" t="str">
        <f>"2118"</f>
        <v>2118</v>
      </c>
      <c r="H1380" t="str">
        <f>"0000"</f>
        <v>0000</v>
      </c>
      <c r="I1380" t="s">
        <v>69</v>
      </c>
      <c r="J1380">
        <v>0</v>
      </c>
      <c r="K1380">
        <v>1</v>
      </c>
      <c r="L1380">
        <v>2</v>
      </c>
      <c r="M1380">
        <v>195</v>
      </c>
      <c r="N1380">
        <v>295</v>
      </c>
      <c r="O1380">
        <v>5</v>
      </c>
      <c r="P1380">
        <v>295</v>
      </c>
      <c r="Q1380">
        <v>16</v>
      </c>
      <c r="R1380">
        <v>97</v>
      </c>
      <c r="S1380">
        <v>4</v>
      </c>
      <c r="T1380">
        <v>3</v>
      </c>
      <c r="U1380">
        <v>18</v>
      </c>
      <c r="V1380">
        <v>0</v>
      </c>
      <c r="W1380">
        <v>2</v>
      </c>
      <c r="X1380">
        <v>126</v>
      </c>
      <c r="Y1380">
        <v>1</v>
      </c>
      <c r="Z1380">
        <v>3</v>
      </c>
      <c r="AA1380">
        <v>5</v>
      </c>
      <c r="AB1380">
        <v>0</v>
      </c>
      <c r="AD1380">
        <v>1</v>
      </c>
      <c r="AE1380">
        <v>1</v>
      </c>
      <c r="AF1380">
        <v>0</v>
      </c>
      <c r="AG1380">
        <v>0</v>
      </c>
      <c r="AI1380">
        <v>0</v>
      </c>
      <c r="AJ1380">
        <v>18</v>
      </c>
      <c r="AK1380">
        <v>295</v>
      </c>
      <c r="AL1380">
        <v>295</v>
      </c>
      <c r="AM1380">
        <v>447</v>
      </c>
      <c r="AN1380">
        <v>44</v>
      </c>
      <c r="AP1380">
        <v>1</v>
      </c>
      <c r="AR1380" t="s">
        <v>1467</v>
      </c>
      <c r="AS1380" s="1">
        <v>44354.429861111108</v>
      </c>
      <c r="AT1380" s="1">
        <v>44354.433275462965</v>
      </c>
      <c r="AU1380" s="1">
        <v>44354.43377314815</v>
      </c>
      <c r="AV1380" t="s">
        <v>71</v>
      </c>
      <c r="AW1380" t="s">
        <v>72</v>
      </c>
      <c r="AX1380" t="s">
        <v>73</v>
      </c>
    </row>
    <row r="1381" spans="1:50" x14ac:dyDescent="0.3">
      <c r="A1381" t="str">
        <f>"202118C0100"</f>
        <v>202118C0100</v>
      </c>
      <c r="B1381" t="str">
        <f>"202118C01002"</f>
        <v>202118C01002</v>
      </c>
      <c r="C1381" t="str">
        <f t="shared" si="66"/>
        <v>20</v>
      </c>
      <c r="D1381" t="s">
        <v>67</v>
      </c>
      <c r="E1381" t="str">
        <f t="shared" si="68"/>
        <v>006</v>
      </c>
      <c r="F1381" t="s">
        <v>1254</v>
      </c>
      <c r="G1381" t="str">
        <f>"2118"</f>
        <v>2118</v>
      </c>
      <c r="H1381" t="str">
        <f>"0001"</f>
        <v>0001</v>
      </c>
      <c r="I1381" t="s">
        <v>75</v>
      </c>
      <c r="J1381">
        <v>0</v>
      </c>
      <c r="K1381">
        <v>1</v>
      </c>
      <c r="L1381">
        <v>2</v>
      </c>
      <c r="M1381">
        <v>195</v>
      </c>
      <c r="N1381">
        <v>295</v>
      </c>
      <c r="O1381">
        <v>8</v>
      </c>
      <c r="P1381">
        <v>295</v>
      </c>
      <c r="Q1381">
        <v>12</v>
      </c>
      <c r="R1381">
        <v>116</v>
      </c>
      <c r="S1381">
        <v>1</v>
      </c>
      <c r="T1381">
        <v>3</v>
      </c>
      <c r="U1381">
        <v>11</v>
      </c>
      <c r="V1381">
        <v>4</v>
      </c>
      <c r="W1381">
        <v>3</v>
      </c>
      <c r="X1381">
        <v>125</v>
      </c>
      <c r="Y1381" t="s">
        <v>77</v>
      </c>
      <c r="Z1381">
        <v>1</v>
      </c>
      <c r="AA1381">
        <v>3</v>
      </c>
      <c r="AB1381">
        <v>2</v>
      </c>
      <c r="AD1381" t="s">
        <v>77</v>
      </c>
      <c r="AE1381">
        <v>2</v>
      </c>
      <c r="AF1381" t="s">
        <v>77</v>
      </c>
      <c r="AG1381" t="s">
        <v>77</v>
      </c>
      <c r="AI1381" t="s">
        <v>77</v>
      </c>
      <c r="AJ1381">
        <v>12</v>
      </c>
      <c r="AK1381">
        <v>295</v>
      </c>
      <c r="AL1381">
        <v>295</v>
      </c>
      <c r="AM1381">
        <v>446</v>
      </c>
      <c r="AN1381">
        <v>44</v>
      </c>
      <c r="AO1381" t="s">
        <v>78</v>
      </c>
      <c r="AP1381">
        <v>1</v>
      </c>
      <c r="AR1381" t="s">
        <v>1468</v>
      </c>
      <c r="AS1381" s="1">
        <v>44354.4375</v>
      </c>
      <c r="AT1381" s="1">
        <v>44354.444571759261</v>
      </c>
      <c r="AU1381" s="1">
        <v>44354.445300925923</v>
      </c>
      <c r="AV1381" t="s">
        <v>71</v>
      </c>
      <c r="AW1381" t="s">
        <v>72</v>
      </c>
      <c r="AX1381" t="s">
        <v>73</v>
      </c>
    </row>
    <row r="1382" spans="1:50" x14ac:dyDescent="0.3">
      <c r="A1382" t="str">
        <f>"202119B0000"</f>
        <v>202119B0000</v>
      </c>
      <c r="B1382" t="str">
        <f>"202119B00002"</f>
        <v>202119B00002</v>
      </c>
      <c r="C1382" t="str">
        <f t="shared" si="66"/>
        <v>20</v>
      </c>
      <c r="D1382" t="s">
        <v>67</v>
      </c>
      <c r="E1382" t="str">
        <f t="shared" si="68"/>
        <v>006</v>
      </c>
      <c r="F1382" t="s">
        <v>1254</v>
      </c>
      <c r="G1382" t="str">
        <f>"2119"</f>
        <v>2119</v>
      </c>
      <c r="H1382" t="str">
        <f t="shared" ref="H1382:H1389" si="69">"0000"</f>
        <v>0000</v>
      </c>
      <c r="I1382" t="s">
        <v>69</v>
      </c>
      <c r="J1382">
        <v>0</v>
      </c>
      <c r="K1382">
        <v>1</v>
      </c>
      <c r="L1382">
        <v>2</v>
      </c>
      <c r="M1382">
        <v>197</v>
      </c>
      <c r="N1382">
        <v>227</v>
      </c>
      <c r="O1382">
        <v>0</v>
      </c>
      <c r="P1382">
        <v>227</v>
      </c>
      <c r="Q1382">
        <v>7</v>
      </c>
      <c r="R1382">
        <v>80</v>
      </c>
      <c r="S1382">
        <v>1</v>
      </c>
      <c r="T1382">
        <v>1</v>
      </c>
      <c r="U1382">
        <v>23</v>
      </c>
      <c r="V1382">
        <v>3</v>
      </c>
      <c r="W1382">
        <v>0</v>
      </c>
      <c r="X1382">
        <v>94</v>
      </c>
      <c r="Y1382">
        <v>8</v>
      </c>
      <c r="Z1382">
        <v>0</v>
      </c>
      <c r="AA1382">
        <v>2</v>
      </c>
      <c r="AB1382">
        <v>1</v>
      </c>
      <c r="AD1382">
        <v>2</v>
      </c>
      <c r="AE1382">
        <v>1</v>
      </c>
      <c r="AF1382">
        <v>0</v>
      </c>
      <c r="AG1382">
        <v>0</v>
      </c>
      <c r="AI1382">
        <v>0</v>
      </c>
      <c r="AJ1382">
        <v>4</v>
      </c>
      <c r="AK1382">
        <v>227</v>
      </c>
      <c r="AL1382">
        <v>227</v>
      </c>
      <c r="AM1382">
        <v>380</v>
      </c>
      <c r="AN1382">
        <v>44</v>
      </c>
      <c r="AP1382">
        <v>1</v>
      </c>
      <c r="AR1382" t="s">
        <v>1469</v>
      </c>
      <c r="AS1382" s="1">
        <v>44354.470833333333</v>
      </c>
      <c r="AT1382" s="1">
        <v>44354.473645833335</v>
      </c>
      <c r="AU1382" s="1">
        <v>44354.474282407406</v>
      </c>
      <c r="AV1382" t="s">
        <v>71</v>
      </c>
      <c r="AW1382" t="s">
        <v>72</v>
      </c>
      <c r="AX1382" t="s">
        <v>73</v>
      </c>
    </row>
    <row r="1383" spans="1:50" x14ac:dyDescent="0.3">
      <c r="A1383" t="str">
        <f>"202120B0000"</f>
        <v>202120B0000</v>
      </c>
      <c r="B1383" t="str">
        <f>"202120B00002"</f>
        <v>202120B00002</v>
      </c>
      <c r="C1383" t="str">
        <f t="shared" si="66"/>
        <v>20</v>
      </c>
      <c r="D1383" t="s">
        <v>67</v>
      </c>
      <c r="E1383" t="str">
        <f t="shared" si="68"/>
        <v>006</v>
      </c>
      <c r="F1383" t="s">
        <v>1254</v>
      </c>
      <c r="G1383" t="str">
        <f>"2120"</f>
        <v>2120</v>
      </c>
      <c r="H1383" t="str">
        <f t="shared" si="69"/>
        <v>0000</v>
      </c>
      <c r="I1383" t="s">
        <v>69</v>
      </c>
      <c r="J1383">
        <v>0</v>
      </c>
      <c r="K1383">
        <v>1</v>
      </c>
      <c r="L1383">
        <v>2</v>
      </c>
      <c r="M1383">
        <v>182</v>
      </c>
      <c r="N1383">
        <v>149</v>
      </c>
      <c r="O1383">
        <v>3</v>
      </c>
      <c r="P1383">
        <v>149</v>
      </c>
      <c r="Q1383">
        <v>2</v>
      </c>
      <c r="R1383">
        <v>42</v>
      </c>
      <c r="S1383">
        <v>1</v>
      </c>
      <c r="T1383">
        <v>1</v>
      </c>
      <c r="U1383">
        <v>7</v>
      </c>
      <c r="V1383">
        <v>1</v>
      </c>
      <c r="W1383">
        <v>0</v>
      </c>
      <c r="X1383">
        <v>90</v>
      </c>
      <c r="Y1383">
        <v>0</v>
      </c>
      <c r="Z1383">
        <v>0</v>
      </c>
      <c r="AA1383">
        <v>3</v>
      </c>
      <c r="AB1383">
        <v>0</v>
      </c>
      <c r="AD1383">
        <v>0</v>
      </c>
      <c r="AE1383">
        <v>0</v>
      </c>
      <c r="AF1383">
        <v>0</v>
      </c>
      <c r="AG1383">
        <v>0</v>
      </c>
      <c r="AI1383">
        <v>0</v>
      </c>
      <c r="AJ1383">
        <v>2</v>
      </c>
      <c r="AK1383">
        <v>149</v>
      </c>
      <c r="AL1383">
        <v>149</v>
      </c>
      <c r="AM1383">
        <v>287</v>
      </c>
      <c r="AN1383">
        <v>44</v>
      </c>
      <c r="AP1383">
        <v>1</v>
      </c>
      <c r="AR1383" t="s">
        <v>1470</v>
      </c>
      <c r="AS1383" s="1">
        <v>44354.472222222219</v>
      </c>
      <c r="AT1383" s="1">
        <v>44354.47552083333</v>
      </c>
      <c r="AU1383" s="1">
        <v>44354.475856481484</v>
      </c>
      <c r="AV1383" t="s">
        <v>71</v>
      </c>
      <c r="AW1383" t="s">
        <v>72</v>
      </c>
      <c r="AX1383" t="s">
        <v>73</v>
      </c>
    </row>
    <row r="1384" spans="1:50" x14ac:dyDescent="0.3">
      <c r="A1384" t="str">
        <f>"202121B0000"</f>
        <v>202121B0000</v>
      </c>
      <c r="B1384" t="str">
        <f>"202121B00002"</f>
        <v>202121B00002</v>
      </c>
      <c r="C1384" t="str">
        <f t="shared" si="66"/>
        <v>20</v>
      </c>
      <c r="D1384" t="s">
        <v>67</v>
      </c>
      <c r="E1384" t="str">
        <f t="shared" si="68"/>
        <v>006</v>
      </c>
      <c r="F1384" t="s">
        <v>1254</v>
      </c>
      <c r="G1384" t="str">
        <f>"2121"</f>
        <v>2121</v>
      </c>
      <c r="H1384" t="str">
        <f t="shared" si="69"/>
        <v>0000</v>
      </c>
      <c r="I1384" t="s">
        <v>69</v>
      </c>
      <c r="J1384">
        <v>0</v>
      </c>
      <c r="K1384">
        <v>1</v>
      </c>
      <c r="L1384">
        <v>2</v>
      </c>
      <c r="M1384">
        <v>202</v>
      </c>
      <c r="N1384">
        <v>189</v>
      </c>
      <c r="O1384">
        <v>6</v>
      </c>
      <c r="P1384">
        <v>183</v>
      </c>
      <c r="Q1384">
        <v>53</v>
      </c>
      <c r="R1384">
        <v>53</v>
      </c>
      <c r="S1384">
        <v>3</v>
      </c>
      <c r="T1384" t="s">
        <v>77</v>
      </c>
      <c r="U1384" t="s">
        <v>77</v>
      </c>
      <c r="V1384" t="s">
        <v>77</v>
      </c>
      <c r="W1384" t="s">
        <v>77</v>
      </c>
      <c r="X1384">
        <v>123</v>
      </c>
      <c r="Y1384">
        <v>2</v>
      </c>
      <c r="Z1384">
        <v>0</v>
      </c>
      <c r="AA1384">
        <v>0</v>
      </c>
      <c r="AB1384">
        <v>0</v>
      </c>
      <c r="AD1384" t="s">
        <v>77</v>
      </c>
      <c r="AE1384" t="s">
        <v>77</v>
      </c>
      <c r="AF1384" t="s">
        <v>77</v>
      </c>
      <c r="AG1384">
        <v>1</v>
      </c>
      <c r="AI1384" t="s">
        <v>77</v>
      </c>
      <c r="AJ1384">
        <v>1</v>
      </c>
      <c r="AK1384">
        <v>183</v>
      </c>
      <c r="AL1384">
        <v>236</v>
      </c>
      <c r="AM1384">
        <v>346</v>
      </c>
      <c r="AN1384">
        <v>44</v>
      </c>
      <c r="AO1384" t="s">
        <v>78</v>
      </c>
      <c r="AP1384">
        <v>1</v>
      </c>
      <c r="AR1384" t="s">
        <v>1471</v>
      </c>
      <c r="AS1384" s="1">
        <v>44354.45208333333</v>
      </c>
      <c r="AT1384" s="1">
        <v>44354.455312500002</v>
      </c>
      <c r="AU1384" s="1">
        <v>44354.457685185182</v>
      </c>
      <c r="AV1384" t="s">
        <v>71</v>
      </c>
      <c r="AW1384" t="s">
        <v>72</v>
      </c>
      <c r="AX1384" t="s">
        <v>73</v>
      </c>
    </row>
    <row r="1385" spans="1:50" x14ac:dyDescent="0.3">
      <c r="A1385" t="str">
        <f>"202122B0000"</f>
        <v>202122B0000</v>
      </c>
      <c r="B1385" t="str">
        <f>"202122B00002"</f>
        <v>202122B00002</v>
      </c>
      <c r="C1385" t="str">
        <f t="shared" si="66"/>
        <v>20</v>
      </c>
      <c r="D1385" t="s">
        <v>67</v>
      </c>
      <c r="E1385" t="str">
        <f t="shared" si="68"/>
        <v>006</v>
      </c>
      <c r="F1385" t="s">
        <v>1254</v>
      </c>
      <c r="G1385" t="str">
        <f>"2122"</f>
        <v>2122</v>
      </c>
      <c r="H1385" t="str">
        <f t="shared" si="69"/>
        <v>0000</v>
      </c>
      <c r="I1385" t="s">
        <v>69</v>
      </c>
      <c r="J1385">
        <v>0</v>
      </c>
      <c r="K1385">
        <v>1</v>
      </c>
      <c r="L1385">
        <v>2</v>
      </c>
      <c r="M1385">
        <v>276</v>
      </c>
      <c r="N1385">
        <v>367</v>
      </c>
      <c r="O1385">
        <v>7</v>
      </c>
      <c r="P1385">
        <v>367</v>
      </c>
      <c r="Q1385">
        <v>6</v>
      </c>
      <c r="R1385">
        <v>111</v>
      </c>
      <c r="S1385">
        <v>5</v>
      </c>
      <c r="T1385">
        <v>4</v>
      </c>
      <c r="U1385">
        <v>50</v>
      </c>
      <c r="V1385">
        <v>2</v>
      </c>
      <c r="W1385">
        <v>0</v>
      </c>
      <c r="X1385">
        <v>170</v>
      </c>
      <c r="Y1385">
        <v>2</v>
      </c>
      <c r="Z1385">
        <v>3</v>
      </c>
      <c r="AA1385">
        <v>5</v>
      </c>
      <c r="AB1385">
        <v>2</v>
      </c>
      <c r="AD1385" t="s">
        <v>77</v>
      </c>
      <c r="AE1385" t="s">
        <v>77</v>
      </c>
      <c r="AF1385" t="s">
        <v>77</v>
      </c>
      <c r="AG1385" t="s">
        <v>77</v>
      </c>
      <c r="AI1385" t="s">
        <v>77</v>
      </c>
      <c r="AJ1385">
        <v>7</v>
      </c>
      <c r="AK1385">
        <v>367</v>
      </c>
      <c r="AL1385">
        <v>367</v>
      </c>
      <c r="AM1385">
        <v>599</v>
      </c>
      <c r="AN1385">
        <v>44</v>
      </c>
      <c r="AO1385" t="s">
        <v>78</v>
      </c>
      <c r="AP1385">
        <v>1</v>
      </c>
      <c r="AR1385" t="s">
        <v>1472</v>
      </c>
      <c r="AS1385" s="1">
        <v>44354.431944444441</v>
      </c>
      <c r="AT1385" s="1">
        <v>44354.434166666666</v>
      </c>
      <c r="AU1385" s="1">
        <v>44354.435034722221</v>
      </c>
      <c r="AV1385" t="s">
        <v>71</v>
      </c>
      <c r="AW1385" t="s">
        <v>72</v>
      </c>
      <c r="AX1385" t="s">
        <v>73</v>
      </c>
    </row>
    <row r="1386" spans="1:50" x14ac:dyDescent="0.3">
      <c r="A1386" t="str">
        <f>"202165B0000"</f>
        <v>202165B0000</v>
      </c>
      <c r="B1386" t="str">
        <f>"202165B00002"</f>
        <v>202165B00002</v>
      </c>
      <c r="C1386" t="str">
        <f t="shared" si="66"/>
        <v>20</v>
      </c>
      <c r="D1386" t="s">
        <v>67</v>
      </c>
      <c r="E1386" t="str">
        <f t="shared" si="68"/>
        <v>006</v>
      </c>
      <c r="F1386" t="s">
        <v>1254</v>
      </c>
      <c r="G1386" t="str">
        <f>"2165"</f>
        <v>2165</v>
      </c>
      <c r="H1386" t="str">
        <f t="shared" si="69"/>
        <v>0000</v>
      </c>
      <c r="I1386" t="s">
        <v>69</v>
      </c>
      <c r="J1386">
        <v>0</v>
      </c>
      <c r="K1386">
        <v>1</v>
      </c>
      <c r="L1386">
        <v>2</v>
      </c>
      <c r="M1386">
        <v>379</v>
      </c>
      <c r="N1386">
        <v>102</v>
      </c>
      <c r="O1386">
        <v>6</v>
      </c>
      <c r="P1386">
        <v>102</v>
      </c>
      <c r="Q1386">
        <v>1</v>
      </c>
      <c r="R1386">
        <v>24</v>
      </c>
      <c r="S1386">
        <v>3</v>
      </c>
      <c r="T1386">
        <v>0</v>
      </c>
      <c r="U1386">
        <v>3</v>
      </c>
      <c r="V1386">
        <v>2</v>
      </c>
      <c r="W1386">
        <v>1</v>
      </c>
      <c r="X1386">
        <v>60</v>
      </c>
      <c r="Y1386">
        <v>1</v>
      </c>
      <c r="Z1386">
        <v>1</v>
      </c>
      <c r="AA1386">
        <v>0</v>
      </c>
      <c r="AB1386">
        <v>1</v>
      </c>
      <c r="AD1386">
        <v>0</v>
      </c>
      <c r="AE1386">
        <v>0</v>
      </c>
      <c r="AF1386">
        <v>0</v>
      </c>
      <c r="AG1386">
        <v>0</v>
      </c>
      <c r="AI1386">
        <v>0</v>
      </c>
      <c r="AJ1386">
        <v>5</v>
      </c>
      <c r="AK1386">
        <v>102</v>
      </c>
      <c r="AL1386">
        <v>102</v>
      </c>
      <c r="AM1386">
        <v>437</v>
      </c>
      <c r="AN1386">
        <v>44</v>
      </c>
      <c r="AP1386">
        <v>1</v>
      </c>
      <c r="AR1386" t="s">
        <v>1473</v>
      </c>
      <c r="AS1386" s="1">
        <v>44354.433333333334</v>
      </c>
      <c r="AT1386" s="1">
        <v>44354.435023148151</v>
      </c>
      <c r="AU1386" s="1">
        <v>44354.435578703706</v>
      </c>
      <c r="AV1386" t="s">
        <v>71</v>
      </c>
      <c r="AW1386" t="s">
        <v>72</v>
      </c>
      <c r="AX1386" t="s">
        <v>347</v>
      </c>
    </row>
    <row r="1387" spans="1:50" x14ac:dyDescent="0.3">
      <c r="A1387" t="str">
        <f>"202166B0000"</f>
        <v>202166B0000</v>
      </c>
      <c r="B1387" t="str">
        <f>"202166B00002"</f>
        <v>202166B00002</v>
      </c>
      <c r="C1387" t="str">
        <f t="shared" si="66"/>
        <v>20</v>
      </c>
      <c r="D1387" t="s">
        <v>67</v>
      </c>
      <c r="E1387" t="str">
        <f t="shared" si="68"/>
        <v>006</v>
      </c>
      <c r="F1387" t="s">
        <v>1254</v>
      </c>
      <c r="G1387" t="str">
        <f>"2166"</f>
        <v>2166</v>
      </c>
      <c r="H1387" t="str">
        <f t="shared" si="69"/>
        <v>0000</v>
      </c>
      <c r="I1387" t="s">
        <v>69</v>
      </c>
      <c r="J1387">
        <v>0</v>
      </c>
      <c r="K1387">
        <v>1</v>
      </c>
      <c r="L1387">
        <v>2</v>
      </c>
      <c r="M1387">
        <v>372</v>
      </c>
      <c r="N1387">
        <v>80</v>
      </c>
      <c r="O1387">
        <v>0</v>
      </c>
      <c r="P1387">
        <v>80</v>
      </c>
      <c r="Q1387">
        <v>2</v>
      </c>
      <c r="R1387">
        <v>22</v>
      </c>
      <c r="S1387">
        <v>6</v>
      </c>
      <c r="T1387">
        <v>0</v>
      </c>
      <c r="U1387">
        <v>2</v>
      </c>
      <c r="V1387">
        <v>2</v>
      </c>
      <c r="W1387">
        <v>0</v>
      </c>
      <c r="X1387">
        <v>40</v>
      </c>
      <c r="Y1387">
        <v>0</v>
      </c>
      <c r="Z1387">
        <v>1</v>
      </c>
      <c r="AA1387">
        <v>0</v>
      </c>
      <c r="AB1387">
        <v>2</v>
      </c>
      <c r="AD1387">
        <v>0</v>
      </c>
      <c r="AE1387">
        <v>0</v>
      </c>
      <c r="AF1387">
        <v>0</v>
      </c>
      <c r="AG1387">
        <v>0</v>
      </c>
      <c r="AI1387">
        <v>0</v>
      </c>
      <c r="AJ1387">
        <v>3</v>
      </c>
      <c r="AK1387">
        <v>80</v>
      </c>
      <c r="AL1387">
        <v>80</v>
      </c>
      <c r="AM1387">
        <v>408</v>
      </c>
      <c r="AN1387">
        <v>44</v>
      </c>
      <c r="AP1387">
        <v>1</v>
      </c>
      <c r="AR1387" t="s">
        <v>1474</v>
      </c>
      <c r="AS1387" s="1">
        <v>44354.431944444441</v>
      </c>
      <c r="AT1387" s="1">
        <v>44354.434560185182</v>
      </c>
      <c r="AU1387" s="1">
        <v>44354.435497685183</v>
      </c>
      <c r="AV1387" t="s">
        <v>71</v>
      </c>
      <c r="AW1387" t="s">
        <v>72</v>
      </c>
      <c r="AX1387" t="s">
        <v>73</v>
      </c>
    </row>
    <row r="1388" spans="1:50" x14ac:dyDescent="0.3">
      <c r="A1388" t="str">
        <f>"202237B0000"</f>
        <v>202237B0000</v>
      </c>
      <c r="B1388" t="str">
        <f>"202237B00002"</f>
        <v>202237B00002</v>
      </c>
      <c r="C1388" t="str">
        <f t="shared" si="66"/>
        <v>20</v>
      </c>
      <c r="D1388" t="s">
        <v>67</v>
      </c>
      <c r="E1388" t="str">
        <f t="shared" si="68"/>
        <v>006</v>
      </c>
      <c r="F1388" t="s">
        <v>1254</v>
      </c>
      <c r="G1388" t="str">
        <f>"2237"</f>
        <v>2237</v>
      </c>
      <c r="H1388" t="str">
        <f t="shared" si="69"/>
        <v>0000</v>
      </c>
      <c r="I1388" t="s">
        <v>69</v>
      </c>
      <c r="J1388">
        <v>0</v>
      </c>
      <c r="K1388">
        <v>1</v>
      </c>
      <c r="L1388">
        <v>2</v>
      </c>
      <c r="M1388">
        <v>287</v>
      </c>
      <c r="N1388">
        <v>386</v>
      </c>
      <c r="O1388">
        <v>11</v>
      </c>
      <c r="P1388">
        <v>386</v>
      </c>
      <c r="Q1388">
        <v>2</v>
      </c>
      <c r="R1388">
        <v>44</v>
      </c>
      <c r="S1388">
        <v>23</v>
      </c>
      <c r="T1388">
        <v>5</v>
      </c>
      <c r="U1388">
        <v>15</v>
      </c>
      <c r="V1388">
        <v>1</v>
      </c>
      <c r="W1388">
        <v>68</v>
      </c>
      <c r="X1388">
        <v>195</v>
      </c>
      <c r="Y1388">
        <v>13</v>
      </c>
      <c r="Z1388">
        <v>0</v>
      </c>
      <c r="AA1388">
        <v>0</v>
      </c>
      <c r="AB1388">
        <v>4</v>
      </c>
      <c r="AD1388">
        <v>0</v>
      </c>
      <c r="AE1388">
        <v>0</v>
      </c>
      <c r="AF1388">
        <v>0</v>
      </c>
      <c r="AG1388">
        <v>0</v>
      </c>
      <c r="AI1388">
        <v>0</v>
      </c>
      <c r="AJ1388">
        <v>16</v>
      </c>
      <c r="AK1388">
        <v>386</v>
      </c>
      <c r="AL1388">
        <v>386</v>
      </c>
      <c r="AM1388">
        <v>629</v>
      </c>
      <c r="AN1388">
        <v>44</v>
      </c>
      <c r="AP1388">
        <v>1</v>
      </c>
      <c r="AR1388" t="s">
        <v>1475</v>
      </c>
      <c r="AS1388" s="1">
        <v>44354.277777777781</v>
      </c>
      <c r="AT1388" s="1">
        <v>44354.282337962963</v>
      </c>
      <c r="AU1388" s="1">
        <v>44354.282870370371</v>
      </c>
      <c r="AV1388" t="s">
        <v>71</v>
      </c>
      <c r="AW1388" t="s">
        <v>72</v>
      </c>
      <c r="AX1388" t="s">
        <v>73</v>
      </c>
    </row>
    <row r="1389" spans="1:50" x14ac:dyDescent="0.3">
      <c r="A1389" t="str">
        <f>"202238B0000"</f>
        <v>202238B0000</v>
      </c>
      <c r="B1389" t="str">
        <f>"202238B00002"</f>
        <v>202238B00002</v>
      </c>
      <c r="C1389" t="str">
        <f t="shared" si="66"/>
        <v>20</v>
      </c>
      <c r="D1389" t="s">
        <v>67</v>
      </c>
      <c r="E1389" t="str">
        <f t="shared" si="68"/>
        <v>006</v>
      </c>
      <c r="F1389" t="s">
        <v>1254</v>
      </c>
      <c r="G1389" t="str">
        <f>"2238"</f>
        <v>2238</v>
      </c>
      <c r="H1389" t="str">
        <f t="shared" si="69"/>
        <v>0000</v>
      </c>
      <c r="I1389" t="s">
        <v>69</v>
      </c>
      <c r="J1389">
        <v>0</v>
      </c>
      <c r="K1389">
        <v>1</v>
      </c>
      <c r="L1389">
        <v>2</v>
      </c>
      <c r="M1389">
        <v>156</v>
      </c>
      <c r="N1389">
        <v>286</v>
      </c>
      <c r="O1389">
        <v>0</v>
      </c>
      <c r="P1389">
        <v>286</v>
      </c>
      <c r="Q1389">
        <v>3</v>
      </c>
      <c r="R1389">
        <v>63</v>
      </c>
      <c r="S1389">
        <v>34</v>
      </c>
      <c r="T1389">
        <v>4</v>
      </c>
      <c r="U1389">
        <v>13</v>
      </c>
      <c r="V1389">
        <v>1</v>
      </c>
      <c r="W1389">
        <v>16</v>
      </c>
      <c r="X1389">
        <v>130</v>
      </c>
      <c r="Y1389">
        <v>0</v>
      </c>
      <c r="Z1389">
        <v>3</v>
      </c>
      <c r="AA1389">
        <v>1</v>
      </c>
      <c r="AB1389">
        <v>0</v>
      </c>
      <c r="AD1389">
        <v>0</v>
      </c>
      <c r="AE1389">
        <v>0</v>
      </c>
      <c r="AF1389">
        <v>0</v>
      </c>
      <c r="AG1389">
        <v>0</v>
      </c>
      <c r="AI1389">
        <v>0</v>
      </c>
      <c r="AJ1389">
        <v>18</v>
      </c>
      <c r="AK1389">
        <v>286</v>
      </c>
      <c r="AL1389">
        <v>286</v>
      </c>
      <c r="AM1389">
        <v>398</v>
      </c>
      <c r="AN1389">
        <v>44</v>
      </c>
      <c r="AP1389">
        <v>1</v>
      </c>
      <c r="AR1389" t="s">
        <v>1476</v>
      </c>
      <c r="AS1389" s="1">
        <v>44354.279166666667</v>
      </c>
      <c r="AT1389" s="1">
        <v>44354.282060185185</v>
      </c>
      <c r="AU1389" s="1">
        <v>44354.282638888886</v>
      </c>
      <c r="AV1389" t="s">
        <v>71</v>
      </c>
      <c r="AW1389" t="s">
        <v>72</v>
      </c>
      <c r="AX1389" t="s">
        <v>73</v>
      </c>
    </row>
    <row r="1390" spans="1:50" x14ac:dyDescent="0.3">
      <c r="A1390" t="str">
        <f>"202238C0100"</f>
        <v>202238C0100</v>
      </c>
      <c r="B1390" t="str">
        <f>"202238C01002"</f>
        <v>202238C01002</v>
      </c>
      <c r="C1390" t="str">
        <f t="shared" si="66"/>
        <v>20</v>
      </c>
      <c r="D1390" t="s">
        <v>67</v>
      </c>
      <c r="E1390" t="str">
        <f t="shared" si="68"/>
        <v>006</v>
      </c>
      <c r="F1390" t="s">
        <v>1254</v>
      </c>
      <c r="G1390" t="str">
        <f>"2238"</f>
        <v>2238</v>
      </c>
      <c r="H1390" t="str">
        <f>"0001"</f>
        <v>0001</v>
      </c>
      <c r="I1390" t="s">
        <v>75</v>
      </c>
      <c r="J1390">
        <v>0</v>
      </c>
      <c r="K1390">
        <v>1</v>
      </c>
      <c r="L1390">
        <v>2</v>
      </c>
      <c r="M1390">
        <v>162</v>
      </c>
      <c r="N1390">
        <v>279</v>
      </c>
      <c r="O1390">
        <v>6</v>
      </c>
      <c r="P1390">
        <v>279</v>
      </c>
      <c r="Q1390">
        <v>4</v>
      </c>
      <c r="R1390">
        <v>48</v>
      </c>
      <c r="S1390">
        <v>28</v>
      </c>
      <c r="T1390">
        <v>4</v>
      </c>
      <c r="U1390">
        <v>9</v>
      </c>
      <c r="V1390">
        <v>1</v>
      </c>
      <c r="W1390">
        <v>12</v>
      </c>
      <c r="X1390">
        <v>151</v>
      </c>
      <c r="Y1390">
        <v>4</v>
      </c>
      <c r="Z1390">
        <v>1</v>
      </c>
      <c r="AA1390">
        <v>0</v>
      </c>
      <c r="AB1390">
        <v>0</v>
      </c>
      <c r="AD1390">
        <v>0</v>
      </c>
      <c r="AE1390">
        <v>0</v>
      </c>
      <c r="AF1390">
        <v>0</v>
      </c>
      <c r="AG1390">
        <v>0</v>
      </c>
      <c r="AI1390">
        <v>0</v>
      </c>
      <c r="AJ1390">
        <v>17</v>
      </c>
      <c r="AK1390">
        <v>279</v>
      </c>
      <c r="AL1390">
        <v>279</v>
      </c>
      <c r="AM1390">
        <v>397</v>
      </c>
      <c r="AN1390">
        <v>44</v>
      </c>
      <c r="AP1390">
        <v>1</v>
      </c>
      <c r="AR1390" t="s">
        <v>1477</v>
      </c>
      <c r="AS1390" s="1">
        <v>44354.275000000001</v>
      </c>
      <c r="AT1390" s="1">
        <v>44354.280011574076</v>
      </c>
      <c r="AU1390" s="1">
        <v>44354.280717592592</v>
      </c>
      <c r="AV1390" t="s">
        <v>71</v>
      </c>
      <c r="AW1390" t="s">
        <v>72</v>
      </c>
      <c r="AX1390" t="s">
        <v>73</v>
      </c>
    </row>
    <row r="1391" spans="1:50" x14ac:dyDescent="0.3">
      <c r="A1391" t="str">
        <f>"202239B0000"</f>
        <v>202239B0000</v>
      </c>
      <c r="B1391" t="str">
        <f>"202239B00002"</f>
        <v>202239B00002</v>
      </c>
      <c r="C1391" t="str">
        <f t="shared" si="66"/>
        <v>20</v>
      </c>
      <c r="D1391" t="s">
        <v>67</v>
      </c>
      <c r="E1391" t="str">
        <f t="shared" si="68"/>
        <v>006</v>
      </c>
      <c r="F1391" t="s">
        <v>1254</v>
      </c>
      <c r="G1391" t="str">
        <f>"2239"</f>
        <v>2239</v>
      </c>
      <c r="H1391" t="str">
        <f>"0000"</f>
        <v>0000</v>
      </c>
      <c r="I1391" t="s">
        <v>69</v>
      </c>
      <c r="J1391">
        <v>0</v>
      </c>
      <c r="K1391">
        <v>1</v>
      </c>
      <c r="L1391">
        <v>2</v>
      </c>
      <c r="M1391">
        <v>173</v>
      </c>
      <c r="N1391">
        <v>323</v>
      </c>
      <c r="O1391">
        <v>1</v>
      </c>
      <c r="P1391">
        <v>323</v>
      </c>
      <c r="Q1391">
        <v>4</v>
      </c>
      <c r="R1391">
        <v>47</v>
      </c>
      <c r="S1391">
        <v>32</v>
      </c>
      <c r="T1391">
        <v>3</v>
      </c>
      <c r="U1391">
        <v>33</v>
      </c>
      <c r="V1391">
        <v>4</v>
      </c>
      <c r="W1391">
        <v>29</v>
      </c>
      <c r="X1391">
        <v>156</v>
      </c>
      <c r="Y1391">
        <v>3</v>
      </c>
      <c r="Z1391">
        <v>2</v>
      </c>
      <c r="AA1391">
        <v>3</v>
      </c>
      <c r="AB1391">
        <v>0</v>
      </c>
      <c r="AD1391">
        <v>0</v>
      </c>
      <c r="AE1391">
        <v>0</v>
      </c>
      <c r="AF1391">
        <v>0</v>
      </c>
      <c r="AG1391">
        <v>1</v>
      </c>
      <c r="AI1391">
        <v>0</v>
      </c>
      <c r="AJ1391">
        <v>6</v>
      </c>
      <c r="AK1391">
        <v>323</v>
      </c>
      <c r="AL1391">
        <v>323</v>
      </c>
      <c r="AM1391">
        <v>452</v>
      </c>
      <c r="AN1391">
        <v>44</v>
      </c>
      <c r="AP1391">
        <v>1</v>
      </c>
      <c r="AR1391" t="s">
        <v>1478</v>
      </c>
      <c r="AS1391" s="1">
        <v>44354.263194444444</v>
      </c>
      <c r="AT1391" s="1">
        <v>44354.276250000003</v>
      </c>
      <c r="AU1391" s="1">
        <v>44354.277037037034</v>
      </c>
      <c r="AV1391" t="s">
        <v>71</v>
      </c>
      <c r="AW1391" t="s">
        <v>72</v>
      </c>
      <c r="AX1391" t="s">
        <v>73</v>
      </c>
    </row>
    <row r="1392" spans="1:50" x14ac:dyDescent="0.3">
      <c r="A1392" t="str">
        <f>"202239C0100"</f>
        <v>202239C0100</v>
      </c>
      <c r="B1392" t="str">
        <f>"202239C01002"</f>
        <v>202239C01002</v>
      </c>
      <c r="C1392" t="str">
        <f t="shared" si="66"/>
        <v>20</v>
      </c>
      <c r="D1392" t="s">
        <v>67</v>
      </c>
      <c r="E1392" t="str">
        <f t="shared" si="68"/>
        <v>006</v>
      </c>
      <c r="F1392" t="s">
        <v>1254</v>
      </c>
      <c r="G1392" t="str">
        <f>"2239"</f>
        <v>2239</v>
      </c>
      <c r="H1392" t="str">
        <f>"0001"</f>
        <v>0001</v>
      </c>
      <c r="I1392" t="s">
        <v>75</v>
      </c>
      <c r="J1392">
        <v>0</v>
      </c>
      <c r="K1392">
        <v>1</v>
      </c>
      <c r="L1392">
        <v>2</v>
      </c>
      <c r="M1392">
        <v>187</v>
      </c>
      <c r="N1392">
        <v>309</v>
      </c>
      <c r="O1392">
        <v>0</v>
      </c>
      <c r="P1392">
        <v>309</v>
      </c>
      <c r="Q1392">
        <v>4</v>
      </c>
      <c r="R1392">
        <v>59</v>
      </c>
      <c r="S1392">
        <v>35</v>
      </c>
      <c r="T1392">
        <v>3</v>
      </c>
      <c r="U1392">
        <v>15</v>
      </c>
      <c r="V1392">
        <v>2</v>
      </c>
      <c r="W1392">
        <v>20</v>
      </c>
      <c r="X1392">
        <v>150</v>
      </c>
      <c r="Y1392">
        <v>2</v>
      </c>
      <c r="Z1392">
        <v>1</v>
      </c>
      <c r="AA1392">
        <v>2</v>
      </c>
      <c r="AB1392">
        <v>0</v>
      </c>
      <c r="AD1392">
        <v>0</v>
      </c>
      <c r="AE1392">
        <v>1</v>
      </c>
      <c r="AF1392">
        <v>0</v>
      </c>
      <c r="AG1392">
        <v>0</v>
      </c>
      <c r="AI1392">
        <v>0</v>
      </c>
      <c r="AJ1392">
        <v>15</v>
      </c>
      <c r="AK1392">
        <v>309</v>
      </c>
      <c r="AL1392">
        <v>309</v>
      </c>
      <c r="AM1392">
        <v>452</v>
      </c>
      <c r="AN1392">
        <v>44</v>
      </c>
      <c r="AP1392">
        <v>1</v>
      </c>
      <c r="AR1392" t="s">
        <v>1479</v>
      </c>
      <c r="AS1392" s="1">
        <v>44354.262499999997</v>
      </c>
      <c r="AT1392" s="1">
        <v>44354.276226851849</v>
      </c>
      <c r="AU1392" s="1">
        <v>44354.277662037035</v>
      </c>
      <c r="AV1392" t="s">
        <v>71</v>
      </c>
      <c r="AW1392" t="s">
        <v>72</v>
      </c>
      <c r="AX1392" t="s">
        <v>73</v>
      </c>
    </row>
    <row r="1393" spans="1:50" x14ac:dyDescent="0.3">
      <c r="A1393" t="str">
        <f>"202240B0000"</f>
        <v>202240B0000</v>
      </c>
      <c r="B1393" t="str">
        <f>"202240B00002"</f>
        <v>202240B00002</v>
      </c>
      <c r="C1393" t="str">
        <f t="shared" si="66"/>
        <v>20</v>
      </c>
      <c r="D1393" t="s">
        <v>67</v>
      </c>
      <c r="E1393" t="str">
        <f t="shared" si="68"/>
        <v>006</v>
      </c>
      <c r="F1393" t="s">
        <v>1254</v>
      </c>
      <c r="G1393" t="str">
        <f>"2240"</f>
        <v>2240</v>
      </c>
      <c r="H1393" t="str">
        <f>"0000"</f>
        <v>0000</v>
      </c>
      <c r="I1393" t="s">
        <v>69</v>
      </c>
      <c r="J1393">
        <v>0</v>
      </c>
      <c r="K1393">
        <v>1</v>
      </c>
      <c r="L1393">
        <v>2</v>
      </c>
      <c r="M1393">
        <v>205</v>
      </c>
      <c r="N1393">
        <v>231</v>
      </c>
      <c r="O1393">
        <v>0</v>
      </c>
      <c r="P1393">
        <v>213</v>
      </c>
      <c r="Q1393" t="s">
        <v>77</v>
      </c>
      <c r="R1393">
        <v>56</v>
      </c>
      <c r="S1393">
        <v>29</v>
      </c>
      <c r="T1393" t="s">
        <v>77</v>
      </c>
      <c r="U1393">
        <v>25</v>
      </c>
      <c r="V1393" t="s">
        <v>77</v>
      </c>
      <c r="W1393">
        <v>39</v>
      </c>
      <c r="X1393">
        <v>61</v>
      </c>
      <c r="Y1393">
        <v>1</v>
      </c>
      <c r="Z1393" t="s">
        <v>77</v>
      </c>
      <c r="AA1393">
        <v>2</v>
      </c>
      <c r="AB1393" t="s">
        <v>77</v>
      </c>
      <c r="AD1393" t="s">
        <v>77</v>
      </c>
      <c r="AE1393" t="s">
        <v>77</v>
      </c>
      <c r="AF1393" t="s">
        <v>77</v>
      </c>
      <c r="AG1393" t="s">
        <v>77</v>
      </c>
      <c r="AI1393" t="s">
        <v>77</v>
      </c>
      <c r="AJ1393" t="s">
        <v>77</v>
      </c>
      <c r="AK1393">
        <v>213</v>
      </c>
      <c r="AL1393">
        <v>213</v>
      </c>
      <c r="AM1393">
        <v>392</v>
      </c>
      <c r="AN1393">
        <v>44</v>
      </c>
      <c r="AO1393" t="s">
        <v>78</v>
      </c>
      <c r="AP1393">
        <v>1</v>
      </c>
      <c r="AR1393" t="s">
        <v>1480</v>
      </c>
      <c r="AS1393" s="1">
        <v>44354.261805555558</v>
      </c>
      <c r="AT1393" s="1">
        <v>44354.277939814812</v>
      </c>
      <c r="AU1393" s="1">
        <v>44354.278553240743</v>
      </c>
      <c r="AV1393" t="s">
        <v>71</v>
      </c>
      <c r="AW1393" t="s">
        <v>72</v>
      </c>
      <c r="AX1393" t="s">
        <v>73</v>
      </c>
    </row>
    <row r="1394" spans="1:50" x14ac:dyDescent="0.3">
      <c r="A1394" t="str">
        <f>"202240C0100"</f>
        <v>202240C0100</v>
      </c>
      <c r="B1394" t="str">
        <f>"202240C01002"</f>
        <v>202240C01002</v>
      </c>
      <c r="C1394" t="str">
        <f t="shared" si="66"/>
        <v>20</v>
      </c>
      <c r="D1394" t="s">
        <v>67</v>
      </c>
      <c r="E1394" t="str">
        <f t="shared" si="68"/>
        <v>006</v>
      </c>
      <c r="F1394" t="s">
        <v>1254</v>
      </c>
      <c r="G1394" t="str">
        <f>"2240"</f>
        <v>2240</v>
      </c>
      <c r="H1394" t="str">
        <f>"0001"</f>
        <v>0001</v>
      </c>
      <c r="I1394" t="s">
        <v>75</v>
      </c>
      <c r="J1394">
        <v>0</v>
      </c>
      <c r="K1394">
        <v>1</v>
      </c>
      <c r="L1394">
        <v>2</v>
      </c>
      <c r="M1394">
        <v>231</v>
      </c>
      <c r="N1394">
        <v>207</v>
      </c>
      <c r="O1394">
        <v>1</v>
      </c>
      <c r="P1394">
        <v>207</v>
      </c>
      <c r="Q1394">
        <v>0</v>
      </c>
      <c r="R1394">
        <v>61</v>
      </c>
      <c r="S1394">
        <v>44</v>
      </c>
      <c r="T1394">
        <v>2</v>
      </c>
      <c r="U1394">
        <v>27</v>
      </c>
      <c r="V1394">
        <v>0</v>
      </c>
      <c r="W1394">
        <v>21</v>
      </c>
      <c r="X1394">
        <v>44</v>
      </c>
      <c r="Y1394">
        <v>1</v>
      </c>
      <c r="Z1394">
        <v>0</v>
      </c>
      <c r="AA1394">
        <v>0</v>
      </c>
      <c r="AB1394">
        <v>0</v>
      </c>
      <c r="AD1394">
        <v>105</v>
      </c>
      <c r="AE1394">
        <v>61</v>
      </c>
      <c r="AF1394">
        <v>44</v>
      </c>
      <c r="AG1394">
        <v>105</v>
      </c>
      <c r="AI1394">
        <v>0</v>
      </c>
      <c r="AJ1394">
        <v>10</v>
      </c>
      <c r="AK1394">
        <v>207</v>
      </c>
      <c r="AL1394">
        <v>525</v>
      </c>
      <c r="AM1394">
        <v>392</v>
      </c>
      <c r="AN1394">
        <v>44</v>
      </c>
      <c r="AO1394" t="s">
        <v>245</v>
      </c>
      <c r="AP1394">
        <v>0</v>
      </c>
      <c r="AR1394" t="s">
        <v>1481</v>
      </c>
      <c r="AS1394" s="1">
        <v>44354.261111111111</v>
      </c>
      <c r="AT1394" s="1">
        <v>44354.271331018521</v>
      </c>
      <c r="AU1394" s="1">
        <v>44354.27244212963</v>
      </c>
      <c r="AV1394" t="s">
        <v>71</v>
      </c>
      <c r="AW1394" t="s">
        <v>72</v>
      </c>
      <c r="AX1394" t="s">
        <v>73</v>
      </c>
    </row>
    <row r="1395" spans="1:50" x14ac:dyDescent="0.3">
      <c r="A1395" t="str">
        <f>"202241B0000"</f>
        <v>202241B0000</v>
      </c>
      <c r="B1395" t="str">
        <f>"202241B00002"</f>
        <v>202241B00002</v>
      </c>
      <c r="C1395" t="str">
        <f t="shared" si="66"/>
        <v>20</v>
      </c>
      <c r="D1395" t="s">
        <v>67</v>
      </c>
      <c r="E1395" t="str">
        <f t="shared" si="68"/>
        <v>006</v>
      </c>
      <c r="F1395" t="s">
        <v>1254</v>
      </c>
      <c r="G1395" t="str">
        <f>"2241"</f>
        <v>2241</v>
      </c>
      <c r="H1395" t="str">
        <f>"0000"</f>
        <v>0000</v>
      </c>
      <c r="I1395" t="s">
        <v>69</v>
      </c>
      <c r="J1395">
        <v>0</v>
      </c>
      <c r="K1395">
        <v>1</v>
      </c>
      <c r="L1395">
        <v>2</v>
      </c>
      <c r="M1395">
        <v>113</v>
      </c>
      <c r="N1395">
        <v>78</v>
      </c>
      <c r="O1395">
        <v>10</v>
      </c>
      <c r="P1395">
        <v>78</v>
      </c>
      <c r="Q1395">
        <v>0</v>
      </c>
      <c r="R1395">
        <v>10</v>
      </c>
      <c r="S1395">
        <v>5</v>
      </c>
      <c r="T1395">
        <v>1</v>
      </c>
      <c r="U1395">
        <v>1</v>
      </c>
      <c r="V1395">
        <v>0</v>
      </c>
      <c r="W1395">
        <v>27</v>
      </c>
      <c r="X1395">
        <v>27</v>
      </c>
      <c r="Y1395">
        <v>1</v>
      </c>
      <c r="Z1395">
        <v>1</v>
      </c>
      <c r="AA1395">
        <v>0</v>
      </c>
      <c r="AB1395">
        <v>2</v>
      </c>
      <c r="AD1395" t="s">
        <v>77</v>
      </c>
      <c r="AE1395" t="s">
        <v>77</v>
      </c>
      <c r="AF1395" t="s">
        <v>77</v>
      </c>
      <c r="AG1395" t="s">
        <v>77</v>
      </c>
      <c r="AI1395" t="s">
        <v>77</v>
      </c>
      <c r="AJ1395" t="s">
        <v>77</v>
      </c>
      <c r="AK1395" t="s">
        <v>77</v>
      </c>
      <c r="AL1395">
        <v>75</v>
      </c>
      <c r="AM1395">
        <v>147</v>
      </c>
      <c r="AN1395">
        <v>44</v>
      </c>
      <c r="AO1395" t="s">
        <v>78</v>
      </c>
      <c r="AP1395">
        <v>1</v>
      </c>
      <c r="AR1395" t="s">
        <v>1482</v>
      </c>
      <c r="AS1395" s="1">
        <v>44354.269444444442</v>
      </c>
      <c r="AT1395" s="1">
        <v>44354.271689814814</v>
      </c>
      <c r="AU1395" s="1">
        <v>44354.272256944445</v>
      </c>
      <c r="AV1395" t="s">
        <v>71</v>
      </c>
      <c r="AW1395" t="s">
        <v>72</v>
      </c>
      <c r="AX1395" t="s">
        <v>73</v>
      </c>
    </row>
    <row r="1396" spans="1:50" x14ac:dyDescent="0.3">
      <c r="A1396" t="str">
        <f>"202242B0000"</f>
        <v>202242B0000</v>
      </c>
      <c r="B1396" t="str">
        <f>"202242B00002"</f>
        <v>202242B00002</v>
      </c>
      <c r="C1396" t="str">
        <f t="shared" si="66"/>
        <v>20</v>
      </c>
      <c r="D1396" t="s">
        <v>67</v>
      </c>
      <c r="E1396" t="str">
        <f t="shared" si="68"/>
        <v>006</v>
      </c>
      <c r="F1396" t="s">
        <v>1254</v>
      </c>
      <c r="G1396" t="str">
        <f>"2242"</f>
        <v>2242</v>
      </c>
      <c r="H1396" t="str">
        <f>"0000"</f>
        <v>0000</v>
      </c>
      <c r="I1396" t="s">
        <v>69</v>
      </c>
      <c r="J1396">
        <v>0</v>
      </c>
      <c r="K1396">
        <v>1</v>
      </c>
      <c r="L1396">
        <v>2</v>
      </c>
      <c r="M1396">
        <v>375</v>
      </c>
      <c r="N1396">
        <v>277</v>
      </c>
      <c r="O1396">
        <v>9</v>
      </c>
      <c r="P1396">
        <v>277</v>
      </c>
      <c r="Q1396">
        <v>2</v>
      </c>
      <c r="R1396">
        <v>18</v>
      </c>
      <c r="S1396">
        <v>10</v>
      </c>
      <c r="T1396">
        <v>1</v>
      </c>
      <c r="U1396">
        <v>63</v>
      </c>
      <c r="V1396">
        <v>1</v>
      </c>
      <c r="W1396">
        <v>92</v>
      </c>
      <c r="X1396">
        <v>55</v>
      </c>
      <c r="Y1396">
        <v>10</v>
      </c>
      <c r="Z1396">
        <v>2</v>
      </c>
      <c r="AA1396">
        <v>4</v>
      </c>
      <c r="AB1396">
        <v>0</v>
      </c>
      <c r="AD1396">
        <v>0</v>
      </c>
      <c r="AE1396">
        <v>0</v>
      </c>
      <c r="AF1396">
        <v>0</v>
      </c>
      <c r="AG1396">
        <v>0</v>
      </c>
      <c r="AI1396">
        <v>1</v>
      </c>
      <c r="AJ1396">
        <v>18</v>
      </c>
      <c r="AK1396">
        <v>277</v>
      </c>
      <c r="AL1396">
        <v>277</v>
      </c>
      <c r="AM1396">
        <v>608</v>
      </c>
      <c r="AN1396">
        <v>44</v>
      </c>
      <c r="AP1396">
        <v>1</v>
      </c>
      <c r="AR1396" t="s">
        <v>1483</v>
      </c>
      <c r="AS1396" s="1">
        <v>44354.26458333333</v>
      </c>
      <c r="AT1396" s="1">
        <v>44354.274050925924</v>
      </c>
      <c r="AU1396" s="1">
        <v>44354.274594907409</v>
      </c>
      <c r="AV1396" t="s">
        <v>71</v>
      </c>
      <c r="AW1396" t="s">
        <v>72</v>
      </c>
      <c r="AX1396" t="s">
        <v>73</v>
      </c>
    </row>
    <row r="1397" spans="1:50" x14ac:dyDescent="0.3">
      <c r="A1397" t="str">
        <f>"202242C0100"</f>
        <v>202242C0100</v>
      </c>
      <c r="B1397" t="str">
        <f>"202242C01002"</f>
        <v>202242C01002</v>
      </c>
      <c r="C1397" t="str">
        <f t="shared" si="66"/>
        <v>20</v>
      </c>
      <c r="D1397" t="s">
        <v>67</v>
      </c>
      <c r="E1397" t="str">
        <f t="shared" si="68"/>
        <v>006</v>
      </c>
      <c r="F1397" t="s">
        <v>1254</v>
      </c>
      <c r="G1397" t="str">
        <f>"2242"</f>
        <v>2242</v>
      </c>
      <c r="H1397" t="str">
        <f>"0001"</f>
        <v>0001</v>
      </c>
      <c r="I1397" t="s">
        <v>75</v>
      </c>
      <c r="J1397">
        <v>0</v>
      </c>
      <c r="K1397">
        <v>1</v>
      </c>
      <c r="L1397">
        <v>2</v>
      </c>
      <c r="M1397">
        <v>376</v>
      </c>
      <c r="N1397">
        <v>276</v>
      </c>
      <c r="O1397">
        <v>5</v>
      </c>
      <c r="P1397">
        <v>276</v>
      </c>
      <c r="Q1397">
        <v>1</v>
      </c>
      <c r="R1397">
        <v>10</v>
      </c>
      <c r="S1397">
        <v>17</v>
      </c>
      <c r="T1397">
        <v>5</v>
      </c>
      <c r="U1397">
        <v>71</v>
      </c>
      <c r="V1397">
        <v>0</v>
      </c>
      <c r="W1397">
        <v>93</v>
      </c>
      <c r="X1397">
        <v>46</v>
      </c>
      <c r="Y1397">
        <v>6</v>
      </c>
      <c r="Z1397">
        <v>3</v>
      </c>
      <c r="AA1397">
        <v>4</v>
      </c>
      <c r="AB1397">
        <v>1</v>
      </c>
      <c r="AD1397">
        <v>0</v>
      </c>
      <c r="AE1397">
        <v>0</v>
      </c>
      <c r="AF1397">
        <v>0</v>
      </c>
      <c r="AG1397">
        <v>0</v>
      </c>
      <c r="AI1397">
        <v>0</v>
      </c>
      <c r="AJ1397">
        <v>19</v>
      </c>
      <c r="AK1397">
        <v>276</v>
      </c>
      <c r="AL1397">
        <v>276</v>
      </c>
      <c r="AM1397">
        <v>608</v>
      </c>
      <c r="AN1397">
        <v>44</v>
      </c>
      <c r="AP1397">
        <v>1</v>
      </c>
      <c r="AR1397" t="s">
        <v>1484</v>
      </c>
      <c r="AS1397" s="1">
        <v>44354.604861111111</v>
      </c>
      <c r="AT1397" s="1">
        <v>44354.60800925926</v>
      </c>
      <c r="AU1397" s="1">
        <v>44354.609236111108</v>
      </c>
      <c r="AV1397" t="s">
        <v>71</v>
      </c>
      <c r="AW1397" t="s">
        <v>72</v>
      </c>
      <c r="AX1397" t="s">
        <v>347</v>
      </c>
    </row>
    <row r="1398" spans="1:50" x14ac:dyDescent="0.3">
      <c r="A1398" t="str">
        <f>"202242C0200"</f>
        <v>202242C0200</v>
      </c>
      <c r="B1398" t="str">
        <f>"202242C02002"</f>
        <v>202242C02002</v>
      </c>
      <c r="C1398" t="str">
        <f t="shared" si="66"/>
        <v>20</v>
      </c>
      <c r="D1398" t="s">
        <v>67</v>
      </c>
      <c r="E1398" t="str">
        <f t="shared" si="68"/>
        <v>006</v>
      </c>
      <c r="F1398" t="s">
        <v>1254</v>
      </c>
      <c r="G1398" t="str">
        <f>"2242"</f>
        <v>2242</v>
      </c>
      <c r="H1398" t="str">
        <f>"0002"</f>
        <v>0002</v>
      </c>
      <c r="I1398" t="s">
        <v>75</v>
      </c>
      <c r="J1398">
        <v>0</v>
      </c>
      <c r="K1398">
        <v>1</v>
      </c>
      <c r="L1398">
        <v>2</v>
      </c>
      <c r="M1398">
        <v>384</v>
      </c>
      <c r="N1398">
        <v>267</v>
      </c>
      <c r="O1398">
        <v>0</v>
      </c>
      <c r="P1398">
        <v>267</v>
      </c>
      <c r="Q1398">
        <v>1</v>
      </c>
      <c r="R1398">
        <v>24</v>
      </c>
      <c r="S1398">
        <v>16</v>
      </c>
      <c r="T1398">
        <v>4</v>
      </c>
      <c r="U1398">
        <v>65</v>
      </c>
      <c r="V1398">
        <v>1</v>
      </c>
      <c r="W1398">
        <v>80</v>
      </c>
      <c r="X1398">
        <v>55</v>
      </c>
      <c r="Y1398">
        <v>2</v>
      </c>
      <c r="Z1398">
        <v>2</v>
      </c>
      <c r="AA1398">
        <v>1</v>
      </c>
      <c r="AB1398">
        <v>2</v>
      </c>
      <c r="AD1398">
        <v>0</v>
      </c>
      <c r="AE1398">
        <v>0</v>
      </c>
      <c r="AF1398">
        <v>0</v>
      </c>
      <c r="AG1398">
        <v>0</v>
      </c>
      <c r="AI1398">
        <v>0</v>
      </c>
      <c r="AJ1398">
        <v>14</v>
      </c>
      <c r="AK1398">
        <v>267</v>
      </c>
      <c r="AL1398">
        <v>267</v>
      </c>
      <c r="AM1398">
        <v>607</v>
      </c>
      <c r="AN1398">
        <v>44</v>
      </c>
      <c r="AP1398">
        <v>1</v>
      </c>
      <c r="AR1398" t="s">
        <v>1485</v>
      </c>
      <c r="AS1398" s="1">
        <v>44354.265972222223</v>
      </c>
      <c r="AT1398" s="1">
        <v>44354.273576388892</v>
      </c>
      <c r="AU1398" s="1">
        <v>44354.274768518517</v>
      </c>
      <c r="AV1398" t="s">
        <v>71</v>
      </c>
      <c r="AW1398" t="s">
        <v>72</v>
      </c>
      <c r="AX1398" t="s">
        <v>73</v>
      </c>
    </row>
    <row r="1399" spans="1:50" x14ac:dyDescent="0.3">
      <c r="A1399" t="str">
        <f>"202243B0000"</f>
        <v>202243B0000</v>
      </c>
      <c r="B1399" t="str">
        <f>"202243B00002"</f>
        <v>202243B00002</v>
      </c>
      <c r="C1399" t="str">
        <f t="shared" si="66"/>
        <v>20</v>
      </c>
      <c r="D1399" t="s">
        <v>67</v>
      </c>
      <c r="E1399" t="str">
        <f t="shared" si="68"/>
        <v>006</v>
      </c>
      <c r="F1399" t="s">
        <v>1254</v>
      </c>
      <c r="G1399" t="str">
        <f>"2243"</f>
        <v>2243</v>
      </c>
      <c r="H1399" t="str">
        <f>"0000"</f>
        <v>0000</v>
      </c>
      <c r="I1399" t="s">
        <v>69</v>
      </c>
      <c r="J1399">
        <v>0</v>
      </c>
      <c r="K1399">
        <v>1</v>
      </c>
      <c r="L1399">
        <v>2</v>
      </c>
      <c r="M1399">
        <v>270</v>
      </c>
      <c r="N1399">
        <v>273</v>
      </c>
      <c r="O1399">
        <v>4</v>
      </c>
      <c r="P1399">
        <v>273</v>
      </c>
      <c r="Q1399">
        <v>1</v>
      </c>
      <c r="R1399">
        <v>52</v>
      </c>
      <c r="S1399">
        <v>15</v>
      </c>
      <c r="T1399">
        <v>6</v>
      </c>
      <c r="U1399">
        <v>13</v>
      </c>
      <c r="V1399">
        <v>1</v>
      </c>
      <c r="W1399">
        <v>54</v>
      </c>
      <c r="X1399">
        <v>113</v>
      </c>
      <c r="Y1399">
        <v>1</v>
      </c>
      <c r="Z1399">
        <v>2</v>
      </c>
      <c r="AA1399">
        <v>1</v>
      </c>
      <c r="AB1399">
        <v>2</v>
      </c>
      <c r="AD1399">
        <v>0</v>
      </c>
      <c r="AE1399">
        <v>0</v>
      </c>
      <c r="AF1399">
        <v>0</v>
      </c>
      <c r="AG1399">
        <v>0</v>
      </c>
      <c r="AI1399">
        <v>0</v>
      </c>
      <c r="AJ1399">
        <v>12</v>
      </c>
      <c r="AK1399">
        <v>273</v>
      </c>
      <c r="AL1399">
        <v>273</v>
      </c>
      <c r="AM1399">
        <v>499</v>
      </c>
      <c r="AN1399">
        <v>44</v>
      </c>
      <c r="AP1399">
        <v>1</v>
      </c>
      <c r="AR1399" t="s">
        <v>1486</v>
      </c>
      <c r="AS1399" s="1">
        <v>44354.272916666669</v>
      </c>
      <c r="AT1399" s="1">
        <v>44354.276782407411</v>
      </c>
      <c r="AU1399" s="1">
        <v>44354.277187500003</v>
      </c>
      <c r="AV1399" t="s">
        <v>71</v>
      </c>
      <c r="AW1399" t="s">
        <v>72</v>
      </c>
      <c r="AX1399" t="s">
        <v>73</v>
      </c>
    </row>
    <row r="1400" spans="1:50" x14ac:dyDescent="0.3">
      <c r="A1400" t="str">
        <f>"202243C0100"</f>
        <v>202243C0100</v>
      </c>
      <c r="B1400" t="str">
        <f>"202243C01002"</f>
        <v>202243C01002</v>
      </c>
      <c r="C1400" t="str">
        <f t="shared" si="66"/>
        <v>20</v>
      </c>
      <c r="D1400" t="s">
        <v>67</v>
      </c>
      <c r="E1400" t="str">
        <f t="shared" si="68"/>
        <v>006</v>
      </c>
      <c r="F1400" t="s">
        <v>1254</v>
      </c>
      <c r="G1400" t="str">
        <f>"2243"</f>
        <v>2243</v>
      </c>
      <c r="H1400" t="str">
        <f>"0001"</f>
        <v>0001</v>
      </c>
      <c r="I1400" t="s">
        <v>75</v>
      </c>
      <c r="J1400">
        <v>0</v>
      </c>
      <c r="K1400">
        <v>1</v>
      </c>
      <c r="L1400">
        <v>2</v>
      </c>
      <c r="M1400">
        <v>262</v>
      </c>
      <c r="N1400">
        <v>280</v>
      </c>
      <c r="O1400">
        <v>9</v>
      </c>
      <c r="P1400">
        <v>280</v>
      </c>
      <c r="Q1400">
        <v>0</v>
      </c>
      <c r="R1400">
        <v>47</v>
      </c>
      <c r="S1400">
        <v>13</v>
      </c>
      <c r="T1400">
        <v>7</v>
      </c>
      <c r="U1400">
        <v>21</v>
      </c>
      <c r="V1400">
        <v>2</v>
      </c>
      <c r="W1400">
        <v>50</v>
      </c>
      <c r="X1400">
        <v>129</v>
      </c>
      <c r="Y1400">
        <v>1</v>
      </c>
      <c r="Z1400">
        <v>0</v>
      </c>
      <c r="AA1400">
        <v>0</v>
      </c>
      <c r="AB1400">
        <v>0</v>
      </c>
      <c r="AD1400">
        <v>0</v>
      </c>
      <c r="AE1400">
        <v>0</v>
      </c>
      <c r="AF1400">
        <v>0</v>
      </c>
      <c r="AG1400">
        <v>0</v>
      </c>
      <c r="AI1400">
        <v>0</v>
      </c>
      <c r="AJ1400">
        <v>10</v>
      </c>
      <c r="AK1400">
        <v>280</v>
      </c>
      <c r="AL1400">
        <v>280</v>
      </c>
      <c r="AM1400">
        <v>498</v>
      </c>
      <c r="AN1400">
        <v>44</v>
      </c>
      <c r="AP1400">
        <v>1</v>
      </c>
      <c r="AR1400" t="s">
        <v>1487</v>
      </c>
      <c r="AS1400" s="1">
        <v>44354.274305555555</v>
      </c>
      <c r="AT1400" s="1">
        <v>44354.281331018516</v>
      </c>
      <c r="AU1400" s="1">
        <v>44354.28193287037</v>
      </c>
      <c r="AV1400" t="s">
        <v>71</v>
      </c>
      <c r="AW1400" t="s">
        <v>72</v>
      </c>
      <c r="AX1400" t="s">
        <v>73</v>
      </c>
    </row>
    <row r="1401" spans="1:50" x14ac:dyDescent="0.3">
      <c r="A1401" t="str">
        <f>"202274B0000"</f>
        <v>202274B0000</v>
      </c>
      <c r="B1401" t="str">
        <f>"202274B00002"</f>
        <v>202274B00002</v>
      </c>
      <c r="C1401" t="str">
        <f t="shared" si="66"/>
        <v>20</v>
      </c>
      <c r="D1401" t="s">
        <v>67</v>
      </c>
      <c r="E1401" t="str">
        <f t="shared" si="68"/>
        <v>006</v>
      </c>
      <c r="F1401" t="s">
        <v>1254</v>
      </c>
      <c r="G1401" t="str">
        <f>"2274"</f>
        <v>2274</v>
      </c>
      <c r="H1401" t="str">
        <f>"0000"</f>
        <v>0000</v>
      </c>
      <c r="I1401" t="s">
        <v>69</v>
      </c>
      <c r="J1401">
        <v>0</v>
      </c>
      <c r="K1401">
        <v>1</v>
      </c>
      <c r="L1401">
        <v>2</v>
      </c>
      <c r="M1401">
        <v>362</v>
      </c>
      <c r="N1401">
        <v>133</v>
      </c>
      <c r="O1401">
        <v>0</v>
      </c>
      <c r="P1401" t="s">
        <v>80</v>
      </c>
      <c r="Q1401">
        <v>2</v>
      </c>
      <c r="R1401">
        <v>36</v>
      </c>
      <c r="S1401">
        <v>5</v>
      </c>
      <c r="T1401">
        <v>5</v>
      </c>
      <c r="U1401">
        <v>6</v>
      </c>
      <c r="V1401">
        <v>1</v>
      </c>
      <c r="W1401">
        <v>0</v>
      </c>
      <c r="X1401">
        <v>64</v>
      </c>
      <c r="Y1401">
        <v>1</v>
      </c>
      <c r="Z1401">
        <v>2</v>
      </c>
      <c r="AA1401">
        <v>4</v>
      </c>
      <c r="AB1401">
        <v>0</v>
      </c>
      <c r="AD1401">
        <v>0</v>
      </c>
      <c r="AE1401">
        <v>0</v>
      </c>
      <c r="AF1401">
        <v>0</v>
      </c>
      <c r="AG1401">
        <v>0</v>
      </c>
      <c r="AI1401">
        <v>0</v>
      </c>
      <c r="AJ1401">
        <v>7</v>
      </c>
      <c r="AK1401">
        <v>133</v>
      </c>
      <c r="AL1401">
        <v>133</v>
      </c>
      <c r="AM1401">
        <v>451</v>
      </c>
      <c r="AN1401">
        <v>44</v>
      </c>
      <c r="AP1401">
        <v>1</v>
      </c>
      <c r="AR1401" t="s">
        <v>1488</v>
      </c>
      <c r="AS1401" s="1">
        <v>44354.302083333336</v>
      </c>
      <c r="AT1401" s="1">
        <v>44354.306504629632</v>
      </c>
      <c r="AU1401" s="1">
        <v>44354.306909722225</v>
      </c>
      <c r="AV1401" t="s">
        <v>71</v>
      </c>
      <c r="AW1401" t="s">
        <v>72</v>
      </c>
      <c r="AX1401" t="s">
        <v>73</v>
      </c>
    </row>
    <row r="1402" spans="1:50" x14ac:dyDescent="0.3">
      <c r="A1402" t="str">
        <f>"202274C0100"</f>
        <v>202274C0100</v>
      </c>
      <c r="B1402" t="str">
        <f>"202274C01002"</f>
        <v>202274C01002</v>
      </c>
      <c r="C1402" t="str">
        <f t="shared" si="66"/>
        <v>20</v>
      </c>
      <c r="D1402" t="s">
        <v>67</v>
      </c>
      <c r="E1402" t="str">
        <f t="shared" si="68"/>
        <v>006</v>
      </c>
      <c r="F1402" t="s">
        <v>1254</v>
      </c>
      <c r="G1402" t="str">
        <f>"2274"</f>
        <v>2274</v>
      </c>
      <c r="H1402" t="str">
        <f>"0001"</f>
        <v>0001</v>
      </c>
      <c r="I1402" t="s">
        <v>75</v>
      </c>
      <c r="J1402">
        <v>0</v>
      </c>
      <c r="K1402">
        <v>1</v>
      </c>
      <c r="L1402">
        <v>2</v>
      </c>
      <c r="M1402">
        <v>361</v>
      </c>
      <c r="N1402">
        <v>134</v>
      </c>
      <c r="O1402">
        <v>0</v>
      </c>
      <c r="P1402">
        <v>134</v>
      </c>
      <c r="Q1402">
        <v>7</v>
      </c>
      <c r="R1402">
        <v>34</v>
      </c>
      <c r="S1402">
        <v>5</v>
      </c>
      <c r="T1402">
        <v>3</v>
      </c>
      <c r="U1402">
        <v>5</v>
      </c>
      <c r="V1402">
        <v>4</v>
      </c>
      <c r="W1402">
        <v>2</v>
      </c>
      <c r="X1402">
        <v>66</v>
      </c>
      <c r="Y1402">
        <v>2</v>
      </c>
      <c r="Z1402">
        <v>0</v>
      </c>
      <c r="AA1402">
        <v>3</v>
      </c>
      <c r="AB1402">
        <v>1</v>
      </c>
      <c r="AD1402">
        <v>0</v>
      </c>
      <c r="AE1402">
        <v>0</v>
      </c>
      <c r="AF1402">
        <v>0</v>
      </c>
      <c r="AG1402">
        <v>0</v>
      </c>
      <c r="AI1402">
        <v>0</v>
      </c>
      <c r="AJ1402">
        <v>2</v>
      </c>
      <c r="AK1402">
        <v>134</v>
      </c>
      <c r="AL1402">
        <v>134</v>
      </c>
      <c r="AM1402">
        <v>451</v>
      </c>
      <c r="AN1402">
        <v>44</v>
      </c>
      <c r="AP1402">
        <v>1</v>
      </c>
      <c r="AR1402" t="s">
        <v>1489</v>
      </c>
      <c r="AS1402" s="1">
        <v>44354.305555555555</v>
      </c>
      <c r="AT1402" s="1">
        <v>44354.30846064815</v>
      </c>
      <c r="AU1402" s="1">
        <v>44354.30909722222</v>
      </c>
      <c r="AV1402" t="s">
        <v>71</v>
      </c>
      <c r="AW1402" t="s">
        <v>72</v>
      </c>
      <c r="AX1402" t="s">
        <v>73</v>
      </c>
    </row>
    <row r="1403" spans="1:50" x14ac:dyDescent="0.3">
      <c r="A1403" t="str">
        <f>"202275B0000"</f>
        <v>202275B0000</v>
      </c>
      <c r="B1403" t="str">
        <f>"202275B00002"</f>
        <v>202275B00002</v>
      </c>
      <c r="C1403" t="str">
        <f t="shared" si="66"/>
        <v>20</v>
      </c>
      <c r="D1403" t="s">
        <v>67</v>
      </c>
      <c r="E1403" t="str">
        <f t="shared" si="68"/>
        <v>006</v>
      </c>
      <c r="F1403" t="s">
        <v>1254</v>
      </c>
      <c r="G1403" t="str">
        <f>"2275"</f>
        <v>2275</v>
      </c>
      <c r="H1403" t="str">
        <f>"0000"</f>
        <v>0000</v>
      </c>
      <c r="I1403" t="s">
        <v>69</v>
      </c>
      <c r="J1403">
        <v>0</v>
      </c>
      <c r="K1403">
        <v>1</v>
      </c>
      <c r="L1403">
        <v>2</v>
      </c>
      <c r="M1403">
        <v>292</v>
      </c>
      <c r="N1403">
        <v>428</v>
      </c>
      <c r="O1403">
        <v>6</v>
      </c>
      <c r="P1403">
        <v>428</v>
      </c>
      <c r="Q1403">
        <v>5</v>
      </c>
      <c r="R1403">
        <v>80</v>
      </c>
      <c r="S1403">
        <v>27</v>
      </c>
      <c r="T1403">
        <v>4</v>
      </c>
      <c r="U1403">
        <v>99</v>
      </c>
      <c r="V1403">
        <v>2</v>
      </c>
      <c r="W1403">
        <v>2</v>
      </c>
      <c r="X1403">
        <v>173</v>
      </c>
      <c r="Y1403">
        <v>0</v>
      </c>
      <c r="Z1403">
        <v>1</v>
      </c>
      <c r="AA1403">
        <v>5</v>
      </c>
      <c r="AB1403">
        <v>2</v>
      </c>
      <c r="AD1403">
        <v>3</v>
      </c>
      <c r="AE1403">
        <v>0</v>
      </c>
      <c r="AF1403">
        <v>3</v>
      </c>
      <c r="AG1403">
        <v>1</v>
      </c>
      <c r="AI1403">
        <v>0</v>
      </c>
      <c r="AJ1403">
        <v>21</v>
      </c>
      <c r="AK1403">
        <v>428</v>
      </c>
      <c r="AL1403">
        <v>428</v>
      </c>
      <c r="AM1403">
        <v>676</v>
      </c>
      <c r="AN1403">
        <v>44</v>
      </c>
      <c r="AP1403">
        <v>1</v>
      </c>
      <c r="AR1403" t="s">
        <v>1490</v>
      </c>
      <c r="AS1403" s="1">
        <v>44354.29791666667</v>
      </c>
      <c r="AT1403" s="1">
        <v>44354.304224537038</v>
      </c>
      <c r="AU1403" s="1">
        <v>44354.304502314815</v>
      </c>
      <c r="AV1403" t="s">
        <v>71</v>
      </c>
      <c r="AW1403" t="s">
        <v>72</v>
      </c>
      <c r="AX1403" t="s">
        <v>73</v>
      </c>
    </row>
    <row r="1404" spans="1:50" x14ac:dyDescent="0.3">
      <c r="A1404" t="str">
        <f>"202275C0100"</f>
        <v>202275C0100</v>
      </c>
      <c r="B1404" t="str">
        <f>"202275C01002"</f>
        <v>202275C01002</v>
      </c>
      <c r="C1404" t="str">
        <f t="shared" si="66"/>
        <v>20</v>
      </c>
      <c r="D1404" t="s">
        <v>67</v>
      </c>
      <c r="E1404" t="str">
        <f t="shared" si="68"/>
        <v>006</v>
      </c>
      <c r="F1404" t="s">
        <v>1254</v>
      </c>
      <c r="G1404" t="str">
        <f>"2275"</f>
        <v>2275</v>
      </c>
      <c r="H1404" t="str">
        <f>"0001"</f>
        <v>0001</v>
      </c>
      <c r="I1404" t="s">
        <v>75</v>
      </c>
      <c r="J1404">
        <v>0</v>
      </c>
      <c r="K1404">
        <v>1</v>
      </c>
      <c r="L1404">
        <v>2</v>
      </c>
      <c r="M1404">
        <v>251</v>
      </c>
      <c r="N1404">
        <v>469</v>
      </c>
      <c r="O1404">
        <v>10</v>
      </c>
      <c r="P1404">
        <v>469</v>
      </c>
      <c r="Q1404">
        <v>3</v>
      </c>
      <c r="R1404">
        <v>81</v>
      </c>
      <c r="S1404">
        <v>28</v>
      </c>
      <c r="T1404">
        <v>1</v>
      </c>
      <c r="U1404">
        <v>127</v>
      </c>
      <c r="V1404">
        <v>4</v>
      </c>
      <c r="W1404">
        <v>0</v>
      </c>
      <c r="X1404">
        <v>187</v>
      </c>
      <c r="Y1404">
        <v>1</v>
      </c>
      <c r="Z1404">
        <v>0</v>
      </c>
      <c r="AA1404">
        <v>4</v>
      </c>
      <c r="AB1404">
        <v>0</v>
      </c>
      <c r="AD1404">
        <v>0</v>
      </c>
      <c r="AE1404">
        <v>1</v>
      </c>
      <c r="AF1404">
        <v>0</v>
      </c>
      <c r="AG1404">
        <v>13</v>
      </c>
      <c r="AI1404">
        <v>0</v>
      </c>
      <c r="AJ1404">
        <v>19</v>
      </c>
      <c r="AK1404">
        <v>469</v>
      </c>
      <c r="AL1404">
        <v>469</v>
      </c>
      <c r="AM1404">
        <v>676</v>
      </c>
      <c r="AN1404">
        <v>44</v>
      </c>
      <c r="AP1404">
        <v>1</v>
      </c>
      <c r="AR1404" t="s">
        <v>1491</v>
      </c>
      <c r="AS1404" s="1">
        <v>44354.325694444444</v>
      </c>
      <c r="AT1404" s="1">
        <v>44354.328425925924</v>
      </c>
      <c r="AU1404" s="1">
        <v>44354.328888888886</v>
      </c>
      <c r="AV1404" t="s">
        <v>71</v>
      </c>
      <c r="AW1404" t="s">
        <v>72</v>
      </c>
      <c r="AX1404" t="s">
        <v>73</v>
      </c>
    </row>
    <row r="1405" spans="1:50" x14ac:dyDescent="0.3">
      <c r="A1405" t="str">
        <f>"202276B0000"</f>
        <v>202276B0000</v>
      </c>
      <c r="B1405" t="str">
        <f>"202276B00002"</f>
        <v>202276B00002</v>
      </c>
      <c r="C1405" t="str">
        <f t="shared" si="66"/>
        <v>20</v>
      </c>
      <c r="D1405" t="s">
        <v>67</v>
      </c>
      <c r="E1405" t="str">
        <f t="shared" si="68"/>
        <v>006</v>
      </c>
      <c r="F1405" t="s">
        <v>1254</v>
      </c>
      <c r="G1405" t="str">
        <f>"2276"</f>
        <v>2276</v>
      </c>
      <c r="H1405" t="str">
        <f>"0000"</f>
        <v>0000</v>
      </c>
      <c r="I1405" t="s">
        <v>69</v>
      </c>
      <c r="J1405">
        <v>0</v>
      </c>
      <c r="K1405">
        <v>1</v>
      </c>
      <c r="L1405">
        <v>2</v>
      </c>
      <c r="M1405">
        <v>263</v>
      </c>
      <c r="N1405">
        <v>369</v>
      </c>
      <c r="O1405">
        <v>0</v>
      </c>
      <c r="P1405">
        <v>369</v>
      </c>
      <c r="Q1405">
        <v>3</v>
      </c>
      <c r="R1405">
        <v>74</v>
      </c>
      <c r="S1405">
        <v>19</v>
      </c>
      <c r="T1405">
        <v>2</v>
      </c>
      <c r="U1405">
        <v>63</v>
      </c>
      <c r="V1405">
        <v>4</v>
      </c>
      <c r="W1405">
        <v>0</v>
      </c>
      <c r="X1405">
        <v>174</v>
      </c>
      <c r="Y1405">
        <v>2</v>
      </c>
      <c r="Z1405">
        <v>1</v>
      </c>
      <c r="AA1405">
        <v>0</v>
      </c>
      <c r="AB1405">
        <v>2</v>
      </c>
      <c r="AD1405">
        <v>6</v>
      </c>
      <c r="AE1405">
        <v>1</v>
      </c>
      <c r="AF1405">
        <v>3</v>
      </c>
      <c r="AG1405">
        <v>1</v>
      </c>
      <c r="AI1405">
        <v>0</v>
      </c>
      <c r="AJ1405">
        <v>14</v>
      </c>
      <c r="AK1405">
        <v>369</v>
      </c>
      <c r="AL1405">
        <v>369</v>
      </c>
      <c r="AM1405">
        <v>588</v>
      </c>
      <c r="AN1405">
        <v>44</v>
      </c>
      <c r="AP1405">
        <v>1</v>
      </c>
      <c r="AR1405" t="s">
        <v>1492</v>
      </c>
      <c r="AS1405" s="1">
        <v>44354.289583333331</v>
      </c>
      <c r="AT1405" s="1">
        <v>44354.292384259257</v>
      </c>
      <c r="AU1405" s="1">
        <v>44354.293124999997</v>
      </c>
      <c r="AV1405" t="s">
        <v>71</v>
      </c>
      <c r="AW1405" t="s">
        <v>72</v>
      </c>
      <c r="AX1405" t="s">
        <v>73</v>
      </c>
    </row>
    <row r="1406" spans="1:50" x14ac:dyDescent="0.3">
      <c r="A1406" t="str">
        <f>"202276C0100"</f>
        <v>202276C0100</v>
      </c>
      <c r="B1406" t="str">
        <f>"202276C01002"</f>
        <v>202276C01002</v>
      </c>
      <c r="C1406" t="str">
        <f t="shared" si="66"/>
        <v>20</v>
      </c>
      <c r="D1406" t="s">
        <v>67</v>
      </c>
      <c r="E1406" t="str">
        <f t="shared" si="68"/>
        <v>006</v>
      </c>
      <c r="F1406" t="s">
        <v>1254</v>
      </c>
      <c r="G1406" t="str">
        <f>"2276"</f>
        <v>2276</v>
      </c>
      <c r="H1406" t="str">
        <f>"0001"</f>
        <v>0001</v>
      </c>
      <c r="I1406" t="s">
        <v>75</v>
      </c>
      <c r="J1406">
        <v>0</v>
      </c>
      <c r="K1406">
        <v>1</v>
      </c>
      <c r="L1406">
        <v>2</v>
      </c>
      <c r="M1406">
        <v>235</v>
      </c>
      <c r="N1406">
        <v>396</v>
      </c>
      <c r="O1406">
        <v>2</v>
      </c>
      <c r="P1406">
        <v>396</v>
      </c>
      <c r="Q1406">
        <v>0</v>
      </c>
      <c r="R1406">
        <v>81</v>
      </c>
      <c r="S1406">
        <v>17</v>
      </c>
      <c r="T1406">
        <v>1</v>
      </c>
      <c r="U1406">
        <v>82</v>
      </c>
      <c r="V1406">
        <v>3</v>
      </c>
      <c r="W1406">
        <v>0</v>
      </c>
      <c r="X1406">
        <v>175</v>
      </c>
      <c r="Y1406">
        <v>0</v>
      </c>
      <c r="Z1406">
        <v>1</v>
      </c>
      <c r="AA1406">
        <v>4</v>
      </c>
      <c r="AB1406">
        <v>3</v>
      </c>
      <c r="AD1406">
        <v>2</v>
      </c>
      <c r="AE1406">
        <v>0</v>
      </c>
      <c r="AF1406">
        <v>7</v>
      </c>
      <c r="AG1406">
        <v>2</v>
      </c>
      <c r="AI1406">
        <v>0</v>
      </c>
      <c r="AJ1406">
        <v>17</v>
      </c>
      <c r="AK1406">
        <v>396</v>
      </c>
      <c r="AL1406">
        <v>395</v>
      </c>
      <c r="AM1406">
        <v>587</v>
      </c>
      <c r="AN1406">
        <v>44</v>
      </c>
      <c r="AP1406">
        <v>1</v>
      </c>
      <c r="AR1406" t="s">
        <v>1493</v>
      </c>
      <c r="AS1406" s="1">
        <v>44354.290972222225</v>
      </c>
      <c r="AT1406" s="1">
        <v>44354.296296296299</v>
      </c>
      <c r="AU1406" s="1">
        <v>44354.297118055554</v>
      </c>
      <c r="AV1406" t="s">
        <v>71</v>
      </c>
      <c r="AW1406" t="s">
        <v>72</v>
      </c>
      <c r="AX1406" t="s">
        <v>73</v>
      </c>
    </row>
    <row r="1407" spans="1:50" x14ac:dyDescent="0.3">
      <c r="A1407" t="str">
        <f>"202277B0000"</f>
        <v>202277B0000</v>
      </c>
      <c r="B1407" t="str">
        <f>"202277B00002"</f>
        <v>202277B00002</v>
      </c>
      <c r="C1407" t="str">
        <f t="shared" si="66"/>
        <v>20</v>
      </c>
      <c r="D1407" t="s">
        <v>67</v>
      </c>
      <c r="E1407" t="str">
        <f t="shared" si="68"/>
        <v>006</v>
      </c>
      <c r="F1407" t="s">
        <v>1254</v>
      </c>
      <c r="G1407" t="str">
        <f>"2277"</f>
        <v>2277</v>
      </c>
      <c r="H1407" t="str">
        <f t="shared" ref="H1407:H1419" si="70">"0000"</f>
        <v>0000</v>
      </c>
      <c r="I1407" t="s">
        <v>69</v>
      </c>
      <c r="J1407">
        <v>0</v>
      </c>
      <c r="K1407">
        <v>1</v>
      </c>
      <c r="L1407">
        <v>2</v>
      </c>
      <c r="M1407">
        <v>161</v>
      </c>
      <c r="N1407">
        <v>187</v>
      </c>
      <c r="O1407">
        <v>9</v>
      </c>
      <c r="P1407">
        <v>187</v>
      </c>
      <c r="Q1407">
        <v>0</v>
      </c>
      <c r="R1407">
        <v>94</v>
      </c>
      <c r="S1407">
        <v>2</v>
      </c>
      <c r="T1407">
        <v>0</v>
      </c>
      <c r="U1407">
        <v>57</v>
      </c>
      <c r="V1407">
        <v>1</v>
      </c>
      <c r="W1407">
        <v>0</v>
      </c>
      <c r="X1407">
        <v>20</v>
      </c>
      <c r="Y1407">
        <v>0</v>
      </c>
      <c r="Z1407">
        <v>1</v>
      </c>
      <c r="AA1407">
        <v>0</v>
      </c>
      <c r="AB1407">
        <v>0</v>
      </c>
      <c r="AD1407">
        <v>1</v>
      </c>
      <c r="AE1407">
        <v>0</v>
      </c>
      <c r="AF1407">
        <v>0</v>
      </c>
      <c r="AG1407">
        <v>1</v>
      </c>
      <c r="AI1407">
        <v>0</v>
      </c>
      <c r="AJ1407">
        <v>9</v>
      </c>
      <c r="AK1407">
        <v>187</v>
      </c>
      <c r="AL1407">
        <v>186</v>
      </c>
      <c r="AM1407">
        <v>304</v>
      </c>
      <c r="AN1407">
        <v>44</v>
      </c>
      <c r="AP1407">
        <v>1</v>
      </c>
      <c r="AR1407" t="s">
        <v>1494</v>
      </c>
      <c r="AS1407" s="1">
        <v>44354.459722222222</v>
      </c>
      <c r="AT1407" s="1">
        <v>44354.462418981479</v>
      </c>
      <c r="AU1407" s="1">
        <v>44354.462789351855</v>
      </c>
      <c r="AV1407" t="s">
        <v>71</v>
      </c>
      <c r="AW1407" t="s">
        <v>72</v>
      </c>
      <c r="AX1407" t="s">
        <v>73</v>
      </c>
    </row>
    <row r="1408" spans="1:50" x14ac:dyDescent="0.3">
      <c r="A1408" t="str">
        <f>"202278B0000"</f>
        <v>202278B0000</v>
      </c>
      <c r="B1408" t="str">
        <f>"202278B00002"</f>
        <v>202278B00002</v>
      </c>
      <c r="C1408" t="str">
        <f t="shared" si="66"/>
        <v>20</v>
      </c>
      <c r="D1408" t="s">
        <v>67</v>
      </c>
      <c r="E1408" t="str">
        <f t="shared" si="68"/>
        <v>006</v>
      </c>
      <c r="F1408" t="s">
        <v>1254</v>
      </c>
      <c r="G1408" t="str">
        <f>"2278"</f>
        <v>2278</v>
      </c>
      <c r="H1408" t="str">
        <f t="shared" si="70"/>
        <v>0000</v>
      </c>
      <c r="I1408" t="s">
        <v>69</v>
      </c>
      <c r="J1408">
        <v>0</v>
      </c>
      <c r="K1408">
        <v>1</v>
      </c>
      <c r="L1408">
        <v>2</v>
      </c>
      <c r="M1408">
        <v>212</v>
      </c>
      <c r="N1408">
        <v>129</v>
      </c>
      <c r="O1408">
        <v>8</v>
      </c>
      <c r="P1408">
        <v>129</v>
      </c>
      <c r="Q1408">
        <v>3</v>
      </c>
      <c r="R1408">
        <v>12</v>
      </c>
      <c r="S1408">
        <v>8</v>
      </c>
      <c r="T1408">
        <v>0</v>
      </c>
      <c r="U1408">
        <v>54</v>
      </c>
      <c r="V1408">
        <v>1</v>
      </c>
      <c r="W1408">
        <v>0</v>
      </c>
      <c r="X1408">
        <v>42</v>
      </c>
      <c r="Y1408">
        <v>0</v>
      </c>
      <c r="Z1408">
        <v>0</v>
      </c>
      <c r="AA1408">
        <v>1</v>
      </c>
      <c r="AB1408">
        <v>1</v>
      </c>
      <c r="AD1408">
        <v>0</v>
      </c>
      <c r="AE1408">
        <v>0</v>
      </c>
      <c r="AF1408">
        <v>2</v>
      </c>
      <c r="AG1408">
        <v>0</v>
      </c>
      <c r="AI1408">
        <v>0</v>
      </c>
      <c r="AJ1408">
        <v>5</v>
      </c>
      <c r="AK1408">
        <v>129</v>
      </c>
      <c r="AL1408">
        <v>129</v>
      </c>
      <c r="AM1408">
        <v>297</v>
      </c>
      <c r="AN1408">
        <v>44</v>
      </c>
      <c r="AP1408">
        <v>1</v>
      </c>
      <c r="AR1408" t="s">
        <v>1495</v>
      </c>
      <c r="AS1408" s="1">
        <v>44354.459722222222</v>
      </c>
      <c r="AT1408" s="1">
        <v>44354.462604166663</v>
      </c>
      <c r="AU1408" s="1">
        <v>44354.463043981479</v>
      </c>
      <c r="AV1408" t="s">
        <v>71</v>
      </c>
      <c r="AW1408" t="s">
        <v>72</v>
      </c>
      <c r="AX1408" t="s">
        <v>73</v>
      </c>
    </row>
    <row r="1409" spans="1:50" x14ac:dyDescent="0.3">
      <c r="A1409" t="str">
        <f>"202279B0000"</f>
        <v>202279B0000</v>
      </c>
      <c r="B1409" t="str">
        <f>"202279B00002"</f>
        <v>202279B00002</v>
      </c>
      <c r="C1409" t="str">
        <f t="shared" si="66"/>
        <v>20</v>
      </c>
      <c r="D1409" t="s">
        <v>67</v>
      </c>
      <c r="E1409" t="str">
        <f t="shared" si="68"/>
        <v>006</v>
      </c>
      <c r="F1409" t="s">
        <v>1254</v>
      </c>
      <c r="G1409" t="str">
        <f>"2279"</f>
        <v>2279</v>
      </c>
      <c r="H1409" t="str">
        <f t="shared" si="70"/>
        <v>0000</v>
      </c>
      <c r="I1409" t="s">
        <v>69</v>
      </c>
      <c r="J1409">
        <v>0</v>
      </c>
      <c r="K1409">
        <v>1</v>
      </c>
      <c r="L1409">
        <v>2</v>
      </c>
      <c r="M1409">
        <v>190</v>
      </c>
      <c r="N1409">
        <v>191</v>
      </c>
      <c r="O1409">
        <v>9</v>
      </c>
      <c r="P1409">
        <v>191</v>
      </c>
      <c r="Q1409">
        <v>1</v>
      </c>
      <c r="R1409">
        <v>40</v>
      </c>
      <c r="S1409">
        <v>8</v>
      </c>
      <c r="T1409">
        <v>0</v>
      </c>
      <c r="U1409">
        <v>73</v>
      </c>
      <c r="V1409">
        <v>2</v>
      </c>
      <c r="W1409">
        <v>1</v>
      </c>
      <c r="X1409">
        <v>49</v>
      </c>
      <c r="Y1409">
        <v>0</v>
      </c>
      <c r="Z1409">
        <v>1</v>
      </c>
      <c r="AA1409">
        <v>1</v>
      </c>
      <c r="AB1409">
        <v>1</v>
      </c>
      <c r="AD1409">
        <v>0</v>
      </c>
      <c r="AE1409">
        <v>0</v>
      </c>
      <c r="AF1409">
        <v>0</v>
      </c>
      <c r="AG1409">
        <v>0</v>
      </c>
      <c r="AI1409">
        <v>0</v>
      </c>
      <c r="AJ1409">
        <v>14</v>
      </c>
      <c r="AK1409">
        <v>191</v>
      </c>
      <c r="AL1409">
        <v>191</v>
      </c>
      <c r="AM1409">
        <v>337</v>
      </c>
      <c r="AN1409">
        <v>44</v>
      </c>
      <c r="AP1409">
        <v>1</v>
      </c>
      <c r="AR1409" t="s">
        <v>1496</v>
      </c>
      <c r="AS1409" s="1">
        <v>44354.283333333333</v>
      </c>
      <c r="AT1409" s="1">
        <v>44354.287499999999</v>
      </c>
      <c r="AU1409" s="1">
        <v>44354.287951388891</v>
      </c>
      <c r="AV1409" t="s">
        <v>71</v>
      </c>
      <c r="AW1409" t="s">
        <v>72</v>
      </c>
      <c r="AX1409" t="s">
        <v>73</v>
      </c>
    </row>
    <row r="1410" spans="1:50" x14ac:dyDescent="0.3">
      <c r="A1410" t="str">
        <f>"202280B0000"</f>
        <v>202280B0000</v>
      </c>
      <c r="B1410" t="str">
        <f>"202280B00002"</f>
        <v>202280B00002</v>
      </c>
      <c r="C1410" t="str">
        <f t="shared" si="66"/>
        <v>20</v>
      </c>
      <c r="D1410" t="s">
        <v>67</v>
      </c>
      <c r="E1410" t="str">
        <f t="shared" si="68"/>
        <v>006</v>
      </c>
      <c r="F1410" t="s">
        <v>1254</v>
      </c>
      <c r="G1410" t="str">
        <f>"2280"</f>
        <v>2280</v>
      </c>
      <c r="H1410" t="str">
        <f t="shared" si="70"/>
        <v>0000</v>
      </c>
      <c r="I1410" t="s">
        <v>69</v>
      </c>
      <c r="J1410">
        <v>0</v>
      </c>
      <c r="K1410">
        <v>1</v>
      </c>
      <c r="L1410">
        <v>2</v>
      </c>
      <c r="M1410">
        <v>71</v>
      </c>
      <c r="N1410">
        <v>76</v>
      </c>
      <c r="O1410">
        <v>5</v>
      </c>
      <c r="P1410">
        <v>72</v>
      </c>
      <c r="Q1410">
        <v>1</v>
      </c>
      <c r="R1410">
        <v>13</v>
      </c>
      <c r="S1410">
        <v>0</v>
      </c>
      <c r="T1410">
        <v>0</v>
      </c>
      <c r="U1410">
        <v>46</v>
      </c>
      <c r="V1410">
        <v>0</v>
      </c>
      <c r="W1410">
        <v>0</v>
      </c>
      <c r="X1410">
        <v>11</v>
      </c>
      <c r="Y1410">
        <v>0</v>
      </c>
      <c r="Z1410">
        <v>0</v>
      </c>
      <c r="AA1410">
        <v>1</v>
      </c>
      <c r="AB1410">
        <v>0</v>
      </c>
      <c r="AD1410">
        <v>0</v>
      </c>
      <c r="AE1410">
        <v>0</v>
      </c>
      <c r="AF1410">
        <v>0</v>
      </c>
      <c r="AG1410">
        <v>1</v>
      </c>
      <c r="AI1410">
        <v>0</v>
      </c>
      <c r="AJ1410">
        <v>0</v>
      </c>
      <c r="AK1410">
        <v>76</v>
      </c>
      <c r="AL1410">
        <v>73</v>
      </c>
      <c r="AM1410">
        <v>103</v>
      </c>
      <c r="AN1410">
        <v>44</v>
      </c>
      <c r="AP1410">
        <v>1</v>
      </c>
      <c r="AR1410" t="s">
        <v>1497</v>
      </c>
      <c r="AS1410" s="1">
        <v>44354.43472222222</v>
      </c>
      <c r="AT1410" s="1">
        <v>44354.436168981483</v>
      </c>
      <c r="AU1410" s="1">
        <v>44354.436574074076</v>
      </c>
      <c r="AV1410" t="s">
        <v>71</v>
      </c>
      <c r="AW1410" t="s">
        <v>72</v>
      </c>
      <c r="AX1410" t="s">
        <v>347</v>
      </c>
    </row>
    <row r="1411" spans="1:50" x14ac:dyDescent="0.3">
      <c r="A1411" t="str">
        <f>"202281B0000"</f>
        <v>202281B0000</v>
      </c>
      <c r="B1411" t="str">
        <f>"202281B00002"</f>
        <v>202281B00002</v>
      </c>
      <c r="C1411" t="str">
        <f t="shared" si="66"/>
        <v>20</v>
      </c>
      <c r="D1411" t="s">
        <v>67</v>
      </c>
      <c r="E1411" t="str">
        <f t="shared" si="68"/>
        <v>006</v>
      </c>
      <c r="F1411" t="s">
        <v>1254</v>
      </c>
      <c r="G1411" t="str">
        <f>"2281"</f>
        <v>2281</v>
      </c>
      <c r="H1411" t="str">
        <f t="shared" si="70"/>
        <v>0000</v>
      </c>
      <c r="I1411" t="s">
        <v>69</v>
      </c>
      <c r="J1411">
        <v>0</v>
      </c>
      <c r="K1411">
        <v>1</v>
      </c>
      <c r="L1411">
        <v>2</v>
      </c>
      <c r="M1411">
        <v>274</v>
      </c>
      <c r="N1411">
        <v>112</v>
      </c>
      <c r="O1411">
        <v>9</v>
      </c>
      <c r="P1411">
        <v>112</v>
      </c>
      <c r="Q1411">
        <v>3</v>
      </c>
      <c r="R1411">
        <v>16</v>
      </c>
      <c r="S1411">
        <v>7</v>
      </c>
      <c r="T1411">
        <v>7</v>
      </c>
      <c r="U1411">
        <v>12</v>
      </c>
      <c r="V1411">
        <v>1</v>
      </c>
      <c r="W1411">
        <v>0</v>
      </c>
      <c r="X1411">
        <v>52</v>
      </c>
      <c r="Y1411">
        <v>1</v>
      </c>
      <c r="Z1411">
        <v>3</v>
      </c>
      <c r="AA1411">
        <v>1</v>
      </c>
      <c r="AB1411">
        <v>0</v>
      </c>
      <c r="AD1411">
        <v>0</v>
      </c>
      <c r="AE1411">
        <v>0</v>
      </c>
      <c r="AF1411">
        <v>0</v>
      </c>
      <c r="AG1411">
        <v>1</v>
      </c>
      <c r="AI1411">
        <v>0</v>
      </c>
      <c r="AJ1411">
        <v>8</v>
      </c>
      <c r="AK1411">
        <v>112</v>
      </c>
      <c r="AL1411">
        <v>112</v>
      </c>
      <c r="AM1411">
        <v>342</v>
      </c>
      <c r="AN1411">
        <v>44</v>
      </c>
      <c r="AP1411">
        <v>1</v>
      </c>
      <c r="AR1411" t="s">
        <v>1498</v>
      </c>
      <c r="AS1411" s="1">
        <v>44354.427777777775</v>
      </c>
      <c r="AT1411" s="1">
        <v>44354.430601851855</v>
      </c>
      <c r="AU1411" s="1">
        <v>44354.430914351855</v>
      </c>
      <c r="AV1411" t="s">
        <v>71</v>
      </c>
      <c r="AW1411" t="s">
        <v>72</v>
      </c>
      <c r="AX1411" t="s">
        <v>73</v>
      </c>
    </row>
    <row r="1412" spans="1:50" x14ac:dyDescent="0.3">
      <c r="A1412" t="str">
        <f>"202282B0000"</f>
        <v>202282B0000</v>
      </c>
      <c r="B1412" t="str">
        <f>"202282B00002"</f>
        <v>202282B00002</v>
      </c>
      <c r="C1412" t="str">
        <f t="shared" si="66"/>
        <v>20</v>
      </c>
      <c r="D1412" t="s">
        <v>67</v>
      </c>
      <c r="E1412" t="str">
        <f t="shared" si="68"/>
        <v>006</v>
      </c>
      <c r="F1412" t="s">
        <v>1254</v>
      </c>
      <c r="G1412" t="str">
        <f>"2282"</f>
        <v>2282</v>
      </c>
      <c r="H1412" t="str">
        <f t="shared" si="70"/>
        <v>0000</v>
      </c>
      <c r="I1412" t="s">
        <v>69</v>
      </c>
      <c r="J1412">
        <v>0</v>
      </c>
      <c r="K1412">
        <v>1</v>
      </c>
      <c r="L1412">
        <v>2</v>
      </c>
      <c r="M1412">
        <v>200</v>
      </c>
      <c r="N1412">
        <v>123</v>
      </c>
      <c r="O1412">
        <v>10</v>
      </c>
      <c r="P1412">
        <v>123</v>
      </c>
      <c r="Q1412">
        <v>3</v>
      </c>
      <c r="R1412">
        <v>23</v>
      </c>
      <c r="S1412">
        <v>7</v>
      </c>
      <c r="T1412">
        <v>3</v>
      </c>
      <c r="U1412">
        <v>27</v>
      </c>
      <c r="V1412">
        <v>0</v>
      </c>
      <c r="W1412">
        <v>1</v>
      </c>
      <c r="X1412">
        <v>51</v>
      </c>
      <c r="Y1412">
        <v>0</v>
      </c>
      <c r="Z1412">
        <v>0</v>
      </c>
      <c r="AA1412">
        <v>1</v>
      </c>
      <c r="AB1412">
        <v>1</v>
      </c>
      <c r="AD1412">
        <v>2</v>
      </c>
      <c r="AE1412">
        <v>0</v>
      </c>
      <c r="AF1412">
        <v>0</v>
      </c>
      <c r="AG1412">
        <v>0</v>
      </c>
      <c r="AI1412">
        <v>0</v>
      </c>
      <c r="AJ1412">
        <v>4</v>
      </c>
      <c r="AK1412">
        <v>123</v>
      </c>
      <c r="AL1412">
        <v>123</v>
      </c>
      <c r="AM1412">
        <v>279</v>
      </c>
      <c r="AN1412">
        <v>44</v>
      </c>
      <c r="AP1412">
        <v>1</v>
      </c>
      <c r="AR1412" t="s">
        <v>1499</v>
      </c>
      <c r="AS1412" s="1">
        <v>44354.288888888892</v>
      </c>
      <c r="AT1412" s="1">
        <v>44354.291504629633</v>
      </c>
      <c r="AU1412" s="1">
        <v>44354.292025462964</v>
      </c>
      <c r="AV1412" t="s">
        <v>71</v>
      </c>
      <c r="AW1412" t="s">
        <v>72</v>
      </c>
      <c r="AX1412" t="s">
        <v>73</v>
      </c>
    </row>
    <row r="1413" spans="1:50" x14ac:dyDescent="0.3">
      <c r="A1413" t="str">
        <f>"202283B0000"</f>
        <v>202283B0000</v>
      </c>
      <c r="B1413" t="str">
        <f>"202283B00002"</f>
        <v>202283B00002</v>
      </c>
      <c r="C1413" t="str">
        <f t="shared" si="66"/>
        <v>20</v>
      </c>
      <c r="D1413" t="s">
        <v>67</v>
      </c>
      <c r="E1413" t="str">
        <f t="shared" si="68"/>
        <v>006</v>
      </c>
      <c r="F1413" t="s">
        <v>1254</v>
      </c>
      <c r="G1413" t="str">
        <f>"2283"</f>
        <v>2283</v>
      </c>
      <c r="H1413" t="str">
        <f t="shared" si="70"/>
        <v>0000</v>
      </c>
      <c r="I1413" t="s">
        <v>69</v>
      </c>
      <c r="J1413">
        <v>0</v>
      </c>
      <c r="K1413">
        <v>1</v>
      </c>
      <c r="L1413">
        <v>2</v>
      </c>
      <c r="M1413">
        <v>124</v>
      </c>
      <c r="N1413">
        <v>111</v>
      </c>
      <c r="O1413">
        <v>11</v>
      </c>
      <c r="P1413">
        <v>111</v>
      </c>
      <c r="Q1413">
        <v>0</v>
      </c>
      <c r="R1413">
        <v>29</v>
      </c>
      <c r="S1413">
        <v>5</v>
      </c>
      <c r="T1413">
        <v>2</v>
      </c>
      <c r="U1413">
        <v>7</v>
      </c>
      <c r="V1413">
        <v>0</v>
      </c>
      <c r="W1413">
        <v>0</v>
      </c>
      <c r="X1413">
        <v>60</v>
      </c>
      <c r="Y1413">
        <v>0</v>
      </c>
      <c r="Z1413">
        <v>1</v>
      </c>
      <c r="AA1413">
        <v>1</v>
      </c>
      <c r="AB1413">
        <v>0</v>
      </c>
      <c r="AD1413">
        <v>1</v>
      </c>
      <c r="AE1413">
        <v>0</v>
      </c>
      <c r="AF1413">
        <v>1</v>
      </c>
      <c r="AG1413">
        <v>0</v>
      </c>
      <c r="AI1413">
        <v>0</v>
      </c>
      <c r="AJ1413">
        <v>4</v>
      </c>
      <c r="AK1413">
        <v>111</v>
      </c>
      <c r="AL1413">
        <v>111</v>
      </c>
      <c r="AM1413">
        <v>191</v>
      </c>
      <c r="AN1413">
        <v>44</v>
      </c>
      <c r="AP1413">
        <v>1</v>
      </c>
      <c r="AR1413" t="s">
        <v>1500</v>
      </c>
      <c r="AS1413" s="1">
        <v>44354.29583333333</v>
      </c>
      <c r="AT1413" s="1">
        <v>44354.299050925925</v>
      </c>
      <c r="AU1413" s="1">
        <v>44354.303263888891</v>
      </c>
      <c r="AV1413" t="s">
        <v>71</v>
      </c>
      <c r="AW1413" t="s">
        <v>72</v>
      </c>
      <c r="AX1413" t="s">
        <v>73</v>
      </c>
    </row>
    <row r="1414" spans="1:50" x14ac:dyDescent="0.3">
      <c r="A1414" t="str">
        <f>"202284B0000"</f>
        <v>202284B0000</v>
      </c>
      <c r="B1414" t="str">
        <f>"202284B00002"</f>
        <v>202284B00002</v>
      </c>
      <c r="C1414" t="str">
        <f t="shared" si="66"/>
        <v>20</v>
      </c>
      <c r="D1414" t="s">
        <v>67</v>
      </c>
      <c r="E1414" t="str">
        <f t="shared" si="68"/>
        <v>006</v>
      </c>
      <c r="F1414" t="s">
        <v>1254</v>
      </c>
      <c r="G1414" t="str">
        <f>"2284"</f>
        <v>2284</v>
      </c>
      <c r="H1414" t="str">
        <f t="shared" si="70"/>
        <v>0000</v>
      </c>
      <c r="I1414" t="s">
        <v>69</v>
      </c>
      <c r="J1414">
        <v>0</v>
      </c>
      <c r="K1414">
        <v>1</v>
      </c>
      <c r="L1414">
        <v>2</v>
      </c>
      <c r="M1414">
        <v>108</v>
      </c>
      <c r="N1414">
        <v>162</v>
      </c>
      <c r="O1414">
        <v>10</v>
      </c>
      <c r="P1414">
        <v>162</v>
      </c>
      <c r="Q1414">
        <v>6</v>
      </c>
      <c r="R1414">
        <v>16</v>
      </c>
      <c r="S1414">
        <v>7</v>
      </c>
      <c r="T1414">
        <v>3</v>
      </c>
      <c r="U1414">
        <v>18</v>
      </c>
      <c r="V1414">
        <v>2</v>
      </c>
      <c r="W1414">
        <v>1</v>
      </c>
      <c r="X1414">
        <v>83</v>
      </c>
      <c r="Y1414">
        <v>0</v>
      </c>
      <c r="Z1414">
        <v>2</v>
      </c>
      <c r="AA1414">
        <v>3</v>
      </c>
      <c r="AB1414">
        <v>2</v>
      </c>
      <c r="AD1414">
        <v>1</v>
      </c>
      <c r="AE1414">
        <v>2</v>
      </c>
      <c r="AF1414">
        <v>5</v>
      </c>
      <c r="AG1414">
        <v>0</v>
      </c>
      <c r="AI1414">
        <v>0</v>
      </c>
      <c r="AJ1414">
        <v>11</v>
      </c>
      <c r="AK1414">
        <v>162</v>
      </c>
      <c r="AL1414">
        <v>162</v>
      </c>
      <c r="AM1414">
        <v>226</v>
      </c>
      <c r="AN1414">
        <v>44</v>
      </c>
      <c r="AP1414">
        <v>1</v>
      </c>
      <c r="AR1414" t="s">
        <v>1501</v>
      </c>
      <c r="AS1414" s="1">
        <v>44354.287499999999</v>
      </c>
      <c r="AT1414" s="1">
        <v>44354.289687500001</v>
      </c>
      <c r="AU1414" s="1">
        <v>44354.290196759262</v>
      </c>
      <c r="AV1414" t="s">
        <v>71</v>
      </c>
      <c r="AW1414" t="s">
        <v>72</v>
      </c>
      <c r="AX1414" t="s">
        <v>73</v>
      </c>
    </row>
    <row r="1415" spans="1:50" x14ac:dyDescent="0.3">
      <c r="A1415" t="str">
        <f>"202285B0000"</f>
        <v>202285B0000</v>
      </c>
      <c r="B1415" t="str">
        <f>"202285B00002"</f>
        <v>202285B00002</v>
      </c>
      <c r="C1415" t="str">
        <f t="shared" ref="C1415:C1478" si="71">"20"</f>
        <v>20</v>
      </c>
      <c r="D1415" t="s">
        <v>67</v>
      </c>
      <c r="E1415" t="str">
        <f t="shared" si="68"/>
        <v>006</v>
      </c>
      <c r="F1415" t="s">
        <v>1254</v>
      </c>
      <c r="G1415" t="str">
        <f>"2285"</f>
        <v>2285</v>
      </c>
      <c r="H1415" t="str">
        <f t="shared" si="70"/>
        <v>0000</v>
      </c>
      <c r="I1415" t="s">
        <v>69</v>
      </c>
      <c r="J1415">
        <v>0</v>
      </c>
      <c r="K1415">
        <v>1</v>
      </c>
      <c r="L1415">
        <v>2</v>
      </c>
      <c r="M1415">
        <v>195</v>
      </c>
      <c r="N1415">
        <v>108</v>
      </c>
      <c r="O1415">
        <v>7</v>
      </c>
      <c r="P1415">
        <v>108</v>
      </c>
      <c r="Q1415">
        <v>4</v>
      </c>
      <c r="R1415">
        <v>12</v>
      </c>
      <c r="S1415">
        <v>2</v>
      </c>
      <c r="T1415">
        <v>2</v>
      </c>
      <c r="U1415">
        <v>2</v>
      </c>
      <c r="V1415">
        <v>1</v>
      </c>
      <c r="W1415">
        <v>0</v>
      </c>
      <c r="X1415">
        <v>77</v>
      </c>
      <c r="Y1415">
        <v>0</v>
      </c>
      <c r="Z1415">
        <v>0</v>
      </c>
      <c r="AA1415">
        <v>4</v>
      </c>
      <c r="AB1415">
        <v>3</v>
      </c>
      <c r="AD1415">
        <v>0</v>
      </c>
      <c r="AE1415">
        <v>0</v>
      </c>
      <c r="AF1415">
        <v>0</v>
      </c>
      <c r="AG1415">
        <v>0</v>
      </c>
      <c r="AI1415">
        <v>0</v>
      </c>
      <c r="AJ1415">
        <v>1</v>
      </c>
      <c r="AK1415">
        <v>108</v>
      </c>
      <c r="AL1415">
        <v>108</v>
      </c>
      <c r="AM1415">
        <v>259</v>
      </c>
      <c r="AN1415">
        <v>44</v>
      </c>
      <c r="AP1415">
        <v>1</v>
      </c>
      <c r="AR1415" t="s">
        <v>1502</v>
      </c>
      <c r="AS1415" s="1">
        <v>44354.281944444447</v>
      </c>
      <c r="AT1415" s="1">
        <v>44354.284409722219</v>
      </c>
      <c r="AU1415" s="1">
        <v>44354.284826388888</v>
      </c>
      <c r="AV1415" t="s">
        <v>71</v>
      </c>
      <c r="AW1415" t="s">
        <v>72</v>
      </c>
      <c r="AX1415" t="s">
        <v>73</v>
      </c>
    </row>
    <row r="1416" spans="1:50" x14ac:dyDescent="0.3">
      <c r="A1416" t="str">
        <f>"202286B0000"</f>
        <v>202286B0000</v>
      </c>
      <c r="B1416" t="str">
        <f>"202286B00002"</f>
        <v>202286B00002</v>
      </c>
      <c r="C1416" t="str">
        <f t="shared" si="71"/>
        <v>20</v>
      </c>
      <c r="D1416" t="s">
        <v>67</v>
      </c>
      <c r="E1416" t="str">
        <f t="shared" si="68"/>
        <v>006</v>
      </c>
      <c r="F1416" t="s">
        <v>1254</v>
      </c>
      <c r="G1416" t="str">
        <f>"2286"</f>
        <v>2286</v>
      </c>
      <c r="H1416" t="str">
        <f t="shared" si="70"/>
        <v>0000</v>
      </c>
      <c r="I1416" t="s">
        <v>69</v>
      </c>
      <c r="J1416">
        <v>0</v>
      </c>
      <c r="K1416">
        <v>1</v>
      </c>
      <c r="L1416">
        <v>2</v>
      </c>
      <c r="M1416">
        <v>118</v>
      </c>
      <c r="N1416">
        <v>121</v>
      </c>
      <c r="O1416">
        <v>8</v>
      </c>
      <c r="P1416">
        <v>121</v>
      </c>
      <c r="Q1416">
        <v>6</v>
      </c>
      <c r="R1416">
        <v>13</v>
      </c>
      <c r="S1416">
        <v>2</v>
      </c>
      <c r="T1416">
        <v>2</v>
      </c>
      <c r="U1416">
        <v>15</v>
      </c>
      <c r="V1416">
        <v>0</v>
      </c>
      <c r="W1416">
        <v>2</v>
      </c>
      <c r="X1416">
        <v>72</v>
      </c>
      <c r="Y1416">
        <v>0</v>
      </c>
      <c r="Z1416">
        <v>2</v>
      </c>
      <c r="AA1416">
        <v>1</v>
      </c>
      <c r="AB1416">
        <v>1</v>
      </c>
      <c r="AD1416">
        <v>0</v>
      </c>
      <c r="AE1416">
        <v>0</v>
      </c>
      <c r="AF1416">
        <v>0</v>
      </c>
      <c r="AG1416">
        <v>0</v>
      </c>
      <c r="AI1416">
        <v>0</v>
      </c>
      <c r="AJ1416">
        <v>5</v>
      </c>
      <c r="AK1416">
        <v>121</v>
      </c>
      <c r="AL1416">
        <v>121</v>
      </c>
      <c r="AM1416">
        <v>195</v>
      </c>
      <c r="AN1416">
        <v>44</v>
      </c>
      <c r="AP1416">
        <v>1</v>
      </c>
      <c r="AR1416" t="s">
        <v>1503</v>
      </c>
      <c r="AS1416" s="1">
        <v>44354.298611111109</v>
      </c>
      <c r="AT1416" s="1">
        <v>44354.301458333335</v>
      </c>
      <c r="AU1416" s="1">
        <v>44354.302106481482</v>
      </c>
      <c r="AV1416" t="s">
        <v>71</v>
      </c>
      <c r="AW1416" t="s">
        <v>72</v>
      </c>
      <c r="AX1416" t="s">
        <v>73</v>
      </c>
    </row>
    <row r="1417" spans="1:50" x14ac:dyDescent="0.3">
      <c r="A1417" t="str">
        <f>"202287B0000"</f>
        <v>202287B0000</v>
      </c>
      <c r="B1417" t="str">
        <f>"202287B00002"</f>
        <v>202287B00002</v>
      </c>
      <c r="C1417" t="str">
        <f t="shared" si="71"/>
        <v>20</v>
      </c>
      <c r="D1417" t="s">
        <v>67</v>
      </c>
      <c r="E1417" t="str">
        <f t="shared" si="68"/>
        <v>006</v>
      </c>
      <c r="F1417" t="s">
        <v>1254</v>
      </c>
      <c r="G1417" t="str">
        <f>"2287"</f>
        <v>2287</v>
      </c>
      <c r="H1417" t="str">
        <f t="shared" si="70"/>
        <v>0000</v>
      </c>
      <c r="I1417" t="s">
        <v>69</v>
      </c>
      <c r="J1417">
        <v>0</v>
      </c>
      <c r="K1417">
        <v>1</v>
      </c>
      <c r="L1417">
        <v>2</v>
      </c>
      <c r="M1417">
        <v>163</v>
      </c>
      <c r="N1417">
        <v>124</v>
      </c>
      <c r="O1417">
        <v>10</v>
      </c>
      <c r="P1417">
        <v>5</v>
      </c>
      <c r="Q1417">
        <v>1</v>
      </c>
      <c r="R1417">
        <v>32</v>
      </c>
      <c r="S1417">
        <v>11</v>
      </c>
      <c r="T1417">
        <v>0</v>
      </c>
      <c r="U1417">
        <v>5</v>
      </c>
      <c r="V1417">
        <v>2</v>
      </c>
      <c r="W1417">
        <v>2</v>
      </c>
      <c r="X1417">
        <v>44</v>
      </c>
      <c r="Y1417">
        <v>0</v>
      </c>
      <c r="Z1417">
        <v>2</v>
      </c>
      <c r="AA1417">
        <v>3</v>
      </c>
      <c r="AB1417">
        <v>0</v>
      </c>
      <c r="AD1417">
        <v>8</v>
      </c>
      <c r="AE1417">
        <v>3</v>
      </c>
      <c r="AF1417">
        <v>0</v>
      </c>
      <c r="AG1417">
        <v>0</v>
      </c>
      <c r="AI1417">
        <v>0</v>
      </c>
      <c r="AJ1417">
        <v>12</v>
      </c>
      <c r="AK1417">
        <v>125</v>
      </c>
      <c r="AL1417">
        <v>125</v>
      </c>
      <c r="AM1417">
        <v>244</v>
      </c>
      <c r="AN1417">
        <v>44</v>
      </c>
      <c r="AP1417">
        <v>1</v>
      </c>
      <c r="AR1417" t="s">
        <v>1504</v>
      </c>
      <c r="AS1417" s="1">
        <v>44354.29791666667</v>
      </c>
      <c r="AT1417" s="1">
        <v>44354.300856481481</v>
      </c>
      <c r="AU1417" s="1">
        <v>44354.301527777781</v>
      </c>
      <c r="AV1417" t="s">
        <v>71</v>
      </c>
      <c r="AW1417" t="s">
        <v>72</v>
      </c>
      <c r="AX1417" t="s">
        <v>73</v>
      </c>
    </row>
    <row r="1418" spans="1:50" x14ac:dyDescent="0.3">
      <c r="A1418" t="str">
        <f>"202289B0000"</f>
        <v>202289B0000</v>
      </c>
      <c r="B1418" t="str">
        <f>"202289B00002"</f>
        <v>202289B00002</v>
      </c>
      <c r="C1418" t="str">
        <f t="shared" si="71"/>
        <v>20</v>
      </c>
      <c r="D1418" t="s">
        <v>67</v>
      </c>
      <c r="E1418" t="str">
        <f t="shared" si="68"/>
        <v>006</v>
      </c>
      <c r="F1418" t="s">
        <v>1254</v>
      </c>
      <c r="G1418" t="str">
        <f>"2289"</f>
        <v>2289</v>
      </c>
      <c r="H1418" t="str">
        <f t="shared" si="70"/>
        <v>0000</v>
      </c>
      <c r="I1418" t="s">
        <v>69</v>
      </c>
      <c r="J1418">
        <v>0</v>
      </c>
      <c r="K1418">
        <v>1</v>
      </c>
      <c r="L1418">
        <v>2</v>
      </c>
      <c r="M1418">
        <v>152</v>
      </c>
      <c r="N1418">
        <v>114</v>
      </c>
      <c r="O1418">
        <v>6</v>
      </c>
      <c r="P1418">
        <v>114</v>
      </c>
      <c r="Q1418">
        <v>8</v>
      </c>
      <c r="R1418">
        <v>35</v>
      </c>
      <c r="S1418">
        <v>5</v>
      </c>
      <c r="T1418">
        <v>0</v>
      </c>
      <c r="U1418">
        <v>26</v>
      </c>
      <c r="V1418">
        <v>3</v>
      </c>
      <c r="W1418">
        <v>0</v>
      </c>
      <c r="X1418">
        <v>13</v>
      </c>
      <c r="Y1418">
        <v>0</v>
      </c>
      <c r="Z1418">
        <v>1</v>
      </c>
      <c r="AA1418">
        <v>1</v>
      </c>
      <c r="AB1418">
        <v>1</v>
      </c>
      <c r="AD1418">
        <v>2</v>
      </c>
      <c r="AE1418">
        <v>0</v>
      </c>
      <c r="AF1418">
        <v>0</v>
      </c>
      <c r="AG1418">
        <v>1</v>
      </c>
      <c r="AI1418">
        <v>0</v>
      </c>
      <c r="AJ1418">
        <v>13</v>
      </c>
      <c r="AK1418">
        <v>114</v>
      </c>
      <c r="AL1418">
        <v>109</v>
      </c>
      <c r="AM1418">
        <v>222</v>
      </c>
      <c r="AN1418">
        <v>44</v>
      </c>
      <c r="AP1418">
        <v>1</v>
      </c>
      <c r="AR1418" t="s">
        <v>1505</v>
      </c>
      <c r="AS1418" s="1">
        <v>44354.29791666667</v>
      </c>
      <c r="AT1418" s="1">
        <v>44354.304594907408</v>
      </c>
      <c r="AU1418" s="1">
        <v>44354.305162037039</v>
      </c>
      <c r="AV1418" t="s">
        <v>71</v>
      </c>
      <c r="AW1418" t="s">
        <v>72</v>
      </c>
      <c r="AX1418" t="s">
        <v>73</v>
      </c>
    </row>
    <row r="1419" spans="1:50" x14ac:dyDescent="0.3">
      <c r="A1419" t="str">
        <f>"202432B0000"</f>
        <v>202432B0000</v>
      </c>
      <c r="B1419" t="str">
        <f>"202432B00002"</f>
        <v>202432B00002</v>
      </c>
      <c r="C1419" t="str">
        <f t="shared" si="71"/>
        <v>20</v>
      </c>
      <c r="D1419" t="s">
        <v>67</v>
      </c>
      <c r="E1419" t="str">
        <f t="shared" si="68"/>
        <v>006</v>
      </c>
      <c r="F1419" t="s">
        <v>1254</v>
      </c>
      <c r="G1419" t="str">
        <f>"2432"</f>
        <v>2432</v>
      </c>
      <c r="H1419" t="str">
        <f t="shared" si="70"/>
        <v>0000</v>
      </c>
      <c r="I1419" t="s">
        <v>69</v>
      </c>
      <c r="J1419">
        <v>0</v>
      </c>
      <c r="K1419">
        <v>1</v>
      </c>
      <c r="L1419">
        <v>2</v>
      </c>
      <c r="M1419">
        <v>231</v>
      </c>
      <c r="N1419">
        <v>340</v>
      </c>
      <c r="O1419">
        <v>0</v>
      </c>
      <c r="P1419">
        <v>340</v>
      </c>
      <c r="Q1419">
        <v>12</v>
      </c>
      <c r="R1419">
        <v>10</v>
      </c>
      <c r="S1419">
        <v>0</v>
      </c>
      <c r="T1419">
        <v>98</v>
      </c>
      <c r="U1419">
        <v>1</v>
      </c>
      <c r="V1419">
        <v>2</v>
      </c>
      <c r="W1419">
        <v>0</v>
      </c>
      <c r="X1419">
        <v>67</v>
      </c>
      <c r="Y1419">
        <v>104</v>
      </c>
      <c r="Z1419">
        <v>1</v>
      </c>
      <c r="AA1419">
        <v>29</v>
      </c>
      <c r="AB1419">
        <v>0</v>
      </c>
      <c r="AD1419">
        <v>1</v>
      </c>
      <c r="AE1419">
        <v>0</v>
      </c>
      <c r="AF1419">
        <v>1</v>
      </c>
      <c r="AG1419">
        <v>0</v>
      </c>
      <c r="AI1419">
        <v>0</v>
      </c>
      <c r="AJ1419">
        <v>14</v>
      </c>
      <c r="AK1419">
        <v>340</v>
      </c>
      <c r="AL1419">
        <v>340</v>
      </c>
      <c r="AM1419">
        <v>527</v>
      </c>
      <c r="AN1419">
        <v>44</v>
      </c>
      <c r="AP1419">
        <v>1</v>
      </c>
      <c r="AR1419" t="s">
        <v>1506</v>
      </c>
      <c r="AS1419" s="1">
        <v>44354.427777777775</v>
      </c>
      <c r="AT1419" s="1">
        <v>44354.432500000003</v>
      </c>
      <c r="AU1419" s="1">
        <v>44354.433194444442</v>
      </c>
      <c r="AV1419" t="s">
        <v>71</v>
      </c>
      <c r="AW1419" t="s">
        <v>72</v>
      </c>
      <c r="AX1419" t="s">
        <v>73</v>
      </c>
    </row>
    <row r="1420" spans="1:50" x14ac:dyDescent="0.3">
      <c r="A1420" t="str">
        <f>"202432C0100"</f>
        <v>202432C0100</v>
      </c>
      <c r="B1420" t="str">
        <f>"202432C01002"</f>
        <v>202432C01002</v>
      </c>
      <c r="C1420" t="str">
        <f t="shared" si="71"/>
        <v>20</v>
      </c>
      <c r="D1420" t="s">
        <v>67</v>
      </c>
      <c r="E1420" t="str">
        <f t="shared" si="68"/>
        <v>006</v>
      </c>
      <c r="F1420" t="s">
        <v>1254</v>
      </c>
      <c r="G1420" t="str">
        <f>"2432"</f>
        <v>2432</v>
      </c>
      <c r="H1420" t="str">
        <f>"0001"</f>
        <v>0001</v>
      </c>
      <c r="I1420" t="s">
        <v>75</v>
      </c>
      <c r="J1420">
        <v>0</v>
      </c>
      <c r="K1420">
        <v>1</v>
      </c>
      <c r="L1420">
        <v>2</v>
      </c>
      <c r="M1420">
        <v>217</v>
      </c>
      <c r="N1420">
        <v>353</v>
      </c>
      <c r="O1420">
        <v>0</v>
      </c>
      <c r="P1420">
        <v>353</v>
      </c>
      <c r="Q1420">
        <v>16</v>
      </c>
      <c r="R1420">
        <v>11</v>
      </c>
      <c r="S1420">
        <v>2</v>
      </c>
      <c r="T1420">
        <v>102</v>
      </c>
      <c r="U1420">
        <v>4</v>
      </c>
      <c r="V1420">
        <v>1</v>
      </c>
      <c r="W1420">
        <v>1</v>
      </c>
      <c r="X1420">
        <v>52</v>
      </c>
      <c r="Y1420">
        <v>94</v>
      </c>
      <c r="Z1420">
        <v>3</v>
      </c>
      <c r="AA1420">
        <v>39</v>
      </c>
      <c r="AB1420">
        <v>0</v>
      </c>
      <c r="AD1420">
        <v>1</v>
      </c>
      <c r="AE1420">
        <v>1</v>
      </c>
      <c r="AF1420">
        <v>0</v>
      </c>
      <c r="AG1420">
        <v>0</v>
      </c>
      <c r="AI1420" t="s">
        <v>77</v>
      </c>
      <c r="AJ1420">
        <v>26</v>
      </c>
      <c r="AK1420">
        <v>353</v>
      </c>
      <c r="AL1420">
        <v>353</v>
      </c>
      <c r="AM1420">
        <v>526</v>
      </c>
      <c r="AN1420">
        <v>44</v>
      </c>
      <c r="AO1420" t="s">
        <v>78</v>
      </c>
      <c r="AP1420">
        <v>1</v>
      </c>
      <c r="AR1420" t="s">
        <v>1507</v>
      </c>
      <c r="AS1420" s="1">
        <v>44354.428472222222</v>
      </c>
      <c r="AT1420" s="1">
        <v>44354.432025462964</v>
      </c>
      <c r="AU1420" s="1">
        <v>44354.432615740741</v>
      </c>
      <c r="AV1420" t="s">
        <v>71</v>
      </c>
      <c r="AW1420" t="s">
        <v>72</v>
      </c>
      <c r="AX1420" t="s">
        <v>73</v>
      </c>
    </row>
    <row r="1421" spans="1:50" x14ac:dyDescent="0.3">
      <c r="A1421" t="str">
        <f>"202433B0000"</f>
        <v>202433B0000</v>
      </c>
      <c r="B1421" t="str">
        <f>"202433B00002"</f>
        <v>202433B00002</v>
      </c>
      <c r="C1421" t="str">
        <f t="shared" si="71"/>
        <v>20</v>
      </c>
      <c r="D1421" t="s">
        <v>67</v>
      </c>
      <c r="E1421" t="str">
        <f t="shared" si="68"/>
        <v>006</v>
      </c>
      <c r="F1421" t="s">
        <v>1254</v>
      </c>
      <c r="G1421" t="str">
        <f>"2433"</f>
        <v>2433</v>
      </c>
      <c r="H1421" t="str">
        <f>"0000"</f>
        <v>0000</v>
      </c>
      <c r="I1421" t="s">
        <v>69</v>
      </c>
      <c r="J1421">
        <v>0</v>
      </c>
      <c r="K1421">
        <v>1</v>
      </c>
      <c r="L1421">
        <v>2</v>
      </c>
      <c r="M1421">
        <v>295</v>
      </c>
      <c r="N1421">
        <v>456</v>
      </c>
      <c r="O1421">
        <v>0</v>
      </c>
      <c r="P1421">
        <v>456</v>
      </c>
      <c r="Q1421">
        <v>35</v>
      </c>
      <c r="R1421">
        <v>23</v>
      </c>
      <c r="S1421">
        <v>1</v>
      </c>
      <c r="T1421">
        <v>172</v>
      </c>
      <c r="U1421">
        <v>9</v>
      </c>
      <c r="V1421">
        <v>1</v>
      </c>
      <c r="W1421">
        <v>0</v>
      </c>
      <c r="X1421">
        <v>84</v>
      </c>
      <c r="Y1421">
        <v>27</v>
      </c>
      <c r="Z1421">
        <v>5</v>
      </c>
      <c r="AA1421">
        <v>75</v>
      </c>
      <c r="AB1421">
        <v>0</v>
      </c>
      <c r="AD1421">
        <v>0</v>
      </c>
      <c r="AE1421">
        <v>0</v>
      </c>
      <c r="AF1421">
        <v>0</v>
      </c>
      <c r="AG1421">
        <v>0</v>
      </c>
      <c r="AI1421">
        <v>0</v>
      </c>
      <c r="AJ1421">
        <v>24</v>
      </c>
      <c r="AK1421">
        <v>456</v>
      </c>
      <c r="AL1421">
        <v>456</v>
      </c>
      <c r="AM1421">
        <v>707</v>
      </c>
      <c r="AN1421">
        <v>44</v>
      </c>
      <c r="AP1421">
        <v>1</v>
      </c>
      <c r="AR1421" t="s">
        <v>1508</v>
      </c>
      <c r="AS1421" s="1">
        <v>44354.423611111109</v>
      </c>
      <c r="AT1421" s="1">
        <v>44354.428090277775</v>
      </c>
      <c r="AU1421" s="1">
        <v>44354.428680555553</v>
      </c>
      <c r="AV1421" t="s">
        <v>71</v>
      </c>
      <c r="AW1421" t="s">
        <v>72</v>
      </c>
      <c r="AX1421" t="s">
        <v>73</v>
      </c>
    </row>
    <row r="1422" spans="1:50" x14ac:dyDescent="0.3">
      <c r="A1422" t="str">
        <f>"202434B0000"</f>
        <v>202434B0000</v>
      </c>
      <c r="B1422" t="str">
        <f>"202434B00002"</f>
        <v>202434B00002</v>
      </c>
      <c r="C1422" t="str">
        <f t="shared" si="71"/>
        <v>20</v>
      </c>
      <c r="D1422" t="s">
        <v>67</v>
      </c>
      <c r="E1422" t="str">
        <f t="shared" si="68"/>
        <v>006</v>
      </c>
      <c r="F1422" t="s">
        <v>1254</v>
      </c>
      <c r="G1422" t="str">
        <f>"2434"</f>
        <v>2434</v>
      </c>
      <c r="H1422" t="str">
        <f>"0000"</f>
        <v>0000</v>
      </c>
      <c r="I1422" t="s">
        <v>69</v>
      </c>
      <c r="J1422">
        <v>0</v>
      </c>
      <c r="K1422">
        <v>1</v>
      </c>
      <c r="L1422">
        <v>2</v>
      </c>
      <c r="M1422">
        <v>220</v>
      </c>
      <c r="N1422">
        <v>310</v>
      </c>
      <c r="O1422">
        <v>1</v>
      </c>
      <c r="P1422">
        <v>310</v>
      </c>
      <c r="Q1422">
        <v>4</v>
      </c>
      <c r="R1422">
        <v>10</v>
      </c>
      <c r="S1422">
        <v>0</v>
      </c>
      <c r="T1422">
        <v>95</v>
      </c>
      <c r="U1422">
        <v>4</v>
      </c>
      <c r="V1422">
        <v>5</v>
      </c>
      <c r="W1422">
        <v>2</v>
      </c>
      <c r="X1422">
        <v>63</v>
      </c>
      <c r="Y1422">
        <v>92</v>
      </c>
      <c r="Z1422">
        <v>3</v>
      </c>
      <c r="AA1422">
        <v>10</v>
      </c>
      <c r="AB1422">
        <v>0</v>
      </c>
      <c r="AD1422">
        <v>0</v>
      </c>
      <c r="AE1422">
        <v>0</v>
      </c>
      <c r="AF1422">
        <v>0</v>
      </c>
      <c r="AG1422">
        <v>0</v>
      </c>
      <c r="AI1422">
        <v>0</v>
      </c>
      <c r="AJ1422">
        <v>22</v>
      </c>
      <c r="AK1422">
        <v>310</v>
      </c>
      <c r="AL1422">
        <v>310</v>
      </c>
      <c r="AM1422">
        <v>486</v>
      </c>
      <c r="AN1422">
        <v>44</v>
      </c>
      <c r="AP1422">
        <v>1</v>
      </c>
      <c r="AR1422" t="s">
        <v>1509</v>
      </c>
      <c r="AS1422" s="1">
        <v>44354.427777777775</v>
      </c>
      <c r="AT1422" s="1">
        <v>44354.43167824074</v>
      </c>
      <c r="AU1422" s="1">
        <v>44354.432256944441</v>
      </c>
      <c r="AV1422" t="s">
        <v>71</v>
      </c>
      <c r="AW1422" t="s">
        <v>72</v>
      </c>
      <c r="AX1422" t="s">
        <v>73</v>
      </c>
    </row>
    <row r="1423" spans="1:50" x14ac:dyDescent="0.3">
      <c r="A1423" t="str">
        <f>"202435B0000"</f>
        <v>202435B0000</v>
      </c>
      <c r="B1423" t="str">
        <f>"202435B00002"</f>
        <v>202435B00002</v>
      </c>
      <c r="C1423" t="str">
        <f t="shared" si="71"/>
        <v>20</v>
      </c>
      <c r="D1423" t="s">
        <v>67</v>
      </c>
      <c r="E1423" t="str">
        <f t="shared" si="68"/>
        <v>006</v>
      </c>
      <c r="F1423" t="s">
        <v>1254</v>
      </c>
      <c r="G1423" t="str">
        <f>"2435"</f>
        <v>2435</v>
      </c>
      <c r="H1423" t="str">
        <f>"0000"</f>
        <v>0000</v>
      </c>
      <c r="I1423" t="s">
        <v>69</v>
      </c>
      <c r="J1423">
        <v>0</v>
      </c>
      <c r="K1423">
        <v>1</v>
      </c>
      <c r="L1423">
        <v>2</v>
      </c>
      <c r="M1423">
        <v>560</v>
      </c>
      <c r="N1423">
        <v>142</v>
      </c>
      <c r="O1423">
        <v>0</v>
      </c>
      <c r="P1423">
        <v>142</v>
      </c>
      <c r="Q1423">
        <v>5</v>
      </c>
      <c r="R1423">
        <v>32</v>
      </c>
      <c r="S1423">
        <v>3</v>
      </c>
      <c r="T1423">
        <v>4</v>
      </c>
      <c r="U1423">
        <v>8</v>
      </c>
      <c r="V1423">
        <v>0</v>
      </c>
      <c r="W1423">
        <v>3</v>
      </c>
      <c r="X1423">
        <v>53</v>
      </c>
      <c r="Y1423">
        <v>18</v>
      </c>
      <c r="Z1423">
        <v>1</v>
      </c>
      <c r="AA1423">
        <v>4</v>
      </c>
      <c r="AB1423">
        <v>1</v>
      </c>
      <c r="AD1423">
        <v>1</v>
      </c>
      <c r="AE1423">
        <v>0</v>
      </c>
      <c r="AF1423">
        <v>0</v>
      </c>
      <c r="AG1423">
        <v>0</v>
      </c>
      <c r="AI1423">
        <v>0</v>
      </c>
      <c r="AJ1423">
        <v>9</v>
      </c>
      <c r="AK1423">
        <v>142</v>
      </c>
      <c r="AL1423">
        <v>142</v>
      </c>
      <c r="AM1423">
        <v>658</v>
      </c>
      <c r="AN1423">
        <v>44</v>
      </c>
      <c r="AP1423">
        <v>1</v>
      </c>
      <c r="AR1423" t="s">
        <v>1510</v>
      </c>
      <c r="AS1423" s="1">
        <v>44353.860902777778</v>
      </c>
      <c r="AT1423" s="1">
        <v>44353.862870370373</v>
      </c>
      <c r="AU1423" s="1">
        <v>44353.863587962966</v>
      </c>
      <c r="AV1423" t="s">
        <v>269</v>
      </c>
      <c r="AW1423" t="s">
        <v>270</v>
      </c>
      <c r="AX1423" t="s">
        <v>73</v>
      </c>
    </row>
    <row r="1424" spans="1:50" x14ac:dyDescent="0.3">
      <c r="A1424" t="str">
        <f>"202435C0100"</f>
        <v>202435C0100</v>
      </c>
      <c r="B1424" t="str">
        <f>"202435C01002"</f>
        <v>202435C01002</v>
      </c>
      <c r="C1424" t="str">
        <f t="shared" si="71"/>
        <v>20</v>
      </c>
      <c r="D1424" t="s">
        <v>67</v>
      </c>
      <c r="E1424" t="str">
        <f t="shared" ref="E1424:E1431" si="72">"006"</f>
        <v>006</v>
      </c>
      <c r="F1424" t="s">
        <v>1254</v>
      </c>
      <c r="G1424" t="str">
        <f>"2435"</f>
        <v>2435</v>
      </c>
      <c r="H1424" t="str">
        <f>"0001"</f>
        <v>0001</v>
      </c>
      <c r="I1424" t="s">
        <v>75</v>
      </c>
      <c r="J1424">
        <v>0</v>
      </c>
      <c r="K1424">
        <v>1</v>
      </c>
      <c r="L1424">
        <v>2</v>
      </c>
      <c r="M1424">
        <v>546</v>
      </c>
      <c r="N1424">
        <v>155</v>
      </c>
      <c r="O1424">
        <v>0</v>
      </c>
      <c r="P1424">
        <v>155</v>
      </c>
      <c r="Q1424">
        <v>6</v>
      </c>
      <c r="R1424">
        <v>44</v>
      </c>
      <c r="S1424">
        <v>5</v>
      </c>
      <c r="T1424">
        <v>6</v>
      </c>
      <c r="U1424">
        <v>16</v>
      </c>
      <c r="V1424">
        <v>4</v>
      </c>
      <c r="W1424">
        <v>2</v>
      </c>
      <c r="X1424">
        <v>45</v>
      </c>
      <c r="Y1424">
        <v>11</v>
      </c>
      <c r="Z1424">
        <v>1</v>
      </c>
      <c r="AA1424">
        <v>4</v>
      </c>
      <c r="AB1424">
        <v>3</v>
      </c>
      <c r="AD1424">
        <v>0</v>
      </c>
      <c r="AE1424">
        <v>0</v>
      </c>
      <c r="AF1424">
        <v>0</v>
      </c>
      <c r="AG1424">
        <v>0</v>
      </c>
      <c r="AI1424">
        <v>0</v>
      </c>
      <c r="AJ1424">
        <v>8</v>
      </c>
      <c r="AK1424">
        <v>155</v>
      </c>
      <c r="AL1424">
        <v>155</v>
      </c>
      <c r="AM1424">
        <v>657</v>
      </c>
      <c r="AN1424">
        <v>44</v>
      </c>
      <c r="AP1424">
        <v>1</v>
      </c>
      <c r="AR1424" t="s">
        <v>1511</v>
      </c>
      <c r="AS1424" s="1">
        <v>44353.86210648148</v>
      </c>
      <c r="AT1424" s="1">
        <v>44353.864016203705</v>
      </c>
      <c r="AU1424" s="1">
        <v>44353.866550925923</v>
      </c>
      <c r="AV1424" t="s">
        <v>269</v>
      </c>
      <c r="AW1424" t="s">
        <v>270</v>
      </c>
      <c r="AX1424" t="s">
        <v>73</v>
      </c>
    </row>
    <row r="1425" spans="1:50" x14ac:dyDescent="0.3">
      <c r="A1425" t="str">
        <f>"202451B0000"</f>
        <v>202451B0000</v>
      </c>
      <c r="B1425" t="str">
        <f>"202451B00002"</f>
        <v>202451B00002</v>
      </c>
      <c r="C1425" t="str">
        <f t="shared" si="71"/>
        <v>20</v>
      </c>
      <c r="D1425" t="s">
        <v>67</v>
      </c>
      <c r="E1425" t="str">
        <f t="shared" si="72"/>
        <v>006</v>
      </c>
      <c r="F1425" t="s">
        <v>1254</v>
      </c>
      <c r="G1425" t="str">
        <f>"2451"</f>
        <v>2451</v>
      </c>
      <c r="H1425" t="str">
        <f>"0000"</f>
        <v>0000</v>
      </c>
      <c r="I1425" t="s">
        <v>69</v>
      </c>
      <c r="J1425">
        <v>0</v>
      </c>
      <c r="K1425">
        <v>1</v>
      </c>
      <c r="L1425">
        <v>2</v>
      </c>
      <c r="M1425">
        <v>199</v>
      </c>
      <c r="N1425">
        <v>285</v>
      </c>
      <c r="O1425">
        <v>0</v>
      </c>
      <c r="P1425">
        <v>285</v>
      </c>
      <c r="Q1425">
        <v>116</v>
      </c>
      <c r="R1425">
        <v>90</v>
      </c>
      <c r="S1425">
        <v>0</v>
      </c>
      <c r="T1425">
        <v>2</v>
      </c>
      <c r="U1425">
        <v>7</v>
      </c>
      <c r="V1425">
        <v>1</v>
      </c>
      <c r="W1425">
        <v>2</v>
      </c>
      <c r="X1425">
        <v>34</v>
      </c>
      <c r="Y1425">
        <v>25</v>
      </c>
      <c r="Z1425">
        <v>0</v>
      </c>
      <c r="AA1425">
        <v>1</v>
      </c>
      <c r="AB1425">
        <v>0</v>
      </c>
      <c r="AD1425">
        <v>1</v>
      </c>
      <c r="AE1425">
        <v>2</v>
      </c>
      <c r="AF1425">
        <v>0</v>
      </c>
      <c r="AG1425">
        <v>0</v>
      </c>
      <c r="AI1425">
        <v>0</v>
      </c>
      <c r="AJ1425">
        <v>4</v>
      </c>
      <c r="AK1425">
        <v>285</v>
      </c>
      <c r="AL1425">
        <v>285</v>
      </c>
      <c r="AM1425">
        <v>440</v>
      </c>
      <c r="AN1425">
        <v>44</v>
      </c>
      <c r="AP1425">
        <v>1</v>
      </c>
      <c r="AR1425" t="s">
        <v>1512</v>
      </c>
      <c r="AS1425" s="1">
        <v>44353.869606481479</v>
      </c>
      <c r="AT1425" s="1">
        <v>44353.931388888886</v>
      </c>
      <c r="AU1425" s="1">
        <v>44353.931886574072</v>
      </c>
      <c r="AV1425" t="s">
        <v>269</v>
      </c>
      <c r="AW1425" t="s">
        <v>270</v>
      </c>
      <c r="AX1425" t="s">
        <v>73</v>
      </c>
    </row>
    <row r="1426" spans="1:50" x14ac:dyDescent="0.3">
      <c r="A1426" t="str">
        <f>"202459B0000"</f>
        <v>202459B0000</v>
      </c>
      <c r="B1426" t="str">
        <f>"202459B00002"</f>
        <v>202459B00002</v>
      </c>
      <c r="C1426" t="str">
        <f t="shared" si="71"/>
        <v>20</v>
      </c>
      <c r="D1426" t="s">
        <v>67</v>
      </c>
      <c r="E1426" t="str">
        <f t="shared" si="72"/>
        <v>006</v>
      </c>
      <c r="F1426" t="s">
        <v>1254</v>
      </c>
      <c r="G1426" t="str">
        <f>"2459"</f>
        <v>2459</v>
      </c>
      <c r="H1426" t="str">
        <f>"0000"</f>
        <v>0000</v>
      </c>
      <c r="I1426" t="s">
        <v>69</v>
      </c>
      <c r="J1426">
        <v>0</v>
      </c>
      <c r="K1426">
        <v>1</v>
      </c>
      <c r="L1426">
        <v>2</v>
      </c>
      <c r="M1426">
        <v>366</v>
      </c>
      <c r="N1426">
        <v>256</v>
      </c>
      <c r="O1426">
        <v>9</v>
      </c>
      <c r="P1426" t="s">
        <v>80</v>
      </c>
      <c r="Q1426">
        <v>56</v>
      </c>
      <c r="R1426">
        <v>25</v>
      </c>
      <c r="S1426">
        <v>1</v>
      </c>
      <c r="T1426">
        <v>22</v>
      </c>
      <c r="U1426">
        <v>13</v>
      </c>
      <c r="V1426">
        <v>6</v>
      </c>
      <c r="W1426">
        <v>2</v>
      </c>
      <c r="X1426">
        <v>90</v>
      </c>
      <c r="Y1426">
        <v>13</v>
      </c>
      <c r="Z1426">
        <v>2</v>
      </c>
      <c r="AA1426">
        <v>7</v>
      </c>
      <c r="AB1426">
        <v>6</v>
      </c>
      <c r="AD1426">
        <v>1</v>
      </c>
      <c r="AE1426">
        <v>4</v>
      </c>
      <c r="AF1426">
        <v>0</v>
      </c>
      <c r="AG1426">
        <v>0</v>
      </c>
      <c r="AI1426">
        <v>0</v>
      </c>
      <c r="AJ1426">
        <v>8</v>
      </c>
      <c r="AK1426">
        <v>256</v>
      </c>
      <c r="AL1426">
        <v>256</v>
      </c>
      <c r="AM1426">
        <v>578</v>
      </c>
      <c r="AN1426">
        <v>44</v>
      </c>
      <c r="AP1426">
        <v>1</v>
      </c>
      <c r="AR1426" t="s">
        <v>1513</v>
      </c>
      <c r="AS1426" s="1">
        <v>44353.978310185186</v>
      </c>
      <c r="AT1426" s="1">
        <v>44353.980266203704</v>
      </c>
      <c r="AU1426" s="1">
        <v>44353.980682870373</v>
      </c>
      <c r="AV1426" t="s">
        <v>269</v>
      </c>
      <c r="AW1426" t="s">
        <v>270</v>
      </c>
      <c r="AX1426" t="s">
        <v>73</v>
      </c>
    </row>
    <row r="1427" spans="1:50" x14ac:dyDescent="0.3">
      <c r="A1427" t="str">
        <f>"202459C0100"</f>
        <v>202459C0100</v>
      </c>
      <c r="B1427" t="str">
        <f>"202459C01002"</f>
        <v>202459C01002</v>
      </c>
      <c r="C1427" t="str">
        <f t="shared" si="71"/>
        <v>20</v>
      </c>
      <c r="D1427" t="s">
        <v>67</v>
      </c>
      <c r="E1427" t="str">
        <f t="shared" si="72"/>
        <v>006</v>
      </c>
      <c r="F1427" t="s">
        <v>1254</v>
      </c>
      <c r="G1427" t="str">
        <f>"2459"</f>
        <v>2459</v>
      </c>
      <c r="H1427" t="str">
        <f>"0001"</f>
        <v>0001</v>
      </c>
      <c r="I1427" t="s">
        <v>75</v>
      </c>
      <c r="J1427">
        <v>0</v>
      </c>
      <c r="K1427">
        <v>1</v>
      </c>
      <c r="L1427">
        <v>2</v>
      </c>
      <c r="M1427">
        <v>371</v>
      </c>
      <c r="N1427">
        <v>251</v>
      </c>
      <c r="O1427">
        <v>7</v>
      </c>
      <c r="P1427">
        <v>251</v>
      </c>
      <c r="Q1427">
        <v>82</v>
      </c>
      <c r="R1427">
        <v>30</v>
      </c>
      <c r="S1427">
        <v>0</v>
      </c>
      <c r="T1427">
        <v>13</v>
      </c>
      <c r="U1427">
        <v>3</v>
      </c>
      <c r="V1427">
        <v>3</v>
      </c>
      <c r="W1427">
        <v>1</v>
      </c>
      <c r="X1427">
        <v>88</v>
      </c>
      <c r="Y1427">
        <v>9</v>
      </c>
      <c r="Z1427">
        <v>2</v>
      </c>
      <c r="AA1427">
        <v>8</v>
      </c>
      <c r="AB1427">
        <v>6</v>
      </c>
      <c r="AD1427">
        <v>0</v>
      </c>
      <c r="AE1427">
        <v>0</v>
      </c>
      <c r="AF1427">
        <v>0</v>
      </c>
      <c r="AG1427">
        <v>0</v>
      </c>
      <c r="AI1427">
        <v>0</v>
      </c>
      <c r="AJ1427">
        <v>6</v>
      </c>
      <c r="AK1427">
        <v>251</v>
      </c>
      <c r="AL1427">
        <v>251</v>
      </c>
      <c r="AM1427">
        <v>578</v>
      </c>
      <c r="AN1427">
        <v>44</v>
      </c>
      <c r="AP1427">
        <v>1</v>
      </c>
      <c r="AR1427" t="s">
        <v>1514</v>
      </c>
      <c r="AS1427" s="1">
        <v>44353.896168981482</v>
      </c>
      <c r="AT1427" s="1">
        <v>44353.897881944446</v>
      </c>
      <c r="AU1427" s="1">
        <v>44353.898182870369</v>
      </c>
      <c r="AV1427" t="s">
        <v>269</v>
      </c>
      <c r="AW1427" t="s">
        <v>270</v>
      </c>
      <c r="AX1427" t="s">
        <v>73</v>
      </c>
    </row>
    <row r="1428" spans="1:50" x14ac:dyDescent="0.3">
      <c r="A1428" t="str">
        <f>"202459C0200"</f>
        <v>202459C0200</v>
      </c>
      <c r="B1428" t="str">
        <f>"202459C02002"</f>
        <v>202459C02002</v>
      </c>
      <c r="C1428" t="str">
        <f t="shared" si="71"/>
        <v>20</v>
      </c>
      <c r="D1428" t="s">
        <v>67</v>
      </c>
      <c r="E1428" t="str">
        <f t="shared" si="72"/>
        <v>006</v>
      </c>
      <c r="F1428" t="s">
        <v>1254</v>
      </c>
      <c r="G1428" t="str">
        <f>"2459"</f>
        <v>2459</v>
      </c>
      <c r="H1428" t="str">
        <f>"0002"</f>
        <v>0002</v>
      </c>
      <c r="I1428" t="s">
        <v>75</v>
      </c>
      <c r="J1428">
        <v>0</v>
      </c>
      <c r="K1428">
        <v>1</v>
      </c>
      <c r="L1428">
        <v>2</v>
      </c>
      <c r="M1428">
        <v>398</v>
      </c>
      <c r="N1428">
        <v>223</v>
      </c>
      <c r="O1428">
        <v>2</v>
      </c>
      <c r="P1428">
        <v>223</v>
      </c>
      <c r="Q1428">
        <v>89</v>
      </c>
      <c r="R1428">
        <v>33</v>
      </c>
      <c r="S1428">
        <v>1</v>
      </c>
      <c r="T1428">
        <v>15</v>
      </c>
      <c r="U1428">
        <v>7</v>
      </c>
      <c r="V1428">
        <v>1</v>
      </c>
      <c r="W1428">
        <v>1</v>
      </c>
      <c r="X1428">
        <v>52</v>
      </c>
      <c r="Y1428">
        <v>7</v>
      </c>
      <c r="Z1428">
        <v>0</v>
      </c>
      <c r="AA1428">
        <v>6</v>
      </c>
      <c r="AB1428">
        <v>5</v>
      </c>
      <c r="AD1428">
        <v>0</v>
      </c>
      <c r="AE1428">
        <v>0</v>
      </c>
      <c r="AF1428">
        <v>0</v>
      </c>
      <c r="AG1428">
        <v>0</v>
      </c>
      <c r="AI1428">
        <v>0</v>
      </c>
      <c r="AJ1428">
        <v>6</v>
      </c>
      <c r="AK1428">
        <v>223</v>
      </c>
      <c r="AL1428">
        <v>223</v>
      </c>
      <c r="AM1428">
        <v>577</v>
      </c>
      <c r="AN1428">
        <v>44</v>
      </c>
      <c r="AP1428">
        <v>1</v>
      </c>
      <c r="AR1428" t="s">
        <v>1515</v>
      </c>
      <c r="AS1428" s="1">
        <v>44353.903958333336</v>
      </c>
      <c r="AT1428" s="1">
        <v>44353.905370370368</v>
      </c>
      <c r="AU1428" s="1">
        <v>44353.905891203707</v>
      </c>
      <c r="AV1428" t="s">
        <v>269</v>
      </c>
      <c r="AW1428" t="s">
        <v>270</v>
      </c>
      <c r="AX1428" t="s">
        <v>73</v>
      </c>
    </row>
    <row r="1429" spans="1:50" x14ac:dyDescent="0.3">
      <c r="A1429" t="str">
        <f>"202460B0000"</f>
        <v>202460B0000</v>
      </c>
      <c r="B1429" t="str">
        <f>"202460B00002"</f>
        <v>202460B00002</v>
      </c>
      <c r="C1429" t="str">
        <f t="shared" si="71"/>
        <v>20</v>
      </c>
      <c r="D1429" t="s">
        <v>67</v>
      </c>
      <c r="E1429" t="str">
        <f t="shared" si="72"/>
        <v>006</v>
      </c>
      <c r="F1429" t="s">
        <v>1254</v>
      </c>
      <c r="G1429" t="str">
        <f>"2460"</f>
        <v>2460</v>
      </c>
      <c r="H1429" t="str">
        <f>"0000"</f>
        <v>0000</v>
      </c>
      <c r="I1429" t="s">
        <v>69</v>
      </c>
      <c r="J1429">
        <v>0</v>
      </c>
      <c r="K1429">
        <v>1</v>
      </c>
      <c r="L1429">
        <v>2</v>
      </c>
      <c r="M1429">
        <v>365</v>
      </c>
      <c r="N1429">
        <v>270</v>
      </c>
      <c r="O1429">
        <v>6</v>
      </c>
      <c r="P1429">
        <v>270</v>
      </c>
      <c r="Q1429">
        <v>61</v>
      </c>
      <c r="R1429">
        <v>30</v>
      </c>
      <c r="S1429">
        <v>3</v>
      </c>
      <c r="T1429">
        <v>24</v>
      </c>
      <c r="U1429">
        <v>3</v>
      </c>
      <c r="V1429">
        <v>7</v>
      </c>
      <c r="W1429">
        <v>0</v>
      </c>
      <c r="X1429">
        <v>104</v>
      </c>
      <c r="Y1429">
        <v>18</v>
      </c>
      <c r="Z1429">
        <v>0</v>
      </c>
      <c r="AA1429">
        <v>8</v>
      </c>
      <c r="AB1429">
        <v>4</v>
      </c>
      <c r="AD1429">
        <v>1</v>
      </c>
      <c r="AE1429">
        <v>1</v>
      </c>
      <c r="AF1429">
        <v>0</v>
      </c>
      <c r="AG1429">
        <v>0</v>
      </c>
      <c r="AI1429">
        <v>0</v>
      </c>
      <c r="AJ1429">
        <v>6</v>
      </c>
      <c r="AK1429">
        <v>270</v>
      </c>
      <c r="AL1429">
        <v>270</v>
      </c>
      <c r="AM1429">
        <v>591</v>
      </c>
      <c r="AN1429">
        <v>44</v>
      </c>
      <c r="AP1429">
        <v>1</v>
      </c>
      <c r="AR1429" t="s">
        <v>1516</v>
      </c>
      <c r="AS1429" s="1">
        <v>44354.080555555556</v>
      </c>
      <c r="AT1429" s="1">
        <v>44354.088310185187</v>
      </c>
      <c r="AU1429" s="1">
        <v>44354.088807870372</v>
      </c>
      <c r="AV1429" t="s">
        <v>71</v>
      </c>
      <c r="AW1429" t="s">
        <v>72</v>
      </c>
      <c r="AX1429" t="s">
        <v>73</v>
      </c>
    </row>
    <row r="1430" spans="1:50" x14ac:dyDescent="0.3">
      <c r="A1430" t="str">
        <f>"202460C0100"</f>
        <v>202460C0100</v>
      </c>
      <c r="B1430" t="str">
        <f>"202460C01002"</f>
        <v>202460C01002</v>
      </c>
      <c r="C1430" t="str">
        <f t="shared" si="71"/>
        <v>20</v>
      </c>
      <c r="D1430" t="s">
        <v>67</v>
      </c>
      <c r="E1430" t="str">
        <f t="shared" si="72"/>
        <v>006</v>
      </c>
      <c r="F1430" t="s">
        <v>1254</v>
      </c>
      <c r="G1430" t="str">
        <f>"2460"</f>
        <v>2460</v>
      </c>
      <c r="H1430" t="str">
        <f>"0001"</f>
        <v>0001</v>
      </c>
      <c r="I1430" t="s">
        <v>75</v>
      </c>
      <c r="J1430">
        <v>0</v>
      </c>
      <c r="K1430">
        <v>1</v>
      </c>
      <c r="L1430">
        <v>2</v>
      </c>
      <c r="M1430">
        <v>369</v>
      </c>
      <c r="N1430">
        <v>266</v>
      </c>
      <c r="O1430">
        <v>3</v>
      </c>
      <c r="P1430">
        <v>266</v>
      </c>
      <c r="Q1430">
        <v>84</v>
      </c>
      <c r="R1430">
        <v>30</v>
      </c>
      <c r="S1430">
        <v>2</v>
      </c>
      <c r="T1430">
        <v>23</v>
      </c>
      <c r="U1430">
        <v>9</v>
      </c>
      <c r="V1430">
        <v>5</v>
      </c>
      <c r="W1430">
        <v>1</v>
      </c>
      <c r="X1430">
        <v>80</v>
      </c>
      <c r="Y1430">
        <v>7</v>
      </c>
      <c r="Z1430">
        <v>3</v>
      </c>
      <c r="AA1430">
        <v>5</v>
      </c>
      <c r="AB1430">
        <v>5</v>
      </c>
      <c r="AD1430">
        <v>0</v>
      </c>
      <c r="AE1430">
        <v>2</v>
      </c>
      <c r="AF1430">
        <v>0</v>
      </c>
      <c r="AG1430">
        <v>0</v>
      </c>
      <c r="AI1430">
        <v>0</v>
      </c>
      <c r="AJ1430">
        <v>10</v>
      </c>
      <c r="AK1430">
        <v>266</v>
      </c>
      <c r="AL1430">
        <v>266</v>
      </c>
      <c r="AM1430">
        <v>591</v>
      </c>
      <c r="AN1430">
        <v>44</v>
      </c>
      <c r="AP1430">
        <v>1</v>
      </c>
      <c r="AR1430" t="s">
        <v>1517</v>
      </c>
      <c r="AS1430" s="1">
        <v>44354.079861111109</v>
      </c>
      <c r="AT1430" s="1">
        <v>44354.087418981479</v>
      </c>
      <c r="AU1430" s="1">
        <v>44354.088043981479</v>
      </c>
      <c r="AV1430" t="s">
        <v>71</v>
      </c>
      <c r="AW1430" t="s">
        <v>72</v>
      </c>
      <c r="AX1430" t="s">
        <v>73</v>
      </c>
    </row>
    <row r="1431" spans="1:50" x14ac:dyDescent="0.3">
      <c r="A1431" t="str">
        <f>"202460C0200"</f>
        <v>202460C0200</v>
      </c>
      <c r="B1431" t="str">
        <f>"202460C02002"</f>
        <v>202460C02002</v>
      </c>
      <c r="C1431" t="str">
        <f t="shared" si="71"/>
        <v>20</v>
      </c>
      <c r="D1431" t="s">
        <v>67</v>
      </c>
      <c r="E1431" t="str">
        <f t="shared" si="72"/>
        <v>006</v>
      </c>
      <c r="F1431" t="s">
        <v>1254</v>
      </c>
      <c r="G1431" t="str">
        <f>"2460"</f>
        <v>2460</v>
      </c>
      <c r="H1431" t="str">
        <f>"0002"</f>
        <v>0002</v>
      </c>
      <c r="I1431" t="s">
        <v>75</v>
      </c>
      <c r="J1431">
        <v>0</v>
      </c>
      <c r="K1431">
        <v>1</v>
      </c>
      <c r="L1431">
        <v>2</v>
      </c>
      <c r="M1431">
        <v>363</v>
      </c>
      <c r="N1431">
        <v>272</v>
      </c>
      <c r="O1431">
        <v>7</v>
      </c>
      <c r="P1431">
        <v>272</v>
      </c>
      <c r="Q1431">
        <v>114</v>
      </c>
      <c r="R1431">
        <v>27</v>
      </c>
      <c r="S1431">
        <v>1</v>
      </c>
      <c r="T1431">
        <v>18</v>
      </c>
      <c r="U1431">
        <v>3</v>
      </c>
      <c r="V1431">
        <v>3</v>
      </c>
      <c r="W1431">
        <v>3</v>
      </c>
      <c r="X1431">
        <v>71</v>
      </c>
      <c r="Y1431">
        <v>9</v>
      </c>
      <c r="Z1431">
        <v>0</v>
      </c>
      <c r="AA1431">
        <v>9</v>
      </c>
      <c r="AB1431">
        <v>8</v>
      </c>
      <c r="AD1431">
        <v>0</v>
      </c>
      <c r="AE1431">
        <v>1</v>
      </c>
      <c r="AF1431">
        <v>0</v>
      </c>
      <c r="AG1431">
        <v>0</v>
      </c>
      <c r="AI1431">
        <v>0</v>
      </c>
      <c r="AJ1431">
        <v>5</v>
      </c>
      <c r="AK1431">
        <v>272</v>
      </c>
      <c r="AL1431">
        <v>272</v>
      </c>
      <c r="AM1431">
        <v>591</v>
      </c>
      <c r="AN1431">
        <v>44</v>
      </c>
      <c r="AP1431">
        <v>1</v>
      </c>
      <c r="AR1431" t="s">
        <v>1518</v>
      </c>
      <c r="AS1431" s="1">
        <v>44354.068749999999</v>
      </c>
      <c r="AT1431" s="1">
        <v>44354.076562499999</v>
      </c>
      <c r="AU1431" s="1">
        <v>44354.077581018515</v>
      </c>
      <c r="AV1431" t="s">
        <v>71</v>
      </c>
      <c r="AW1431" t="s">
        <v>72</v>
      </c>
      <c r="AX1431" t="s">
        <v>73</v>
      </c>
    </row>
    <row r="1432" spans="1:50" x14ac:dyDescent="0.3">
      <c r="A1432" t="str">
        <f>"200117B0000"</f>
        <v>200117B0000</v>
      </c>
      <c r="B1432" t="str">
        <f>"200117B00002"</f>
        <v>200117B00002</v>
      </c>
      <c r="C1432" t="str">
        <f t="shared" si="71"/>
        <v>20</v>
      </c>
      <c r="D1432" t="s">
        <v>67</v>
      </c>
      <c r="E1432" t="str">
        <f t="shared" ref="E1432:E1495" si="73">"007"</f>
        <v>007</v>
      </c>
      <c r="F1432" t="s">
        <v>1519</v>
      </c>
      <c r="G1432" t="str">
        <f>"0117"</f>
        <v>0117</v>
      </c>
      <c r="H1432" t="str">
        <f>"0000"</f>
        <v>0000</v>
      </c>
      <c r="I1432" t="s">
        <v>69</v>
      </c>
      <c r="J1432">
        <v>0</v>
      </c>
      <c r="K1432">
        <v>1</v>
      </c>
      <c r="L1432">
        <v>2</v>
      </c>
      <c r="M1432">
        <v>612</v>
      </c>
      <c r="N1432">
        <v>118</v>
      </c>
      <c r="O1432">
        <v>0</v>
      </c>
      <c r="P1432">
        <v>0</v>
      </c>
      <c r="Q1432">
        <v>7</v>
      </c>
      <c r="R1432">
        <v>24</v>
      </c>
      <c r="S1432">
        <v>16</v>
      </c>
      <c r="T1432">
        <v>2</v>
      </c>
      <c r="U1432">
        <v>5</v>
      </c>
      <c r="V1432">
        <v>5</v>
      </c>
      <c r="W1432">
        <v>1</v>
      </c>
      <c r="X1432">
        <v>30</v>
      </c>
      <c r="Y1432">
        <v>0</v>
      </c>
      <c r="Z1432">
        <v>1</v>
      </c>
      <c r="AA1432">
        <v>4</v>
      </c>
      <c r="AB1432">
        <v>2</v>
      </c>
      <c r="AC1432">
        <v>10</v>
      </c>
      <c r="AD1432">
        <v>0</v>
      </c>
      <c r="AE1432">
        <v>0</v>
      </c>
      <c r="AF1432">
        <v>0</v>
      </c>
      <c r="AG1432">
        <v>0</v>
      </c>
      <c r="AI1432">
        <v>0</v>
      </c>
      <c r="AJ1432">
        <v>11</v>
      </c>
      <c r="AK1432">
        <v>118</v>
      </c>
      <c r="AL1432">
        <v>118</v>
      </c>
      <c r="AM1432">
        <v>684</v>
      </c>
      <c r="AN1432">
        <v>46</v>
      </c>
      <c r="AP1432">
        <v>1</v>
      </c>
      <c r="AR1432" t="s">
        <v>1520</v>
      </c>
      <c r="AS1432" s="1">
        <v>44354.356249999997</v>
      </c>
      <c r="AT1432" s="1">
        <v>44354.359201388892</v>
      </c>
      <c r="AU1432" s="1">
        <v>44354.360081018516</v>
      </c>
      <c r="AV1432" t="s">
        <v>71</v>
      </c>
      <c r="AW1432" t="s">
        <v>72</v>
      </c>
      <c r="AX1432" t="s">
        <v>73</v>
      </c>
    </row>
    <row r="1433" spans="1:50" x14ac:dyDescent="0.3">
      <c r="A1433" t="str">
        <f>"200117C0100"</f>
        <v>200117C0100</v>
      </c>
      <c r="B1433" t="str">
        <f>"200117C01002"</f>
        <v>200117C01002</v>
      </c>
      <c r="C1433" t="str">
        <f t="shared" si="71"/>
        <v>20</v>
      </c>
      <c r="D1433" t="s">
        <v>67</v>
      </c>
      <c r="E1433" t="str">
        <f t="shared" si="73"/>
        <v>007</v>
      </c>
      <c r="F1433" t="s">
        <v>1519</v>
      </c>
      <c r="G1433" t="str">
        <f>"0117"</f>
        <v>0117</v>
      </c>
      <c r="H1433" t="str">
        <f>"0001"</f>
        <v>0001</v>
      </c>
      <c r="I1433" t="s">
        <v>75</v>
      </c>
      <c r="J1433">
        <v>0</v>
      </c>
      <c r="K1433">
        <v>1</v>
      </c>
      <c r="L1433">
        <v>2</v>
      </c>
      <c r="M1433">
        <v>1</v>
      </c>
      <c r="N1433">
        <v>116</v>
      </c>
      <c r="O1433">
        <v>3</v>
      </c>
      <c r="P1433">
        <v>116</v>
      </c>
      <c r="Q1433">
        <v>1</v>
      </c>
      <c r="R1433">
        <v>28</v>
      </c>
      <c r="S1433">
        <v>10</v>
      </c>
      <c r="T1433">
        <v>6</v>
      </c>
      <c r="U1433">
        <v>3</v>
      </c>
      <c r="V1433">
        <v>6</v>
      </c>
      <c r="W1433">
        <v>1</v>
      </c>
      <c r="X1433">
        <v>41</v>
      </c>
      <c r="Y1433">
        <v>2</v>
      </c>
      <c r="Z1433" t="s">
        <v>77</v>
      </c>
      <c r="AA1433">
        <v>4</v>
      </c>
      <c r="AB1433">
        <v>1</v>
      </c>
      <c r="AC1433">
        <v>12</v>
      </c>
      <c r="AD1433">
        <v>0</v>
      </c>
      <c r="AE1433">
        <v>0</v>
      </c>
      <c r="AF1433">
        <v>0</v>
      </c>
      <c r="AG1433">
        <v>0</v>
      </c>
      <c r="AI1433">
        <v>0</v>
      </c>
      <c r="AJ1433">
        <v>1</v>
      </c>
      <c r="AK1433">
        <v>116</v>
      </c>
      <c r="AL1433">
        <v>116</v>
      </c>
      <c r="AM1433">
        <v>683</v>
      </c>
      <c r="AN1433">
        <v>46</v>
      </c>
      <c r="AO1433" t="s">
        <v>78</v>
      </c>
      <c r="AP1433">
        <v>1</v>
      </c>
      <c r="AR1433" t="s">
        <v>1521</v>
      </c>
      <c r="AS1433" s="1">
        <v>44354.359722222223</v>
      </c>
      <c r="AT1433" s="1">
        <v>44354.363553240742</v>
      </c>
      <c r="AU1433" s="1">
        <v>44354.364583333336</v>
      </c>
      <c r="AV1433" t="s">
        <v>71</v>
      </c>
      <c r="AW1433" t="s">
        <v>72</v>
      </c>
      <c r="AX1433" t="s">
        <v>73</v>
      </c>
    </row>
    <row r="1434" spans="1:50" x14ac:dyDescent="0.3">
      <c r="A1434" t="str">
        <f>"200118B0000"</f>
        <v>200118B0000</v>
      </c>
      <c r="B1434" t="str">
        <f>"200118B00002"</f>
        <v>200118B00002</v>
      </c>
      <c r="C1434" t="str">
        <f t="shared" si="71"/>
        <v>20</v>
      </c>
      <c r="D1434" t="s">
        <v>67</v>
      </c>
      <c r="E1434" t="str">
        <f t="shared" si="73"/>
        <v>007</v>
      </c>
      <c r="F1434" t="s">
        <v>1519</v>
      </c>
      <c r="G1434" t="str">
        <f>"0118"</f>
        <v>0118</v>
      </c>
      <c r="H1434" t="str">
        <f>"0000"</f>
        <v>0000</v>
      </c>
      <c r="I1434" t="s">
        <v>69</v>
      </c>
      <c r="J1434">
        <v>0</v>
      </c>
      <c r="K1434">
        <v>1</v>
      </c>
      <c r="L1434">
        <v>2</v>
      </c>
      <c r="M1434">
        <v>229</v>
      </c>
      <c r="N1434">
        <v>128</v>
      </c>
      <c r="O1434">
        <v>4</v>
      </c>
      <c r="P1434">
        <v>128</v>
      </c>
      <c r="Q1434">
        <v>2</v>
      </c>
      <c r="R1434">
        <v>30</v>
      </c>
      <c r="S1434">
        <v>13</v>
      </c>
      <c r="T1434">
        <v>2</v>
      </c>
      <c r="U1434">
        <v>9</v>
      </c>
      <c r="V1434">
        <v>3</v>
      </c>
      <c r="W1434">
        <v>6</v>
      </c>
      <c r="X1434">
        <v>38</v>
      </c>
      <c r="Y1434">
        <v>0</v>
      </c>
      <c r="Z1434">
        <v>7</v>
      </c>
      <c r="AA1434">
        <v>5</v>
      </c>
      <c r="AB1434">
        <v>6</v>
      </c>
      <c r="AC1434">
        <v>4</v>
      </c>
      <c r="AD1434">
        <v>0</v>
      </c>
      <c r="AE1434">
        <v>0</v>
      </c>
      <c r="AF1434">
        <v>0</v>
      </c>
      <c r="AG1434">
        <v>0</v>
      </c>
      <c r="AI1434">
        <v>0</v>
      </c>
      <c r="AJ1434">
        <v>3</v>
      </c>
      <c r="AK1434">
        <v>128</v>
      </c>
      <c r="AL1434">
        <v>128</v>
      </c>
      <c r="AM1434">
        <v>311</v>
      </c>
      <c r="AN1434">
        <v>46</v>
      </c>
      <c r="AP1434">
        <v>1</v>
      </c>
      <c r="AR1434" t="s">
        <v>1522</v>
      </c>
      <c r="AS1434" s="1">
        <v>44354.356944444444</v>
      </c>
      <c r="AT1434" s="1">
        <v>44354.36309027778</v>
      </c>
      <c r="AU1434" s="1">
        <v>44354.363680555558</v>
      </c>
      <c r="AV1434" t="s">
        <v>71</v>
      </c>
      <c r="AW1434" t="s">
        <v>72</v>
      </c>
      <c r="AX1434" t="s">
        <v>73</v>
      </c>
    </row>
    <row r="1435" spans="1:50" x14ac:dyDescent="0.3">
      <c r="A1435" t="str">
        <f>"200119B0000"</f>
        <v>200119B0000</v>
      </c>
      <c r="B1435" t="str">
        <f>"200119B00002"</f>
        <v>200119B00002</v>
      </c>
      <c r="C1435" t="str">
        <f t="shared" si="71"/>
        <v>20</v>
      </c>
      <c r="D1435" t="s">
        <v>67</v>
      </c>
      <c r="E1435" t="str">
        <f t="shared" si="73"/>
        <v>007</v>
      </c>
      <c r="F1435" t="s">
        <v>1519</v>
      </c>
      <c r="G1435" t="str">
        <f>"0119"</f>
        <v>0119</v>
      </c>
      <c r="H1435" t="str">
        <f>"0000"</f>
        <v>0000</v>
      </c>
      <c r="I1435" t="s">
        <v>69</v>
      </c>
      <c r="J1435">
        <v>0</v>
      </c>
      <c r="K1435">
        <v>1</v>
      </c>
      <c r="L1435">
        <v>2</v>
      </c>
      <c r="M1435">
        <v>452</v>
      </c>
      <c r="N1435">
        <v>136</v>
      </c>
      <c r="O1435">
        <v>6</v>
      </c>
      <c r="P1435">
        <v>132</v>
      </c>
      <c r="Q1435">
        <v>2</v>
      </c>
      <c r="R1435">
        <v>12</v>
      </c>
      <c r="S1435">
        <v>5</v>
      </c>
      <c r="T1435">
        <v>2</v>
      </c>
      <c r="U1435">
        <v>6</v>
      </c>
      <c r="V1435">
        <v>2</v>
      </c>
      <c r="W1435">
        <v>5</v>
      </c>
      <c r="X1435">
        <v>39</v>
      </c>
      <c r="Y1435">
        <v>1</v>
      </c>
      <c r="Z1435">
        <v>1</v>
      </c>
      <c r="AA1435">
        <v>0</v>
      </c>
      <c r="AB1435">
        <v>1</v>
      </c>
      <c r="AC1435">
        <v>42</v>
      </c>
      <c r="AD1435">
        <v>0</v>
      </c>
      <c r="AE1435">
        <v>0</v>
      </c>
      <c r="AF1435">
        <v>0</v>
      </c>
      <c r="AG1435">
        <v>1</v>
      </c>
      <c r="AI1435">
        <v>0</v>
      </c>
      <c r="AJ1435">
        <v>13</v>
      </c>
      <c r="AK1435">
        <v>131</v>
      </c>
      <c r="AL1435">
        <v>132</v>
      </c>
      <c r="AM1435">
        <v>517</v>
      </c>
      <c r="AN1435">
        <v>46</v>
      </c>
      <c r="AP1435">
        <v>1</v>
      </c>
      <c r="AR1435" t="s">
        <v>1523</v>
      </c>
      <c r="AS1435" s="1">
        <v>44354.35833333333</v>
      </c>
      <c r="AT1435" s="1">
        <v>44354.368125000001</v>
      </c>
      <c r="AU1435" s="1">
        <v>44354.368750000001</v>
      </c>
      <c r="AV1435" t="s">
        <v>71</v>
      </c>
      <c r="AW1435" t="s">
        <v>72</v>
      </c>
      <c r="AX1435" t="s">
        <v>73</v>
      </c>
    </row>
    <row r="1436" spans="1:50" x14ac:dyDescent="0.3">
      <c r="A1436" t="str">
        <f>"200119C0100"</f>
        <v>200119C0100</v>
      </c>
      <c r="B1436" t="str">
        <f>"200119C01002"</f>
        <v>200119C01002</v>
      </c>
      <c r="C1436" t="str">
        <f t="shared" si="71"/>
        <v>20</v>
      </c>
      <c r="D1436" t="s">
        <v>67</v>
      </c>
      <c r="E1436" t="str">
        <f t="shared" si="73"/>
        <v>007</v>
      </c>
      <c r="F1436" t="s">
        <v>1519</v>
      </c>
      <c r="G1436" t="str">
        <f>"0119"</f>
        <v>0119</v>
      </c>
      <c r="H1436" t="str">
        <f>"0001"</f>
        <v>0001</v>
      </c>
      <c r="I1436" t="s">
        <v>75</v>
      </c>
      <c r="J1436">
        <v>0</v>
      </c>
      <c r="K1436">
        <v>1</v>
      </c>
      <c r="L1436">
        <v>2</v>
      </c>
      <c r="M1436">
        <v>434</v>
      </c>
      <c r="N1436">
        <v>129</v>
      </c>
      <c r="O1436">
        <v>5</v>
      </c>
      <c r="P1436">
        <v>122</v>
      </c>
      <c r="Q1436">
        <v>1</v>
      </c>
      <c r="R1436">
        <v>10</v>
      </c>
      <c r="S1436">
        <v>4</v>
      </c>
      <c r="T1436">
        <v>5</v>
      </c>
      <c r="U1436">
        <v>4</v>
      </c>
      <c r="V1436">
        <v>4</v>
      </c>
      <c r="W1436">
        <v>5</v>
      </c>
      <c r="X1436">
        <v>34</v>
      </c>
      <c r="Y1436">
        <v>2</v>
      </c>
      <c r="Z1436">
        <v>2</v>
      </c>
      <c r="AA1436">
        <v>7</v>
      </c>
      <c r="AB1436">
        <v>7</v>
      </c>
      <c r="AC1436">
        <v>37</v>
      </c>
      <c r="AD1436">
        <v>0</v>
      </c>
      <c r="AE1436">
        <v>0</v>
      </c>
      <c r="AF1436">
        <v>0</v>
      </c>
      <c r="AG1436">
        <v>0</v>
      </c>
      <c r="AI1436">
        <v>0</v>
      </c>
      <c r="AJ1436">
        <v>6</v>
      </c>
      <c r="AK1436">
        <v>129</v>
      </c>
      <c r="AL1436">
        <v>128</v>
      </c>
      <c r="AM1436">
        <v>517</v>
      </c>
      <c r="AN1436">
        <v>46</v>
      </c>
      <c r="AP1436">
        <v>1</v>
      </c>
      <c r="AR1436" t="s">
        <v>1524</v>
      </c>
      <c r="AS1436" s="1">
        <v>44354.359027777777</v>
      </c>
      <c r="AT1436" s="1">
        <v>44354.363912037035</v>
      </c>
      <c r="AU1436" s="1">
        <v>44354.364675925928</v>
      </c>
      <c r="AV1436" t="s">
        <v>71</v>
      </c>
      <c r="AW1436" t="s">
        <v>72</v>
      </c>
      <c r="AX1436" t="s">
        <v>73</v>
      </c>
    </row>
    <row r="1437" spans="1:50" x14ac:dyDescent="0.3">
      <c r="A1437" t="str">
        <f>"200119E0100"</f>
        <v>200119E0100</v>
      </c>
      <c r="B1437" t="str">
        <f>"200119E01002"</f>
        <v>200119E01002</v>
      </c>
      <c r="C1437" t="str">
        <f t="shared" si="71"/>
        <v>20</v>
      </c>
      <c r="D1437" t="s">
        <v>67</v>
      </c>
      <c r="E1437" t="str">
        <f t="shared" si="73"/>
        <v>007</v>
      </c>
      <c r="F1437" t="s">
        <v>1519</v>
      </c>
      <c r="G1437" t="str">
        <f>"0119"</f>
        <v>0119</v>
      </c>
      <c r="H1437" t="str">
        <f>"0001"</f>
        <v>0001</v>
      </c>
      <c r="I1437" t="s">
        <v>109</v>
      </c>
      <c r="J1437">
        <v>0</v>
      </c>
      <c r="K1437">
        <v>1</v>
      </c>
      <c r="L1437">
        <v>2</v>
      </c>
      <c r="M1437">
        <v>493</v>
      </c>
      <c r="N1437">
        <v>231</v>
      </c>
      <c r="O1437">
        <v>1</v>
      </c>
      <c r="P1437">
        <v>231</v>
      </c>
      <c r="Q1437">
        <v>0</v>
      </c>
      <c r="R1437">
        <v>3</v>
      </c>
      <c r="S1437">
        <v>0</v>
      </c>
      <c r="T1437">
        <v>0</v>
      </c>
      <c r="U1437">
        <v>6</v>
      </c>
      <c r="V1437">
        <v>0</v>
      </c>
      <c r="W1437">
        <v>0</v>
      </c>
      <c r="X1437">
        <v>4</v>
      </c>
      <c r="Y1437">
        <v>1</v>
      </c>
      <c r="Z1437">
        <v>0</v>
      </c>
      <c r="AA1437">
        <v>1</v>
      </c>
      <c r="AB1437">
        <v>1</v>
      </c>
      <c r="AC1437">
        <v>206</v>
      </c>
      <c r="AD1437">
        <v>0</v>
      </c>
      <c r="AE1437">
        <v>0</v>
      </c>
      <c r="AF1437">
        <v>0</v>
      </c>
      <c r="AG1437">
        <v>0</v>
      </c>
      <c r="AI1437">
        <v>0</v>
      </c>
      <c r="AJ1437">
        <v>9</v>
      </c>
      <c r="AK1437">
        <v>231</v>
      </c>
      <c r="AL1437">
        <v>231</v>
      </c>
      <c r="AM1437">
        <v>465</v>
      </c>
      <c r="AN1437">
        <v>46</v>
      </c>
      <c r="AP1437">
        <v>1</v>
      </c>
      <c r="AR1437" t="s">
        <v>1525</v>
      </c>
      <c r="AS1437" s="1">
        <v>44354.630555555559</v>
      </c>
      <c r="AT1437" s="1">
        <v>44354.635567129626</v>
      </c>
      <c r="AU1437" s="1">
        <v>44354.636157407411</v>
      </c>
      <c r="AV1437" t="s">
        <v>71</v>
      </c>
      <c r="AW1437" t="s">
        <v>72</v>
      </c>
      <c r="AX1437" t="s">
        <v>73</v>
      </c>
    </row>
    <row r="1438" spans="1:50" x14ac:dyDescent="0.3">
      <c r="A1438" t="str">
        <f>"200119E0200"</f>
        <v>200119E0200</v>
      </c>
      <c r="B1438" t="str">
        <f>"200119E02002"</f>
        <v>200119E02002</v>
      </c>
      <c r="C1438" t="str">
        <f t="shared" si="71"/>
        <v>20</v>
      </c>
      <c r="D1438" t="s">
        <v>67</v>
      </c>
      <c r="E1438" t="str">
        <f t="shared" si="73"/>
        <v>007</v>
      </c>
      <c r="F1438" t="s">
        <v>1519</v>
      </c>
      <c r="G1438" t="str">
        <f>"0119"</f>
        <v>0119</v>
      </c>
      <c r="H1438" t="str">
        <f>"0002"</f>
        <v>0002</v>
      </c>
      <c r="I1438" t="s">
        <v>109</v>
      </c>
      <c r="J1438">
        <v>0</v>
      </c>
      <c r="K1438">
        <v>1</v>
      </c>
      <c r="L1438">
        <v>2</v>
      </c>
      <c r="M1438">
        <v>487</v>
      </c>
      <c r="N1438">
        <v>108</v>
      </c>
      <c r="O1438">
        <v>3</v>
      </c>
      <c r="P1438">
        <v>108</v>
      </c>
      <c r="Q1438">
        <v>0</v>
      </c>
      <c r="R1438">
        <v>4</v>
      </c>
      <c r="S1438">
        <v>9</v>
      </c>
      <c r="T1438">
        <v>6</v>
      </c>
      <c r="U1438">
        <v>2</v>
      </c>
      <c r="V1438">
        <v>2</v>
      </c>
      <c r="W1438">
        <v>9</v>
      </c>
      <c r="X1438">
        <v>25</v>
      </c>
      <c r="Y1438">
        <v>1</v>
      </c>
      <c r="Z1438">
        <v>4</v>
      </c>
      <c r="AA1438">
        <v>0</v>
      </c>
      <c r="AB1438">
        <v>3</v>
      </c>
      <c r="AC1438">
        <v>37</v>
      </c>
      <c r="AD1438">
        <v>0</v>
      </c>
      <c r="AE1438">
        <v>0</v>
      </c>
      <c r="AF1438">
        <v>0</v>
      </c>
      <c r="AG1438">
        <v>0</v>
      </c>
      <c r="AI1438">
        <v>0</v>
      </c>
      <c r="AJ1438">
        <v>6</v>
      </c>
      <c r="AK1438">
        <v>108</v>
      </c>
      <c r="AL1438">
        <v>108</v>
      </c>
      <c r="AM1438">
        <v>549</v>
      </c>
      <c r="AN1438">
        <v>46</v>
      </c>
      <c r="AP1438">
        <v>1</v>
      </c>
      <c r="AR1438" t="s">
        <v>1526</v>
      </c>
      <c r="AS1438" s="1">
        <v>44354.597916666666</v>
      </c>
      <c r="AT1438" s="1">
        <v>44354.606909722221</v>
      </c>
      <c r="AU1438" s="1">
        <v>44354.607673611114</v>
      </c>
      <c r="AV1438" t="s">
        <v>71</v>
      </c>
      <c r="AW1438" t="s">
        <v>72</v>
      </c>
      <c r="AX1438" t="s">
        <v>73</v>
      </c>
    </row>
    <row r="1439" spans="1:50" x14ac:dyDescent="0.3">
      <c r="A1439" t="str">
        <f>"200120B0000"</f>
        <v>200120B0000</v>
      </c>
      <c r="B1439" t="str">
        <f>"200120B00002"</f>
        <v>200120B00002</v>
      </c>
      <c r="C1439" t="str">
        <f t="shared" si="71"/>
        <v>20</v>
      </c>
      <c r="D1439" t="s">
        <v>67</v>
      </c>
      <c r="E1439" t="str">
        <f t="shared" si="73"/>
        <v>007</v>
      </c>
      <c r="F1439" t="s">
        <v>1519</v>
      </c>
      <c r="G1439" t="str">
        <f>"0120"</f>
        <v>0120</v>
      </c>
      <c r="H1439" t="str">
        <f>"0000"</f>
        <v>0000</v>
      </c>
      <c r="I1439" t="s">
        <v>69</v>
      </c>
      <c r="J1439">
        <v>0</v>
      </c>
      <c r="K1439">
        <v>1</v>
      </c>
      <c r="L1439">
        <v>2</v>
      </c>
      <c r="M1439">
        <v>582</v>
      </c>
      <c r="N1439">
        <v>150</v>
      </c>
      <c r="O1439">
        <v>3</v>
      </c>
      <c r="P1439">
        <v>150</v>
      </c>
      <c r="Q1439">
        <v>3</v>
      </c>
      <c r="R1439">
        <v>6</v>
      </c>
      <c r="S1439">
        <v>16</v>
      </c>
      <c r="T1439">
        <v>2</v>
      </c>
      <c r="U1439">
        <v>10</v>
      </c>
      <c r="V1439">
        <v>2</v>
      </c>
      <c r="W1439">
        <v>9</v>
      </c>
      <c r="X1439">
        <v>51</v>
      </c>
      <c r="Y1439">
        <v>0</v>
      </c>
      <c r="Z1439">
        <v>5</v>
      </c>
      <c r="AA1439">
        <v>1</v>
      </c>
      <c r="AB1439">
        <v>7</v>
      </c>
      <c r="AC1439">
        <v>25</v>
      </c>
      <c r="AD1439">
        <v>0</v>
      </c>
      <c r="AE1439">
        <v>0</v>
      </c>
      <c r="AF1439">
        <v>0</v>
      </c>
      <c r="AG1439">
        <v>0</v>
      </c>
      <c r="AI1439">
        <v>0</v>
      </c>
      <c r="AJ1439">
        <v>13</v>
      </c>
      <c r="AK1439">
        <v>150</v>
      </c>
      <c r="AL1439">
        <v>150</v>
      </c>
      <c r="AM1439">
        <v>683</v>
      </c>
      <c r="AN1439">
        <v>46</v>
      </c>
      <c r="AP1439">
        <v>1</v>
      </c>
      <c r="AR1439" t="s">
        <v>1527</v>
      </c>
      <c r="AS1439" s="1">
        <v>44354.633333333331</v>
      </c>
      <c r="AT1439" s="1">
        <v>44354.637418981481</v>
      </c>
      <c r="AU1439" s="1">
        <v>44354.638124999998</v>
      </c>
      <c r="AV1439" t="s">
        <v>71</v>
      </c>
      <c r="AW1439" t="s">
        <v>72</v>
      </c>
      <c r="AX1439" t="s">
        <v>73</v>
      </c>
    </row>
    <row r="1440" spans="1:50" x14ac:dyDescent="0.3">
      <c r="A1440" t="str">
        <f>"200120E0100"</f>
        <v>200120E0100</v>
      </c>
      <c r="B1440" t="str">
        <f>"200120E01002"</f>
        <v>200120E01002</v>
      </c>
      <c r="C1440" t="str">
        <f t="shared" si="71"/>
        <v>20</v>
      </c>
      <c r="D1440" t="s">
        <v>67</v>
      </c>
      <c r="E1440" t="str">
        <f t="shared" si="73"/>
        <v>007</v>
      </c>
      <c r="F1440" t="s">
        <v>1519</v>
      </c>
      <c r="G1440" t="str">
        <f>"0120"</f>
        <v>0120</v>
      </c>
      <c r="H1440" t="str">
        <f>"0001"</f>
        <v>0001</v>
      </c>
      <c r="I1440" t="s">
        <v>109</v>
      </c>
      <c r="J1440">
        <v>0</v>
      </c>
      <c r="K1440">
        <v>1</v>
      </c>
      <c r="L1440">
        <v>2</v>
      </c>
      <c r="M1440">
        <v>450</v>
      </c>
      <c r="N1440">
        <v>61</v>
      </c>
      <c r="O1440">
        <v>5</v>
      </c>
      <c r="P1440">
        <v>61</v>
      </c>
      <c r="Q1440">
        <v>1</v>
      </c>
      <c r="R1440">
        <v>1</v>
      </c>
      <c r="S1440">
        <v>17</v>
      </c>
      <c r="T1440">
        <v>3</v>
      </c>
      <c r="U1440">
        <v>1</v>
      </c>
      <c r="V1440">
        <v>0</v>
      </c>
      <c r="W1440">
        <v>2</v>
      </c>
      <c r="X1440">
        <v>11</v>
      </c>
      <c r="Y1440">
        <v>0</v>
      </c>
      <c r="Z1440">
        <v>1</v>
      </c>
      <c r="AA1440">
        <v>1</v>
      </c>
      <c r="AB1440">
        <v>1</v>
      </c>
      <c r="AC1440">
        <v>16</v>
      </c>
      <c r="AD1440">
        <v>0</v>
      </c>
      <c r="AE1440">
        <v>0</v>
      </c>
      <c r="AF1440">
        <v>1</v>
      </c>
      <c r="AG1440">
        <v>1</v>
      </c>
      <c r="AI1440">
        <v>0</v>
      </c>
      <c r="AJ1440">
        <v>4</v>
      </c>
      <c r="AK1440">
        <v>61</v>
      </c>
      <c r="AL1440">
        <v>61</v>
      </c>
      <c r="AM1440">
        <v>678</v>
      </c>
      <c r="AN1440">
        <v>46</v>
      </c>
      <c r="AP1440">
        <v>1</v>
      </c>
      <c r="AR1440" t="s">
        <v>1528</v>
      </c>
      <c r="AS1440" s="1">
        <v>44354.592361111114</v>
      </c>
      <c r="AT1440" s="1">
        <v>44354.608148148145</v>
      </c>
      <c r="AU1440" s="1">
        <v>44354.609085648146</v>
      </c>
      <c r="AV1440" t="s">
        <v>71</v>
      </c>
      <c r="AW1440" t="s">
        <v>72</v>
      </c>
      <c r="AX1440" t="s">
        <v>73</v>
      </c>
    </row>
    <row r="1441" spans="1:50" x14ac:dyDescent="0.3">
      <c r="A1441" t="str">
        <f>"200120E0200"</f>
        <v>200120E0200</v>
      </c>
      <c r="B1441" t="str">
        <f>"200120E02002"</f>
        <v>200120E02002</v>
      </c>
      <c r="C1441" t="str">
        <f t="shared" si="71"/>
        <v>20</v>
      </c>
      <c r="D1441" t="s">
        <v>67</v>
      </c>
      <c r="E1441" t="str">
        <f t="shared" si="73"/>
        <v>007</v>
      </c>
      <c r="F1441" t="s">
        <v>1519</v>
      </c>
      <c r="G1441" t="str">
        <f>"0120"</f>
        <v>0120</v>
      </c>
      <c r="H1441" t="str">
        <f>"0002"</f>
        <v>0002</v>
      </c>
      <c r="I1441" t="s">
        <v>109</v>
      </c>
      <c r="J1441">
        <v>0</v>
      </c>
      <c r="K1441">
        <v>1</v>
      </c>
      <c r="L1441">
        <v>2</v>
      </c>
      <c r="M1441">
        <v>441</v>
      </c>
      <c r="N1441">
        <v>109</v>
      </c>
      <c r="O1441">
        <v>0</v>
      </c>
      <c r="P1441">
        <v>104</v>
      </c>
      <c r="Q1441">
        <v>1</v>
      </c>
      <c r="R1441">
        <v>5</v>
      </c>
      <c r="S1441">
        <v>22</v>
      </c>
      <c r="T1441">
        <v>2</v>
      </c>
      <c r="U1441">
        <v>8</v>
      </c>
      <c r="V1441">
        <v>1</v>
      </c>
      <c r="W1441">
        <v>3</v>
      </c>
      <c r="X1441">
        <v>19</v>
      </c>
      <c r="Y1441">
        <v>3</v>
      </c>
      <c r="Z1441">
        <v>2</v>
      </c>
      <c r="AA1441">
        <v>5</v>
      </c>
      <c r="AB1441">
        <v>2</v>
      </c>
      <c r="AC1441">
        <v>31</v>
      </c>
      <c r="AD1441">
        <v>0</v>
      </c>
      <c r="AE1441">
        <v>0</v>
      </c>
      <c r="AF1441">
        <v>0</v>
      </c>
      <c r="AG1441">
        <v>0</v>
      </c>
      <c r="AI1441">
        <v>0</v>
      </c>
      <c r="AJ1441">
        <v>5</v>
      </c>
      <c r="AK1441">
        <v>109</v>
      </c>
      <c r="AL1441">
        <v>109</v>
      </c>
      <c r="AM1441">
        <v>504</v>
      </c>
      <c r="AN1441">
        <v>46</v>
      </c>
      <c r="AP1441">
        <v>1</v>
      </c>
      <c r="AR1441" t="s">
        <v>1529</v>
      </c>
      <c r="AS1441" s="1">
        <v>44354.631944444445</v>
      </c>
      <c r="AT1441" s="1">
        <v>44354.634571759256</v>
      </c>
      <c r="AU1441" s="1">
        <v>44354.635613425926</v>
      </c>
      <c r="AV1441" t="s">
        <v>71</v>
      </c>
      <c r="AW1441" t="s">
        <v>72</v>
      </c>
      <c r="AX1441" t="s">
        <v>73</v>
      </c>
    </row>
    <row r="1442" spans="1:50" x14ac:dyDescent="0.3">
      <c r="A1442" t="str">
        <f>"200131B0000"</f>
        <v>200131B0000</v>
      </c>
      <c r="B1442" t="str">
        <f>"200131B00002"</f>
        <v>200131B00002</v>
      </c>
      <c r="C1442" t="str">
        <f t="shared" si="71"/>
        <v>20</v>
      </c>
      <c r="D1442" t="s">
        <v>67</v>
      </c>
      <c r="E1442" t="str">
        <f t="shared" si="73"/>
        <v>007</v>
      </c>
      <c r="F1442" t="s">
        <v>1519</v>
      </c>
      <c r="G1442" t="str">
        <f>"0131"</f>
        <v>0131</v>
      </c>
      <c r="H1442" t="str">
        <f>"0000"</f>
        <v>0000</v>
      </c>
      <c r="I1442" t="s">
        <v>69</v>
      </c>
      <c r="J1442">
        <v>0</v>
      </c>
      <c r="K1442">
        <v>1</v>
      </c>
      <c r="L1442">
        <v>2</v>
      </c>
      <c r="M1442">
        <v>372</v>
      </c>
      <c r="N1442">
        <v>228</v>
      </c>
      <c r="O1442">
        <v>0</v>
      </c>
      <c r="P1442">
        <v>228</v>
      </c>
      <c r="Q1442">
        <v>0</v>
      </c>
      <c r="R1442">
        <v>10</v>
      </c>
      <c r="S1442">
        <v>5</v>
      </c>
      <c r="T1442">
        <v>3</v>
      </c>
      <c r="U1442">
        <v>8</v>
      </c>
      <c r="V1442">
        <v>1</v>
      </c>
      <c r="W1442">
        <v>3</v>
      </c>
      <c r="X1442">
        <v>128</v>
      </c>
      <c r="Y1442">
        <v>3</v>
      </c>
      <c r="Z1442">
        <v>3</v>
      </c>
      <c r="AA1442">
        <v>1</v>
      </c>
      <c r="AB1442">
        <v>5</v>
      </c>
      <c r="AC1442">
        <v>53</v>
      </c>
      <c r="AD1442">
        <v>1</v>
      </c>
      <c r="AE1442">
        <v>0</v>
      </c>
      <c r="AF1442">
        <v>0</v>
      </c>
      <c r="AG1442">
        <v>0</v>
      </c>
      <c r="AI1442">
        <v>0</v>
      </c>
      <c r="AJ1442">
        <v>4</v>
      </c>
      <c r="AK1442">
        <v>228</v>
      </c>
      <c r="AL1442">
        <v>228</v>
      </c>
      <c r="AM1442">
        <v>554</v>
      </c>
      <c r="AN1442">
        <v>46</v>
      </c>
      <c r="AP1442">
        <v>1</v>
      </c>
      <c r="AR1442" t="s">
        <v>1530</v>
      </c>
      <c r="AS1442" s="1">
        <v>44354.040277777778</v>
      </c>
      <c r="AT1442" s="1">
        <v>44354.053518518522</v>
      </c>
      <c r="AU1442" s="1">
        <v>44354.054247685184</v>
      </c>
      <c r="AV1442" t="s">
        <v>71</v>
      </c>
      <c r="AW1442" t="s">
        <v>72</v>
      </c>
      <c r="AX1442" t="s">
        <v>73</v>
      </c>
    </row>
    <row r="1443" spans="1:50" x14ac:dyDescent="0.3">
      <c r="A1443" t="str">
        <f>"200131C0100"</f>
        <v>200131C0100</v>
      </c>
      <c r="B1443" t="str">
        <f>"200131C01002"</f>
        <v>200131C01002</v>
      </c>
      <c r="C1443" t="str">
        <f t="shared" si="71"/>
        <v>20</v>
      </c>
      <c r="D1443" t="s">
        <v>67</v>
      </c>
      <c r="E1443" t="str">
        <f t="shared" si="73"/>
        <v>007</v>
      </c>
      <c r="F1443" t="s">
        <v>1519</v>
      </c>
      <c r="G1443" t="str">
        <f>"0131"</f>
        <v>0131</v>
      </c>
      <c r="H1443" t="str">
        <f>"0001"</f>
        <v>0001</v>
      </c>
      <c r="I1443" t="s">
        <v>75</v>
      </c>
      <c r="J1443">
        <v>0</v>
      </c>
      <c r="K1443">
        <v>1</v>
      </c>
      <c r="L1443">
        <v>2</v>
      </c>
      <c r="M1443">
        <v>388</v>
      </c>
      <c r="N1443">
        <v>211</v>
      </c>
      <c r="O1443">
        <v>0</v>
      </c>
      <c r="P1443">
        <v>211</v>
      </c>
      <c r="Q1443">
        <v>3</v>
      </c>
      <c r="R1443">
        <v>6</v>
      </c>
      <c r="S1443">
        <v>6</v>
      </c>
      <c r="T1443">
        <v>3</v>
      </c>
      <c r="U1443">
        <v>7</v>
      </c>
      <c r="V1443">
        <v>3</v>
      </c>
      <c r="W1443">
        <v>4</v>
      </c>
      <c r="X1443">
        <v>138</v>
      </c>
      <c r="Y1443">
        <v>2</v>
      </c>
      <c r="Z1443">
        <v>4</v>
      </c>
      <c r="AA1443">
        <v>1</v>
      </c>
      <c r="AB1443">
        <v>1</v>
      </c>
      <c r="AC1443">
        <v>25</v>
      </c>
      <c r="AD1443">
        <v>0</v>
      </c>
      <c r="AE1443">
        <v>0</v>
      </c>
      <c r="AF1443">
        <v>0</v>
      </c>
      <c r="AG1443">
        <v>0</v>
      </c>
      <c r="AI1443">
        <v>0</v>
      </c>
      <c r="AJ1443">
        <v>8</v>
      </c>
      <c r="AK1443">
        <v>211</v>
      </c>
      <c r="AL1443">
        <v>211</v>
      </c>
      <c r="AM1443">
        <v>553</v>
      </c>
      <c r="AN1443">
        <v>46</v>
      </c>
      <c r="AP1443">
        <v>1</v>
      </c>
      <c r="AR1443" t="s">
        <v>1531</v>
      </c>
      <c r="AS1443" s="1">
        <v>44354.038888888892</v>
      </c>
      <c r="AT1443" s="1">
        <v>44354.050219907411</v>
      </c>
      <c r="AU1443" s="1">
        <v>44354.051377314812</v>
      </c>
      <c r="AV1443" t="s">
        <v>71</v>
      </c>
      <c r="AW1443" t="s">
        <v>72</v>
      </c>
      <c r="AX1443" t="s">
        <v>73</v>
      </c>
    </row>
    <row r="1444" spans="1:50" x14ac:dyDescent="0.3">
      <c r="A1444" t="str">
        <f>"200131C0200"</f>
        <v>200131C0200</v>
      </c>
      <c r="B1444" t="str">
        <f>"200131C02002"</f>
        <v>200131C02002</v>
      </c>
      <c r="C1444" t="str">
        <f t="shared" si="71"/>
        <v>20</v>
      </c>
      <c r="D1444" t="s">
        <v>67</v>
      </c>
      <c r="E1444" t="str">
        <f t="shared" si="73"/>
        <v>007</v>
      </c>
      <c r="F1444" t="s">
        <v>1519</v>
      </c>
      <c r="G1444" t="str">
        <f>"0131"</f>
        <v>0131</v>
      </c>
      <c r="H1444" t="str">
        <f>"0002"</f>
        <v>0002</v>
      </c>
      <c r="I1444" t="s">
        <v>75</v>
      </c>
      <c r="J1444">
        <v>0</v>
      </c>
      <c r="K1444">
        <v>1</v>
      </c>
      <c r="L1444">
        <v>2</v>
      </c>
      <c r="M1444">
        <v>398</v>
      </c>
      <c r="N1444">
        <v>201</v>
      </c>
      <c r="O1444">
        <v>0</v>
      </c>
      <c r="P1444">
        <v>201</v>
      </c>
      <c r="Q1444">
        <v>1</v>
      </c>
      <c r="R1444">
        <v>6</v>
      </c>
      <c r="S1444">
        <v>1</v>
      </c>
      <c r="T1444">
        <v>2</v>
      </c>
      <c r="U1444">
        <v>6</v>
      </c>
      <c r="V1444">
        <v>2</v>
      </c>
      <c r="W1444">
        <v>5</v>
      </c>
      <c r="X1444">
        <v>119</v>
      </c>
      <c r="Y1444">
        <v>0</v>
      </c>
      <c r="Z1444">
        <v>3</v>
      </c>
      <c r="AA1444">
        <v>3</v>
      </c>
      <c r="AB1444">
        <v>1</v>
      </c>
      <c r="AC1444">
        <v>43</v>
      </c>
      <c r="AD1444">
        <v>0</v>
      </c>
      <c r="AE1444">
        <v>0</v>
      </c>
      <c r="AF1444">
        <v>0</v>
      </c>
      <c r="AG1444">
        <v>0</v>
      </c>
      <c r="AI1444">
        <v>0</v>
      </c>
      <c r="AJ1444">
        <v>9</v>
      </c>
      <c r="AK1444">
        <v>201</v>
      </c>
      <c r="AL1444">
        <v>201</v>
      </c>
      <c r="AM1444">
        <v>553</v>
      </c>
      <c r="AN1444">
        <v>46</v>
      </c>
      <c r="AP1444">
        <v>1</v>
      </c>
      <c r="AR1444" t="s">
        <v>1532</v>
      </c>
      <c r="AS1444" s="1">
        <v>44354.032638888886</v>
      </c>
      <c r="AT1444" s="1">
        <v>44354.040937500002</v>
      </c>
      <c r="AU1444" s="1">
        <v>44354.041666666664</v>
      </c>
      <c r="AV1444" t="s">
        <v>71</v>
      </c>
      <c r="AW1444" t="s">
        <v>72</v>
      </c>
      <c r="AX1444" t="s">
        <v>73</v>
      </c>
    </row>
    <row r="1445" spans="1:50" x14ac:dyDescent="0.3">
      <c r="A1445" t="str">
        <f>"200132B0000"</f>
        <v>200132B0000</v>
      </c>
      <c r="B1445" t="str">
        <f>"200132B00002"</f>
        <v>200132B00002</v>
      </c>
      <c r="C1445" t="str">
        <f t="shared" si="71"/>
        <v>20</v>
      </c>
      <c r="D1445" t="s">
        <v>67</v>
      </c>
      <c r="E1445" t="str">
        <f t="shared" si="73"/>
        <v>007</v>
      </c>
      <c r="F1445" t="s">
        <v>1519</v>
      </c>
      <c r="G1445" t="str">
        <f>"0132"</f>
        <v>0132</v>
      </c>
      <c r="H1445" t="str">
        <f>"0000"</f>
        <v>0000</v>
      </c>
      <c r="I1445" t="s">
        <v>69</v>
      </c>
      <c r="J1445">
        <v>0</v>
      </c>
      <c r="K1445">
        <v>1</v>
      </c>
      <c r="L1445">
        <v>2</v>
      </c>
      <c r="M1445">
        <v>227</v>
      </c>
      <c r="N1445">
        <v>207</v>
      </c>
      <c r="O1445">
        <v>1</v>
      </c>
      <c r="P1445">
        <v>207</v>
      </c>
      <c r="Q1445">
        <v>0</v>
      </c>
      <c r="R1445">
        <v>0</v>
      </c>
      <c r="S1445">
        <v>0</v>
      </c>
      <c r="T1445">
        <v>0</v>
      </c>
      <c r="U1445">
        <v>2</v>
      </c>
      <c r="V1445">
        <v>1</v>
      </c>
      <c r="W1445">
        <v>1</v>
      </c>
      <c r="X1445">
        <v>188</v>
      </c>
      <c r="Y1445">
        <v>0</v>
      </c>
      <c r="Z1445">
        <v>1</v>
      </c>
      <c r="AA1445">
        <v>0</v>
      </c>
      <c r="AB1445">
        <v>1</v>
      </c>
      <c r="AC1445">
        <v>10</v>
      </c>
      <c r="AD1445">
        <v>0</v>
      </c>
      <c r="AE1445">
        <v>0</v>
      </c>
      <c r="AF1445">
        <v>0</v>
      </c>
      <c r="AG1445">
        <v>0</v>
      </c>
      <c r="AI1445">
        <v>0</v>
      </c>
      <c r="AJ1445">
        <v>3</v>
      </c>
      <c r="AK1445">
        <v>207</v>
      </c>
      <c r="AL1445">
        <v>207</v>
      </c>
      <c r="AM1445">
        <v>386</v>
      </c>
      <c r="AN1445">
        <v>46</v>
      </c>
      <c r="AP1445">
        <v>1</v>
      </c>
      <c r="AR1445" t="s">
        <v>1533</v>
      </c>
      <c r="AS1445" s="1">
        <v>44354.180555555555</v>
      </c>
      <c r="AT1445" s="1">
        <v>44354.182696759257</v>
      </c>
      <c r="AU1445" s="1">
        <v>44354.183113425926</v>
      </c>
      <c r="AV1445" t="s">
        <v>71</v>
      </c>
      <c r="AW1445" t="s">
        <v>72</v>
      </c>
      <c r="AX1445" t="s">
        <v>73</v>
      </c>
    </row>
    <row r="1446" spans="1:50" x14ac:dyDescent="0.3">
      <c r="A1446" t="str">
        <f>"200132C0100"</f>
        <v>200132C0100</v>
      </c>
      <c r="B1446" t="str">
        <f>"200132C01002"</f>
        <v>200132C01002</v>
      </c>
      <c r="C1446" t="str">
        <f t="shared" si="71"/>
        <v>20</v>
      </c>
      <c r="D1446" t="s">
        <v>67</v>
      </c>
      <c r="E1446" t="str">
        <f t="shared" si="73"/>
        <v>007</v>
      </c>
      <c r="F1446" t="s">
        <v>1519</v>
      </c>
      <c r="G1446" t="str">
        <f>"0132"</f>
        <v>0132</v>
      </c>
      <c r="H1446" t="str">
        <f>"0001"</f>
        <v>0001</v>
      </c>
      <c r="I1446" t="s">
        <v>75</v>
      </c>
      <c r="J1446">
        <v>0</v>
      </c>
      <c r="K1446">
        <v>1</v>
      </c>
      <c r="L1446">
        <v>2</v>
      </c>
      <c r="AM1446">
        <v>385</v>
      </c>
      <c r="AN1446">
        <v>46</v>
      </c>
      <c r="AO1446" t="s">
        <v>143</v>
      </c>
      <c r="AP1446">
        <v>0</v>
      </c>
      <c r="AR1446" s="2" t="s">
        <v>1534</v>
      </c>
      <c r="AS1446" s="1">
        <v>44354.669444444444</v>
      </c>
      <c r="AT1446" s="1">
        <v>44354.672430555554</v>
      </c>
      <c r="AU1446" s="1">
        <v>44354.672430555554</v>
      </c>
      <c r="AV1446" t="s">
        <v>71</v>
      </c>
      <c r="AW1446" t="s">
        <v>72</v>
      </c>
      <c r="AX1446" t="s">
        <v>73</v>
      </c>
    </row>
    <row r="1447" spans="1:50" x14ac:dyDescent="0.3">
      <c r="A1447" t="str">
        <f>"200133B0000"</f>
        <v>200133B0000</v>
      </c>
      <c r="B1447" t="str">
        <f>"200133B00002"</f>
        <v>200133B00002</v>
      </c>
      <c r="C1447" t="str">
        <f t="shared" si="71"/>
        <v>20</v>
      </c>
      <c r="D1447" t="s">
        <v>67</v>
      </c>
      <c r="E1447" t="str">
        <f t="shared" si="73"/>
        <v>007</v>
      </c>
      <c r="F1447" t="s">
        <v>1519</v>
      </c>
      <c r="G1447" t="str">
        <f>"0133"</f>
        <v>0133</v>
      </c>
      <c r="H1447" t="str">
        <f>"0000"</f>
        <v>0000</v>
      </c>
      <c r="I1447" t="s">
        <v>69</v>
      </c>
      <c r="J1447">
        <v>0</v>
      </c>
      <c r="K1447">
        <v>1</v>
      </c>
      <c r="L1447">
        <v>2</v>
      </c>
      <c r="M1447">
        <v>165</v>
      </c>
      <c r="N1447">
        <v>145</v>
      </c>
      <c r="O1447">
        <v>0</v>
      </c>
      <c r="P1447">
        <v>145</v>
      </c>
      <c r="Q1447">
        <v>1</v>
      </c>
      <c r="R1447">
        <v>0</v>
      </c>
      <c r="S1447">
        <v>0</v>
      </c>
      <c r="T1447">
        <v>2</v>
      </c>
      <c r="U1447">
        <v>2</v>
      </c>
      <c r="V1447">
        <v>3</v>
      </c>
      <c r="W1447">
        <v>4</v>
      </c>
      <c r="X1447">
        <v>112</v>
      </c>
      <c r="Y1447">
        <v>0</v>
      </c>
      <c r="Z1447">
        <v>4</v>
      </c>
      <c r="AA1447">
        <v>4</v>
      </c>
      <c r="AB1447">
        <v>0</v>
      </c>
      <c r="AC1447">
        <v>7</v>
      </c>
      <c r="AD1447">
        <v>0</v>
      </c>
      <c r="AE1447">
        <v>0</v>
      </c>
      <c r="AF1447">
        <v>0</v>
      </c>
      <c r="AG1447">
        <v>0</v>
      </c>
      <c r="AI1447">
        <v>0</v>
      </c>
      <c r="AJ1447">
        <v>6</v>
      </c>
      <c r="AK1447">
        <v>145</v>
      </c>
      <c r="AL1447">
        <v>145</v>
      </c>
      <c r="AM1447">
        <v>264</v>
      </c>
      <c r="AN1447">
        <v>46</v>
      </c>
      <c r="AP1447">
        <v>1</v>
      </c>
      <c r="AR1447" t="s">
        <v>1535</v>
      </c>
      <c r="AS1447" s="1">
        <v>44354.031944444447</v>
      </c>
      <c r="AT1447" s="1">
        <v>44354.040034722224</v>
      </c>
      <c r="AU1447" s="1">
        <v>44354.04042824074</v>
      </c>
      <c r="AV1447" t="s">
        <v>71</v>
      </c>
      <c r="AW1447" t="s">
        <v>72</v>
      </c>
      <c r="AX1447" t="s">
        <v>73</v>
      </c>
    </row>
    <row r="1448" spans="1:50" x14ac:dyDescent="0.3">
      <c r="A1448" t="str">
        <f>"200133E0100"</f>
        <v>200133E0100</v>
      </c>
      <c r="B1448" t="str">
        <f>"200133E01002"</f>
        <v>200133E01002</v>
      </c>
      <c r="C1448" t="str">
        <f t="shared" si="71"/>
        <v>20</v>
      </c>
      <c r="D1448" t="s">
        <v>67</v>
      </c>
      <c r="E1448" t="str">
        <f t="shared" si="73"/>
        <v>007</v>
      </c>
      <c r="F1448" t="s">
        <v>1519</v>
      </c>
      <c r="G1448" t="str">
        <f>"0133"</f>
        <v>0133</v>
      </c>
      <c r="H1448" t="str">
        <f>"0001"</f>
        <v>0001</v>
      </c>
      <c r="I1448" t="s">
        <v>109</v>
      </c>
      <c r="J1448">
        <v>0</v>
      </c>
      <c r="K1448">
        <v>1</v>
      </c>
      <c r="L1448">
        <v>2</v>
      </c>
      <c r="M1448">
        <v>213</v>
      </c>
      <c r="N1448">
        <v>308</v>
      </c>
      <c r="O1448">
        <v>0</v>
      </c>
      <c r="P1448">
        <v>308</v>
      </c>
      <c r="Q1448">
        <v>0</v>
      </c>
      <c r="R1448">
        <v>0</v>
      </c>
      <c r="S1448">
        <v>0</v>
      </c>
      <c r="T1448">
        <v>0</v>
      </c>
      <c r="U1448">
        <v>3</v>
      </c>
      <c r="V1448">
        <v>1</v>
      </c>
      <c r="W1448">
        <v>1</v>
      </c>
      <c r="X1448">
        <v>261</v>
      </c>
      <c r="Y1448">
        <v>1</v>
      </c>
      <c r="Z1448">
        <v>1</v>
      </c>
      <c r="AA1448">
        <v>1</v>
      </c>
      <c r="AB1448">
        <v>0</v>
      </c>
      <c r="AC1448">
        <v>31</v>
      </c>
      <c r="AD1448">
        <v>0</v>
      </c>
      <c r="AE1448">
        <v>0</v>
      </c>
      <c r="AF1448">
        <v>0</v>
      </c>
      <c r="AG1448">
        <v>0</v>
      </c>
      <c r="AI1448">
        <v>0</v>
      </c>
      <c r="AJ1448">
        <v>8</v>
      </c>
      <c r="AK1448">
        <v>308</v>
      </c>
      <c r="AL1448">
        <v>308</v>
      </c>
      <c r="AM1448">
        <v>475</v>
      </c>
      <c r="AN1448">
        <v>46</v>
      </c>
      <c r="AP1448">
        <v>1</v>
      </c>
      <c r="AR1448" t="s">
        <v>1536</v>
      </c>
      <c r="AS1448" s="1">
        <v>44354.324305555558</v>
      </c>
      <c r="AT1448" s="1">
        <v>44354.328379629631</v>
      </c>
      <c r="AU1448" s="1">
        <v>44354.328784722224</v>
      </c>
      <c r="AV1448" t="s">
        <v>71</v>
      </c>
      <c r="AW1448" t="s">
        <v>72</v>
      </c>
      <c r="AX1448" t="s">
        <v>73</v>
      </c>
    </row>
    <row r="1449" spans="1:50" x14ac:dyDescent="0.3">
      <c r="A1449" t="str">
        <f>"200198B0000"</f>
        <v>200198B0000</v>
      </c>
      <c r="B1449" t="str">
        <f>"200198B00002"</f>
        <v>200198B00002</v>
      </c>
      <c r="C1449" t="str">
        <f t="shared" si="71"/>
        <v>20</v>
      </c>
      <c r="D1449" t="s">
        <v>67</v>
      </c>
      <c r="E1449" t="str">
        <f t="shared" si="73"/>
        <v>007</v>
      </c>
      <c r="F1449" t="s">
        <v>1519</v>
      </c>
      <c r="G1449" t="str">
        <f>"0198"</f>
        <v>0198</v>
      </c>
      <c r="H1449" t="str">
        <f>"0000"</f>
        <v>0000</v>
      </c>
      <c r="I1449" t="s">
        <v>69</v>
      </c>
      <c r="J1449">
        <v>0</v>
      </c>
      <c r="K1449">
        <v>1</v>
      </c>
      <c r="L1449">
        <v>2</v>
      </c>
      <c r="M1449">
        <v>437</v>
      </c>
      <c r="N1449">
        <v>323</v>
      </c>
      <c r="O1449">
        <v>2</v>
      </c>
      <c r="P1449">
        <v>323</v>
      </c>
      <c r="Q1449">
        <v>3</v>
      </c>
      <c r="R1449">
        <v>37</v>
      </c>
      <c r="S1449">
        <v>6</v>
      </c>
      <c r="T1449">
        <v>5</v>
      </c>
      <c r="U1449">
        <v>2</v>
      </c>
      <c r="V1449">
        <v>4</v>
      </c>
      <c r="W1449">
        <v>1</v>
      </c>
      <c r="X1449">
        <v>162</v>
      </c>
      <c r="Y1449" t="s">
        <v>77</v>
      </c>
      <c r="Z1449">
        <v>8</v>
      </c>
      <c r="AA1449">
        <v>11</v>
      </c>
      <c r="AB1449">
        <v>1</v>
      </c>
      <c r="AC1449">
        <v>72</v>
      </c>
      <c r="AD1449">
        <v>0</v>
      </c>
      <c r="AE1449">
        <v>0</v>
      </c>
      <c r="AF1449">
        <v>2</v>
      </c>
      <c r="AG1449">
        <v>0</v>
      </c>
      <c r="AI1449">
        <v>0</v>
      </c>
      <c r="AJ1449">
        <v>9</v>
      </c>
      <c r="AK1449">
        <v>323</v>
      </c>
      <c r="AL1449">
        <v>323</v>
      </c>
      <c r="AM1449">
        <v>714</v>
      </c>
      <c r="AN1449">
        <v>46</v>
      </c>
      <c r="AO1449" t="s">
        <v>78</v>
      </c>
      <c r="AP1449">
        <v>1</v>
      </c>
      <c r="AR1449" t="s">
        <v>1537</v>
      </c>
      <c r="AS1449" s="1">
        <v>44354.023611111108</v>
      </c>
      <c r="AT1449" s="1">
        <v>44354.032696759263</v>
      </c>
      <c r="AU1449" s="1">
        <v>44354.033252314817</v>
      </c>
      <c r="AV1449" t="s">
        <v>71</v>
      </c>
      <c r="AW1449" t="s">
        <v>72</v>
      </c>
      <c r="AX1449" t="s">
        <v>73</v>
      </c>
    </row>
    <row r="1450" spans="1:50" x14ac:dyDescent="0.3">
      <c r="A1450" t="str">
        <f>"200198C0100"</f>
        <v>200198C0100</v>
      </c>
      <c r="B1450" t="str">
        <f>"200198C01002"</f>
        <v>200198C01002</v>
      </c>
      <c r="C1450" t="str">
        <f t="shared" si="71"/>
        <v>20</v>
      </c>
      <c r="D1450" t="s">
        <v>67</v>
      </c>
      <c r="E1450" t="str">
        <f t="shared" si="73"/>
        <v>007</v>
      </c>
      <c r="F1450" t="s">
        <v>1519</v>
      </c>
      <c r="G1450" t="str">
        <f>"0198"</f>
        <v>0198</v>
      </c>
      <c r="H1450" t="str">
        <f>"0001"</f>
        <v>0001</v>
      </c>
      <c r="I1450" t="s">
        <v>75</v>
      </c>
      <c r="J1450">
        <v>0</v>
      </c>
      <c r="K1450">
        <v>1</v>
      </c>
      <c r="L1450">
        <v>2</v>
      </c>
      <c r="M1450">
        <v>448</v>
      </c>
      <c r="N1450">
        <v>312</v>
      </c>
      <c r="O1450">
        <v>0</v>
      </c>
      <c r="P1450">
        <v>312</v>
      </c>
      <c r="Q1450">
        <v>3</v>
      </c>
      <c r="R1450">
        <v>54</v>
      </c>
      <c r="S1450">
        <v>6</v>
      </c>
      <c r="T1450">
        <v>5</v>
      </c>
      <c r="U1450">
        <v>8</v>
      </c>
      <c r="V1450">
        <v>2</v>
      </c>
      <c r="W1450">
        <v>2</v>
      </c>
      <c r="X1450">
        <v>119</v>
      </c>
      <c r="Y1450">
        <v>1</v>
      </c>
      <c r="Z1450">
        <v>5</v>
      </c>
      <c r="AA1450">
        <v>4</v>
      </c>
      <c r="AB1450">
        <v>4</v>
      </c>
      <c r="AC1450">
        <v>87</v>
      </c>
      <c r="AD1450">
        <v>1</v>
      </c>
      <c r="AE1450">
        <v>0</v>
      </c>
      <c r="AF1450">
        <v>0</v>
      </c>
      <c r="AG1450">
        <v>0</v>
      </c>
      <c r="AI1450">
        <v>0</v>
      </c>
      <c r="AJ1450">
        <v>10</v>
      </c>
      <c r="AK1450">
        <v>312</v>
      </c>
      <c r="AL1450">
        <v>311</v>
      </c>
      <c r="AM1450">
        <v>714</v>
      </c>
      <c r="AN1450">
        <v>46</v>
      </c>
      <c r="AP1450">
        <v>1</v>
      </c>
      <c r="AR1450" t="s">
        <v>1538</v>
      </c>
      <c r="AS1450" s="1">
        <v>44354.025000000001</v>
      </c>
      <c r="AT1450" s="1">
        <v>44354.033391203702</v>
      </c>
      <c r="AU1450" s="1">
        <v>44354.033831018518</v>
      </c>
      <c r="AV1450" t="s">
        <v>71</v>
      </c>
      <c r="AW1450" t="s">
        <v>72</v>
      </c>
      <c r="AX1450" t="s">
        <v>73</v>
      </c>
    </row>
    <row r="1451" spans="1:50" x14ac:dyDescent="0.3">
      <c r="A1451" t="str">
        <f>"200198C0200"</f>
        <v>200198C0200</v>
      </c>
      <c r="B1451" t="str">
        <f>"200198C02002"</f>
        <v>200198C02002</v>
      </c>
      <c r="C1451" t="str">
        <f t="shared" si="71"/>
        <v>20</v>
      </c>
      <c r="D1451" t="s">
        <v>67</v>
      </c>
      <c r="E1451" t="str">
        <f t="shared" si="73"/>
        <v>007</v>
      </c>
      <c r="F1451" t="s">
        <v>1519</v>
      </c>
      <c r="G1451" t="str">
        <f>"0198"</f>
        <v>0198</v>
      </c>
      <c r="H1451" t="str">
        <f>"0002"</f>
        <v>0002</v>
      </c>
      <c r="I1451" t="s">
        <v>75</v>
      </c>
      <c r="J1451">
        <v>0</v>
      </c>
      <c r="K1451">
        <v>1</v>
      </c>
      <c r="L1451">
        <v>2</v>
      </c>
      <c r="M1451">
        <v>444</v>
      </c>
      <c r="N1451">
        <v>316</v>
      </c>
      <c r="O1451">
        <v>0</v>
      </c>
      <c r="P1451">
        <v>316</v>
      </c>
      <c r="Q1451">
        <v>4</v>
      </c>
      <c r="R1451">
        <v>52</v>
      </c>
      <c r="S1451">
        <v>5</v>
      </c>
      <c r="T1451">
        <v>10</v>
      </c>
      <c r="U1451">
        <v>7</v>
      </c>
      <c r="V1451">
        <v>1</v>
      </c>
      <c r="W1451">
        <v>2</v>
      </c>
      <c r="X1451">
        <v>136</v>
      </c>
      <c r="Y1451">
        <v>1</v>
      </c>
      <c r="Z1451">
        <v>5</v>
      </c>
      <c r="AA1451">
        <v>9</v>
      </c>
      <c r="AB1451">
        <v>6</v>
      </c>
      <c r="AC1451">
        <v>66</v>
      </c>
      <c r="AD1451" t="s">
        <v>77</v>
      </c>
      <c r="AE1451" t="s">
        <v>77</v>
      </c>
      <c r="AF1451" t="s">
        <v>77</v>
      </c>
      <c r="AG1451" t="s">
        <v>77</v>
      </c>
      <c r="AI1451" t="s">
        <v>77</v>
      </c>
      <c r="AJ1451">
        <v>12</v>
      </c>
      <c r="AK1451">
        <v>316</v>
      </c>
      <c r="AL1451">
        <v>316</v>
      </c>
      <c r="AM1451">
        <v>714</v>
      </c>
      <c r="AN1451">
        <v>46</v>
      </c>
      <c r="AO1451" t="s">
        <v>78</v>
      </c>
      <c r="AP1451">
        <v>1</v>
      </c>
      <c r="AR1451" t="s">
        <v>1539</v>
      </c>
      <c r="AS1451" s="1">
        <v>44354.025694444441</v>
      </c>
      <c r="AT1451" s="1">
        <v>44354.033043981479</v>
      </c>
      <c r="AU1451" s="1">
        <v>44354.033750000002</v>
      </c>
      <c r="AV1451" t="s">
        <v>71</v>
      </c>
      <c r="AW1451" t="s">
        <v>72</v>
      </c>
      <c r="AX1451" t="s">
        <v>73</v>
      </c>
    </row>
    <row r="1452" spans="1:50" x14ac:dyDescent="0.3">
      <c r="A1452" t="str">
        <f>"200199B0000"</f>
        <v>200199B0000</v>
      </c>
      <c r="B1452" t="str">
        <f>"200199B00002"</f>
        <v>200199B00002</v>
      </c>
      <c r="C1452" t="str">
        <f t="shared" si="71"/>
        <v>20</v>
      </c>
      <c r="D1452" t="s">
        <v>67</v>
      </c>
      <c r="E1452" t="str">
        <f t="shared" si="73"/>
        <v>007</v>
      </c>
      <c r="F1452" t="s">
        <v>1519</v>
      </c>
      <c r="G1452" t="str">
        <f>"0199"</f>
        <v>0199</v>
      </c>
      <c r="H1452" t="str">
        <f>"0000"</f>
        <v>0000</v>
      </c>
      <c r="I1452" t="s">
        <v>69</v>
      </c>
      <c r="J1452">
        <v>0</v>
      </c>
      <c r="K1452">
        <v>1</v>
      </c>
      <c r="L1452">
        <v>2</v>
      </c>
      <c r="AM1452">
        <v>315</v>
      </c>
      <c r="AN1452">
        <v>46</v>
      </c>
      <c r="AO1452" t="s">
        <v>143</v>
      </c>
      <c r="AP1452">
        <v>0</v>
      </c>
      <c r="AR1452" t="s">
        <v>1540</v>
      </c>
      <c r="AS1452" s="1">
        <v>44354.669444444444</v>
      </c>
      <c r="AT1452" s="1">
        <v>44354.672777777778</v>
      </c>
      <c r="AU1452" s="1">
        <v>44354.672777777778</v>
      </c>
      <c r="AV1452" t="s">
        <v>71</v>
      </c>
      <c r="AW1452" t="s">
        <v>72</v>
      </c>
      <c r="AX1452" t="s">
        <v>73</v>
      </c>
    </row>
    <row r="1453" spans="1:50" x14ac:dyDescent="0.3">
      <c r="A1453" t="str">
        <f>"200200B0000"</f>
        <v>200200B0000</v>
      </c>
      <c r="B1453" t="str">
        <f>"200200B00002"</f>
        <v>200200B00002</v>
      </c>
      <c r="C1453" t="str">
        <f t="shared" si="71"/>
        <v>20</v>
      </c>
      <c r="D1453" t="s">
        <v>67</v>
      </c>
      <c r="E1453" t="str">
        <f t="shared" si="73"/>
        <v>007</v>
      </c>
      <c r="F1453" t="s">
        <v>1519</v>
      </c>
      <c r="G1453" t="str">
        <f>"0200"</f>
        <v>0200</v>
      </c>
      <c r="H1453" t="str">
        <f>"0000"</f>
        <v>0000</v>
      </c>
      <c r="I1453" t="s">
        <v>69</v>
      </c>
      <c r="J1453">
        <v>0</v>
      </c>
      <c r="K1453">
        <v>1</v>
      </c>
      <c r="L1453">
        <v>2</v>
      </c>
      <c r="M1453">
        <v>435</v>
      </c>
      <c r="N1453">
        <v>112</v>
      </c>
      <c r="O1453">
        <v>0</v>
      </c>
      <c r="P1453">
        <v>112</v>
      </c>
      <c r="Q1453">
        <v>1</v>
      </c>
      <c r="R1453">
        <v>7</v>
      </c>
      <c r="S1453">
        <v>9</v>
      </c>
      <c r="T1453">
        <v>2</v>
      </c>
      <c r="U1453">
        <v>4</v>
      </c>
      <c r="V1453">
        <v>3</v>
      </c>
      <c r="W1453">
        <v>1</v>
      </c>
      <c r="X1453">
        <v>36</v>
      </c>
      <c r="Y1453">
        <v>0</v>
      </c>
      <c r="Z1453">
        <v>4</v>
      </c>
      <c r="AA1453">
        <v>0</v>
      </c>
      <c r="AB1453">
        <v>4</v>
      </c>
      <c r="AC1453">
        <v>28</v>
      </c>
      <c r="AD1453">
        <v>0</v>
      </c>
      <c r="AE1453">
        <v>0</v>
      </c>
      <c r="AF1453">
        <v>0</v>
      </c>
      <c r="AG1453">
        <v>0</v>
      </c>
      <c r="AI1453">
        <v>0</v>
      </c>
      <c r="AJ1453">
        <v>13</v>
      </c>
      <c r="AK1453">
        <v>112</v>
      </c>
      <c r="AL1453">
        <v>112</v>
      </c>
      <c r="AM1453">
        <v>501</v>
      </c>
      <c r="AN1453">
        <v>46</v>
      </c>
      <c r="AP1453">
        <v>1</v>
      </c>
      <c r="AR1453" t="s">
        <v>1541</v>
      </c>
      <c r="AS1453" s="1">
        <v>44354.380555555559</v>
      </c>
      <c r="AT1453" s="1">
        <v>44354.384108796294</v>
      </c>
      <c r="AU1453" s="1">
        <v>44354.384745370371</v>
      </c>
      <c r="AV1453" t="s">
        <v>71</v>
      </c>
      <c r="AW1453" t="s">
        <v>72</v>
      </c>
      <c r="AX1453" t="s">
        <v>73</v>
      </c>
    </row>
    <row r="1454" spans="1:50" x14ac:dyDescent="0.3">
      <c r="A1454" t="str">
        <f>"200200C0100"</f>
        <v>200200C0100</v>
      </c>
      <c r="B1454" t="str">
        <f>"200200C01002"</f>
        <v>200200C01002</v>
      </c>
      <c r="C1454" t="str">
        <f t="shared" si="71"/>
        <v>20</v>
      </c>
      <c r="D1454" t="s">
        <v>67</v>
      </c>
      <c r="E1454" t="str">
        <f t="shared" si="73"/>
        <v>007</v>
      </c>
      <c r="F1454" t="s">
        <v>1519</v>
      </c>
      <c r="G1454" t="str">
        <f>"0200"</f>
        <v>0200</v>
      </c>
      <c r="H1454" t="str">
        <f>"0001"</f>
        <v>0001</v>
      </c>
      <c r="I1454" t="s">
        <v>75</v>
      </c>
      <c r="J1454">
        <v>0</v>
      </c>
      <c r="K1454">
        <v>1</v>
      </c>
      <c r="L1454">
        <v>2</v>
      </c>
      <c r="M1454">
        <v>427</v>
      </c>
      <c r="N1454">
        <v>119</v>
      </c>
      <c r="O1454">
        <v>0</v>
      </c>
      <c r="P1454">
        <v>119</v>
      </c>
      <c r="Q1454">
        <v>3</v>
      </c>
      <c r="R1454">
        <v>6</v>
      </c>
      <c r="S1454">
        <v>11</v>
      </c>
      <c r="T1454">
        <v>3</v>
      </c>
      <c r="U1454">
        <v>8</v>
      </c>
      <c r="V1454">
        <v>2</v>
      </c>
      <c r="W1454">
        <v>5</v>
      </c>
      <c r="X1454">
        <v>28</v>
      </c>
      <c r="Y1454">
        <v>1</v>
      </c>
      <c r="Z1454">
        <v>0</v>
      </c>
      <c r="AA1454">
        <v>1</v>
      </c>
      <c r="AB1454">
        <v>4</v>
      </c>
      <c r="AC1454">
        <v>35</v>
      </c>
      <c r="AD1454">
        <v>0</v>
      </c>
      <c r="AE1454">
        <v>0</v>
      </c>
      <c r="AF1454">
        <v>0</v>
      </c>
      <c r="AG1454">
        <v>0</v>
      </c>
      <c r="AI1454">
        <v>0</v>
      </c>
      <c r="AJ1454">
        <v>12</v>
      </c>
      <c r="AK1454">
        <v>119</v>
      </c>
      <c r="AL1454">
        <v>119</v>
      </c>
      <c r="AM1454">
        <v>500</v>
      </c>
      <c r="AN1454">
        <v>46</v>
      </c>
      <c r="AP1454">
        <v>1</v>
      </c>
      <c r="AR1454" t="s">
        <v>1542</v>
      </c>
      <c r="AS1454" s="1">
        <v>44354.376388888886</v>
      </c>
      <c r="AT1454" s="1">
        <v>44354.379189814812</v>
      </c>
      <c r="AU1454" s="1">
        <v>44354.379780092589</v>
      </c>
      <c r="AV1454" t="s">
        <v>71</v>
      </c>
      <c r="AW1454" t="s">
        <v>72</v>
      </c>
      <c r="AX1454" t="s">
        <v>73</v>
      </c>
    </row>
    <row r="1455" spans="1:50" x14ac:dyDescent="0.3">
      <c r="A1455" t="str">
        <f>"200643B0000"</f>
        <v>200643B0000</v>
      </c>
      <c r="B1455" t="str">
        <f>"200643B00002"</f>
        <v>200643B00002</v>
      </c>
      <c r="C1455" t="str">
        <f t="shared" si="71"/>
        <v>20</v>
      </c>
      <c r="D1455" t="s">
        <v>67</v>
      </c>
      <c r="E1455" t="str">
        <f t="shared" si="73"/>
        <v>007</v>
      </c>
      <c r="F1455" t="s">
        <v>1519</v>
      </c>
      <c r="G1455" t="str">
        <f>"0643"</f>
        <v>0643</v>
      </c>
      <c r="H1455" t="str">
        <f>"0000"</f>
        <v>0000</v>
      </c>
      <c r="I1455" t="s">
        <v>69</v>
      </c>
      <c r="J1455">
        <v>0</v>
      </c>
      <c r="K1455">
        <v>1</v>
      </c>
      <c r="L1455">
        <v>2</v>
      </c>
      <c r="M1455">
        <v>297</v>
      </c>
      <c r="N1455">
        <v>433</v>
      </c>
      <c r="O1455">
        <v>4</v>
      </c>
      <c r="P1455" t="s">
        <v>80</v>
      </c>
      <c r="Q1455">
        <v>3</v>
      </c>
      <c r="R1455">
        <v>13</v>
      </c>
      <c r="S1455">
        <v>3</v>
      </c>
      <c r="T1455">
        <v>10</v>
      </c>
      <c r="U1455">
        <v>24</v>
      </c>
      <c r="V1455">
        <v>4</v>
      </c>
      <c r="W1455">
        <v>0</v>
      </c>
      <c r="X1455">
        <v>186</v>
      </c>
      <c r="Y1455">
        <v>9</v>
      </c>
      <c r="Z1455">
        <v>3</v>
      </c>
      <c r="AA1455">
        <v>2</v>
      </c>
      <c r="AB1455">
        <v>13</v>
      </c>
      <c r="AC1455">
        <v>148</v>
      </c>
      <c r="AD1455">
        <v>1</v>
      </c>
      <c r="AE1455">
        <v>0</v>
      </c>
      <c r="AF1455">
        <v>0</v>
      </c>
      <c r="AG1455">
        <v>0</v>
      </c>
      <c r="AI1455">
        <v>0</v>
      </c>
      <c r="AJ1455">
        <v>14</v>
      </c>
      <c r="AK1455">
        <v>433</v>
      </c>
      <c r="AL1455">
        <v>433</v>
      </c>
      <c r="AM1455">
        <v>680</v>
      </c>
      <c r="AN1455">
        <v>50</v>
      </c>
      <c r="AP1455">
        <v>1</v>
      </c>
      <c r="AR1455" t="s">
        <v>1543</v>
      </c>
      <c r="AS1455" s="1">
        <v>44354.083333333336</v>
      </c>
      <c r="AT1455" s="1">
        <v>44354.090497685182</v>
      </c>
      <c r="AU1455" s="1">
        <v>44354.091296296298</v>
      </c>
      <c r="AV1455" t="s">
        <v>71</v>
      </c>
      <c r="AW1455" t="s">
        <v>72</v>
      </c>
      <c r="AX1455" t="s">
        <v>73</v>
      </c>
    </row>
    <row r="1456" spans="1:50" x14ac:dyDescent="0.3">
      <c r="A1456" t="str">
        <f>"200643C0100"</f>
        <v>200643C0100</v>
      </c>
      <c r="B1456" t="str">
        <f>"200643C01002"</f>
        <v>200643C01002</v>
      </c>
      <c r="C1456" t="str">
        <f t="shared" si="71"/>
        <v>20</v>
      </c>
      <c r="D1456" t="s">
        <v>67</v>
      </c>
      <c r="E1456" t="str">
        <f t="shared" si="73"/>
        <v>007</v>
      </c>
      <c r="F1456" t="s">
        <v>1519</v>
      </c>
      <c r="G1456" t="str">
        <f>"0643"</f>
        <v>0643</v>
      </c>
      <c r="H1456" t="str">
        <f>"0001"</f>
        <v>0001</v>
      </c>
      <c r="I1456" t="s">
        <v>75</v>
      </c>
      <c r="J1456">
        <v>0</v>
      </c>
      <c r="K1456">
        <v>1</v>
      </c>
      <c r="L1456">
        <v>2</v>
      </c>
      <c r="M1456">
        <v>301</v>
      </c>
      <c r="N1456">
        <v>429</v>
      </c>
      <c r="O1456">
        <v>9</v>
      </c>
      <c r="P1456">
        <v>429</v>
      </c>
      <c r="Q1456">
        <v>1</v>
      </c>
      <c r="R1456">
        <v>11</v>
      </c>
      <c r="S1456">
        <v>3</v>
      </c>
      <c r="T1456">
        <v>21</v>
      </c>
      <c r="U1456">
        <v>23</v>
      </c>
      <c r="V1456">
        <v>3</v>
      </c>
      <c r="W1456">
        <v>3</v>
      </c>
      <c r="X1456">
        <v>161</v>
      </c>
      <c r="Y1456">
        <v>5</v>
      </c>
      <c r="Z1456">
        <v>5</v>
      </c>
      <c r="AA1456">
        <v>3</v>
      </c>
      <c r="AB1456">
        <v>12</v>
      </c>
      <c r="AC1456">
        <v>169</v>
      </c>
      <c r="AD1456">
        <v>0</v>
      </c>
      <c r="AE1456">
        <v>0</v>
      </c>
      <c r="AF1456">
        <v>0</v>
      </c>
      <c r="AG1456">
        <v>1</v>
      </c>
      <c r="AI1456">
        <v>0</v>
      </c>
      <c r="AJ1456">
        <v>8</v>
      </c>
      <c r="AK1456">
        <v>429</v>
      </c>
      <c r="AL1456">
        <v>429</v>
      </c>
      <c r="AM1456">
        <v>680</v>
      </c>
      <c r="AN1456">
        <v>50</v>
      </c>
      <c r="AP1456">
        <v>1</v>
      </c>
      <c r="AR1456" t="s">
        <v>1544</v>
      </c>
      <c r="AS1456" s="1">
        <v>44354.058333333334</v>
      </c>
      <c r="AT1456" s="1">
        <v>44354.065162037034</v>
      </c>
      <c r="AU1456" s="1">
        <v>44354.06590277778</v>
      </c>
      <c r="AV1456" t="s">
        <v>71</v>
      </c>
      <c r="AW1456" t="s">
        <v>72</v>
      </c>
      <c r="AX1456" t="s">
        <v>73</v>
      </c>
    </row>
    <row r="1457" spans="1:50" x14ac:dyDescent="0.3">
      <c r="A1457" t="str">
        <f>"200643C0200"</f>
        <v>200643C0200</v>
      </c>
      <c r="B1457" t="str">
        <f>"200643C02002"</f>
        <v>200643C02002</v>
      </c>
      <c r="C1457" t="str">
        <f t="shared" si="71"/>
        <v>20</v>
      </c>
      <c r="D1457" t="s">
        <v>67</v>
      </c>
      <c r="E1457" t="str">
        <f t="shared" si="73"/>
        <v>007</v>
      </c>
      <c r="F1457" t="s">
        <v>1519</v>
      </c>
      <c r="G1457" t="str">
        <f>"0643"</f>
        <v>0643</v>
      </c>
      <c r="H1457" t="str">
        <f>"0002"</f>
        <v>0002</v>
      </c>
      <c r="I1457" t="s">
        <v>75</v>
      </c>
      <c r="J1457">
        <v>0</v>
      </c>
      <c r="K1457">
        <v>1</v>
      </c>
      <c r="L1457">
        <v>2</v>
      </c>
      <c r="M1457">
        <v>323</v>
      </c>
      <c r="N1457">
        <v>407</v>
      </c>
      <c r="O1457">
        <v>7</v>
      </c>
      <c r="P1457">
        <v>407</v>
      </c>
      <c r="Q1457">
        <v>6</v>
      </c>
      <c r="R1457">
        <v>12</v>
      </c>
      <c r="S1457">
        <v>4</v>
      </c>
      <c r="T1457">
        <v>13</v>
      </c>
      <c r="U1457">
        <v>28</v>
      </c>
      <c r="V1457">
        <v>3</v>
      </c>
      <c r="W1457">
        <v>1</v>
      </c>
      <c r="X1457">
        <v>177</v>
      </c>
      <c r="Y1457">
        <v>5</v>
      </c>
      <c r="Z1457">
        <v>0</v>
      </c>
      <c r="AA1457">
        <v>2</v>
      </c>
      <c r="AB1457">
        <v>12</v>
      </c>
      <c r="AC1457">
        <v>134</v>
      </c>
      <c r="AD1457">
        <v>1</v>
      </c>
      <c r="AE1457">
        <v>0</v>
      </c>
      <c r="AF1457">
        <v>0</v>
      </c>
      <c r="AG1457">
        <v>0</v>
      </c>
      <c r="AI1457">
        <v>0</v>
      </c>
      <c r="AJ1457">
        <v>9</v>
      </c>
      <c r="AK1457">
        <v>407</v>
      </c>
      <c r="AL1457">
        <v>407</v>
      </c>
      <c r="AM1457">
        <v>680</v>
      </c>
      <c r="AN1457">
        <v>50</v>
      </c>
      <c r="AP1457">
        <v>1</v>
      </c>
      <c r="AR1457" t="s">
        <v>1545</v>
      </c>
      <c r="AS1457" s="1">
        <v>44354.027083333334</v>
      </c>
      <c r="AT1457" s="1">
        <v>44354.035081018519</v>
      </c>
      <c r="AU1457" s="1">
        <v>44354.03638888889</v>
      </c>
      <c r="AV1457" t="s">
        <v>71</v>
      </c>
      <c r="AW1457" t="s">
        <v>72</v>
      </c>
      <c r="AX1457" t="s">
        <v>73</v>
      </c>
    </row>
    <row r="1458" spans="1:50" x14ac:dyDescent="0.3">
      <c r="A1458" t="str">
        <f>"200643E0100"</f>
        <v>200643E0100</v>
      </c>
      <c r="B1458" t="str">
        <f>"200643E01002"</f>
        <v>200643E01002</v>
      </c>
      <c r="C1458" t="str">
        <f t="shared" si="71"/>
        <v>20</v>
      </c>
      <c r="D1458" t="s">
        <v>67</v>
      </c>
      <c r="E1458" t="str">
        <f t="shared" si="73"/>
        <v>007</v>
      </c>
      <c r="F1458" t="s">
        <v>1519</v>
      </c>
      <c r="G1458" t="str">
        <f>"0643"</f>
        <v>0643</v>
      </c>
      <c r="H1458" t="str">
        <f>"0001"</f>
        <v>0001</v>
      </c>
      <c r="I1458" t="s">
        <v>109</v>
      </c>
      <c r="J1458">
        <v>0</v>
      </c>
      <c r="K1458">
        <v>1</v>
      </c>
      <c r="L1458">
        <v>2</v>
      </c>
      <c r="M1458">
        <v>157</v>
      </c>
      <c r="N1458">
        <v>127</v>
      </c>
      <c r="O1458">
        <v>0</v>
      </c>
      <c r="P1458">
        <v>127</v>
      </c>
      <c r="Q1458">
        <v>0</v>
      </c>
      <c r="R1458">
        <v>4</v>
      </c>
      <c r="S1458">
        <v>0</v>
      </c>
      <c r="T1458">
        <v>1</v>
      </c>
      <c r="U1458">
        <v>4</v>
      </c>
      <c r="V1458">
        <v>0</v>
      </c>
      <c r="W1458">
        <v>1</v>
      </c>
      <c r="X1458">
        <v>1</v>
      </c>
      <c r="Y1458">
        <v>0</v>
      </c>
      <c r="Z1458">
        <v>1</v>
      </c>
      <c r="AA1458">
        <v>1</v>
      </c>
      <c r="AB1458">
        <v>2</v>
      </c>
      <c r="AC1458">
        <v>109</v>
      </c>
      <c r="AD1458">
        <v>0</v>
      </c>
      <c r="AE1458">
        <v>0</v>
      </c>
      <c r="AF1458">
        <v>0</v>
      </c>
      <c r="AG1458">
        <v>0</v>
      </c>
      <c r="AI1458">
        <v>0</v>
      </c>
      <c r="AJ1458">
        <v>3</v>
      </c>
      <c r="AK1458">
        <v>127</v>
      </c>
      <c r="AL1458">
        <v>127</v>
      </c>
      <c r="AM1458">
        <v>234</v>
      </c>
      <c r="AN1458">
        <v>50</v>
      </c>
      <c r="AP1458">
        <v>1</v>
      </c>
      <c r="AR1458" t="s">
        <v>1546</v>
      </c>
      <c r="AS1458" s="1">
        <v>44354.181944444441</v>
      </c>
      <c r="AT1458" s="1">
        <v>44354.186805555553</v>
      </c>
      <c r="AU1458" s="1">
        <v>44354.187372685185</v>
      </c>
      <c r="AV1458" t="s">
        <v>71</v>
      </c>
      <c r="AW1458" t="s">
        <v>72</v>
      </c>
      <c r="AX1458" t="s">
        <v>73</v>
      </c>
    </row>
    <row r="1459" spans="1:50" x14ac:dyDescent="0.3">
      <c r="A1459" t="str">
        <f>"200644B0000"</f>
        <v>200644B0000</v>
      </c>
      <c r="B1459" t="str">
        <f>"200644B00002"</f>
        <v>200644B00002</v>
      </c>
      <c r="C1459" t="str">
        <f t="shared" si="71"/>
        <v>20</v>
      </c>
      <c r="D1459" t="s">
        <v>67</v>
      </c>
      <c r="E1459" t="str">
        <f t="shared" si="73"/>
        <v>007</v>
      </c>
      <c r="F1459" t="s">
        <v>1519</v>
      </c>
      <c r="G1459" t="str">
        <f>"0644"</f>
        <v>0644</v>
      </c>
      <c r="H1459" t="str">
        <f>"0000"</f>
        <v>0000</v>
      </c>
      <c r="I1459" t="s">
        <v>69</v>
      </c>
      <c r="J1459">
        <v>0</v>
      </c>
      <c r="K1459">
        <v>1</v>
      </c>
      <c r="L1459">
        <v>2</v>
      </c>
      <c r="M1459">
        <v>290</v>
      </c>
      <c r="N1459">
        <v>366</v>
      </c>
      <c r="O1459">
        <v>5</v>
      </c>
      <c r="P1459">
        <v>366</v>
      </c>
      <c r="Q1459">
        <v>1</v>
      </c>
      <c r="R1459">
        <v>5</v>
      </c>
      <c r="S1459">
        <v>2</v>
      </c>
      <c r="T1459">
        <v>17</v>
      </c>
      <c r="U1459">
        <v>17</v>
      </c>
      <c r="V1459">
        <v>2</v>
      </c>
      <c r="W1459">
        <v>3</v>
      </c>
      <c r="X1459">
        <v>159</v>
      </c>
      <c r="Y1459">
        <v>6</v>
      </c>
      <c r="Z1459">
        <v>5</v>
      </c>
      <c r="AA1459">
        <v>1</v>
      </c>
      <c r="AB1459">
        <v>7</v>
      </c>
      <c r="AC1459">
        <v>128</v>
      </c>
      <c r="AD1459">
        <v>0</v>
      </c>
      <c r="AE1459">
        <v>0</v>
      </c>
      <c r="AF1459">
        <v>0</v>
      </c>
      <c r="AG1459">
        <v>0</v>
      </c>
      <c r="AI1459">
        <v>0</v>
      </c>
      <c r="AJ1459">
        <v>13</v>
      </c>
      <c r="AK1459">
        <v>366</v>
      </c>
      <c r="AL1459">
        <v>366</v>
      </c>
      <c r="AM1459">
        <v>606</v>
      </c>
      <c r="AN1459">
        <v>50</v>
      </c>
      <c r="AP1459">
        <v>1</v>
      </c>
      <c r="AR1459" t="s">
        <v>1547</v>
      </c>
      <c r="AS1459" s="1">
        <v>44354.095138888886</v>
      </c>
      <c r="AT1459" s="1">
        <v>44354.099166666667</v>
      </c>
      <c r="AU1459" s="1">
        <v>44354.099861111114</v>
      </c>
      <c r="AV1459" t="s">
        <v>71</v>
      </c>
      <c r="AW1459" t="s">
        <v>72</v>
      </c>
      <c r="AX1459" t="s">
        <v>73</v>
      </c>
    </row>
    <row r="1460" spans="1:50" x14ac:dyDescent="0.3">
      <c r="A1460" t="str">
        <f>"200644C0100"</f>
        <v>200644C0100</v>
      </c>
      <c r="B1460" t="str">
        <f>"200644C01002"</f>
        <v>200644C01002</v>
      </c>
      <c r="C1460" t="str">
        <f t="shared" si="71"/>
        <v>20</v>
      </c>
      <c r="D1460" t="s">
        <v>67</v>
      </c>
      <c r="E1460" t="str">
        <f t="shared" si="73"/>
        <v>007</v>
      </c>
      <c r="F1460" t="s">
        <v>1519</v>
      </c>
      <c r="G1460" t="str">
        <f>"0644"</f>
        <v>0644</v>
      </c>
      <c r="H1460" t="str">
        <f>"0001"</f>
        <v>0001</v>
      </c>
      <c r="I1460" t="s">
        <v>75</v>
      </c>
      <c r="J1460">
        <v>0</v>
      </c>
      <c r="K1460">
        <v>1</v>
      </c>
      <c r="L1460">
        <v>2</v>
      </c>
      <c r="M1460">
        <v>337</v>
      </c>
      <c r="N1460">
        <v>318</v>
      </c>
      <c r="O1460">
        <v>9</v>
      </c>
      <c r="P1460">
        <v>318</v>
      </c>
      <c r="Q1460">
        <v>0</v>
      </c>
      <c r="R1460">
        <v>14</v>
      </c>
      <c r="S1460">
        <v>5</v>
      </c>
      <c r="T1460">
        <v>14</v>
      </c>
      <c r="U1460">
        <v>12</v>
      </c>
      <c r="V1460">
        <v>5</v>
      </c>
      <c r="W1460">
        <v>0</v>
      </c>
      <c r="X1460">
        <v>143</v>
      </c>
      <c r="Y1460">
        <v>1</v>
      </c>
      <c r="Z1460">
        <v>2</v>
      </c>
      <c r="AA1460">
        <v>0</v>
      </c>
      <c r="AB1460">
        <v>15</v>
      </c>
      <c r="AC1460">
        <v>98</v>
      </c>
      <c r="AD1460">
        <v>0</v>
      </c>
      <c r="AE1460">
        <v>0</v>
      </c>
      <c r="AF1460">
        <v>0</v>
      </c>
      <c r="AG1460">
        <v>0</v>
      </c>
      <c r="AI1460">
        <v>0</v>
      </c>
      <c r="AJ1460">
        <v>9</v>
      </c>
      <c r="AK1460">
        <v>318</v>
      </c>
      <c r="AL1460">
        <v>318</v>
      </c>
      <c r="AM1460">
        <v>605</v>
      </c>
      <c r="AN1460">
        <v>50</v>
      </c>
      <c r="AP1460">
        <v>1</v>
      </c>
      <c r="AR1460" t="s">
        <v>1548</v>
      </c>
      <c r="AS1460" s="1">
        <v>44354.102777777778</v>
      </c>
      <c r="AT1460" s="1">
        <v>44354.105104166665</v>
      </c>
      <c r="AU1460" s="1">
        <v>44354.105509259258</v>
      </c>
      <c r="AV1460" t="s">
        <v>71</v>
      </c>
      <c r="AW1460" t="s">
        <v>72</v>
      </c>
      <c r="AX1460" t="s">
        <v>73</v>
      </c>
    </row>
    <row r="1461" spans="1:50" x14ac:dyDescent="0.3">
      <c r="A1461" t="str">
        <f>"200644C0200"</f>
        <v>200644C0200</v>
      </c>
      <c r="B1461" t="str">
        <f>"200644C02002"</f>
        <v>200644C02002</v>
      </c>
      <c r="C1461" t="str">
        <f t="shared" si="71"/>
        <v>20</v>
      </c>
      <c r="D1461" t="s">
        <v>67</v>
      </c>
      <c r="E1461" t="str">
        <f t="shared" si="73"/>
        <v>007</v>
      </c>
      <c r="F1461" t="s">
        <v>1519</v>
      </c>
      <c r="G1461" t="str">
        <f>"0644"</f>
        <v>0644</v>
      </c>
      <c r="H1461" t="str">
        <f>"0002"</f>
        <v>0002</v>
      </c>
      <c r="I1461" t="s">
        <v>75</v>
      </c>
      <c r="J1461">
        <v>0</v>
      </c>
      <c r="K1461">
        <v>1</v>
      </c>
      <c r="L1461">
        <v>2</v>
      </c>
      <c r="M1461">
        <v>323</v>
      </c>
      <c r="N1461">
        <v>332</v>
      </c>
      <c r="O1461">
        <v>9</v>
      </c>
      <c r="P1461">
        <v>332</v>
      </c>
      <c r="Q1461">
        <v>1</v>
      </c>
      <c r="R1461">
        <v>11</v>
      </c>
      <c r="S1461">
        <v>5</v>
      </c>
      <c r="T1461">
        <v>10</v>
      </c>
      <c r="U1461">
        <v>30</v>
      </c>
      <c r="V1461">
        <v>2</v>
      </c>
      <c r="W1461">
        <v>4</v>
      </c>
      <c r="X1461">
        <v>129</v>
      </c>
      <c r="Y1461">
        <v>3</v>
      </c>
      <c r="Z1461">
        <v>4</v>
      </c>
      <c r="AA1461">
        <v>2</v>
      </c>
      <c r="AB1461">
        <v>10</v>
      </c>
      <c r="AC1461">
        <v>110</v>
      </c>
      <c r="AD1461">
        <v>0</v>
      </c>
      <c r="AE1461">
        <v>0</v>
      </c>
      <c r="AF1461">
        <v>0</v>
      </c>
      <c r="AG1461">
        <v>0</v>
      </c>
      <c r="AI1461">
        <v>0</v>
      </c>
      <c r="AJ1461">
        <v>11</v>
      </c>
      <c r="AK1461">
        <v>332</v>
      </c>
      <c r="AL1461">
        <v>332</v>
      </c>
      <c r="AM1461">
        <v>605</v>
      </c>
      <c r="AN1461">
        <v>50</v>
      </c>
      <c r="AP1461">
        <v>1</v>
      </c>
      <c r="AR1461" t="s">
        <v>1549</v>
      </c>
      <c r="AS1461" s="1">
        <v>44354.0625</v>
      </c>
      <c r="AT1461" s="1">
        <v>44354.069189814814</v>
      </c>
      <c r="AU1461" s="1">
        <v>44354.069664351853</v>
      </c>
      <c r="AV1461" t="s">
        <v>71</v>
      </c>
      <c r="AW1461" t="s">
        <v>72</v>
      </c>
      <c r="AX1461" t="s">
        <v>73</v>
      </c>
    </row>
    <row r="1462" spans="1:50" x14ac:dyDescent="0.3">
      <c r="A1462" t="str">
        <f>"200645B0000"</f>
        <v>200645B0000</v>
      </c>
      <c r="B1462" t="str">
        <f>"200645B00002"</f>
        <v>200645B00002</v>
      </c>
      <c r="C1462" t="str">
        <f t="shared" si="71"/>
        <v>20</v>
      </c>
      <c r="D1462" t="s">
        <v>67</v>
      </c>
      <c r="E1462" t="str">
        <f t="shared" si="73"/>
        <v>007</v>
      </c>
      <c r="F1462" t="s">
        <v>1519</v>
      </c>
      <c r="G1462" t="str">
        <f>"0645"</f>
        <v>0645</v>
      </c>
      <c r="H1462" t="str">
        <f>"0000"</f>
        <v>0000</v>
      </c>
      <c r="I1462" t="s">
        <v>69</v>
      </c>
      <c r="J1462">
        <v>0</v>
      </c>
      <c r="K1462">
        <v>1</v>
      </c>
      <c r="L1462">
        <v>2</v>
      </c>
      <c r="M1462">
        <v>317</v>
      </c>
      <c r="N1462">
        <v>389</v>
      </c>
      <c r="O1462">
        <v>0</v>
      </c>
      <c r="P1462">
        <v>389</v>
      </c>
      <c r="Q1462">
        <v>6</v>
      </c>
      <c r="R1462">
        <v>16</v>
      </c>
      <c r="S1462">
        <v>3</v>
      </c>
      <c r="T1462">
        <v>15</v>
      </c>
      <c r="U1462">
        <v>13</v>
      </c>
      <c r="V1462">
        <v>3</v>
      </c>
      <c r="W1462">
        <v>4</v>
      </c>
      <c r="X1462">
        <v>143</v>
      </c>
      <c r="Y1462">
        <v>3</v>
      </c>
      <c r="Z1462">
        <v>1</v>
      </c>
      <c r="AA1462">
        <v>0</v>
      </c>
      <c r="AB1462">
        <v>16</v>
      </c>
      <c r="AC1462">
        <v>161</v>
      </c>
      <c r="AD1462">
        <v>0</v>
      </c>
      <c r="AE1462">
        <v>0</v>
      </c>
      <c r="AF1462">
        <v>0</v>
      </c>
      <c r="AG1462">
        <v>0</v>
      </c>
      <c r="AI1462">
        <v>0</v>
      </c>
      <c r="AJ1462">
        <v>5</v>
      </c>
      <c r="AK1462">
        <v>389</v>
      </c>
      <c r="AL1462">
        <v>389</v>
      </c>
      <c r="AM1462">
        <v>656</v>
      </c>
      <c r="AN1462">
        <v>50</v>
      </c>
      <c r="AP1462">
        <v>1</v>
      </c>
      <c r="AR1462" t="s">
        <v>1550</v>
      </c>
      <c r="AS1462" s="1">
        <v>44354.146527777775</v>
      </c>
      <c r="AT1462" s="1">
        <v>44354.149085648147</v>
      </c>
      <c r="AU1462" s="1">
        <v>44354.14980324074</v>
      </c>
      <c r="AV1462" t="s">
        <v>71</v>
      </c>
      <c r="AW1462" t="s">
        <v>72</v>
      </c>
      <c r="AX1462" t="s">
        <v>73</v>
      </c>
    </row>
    <row r="1463" spans="1:50" x14ac:dyDescent="0.3">
      <c r="A1463" t="str">
        <f>"200645C0100"</f>
        <v>200645C0100</v>
      </c>
      <c r="B1463" t="str">
        <f>"200645C01002"</f>
        <v>200645C01002</v>
      </c>
      <c r="C1463" t="str">
        <f t="shared" si="71"/>
        <v>20</v>
      </c>
      <c r="D1463" t="s">
        <v>67</v>
      </c>
      <c r="E1463" t="str">
        <f t="shared" si="73"/>
        <v>007</v>
      </c>
      <c r="F1463" t="s">
        <v>1519</v>
      </c>
      <c r="G1463" t="str">
        <f>"0645"</f>
        <v>0645</v>
      </c>
      <c r="H1463" t="str">
        <f>"0001"</f>
        <v>0001</v>
      </c>
      <c r="I1463" t="s">
        <v>75</v>
      </c>
      <c r="J1463">
        <v>0</v>
      </c>
      <c r="K1463">
        <v>1</v>
      </c>
      <c r="L1463">
        <v>2</v>
      </c>
      <c r="M1463">
        <v>299</v>
      </c>
      <c r="N1463">
        <v>407</v>
      </c>
      <c r="O1463">
        <v>4</v>
      </c>
      <c r="P1463">
        <v>405</v>
      </c>
      <c r="Q1463">
        <v>2</v>
      </c>
      <c r="R1463">
        <v>11</v>
      </c>
      <c r="S1463">
        <v>6</v>
      </c>
      <c r="T1463">
        <v>21</v>
      </c>
      <c r="U1463">
        <v>16</v>
      </c>
      <c r="V1463">
        <v>2</v>
      </c>
      <c r="W1463">
        <v>1</v>
      </c>
      <c r="X1463">
        <v>172</v>
      </c>
      <c r="Y1463">
        <v>5</v>
      </c>
      <c r="Z1463">
        <v>2</v>
      </c>
      <c r="AA1463">
        <v>3</v>
      </c>
      <c r="AB1463">
        <v>10</v>
      </c>
      <c r="AC1463">
        <v>134</v>
      </c>
      <c r="AD1463">
        <v>0</v>
      </c>
      <c r="AE1463">
        <v>0</v>
      </c>
      <c r="AF1463">
        <v>0</v>
      </c>
      <c r="AG1463">
        <v>0</v>
      </c>
      <c r="AI1463">
        <v>0</v>
      </c>
      <c r="AJ1463">
        <v>20</v>
      </c>
      <c r="AK1463">
        <v>405</v>
      </c>
      <c r="AL1463">
        <v>405</v>
      </c>
      <c r="AM1463">
        <v>656</v>
      </c>
      <c r="AN1463">
        <v>50</v>
      </c>
      <c r="AP1463">
        <v>1</v>
      </c>
      <c r="AR1463" t="s">
        <v>1551</v>
      </c>
      <c r="AS1463" s="1">
        <v>44354.147916666669</v>
      </c>
      <c r="AT1463" s="1">
        <v>44354.15011574074</v>
      </c>
      <c r="AU1463" s="1">
        <v>44354.150555555556</v>
      </c>
      <c r="AV1463" t="s">
        <v>71</v>
      </c>
      <c r="AW1463" t="s">
        <v>72</v>
      </c>
      <c r="AX1463" t="s">
        <v>73</v>
      </c>
    </row>
    <row r="1464" spans="1:50" x14ac:dyDescent="0.3">
      <c r="A1464" t="str">
        <f>"200645C0200"</f>
        <v>200645C0200</v>
      </c>
      <c r="B1464" t="str">
        <f>"200645C02002"</f>
        <v>200645C02002</v>
      </c>
      <c r="C1464" t="str">
        <f t="shared" si="71"/>
        <v>20</v>
      </c>
      <c r="D1464" t="s">
        <v>67</v>
      </c>
      <c r="E1464" t="str">
        <f t="shared" si="73"/>
        <v>007</v>
      </c>
      <c r="F1464" t="s">
        <v>1519</v>
      </c>
      <c r="G1464" t="str">
        <f>"0645"</f>
        <v>0645</v>
      </c>
      <c r="H1464" t="str">
        <f>"0002"</f>
        <v>0002</v>
      </c>
      <c r="I1464" t="s">
        <v>75</v>
      </c>
      <c r="J1464">
        <v>0</v>
      </c>
      <c r="K1464">
        <v>1</v>
      </c>
      <c r="L1464">
        <v>2</v>
      </c>
      <c r="M1464">
        <v>333</v>
      </c>
      <c r="N1464">
        <v>373</v>
      </c>
      <c r="O1464">
        <v>0</v>
      </c>
      <c r="P1464">
        <v>372</v>
      </c>
      <c r="Q1464">
        <v>1</v>
      </c>
      <c r="R1464">
        <v>10</v>
      </c>
      <c r="S1464">
        <v>10</v>
      </c>
      <c r="T1464">
        <v>14</v>
      </c>
      <c r="U1464">
        <v>13</v>
      </c>
      <c r="V1464">
        <v>1</v>
      </c>
      <c r="W1464">
        <v>1</v>
      </c>
      <c r="X1464">
        <v>148</v>
      </c>
      <c r="Y1464">
        <v>8</v>
      </c>
      <c r="Z1464">
        <v>2</v>
      </c>
      <c r="AA1464">
        <v>3</v>
      </c>
      <c r="AB1464">
        <v>19</v>
      </c>
      <c r="AC1464">
        <v>126</v>
      </c>
      <c r="AD1464">
        <v>0</v>
      </c>
      <c r="AE1464">
        <v>0</v>
      </c>
      <c r="AF1464">
        <v>0</v>
      </c>
      <c r="AG1464">
        <v>0</v>
      </c>
      <c r="AI1464">
        <v>1</v>
      </c>
      <c r="AJ1464">
        <v>15</v>
      </c>
      <c r="AK1464">
        <v>372</v>
      </c>
      <c r="AL1464">
        <v>372</v>
      </c>
      <c r="AM1464">
        <v>656</v>
      </c>
      <c r="AN1464">
        <v>50</v>
      </c>
      <c r="AP1464">
        <v>1</v>
      </c>
      <c r="AR1464" s="2" t="s">
        <v>1552</v>
      </c>
      <c r="AS1464" s="1">
        <v>44354.145138888889</v>
      </c>
      <c r="AT1464" s="1">
        <v>44354.147905092592</v>
      </c>
      <c r="AU1464" s="1">
        <v>44354.148877314816</v>
      </c>
      <c r="AV1464" t="s">
        <v>71</v>
      </c>
      <c r="AW1464" t="s">
        <v>72</v>
      </c>
      <c r="AX1464" t="s">
        <v>73</v>
      </c>
    </row>
    <row r="1465" spans="1:50" x14ac:dyDescent="0.3">
      <c r="A1465" t="str">
        <f>"200645E0100"</f>
        <v>200645E0100</v>
      </c>
      <c r="B1465" t="str">
        <f>"200645E01002"</f>
        <v>200645E01002</v>
      </c>
      <c r="C1465" t="str">
        <f t="shared" si="71"/>
        <v>20</v>
      </c>
      <c r="D1465" t="s">
        <v>67</v>
      </c>
      <c r="E1465" t="str">
        <f t="shared" si="73"/>
        <v>007</v>
      </c>
      <c r="F1465" t="s">
        <v>1519</v>
      </c>
      <c r="G1465" t="str">
        <f>"0645"</f>
        <v>0645</v>
      </c>
      <c r="H1465" t="str">
        <f>"0001"</f>
        <v>0001</v>
      </c>
      <c r="I1465" t="s">
        <v>109</v>
      </c>
      <c r="J1465">
        <v>0</v>
      </c>
      <c r="K1465">
        <v>1</v>
      </c>
      <c r="L1465">
        <v>2</v>
      </c>
      <c r="M1465">
        <v>412</v>
      </c>
      <c r="N1465">
        <v>287</v>
      </c>
      <c r="O1465">
        <v>0</v>
      </c>
      <c r="P1465">
        <v>287</v>
      </c>
      <c r="Q1465">
        <v>1</v>
      </c>
      <c r="R1465">
        <v>10</v>
      </c>
      <c r="S1465">
        <v>8</v>
      </c>
      <c r="T1465">
        <v>14</v>
      </c>
      <c r="U1465">
        <v>28</v>
      </c>
      <c r="V1465">
        <v>5</v>
      </c>
      <c r="W1465">
        <v>10</v>
      </c>
      <c r="X1465">
        <v>92</v>
      </c>
      <c r="Y1465">
        <v>12</v>
      </c>
      <c r="Z1465">
        <v>6</v>
      </c>
      <c r="AA1465">
        <v>2</v>
      </c>
      <c r="AB1465">
        <v>4</v>
      </c>
      <c r="AC1465">
        <v>87</v>
      </c>
      <c r="AD1465">
        <v>1</v>
      </c>
      <c r="AE1465">
        <v>0</v>
      </c>
      <c r="AF1465">
        <v>0</v>
      </c>
      <c r="AG1465">
        <v>0</v>
      </c>
      <c r="AI1465">
        <v>0</v>
      </c>
      <c r="AJ1465">
        <v>7</v>
      </c>
      <c r="AK1465">
        <v>287</v>
      </c>
      <c r="AL1465">
        <v>287</v>
      </c>
      <c r="AM1465">
        <v>649</v>
      </c>
      <c r="AN1465">
        <v>50</v>
      </c>
      <c r="AP1465">
        <v>1</v>
      </c>
      <c r="AR1465" t="s">
        <v>1553</v>
      </c>
      <c r="AS1465" s="1">
        <v>44354.043749999997</v>
      </c>
      <c r="AT1465" s="1">
        <v>44354.052152777775</v>
      </c>
      <c r="AU1465" s="1">
        <v>44354.052939814814</v>
      </c>
      <c r="AV1465" t="s">
        <v>71</v>
      </c>
      <c r="AW1465" t="s">
        <v>72</v>
      </c>
      <c r="AX1465" t="s">
        <v>73</v>
      </c>
    </row>
    <row r="1466" spans="1:50" x14ac:dyDescent="0.3">
      <c r="A1466" t="str">
        <f>"200646B0000"</f>
        <v>200646B0000</v>
      </c>
      <c r="B1466" t="str">
        <f>"200646B00002"</f>
        <v>200646B00002</v>
      </c>
      <c r="C1466" t="str">
        <f t="shared" si="71"/>
        <v>20</v>
      </c>
      <c r="D1466" t="s">
        <v>67</v>
      </c>
      <c r="E1466" t="str">
        <f t="shared" si="73"/>
        <v>007</v>
      </c>
      <c r="F1466" t="s">
        <v>1519</v>
      </c>
      <c r="G1466" t="str">
        <f>"0646"</f>
        <v>0646</v>
      </c>
      <c r="H1466" t="str">
        <f>"0000"</f>
        <v>0000</v>
      </c>
      <c r="I1466" t="s">
        <v>69</v>
      </c>
      <c r="J1466">
        <v>0</v>
      </c>
      <c r="K1466">
        <v>1</v>
      </c>
      <c r="L1466">
        <v>2</v>
      </c>
      <c r="M1466">
        <v>327</v>
      </c>
      <c r="N1466">
        <v>386</v>
      </c>
      <c r="O1466">
        <v>2</v>
      </c>
      <c r="P1466">
        <v>384</v>
      </c>
      <c r="Q1466">
        <v>3</v>
      </c>
      <c r="R1466">
        <v>16</v>
      </c>
      <c r="S1466">
        <v>10</v>
      </c>
      <c r="T1466">
        <v>27</v>
      </c>
      <c r="U1466">
        <v>16</v>
      </c>
      <c r="V1466">
        <v>1</v>
      </c>
      <c r="W1466">
        <v>1</v>
      </c>
      <c r="X1466">
        <v>137</v>
      </c>
      <c r="Y1466">
        <v>10</v>
      </c>
      <c r="Z1466">
        <v>6</v>
      </c>
      <c r="AA1466">
        <v>4</v>
      </c>
      <c r="AB1466">
        <v>10</v>
      </c>
      <c r="AC1466">
        <v>129</v>
      </c>
      <c r="AD1466">
        <v>1</v>
      </c>
      <c r="AE1466">
        <v>0</v>
      </c>
      <c r="AF1466">
        <v>0</v>
      </c>
      <c r="AG1466">
        <v>0</v>
      </c>
      <c r="AI1466">
        <v>0</v>
      </c>
      <c r="AJ1466">
        <v>14</v>
      </c>
      <c r="AK1466">
        <v>384</v>
      </c>
      <c r="AL1466">
        <v>385</v>
      </c>
      <c r="AM1466">
        <v>663</v>
      </c>
      <c r="AN1466">
        <v>50</v>
      </c>
      <c r="AP1466">
        <v>1</v>
      </c>
      <c r="AR1466" t="s">
        <v>1554</v>
      </c>
      <c r="AS1466" s="1">
        <v>44354.145833333336</v>
      </c>
      <c r="AT1466" s="1">
        <v>44354.149421296293</v>
      </c>
      <c r="AU1466" s="1">
        <v>44354.149942129632</v>
      </c>
      <c r="AV1466" t="s">
        <v>71</v>
      </c>
      <c r="AW1466" t="s">
        <v>72</v>
      </c>
      <c r="AX1466" t="s">
        <v>73</v>
      </c>
    </row>
    <row r="1467" spans="1:50" x14ac:dyDescent="0.3">
      <c r="A1467" t="str">
        <f>"200646C0100"</f>
        <v>200646C0100</v>
      </c>
      <c r="B1467" t="str">
        <f>"200646C01002"</f>
        <v>200646C01002</v>
      </c>
      <c r="C1467" t="str">
        <f t="shared" si="71"/>
        <v>20</v>
      </c>
      <c r="D1467" t="s">
        <v>67</v>
      </c>
      <c r="E1467" t="str">
        <f t="shared" si="73"/>
        <v>007</v>
      </c>
      <c r="F1467" t="s">
        <v>1519</v>
      </c>
      <c r="G1467" t="str">
        <f>"0646"</f>
        <v>0646</v>
      </c>
      <c r="H1467" t="str">
        <f>"0001"</f>
        <v>0001</v>
      </c>
      <c r="I1467" t="s">
        <v>75</v>
      </c>
      <c r="J1467">
        <v>0</v>
      </c>
      <c r="K1467">
        <v>1</v>
      </c>
      <c r="L1467">
        <v>2</v>
      </c>
      <c r="M1467">
        <v>333</v>
      </c>
      <c r="N1467">
        <v>379</v>
      </c>
      <c r="O1467">
        <v>6</v>
      </c>
      <c r="P1467">
        <v>379</v>
      </c>
      <c r="Q1467">
        <v>0</v>
      </c>
      <c r="R1467">
        <v>9</v>
      </c>
      <c r="S1467">
        <v>6</v>
      </c>
      <c r="T1467">
        <v>22</v>
      </c>
      <c r="U1467">
        <v>15</v>
      </c>
      <c r="V1467">
        <v>6</v>
      </c>
      <c r="W1467">
        <v>1</v>
      </c>
      <c r="X1467">
        <v>144</v>
      </c>
      <c r="Y1467">
        <v>4</v>
      </c>
      <c r="Z1467">
        <v>6</v>
      </c>
      <c r="AA1467">
        <v>1</v>
      </c>
      <c r="AB1467">
        <v>10</v>
      </c>
      <c r="AC1467">
        <v>142</v>
      </c>
      <c r="AD1467">
        <v>2</v>
      </c>
      <c r="AE1467">
        <v>0</v>
      </c>
      <c r="AF1467">
        <v>0</v>
      </c>
      <c r="AG1467">
        <v>0</v>
      </c>
      <c r="AI1467">
        <v>0</v>
      </c>
      <c r="AJ1467">
        <v>11</v>
      </c>
      <c r="AK1467">
        <v>379</v>
      </c>
      <c r="AL1467">
        <v>379</v>
      </c>
      <c r="AM1467">
        <v>662</v>
      </c>
      <c r="AN1467">
        <v>50</v>
      </c>
      <c r="AP1467">
        <v>1</v>
      </c>
      <c r="AR1467" t="s">
        <v>1555</v>
      </c>
      <c r="AS1467" s="1">
        <v>44354.148611111108</v>
      </c>
      <c r="AT1467" s="1">
        <v>44354.151701388888</v>
      </c>
      <c r="AU1467" s="1">
        <v>44354.153240740743</v>
      </c>
      <c r="AV1467" t="s">
        <v>71</v>
      </c>
      <c r="AW1467" t="s">
        <v>72</v>
      </c>
      <c r="AX1467" t="s">
        <v>73</v>
      </c>
    </row>
    <row r="1468" spans="1:50" x14ac:dyDescent="0.3">
      <c r="A1468" t="str">
        <f>"200646C0200"</f>
        <v>200646C0200</v>
      </c>
      <c r="B1468" t="str">
        <f>"200646C02002"</f>
        <v>200646C02002</v>
      </c>
      <c r="C1468" t="str">
        <f t="shared" si="71"/>
        <v>20</v>
      </c>
      <c r="D1468" t="s">
        <v>67</v>
      </c>
      <c r="E1468" t="str">
        <f t="shared" si="73"/>
        <v>007</v>
      </c>
      <c r="F1468" t="s">
        <v>1519</v>
      </c>
      <c r="G1468" t="str">
        <f>"0646"</f>
        <v>0646</v>
      </c>
      <c r="H1468" t="str">
        <f>"0002"</f>
        <v>0002</v>
      </c>
      <c r="I1468" t="s">
        <v>75</v>
      </c>
      <c r="J1468">
        <v>0</v>
      </c>
      <c r="K1468">
        <v>1</v>
      </c>
      <c r="L1468">
        <v>2</v>
      </c>
      <c r="M1468">
        <v>361</v>
      </c>
      <c r="N1468">
        <v>351</v>
      </c>
      <c r="O1468">
        <v>3</v>
      </c>
      <c r="P1468">
        <v>351</v>
      </c>
      <c r="Q1468">
        <v>5</v>
      </c>
      <c r="R1468">
        <v>10</v>
      </c>
      <c r="S1468">
        <v>9</v>
      </c>
      <c r="T1468">
        <v>14</v>
      </c>
      <c r="U1468">
        <v>10</v>
      </c>
      <c r="V1468">
        <v>2</v>
      </c>
      <c r="W1468">
        <v>1</v>
      </c>
      <c r="X1468">
        <v>127</v>
      </c>
      <c r="Y1468">
        <v>4</v>
      </c>
      <c r="Z1468">
        <v>5</v>
      </c>
      <c r="AA1468">
        <v>3</v>
      </c>
      <c r="AB1468">
        <v>12</v>
      </c>
      <c r="AC1468">
        <v>140</v>
      </c>
      <c r="AD1468" t="s">
        <v>77</v>
      </c>
      <c r="AE1468" t="s">
        <v>77</v>
      </c>
      <c r="AF1468" t="s">
        <v>77</v>
      </c>
      <c r="AG1468">
        <v>1</v>
      </c>
      <c r="AI1468" t="s">
        <v>77</v>
      </c>
      <c r="AJ1468">
        <v>8</v>
      </c>
      <c r="AK1468">
        <v>351</v>
      </c>
      <c r="AL1468">
        <v>351</v>
      </c>
      <c r="AM1468">
        <v>662</v>
      </c>
      <c r="AN1468">
        <v>50</v>
      </c>
      <c r="AO1468" t="s">
        <v>78</v>
      </c>
      <c r="AP1468">
        <v>1</v>
      </c>
      <c r="AR1468" t="s">
        <v>1556</v>
      </c>
      <c r="AS1468" s="1">
        <v>44354.137499999997</v>
      </c>
      <c r="AT1468" s="1">
        <v>44354.140034722222</v>
      </c>
      <c r="AU1468" s="1">
        <v>44354.140960648147</v>
      </c>
      <c r="AV1468" t="s">
        <v>71</v>
      </c>
      <c r="AW1468" t="s">
        <v>72</v>
      </c>
      <c r="AX1468" t="s">
        <v>73</v>
      </c>
    </row>
    <row r="1469" spans="1:50" x14ac:dyDescent="0.3">
      <c r="A1469" t="str">
        <f>"200646S0100"</f>
        <v>200646S0100</v>
      </c>
      <c r="B1469" t="str">
        <f>"200646S01002EMR"</f>
        <v>200646S01002EMR</v>
      </c>
      <c r="C1469" t="str">
        <f t="shared" si="71"/>
        <v>20</v>
      </c>
      <c r="D1469" t="s">
        <v>67</v>
      </c>
      <c r="E1469" t="str">
        <f t="shared" si="73"/>
        <v>007</v>
      </c>
      <c r="F1469" t="s">
        <v>1519</v>
      </c>
      <c r="G1469" t="str">
        <f>"0646"</f>
        <v>0646</v>
      </c>
      <c r="H1469" t="str">
        <f>"0001"</f>
        <v>0001</v>
      </c>
      <c r="I1469" t="s">
        <v>85</v>
      </c>
      <c r="J1469">
        <v>0</v>
      </c>
      <c r="K1469">
        <v>1</v>
      </c>
      <c r="L1469" t="s">
        <v>86</v>
      </c>
      <c r="M1469">
        <v>563</v>
      </c>
      <c r="N1469">
        <v>295</v>
      </c>
      <c r="O1469">
        <v>0</v>
      </c>
      <c r="P1469">
        <v>295</v>
      </c>
      <c r="Q1469">
        <v>1</v>
      </c>
      <c r="R1469">
        <v>10</v>
      </c>
      <c r="S1469">
        <v>6</v>
      </c>
      <c r="T1469">
        <v>4</v>
      </c>
      <c r="U1469">
        <v>8</v>
      </c>
      <c r="V1469">
        <v>3</v>
      </c>
      <c r="W1469">
        <v>1</v>
      </c>
      <c r="X1469">
        <v>109</v>
      </c>
      <c r="Y1469">
        <v>2</v>
      </c>
      <c r="Z1469">
        <v>2</v>
      </c>
      <c r="AA1469">
        <v>3</v>
      </c>
      <c r="AB1469">
        <v>7</v>
      </c>
      <c r="AC1469">
        <v>126</v>
      </c>
      <c r="AD1469">
        <v>1</v>
      </c>
      <c r="AE1469">
        <v>0</v>
      </c>
      <c r="AF1469">
        <v>0</v>
      </c>
      <c r="AG1469">
        <v>0</v>
      </c>
      <c r="AI1469">
        <v>0</v>
      </c>
      <c r="AJ1469">
        <v>12</v>
      </c>
      <c r="AK1469">
        <v>295</v>
      </c>
      <c r="AL1469">
        <v>295</v>
      </c>
      <c r="AM1469">
        <v>0</v>
      </c>
      <c r="AN1469">
        <v>50</v>
      </c>
      <c r="AP1469">
        <v>1</v>
      </c>
      <c r="AR1469" t="s">
        <v>1557</v>
      </c>
      <c r="AS1469" s="1">
        <v>44354.034722222219</v>
      </c>
      <c r="AT1469" s="1">
        <v>44354.043287037035</v>
      </c>
      <c r="AU1469" s="1">
        <v>44354.044317129628</v>
      </c>
      <c r="AV1469" t="s">
        <v>71</v>
      </c>
      <c r="AW1469" t="s">
        <v>72</v>
      </c>
      <c r="AX1469" t="s">
        <v>73</v>
      </c>
    </row>
    <row r="1470" spans="1:50" x14ac:dyDescent="0.3">
      <c r="A1470" t="str">
        <f>"200647B0000"</f>
        <v>200647B0000</v>
      </c>
      <c r="B1470" t="str">
        <f>"200647B00002"</f>
        <v>200647B00002</v>
      </c>
      <c r="C1470" t="str">
        <f t="shared" si="71"/>
        <v>20</v>
      </c>
      <c r="D1470" t="s">
        <v>67</v>
      </c>
      <c r="E1470" t="str">
        <f t="shared" si="73"/>
        <v>007</v>
      </c>
      <c r="F1470" t="s">
        <v>1519</v>
      </c>
      <c r="G1470" t="str">
        <f>"0647"</f>
        <v>0647</v>
      </c>
      <c r="H1470" t="str">
        <f>"0000"</f>
        <v>0000</v>
      </c>
      <c r="I1470" t="s">
        <v>69</v>
      </c>
      <c r="J1470">
        <v>0</v>
      </c>
      <c r="K1470">
        <v>1</v>
      </c>
      <c r="L1470">
        <v>2</v>
      </c>
      <c r="M1470">
        <v>258</v>
      </c>
      <c r="N1470">
        <v>337</v>
      </c>
      <c r="O1470">
        <v>3</v>
      </c>
      <c r="P1470">
        <v>337</v>
      </c>
      <c r="Q1470">
        <v>4</v>
      </c>
      <c r="R1470">
        <v>19</v>
      </c>
      <c r="S1470">
        <v>12</v>
      </c>
      <c r="T1470">
        <v>13</v>
      </c>
      <c r="U1470">
        <v>14</v>
      </c>
      <c r="V1470">
        <v>3</v>
      </c>
      <c r="W1470">
        <v>0</v>
      </c>
      <c r="X1470">
        <v>110</v>
      </c>
      <c r="Y1470">
        <v>2</v>
      </c>
      <c r="Z1470">
        <v>0</v>
      </c>
      <c r="AA1470">
        <v>2</v>
      </c>
      <c r="AB1470">
        <v>6</v>
      </c>
      <c r="AC1470">
        <v>144</v>
      </c>
      <c r="AD1470">
        <v>1</v>
      </c>
      <c r="AE1470">
        <v>0</v>
      </c>
      <c r="AF1470">
        <v>0</v>
      </c>
      <c r="AG1470">
        <v>0</v>
      </c>
      <c r="AI1470">
        <v>0</v>
      </c>
      <c r="AJ1470">
        <v>7</v>
      </c>
      <c r="AK1470">
        <v>337</v>
      </c>
      <c r="AL1470">
        <v>337</v>
      </c>
      <c r="AM1470">
        <v>545</v>
      </c>
      <c r="AN1470">
        <v>50</v>
      </c>
      <c r="AP1470">
        <v>1</v>
      </c>
      <c r="AR1470" t="s">
        <v>1558</v>
      </c>
      <c r="AS1470" s="1">
        <v>44354.112500000003</v>
      </c>
      <c r="AT1470" s="1">
        <v>44354.120671296296</v>
      </c>
      <c r="AU1470" s="1">
        <v>44354.121631944443</v>
      </c>
      <c r="AV1470" t="s">
        <v>71</v>
      </c>
      <c r="AW1470" t="s">
        <v>72</v>
      </c>
      <c r="AX1470" t="s">
        <v>73</v>
      </c>
    </row>
    <row r="1471" spans="1:50" x14ac:dyDescent="0.3">
      <c r="A1471" t="str">
        <f>"200647C0100"</f>
        <v>200647C0100</v>
      </c>
      <c r="B1471" t="str">
        <f>"200647C01002"</f>
        <v>200647C01002</v>
      </c>
      <c r="C1471" t="str">
        <f t="shared" si="71"/>
        <v>20</v>
      </c>
      <c r="D1471" t="s">
        <v>67</v>
      </c>
      <c r="E1471" t="str">
        <f t="shared" si="73"/>
        <v>007</v>
      </c>
      <c r="F1471" t="s">
        <v>1519</v>
      </c>
      <c r="G1471" t="str">
        <f>"0647"</f>
        <v>0647</v>
      </c>
      <c r="H1471" t="str">
        <f>"0001"</f>
        <v>0001</v>
      </c>
      <c r="I1471" t="s">
        <v>75</v>
      </c>
      <c r="J1471">
        <v>0</v>
      </c>
      <c r="K1471">
        <v>1</v>
      </c>
      <c r="L1471">
        <v>2</v>
      </c>
      <c r="M1471">
        <v>334</v>
      </c>
      <c r="N1471">
        <v>344</v>
      </c>
      <c r="O1471">
        <v>5</v>
      </c>
      <c r="P1471">
        <v>344</v>
      </c>
      <c r="Q1471">
        <v>2</v>
      </c>
      <c r="R1471">
        <v>18</v>
      </c>
      <c r="S1471">
        <v>8</v>
      </c>
      <c r="T1471">
        <v>15</v>
      </c>
      <c r="U1471">
        <v>9</v>
      </c>
      <c r="V1471">
        <v>0</v>
      </c>
      <c r="W1471">
        <v>4</v>
      </c>
      <c r="X1471">
        <v>146</v>
      </c>
      <c r="Y1471">
        <v>2</v>
      </c>
      <c r="Z1471">
        <v>1</v>
      </c>
      <c r="AA1471">
        <v>0</v>
      </c>
      <c r="AB1471">
        <v>4</v>
      </c>
      <c r="AC1471">
        <v>124</v>
      </c>
      <c r="AD1471">
        <v>2</v>
      </c>
      <c r="AE1471">
        <v>0</v>
      </c>
      <c r="AF1471">
        <v>0</v>
      </c>
      <c r="AG1471">
        <v>0</v>
      </c>
      <c r="AI1471">
        <v>0</v>
      </c>
      <c r="AJ1471">
        <v>8</v>
      </c>
      <c r="AK1471">
        <v>344</v>
      </c>
      <c r="AL1471">
        <v>343</v>
      </c>
      <c r="AM1471">
        <v>545</v>
      </c>
      <c r="AN1471">
        <v>50</v>
      </c>
      <c r="AP1471">
        <v>1</v>
      </c>
      <c r="AR1471" t="s">
        <v>1559</v>
      </c>
      <c r="AS1471" s="1">
        <v>44354.113194444442</v>
      </c>
      <c r="AT1471" s="1">
        <v>44354.118634259263</v>
      </c>
      <c r="AU1471" s="1">
        <v>44354.119687500002</v>
      </c>
      <c r="AV1471" t="s">
        <v>71</v>
      </c>
      <c r="AW1471" t="s">
        <v>72</v>
      </c>
      <c r="AX1471" t="s">
        <v>73</v>
      </c>
    </row>
    <row r="1472" spans="1:50" x14ac:dyDescent="0.3">
      <c r="A1472" t="str">
        <f>"200647C0200"</f>
        <v>200647C0200</v>
      </c>
      <c r="B1472" t="str">
        <f>"200647C02002"</f>
        <v>200647C02002</v>
      </c>
      <c r="C1472" t="str">
        <f t="shared" si="71"/>
        <v>20</v>
      </c>
      <c r="D1472" t="s">
        <v>67</v>
      </c>
      <c r="E1472" t="str">
        <f t="shared" si="73"/>
        <v>007</v>
      </c>
      <c r="F1472" t="s">
        <v>1519</v>
      </c>
      <c r="G1472" t="str">
        <f>"0647"</f>
        <v>0647</v>
      </c>
      <c r="H1472" t="str">
        <f>"0002"</f>
        <v>0002</v>
      </c>
      <c r="I1472" t="s">
        <v>75</v>
      </c>
      <c r="J1472">
        <v>0</v>
      </c>
      <c r="K1472">
        <v>1</v>
      </c>
      <c r="L1472">
        <v>2</v>
      </c>
      <c r="M1472">
        <v>222</v>
      </c>
      <c r="N1472">
        <v>373</v>
      </c>
      <c r="O1472">
        <v>12</v>
      </c>
      <c r="P1472">
        <v>373</v>
      </c>
      <c r="Q1472">
        <v>4</v>
      </c>
      <c r="R1472">
        <v>24</v>
      </c>
      <c r="S1472">
        <v>10</v>
      </c>
      <c r="T1472">
        <v>15</v>
      </c>
      <c r="U1472">
        <v>8</v>
      </c>
      <c r="V1472">
        <v>3</v>
      </c>
      <c r="W1472">
        <v>4</v>
      </c>
      <c r="X1472">
        <v>149</v>
      </c>
      <c r="Y1472">
        <v>0</v>
      </c>
      <c r="Z1472">
        <v>0</v>
      </c>
      <c r="AA1472">
        <v>0</v>
      </c>
      <c r="AB1472">
        <v>0</v>
      </c>
      <c r="AC1472">
        <v>140</v>
      </c>
      <c r="AD1472">
        <v>2</v>
      </c>
      <c r="AE1472">
        <v>0</v>
      </c>
      <c r="AF1472">
        <v>0</v>
      </c>
      <c r="AG1472">
        <v>0</v>
      </c>
      <c r="AI1472">
        <v>0</v>
      </c>
      <c r="AJ1472">
        <v>9</v>
      </c>
      <c r="AK1472">
        <v>373</v>
      </c>
      <c r="AL1472">
        <v>368</v>
      </c>
      <c r="AM1472">
        <v>544</v>
      </c>
      <c r="AN1472">
        <v>50</v>
      </c>
      <c r="AP1472">
        <v>1</v>
      </c>
      <c r="AR1472" t="s">
        <v>1560</v>
      </c>
      <c r="AS1472" s="1">
        <v>44354.11041666667</v>
      </c>
      <c r="AT1472" s="1">
        <v>44354.122881944444</v>
      </c>
      <c r="AU1472" s="1">
        <v>44354.129490740743</v>
      </c>
      <c r="AV1472" t="s">
        <v>71</v>
      </c>
      <c r="AW1472" t="s">
        <v>72</v>
      </c>
      <c r="AX1472" t="s">
        <v>73</v>
      </c>
    </row>
    <row r="1473" spans="1:50" x14ac:dyDescent="0.3">
      <c r="A1473" t="str">
        <f>"200648B0000"</f>
        <v>200648B0000</v>
      </c>
      <c r="B1473" t="str">
        <f>"200648B00002"</f>
        <v>200648B00002</v>
      </c>
      <c r="C1473" t="str">
        <f t="shared" si="71"/>
        <v>20</v>
      </c>
      <c r="D1473" t="s">
        <v>67</v>
      </c>
      <c r="E1473" t="str">
        <f t="shared" si="73"/>
        <v>007</v>
      </c>
      <c r="F1473" t="s">
        <v>1519</v>
      </c>
      <c r="G1473" t="str">
        <f>"0648"</f>
        <v>0648</v>
      </c>
      <c r="H1473" t="str">
        <f>"0000"</f>
        <v>0000</v>
      </c>
      <c r="I1473" t="s">
        <v>69</v>
      </c>
      <c r="J1473">
        <v>0</v>
      </c>
      <c r="K1473">
        <v>1</v>
      </c>
      <c r="L1473">
        <v>2</v>
      </c>
      <c r="M1473">
        <v>248</v>
      </c>
      <c r="N1473">
        <v>374</v>
      </c>
      <c r="O1473">
        <v>4</v>
      </c>
      <c r="P1473">
        <v>374</v>
      </c>
      <c r="Q1473">
        <v>6</v>
      </c>
      <c r="R1473">
        <v>15</v>
      </c>
      <c r="S1473">
        <v>6</v>
      </c>
      <c r="T1473">
        <v>14</v>
      </c>
      <c r="U1473">
        <v>15</v>
      </c>
      <c r="V1473">
        <v>4</v>
      </c>
      <c r="W1473">
        <v>0</v>
      </c>
      <c r="X1473">
        <v>140</v>
      </c>
      <c r="Y1473">
        <v>10</v>
      </c>
      <c r="Z1473">
        <v>2</v>
      </c>
      <c r="AA1473">
        <v>0</v>
      </c>
      <c r="AB1473">
        <v>6</v>
      </c>
      <c r="AC1473">
        <v>148</v>
      </c>
      <c r="AD1473">
        <v>0</v>
      </c>
      <c r="AE1473">
        <v>0</v>
      </c>
      <c r="AF1473">
        <v>0</v>
      </c>
      <c r="AG1473">
        <v>0</v>
      </c>
      <c r="AI1473">
        <v>0</v>
      </c>
      <c r="AJ1473">
        <v>9</v>
      </c>
      <c r="AK1473">
        <v>374</v>
      </c>
      <c r="AL1473">
        <v>375</v>
      </c>
      <c r="AM1473">
        <v>612</v>
      </c>
      <c r="AN1473">
        <v>50</v>
      </c>
      <c r="AP1473">
        <v>1</v>
      </c>
      <c r="AR1473" t="s">
        <v>1561</v>
      </c>
      <c r="AS1473" s="1">
        <v>44354.05</v>
      </c>
      <c r="AT1473" s="1">
        <v>44354.056354166663</v>
      </c>
      <c r="AU1473" s="1">
        <v>44354.057106481479</v>
      </c>
      <c r="AV1473" t="s">
        <v>71</v>
      </c>
      <c r="AW1473" t="s">
        <v>72</v>
      </c>
      <c r="AX1473" t="s">
        <v>73</v>
      </c>
    </row>
    <row r="1474" spans="1:50" x14ac:dyDescent="0.3">
      <c r="A1474" t="str">
        <f>"200648C0100"</f>
        <v>200648C0100</v>
      </c>
      <c r="B1474" t="str">
        <f>"200648C01002"</f>
        <v>200648C01002</v>
      </c>
      <c r="C1474" t="str">
        <f t="shared" si="71"/>
        <v>20</v>
      </c>
      <c r="D1474" t="s">
        <v>67</v>
      </c>
      <c r="E1474" t="str">
        <f t="shared" si="73"/>
        <v>007</v>
      </c>
      <c r="F1474" t="s">
        <v>1519</v>
      </c>
      <c r="G1474" t="str">
        <f>"0648"</f>
        <v>0648</v>
      </c>
      <c r="H1474" t="str">
        <f>"0001"</f>
        <v>0001</v>
      </c>
      <c r="I1474" t="s">
        <v>75</v>
      </c>
      <c r="J1474">
        <v>0</v>
      </c>
      <c r="K1474">
        <v>1</v>
      </c>
      <c r="L1474">
        <v>2</v>
      </c>
      <c r="M1474">
        <v>284</v>
      </c>
      <c r="N1474">
        <v>378</v>
      </c>
      <c r="O1474">
        <v>9</v>
      </c>
      <c r="P1474">
        <v>378</v>
      </c>
      <c r="Q1474">
        <v>2</v>
      </c>
      <c r="R1474">
        <v>10</v>
      </c>
      <c r="S1474">
        <v>1</v>
      </c>
      <c r="T1474">
        <v>11</v>
      </c>
      <c r="U1474">
        <v>16</v>
      </c>
      <c r="V1474">
        <v>6</v>
      </c>
      <c r="W1474">
        <v>5</v>
      </c>
      <c r="X1474">
        <v>160</v>
      </c>
      <c r="Y1474">
        <v>8</v>
      </c>
      <c r="Z1474">
        <v>2</v>
      </c>
      <c r="AA1474">
        <v>2</v>
      </c>
      <c r="AB1474">
        <v>17</v>
      </c>
      <c r="AC1474">
        <v>125</v>
      </c>
      <c r="AD1474">
        <v>1</v>
      </c>
      <c r="AE1474">
        <v>0</v>
      </c>
      <c r="AF1474">
        <v>0</v>
      </c>
      <c r="AG1474">
        <v>0</v>
      </c>
      <c r="AI1474">
        <v>0</v>
      </c>
      <c r="AJ1474">
        <v>12</v>
      </c>
      <c r="AK1474">
        <v>378</v>
      </c>
      <c r="AL1474">
        <v>378</v>
      </c>
      <c r="AM1474">
        <v>612</v>
      </c>
      <c r="AN1474">
        <v>50</v>
      </c>
      <c r="AP1474">
        <v>1</v>
      </c>
      <c r="AR1474" t="s">
        <v>1562</v>
      </c>
      <c r="AS1474" s="1">
        <v>44354.105555555558</v>
      </c>
      <c r="AT1474" s="1">
        <v>44354.10900462963</v>
      </c>
      <c r="AU1474" s="1">
        <v>44354.109560185185</v>
      </c>
      <c r="AV1474" t="s">
        <v>71</v>
      </c>
      <c r="AW1474" t="s">
        <v>72</v>
      </c>
      <c r="AX1474" t="s">
        <v>73</v>
      </c>
    </row>
    <row r="1475" spans="1:50" x14ac:dyDescent="0.3">
      <c r="A1475" t="str">
        <f>"200648E0100"</f>
        <v>200648E0100</v>
      </c>
      <c r="B1475" t="str">
        <f>"200648E01002"</f>
        <v>200648E01002</v>
      </c>
      <c r="C1475" t="str">
        <f t="shared" si="71"/>
        <v>20</v>
      </c>
      <c r="D1475" t="s">
        <v>67</v>
      </c>
      <c r="E1475" t="str">
        <f t="shared" si="73"/>
        <v>007</v>
      </c>
      <c r="F1475" t="s">
        <v>1519</v>
      </c>
      <c r="G1475" t="str">
        <f>"0648"</f>
        <v>0648</v>
      </c>
      <c r="H1475" t="str">
        <f>"0001"</f>
        <v>0001</v>
      </c>
      <c r="I1475" t="s">
        <v>109</v>
      </c>
      <c r="J1475">
        <v>0</v>
      </c>
      <c r="K1475">
        <v>1</v>
      </c>
      <c r="L1475">
        <v>2</v>
      </c>
      <c r="M1475">
        <v>272</v>
      </c>
      <c r="N1475">
        <v>381</v>
      </c>
      <c r="O1475">
        <v>5</v>
      </c>
      <c r="P1475">
        <v>381</v>
      </c>
      <c r="Q1475">
        <v>2</v>
      </c>
      <c r="R1475">
        <v>5</v>
      </c>
      <c r="S1475">
        <v>9</v>
      </c>
      <c r="T1475">
        <v>8</v>
      </c>
      <c r="U1475">
        <v>8</v>
      </c>
      <c r="V1475">
        <v>3</v>
      </c>
      <c r="W1475">
        <v>1</v>
      </c>
      <c r="X1475">
        <v>174</v>
      </c>
      <c r="Y1475">
        <v>0</v>
      </c>
      <c r="Z1475">
        <v>21</v>
      </c>
      <c r="AA1475">
        <v>0</v>
      </c>
      <c r="AB1475">
        <v>17</v>
      </c>
      <c r="AC1475">
        <v>126</v>
      </c>
      <c r="AD1475">
        <v>1</v>
      </c>
      <c r="AE1475">
        <v>0</v>
      </c>
      <c r="AF1475">
        <v>0</v>
      </c>
      <c r="AG1475">
        <v>0</v>
      </c>
      <c r="AI1475">
        <v>0</v>
      </c>
      <c r="AJ1475">
        <v>6</v>
      </c>
      <c r="AK1475">
        <v>381</v>
      </c>
      <c r="AL1475">
        <v>381</v>
      </c>
      <c r="AM1475">
        <v>602</v>
      </c>
      <c r="AN1475">
        <v>50</v>
      </c>
      <c r="AP1475">
        <v>1</v>
      </c>
      <c r="AR1475" t="s">
        <v>1563</v>
      </c>
      <c r="AS1475" s="1">
        <v>44354.049305555556</v>
      </c>
      <c r="AT1475" s="1">
        <v>44354.055659722224</v>
      </c>
      <c r="AU1475" s="1">
        <v>44354.056168981479</v>
      </c>
      <c r="AV1475" t="s">
        <v>71</v>
      </c>
      <c r="AW1475" t="s">
        <v>72</v>
      </c>
      <c r="AX1475" t="s">
        <v>73</v>
      </c>
    </row>
    <row r="1476" spans="1:50" x14ac:dyDescent="0.3">
      <c r="A1476" t="str">
        <f>"200648E0101"</f>
        <v>200648E0101</v>
      </c>
      <c r="B1476" t="str">
        <f>"200648E01012"</f>
        <v>200648E01012</v>
      </c>
      <c r="C1476" t="str">
        <f t="shared" si="71"/>
        <v>20</v>
      </c>
      <c r="D1476" t="s">
        <v>67</v>
      </c>
      <c r="E1476" t="str">
        <f t="shared" si="73"/>
        <v>007</v>
      </c>
      <c r="F1476" t="s">
        <v>1519</v>
      </c>
      <c r="G1476" t="str">
        <f>"0648"</f>
        <v>0648</v>
      </c>
      <c r="H1476" t="str">
        <f>"0001"</f>
        <v>0001</v>
      </c>
      <c r="I1476" t="s">
        <v>109</v>
      </c>
      <c r="J1476">
        <v>1</v>
      </c>
      <c r="K1476">
        <v>1</v>
      </c>
      <c r="L1476">
        <v>2</v>
      </c>
      <c r="M1476">
        <v>317</v>
      </c>
      <c r="N1476">
        <v>335</v>
      </c>
      <c r="O1476">
        <v>1</v>
      </c>
      <c r="P1476">
        <v>335</v>
      </c>
      <c r="Q1476">
        <v>0</v>
      </c>
      <c r="R1476">
        <v>9</v>
      </c>
      <c r="S1476">
        <v>3</v>
      </c>
      <c r="T1476">
        <v>4</v>
      </c>
      <c r="U1476">
        <v>6</v>
      </c>
      <c r="V1476">
        <v>3</v>
      </c>
      <c r="W1476">
        <v>2</v>
      </c>
      <c r="X1476">
        <v>157</v>
      </c>
      <c r="Y1476">
        <v>0</v>
      </c>
      <c r="Z1476">
        <v>8</v>
      </c>
      <c r="AA1476">
        <v>0</v>
      </c>
      <c r="AB1476">
        <v>14</v>
      </c>
      <c r="AC1476">
        <v>101</v>
      </c>
      <c r="AD1476">
        <v>1</v>
      </c>
      <c r="AE1476">
        <v>0</v>
      </c>
      <c r="AF1476">
        <v>0</v>
      </c>
      <c r="AG1476">
        <v>0</v>
      </c>
      <c r="AI1476">
        <v>0</v>
      </c>
      <c r="AJ1476">
        <v>27</v>
      </c>
      <c r="AK1476">
        <v>335</v>
      </c>
      <c r="AL1476">
        <v>335</v>
      </c>
      <c r="AM1476">
        <v>602</v>
      </c>
      <c r="AN1476">
        <v>50</v>
      </c>
      <c r="AP1476">
        <v>1</v>
      </c>
      <c r="AR1476" t="s">
        <v>1564</v>
      </c>
      <c r="AS1476" s="1">
        <v>44354.052083333336</v>
      </c>
      <c r="AT1476" s="1">
        <v>44354.05877314815</v>
      </c>
      <c r="AU1476" s="1">
        <v>44354.059398148151</v>
      </c>
      <c r="AV1476" t="s">
        <v>71</v>
      </c>
      <c r="AW1476" t="s">
        <v>72</v>
      </c>
      <c r="AX1476" t="s">
        <v>73</v>
      </c>
    </row>
    <row r="1477" spans="1:50" x14ac:dyDescent="0.3">
      <c r="A1477" t="str">
        <f>"200649B0000"</f>
        <v>200649B0000</v>
      </c>
      <c r="B1477" t="str">
        <f>"200649B00002"</f>
        <v>200649B00002</v>
      </c>
      <c r="C1477" t="str">
        <f t="shared" si="71"/>
        <v>20</v>
      </c>
      <c r="D1477" t="s">
        <v>67</v>
      </c>
      <c r="E1477" t="str">
        <f t="shared" si="73"/>
        <v>007</v>
      </c>
      <c r="F1477" t="s">
        <v>1519</v>
      </c>
      <c r="G1477" t="str">
        <f>"0649"</f>
        <v>0649</v>
      </c>
      <c r="H1477" t="str">
        <f>"0000"</f>
        <v>0000</v>
      </c>
      <c r="I1477" t="s">
        <v>69</v>
      </c>
      <c r="J1477">
        <v>0</v>
      </c>
      <c r="K1477">
        <v>1</v>
      </c>
      <c r="L1477">
        <v>2</v>
      </c>
      <c r="M1477">
        <v>98</v>
      </c>
      <c r="N1477">
        <v>189</v>
      </c>
      <c r="O1477">
        <v>4</v>
      </c>
      <c r="P1477" t="s">
        <v>80</v>
      </c>
      <c r="Q1477">
        <v>4</v>
      </c>
      <c r="R1477">
        <v>19</v>
      </c>
      <c r="S1477">
        <v>4</v>
      </c>
      <c r="T1477">
        <v>4</v>
      </c>
      <c r="U1477">
        <v>5</v>
      </c>
      <c r="V1477">
        <v>2</v>
      </c>
      <c r="W1477">
        <v>0</v>
      </c>
      <c r="X1477">
        <v>80</v>
      </c>
      <c r="Y1477">
        <v>23</v>
      </c>
      <c r="Z1477">
        <v>1</v>
      </c>
      <c r="AA1477">
        <v>1</v>
      </c>
      <c r="AB1477">
        <v>7</v>
      </c>
      <c r="AC1477">
        <v>25</v>
      </c>
      <c r="AD1477">
        <v>0</v>
      </c>
      <c r="AE1477">
        <v>0</v>
      </c>
      <c r="AF1477">
        <v>0</v>
      </c>
      <c r="AG1477">
        <v>0</v>
      </c>
      <c r="AI1477">
        <v>0</v>
      </c>
      <c r="AJ1477">
        <v>14</v>
      </c>
      <c r="AK1477">
        <v>189</v>
      </c>
      <c r="AL1477">
        <v>189</v>
      </c>
      <c r="AM1477">
        <v>237</v>
      </c>
      <c r="AN1477">
        <v>50</v>
      </c>
      <c r="AP1477">
        <v>1</v>
      </c>
      <c r="AR1477" t="s">
        <v>1565</v>
      </c>
      <c r="AS1477" s="1">
        <v>44354.176388888889</v>
      </c>
      <c r="AT1477" s="1">
        <v>44354.178472222222</v>
      </c>
      <c r="AU1477" s="1">
        <v>44354.180034722223</v>
      </c>
      <c r="AV1477" t="s">
        <v>71</v>
      </c>
      <c r="AW1477" t="s">
        <v>72</v>
      </c>
      <c r="AX1477" t="s">
        <v>73</v>
      </c>
    </row>
    <row r="1478" spans="1:50" x14ac:dyDescent="0.3">
      <c r="A1478" t="str">
        <f>"200649E0100"</f>
        <v>200649E0100</v>
      </c>
      <c r="B1478" t="str">
        <f>"200649E01002"</f>
        <v>200649E01002</v>
      </c>
      <c r="C1478" t="str">
        <f t="shared" si="71"/>
        <v>20</v>
      </c>
      <c r="D1478" t="s">
        <v>67</v>
      </c>
      <c r="E1478" t="str">
        <f t="shared" si="73"/>
        <v>007</v>
      </c>
      <c r="F1478" t="s">
        <v>1519</v>
      </c>
      <c r="G1478" t="str">
        <f>"0649"</f>
        <v>0649</v>
      </c>
      <c r="H1478" t="str">
        <f>"0001"</f>
        <v>0001</v>
      </c>
      <c r="I1478" t="s">
        <v>109</v>
      </c>
      <c r="J1478">
        <v>0</v>
      </c>
      <c r="K1478">
        <v>1</v>
      </c>
      <c r="L1478">
        <v>2</v>
      </c>
      <c r="M1478">
        <v>284</v>
      </c>
      <c r="N1478">
        <v>427</v>
      </c>
      <c r="O1478">
        <v>1</v>
      </c>
      <c r="P1478">
        <v>427</v>
      </c>
      <c r="Q1478">
        <v>2</v>
      </c>
      <c r="R1478">
        <v>14</v>
      </c>
      <c r="S1478">
        <v>5</v>
      </c>
      <c r="T1478">
        <v>10</v>
      </c>
      <c r="U1478">
        <v>74</v>
      </c>
      <c r="V1478">
        <v>3</v>
      </c>
      <c r="W1478">
        <v>3</v>
      </c>
      <c r="X1478">
        <v>128</v>
      </c>
      <c r="Y1478">
        <v>32</v>
      </c>
      <c r="Z1478">
        <v>6</v>
      </c>
      <c r="AA1478">
        <v>6</v>
      </c>
      <c r="AB1478">
        <v>21</v>
      </c>
      <c r="AC1478">
        <v>74</v>
      </c>
      <c r="AD1478">
        <v>1</v>
      </c>
      <c r="AE1478">
        <v>0</v>
      </c>
      <c r="AF1478">
        <v>1</v>
      </c>
      <c r="AG1478">
        <v>1</v>
      </c>
      <c r="AI1478">
        <v>0</v>
      </c>
      <c r="AJ1478">
        <v>46</v>
      </c>
      <c r="AK1478">
        <v>427</v>
      </c>
      <c r="AL1478">
        <v>427</v>
      </c>
      <c r="AM1478">
        <v>661</v>
      </c>
      <c r="AN1478">
        <v>50</v>
      </c>
      <c r="AP1478">
        <v>1</v>
      </c>
      <c r="AR1478" t="s">
        <v>1566</v>
      </c>
      <c r="AS1478" s="1">
        <v>44354.174305555556</v>
      </c>
      <c r="AT1478" s="1">
        <v>44354.177025462966</v>
      </c>
      <c r="AU1478" s="1">
        <v>44354.177766203706</v>
      </c>
      <c r="AV1478" t="s">
        <v>71</v>
      </c>
      <c r="AW1478" t="s">
        <v>72</v>
      </c>
      <c r="AX1478" t="s">
        <v>73</v>
      </c>
    </row>
    <row r="1479" spans="1:50" x14ac:dyDescent="0.3">
      <c r="A1479" t="str">
        <f>"200650B0000"</f>
        <v>200650B0000</v>
      </c>
      <c r="B1479" t="str">
        <f>"200650B00002"</f>
        <v>200650B00002</v>
      </c>
      <c r="C1479" t="str">
        <f t="shared" ref="C1479:C1542" si="74">"20"</f>
        <v>20</v>
      </c>
      <c r="D1479" t="s">
        <v>67</v>
      </c>
      <c r="E1479" t="str">
        <f t="shared" si="73"/>
        <v>007</v>
      </c>
      <c r="F1479" t="s">
        <v>1519</v>
      </c>
      <c r="G1479" t="str">
        <f>"0650"</f>
        <v>0650</v>
      </c>
      <c r="H1479" t="str">
        <f>"0000"</f>
        <v>0000</v>
      </c>
      <c r="I1479" t="s">
        <v>69</v>
      </c>
      <c r="J1479">
        <v>0</v>
      </c>
      <c r="K1479">
        <v>1</v>
      </c>
      <c r="L1479">
        <v>2</v>
      </c>
      <c r="M1479">
        <v>185</v>
      </c>
      <c r="N1479">
        <v>345</v>
      </c>
      <c r="O1479">
        <v>0</v>
      </c>
      <c r="P1479">
        <v>345</v>
      </c>
      <c r="Q1479">
        <v>2</v>
      </c>
      <c r="R1479">
        <v>34</v>
      </c>
      <c r="S1479">
        <v>2</v>
      </c>
      <c r="T1479">
        <v>4</v>
      </c>
      <c r="U1479">
        <v>13</v>
      </c>
      <c r="V1479">
        <v>4</v>
      </c>
      <c r="W1479">
        <v>0</v>
      </c>
      <c r="X1479">
        <v>129</v>
      </c>
      <c r="Y1479">
        <v>35</v>
      </c>
      <c r="Z1479">
        <v>1</v>
      </c>
      <c r="AA1479">
        <v>4</v>
      </c>
      <c r="AB1479">
        <v>8</v>
      </c>
      <c r="AC1479">
        <v>81</v>
      </c>
      <c r="AD1479">
        <v>0</v>
      </c>
      <c r="AE1479">
        <v>0</v>
      </c>
      <c r="AF1479">
        <v>0</v>
      </c>
      <c r="AG1479">
        <v>0</v>
      </c>
      <c r="AI1479">
        <v>0</v>
      </c>
      <c r="AJ1479">
        <v>28</v>
      </c>
      <c r="AK1479">
        <v>345</v>
      </c>
      <c r="AL1479">
        <v>345</v>
      </c>
      <c r="AM1479">
        <v>480</v>
      </c>
      <c r="AN1479">
        <v>50</v>
      </c>
      <c r="AP1479">
        <v>1</v>
      </c>
      <c r="AR1479" t="s">
        <v>1567</v>
      </c>
      <c r="AS1479" s="1">
        <v>44354.168749999997</v>
      </c>
      <c r="AT1479" s="1">
        <v>44354.172581018516</v>
      </c>
      <c r="AU1479" s="1">
        <v>44354.173472222225</v>
      </c>
      <c r="AV1479" t="s">
        <v>71</v>
      </c>
      <c r="AW1479" t="s">
        <v>72</v>
      </c>
      <c r="AX1479" t="s">
        <v>73</v>
      </c>
    </row>
    <row r="1480" spans="1:50" x14ac:dyDescent="0.3">
      <c r="A1480" t="str">
        <f>"200650C0100"</f>
        <v>200650C0100</v>
      </c>
      <c r="B1480" t="str">
        <f>"200650C01002"</f>
        <v>200650C01002</v>
      </c>
      <c r="C1480" t="str">
        <f t="shared" si="74"/>
        <v>20</v>
      </c>
      <c r="D1480" t="s">
        <v>67</v>
      </c>
      <c r="E1480" t="str">
        <f t="shared" si="73"/>
        <v>007</v>
      </c>
      <c r="F1480" t="s">
        <v>1519</v>
      </c>
      <c r="G1480" t="str">
        <f>"0650"</f>
        <v>0650</v>
      </c>
      <c r="H1480" t="str">
        <f>"0001"</f>
        <v>0001</v>
      </c>
      <c r="I1480" t="s">
        <v>75</v>
      </c>
      <c r="J1480">
        <v>0</v>
      </c>
      <c r="K1480">
        <v>1</v>
      </c>
      <c r="L1480">
        <v>2</v>
      </c>
      <c r="M1480">
        <v>180</v>
      </c>
      <c r="N1480">
        <v>350</v>
      </c>
      <c r="O1480">
        <v>1</v>
      </c>
      <c r="P1480">
        <v>350</v>
      </c>
      <c r="Q1480">
        <v>1</v>
      </c>
      <c r="R1480">
        <v>25</v>
      </c>
      <c r="S1480">
        <v>1</v>
      </c>
      <c r="T1480">
        <v>4</v>
      </c>
      <c r="U1480">
        <v>24</v>
      </c>
      <c r="V1480">
        <v>5</v>
      </c>
      <c r="W1480">
        <v>4</v>
      </c>
      <c r="X1480">
        <v>134</v>
      </c>
      <c r="Y1480">
        <v>21</v>
      </c>
      <c r="Z1480">
        <v>3</v>
      </c>
      <c r="AA1480">
        <v>3</v>
      </c>
      <c r="AB1480">
        <v>18</v>
      </c>
      <c r="AC1480">
        <v>83</v>
      </c>
      <c r="AD1480">
        <v>0</v>
      </c>
      <c r="AE1480">
        <v>0</v>
      </c>
      <c r="AF1480">
        <v>0</v>
      </c>
      <c r="AG1480">
        <v>0</v>
      </c>
      <c r="AI1480">
        <v>0</v>
      </c>
      <c r="AJ1480">
        <v>24</v>
      </c>
      <c r="AK1480">
        <v>350</v>
      </c>
      <c r="AL1480">
        <v>350</v>
      </c>
      <c r="AM1480">
        <v>480</v>
      </c>
      <c r="AN1480">
        <v>50</v>
      </c>
      <c r="AP1480">
        <v>1</v>
      </c>
      <c r="AR1480" t="s">
        <v>1568</v>
      </c>
      <c r="AS1480" s="1">
        <v>44354.172222222223</v>
      </c>
      <c r="AT1480" s="1">
        <v>44354.174189814818</v>
      </c>
      <c r="AU1480" s="1">
        <v>44354.174745370372</v>
      </c>
      <c r="AV1480" t="s">
        <v>71</v>
      </c>
      <c r="AW1480" t="s">
        <v>72</v>
      </c>
      <c r="AX1480" t="s">
        <v>73</v>
      </c>
    </row>
    <row r="1481" spans="1:50" x14ac:dyDescent="0.3">
      <c r="A1481" t="str">
        <f>"200651B0000"</f>
        <v>200651B0000</v>
      </c>
      <c r="B1481" t="str">
        <f>"200651B00002"</f>
        <v>200651B00002</v>
      </c>
      <c r="C1481" t="str">
        <f t="shared" si="74"/>
        <v>20</v>
      </c>
      <c r="D1481" t="s">
        <v>67</v>
      </c>
      <c r="E1481" t="str">
        <f t="shared" si="73"/>
        <v>007</v>
      </c>
      <c r="F1481" t="s">
        <v>1519</v>
      </c>
      <c r="G1481" t="str">
        <f>"0651"</f>
        <v>0651</v>
      </c>
      <c r="H1481" t="str">
        <f>"0000"</f>
        <v>0000</v>
      </c>
      <c r="I1481" t="s">
        <v>69</v>
      </c>
      <c r="J1481">
        <v>0</v>
      </c>
      <c r="K1481">
        <v>1</v>
      </c>
      <c r="L1481">
        <v>2</v>
      </c>
      <c r="M1481">
        <v>162</v>
      </c>
      <c r="N1481">
        <v>310</v>
      </c>
      <c r="O1481">
        <v>5</v>
      </c>
      <c r="P1481">
        <v>310</v>
      </c>
      <c r="Q1481">
        <v>3</v>
      </c>
      <c r="R1481">
        <v>16</v>
      </c>
      <c r="S1481">
        <v>6</v>
      </c>
      <c r="T1481">
        <v>10</v>
      </c>
      <c r="U1481">
        <v>43</v>
      </c>
      <c r="V1481">
        <v>4</v>
      </c>
      <c r="W1481">
        <v>2</v>
      </c>
      <c r="X1481">
        <v>133</v>
      </c>
      <c r="Y1481">
        <v>14</v>
      </c>
      <c r="Z1481">
        <v>1</v>
      </c>
      <c r="AA1481">
        <v>5</v>
      </c>
      <c r="AB1481">
        <v>15</v>
      </c>
      <c r="AC1481">
        <v>36</v>
      </c>
      <c r="AD1481">
        <v>0</v>
      </c>
      <c r="AE1481">
        <v>0</v>
      </c>
      <c r="AF1481">
        <v>0</v>
      </c>
      <c r="AG1481">
        <v>0</v>
      </c>
      <c r="AI1481">
        <v>0</v>
      </c>
      <c r="AJ1481">
        <v>22</v>
      </c>
      <c r="AK1481">
        <v>310</v>
      </c>
      <c r="AL1481">
        <v>310</v>
      </c>
      <c r="AM1481">
        <v>422</v>
      </c>
      <c r="AN1481">
        <v>50</v>
      </c>
      <c r="AP1481">
        <v>1</v>
      </c>
      <c r="AR1481" t="s">
        <v>1569</v>
      </c>
      <c r="AS1481" s="1">
        <v>44354.160416666666</v>
      </c>
      <c r="AT1481" s="1">
        <v>44354.164606481485</v>
      </c>
      <c r="AU1481" s="1">
        <v>44354.165763888886</v>
      </c>
      <c r="AV1481" t="s">
        <v>71</v>
      </c>
      <c r="AW1481" t="s">
        <v>72</v>
      </c>
      <c r="AX1481" t="s">
        <v>73</v>
      </c>
    </row>
    <row r="1482" spans="1:50" x14ac:dyDescent="0.3">
      <c r="A1482" t="str">
        <f>"200652B0000"</f>
        <v>200652B0000</v>
      </c>
      <c r="B1482" t="str">
        <f>"200652B00002"</f>
        <v>200652B00002</v>
      </c>
      <c r="C1482" t="str">
        <f t="shared" si="74"/>
        <v>20</v>
      </c>
      <c r="D1482" t="s">
        <v>67</v>
      </c>
      <c r="E1482" t="str">
        <f t="shared" si="73"/>
        <v>007</v>
      </c>
      <c r="F1482" t="s">
        <v>1519</v>
      </c>
      <c r="G1482" t="str">
        <f>"0652"</f>
        <v>0652</v>
      </c>
      <c r="H1482" t="str">
        <f>"0000"</f>
        <v>0000</v>
      </c>
      <c r="I1482" t="s">
        <v>69</v>
      </c>
      <c r="J1482">
        <v>0</v>
      </c>
      <c r="K1482">
        <v>1</v>
      </c>
      <c r="L1482">
        <v>2</v>
      </c>
      <c r="M1482">
        <v>348</v>
      </c>
      <c r="N1482">
        <v>342</v>
      </c>
      <c r="O1482">
        <v>10</v>
      </c>
      <c r="P1482">
        <v>342</v>
      </c>
      <c r="Q1482">
        <v>1</v>
      </c>
      <c r="R1482">
        <v>27</v>
      </c>
      <c r="S1482">
        <v>4</v>
      </c>
      <c r="T1482">
        <v>7</v>
      </c>
      <c r="U1482">
        <v>38</v>
      </c>
      <c r="V1482">
        <v>5</v>
      </c>
      <c r="W1482">
        <v>4</v>
      </c>
      <c r="X1482">
        <v>109</v>
      </c>
      <c r="Y1482">
        <v>24</v>
      </c>
      <c r="Z1482">
        <v>6</v>
      </c>
      <c r="AA1482">
        <v>3</v>
      </c>
      <c r="AB1482">
        <v>24</v>
      </c>
      <c r="AC1482">
        <v>76</v>
      </c>
      <c r="AD1482">
        <v>0</v>
      </c>
      <c r="AE1482">
        <v>0</v>
      </c>
      <c r="AF1482">
        <v>0</v>
      </c>
      <c r="AG1482">
        <v>0</v>
      </c>
      <c r="AI1482">
        <v>0</v>
      </c>
      <c r="AJ1482">
        <v>14</v>
      </c>
      <c r="AK1482">
        <v>342</v>
      </c>
      <c r="AL1482">
        <v>342</v>
      </c>
      <c r="AM1482">
        <v>640</v>
      </c>
      <c r="AN1482">
        <v>50</v>
      </c>
      <c r="AP1482">
        <v>1</v>
      </c>
      <c r="AR1482" t="s">
        <v>1570</v>
      </c>
      <c r="AS1482" s="1">
        <v>44354.234027777777</v>
      </c>
      <c r="AT1482" s="1">
        <v>44354.240960648145</v>
      </c>
      <c r="AU1482" s="1">
        <v>44354.241770833331</v>
      </c>
      <c r="AV1482" t="s">
        <v>71</v>
      </c>
      <c r="AW1482" t="s">
        <v>72</v>
      </c>
      <c r="AX1482" t="s">
        <v>73</v>
      </c>
    </row>
    <row r="1483" spans="1:50" x14ac:dyDescent="0.3">
      <c r="A1483" t="str">
        <f>"200653B0000"</f>
        <v>200653B0000</v>
      </c>
      <c r="B1483" t="str">
        <f>"200653B00002"</f>
        <v>200653B00002</v>
      </c>
      <c r="C1483" t="str">
        <f t="shared" si="74"/>
        <v>20</v>
      </c>
      <c r="D1483" t="s">
        <v>67</v>
      </c>
      <c r="E1483" t="str">
        <f t="shared" si="73"/>
        <v>007</v>
      </c>
      <c r="F1483" t="s">
        <v>1519</v>
      </c>
      <c r="G1483" t="str">
        <f>"0653"</f>
        <v>0653</v>
      </c>
      <c r="H1483" t="str">
        <f>"0000"</f>
        <v>0000</v>
      </c>
      <c r="I1483" t="s">
        <v>69</v>
      </c>
      <c r="J1483">
        <v>0</v>
      </c>
      <c r="K1483">
        <v>1</v>
      </c>
      <c r="L1483">
        <v>2</v>
      </c>
      <c r="M1483">
        <v>253</v>
      </c>
      <c r="N1483">
        <v>416</v>
      </c>
      <c r="O1483">
        <v>0</v>
      </c>
      <c r="P1483">
        <v>416</v>
      </c>
      <c r="Q1483">
        <v>0</v>
      </c>
      <c r="R1483">
        <v>0</v>
      </c>
      <c r="S1483">
        <v>0</v>
      </c>
      <c r="T1483">
        <v>0</v>
      </c>
      <c r="U1483">
        <v>1</v>
      </c>
      <c r="V1483">
        <v>1</v>
      </c>
      <c r="W1483">
        <v>0</v>
      </c>
      <c r="X1483">
        <v>15</v>
      </c>
      <c r="Y1483">
        <v>0</v>
      </c>
      <c r="Z1483">
        <v>0</v>
      </c>
      <c r="AA1483">
        <v>1</v>
      </c>
      <c r="AB1483">
        <v>2</v>
      </c>
      <c r="AC1483">
        <v>394</v>
      </c>
      <c r="AD1483">
        <v>0</v>
      </c>
      <c r="AE1483">
        <v>0</v>
      </c>
      <c r="AF1483">
        <v>0</v>
      </c>
      <c r="AG1483">
        <v>0</v>
      </c>
      <c r="AI1483">
        <v>0</v>
      </c>
      <c r="AJ1483">
        <v>2</v>
      </c>
      <c r="AK1483">
        <v>416</v>
      </c>
      <c r="AL1483">
        <v>416</v>
      </c>
      <c r="AM1483">
        <v>619</v>
      </c>
      <c r="AN1483">
        <v>50</v>
      </c>
      <c r="AP1483">
        <v>1</v>
      </c>
      <c r="AR1483" t="s">
        <v>1571</v>
      </c>
      <c r="AS1483" s="1">
        <v>44354.036111111112</v>
      </c>
      <c r="AT1483" s="1">
        <v>44354.044999999998</v>
      </c>
      <c r="AU1483" s="1">
        <v>44354.045474537037</v>
      </c>
      <c r="AV1483" t="s">
        <v>71</v>
      </c>
      <c r="AW1483" t="s">
        <v>72</v>
      </c>
      <c r="AX1483" t="s">
        <v>73</v>
      </c>
    </row>
    <row r="1484" spans="1:50" x14ac:dyDescent="0.3">
      <c r="A1484" t="str">
        <f>"200654B0000"</f>
        <v>200654B0000</v>
      </c>
      <c r="B1484" t="str">
        <f>"200654B00002"</f>
        <v>200654B00002</v>
      </c>
      <c r="C1484" t="str">
        <f t="shared" si="74"/>
        <v>20</v>
      </c>
      <c r="D1484" t="s">
        <v>67</v>
      </c>
      <c r="E1484" t="str">
        <f t="shared" si="73"/>
        <v>007</v>
      </c>
      <c r="F1484" t="s">
        <v>1519</v>
      </c>
      <c r="G1484" t="str">
        <f>"0654"</f>
        <v>0654</v>
      </c>
      <c r="H1484" t="str">
        <f>"0000"</f>
        <v>0000</v>
      </c>
      <c r="I1484" t="s">
        <v>69</v>
      </c>
      <c r="J1484">
        <v>0</v>
      </c>
      <c r="K1484">
        <v>1</v>
      </c>
      <c r="L1484">
        <v>2</v>
      </c>
      <c r="M1484">
        <v>308</v>
      </c>
      <c r="N1484">
        <v>307</v>
      </c>
      <c r="O1484">
        <v>11</v>
      </c>
      <c r="P1484" t="s">
        <v>80</v>
      </c>
      <c r="Q1484">
        <v>5</v>
      </c>
      <c r="R1484">
        <v>28</v>
      </c>
      <c r="S1484">
        <v>4</v>
      </c>
      <c r="T1484">
        <v>21</v>
      </c>
      <c r="U1484">
        <v>11</v>
      </c>
      <c r="V1484">
        <v>6</v>
      </c>
      <c r="W1484">
        <v>6</v>
      </c>
      <c r="X1484">
        <v>83</v>
      </c>
      <c r="Y1484">
        <v>2</v>
      </c>
      <c r="Z1484">
        <v>1</v>
      </c>
      <c r="AA1484">
        <v>1</v>
      </c>
      <c r="AB1484">
        <v>2</v>
      </c>
      <c r="AC1484">
        <v>127</v>
      </c>
      <c r="AD1484">
        <v>1</v>
      </c>
      <c r="AE1484">
        <v>0</v>
      </c>
      <c r="AF1484">
        <v>0</v>
      </c>
      <c r="AG1484">
        <v>1</v>
      </c>
      <c r="AI1484" t="s">
        <v>77</v>
      </c>
      <c r="AJ1484" t="s">
        <v>77</v>
      </c>
      <c r="AK1484">
        <v>307</v>
      </c>
      <c r="AL1484">
        <v>299</v>
      </c>
      <c r="AM1484">
        <v>565</v>
      </c>
      <c r="AN1484">
        <v>50</v>
      </c>
      <c r="AO1484" t="s">
        <v>78</v>
      </c>
      <c r="AP1484">
        <v>1</v>
      </c>
      <c r="AR1484" t="s">
        <v>1572</v>
      </c>
      <c r="AS1484" s="1">
        <v>44354.245138888888</v>
      </c>
      <c r="AT1484" s="1">
        <v>44354.247939814813</v>
      </c>
      <c r="AU1484" s="1">
        <v>44354.248506944445</v>
      </c>
      <c r="AV1484" t="s">
        <v>71</v>
      </c>
      <c r="AW1484" t="s">
        <v>72</v>
      </c>
      <c r="AX1484" t="s">
        <v>73</v>
      </c>
    </row>
    <row r="1485" spans="1:50" x14ac:dyDescent="0.3">
      <c r="A1485" t="str">
        <f>"200654E0100"</f>
        <v>200654E0100</v>
      </c>
      <c r="B1485" t="str">
        <f>"200654E01002"</f>
        <v>200654E01002</v>
      </c>
      <c r="C1485" t="str">
        <f t="shared" si="74"/>
        <v>20</v>
      </c>
      <c r="D1485" t="s">
        <v>67</v>
      </c>
      <c r="E1485" t="str">
        <f t="shared" si="73"/>
        <v>007</v>
      </c>
      <c r="F1485" t="s">
        <v>1519</v>
      </c>
      <c r="G1485" t="str">
        <f>"0654"</f>
        <v>0654</v>
      </c>
      <c r="H1485" t="str">
        <f>"0001"</f>
        <v>0001</v>
      </c>
      <c r="I1485" t="s">
        <v>109</v>
      </c>
      <c r="J1485">
        <v>0</v>
      </c>
      <c r="K1485">
        <v>1</v>
      </c>
      <c r="L1485">
        <v>2</v>
      </c>
      <c r="M1485">
        <v>324</v>
      </c>
      <c r="N1485">
        <v>468</v>
      </c>
      <c r="O1485">
        <v>16</v>
      </c>
      <c r="P1485">
        <v>468</v>
      </c>
      <c r="Q1485">
        <v>0</v>
      </c>
      <c r="R1485">
        <v>12</v>
      </c>
      <c r="S1485">
        <v>1</v>
      </c>
      <c r="T1485">
        <v>13</v>
      </c>
      <c r="U1485">
        <v>7</v>
      </c>
      <c r="V1485">
        <v>3</v>
      </c>
      <c r="W1485">
        <v>3</v>
      </c>
      <c r="X1485">
        <v>98</v>
      </c>
      <c r="Y1485">
        <v>5</v>
      </c>
      <c r="Z1485">
        <v>3</v>
      </c>
      <c r="AA1485">
        <v>1</v>
      </c>
      <c r="AB1485">
        <v>9</v>
      </c>
      <c r="AC1485">
        <v>303</v>
      </c>
      <c r="AD1485">
        <v>0</v>
      </c>
      <c r="AE1485">
        <v>0</v>
      </c>
      <c r="AF1485">
        <v>0</v>
      </c>
      <c r="AG1485">
        <v>1</v>
      </c>
      <c r="AI1485">
        <v>0</v>
      </c>
      <c r="AJ1485">
        <v>9</v>
      </c>
      <c r="AK1485">
        <v>468</v>
      </c>
      <c r="AL1485">
        <v>468</v>
      </c>
      <c r="AM1485">
        <v>742</v>
      </c>
      <c r="AN1485">
        <v>50</v>
      </c>
      <c r="AP1485">
        <v>1</v>
      </c>
      <c r="AR1485" t="s">
        <v>1573</v>
      </c>
      <c r="AS1485" s="1">
        <v>44354.246527777781</v>
      </c>
      <c r="AT1485" s="1">
        <v>44354.248854166668</v>
      </c>
      <c r="AU1485" s="1">
        <v>44354.249652777777</v>
      </c>
      <c r="AV1485" t="s">
        <v>71</v>
      </c>
      <c r="AW1485" t="s">
        <v>72</v>
      </c>
      <c r="AX1485" t="s">
        <v>73</v>
      </c>
    </row>
    <row r="1486" spans="1:50" x14ac:dyDescent="0.3">
      <c r="A1486" t="str">
        <f>"200655B0000"</f>
        <v>200655B0000</v>
      </c>
      <c r="B1486" t="str">
        <f>"200655B00002"</f>
        <v>200655B00002</v>
      </c>
      <c r="C1486" t="str">
        <f t="shared" si="74"/>
        <v>20</v>
      </c>
      <c r="D1486" t="s">
        <v>67</v>
      </c>
      <c r="E1486" t="str">
        <f t="shared" si="73"/>
        <v>007</v>
      </c>
      <c r="F1486" t="s">
        <v>1519</v>
      </c>
      <c r="G1486" t="str">
        <f>"0655"</f>
        <v>0655</v>
      </c>
      <c r="H1486" t="str">
        <f>"0000"</f>
        <v>0000</v>
      </c>
      <c r="I1486" t="s">
        <v>69</v>
      </c>
      <c r="J1486">
        <v>0</v>
      </c>
      <c r="K1486">
        <v>1</v>
      </c>
      <c r="L1486">
        <v>2</v>
      </c>
      <c r="M1486">
        <v>339</v>
      </c>
      <c r="N1486">
        <v>389</v>
      </c>
      <c r="O1486">
        <v>4</v>
      </c>
      <c r="P1486">
        <v>389</v>
      </c>
      <c r="Q1486">
        <v>3</v>
      </c>
      <c r="R1486">
        <v>9</v>
      </c>
      <c r="S1486">
        <v>3</v>
      </c>
      <c r="T1486">
        <v>21</v>
      </c>
      <c r="U1486">
        <v>17</v>
      </c>
      <c r="V1486">
        <v>6</v>
      </c>
      <c r="W1486">
        <v>3</v>
      </c>
      <c r="X1486">
        <v>83</v>
      </c>
      <c r="Y1486">
        <v>4</v>
      </c>
      <c r="Z1486">
        <v>5</v>
      </c>
      <c r="AA1486">
        <v>3</v>
      </c>
      <c r="AB1486">
        <v>8</v>
      </c>
      <c r="AC1486">
        <v>202</v>
      </c>
      <c r="AD1486">
        <v>1</v>
      </c>
      <c r="AE1486" t="s">
        <v>77</v>
      </c>
      <c r="AF1486" t="s">
        <v>77</v>
      </c>
      <c r="AG1486" t="s">
        <v>77</v>
      </c>
      <c r="AI1486" t="s">
        <v>77</v>
      </c>
      <c r="AJ1486">
        <v>21</v>
      </c>
      <c r="AK1486">
        <v>389</v>
      </c>
      <c r="AL1486">
        <v>389</v>
      </c>
      <c r="AM1486">
        <v>678</v>
      </c>
      <c r="AN1486">
        <v>50</v>
      </c>
      <c r="AO1486" t="s">
        <v>78</v>
      </c>
      <c r="AP1486">
        <v>1</v>
      </c>
      <c r="AR1486" t="s">
        <v>1574</v>
      </c>
      <c r="AS1486" s="1">
        <v>44354.24722222222</v>
      </c>
      <c r="AT1486" s="1">
        <v>44354.25037037037</v>
      </c>
      <c r="AU1486" s="1">
        <v>44354.251493055555</v>
      </c>
      <c r="AV1486" t="s">
        <v>71</v>
      </c>
      <c r="AW1486" t="s">
        <v>72</v>
      </c>
      <c r="AX1486" t="s">
        <v>73</v>
      </c>
    </row>
    <row r="1487" spans="1:50" x14ac:dyDescent="0.3">
      <c r="A1487" t="str">
        <f>"200655C0100"</f>
        <v>200655C0100</v>
      </c>
      <c r="B1487" t="str">
        <f>"200655C01002"</f>
        <v>200655C01002</v>
      </c>
      <c r="C1487" t="str">
        <f t="shared" si="74"/>
        <v>20</v>
      </c>
      <c r="D1487" t="s">
        <v>67</v>
      </c>
      <c r="E1487" t="str">
        <f t="shared" si="73"/>
        <v>007</v>
      </c>
      <c r="F1487" t="s">
        <v>1519</v>
      </c>
      <c r="G1487" t="str">
        <f>"0655"</f>
        <v>0655</v>
      </c>
      <c r="H1487" t="str">
        <f>"0001"</f>
        <v>0001</v>
      </c>
      <c r="I1487" t="s">
        <v>75</v>
      </c>
      <c r="J1487">
        <v>0</v>
      </c>
      <c r="K1487">
        <v>1</v>
      </c>
      <c r="L1487">
        <v>2</v>
      </c>
      <c r="M1487">
        <v>359</v>
      </c>
      <c r="N1487">
        <v>369</v>
      </c>
      <c r="O1487">
        <v>3</v>
      </c>
      <c r="P1487">
        <v>369</v>
      </c>
      <c r="Q1487">
        <v>0</v>
      </c>
      <c r="R1487">
        <v>14</v>
      </c>
      <c r="S1487">
        <v>4</v>
      </c>
      <c r="T1487">
        <v>21</v>
      </c>
      <c r="U1487">
        <v>40</v>
      </c>
      <c r="V1487">
        <v>3</v>
      </c>
      <c r="W1487">
        <v>1</v>
      </c>
      <c r="X1487">
        <v>75</v>
      </c>
      <c r="Y1487">
        <v>2</v>
      </c>
      <c r="Z1487">
        <v>5</v>
      </c>
      <c r="AA1487">
        <v>0</v>
      </c>
      <c r="AB1487">
        <v>3</v>
      </c>
      <c r="AC1487">
        <v>186</v>
      </c>
      <c r="AD1487">
        <v>0</v>
      </c>
      <c r="AE1487">
        <v>0</v>
      </c>
      <c r="AF1487">
        <v>0</v>
      </c>
      <c r="AG1487">
        <v>0</v>
      </c>
      <c r="AI1487">
        <v>0</v>
      </c>
      <c r="AJ1487">
        <v>15</v>
      </c>
      <c r="AK1487">
        <v>369</v>
      </c>
      <c r="AL1487">
        <v>369</v>
      </c>
      <c r="AM1487">
        <v>678</v>
      </c>
      <c r="AN1487">
        <v>50</v>
      </c>
      <c r="AP1487">
        <v>1</v>
      </c>
      <c r="AR1487" t="s">
        <v>1575</v>
      </c>
      <c r="AS1487" s="1">
        <v>44354.247916666667</v>
      </c>
      <c r="AT1487" s="1">
        <v>44354.251076388886</v>
      </c>
      <c r="AU1487" s="1">
        <v>44354.252546296295</v>
      </c>
      <c r="AV1487" t="s">
        <v>71</v>
      </c>
      <c r="AW1487" t="s">
        <v>72</v>
      </c>
      <c r="AX1487" t="s">
        <v>73</v>
      </c>
    </row>
    <row r="1488" spans="1:50" x14ac:dyDescent="0.3">
      <c r="A1488" t="str">
        <f>"200656B0000"</f>
        <v>200656B0000</v>
      </c>
      <c r="B1488" t="str">
        <f>"200656B00002"</f>
        <v>200656B00002</v>
      </c>
      <c r="C1488" t="str">
        <f t="shared" si="74"/>
        <v>20</v>
      </c>
      <c r="D1488" t="s">
        <v>67</v>
      </c>
      <c r="E1488" t="str">
        <f t="shared" si="73"/>
        <v>007</v>
      </c>
      <c r="F1488" t="s">
        <v>1519</v>
      </c>
      <c r="G1488" t="str">
        <f>"0656"</f>
        <v>0656</v>
      </c>
      <c r="H1488" t="str">
        <f>"0000"</f>
        <v>0000</v>
      </c>
      <c r="I1488" t="s">
        <v>69</v>
      </c>
      <c r="J1488">
        <v>0</v>
      </c>
      <c r="K1488">
        <v>1</v>
      </c>
      <c r="L1488">
        <v>2</v>
      </c>
      <c r="M1488">
        <v>306</v>
      </c>
      <c r="N1488">
        <v>350</v>
      </c>
      <c r="O1488">
        <v>7</v>
      </c>
      <c r="P1488">
        <v>350</v>
      </c>
      <c r="Q1488">
        <v>0</v>
      </c>
      <c r="R1488">
        <v>6</v>
      </c>
      <c r="S1488">
        <v>3</v>
      </c>
      <c r="T1488">
        <v>6</v>
      </c>
      <c r="U1488">
        <v>66</v>
      </c>
      <c r="V1488">
        <v>4</v>
      </c>
      <c r="W1488">
        <v>4</v>
      </c>
      <c r="X1488">
        <v>128</v>
      </c>
      <c r="Y1488">
        <v>3</v>
      </c>
      <c r="Z1488">
        <v>1</v>
      </c>
      <c r="AA1488">
        <v>0</v>
      </c>
      <c r="AB1488">
        <v>6</v>
      </c>
      <c r="AC1488">
        <v>110</v>
      </c>
      <c r="AD1488">
        <v>1</v>
      </c>
      <c r="AE1488">
        <v>0</v>
      </c>
      <c r="AF1488">
        <v>0</v>
      </c>
      <c r="AG1488">
        <v>0</v>
      </c>
      <c r="AI1488">
        <v>0</v>
      </c>
      <c r="AJ1488">
        <v>12</v>
      </c>
      <c r="AK1488">
        <v>350</v>
      </c>
      <c r="AL1488">
        <v>350</v>
      </c>
      <c r="AM1488">
        <v>606</v>
      </c>
      <c r="AN1488">
        <v>50</v>
      </c>
      <c r="AP1488">
        <v>1</v>
      </c>
      <c r="AR1488" t="s">
        <v>1576</v>
      </c>
      <c r="AS1488" s="1">
        <v>44354.275000000001</v>
      </c>
      <c r="AT1488" s="1">
        <v>44354.282372685186</v>
      </c>
      <c r="AU1488" s="1">
        <v>44354.283391203702</v>
      </c>
      <c r="AV1488" t="s">
        <v>71</v>
      </c>
      <c r="AW1488" t="s">
        <v>72</v>
      </c>
      <c r="AX1488" t="s">
        <v>73</v>
      </c>
    </row>
    <row r="1489" spans="1:50" x14ac:dyDescent="0.3">
      <c r="A1489" t="str">
        <f>"200656C0100"</f>
        <v>200656C0100</v>
      </c>
      <c r="B1489" t="str">
        <f>"200656C01002"</f>
        <v>200656C01002</v>
      </c>
      <c r="C1489" t="str">
        <f t="shared" si="74"/>
        <v>20</v>
      </c>
      <c r="D1489" t="s">
        <v>67</v>
      </c>
      <c r="E1489" t="str">
        <f t="shared" si="73"/>
        <v>007</v>
      </c>
      <c r="F1489" t="s">
        <v>1519</v>
      </c>
      <c r="G1489" t="str">
        <f>"0656"</f>
        <v>0656</v>
      </c>
      <c r="H1489" t="str">
        <f>"0001"</f>
        <v>0001</v>
      </c>
      <c r="I1489" t="s">
        <v>75</v>
      </c>
      <c r="J1489">
        <v>0</v>
      </c>
      <c r="K1489">
        <v>1</v>
      </c>
      <c r="L1489">
        <v>2</v>
      </c>
      <c r="M1489">
        <v>344</v>
      </c>
      <c r="N1489">
        <v>311</v>
      </c>
      <c r="O1489">
        <v>5</v>
      </c>
      <c r="P1489">
        <v>311</v>
      </c>
      <c r="Q1489">
        <v>1</v>
      </c>
      <c r="R1489">
        <v>9</v>
      </c>
      <c r="S1489">
        <v>2</v>
      </c>
      <c r="T1489">
        <v>9</v>
      </c>
      <c r="U1489">
        <v>82</v>
      </c>
      <c r="V1489">
        <v>2</v>
      </c>
      <c r="W1489">
        <v>1</v>
      </c>
      <c r="X1489">
        <v>91</v>
      </c>
      <c r="Y1489">
        <v>1</v>
      </c>
      <c r="Z1489">
        <v>0</v>
      </c>
      <c r="AA1489">
        <v>1</v>
      </c>
      <c r="AB1489">
        <v>3</v>
      </c>
      <c r="AC1489">
        <v>95</v>
      </c>
      <c r="AD1489">
        <v>1</v>
      </c>
      <c r="AE1489">
        <v>0</v>
      </c>
      <c r="AF1489">
        <v>0</v>
      </c>
      <c r="AG1489">
        <v>0</v>
      </c>
      <c r="AI1489">
        <v>0</v>
      </c>
      <c r="AJ1489">
        <v>13</v>
      </c>
      <c r="AK1489">
        <v>311</v>
      </c>
      <c r="AL1489">
        <v>311</v>
      </c>
      <c r="AM1489">
        <v>605</v>
      </c>
      <c r="AN1489">
        <v>50</v>
      </c>
      <c r="AP1489">
        <v>1</v>
      </c>
      <c r="AR1489" t="s">
        <v>1577</v>
      </c>
      <c r="AS1489" s="1">
        <v>44354.260416666664</v>
      </c>
      <c r="AT1489" s="1">
        <v>44354.263796296298</v>
      </c>
      <c r="AU1489" s="1">
        <v>44354.264097222222</v>
      </c>
      <c r="AV1489" t="s">
        <v>71</v>
      </c>
      <c r="AW1489" t="s">
        <v>72</v>
      </c>
      <c r="AX1489" t="s">
        <v>73</v>
      </c>
    </row>
    <row r="1490" spans="1:50" x14ac:dyDescent="0.3">
      <c r="A1490" t="str">
        <f>"200657B0000"</f>
        <v>200657B0000</v>
      </c>
      <c r="B1490" t="str">
        <f>"200657B00002"</f>
        <v>200657B00002</v>
      </c>
      <c r="C1490" t="str">
        <f t="shared" si="74"/>
        <v>20</v>
      </c>
      <c r="D1490" t="s">
        <v>67</v>
      </c>
      <c r="E1490" t="str">
        <f t="shared" si="73"/>
        <v>007</v>
      </c>
      <c r="F1490" t="s">
        <v>1519</v>
      </c>
      <c r="G1490" t="str">
        <f>"0657"</f>
        <v>0657</v>
      </c>
      <c r="H1490" t="str">
        <f>"0000"</f>
        <v>0000</v>
      </c>
      <c r="I1490" t="s">
        <v>69</v>
      </c>
      <c r="J1490">
        <v>0</v>
      </c>
      <c r="K1490">
        <v>1</v>
      </c>
      <c r="L1490">
        <v>2</v>
      </c>
      <c r="M1490">
        <v>361</v>
      </c>
      <c r="N1490">
        <v>395</v>
      </c>
      <c r="O1490">
        <v>6</v>
      </c>
      <c r="P1490">
        <v>395</v>
      </c>
      <c r="Q1490">
        <v>6</v>
      </c>
      <c r="R1490">
        <v>8</v>
      </c>
      <c r="S1490">
        <v>5</v>
      </c>
      <c r="T1490">
        <v>20</v>
      </c>
      <c r="U1490">
        <v>51</v>
      </c>
      <c r="V1490">
        <v>5</v>
      </c>
      <c r="W1490">
        <v>2</v>
      </c>
      <c r="X1490">
        <v>178</v>
      </c>
      <c r="Y1490">
        <v>5</v>
      </c>
      <c r="Z1490">
        <v>4</v>
      </c>
      <c r="AA1490">
        <v>1</v>
      </c>
      <c r="AB1490">
        <v>12</v>
      </c>
      <c r="AC1490">
        <v>86</v>
      </c>
      <c r="AD1490">
        <v>1</v>
      </c>
      <c r="AE1490">
        <v>0</v>
      </c>
      <c r="AF1490">
        <v>1</v>
      </c>
      <c r="AG1490">
        <v>0</v>
      </c>
      <c r="AI1490">
        <v>0</v>
      </c>
      <c r="AJ1490">
        <v>10</v>
      </c>
      <c r="AK1490">
        <v>395</v>
      </c>
      <c r="AL1490">
        <v>395</v>
      </c>
      <c r="AM1490">
        <v>706</v>
      </c>
      <c r="AN1490">
        <v>50</v>
      </c>
      <c r="AP1490">
        <v>1</v>
      </c>
      <c r="AR1490" t="s">
        <v>1578</v>
      </c>
      <c r="AS1490" s="1">
        <v>44354.265277777777</v>
      </c>
      <c r="AT1490" s="1">
        <v>44354.268483796295</v>
      </c>
      <c r="AU1490" s="1">
        <v>44354.269803240742</v>
      </c>
      <c r="AV1490" t="s">
        <v>71</v>
      </c>
      <c r="AW1490" t="s">
        <v>72</v>
      </c>
      <c r="AX1490" t="s">
        <v>73</v>
      </c>
    </row>
    <row r="1491" spans="1:50" x14ac:dyDescent="0.3">
      <c r="A1491" t="str">
        <f>"200657C0100"</f>
        <v>200657C0100</v>
      </c>
      <c r="B1491" t="str">
        <f>"200657C01002"</f>
        <v>200657C01002</v>
      </c>
      <c r="C1491" t="str">
        <f t="shared" si="74"/>
        <v>20</v>
      </c>
      <c r="D1491" t="s">
        <v>67</v>
      </c>
      <c r="E1491" t="str">
        <f t="shared" si="73"/>
        <v>007</v>
      </c>
      <c r="F1491" t="s">
        <v>1519</v>
      </c>
      <c r="G1491" t="str">
        <f>"0657"</f>
        <v>0657</v>
      </c>
      <c r="H1491" t="str">
        <f>"0001"</f>
        <v>0001</v>
      </c>
      <c r="I1491" t="s">
        <v>75</v>
      </c>
      <c r="J1491">
        <v>0</v>
      </c>
      <c r="K1491">
        <v>1</v>
      </c>
      <c r="L1491">
        <v>2</v>
      </c>
      <c r="M1491">
        <v>404</v>
      </c>
      <c r="N1491">
        <v>352</v>
      </c>
      <c r="O1491">
        <v>4</v>
      </c>
      <c r="P1491">
        <v>352</v>
      </c>
      <c r="Q1491">
        <v>2</v>
      </c>
      <c r="R1491">
        <v>6</v>
      </c>
      <c r="S1491">
        <v>8</v>
      </c>
      <c r="T1491">
        <v>23</v>
      </c>
      <c r="U1491">
        <v>49</v>
      </c>
      <c r="V1491">
        <v>9</v>
      </c>
      <c r="W1491">
        <v>7</v>
      </c>
      <c r="X1491">
        <v>131</v>
      </c>
      <c r="Y1491">
        <v>3</v>
      </c>
      <c r="Z1491">
        <v>4</v>
      </c>
      <c r="AA1491">
        <v>1</v>
      </c>
      <c r="AB1491">
        <v>9</v>
      </c>
      <c r="AC1491">
        <v>76</v>
      </c>
      <c r="AD1491">
        <v>2</v>
      </c>
      <c r="AE1491">
        <v>0</v>
      </c>
      <c r="AF1491">
        <v>0</v>
      </c>
      <c r="AG1491">
        <v>1</v>
      </c>
      <c r="AI1491">
        <v>0</v>
      </c>
      <c r="AJ1491">
        <v>20</v>
      </c>
      <c r="AK1491">
        <v>352</v>
      </c>
      <c r="AL1491">
        <v>351</v>
      </c>
      <c r="AM1491">
        <v>706</v>
      </c>
      <c r="AN1491">
        <v>50</v>
      </c>
      <c r="AP1491">
        <v>1</v>
      </c>
      <c r="AR1491" t="s">
        <v>1579</v>
      </c>
      <c r="AS1491" s="1">
        <v>44354.26458333333</v>
      </c>
      <c r="AT1491" s="1">
        <v>44354.267430555556</v>
      </c>
      <c r="AU1491" s="1">
        <v>44354.268136574072</v>
      </c>
      <c r="AV1491" t="s">
        <v>71</v>
      </c>
      <c r="AW1491" t="s">
        <v>72</v>
      </c>
      <c r="AX1491" t="s">
        <v>73</v>
      </c>
    </row>
    <row r="1492" spans="1:50" x14ac:dyDescent="0.3">
      <c r="A1492" t="str">
        <f>"200658B0000"</f>
        <v>200658B0000</v>
      </c>
      <c r="B1492" t="str">
        <f>"200658B00002"</f>
        <v>200658B00002</v>
      </c>
      <c r="C1492" t="str">
        <f t="shared" si="74"/>
        <v>20</v>
      </c>
      <c r="D1492" t="s">
        <v>67</v>
      </c>
      <c r="E1492" t="str">
        <f t="shared" si="73"/>
        <v>007</v>
      </c>
      <c r="F1492" t="s">
        <v>1519</v>
      </c>
      <c r="G1492" t="str">
        <f>"0658"</f>
        <v>0658</v>
      </c>
      <c r="H1492" t="str">
        <f>"0000"</f>
        <v>0000</v>
      </c>
      <c r="I1492" t="s">
        <v>69</v>
      </c>
      <c r="J1492">
        <v>0</v>
      </c>
      <c r="K1492">
        <v>1</v>
      </c>
      <c r="L1492">
        <v>2</v>
      </c>
      <c r="M1492">
        <v>235</v>
      </c>
      <c r="N1492">
        <v>261</v>
      </c>
      <c r="O1492">
        <v>2</v>
      </c>
      <c r="P1492">
        <v>261</v>
      </c>
      <c r="Q1492">
        <v>0</v>
      </c>
      <c r="R1492">
        <v>5</v>
      </c>
      <c r="S1492">
        <v>4</v>
      </c>
      <c r="T1492">
        <v>8</v>
      </c>
      <c r="U1492">
        <v>6</v>
      </c>
      <c r="V1492">
        <v>1</v>
      </c>
      <c r="W1492">
        <v>4</v>
      </c>
      <c r="X1492">
        <v>72</v>
      </c>
      <c r="Y1492">
        <v>11</v>
      </c>
      <c r="Z1492">
        <v>1</v>
      </c>
      <c r="AA1492">
        <v>11</v>
      </c>
      <c r="AB1492">
        <v>4</v>
      </c>
      <c r="AC1492">
        <v>119</v>
      </c>
      <c r="AD1492">
        <v>0</v>
      </c>
      <c r="AE1492">
        <v>0</v>
      </c>
      <c r="AF1492">
        <v>0</v>
      </c>
      <c r="AG1492">
        <v>0</v>
      </c>
      <c r="AI1492">
        <v>0</v>
      </c>
      <c r="AJ1492">
        <v>15</v>
      </c>
      <c r="AK1492">
        <v>261</v>
      </c>
      <c r="AL1492">
        <v>261</v>
      </c>
      <c r="AM1492">
        <v>446</v>
      </c>
      <c r="AN1492">
        <v>50</v>
      </c>
      <c r="AP1492">
        <v>1</v>
      </c>
      <c r="AR1492" t="s">
        <v>1580</v>
      </c>
      <c r="AS1492" s="1">
        <v>44354.276388888888</v>
      </c>
      <c r="AT1492" s="1">
        <v>44354.279872685183</v>
      </c>
      <c r="AU1492" s="1">
        <v>44354.280243055553</v>
      </c>
      <c r="AV1492" t="s">
        <v>71</v>
      </c>
      <c r="AW1492" t="s">
        <v>72</v>
      </c>
      <c r="AX1492" t="s">
        <v>73</v>
      </c>
    </row>
    <row r="1493" spans="1:50" x14ac:dyDescent="0.3">
      <c r="A1493" t="str">
        <f>"200659B0000"</f>
        <v>200659B0000</v>
      </c>
      <c r="B1493" t="str">
        <f>"200659B00002"</f>
        <v>200659B00002</v>
      </c>
      <c r="C1493" t="str">
        <f t="shared" si="74"/>
        <v>20</v>
      </c>
      <c r="D1493" t="s">
        <v>67</v>
      </c>
      <c r="E1493" t="str">
        <f t="shared" si="73"/>
        <v>007</v>
      </c>
      <c r="F1493" t="s">
        <v>1519</v>
      </c>
      <c r="G1493" t="str">
        <f>"0659"</f>
        <v>0659</v>
      </c>
      <c r="H1493" t="str">
        <f>"0000"</f>
        <v>0000</v>
      </c>
      <c r="I1493" t="s">
        <v>69</v>
      </c>
      <c r="J1493">
        <v>0</v>
      </c>
      <c r="K1493">
        <v>1</v>
      </c>
      <c r="L1493">
        <v>2</v>
      </c>
      <c r="M1493">
        <v>238</v>
      </c>
      <c r="N1493">
        <v>307</v>
      </c>
      <c r="O1493">
        <v>0</v>
      </c>
      <c r="P1493">
        <v>307</v>
      </c>
      <c r="Q1493">
        <v>5</v>
      </c>
      <c r="R1493">
        <v>7</v>
      </c>
      <c r="S1493">
        <v>3</v>
      </c>
      <c r="T1493">
        <v>5</v>
      </c>
      <c r="U1493">
        <v>93</v>
      </c>
      <c r="V1493">
        <v>2</v>
      </c>
      <c r="W1493">
        <v>3</v>
      </c>
      <c r="X1493">
        <v>107</v>
      </c>
      <c r="Y1493">
        <v>3</v>
      </c>
      <c r="Z1493">
        <v>4</v>
      </c>
      <c r="AA1493">
        <v>0</v>
      </c>
      <c r="AB1493">
        <v>3</v>
      </c>
      <c r="AC1493">
        <v>65</v>
      </c>
      <c r="AD1493">
        <v>1</v>
      </c>
      <c r="AE1493">
        <v>0</v>
      </c>
      <c r="AF1493">
        <v>0</v>
      </c>
      <c r="AG1493">
        <v>0</v>
      </c>
      <c r="AI1493">
        <v>0</v>
      </c>
      <c r="AJ1493">
        <v>6</v>
      </c>
      <c r="AK1493">
        <v>307</v>
      </c>
      <c r="AL1493">
        <v>307</v>
      </c>
      <c r="AM1493">
        <v>495</v>
      </c>
      <c r="AN1493">
        <v>50</v>
      </c>
      <c r="AP1493">
        <v>1</v>
      </c>
      <c r="AR1493" t="s">
        <v>1581</v>
      </c>
      <c r="AS1493" s="1">
        <v>44354.214583333334</v>
      </c>
      <c r="AT1493" s="1">
        <v>44354.217002314814</v>
      </c>
      <c r="AU1493" s="1">
        <v>44354.217650462961</v>
      </c>
      <c r="AV1493" t="s">
        <v>71</v>
      </c>
      <c r="AW1493" t="s">
        <v>72</v>
      </c>
      <c r="AX1493" t="s">
        <v>73</v>
      </c>
    </row>
    <row r="1494" spans="1:50" x14ac:dyDescent="0.3">
      <c r="A1494" t="str">
        <f>"200659C0100"</f>
        <v>200659C0100</v>
      </c>
      <c r="B1494" t="str">
        <f>"200659C01002"</f>
        <v>200659C01002</v>
      </c>
      <c r="C1494" t="str">
        <f t="shared" si="74"/>
        <v>20</v>
      </c>
      <c r="D1494" t="s">
        <v>67</v>
      </c>
      <c r="E1494" t="str">
        <f t="shared" si="73"/>
        <v>007</v>
      </c>
      <c r="F1494" t="s">
        <v>1519</v>
      </c>
      <c r="G1494" t="str">
        <f>"0659"</f>
        <v>0659</v>
      </c>
      <c r="H1494" t="str">
        <f>"0001"</f>
        <v>0001</v>
      </c>
      <c r="I1494" t="s">
        <v>75</v>
      </c>
      <c r="J1494">
        <v>0</v>
      </c>
      <c r="K1494">
        <v>1</v>
      </c>
      <c r="L1494">
        <v>2</v>
      </c>
      <c r="M1494">
        <v>223</v>
      </c>
      <c r="N1494">
        <v>322</v>
      </c>
      <c r="O1494">
        <v>2</v>
      </c>
      <c r="P1494">
        <v>322</v>
      </c>
      <c r="Q1494">
        <v>0</v>
      </c>
      <c r="R1494">
        <v>3</v>
      </c>
      <c r="S1494">
        <v>0</v>
      </c>
      <c r="T1494">
        <v>6</v>
      </c>
      <c r="U1494">
        <v>112</v>
      </c>
      <c r="V1494">
        <v>1</v>
      </c>
      <c r="W1494">
        <v>5</v>
      </c>
      <c r="X1494">
        <v>106</v>
      </c>
      <c r="Y1494">
        <v>2</v>
      </c>
      <c r="Z1494">
        <v>1</v>
      </c>
      <c r="AA1494">
        <v>0</v>
      </c>
      <c r="AB1494">
        <v>6</v>
      </c>
      <c r="AC1494">
        <v>65</v>
      </c>
      <c r="AD1494">
        <v>0</v>
      </c>
      <c r="AE1494">
        <v>1</v>
      </c>
      <c r="AF1494">
        <v>0</v>
      </c>
      <c r="AG1494">
        <v>0</v>
      </c>
      <c r="AI1494">
        <v>0</v>
      </c>
      <c r="AJ1494">
        <v>14</v>
      </c>
      <c r="AK1494">
        <v>322</v>
      </c>
      <c r="AL1494">
        <v>322</v>
      </c>
      <c r="AM1494">
        <v>495</v>
      </c>
      <c r="AN1494">
        <v>50</v>
      </c>
      <c r="AP1494">
        <v>1</v>
      </c>
      <c r="AR1494" t="s">
        <v>1582</v>
      </c>
      <c r="AS1494" s="1">
        <v>44354.213194444441</v>
      </c>
      <c r="AT1494" s="1">
        <v>44354.216053240743</v>
      </c>
      <c r="AU1494" s="1">
        <v>44354.216493055559</v>
      </c>
      <c r="AV1494" t="s">
        <v>71</v>
      </c>
      <c r="AW1494" t="s">
        <v>72</v>
      </c>
      <c r="AX1494" t="s">
        <v>73</v>
      </c>
    </row>
    <row r="1495" spans="1:50" x14ac:dyDescent="0.3">
      <c r="A1495" t="str">
        <f>"200659E0100"</f>
        <v>200659E0100</v>
      </c>
      <c r="B1495" t="str">
        <f>"200659E01002"</f>
        <v>200659E01002</v>
      </c>
      <c r="C1495" t="str">
        <f t="shared" si="74"/>
        <v>20</v>
      </c>
      <c r="D1495" t="s">
        <v>67</v>
      </c>
      <c r="E1495" t="str">
        <f t="shared" si="73"/>
        <v>007</v>
      </c>
      <c r="F1495" t="s">
        <v>1519</v>
      </c>
      <c r="G1495" t="str">
        <f>"0659"</f>
        <v>0659</v>
      </c>
      <c r="H1495" t="str">
        <f>"0001"</f>
        <v>0001</v>
      </c>
      <c r="I1495" t="s">
        <v>109</v>
      </c>
      <c r="J1495">
        <v>0</v>
      </c>
      <c r="K1495">
        <v>1</v>
      </c>
      <c r="L1495">
        <v>2</v>
      </c>
      <c r="M1495">
        <v>288</v>
      </c>
      <c r="N1495">
        <v>300</v>
      </c>
      <c r="O1495">
        <v>6</v>
      </c>
      <c r="P1495">
        <v>301</v>
      </c>
      <c r="Q1495">
        <v>2</v>
      </c>
      <c r="R1495">
        <v>8</v>
      </c>
      <c r="S1495">
        <v>5</v>
      </c>
      <c r="T1495">
        <v>11</v>
      </c>
      <c r="U1495">
        <v>6</v>
      </c>
      <c r="V1495">
        <v>2</v>
      </c>
      <c r="W1495">
        <v>6</v>
      </c>
      <c r="X1495">
        <v>90</v>
      </c>
      <c r="Y1495">
        <v>7</v>
      </c>
      <c r="Z1495">
        <v>2</v>
      </c>
      <c r="AA1495">
        <v>1</v>
      </c>
      <c r="AB1495">
        <v>7</v>
      </c>
      <c r="AC1495">
        <v>134</v>
      </c>
      <c r="AD1495">
        <v>0</v>
      </c>
      <c r="AE1495">
        <v>0</v>
      </c>
      <c r="AF1495">
        <v>0</v>
      </c>
      <c r="AG1495">
        <v>0</v>
      </c>
      <c r="AI1495">
        <v>0</v>
      </c>
      <c r="AJ1495">
        <v>20</v>
      </c>
      <c r="AK1495">
        <v>301</v>
      </c>
      <c r="AL1495">
        <v>301</v>
      </c>
      <c r="AM1495">
        <v>539</v>
      </c>
      <c r="AN1495">
        <v>50</v>
      </c>
      <c r="AP1495">
        <v>1</v>
      </c>
      <c r="AR1495" t="s">
        <v>1583</v>
      </c>
      <c r="AS1495" s="1">
        <v>44354.029861111114</v>
      </c>
      <c r="AT1495" s="1">
        <v>44354.03875</v>
      </c>
      <c r="AU1495" s="1">
        <v>44354.03974537037</v>
      </c>
      <c r="AV1495" t="s">
        <v>71</v>
      </c>
      <c r="AW1495" t="s">
        <v>72</v>
      </c>
      <c r="AX1495" t="s">
        <v>73</v>
      </c>
    </row>
    <row r="1496" spans="1:50" x14ac:dyDescent="0.3">
      <c r="A1496" t="str">
        <f>"200660B0000"</f>
        <v>200660B0000</v>
      </c>
      <c r="B1496" t="str">
        <f>"200660B00002"</f>
        <v>200660B00002</v>
      </c>
      <c r="C1496" t="str">
        <f t="shared" si="74"/>
        <v>20</v>
      </c>
      <c r="D1496" t="s">
        <v>67</v>
      </c>
      <c r="E1496" t="str">
        <f t="shared" ref="E1496:E1559" si="75">"007"</f>
        <v>007</v>
      </c>
      <c r="F1496" t="s">
        <v>1519</v>
      </c>
      <c r="G1496" t="str">
        <f>"0660"</f>
        <v>0660</v>
      </c>
      <c r="H1496" t="str">
        <f>"0000"</f>
        <v>0000</v>
      </c>
      <c r="I1496" t="s">
        <v>69</v>
      </c>
      <c r="J1496">
        <v>0</v>
      </c>
      <c r="K1496">
        <v>1</v>
      </c>
      <c r="L1496">
        <v>2</v>
      </c>
      <c r="M1496">
        <v>271</v>
      </c>
      <c r="N1496">
        <v>305</v>
      </c>
      <c r="O1496">
        <v>0</v>
      </c>
      <c r="P1496">
        <v>305</v>
      </c>
      <c r="Q1496">
        <v>2</v>
      </c>
      <c r="R1496">
        <v>13</v>
      </c>
      <c r="S1496">
        <v>3</v>
      </c>
      <c r="T1496">
        <v>8</v>
      </c>
      <c r="U1496">
        <v>25</v>
      </c>
      <c r="V1496">
        <v>3</v>
      </c>
      <c r="W1496">
        <v>2</v>
      </c>
      <c r="X1496">
        <v>62</v>
      </c>
      <c r="Y1496">
        <v>2</v>
      </c>
      <c r="Z1496">
        <v>2</v>
      </c>
      <c r="AA1496">
        <v>3</v>
      </c>
      <c r="AB1496">
        <v>2</v>
      </c>
      <c r="AC1496">
        <v>158</v>
      </c>
      <c r="AD1496">
        <v>2</v>
      </c>
      <c r="AE1496">
        <v>0</v>
      </c>
      <c r="AF1496">
        <v>0</v>
      </c>
      <c r="AG1496">
        <v>0</v>
      </c>
      <c r="AI1496">
        <v>0</v>
      </c>
      <c r="AJ1496">
        <v>18</v>
      </c>
      <c r="AK1496">
        <v>305</v>
      </c>
      <c r="AL1496">
        <v>305</v>
      </c>
      <c r="AM1496">
        <v>526</v>
      </c>
      <c r="AN1496">
        <v>50</v>
      </c>
      <c r="AP1496">
        <v>1</v>
      </c>
      <c r="AR1496" t="s">
        <v>1584</v>
      </c>
      <c r="AS1496" s="1">
        <v>44354.1</v>
      </c>
      <c r="AT1496" s="1">
        <v>44354.104409722226</v>
      </c>
      <c r="AU1496" s="1">
        <v>44354.105127314811</v>
      </c>
      <c r="AV1496" t="s">
        <v>71</v>
      </c>
      <c r="AW1496" t="s">
        <v>72</v>
      </c>
      <c r="AX1496" t="s">
        <v>73</v>
      </c>
    </row>
    <row r="1497" spans="1:50" x14ac:dyDescent="0.3">
      <c r="A1497" t="str">
        <f>"200660C0100"</f>
        <v>200660C0100</v>
      </c>
      <c r="B1497" t="str">
        <f>"200660C01002"</f>
        <v>200660C01002</v>
      </c>
      <c r="C1497" t="str">
        <f t="shared" si="74"/>
        <v>20</v>
      </c>
      <c r="D1497" t="s">
        <v>67</v>
      </c>
      <c r="E1497" t="str">
        <f t="shared" si="75"/>
        <v>007</v>
      </c>
      <c r="F1497" t="s">
        <v>1519</v>
      </c>
      <c r="G1497" t="str">
        <f>"0660"</f>
        <v>0660</v>
      </c>
      <c r="H1497" t="str">
        <f>"0001"</f>
        <v>0001</v>
      </c>
      <c r="I1497" t="s">
        <v>75</v>
      </c>
      <c r="J1497">
        <v>0</v>
      </c>
      <c r="K1497">
        <v>1</v>
      </c>
      <c r="L1497">
        <v>2</v>
      </c>
      <c r="M1497">
        <v>293</v>
      </c>
      <c r="N1497">
        <v>283</v>
      </c>
      <c r="O1497">
        <v>0</v>
      </c>
      <c r="P1497">
        <v>283</v>
      </c>
      <c r="Q1497">
        <v>2</v>
      </c>
      <c r="R1497">
        <v>14</v>
      </c>
      <c r="S1497">
        <v>2</v>
      </c>
      <c r="T1497">
        <v>3</v>
      </c>
      <c r="U1497">
        <v>17</v>
      </c>
      <c r="V1497">
        <v>5</v>
      </c>
      <c r="W1497">
        <v>2</v>
      </c>
      <c r="X1497">
        <v>62</v>
      </c>
      <c r="Y1497">
        <v>1</v>
      </c>
      <c r="Z1497">
        <v>0</v>
      </c>
      <c r="AA1497">
        <v>1</v>
      </c>
      <c r="AB1497">
        <v>0</v>
      </c>
      <c r="AC1497">
        <v>149</v>
      </c>
      <c r="AD1497">
        <v>2</v>
      </c>
      <c r="AE1497">
        <v>0</v>
      </c>
      <c r="AF1497">
        <v>0</v>
      </c>
      <c r="AG1497">
        <v>0</v>
      </c>
      <c r="AI1497">
        <v>0</v>
      </c>
      <c r="AJ1497">
        <v>23</v>
      </c>
      <c r="AK1497">
        <v>283</v>
      </c>
      <c r="AL1497">
        <v>283</v>
      </c>
      <c r="AM1497">
        <v>526</v>
      </c>
      <c r="AN1497">
        <v>50</v>
      </c>
      <c r="AP1497">
        <v>1</v>
      </c>
      <c r="AR1497" t="s">
        <v>1585</v>
      </c>
      <c r="AS1497" s="1">
        <v>44354.102083333331</v>
      </c>
      <c r="AT1497" s="1">
        <v>44354.104930555557</v>
      </c>
      <c r="AU1497" s="1">
        <v>44354.105717592596</v>
      </c>
      <c r="AV1497" t="s">
        <v>71</v>
      </c>
      <c r="AW1497" t="s">
        <v>72</v>
      </c>
      <c r="AX1497" t="s">
        <v>73</v>
      </c>
    </row>
    <row r="1498" spans="1:50" x14ac:dyDescent="0.3">
      <c r="A1498" t="str">
        <f>"200663B0000"</f>
        <v>200663B0000</v>
      </c>
      <c r="B1498" t="str">
        <f>"200663B00002"</f>
        <v>200663B00002</v>
      </c>
      <c r="C1498" t="str">
        <f t="shared" si="74"/>
        <v>20</v>
      </c>
      <c r="D1498" t="s">
        <v>67</v>
      </c>
      <c r="E1498" t="str">
        <f t="shared" si="75"/>
        <v>007</v>
      </c>
      <c r="F1498" t="s">
        <v>1519</v>
      </c>
      <c r="G1498" t="str">
        <f>"0663"</f>
        <v>0663</v>
      </c>
      <c r="H1498" t="str">
        <f>"0000"</f>
        <v>0000</v>
      </c>
      <c r="I1498" t="s">
        <v>69</v>
      </c>
      <c r="J1498">
        <v>0</v>
      </c>
      <c r="K1498">
        <v>1</v>
      </c>
      <c r="L1498">
        <v>2</v>
      </c>
      <c r="M1498">
        <v>452</v>
      </c>
      <c r="N1498">
        <v>202</v>
      </c>
      <c r="O1498">
        <v>0</v>
      </c>
      <c r="P1498">
        <v>202</v>
      </c>
      <c r="Q1498">
        <v>1</v>
      </c>
      <c r="R1498">
        <v>5</v>
      </c>
      <c r="S1498">
        <v>1</v>
      </c>
      <c r="T1498" t="s">
        <v>77</v>
      </c>
      <c r="U1498">
        <v>3</v>
      </c>
      <c r="V1498">
        <v>1</v>
      </c>
      <c r="W1498" t="s">
        <v>77</v>
      </c>
      <c r="X1498">
        <v>76</v>
      </c>
      <c r="Y1498" t="s">
        <v>77</v>
      </c>
      <c r="Z1498" t="s">
        <v>77</v>
      </c>
      <c r="AA1498">
        <v>1</v>
      </c>
      <c r="AB1498">
        <v>2</v>
      </c>
      <c r="AC1498">
        <v>100</v>
      </c>
      <c r="AD1498" t="s">
        <v>77</v>
      </c>
      <c r="AE1498" t="s">
        <v>77</v>
      </c>
      <c r="AF1498" t="s">
        <v>77</v>
      </c>
      <c r="AG1498" t="s">
        <v>77</v>
      </c>
      <c r="AI1498" t="s">
        <v>77</v>
      </c>
      <c r="AJ1498">
        <v>9</v>
      </c>
      <c r="AK1498">
        <v>202</v>
      </c>
      <c r="AL1498">
        <v>199</v>
      </c>
      <c r="AM1498">
        <v>610</v>
      </c>
      <c r="AN1498">
        <v>46</v>
      </c>
      <c r="AO1498" t="s">
        <v>78</v>
      </c>
      <c r="AP1498">
        <v>1</v>
      </c>
      <c r="AR1498" t="s">
        <v>1586</v>
      </c>
      <c r="AS1498" s="1">
        <v>44354.12777777778</v>
      </c>
      <c r="AT1498" s="1">
        <v>44354.129895833335</v>
      </c>
      <c r="AU1498" s="1">
        <v>44354.130474537036</v>
      </c>
      <c r="AV1498" t="s">
        <v>71</v>
      </c>
      <c r="AW1498" t="s">
        <v>72</v>
      </c>
      <c r="AX1498" t="s">
        <v>73</v>
      </c>
    </row>
    <row r="1499" spans="1:50" x14ac:dyDescent="0.3">
      <c r="A1499" t="str">
        <f>"200663C0100"</f>
        <v>200663C0100</v>
      </c>
      <c r="B1499" t="str">
        <f>"200663C01002"</f>
        <v>200663C01002</v>
      </c>
      <c r="C1499" t="str">
        <f t="shared" si="74"/>
        <v>20</v>
      </c>
      <c r="D1499" t="s">
        <v>67</v>
      </c>
      <c r="E1499" t="str">
        <f t="shared" si="75"/>
        <v>007</v>
      </c>
      <c r="F1499" t="s">
        <v>1519</v>
      </c>
      <c r="G1499" t="str">
        <f>"0663"</f>
        <v>0663</v>
      </c>
      <c r="H1499" t="str">
        <f>"0001"</f>
        <v>0001</v>
      </c>
      <c r="I1499" t="s">
        <v>75</v>
      </c>
      <c r="J1499">
        <v>0</v>
      </c>
      <c r="K1499">
        <v>1</v>
      </c>
      <c r="L1499">
        <v>2</v>
      </c>
      <c r="M1499">
        <v>461</v>
      </c>
      <c r="N1499">
        <v>194</v>
      </c>
      <c r="O1499">
        <v>0</v>
      </c>
      <c r="P1499">
        <v>194</v>
      </c>
      <c r="Q1499">
        <v>1</v>
      </c>
      <c r="R1499">
        <v>17</v>
      </c>
      <c r="S1499">
        <v>4</v>
      </c>
      <c r="T1499">
        <v>2</v>
      </c>
      <c r="U1499">
        <v>3</v>
      </c>
      <c r="V1499">
        <v>1</v>
      </c>
      <c r="W1499">
        <v>2</v>
      </c>
      <c r="X1499">
        <v>80</v>
      </c>
      <c r="Y1499">
        <v>1</v>
      </c>
      <c r="Z1499">
        <v>2</v>
      </c>
      <c r="AA1499">
        <v>1</v>
      </c>
      <c r="AB1499">
        <v>4</v>
      </c>
      <c r="AC1499">
        <v>67</v>
      </c>
      <c r="AD1499" t="s">
        <v>77</v>
      </c>
      <c r="AE1499" t="s">
        <v>77</v>
      </c>
      <c r="AF1499" t="s">
        <v>77</v>
      </c>
      <c r="AG1499" t="s">
        <v>77</v>
      </c>
      <c r="AI1499" t="s">
        <v>77</v>
      </c>
      <c r="AJ1499">
        <v>9</v>
      </c>
      <c r="AK1499">
        <v>194</v>
      </c>
      <c r="AL1499">
        <v>194</v>
      </c>
      <c r="AM1499">
        <v>609</v>
      </c>
      <c r="AN1499">
        <v>46</v>
      </c>
      <c r="AO1499" t="s">
        <v>78</v>
      </c>
      <c r="AP1499">
        <v>1</v>
      </c>
      <c r="AR1499" t="s">
        <v>1587</v>
      </c>
      <c r="AS1499" s="1">
        <v>44354.135416666664</v>
      </c>
      <c r="AT1499" s="1">
        <v>44354.138067129628</v>
      </c>
      <c r="AU1499" s="1">
        <v>44354.138703703706</v>
      </c>
      <c r="AV1499" t="s">
        <v>71</v>
      </c>
      <c r="AW1499" t="s">
        <v>72</v>
      </c>
      <c r="AX1499" t="s">
        <v>73</v>
      </c>
    </row>
    <row r="1500" spans="1:50" x14ac:dyDescent="0.3">
      <c r="A1500" t="str">
        <f>"200664B0000"</f>
        <v>200664B0000</v>
      </c>
      <c r="B1500" t="str">
        <f>"200664B00002"</f>
        <v>200664B00002</v>
      </c>
      <c r="C1500" t="str">
        <f t="shared" si="74"/>
        <v>20</v>
      </c>
      <c r="D1500" t="s">
        <v>67</v>
      </c>
      <c r="E1500" t="str">
        <f t="shared" si="75"/>
        <v>007</v>
      </c>
      <c r="F1500" t="s">
        <v>1519</v>
      </c>
      <c r="G1500" t="str">
        <f>"0664"</f>
        <v>0664</v>
      </c>
      <c r="H1500" t="str">
        <f>"0000"</f>
        <v>0000</v>
      </c>
      <c r="I1500" t="s">
        <v>69</v>
      </c>
      <c r="J1500">
        <v>0</v>
      </c>
      <c r="K1500">
        <v>1</v>
      </c>
      <c r="L1500">
        <v>2</v>
      </c>
      <c r="M1500">
        <v>276</v>
      </c>
      <c r="N1500">
        <v>147</v>
      </c>
      <c r="O1500">
        <v>2</v>
      </c>
      <c r="P1500">
        <v>147</v>
      </c>
      <c r="Q1500">
        <v>1</v>
      </c>
      <c r="R1500">
        <v>9</v>
      </c>
      <c r="S1500">
        <v>3</v>
      </c>
      <c r="T1500">
        <v>0</v>
      </c>
      <c r="U1500">
        <v>2</v>
      </c>
      <c r="V1500">
        <v>2</v>
      </c>
      <c r="W1500">
        <v>1</v>
      </c>
      <c r="X1500">
        <v>96</v>
      </c>
      <c r="Y1500">
        <v>0</v>
      </c>
      <c r="Z1500">
        <v>1</v>
      </c>
      <c r="AA1500">
        <v>3</v>
      </c>
      <c r="AB1500">
        <v>2</v>
      </c>
      <c r="AC1500" t="s">
        <v>77</v>
      </c>
      <c r="AD1500" t="s">
        <v>77</v>
      </c>
      <c r="AE1500" t="s">
        <v>77</v>
      </c>
      <c r="AF1500" t="s">
        <v>77</v>
      </c>
      <c r="AG1500" t="s">
        <v>77</v>
      </c>
      <c r="AI1500" t="s">
        <v>77</v>
      </c>
      <c r="AJ1500">
        <v>5</v>
      </c>
      <c r="AK1500">
        <v>147</v>
      </c>
      <c r="AL1500">
        <v>125</v>
      </c>
      <c r="AM1500">
        <v>377</v>
      </c>
      <c r="AN1500">
        <v>46</v>
      </c>
      <c r="AO1500" t="s">
        <v>78</v>
      </c>
      <c r="AP1500">
        <v>1</v>
      </c>
      <c r="AR1500" t="s">
        <v>1588</v>
      </c>
      <c r="AS1500" s="1">
        <v>44354.123611111114</v>
      </c>
      <c r="AT1500" s="1">
        <v>44354.12709490741</v>
      </c>
      <c r="AU1500" s="1">
        <v>44354.12767361111</v>
      </c>
      <c r="AV1500" t="s">
        <v>71</v>
      </c>
      <c r="AW1500" t="s">
        <v>72</v>
      </c>
      <c r="AX1500" t="s">
        <v>73</v>
      </c>
    </row>
    <row r="1501" spans="1:50" x14ac:dyDescent="0.3">
      <c r="A1501" t="str">
        <f>"200664C0100"</f>
        <v>200664C0100</v>
      </c>
      <c r="B1501" t="str">
        <f>"200664C01002"</f>
        <v>200664C01002</v>
      </c>
      <c r="C1501" t="str">
        <f t="shared" si="74"/>
        <v>20</v>
      </c>
      <c r="D1501" t="s">
        <v>67</v>
      </c>
      <c r="E1501" t="str">
        <f t="shared" si="75"/>
        <v>007</v>
      </c>
      <c r="F1501" t="s">
        <v>1519</v>
      </c>
      <c r="G1501" t="str">
        <f>"0664"</f>
        <v>0664</v>
      </c>
      <c r="H1501" t="str">
        <f>"0001"</f>
        <v>0001</v>
      </c>
      <c r="I1501" t="s">
        <v>75</v>
      </c>
      <c r="J1501">
        <v>0</v>
      </c>
      <c r="K1501">
        <v>1</v>
      </c>
      <c r="L1501">
        <v>2</v>
      </c>
      <c r="M1501">
        <v>289</v>
      </c>
      <c r="N1501">
        <v>134</v>
      </c>
      <c r="O1501">
        <v>0</v>
      </c>
      <c r="P1501">
        <v>134</v>
      </c>
      <c r="Q1501">
        <v>1</v>
      </c>
      <c r="R1501">
        <v>3</v>
      </c>
      <c r="S1501">
        <v>2</v>
      </c>
      <c r="T1501" t="s">
        <v>77</v>
      </c>
      <c r="U1501">
        <v>4</v>
      </c>
      <c r="V1501">
        <v>2</v>
      </c>
      <c r="W1501">
        <v>1</v>
      </c>
      <c r="X1501">
        <v>90</v>
      </c>
      <c r="Y1501" t="s">
        <v>77</v>
      </c>
      <c r="Z1501">
        <v>2</v>
      </c>
      <c r="AA1501">
        <v>1</v>
      </c>
      <c r="AB1501">
        <v>2</v>
      </c>
      <c r="AC1501">
        <v>24</v>
      </c>
      <c r="AD1501" t="s">
        <v>77</v>
      </c>
      <c r="AE1501" t="s">
        <v>77</v>
      </c>
      <c r="AF1501" t="s">
        <v>77</v>
      </c>
      <c r="AG1501" t="s">
        <v>77</v>
      </c>
      <c r="AI1501" t="s">
        <v>77</v>
      </c>
      <c r="AJ1501">
        <v>2</v>
      </c>
      <c r="AK1501">
        <v>134</v>
      </c>
      <c r="AL1501">
        <v>134</v>
      </c>
      <c r="AM1501">
        <v>377</v>
      </c>
      <c r="AN1501">
        <v>46</v>
      </c>
      <c r="AO1501" t="s">
        <v>78</v>
      </c>
      <c r="AP1501">
        <v>1</v>
      </c>
      <c r="AR1501" t="s">
        <v>1589</v>
      </c>
      <c r="AS1501" s="1">
        <v>44354.134722222225</v>
      </c>
      <c r="AT1501" s="1">
        <v>44354.136678240742</v>
      </c>
      <c r="AU1501" s="1">
        <v>44354.137245370373</v>
      </c>
      <c r="AV1501" t="s">
        <v>71</v>
      </c>
      <c r="AW1501" t="s">
        <v>72</v>
      </c>
      <c r="AX1501" t="s">
        <v>73</v>
      </c>
    </row>
    <row r="1502" spans="1:50" x14ac:dyDescent="0.3">
      <c r="A1502" t="str">
        <f>"200665B0000"</f>
        <v>200665B0000</v>
      </c>
      <c r="B1502" t="str">
        <f>"200665B00002"</f>
        <v>200665B00002</v>
      </c>
      <c r="C1502" t="str">
        <f t="shared" si="74"/>
        <v>20</v>
      </c>
      <c r="D1502" t="s">
        <v>67</v>
      </c>
      <c r="E1502" t="str">
        <f t="shared" si="75"/>
        <v>007</v>
      </c>
      <c r="F1502" t="s">
        <v>1519</v>
      </c>
      <c r="G1502" t="str">
        <f>"0665"</f>
        <v>0665</v>
      </c>
      <c r="H1502" t="str">
        <f>"0000"</f>
        <v>0000</v>
      </c>
      <c r="I1502" t="s">
        <v>69</v>
      </c>
      <c r="J1502">
        <v>0</v>
      </c>
      <c r="K1502">
        <v>1</v>
      </c>
      <c r="L1502">
        <v>2</v>
      </c>
      <c r="M1502">
        <v>162</v>
      </c>
      <c r="N1502">
        <v>129</v>
      </c>
      <c r="O1502">
        <v>3</v>
      </c>
      <c r="P1502">
        <v>129</v>
      </c>
      <c r="Q1502">
        <v>0</v>
      </c>
      <c r="R1502">
        <v>7</v>
      </c>
      <c r="S1502">
        <v>2</v>
      </c>
      <c r="T1502">
        <v>0</v>
      </c>
      <c r="U1502">
        <v>0</v>
      </c>
      <c r="V1502">
        <v>2</v>
      </c>
      <c r="W1502">
        <v>0</v>
      </c>
      <c r="X1502">
        <v>64</v>
      </c>
      <c r="Y1502">
        <v>0</v>
      </c>
      <c r="Z1502">
        <v>4</v>
      </c>
      <c r="AA1502">
        <v>0</v>
      </c>
      <c r="AB1502">
        <v>3</v>
      </c>
      <c r="AC1502">
        <v>46</v>
      </c>
      <c r="AD1502">
        <v>0</v>
      </c>
      <c r="AE1502">
        <v>0</v>
      </c>
      <c r="AF1502">
        <v>0</v>
      </c>
      <c r="AG1502">
        <v>0</v>
      </c>
      <c r="AI1502">
        <v>0</v>
      </c>
      <c r="AJ1502">
        <v>0</v>
      </c>
      <c r="AK1502">
        <v>129</v>
      </c>
      <c r="AL1502">
        <v>128</v>
      </c>
      <c r="AM1502">
        <v>245</v>
      </c>
      <c r="AN1502">
        <v>46</v>
      </c>
      <c r="AP1502">
        <v>1</v>
      </c>
      <c r="AR1502" t="s">
        <v>1590</v>
      </c>
      <c r="AS1502" s="1">
        <v>44354.143055555556</v>
      </c>
      <c r="AT1502" s="1">
        <v>44354.145601851851</v>
      </c>
      <c r="AU1502" s="1">
        <v>44354.146296296298</v>
      </c>
      <c r="AV1502" t="s">
        <v>71</v>
      </c>
      <c r="AW1502" t="s">
        <v>72</v>
      </c>
      <c r="AX1502" t="s">
        <v>73</v>
      </c>
    </row>
    <row r="1503" spans="1:50" x14ac:dyDescent="0.3">
      <c r="A1503" t="str">
        <f>"200665E0100"</f>
        <v>200665E0100</v>
      </c>
      <c r="B1503" t="str">
        <f>"200665E01002"</f>
        <v>200665E01002</v>
      </c>
      <c r="C1503" t="str">
        <f t="shared" si="74"/>
        <v>20</v>
      </c>
      <c r="D1503" t="s">
        <v>67</v>
      </c>
      <c r="E1503" t="str">
        <f t="shared" si="75"/>
        <v>007</v>
      </c>
      <c r="F1503" t="s">
        <v>1519</v>
      </c>
      <c r="G1503" t="str">
        <f>"0665"</f>
        <v>0665</v>
      </c>
      <c r="H1503" t="str">
        <f>"0001"</f>
        <v>0001</v>
      </c>
      <c r="I1503" t="s">
        <v>109</v>
      </c>
      <c r="J1503">
        <v>0</v>
      </c>
      <c r="K1503">
        <v>1</v>
      </c>
      <c r="L1503">
        <v>2</v>
      </c>
      <c r="M1503">
        <v>213</v>
      </c>
      <c r="N1503">
        <v>149</v>
      </c>
      <c r="O1503">
        <v>9</v>
      </c>
      <c r="P1503">
        <v>149</v>
      </c>
      <c r="Q1503">
        <v>1</v>
      </c>
      <c r="R1503">
        <v>14</v>
      </c>
      <c r="S1503">
        <v>3</v>
      </c>
      <c r="T1503">
        <v>0</v>
      </c>
      <c r="U1503">
        <v>1</v>
      </c>
      <c r="V1503">
        <v>2</v>
      </c>
      <c r="W1503">
        <v>15</v>
      </c>
      <c r="X1503">
        <v>62</v>
      </c>
      <c r="Y1503">
        <v>0</v>
      </c>
      <c r="Z1503">
        <v>0</v>
      </c>
      <c r="AA1503">
        <v>1</v>
      </c>
      <c r="AB1503">
        <v>0</v>
      </c>
      <c r="AC1503">
        <v>47</v>
      </c>
      <c r="AD1503">
        <v>0</v>
      </c>
      <c r="AE1503">
        <v>0</v>
      </c>
      <c r="AF1503">
        <v>0</v>
      </c>
      <c r="AG1503">
        <v>0</v>
      </c>
      <c r="AI1503">
        <v>0</v>
      </c>
      <c r="AJ1503">
        <v>3</v>
      </c>
      <c r="AK1503">
        <v>149</v>
      </c>
      <c r="AL1503">
        <v>149</v>
      </c>
      <c r="AM1503">
        <v>316</v>
      </c>
      <c r="AN1503">
        <v>46</v>
      </c>
      <c r="AP1503">
        <v>1</v>
      </c>
      <c r="AR1503" t="s">
        <v>1591</v>
      </c>
      <c r="AS1503" s="1">
        <v>44354.132638888892</v>
      </c>
      <c r="AT1503" s="1">
        <v>44354.136261574073</v>
      </c>
      <c r="AU1503" s="1">
        <v>44354.136747685188</v>
      </c>
      <c r="AV1503" t="s">
        <v>71</v>
      </c>
      <c r="AW1503" t="s">
        <v>72</v>
      </c>
      <c r="AX1503" t="s">
        <v>73</v>
      </c>
    </row>
    <row r="1504" spans="1:50" x14ac:dyDescent="0.3">
      <c r="A1504" t="str">
        <f>"200738B0000"</f>
        <v>200738B0000</v>
      </c>
      <c r="B1504" t="str">
        <f>"200738B00002"</f>
        <v>200738B00002</v>
      </c>
      <c r="C1504" t="str">
        <f t="shared" si="74"/>
        <v>20</v>
      </c>
      <c r="D1504" t="s">
        <v>67</v>
      </c>
      <c r="E1504" t="str">
        <f t="shared" si="75"/>
        <v>007</v>
      </c>
      <c r="F1504" t="s">
        <v>1519</v>
      </c>
      <c r="G1504" t="str">
        <f>"0738"</f>
        <v>0738</v>
      </c>
      <c r="H1504" t="str">
        <f>"0000"</f>
        <v>0000</v>
      </c>
      <c r="I1504" t="s">
        <v>69</v>
      </c>
      <c r="J1504">
        <v>0</v>
      </c>
      <c r="K1504">
        <v>1</v>
      </c>
      <c r="L1504">
        <v>2</v>
      </c>
      <c r="M1504">
        <v>146</v>
      </c>
      <c r="N1504">
        <v>347</v>
      </c>
      <c r="O1504">
        <v>1</v>
      </c>
      <c r="P1504">
        <v>347</v>
      </c>
      <c r="Q1504">
        <v>2</v>
      </c>
      <c r="R1504">
        <v>99</v>
      </c>
      <c r="S1504">
        <v>3</v>
      </c>
      <c r="T1504">
        <v>2</v>
      </c>
      <c r="U1504">
        <v>38</v>
      </c>
      <c r="V1504">
        <v>0</v>
      </c>
      <c r="W1504">
        <v>1</v>
      </c>
      <c r="X1504">
        <v>43</v>
      </c>
      <c r="Y1504">
        <v>0</v>
      </c>
      <c r="Z1504">
        <v>1</v>
      </c>
      <c r="AA1504">
        <v>2</v>
      </c>
      <c r="AB1504">
        <v>24</v>
      </c>
      <c r="AC1504">
        <v>104</v>
      </c>
      <c r="AD1504">
        <v>0</v>
      </c>
      <c r="AE1504">
        <v>0</v>
      </c>
      <c r="AF1504">
        <v>0</v>
      </c>
      <c r="AG1504">
        <v>0</v>
      </c>
      <c r="AI1504">
        <v>0</v>
      </c>
      <c r="AJ1504">
        <v>28</v>
      </c>
      <c r="AK1504">
        <v>347</v>
      </c>
      <c r="AL1504">
        <v>347</v>
      </c>
      <c r="AM1504">
        <v>447</v>
      </c>
      <c r="AN1504">
        <v>46</v>
      </c>
      <c r="AP1504">
        <v>1</v>
      </c>
      <c r="AR1504" t="s">
        <v>1592</v>
      </c>
      <c r="AS1504" s="1">
        <v>44354.460416666669</v>
      </c>
      <c r="AT1504" s="1">
        <v>44354.463495370372</v>
      </c>
      <c r="AU1504" s="1">
        <v>44354.464166666665</v>
      </c>
      <c r="AV1504" t="s">
        <v>71</v>
      </c>
      <c r="AW1504" t="s">
        <v>72</v>
      </c>
      <c r="AX1504" t="s">
        <v>73</v>
      </c>
    </row>
    <row r="1505" spans="1:50" x14ac:dyDescent="0.3">
      <c r="A1505" t="str">
        <f>"200738C0100"</f>
        <v>200738C0100</v>
      </c>
      <c r="B1505" t="str">
        <f>"200738C01002"</f>
        <v>200738C01002</v>
      </c>
      <c r="C1505" t="str">
        <f t="shared" si="74"/>
        <v>20</v>
      </c>
      <c r="D1505" t="s">
        <v>67</v>
      </c>
      <c r="E1505" t="str">
        <f t="shared" si="75"/>
        <v>007</v>
      </c>
      <c r="F1505" t="s">
        <v>1519</v>
      </c>
      <c r="G1505" t="str">
        <f>"0738"</f>
        <v>0738</v>
      </c>
      <c r="H1505" t="str">
        <f>"0001"</f>
        <v>0001</v>
      </c>
      <c r="I1505" t="s">
        <v>75</v>
      </c>
      <c r="J1505">
        <v>0</v>
      </c>
      <c r="K1505">
        <v>1</v>
      </c>
      <c r="L1505">
        <v>2</v>
      </c>
      <c r="M1505">
        <v>153</v>
      </c>
      <c r="N1505">
        <v>339</v>
      </c>
      <c r="O1505">
        <v>5</v>
      </c>
      <c r="P1505">
        <v>339</v>
      </c>
      <c r="Q1505">
        <v>0</v>
      </c>
      <c r="R1505">
        <v>108</v>
      </c>
      <c r="S1505">
        <v>1</v>
      </c>
      <c r="T1505">
        <v>2</v>
      </c>
      <c r="U1505">
        <v>38</v>
      </c>
      <c r="V1505">
        <v>0</v>
      </c>
      <c r="W1505">
        <v>0</v>
      </c>
      <c r="X1505">
        <v>57</v>
      </c>
      <c r="Y1505">
        <v>0</v>
      </c>
      <c r="Z1505">
        <v>0</v>
      </c>
      <c r="AA1505">
        <v>6</v>
      </c>
      <c r="AB1505">
        <v>26</v>
      </c>
      <c r="AC1505">
        <v>83</v>
      </c>
      <c r="AD1505">
        <v>0</v>
      </c>
      <c r="AE1505">
        <v>1</v>
      </c>
      <c r="AF1505">
        <v>0</v>
      </c>
      <c r="AG1505">
        <v>0</v>
      </c>
      <c r="AI1505">
        <v>0</v>
      </c>
      <c r="AJ1505">
        <v>17</v>
      </c>
      <c r="AK1505">
        <v>339</v>
      </c>
      <c r="AL1505">
        <v>339</v>
      </c>
      <c r="AM1505">
        <v>446</v>
      </c>
      <c r="AN1505">
        <v>46</v>
      </c>
      <c r="AP1505">
        <v>1</v>
      </c>
      <c r="AR1505" t="s">
        <v>1593</v>
      </c>
      <c r="AS1505" s="1">
        <v>44354.462500000001</v>
      </c>
      <c r="AT1505" s="1">
        <v>44354.465613425928</v>
      </c>
      <c r="AU1505" s="1">
        <v>44354.466215277775</v>
      </c>
      <c r="AV1505" t="s">
        <v>71</v>
      </c>
      <c r="AW1505" t="s">
        <v>72</v>
      </c>
      <c r="AX1505" t="s">
        <v>73</v>
      </c>
    </row>
    <row r="1506" spans="1:50" x14ac:dyDescent="0.3">
      <c r="A1506" t="str">
        <f>"200739B0000"</f>
        <v>200739B0000</v>
      </c>
      <c r="B1506" t="str">
        <f>"200739B00002"</f>
        <v>200739B00002</v>
      </c>
      <c r="C1506" t="str">
        <f t="shared" si="74"/>
        <v>20</v>
      </c>
      <c r="D1506" t="s">
        <v>67</v>
      </c>
      <c r="E1506" t="str">
        <f t="shared" si="75"/>
        <v>007</v>
      </c>
      <c r="F1506" t="s">
        <v>1519</v>
      </c>
      <c r="G1506" t="str">
        <f>"0739"</f>
        <v>0739</v>
      </c>
      <c r="H1506" t="str">
        <f>"0000"</f>
        <v>0000</v>
      </c>
      <c r="I1506" t="s">
        <v>69</v>
      </c>
      <c r="J1506">
        <v>0</v>
      </c>
      <c r="K1506">
        <v>1</v>
      </c>
      <c r="L1506">
        <v>2</v>
      </c>
      <c r="M1506">
        <v>137</v>
      </c>
      <c r="N1506">
        <v>248</v>
      </c>
      <c r="O1506">
        <v>1</v>
      </c>
      <c r="P1506">
        <v>248</v>
      </c>
      <c r="Q1506">
        <v>0</v>
      </c>
      <c r="R1506">
        <v>10</v>
      </c>
      <c r="S1506">
        <v>2</v>
      </c>
      <c r="T1506">
        <v>3</v>
      </c>
      <c r="U1506">
        <v>85</v>
      </c>
      <c r="V1506">
        <v>3</v>
      </c>
      <c r="W1506">
        <v>2</v>
      </c>
      <c r="X1506">
        <v>68</v>
      </c>
      <c r="Y1506">
        <v>1</v>
      </c>
      <c r="Z1506">
        <v>2</v>
      </c>
      <c r="AA1506">
        <v>0</v>
      </c>
      <c r="AB1506">
        <v>7</v>
      </c>
      <c r="AC1506">
        <v>54</v>
      </c>
      <c r="AD1506">
        <v>0</v>
      </c>
      <c r="AE1506">
        <v>0</v>
      </c>
      <c r="AF1506">
        <v>0</v>
      </c>
      <c r="AG1506">
        <v>0</v>
      </c>
      <c r="AI1506">
        <v>0</v>
      </c>
      <c r="AJ1506">
        <v>11</v>
      </c>
      <c r="AK1506">
        <v>248</v>
      </c>
      <c r="AL1506">
        <v>248</v>
      </c>
      <c r="AM1506">
        <v>339</v>
      </c>
      <c r="AN1506">
        <v>46</v>
      </c>
      <c r="AP1506">
        <v>1</v>
      </c>
      <c r="AR1506" t="s">
        <v>1594</v>
      </c>
      <c r="AS1506" s="1">
        <v>44354.047256944446</v>
      </c>
      <c r="AT1506" s="1">
        <v>44354.054594907408</v>
      </c>
      <c r="AU1506" s="1">
        <v>44354.055995370371</v>
      </c>
      <c r="AV1506" t="s">
        <v>269</v>
      </c>
      <c r="AW1506" t="s">
        <v>270</v>
      </c>
      <c r="AX1506" t="s">
        <v>73</v>
      </c>
    </row>
    <row r="1507" spans="1:50" x14ac:dyDescent="0.3">
      <c r="A1507" t="str">
        <f>"200739E0100"</f>
        <v>200739E0100</v>
      </c>
      <c r="B1507" t="str">
        <f>"200739E01002"</f>
        <v>200739E01002</v>
      </c>
      <c r="C1507" t="str">
        <f t="shared" si="74"/>
        <v>20</v>
      </c>
      <c r="D1507" t="s">
        <v>67</v>
      </c>
      <c r="E1507" t="str">
        <f t="shared" si="75"/>
        <v>007</v>
      </c>
      <c r="F1507" t="s">
        <v>1519</v>
      </c>
      <c r="G1507" t="str">
        <f>"0739"</f>
        <v>0739</v>
      </c>
      <c r="H1507" t="str">
        <f>"0001"</f>
        <v>0001</v>
      </c>
      <c r="I1507" t="s">
        <v>109</v>
      </c>
      <c r="J1507">
        <v>0</v>
      </c>
      <c r="K1507">
        <v>1</v>
      </c>
      <c r="L1507">
        <v>2</v>
      </c>
      <c r="M1507">
        <v>91</v>
      </c>
      <c r="N1507">
        <v>120</v>
      </c>
      <c r="O1507">
        <v>0</v>
      </c>
      <c r="P1507">
        <v>120</v>
      </c>
      <c r="Q1507">
        <v>0</v>
      </c>
      <c r="R1507">
        <v>2</v>
      </c>
      <c r="S1507">
        <v>0</v>
      </c>
      <c r="T1507">
        <v>0</v>
      </c>
      <c r="U1507">
        <v>32</v>
      </c>
      <c r="V1507">
        <v>1</v>
      </c>
      <c r="W1507">
        <v>0</v>
      </c>
      <c r="X1507">
        <v>27</v>
      </c>
      <c r="Y1507">
        <v>0</v>
      </c>
      <c r="Z1507">
        <v>0</v>
      </c>
      <c r="AA1507">
        <v>0</v>
      </c>
      <c r="AB1507">
        <v>3</v>
      </c>
      <c r="AC1507">
        <v>50</v>
      </c>
      <c r="AD1507">
        <v>0</v>
      </c>
      <c r="AE1507">
        <v>0</v>
      </c>
      <c r="AF1507">
        <v>0</v>
      </c>
      <c r="AG1507">
        <v>0</v>
      </c>
      <c r="AI1507">
        <v>0</v>
      </c>
      <c r="AJ1507">
        <v>5</v>
      </c>
      <c r="AK1507">
        <v>120</v>
      </c>
      <c r="AL1507">
        <v>120</v>
      </c>
      <c r="AM1507">
        <v>165</v>
      </c>
      <c r="AN1507">
        <v>46</v>
      </c>
      <c r="AP1507">
        <v>1</v>
      </c>
      <c r="AR1507" t="s">
        <v>1595</v>
      </c>
      <c r="AS1507" s="1">
        <v>44354.103472222225</v>
      </c>
      <c r="AT1507" s="1">
        <v>44354.106921296298</v>
      </c>
      <c r="AU1507" s="1">
        <v>44354.107418981483</v>
      </c>
      <c r="AV1507" t="s">
        <v>71</v>
      </c>
      <c r="AW1507" t="s">
        <v>72</v>
      </c>
      <c r="AX1507" t="s">
        <v>73</v>
      </c>
    </row>
    <row r="1508" spans="1:50" x14ac:dyDescent="0.3">
      <c r="A1508" t="str">
        <f>"200740B0000"</f>
        <v>200740B0000</v>
      </c>
      <c r="B1508" t="str">
        <f>"200740B00002"</f>
        <v>200740B00002</v>
      </c>
      <c r="C1508" t="str">
        <f t="shared" si="74"/>
        <v>20</v>
      </c>
      <c r="D1508" t="s">
        <v>67</v>
      </c>
      <c r="E1508" t="str">
        <f t="shared" si="75"/>
        <v>007</v>
      </c>
      <c r="F1508" t="s">
        <v>1519</v>
      </c>
      <c r="G1508" t="str">
        <f>"0740"</f>
        <v>0740</v>
      </c>
      <c r="H1508" t="str">
        <f>"0000"</f>
        <v>0000</v>
      </c>
      <c r="I1508" t="s">
        <v>69</v>
      </c>
      <c r="J1508">
        <v>0</v>
      </c>
      <c r="K1508">
        <v>1</v>
      </c>
      <c r="L1508">
        <v>2</v>
      </c>
      <c r="M1508">
        <v>238</v>
      </c>
      <c r="N1508">
        <v>487</v>
      </c>
      <c r="O1508">
        <v>8</v>
      </c>
      <c r="P1508">
        <v>487</v>
      </c>
      <c r="Q1508">
        <v>2</v>
      </c>
      <c r="R1508">
        <v>84</v>
      </c>
      <c r="S1508">
        <v>6</v>
      </c>
      <c r="T1508">
        <v>0</v>
      </c>
      <c r="U1508">
        <v>90</v>
      </c>
      <c r="V1508">
        <v>0</v>
      </c>
      <c r="W1508">
        <v>2</v>
      </c>
      <c r="X1508">
        <v>51</v>
      </c>
      <c r="Y1508">
        <v>0</v>
      </c>
      <c r="Z1508">
        <v>0</v>
      </c>
      <c r="AA1508">
        <v>2</v>
      </c>
      <c r="AB1508">
        <v>37</v>
      </c>
      <c r="AC1508">
        <v>184</v>
      </c>
      <c r="AD1508">
        <v>0</v>
      </c>
      <c r="AE1508">
        <v>0</v>
      </c>
      <c r="AF1508">
        <v>0</v>
      </c>
      <c r="AG1508">
        <v>0</v>
      </c>
      <c r="AI1508">
        <v>0</v>
      </c>
      <c r="AJ1508">
        <v>29</v>
      </c>
      <c r="AK1508">
        <v>487</v>
      </c>
      <c r="AL1508">
        <v>487</v>
      </c>
      <c r="AM1508">
        <v>679</v>
      </c>
      <c r="AN1508">
        <v>46</v>
      </c>
      <c r="AP1508">
        <v>1</v>
      </c>
      <c r="AR1508" t="s">
        <v>1596</v>
      </c>
      <c r="AS1508" s="1">
        <v>44353.980706018519</v>
      </c>
      <c r="AT1508" s="1">
        <v>44353.985324074078</v>
      </c>
      <c r="AU1508" s="1">
        <v>44353.986377314817</v>
      </c>
      <c r="AV1508" t="s">
        <v>269</v>
      </c>
      <c r="AW1508" t="s">
        <v>270</v>
      </c>
      <c r="AX1508" t="s">
        <v>73</v>
      </c>
    </row>
    <row r="1509" spans="1:50" x14ac:dyDescent="0.3">
      <c r="A1509" t="str">
        <f>"201099B0000"</f>
        <v>201099B0000</v>
      </c>
      <c r="B1509" t="str">
        <f>"201099B00002"</f>
        <v>201099B00002</v>
      </c>
      <c r="C1509" t="str">
        <f t="shared" si="74"/>
        <v>20</v>
      </c>
      <c r="D1509" t="s">
        <v>67</v>
      </c>
      <c r="E1509" t="str">
        <f t="shared" si="75"/>
        <v>007</v>
      </c>
      <c r="F1509" t="s">
        <v>1519</v>
      </c>
      <c r="G1509" t="str">
        <f>"1099"</f>
        <v>1099</v>
      </c>
      <c r="H1509" t="str">
        <f>"0000"</f>
        <v>0000</v>
      </c>
      <c r="I1509" t="s">
        <v>69</v>
      </c>
      <c r="J1509">
        <v>0</v>
      </c>
      <c r="K1509">
        <v>1</v>
      </c>
      <c r="L1509">
        <v>2</v>
      </c>
      <c r="M1509">
        <v>235</v>
      </c>
      <c r="N1509">
        <v>536</v>
      </c>
      <c r="O1509">
        <v>10</v>
      </c>
      <c r="P1509">
        <v>536</v>
      </c>
      <c r="Q1509">
        <v>7</v>
      </c>
      <c r="R1509">
        <v>86</v>
      </c>
      <c r="S1509">
        <v>21</v>
      </c>
      <c r="T1509">
        <v>0</v>
      </c>
      <c r="U1509">
        <v>7</v>
      </c>
      <c r="V1509">
        <v>7</v>
      </c>
      <c r="W1509">
        <v>1</v>
      </c>
      <c r="X1509">
        <v>258</v>
      </c>
      <c r="Y1509">
        <v>0</v>
      </c>
      <c r="Z1509">
        <v>1</v>
      </c>
      <c r="AA1509">
        <v>4</v>
      </c>
      <c r="AB1509">
        <v>1</v>
      </c>
      <c r="AC1509">
        <v>115</v>
      </c>
      <c r="AD1509">
        <v>14</v>
      </c>
      <c r="AE1509">
        <v>0</v>
      </c>
      <c r="AF1509">
        <v>0</v>
      </c>
      <c r="AG1509">
        <v>0</v>
      </c>
      <c r="AI1509">
        <v>0</v>
      </c>
      <c r="AJ1509" t="s">
        <v>99</v>
      </c>
      <c r="AK1509">
        <v>536</v>
      </c>
      <c r="AL1509">
        <v>522</v>
      </c>
      <c r="AM1509">
        <v>722</v>
      </c>
      <c r="AN1509">
        <v>48</v>
      </c>
      <c r="AO1509" t="s">
        <v>78</v>
      </c>
      <c r="AP1509">
        <v>1</v>
      </c>
      <c r="AR1509" t="s">
        <v>1597</v>
      </c>
      <c r="AS1509" s="1">
        <v>44354.32916666667</v>
      </c>
      <c r="AT1509" s="1">
        <v>44354.332048611112</v>
      </c>
      <c r="AU1509" s="1">
        <v>44354.333043981482</v>
      </c>
      <c r="AV1509" t="s">
        <v>71</v>
      </c>
      <c r="AW1509" t="s">
        <v>72</v>
      </c>
      <c r="AX1509" t="s">
        <v>73</v>
      </c>
    </row>
    <row r="1510" spans="1:50" x14ac:dyDescent="0.3">
      <c r="A1510" t="str">
        <f>"201099C0100"</f>
        <v>201099C0100</v>
      </c>
      <c r="B1510" t="str">
        <f>"201099C01002"</f>
        <v>201099C01002</v>
      </c>
      <c r="C1510" t="str">
        <f t="shared" si="74"/>
        <v>20</v>
      </c>
      <c r="D1510" t="s">
        <v>67</v>
      </c>
      <c r="E1510" t="str">
        <f t="shared" si="75"/>
        <v>007</v>
      </c>
      <c r="F1510" t="s">
        <v>1519</v>
      </c>
      <c r="G1510" t="str">
        <f>"1099"</f>
        <v>1099</v>
      </c>
      <c r="H1510" t="str">
        <f>"0001"</f>
        <v>0001</v>
      </c>
      <c r="I1510" t="s">
        <v>75</v>
      </c>
      <c r="J1510">
        <v>0</v>
      </c>
      <c r="K1510">
        <v>1</v>
      </c>
      <c r="L1510">
        <v>2</v>
      </c>
      <c r="M1510">
        <v>265</v>
      </c>
      <c r="N1510">
        <v>504</v>
      </c>
      <c r="O1510">
        <v>10</v>
      </c>
      <c r="P1510" t="s">
        <v>80</v>
      </c>
      <c r="Q1510">
        <v>5</v>
      </c>
      <c r="R1510">
        <v>98</v>
      </c>
      <c r="S1510">
        <v>12</v>
      </c>
      <c r="T1510">
        <v>1</v>
      </c>
      <c r="U1510">
        <v>4</v>
      </c>
      <c r="V1510">
        <v>8</v>
      </c>
      <c r="W1510">
        <v>3</v>
      </c>
      <c r="X1510">
        <v>230</v>
      </c>
      <c r="Y1510">
        <v>2</v>
      </c>
      <c r="Z1510">
        <v>1</v>
      </c>
      <c r="AA1510">
        <v>2</v>
      </c>
      <c r="AB1510">
        <v>0</v>
      </c>
      <c r="AC1510">
        <v>119</v>
      </c>
      <c r="AD1510">
        <v>8</v>
      </c>
      <c r="AE1510">
        <v>1</v>
      </c>
      <c r="AF1510">
        <v>0</v>
      </c>
      <c r="AG1510">
        <v>0</v>
      </c>
      <c r="AI1510">
        <v>0</v>
      </c>
      <c r="AJ1510">
        <v>10</v>
      </c>
      <c r="AK1510">
        <v>504</v>
      </c>
      <c r="AL1510">
        <v>504</v>
      </c>
      <c r="AM1510">
        <v>721</v>
      </c>
      <c r="AN1510">
        <v>48</v>
      </c>
      <c r="AP1510">
        <v>1</v>
      </c>
      <c r="AR1510" t="s">
        <v>1598</v>
      </c>
      <c r="AS1510" s="1">
        <v>44354.32916666667</v>
      </c>
      <c r="AT1510" s="1">
        <v>44354.333356481482</v>
      </c>
      <c r="AU1510" s="1">
        <v>44354.333877314813</v>
      </c>
      <c r="AV1510" t="s">
        <v>71</v>
      </c>
      <c r="AW1510" t="s">
        <v>72</v>
      </c>
      <c r="AX1510" t="s">
        <v>73</v>
      </c>
    </row>
    <row r="1511" spans="1:50" x14ac:dyDescent="0.3">
      <c r="A1511" t="str">
        <f>"201100B0000"</f>
        <v>201100B0000</v>
      </c>
      <c r="B1511" t="str">
        <f>"201100B00002"</f>
        <v>201100B00002</v>
      </c>
      <c r="C1511" t="str">
        <f t="shared" si="74"/>
        <v>20</v>
      </c>
      <c r="D1511" t="s">
        <v>67</v>
      </c>
      <c r="E1511" t="str">
        <f t="shared" si="75"/>
        <v>007</v>
      </c>
      <c r="F1511" t="s">
        <v>1519</v>
      </c>
      <c r="G1511" t="str">
        <f>"1100"</f>
        <v>1100</v>
      </c>
      <c r="H1511" t="str">
        <f>"0000"</f>
        <v>0000</v>
      </c>
      <c r="I1511" t="s">
        <v>69</v>
      </c>
      <c r="J1511">
        <v>0</v>
      </c>
      <c r="K1511">
        <v>1</v>
      </c>
      <c r="L1511">
        <v>2</v>
      </c>
      <c r="M1511">
        <v>212</v>
      </c>
      <c r="N1511">
        <v>452</v>
      </c>
      <c r="O1511">
        <v>1</v>
      </c>
      <c r="P1511">
        <v>452</v>
      </c>
      <c r="Q1511">
        <v>4</v>
      </c>
      <c r="R1511">
        <v>75</v>
      </c>
      <c r="S1511">
        <v>10</v>
      </c>
      <c r="T1511">
        <v>1</v>
      </c>
      <c r="U1511">
        <v>5</v>
      </c>
      <c r="V1511">
        <v>10</v>
      </c>
      <c r="W1511">
        <v>3</v>
      </c>
      <c r="X1511">
        <v>190</v>
      </c>
      <c r="Y1511">
        <v>1</v>
      </c>
      <c r="Z1511">
        <v>0</v>
      </c>
      <c r="AA1511">
        <v>1</v>
      </c>
      <c r="AB1511">
        <v>3</v>
      </c>
      <c r="AC1511">
        <v>136</v>
      </c>
      <c r="AD1511">
        <v>5</v>
      </c>
      <c r="AE1511">
        <v>1</v>
      </c>
      <c r="AF1511">
        <v>0</v>
      </c>
      <c r="AG1511">
        <v>0</v>
      </c>
      <c r="AI1511">
        <v>0</v>
      </c>
      <c r="AJ1511">
        <v>7</v>
      </c>
      <c r="AK1511">
        <v>452</v>
      </c>
      <c r="AL1511">
        <v>452</v>
      </c>
      <c r="AM1511">
        <v>616</v>
      </c>
      <c r="AN1511">
        <v>48</v>
      </c>
      <c r="AP1511">
        <v>1</v>
      </c>
      <c r="AR1511" t="s">
        <v>1599</v>
      </c>
      <c r="AS1511" s="1">
        <v>44354.276388888888</v>
      </c>
      <c r="AT1511" s="1">
        <v>44354.281076388892</v>
      </c>
      <c r="AU1511" s="1">
        <v>44354.281944444447</v>
      </c>
      <c r="AV1511" t="s">
        <v>71</v>
      </c>
      <c r="AW1511" t="s">
        <v>72</v>
      </c>
      <c r="AX1511" t="s">
        <v>73</v>
      </c>
    </row>
    <row r="1512" spans="1:50" x14ac:dyDescent="0.3">
      <c r="A1512" t="str">
        <f>"201100C0100"</f>
        <v>201100C0100</v>
      </c>
      <c r="B1512" t="str">
        <f>"201100C01002"</f>
        <v>201100C01002</v>
      </c>
      <c r="C1512" t="str">
        <f t="shared" si="74"/>
        <v>20</v>
      </c>
      <c r="D1512" t="s">
        <v>67</v>
      </c>
      <c r="E1512" t="str">
        <f t="shared" si="75"/>
        <v>007</v>
      </c>
      <c r="F1512" t="s">
        <v>1519</v>
      </c>
      <c r="G1512" t="str">
        <f>"1100"</f>
        <v>1100</v>
      </c>
      <c r="H1512" t="str">
        <f>"0001"</f>
        <v>0001</v>
      </c>
      <c r="I1512" t="s">
        <v>75</v>
      </c>
      <c r="J1512">
        <v>0</v>
      </c>
      <c r="K1512">
        <v>1</v>
      </c>
      <c r="L1512">
        <v>2</v>
      </c>
      <c r="M1512">
        <v>204</v>
      </c>
      <c r="N1512">
        <v>460</v>
      </c>
      <c r="O1512">
        <v>2</v>
      </c>
      <c r="P1512">
        <v>460</v>
      </c>
      <c r="Q1512">
        <v>6</v>
      </c>
      <c r="R1512">
        <v>82</v>
      </c>
      <c r="S1512">
        <v>18</v>
      </c>
      <c r="T1512">
        <v>3</v>
      </c>
      <c r="U1512">
        <v>9</v>
      </c>
      <c r="V1512">
        <v>2</v>
      </c>
      <c r="W1512">
        <v>5</v>
      </c>
      <c r="X1512">
        <v>203</v>
      </c>
      <c r="Y1512" t="s">
        <v>77</v>
      </c>
      <c r="Z1512">
        <v>3</v>
      </c>
      <c r="AA1512" t="s">
        <v>77</v>
      </c>
      <c r="AB1512">
        <v>5</v>
      </c>
      <c r="AC1512">
        <v>107</v>
      </c>
      <c r="AD1512">
        <v>7</v>
      </c>
      <c r="AE1512" t="s">
        <v>77</v>
      </c>
      <c r="AF1512" t="s">
        <v>77</v>
      </c>
      <c r="AG1512">
        <v>1</v>
      </c>
      <c r="AI1512" t="s">
        <v>77</v>
      </c>
      <c r="AJ1512">
        <v>9</v>
      </c>
      <c r="AK1512">
        <v>460</v>
      </c>
      <c r="AL1512">
        <v>460</v>
      </c>
      <c r="AM1512">
        <v>616</v>
      </c>
      <c r="AN1512">
        <v>48</v>
      </c>
      <c r="AO1512" t="s">
        <v>78</v>
      </c>
      <c r="AP1512">
        <v>1</v>
      </c>
      <c r="AR1512" t="s">
        <v>1600</v>
      </c>
      <c r="AS1512" s="1">
        <v>44354.275000000001</v>
      </c>
      <c r="AT1512" s="1">
        <v>44354.279247685183</v>
      </c>
      <c r="AU1512" s="1">
        <v>44354.281354166669</v>
      </c>
      <c r="AV1512" t="s">
        <v>71</v>
      </c>
      <c r="AW1512" t="s">
        <v>72</v>
      </c>
      <c r="AX1512" t="s">
        <v>73</v>
      </c>
    </row>
    <row r="1513" spans="1:50" x14ac:dyDescent="0.3">
      <c r="A1513" t="str">
        <f>"201100C0200"</f>
        <v>201100C0200</v>
      </c>
      <c r="B1513" t="str">
        <f>"201100C02002"</f>
        <v>201100C02002</v>
      </c>
      <c r="C1513" t="str">
        <f t="shared" si="74"/>
        <v>20</v>
      </c>
      <c r="D1513" t="s">
        <v>67</v>
      </c>
      <c r="E1513" t="str">
        <f t="shared" si="75"/>
        <v>007</v>
      </c>
      <c r="F1513" t="s">
        <v>1519</v>
      </c>
      <c r="G1513" t="str">
        <f>"1100"</f>
        <v>1100</v>
      </c>
      <c r="H1513" t="str">
        <f>"0002"</f>
        <v>0002</v>
      </c>
      <c r="I1513" t="s">
        <v>75</v>
      </c>
      <c r="J1513">
        <v>0</v>
      </c>
      <c r="K1513">
        <v>1</v>
      </c>
      <c r="L1513">
        <v>2</v>
      </c>
      <c r="M1513">
        <v>191</v>
      </c>
      <c r="N1513">
        <v>469</v>
      </c>
      <c r="O1513">
        <v>1</v>
      </c>
      <c r="P1513">
        <v>469</v>
      </c>
      <c r="Q1513">
        <v>4</v>
      </c>
      <c r="R1513">
        <v>73</v>
      </c>
      <c r="S1513">
        <v>15</v>
      </c>
      <c r="T1513">
        <v>2</v>
      </c>
      <c r="U1513">
        <v>15</v>
      </c>
      <c r="V1513">
        <v>7</v>
      </c>
      <c r="W1513">
        <v>1</v>
      </c>
      <c r="X1513">
        <v>226</v>
      </c>
      <c r="Y1513">
        <v>0</v>
      </c>
      <c r="Z1513">
        <v>3</v>
      </c>
      <c r="AA1513">
        <v>0</v>
      </c>
      <c r="AB1513">
        <v>4</v>
      </c>
      <c r="AC1513">
        <v>111</v>
      </c>
      <c r="AD1513">
        <v>4</v>
      </c>
      <c r="AE1513">
        <v>0</v>
      </c>
      <c r="AF1513">
        <v>0</v>
      </c>
      <c r="AG1513">
        <v>2</v>
      </c>
      <c r="AI1513">
        <v>0</v>
      </c>
      <c r="AJ1513">
        <v>2</v>
      </c>
      <c r="AK1513">
        <v>469</v>
      </c>
      <c r="AL1513">
        <v>469</v>
      </c>
      <c r="AM1513">
        <v>616</v>
      </c>
      <c r="AN1513">
        <v>48</v>
      </c>
      <c r="AP1513">
        <v>1</v>
      </c>
      <c r="AR1513" t="s">
        <v>1601</v>
      </c>
      <c r="AS1513" s="1">
        <v>44354.272222222222</v>
      </c>
      <c r="AT1513" s="1">
        <v>44354.277974537035</v>
      </c>
      <c r="AU1513" s="1">
        <v>44354.278923611113</v>
      </c>
      <c r="AV1513" t="s">
        <v>71</v>
      </c>
      <c r="AW1513" t="s">
        <v>72</v>
      </c>
      <c r="AX1513" t="s">
        <v>73</v>
      </c>
    </row>
    <row r="1514" spans="1:50" x14ac:dyDescent="0.3">
      <c r="A1514" t="str">
        <f>"201101B0000"</f>
        <v>201101B0000</v>
      </c>
      <c r="B1514" t="str">
        <f>"201101B00002"</f>
        <v>201101B00002</v>
      </c>
      <c r="C1514" t="str">
        <f t="shared" si="74"/>
        <v>20</v>
      </c>
      <c r="D1514" t="s">
        <v>67</v>
      </c>
      <c r="E1514" t="str">
        <f t="shared" si="75"/>
        <v>007</v>
      </c>
      <c r="F1514" t="s">
        <v>1519</v>
      </c>
      <c r="G1514" t="str">
        <f>"1101"</f>
        <v>1101</v>
      </c>
      <c r="H1514" t="str">
        <f>"0000"</f>
        <v>0000</v>
      </c>
      <c r="I1514" t="s">
        <v>69</v>
      </c>
      <c r="J1514">
        <v>0</v>
      </c>
      <c r="K1514">
        <v>1</v>
      </c>
      <c r="L1514">
        <v>2</v>
      </c>
      <c r="M1514">
        <v>159</v>
      </c>
      <c r="N1514">
        <v>320</v>
      </c>
      <c r="O1514">
        <v>0</v>
      </c>
      <c r="P1514">
        <v>319</v>
      </c>
      <c r="Q1514">
        <v>1</v>
      </c>
      <c r="R1514">
        <v>114</v>
      </c>
      <c r="S1514">
        <v>3</v>
      </c>
      <c r="T1514">
        <v>0</v>
      </c>
      <c r="U1514">
        <v>0</v>
      </c>
      <c r="V1514">
        <v>6</v>
      </c>
      <c r="W1514">
        <v>0</v>
      </c>
      <c r="X1514">
        <v>128</v>
      </c>
      <c r="Y1514">
        <v>0</v>
      </c>
      <c r="Z1514">
        <v>0</v>
      </c>
      <c r="AA1514">
        <v>0</v>
      </c>
      <c r="AB1514">
        <v>2</v>
      </c>
      <c r="AC1514">
        <v>50</v>
      </c>
      <c r="AD1514">
        <v>3</v>
      </c>
      <c r="AE1514">
        <v>0</v>
      </c>
      <c r="AF1514">
        <v>0</v>
      </c>
      <c r="AG1514">
        <v>0</v>
      </c>
      <c r="AI1514">
        <v>0</v>
      </c>
      <c r="AJ1514">
        <v>12</v>
      </c>
      <c r="AK1514">
        <v>319</v>
      </c>
      <c r="AL1514">
        <v>319</v>
      </c>
      <c r="AM1514">
        <v>431</v>
      </c>
      <c r="AN1514">
        <v>48</v>
      </c>
      <c r="AP1514">
        <v>1</v>
      </c>
      <c r="AR1514" t="s">
        <v>1602</v>
      </c>
      <c r="AS1514" s="1">
        <v>44354.395138888889</v>
      </c>
      <c r="AT1514" s="1">
        <v>44354.399062500001</v>
      </c>
      <c r="AU1514" s="1">
        <v>44354.399571759262</v>
      </c>
      <c r="AV1514" t="s">
        <v>71</v>
      </c>
      <c r="AW1514" t="s">
        <v>72</v>
      </c>
      <c r="AX1514" t="s">
        <v>73</v>
      </c>
    </row>
    <row r="1515" spans="1:50" x14ac:dyDescent="0.3">
      <c r="A1515" t="str">
        <f>"201101C0100"</f>
        <v>201101C0100</v>
      </c>
      <c r="B1515" t="str">
        <f>"201101C01002"</f>
        <v>201101C01002</v>
      </c>
      <c r="C1515" t="str">
        <f t="shared" si="74"/>
        <v>20</v>
      </c>
      <c r="D1515" t="s">
        <v>67</v>
      </c>
      <c r="E1515" t="str">
        <f t="shared" si="75"/>
        <v>007</v>
      </c>
      <c r="F1515" t="s">
        <v>1519</v>
      </c>
      <c r="G1515" t="str">
        <f>"1101"</f>
        <v>1101</v>
      </c>
      <c r="H1515" t="str">
        <f>"0001"</f>
        <v>0001</v>
      </c>
      <c r="I1515" t="s">
        <v>75</v>
      </c>
      <c r="J1515">
        <v>0</v>
      </c>
      <c r="K1515">
        <v>1</v>
      </c>
      <c r="L1515">
        <v>2</v>
      </c>
      <c r="M1515">
        <v>147</v>
      </c>
      <c r="N1515">
        <v>332</v>
      </c>
      <c r="O1515">
        <v>7</v>
      </c>
      <c r="P1515">
        <v>332</v>
      </c>
      <c r="Q1515">
        <v>1</v>
      </c>
      <c r="R1515">
        <v>96</v>
      </c>
      <c r="S1515">
        <v>5</v>
      </c>
      <c r="T1515" t="s">
        <v>77</v>
      </c>
      <c r="U1515">
        <v>5</v>
      </c>
      <c r="V1515">
        <v>4</v>
      </c>
      <c r="W1515">
        <v>5</v>
      </c>
      <c r="X1515">
        <v>142</v>
      </c>
      <c r="Y1515" t="s">
        <v>77</v>
      </c>
      <c r="Z1515">
        <v>1</v>
      </c>
      <c r="AA1515">
        <v>3</v>
      </c>
      <c r="AB1515" t="s">
        <v>77</v>
      </c>
      <c r="AC1515">
        <v>58</v>
      </c>
      <c r="AD1515">
        <v>5</v>
      </c>
      <c r="AE1515" t="s">
        <v>77</v>
      </c>
      <c r="AF1515" t="s">
        <v>77</v>
      </c>
      <c r="AG1515" t="s">
        <v>77</v>
      </c>
      <c r="AI1515" t="s">
        <v>77</v>
      </c>
      <c r="AJ1515">
        <v>7</v>
      </c>
      <c r="AK1515">
        <v>332</v>
      </c>
      <c r="AL1515">
        <v>332</v>
      </c>
      <c r="AM1515">
        <v>431</v>
      </c>
      <c r="AN1515">
        <v>48</v>
      </c>
      <c r="AO1515" t="s">
        <v>78</v>
      </c>
      <c r="AP1515">
        <v>1</v>
      </c>
      <c r="AR1515" t="s">
        <v>1603</v>
      </c>
      <c r="AS1515" s="1">
        <v>44354.394444444442</v>
      </c>
      <c r="AT1515" s="1">
        <v>44354.396631944444</v>
      </c>
      <c r="AU1515" s="1">
        <v>44354.397245370368</v>
      </c>
      <c r="AV1515" t="s">
        <v>71</v>
      </c>
      <c r="AW1515" t="s">
        <v>72</v>
      </c>
      <c r="AX1515" t="s">
        <v>73</v>
      </c>
    </row>
    <row r="1516" spans="1:50" x14ac:dyDescent="0.3">
      <c r="A1516" t="str">
        <f>"201102B0000"</f>
        <v>201102B0000</v>
      </c>
      <c r="B1516" t="str">
        <f>"201102B00002"</f>
        <v>201102B00002</v>
      </c>
      <c r="C1516" t="str">
        <f t="shared" si="74"/>
        <v>20</v>
      </c>
      <c r="D1516" t="s">
        <v>67</v>
      </c>
      <c r="E1516" t="str">
        <f t="shared" si="75"/>
        <v>007</v>
      </c>
      <c r="F1516" t="s">
        <v>1519</v>
      </c>
      <c r="G1516" t="str">
        <f>"1102"</f>
        <v>1102</v>
      </c>
      <c r="H1516" t="str">
        <f>"0000"</f>
        <v>0000</v>
      </c>
      <c r="I1516" t="s">
        <v>69</v>
      </c>
      <c r="J1516">
        <v>0</v>
      </c>
      <c r="K1516">
        <v>1</v>
      </c>
      <c r="L1516">
        <v>2</v>
      </c>
      <c r="M1516" t="s">
        <v>99</v>
      </c>
      <c r="N1516" t="s">
        <v>99</v>
      </c>
      <c r="O1516">
        <v>3</v>
      </c>
      <c r="P1516" t="s">
        <v>99</v>
      </c>
      <c r="Q1516">
        <v>2</v>
      </c>
      <c r="R1516" t="s">
        <v>99</v>
      </c>
      <c r="S1516">
        <v>12</v>
      </c>
      <c r="T1516">
        <v>5</v>
      </c>
      <c r="U1516">
        <v>1</v>
      </c>
      <c r="V1516">
        <v>1</v>
      </c>
      <c r="W1516">
        <v>2</v>
      </c>
      <c r="X1516">
        <v>126</v>
      </c>
      <c r="Y1516">
        <v>2</v>
      </c>
      <c r="Z1516">
        <v>2</v>
      </c>
      <c r="AA1516" t="s">
        <v>99</v>
      </c>
      <c r="AB1516">
        <v>2</v>
      </c>
      <c r="AC1516">
        <v>101</v>
      </c>
      <c r="AD1516">
        <v>10</v>
      </c>
      <c r="AE1516">
        <v>0</v>
      </c>
      <c r="AF1516" t="s">
        <v>77</v>
      </c>
      <c r="AG1516" t="s">
        <v>77</v>
      </c>
      <c r="AI1516" t="s">
        <v>77</v>
      </c>
      <c r="AJ1516">
        <v>12</v>
      </c>
      <c r="AK1516" t="s">
        <v>99</v>
      </c>
      <c r="AL1516">
        <v>278</v>
      </c>
      <c r="AM1516">
        <v>558</v>
      </c>
      <c r="AN1516">
        <v>48</v>
      </c>
      <c r="AO1516" t="s">
        <v>78</v>
      </c>
      <c r="AP1516">
        <v>1</v>
      </c>
      <c r="AR1516" t="s">
        <v>1604</v>
      </c>
      <c r="AS1516" s="1">
        <v>44354.331250000003</v>
      </c>
      <c r="AT1516" s="1">
        <v>44354.355034722219</v>
      </c>
      <c r="AU1516" s="1">
        <v>44354.371006944442</v>
      </c>
      <c r="AV1516" t="s">
        <v>71</v>
      </c>
      <c r="AW1516" t="s">
        <v>72</v>
      </c>
      <c r="AX1516" t="s">
        <v>73</v>
      </c>
    </row>
    <row r="1517" spans="1:50" x14ac:dyDescent="0.3">
      <c r="A1517" t="str">
        <f>"201102C0100"</f>
        <v>201102C0100</v>
      </c>
      <c r="B1517" t="str">
        <f>"201102C01002"</f>
        <v>201102C01002</v>
      </c>
      <c r="C1517" t="str">
        <f t="shared" si="74"/>
        <v>20</v>
      </c>
      <c r="D1517" t="s">
        <v>67</v>
      </c>
      <c r="E1517" t="str">
        <f t="shared" si="75"/>
        <v>007</v>
      </c>
      <c r="F1517" t="s">
        <v>1519</v>
      </c>
      <c r="G1517" t="str">
        <f>"1102"</f>
        <v>1102</v>
      </c>
      <c r="H1517" t="str">
        <f>"0001"</f>
        <v>0001</v>
      </c>
      <c r="I1517" t="s">
        <v>75</v>
      </c>
      <c r="J1517">
        <v>0</v>
      </c>
      <c r="K1517">
        <v>1</v>
      </c>
      <c r="L1517">
        <v>2</v>
      </c>
      <c r="M1517">
        <v>240</v>
      </c>
      <c r="N1517">
        <v>365</v>
      </c>
      <c r="O1517" t="s">
        <v>80</v>
      </c>
      <c r="P1517">
        <v>365</v>
      </c>
      <c r="Q1517">
        <v>5</v>
      </c>
      <c r="R1517">
        <v>78</v>
      </c>
      <c r="S1517">
        <v>5</v>
      </c>
      <c r="T1517">
        <v>2</v>
      </c>
      <c r="U1517">
        <v>3</v>
      </c>
      <c r="V1517">
        <v>8</v>
      </c>
      <c r="W1517">
        <v>2</v>
      </c>
      <c r="X1517">
        <v>115</v>
      </c>
      <c r="Y1517">
        <v>2</v>
      </c>
      <c r="Z1517">
        <v>1</v>
      </c>
      <c r="AA1517">
        <v>3</v>
      </c>
      <c r="AB1517" t="s">
        <v>77</v>
      </c>
      <c r="AC1517">
        <v>109</v>
      </c>
      <c r="AD1517">
        <v>14</v>
      </c>
      <c r="AE1517">
        <v>1</v>
      </c>
      <c r="AF1517" t="s">
        <v>77</v>
      </c>
      <c r="AG1517">
        <v>2</v>
      </c>
      <c r="AI1517" t="s">
        <v>77</v>
      </c>
      <c r="AJ1517">
        <v>15</v>
      </c>
      <c r="AK1517">
        <v>365</v>
      </c>
      <c r="AL1517">
        <v>365</v>
      </c>
      <c r="AM1517">
        <v>557</v>
      </c>
      <c r="AN1517">
        <v>48</v>
      </c>
      <c r="AO1517" t="s">
        <v>78</v>
      </c>
      <c r="AP1517">
        <v>1</v>
      </c>
      <c r="AR1517" t="s">
        <v>1605</v>
      </c>
      <c r="AS1517" s="1">
        <v>44354.659722222219</v>
      </c>
      <c r="AT1517" s="1">
        <v>44354.662916666668</v>
      </c>
      <c r="AU1517" s="1">
        <v>44354.663553240738</v>
      </c>
      <c r="AV1517" t="s">
        <v>71</v>
      </c>
      <c r="AW1517" t="s">
        <v>72</v>
      </c>
      <c r="AX1517" t="s">
        <v>73</v>
      </c>
    </row>
    <row r="1518" spans="1:50" x14ac:dyDescent="0.3">
      <c r="A1518" t="str">
        <f>"201103B0000"</f>
        <v>201103B0000</v>
      </c>
      <c r="B1518" t="str">
        <f>"201103B00002"</f>
        <v>201103B00002</v>
      </c>
      <c r="C1518" t="str">
        <f t="shared" si="74"/>
        <v>20</v>
      </c>
      <c r="D1518" t="s">
        <v>67</v>
      </c>
      <c r="E1518" t="str">
        <f t="shared" si="75"/>
        <v>007</v>
      </c>
      <c r="F1518" t="s">
        <v>1519</v>
      </c>
      <c r="G1518" t="str">
        <f>"1103"</f>
        <v>1103</v>
      </c>
      <c r="H1518" t="str">
        <f t="shared" ref="H1518:H1523" si="76">"0000"</f>
        <v>0000</v>
      </c>
      <c r="I1518" t="s">
        <v>69</v>
      </c>
      <c r="J1518">
        <v>0</v>
      </c>
      <c r="K1518">
        <v>1</v>
      </c>
      <c r="L1518">
        <v>2</v>
      </c>
      <c r="M1518">
        <v>222</v>
      </c>
      <c r="N1518">
        <v>378</v>
      </c>
      <c r="O1518">
        <v>0</v>
      </c>
      <c r="P1518">
        <v>378</v>
      </c>
      <c r="Q1518">
        <v>1</v>
      </c>
      <c r="R1518">
        <v>62</v>
      </c>
      <c r="S1518">
        <v>8</v>
      </c>
      <c r="T1518">
        <v>0</v>
      </c>
      <c r="U1518">
        <v>14</v>
      </c>
      <c r="V1518">
        <v>15</v>
      </c>
      <c r="W1518">
        <v>3</v>
      </c>
      <c r="X1518">
        <v>176</v>
      </c>
      <c r="Y1518">
        <v>2</v>
      </c>
      <c r="Z1518">
        <v>3</v>
      </c>
      <c r="AA1518">
        <v>2</v>
      </c>
      <c r="AB1518">
        <v>2</v>
      </c>
      <c r="AC1518">
        <v>67</v>
      </c>
      <c r="AD1518">
        <v>0</v>
      </c>
      <c r="AE1518">
        <v>10</v>
      </c>
      <c r="AF1518">
        <v>0</v>
      </c>
      <c r="AG1518">
        <v>0</v>
      </c>
      <c r="AI1518" t="s">
        <v>77</v>
      </c>
      <c r="AJ1518">
        <v>13</v>
      </c>
      <c r="AK1518">
        <v>378</v>
      </c>
      <c r="AL1518">
        <v>378</v>
      </c>
      <c r="AM1518">
        <v>544</v>
      </c>
      <c r="AN1518">
        <v>48</v>
      </c>
      <c r="AO1518" t="s">
        <v>78</v>
      </c>
      <c r="AP1518">
        <v>1</v>
      </c>
      <c r="AR1518" t="s">
        <v>1606</v>
      </c>
      <c r="AS1518" s="1">
        <v>44354.395833333336</v>
      </c>
      <c r="AT1518" s="1">
        <v>44354.398414351854</v>
      </c>
      <c r="AU1518" s="1">
        <v>44354.39947916667</v>
      </c>
      <c r="AV1518" t="s">
        <v>71</v>
      </c>
      <c r="AW1518" t="s">
        <v>72</v>
      </c>
      <c r="AX1518" t="s">
        <v>73</v>
      </c>
    </row>
    <row r="1519" spans="1:50" x14ac:dyDescent="0.3">
      <c r="A1519" t="str">
        <f>"201104B0000"</f>
        <v>201104B0000</v>
      </c>
      <c r="B1519" t="str">
        <f>"201104B00002"</f>
        <v>201104B00002</v>
      </c>
      <c r="C1519" t="str">
        <f t="shared" si="74"/>
        <v>20</v>
      </c>
      <c r="D1519" t="s">
        <v>67</v>
      </c>
      <c r="E1519" t="str">
        <f t="shared" si="75"/>
        <v>007</v>
      </c>
      <c r="F1519" t="s">
        <v>1519</v>
      </c>
      <c r="G1519" t="str">
        <f>"1104"</f>
        <v>1104</v>
      </c>
      <c r="H1519" t="str">
        <f t="shared" si="76"/>
        <v>0000</v>
      </c>
      <c r="I1519" t="s">
        <v>69</v>
      </c>
      <c r="J1519">
        <v>0</v>
      </c>
      <c r="K1519">
        <v>1</v>
      </c>
      <c r="L1519">
        <v>2</v>
      </c>
      <c r="M1519">
        <v>201</v>
      </c>
      <c r="N1519">
        <v>324</v>
      </c>
      <c r="O1519">
        <v>0</v>
      </c>
      <c r="P1519">
        <v>324</v>
      </c>
      <c r="Q1519">
        <v>3</v>
      </c>
      <c r="R1519">
        <v>74</v>
      </c>
      <c r="S1519">
        <v>4</v>
      </c>
      <c r="T1519">
        <v>0</v>
      </c>
      <c r="U1519">
        <v>3</v>
      </c>
      <c r="V1519">
        <v>7</v>
      </c>
      <c r="W1519">
        <v>1</v>
      </c>
      <c r="X1519">
        <v>125</v>
      </c>
      <c r="Y1519">
        <v>0</v>
      </c>
      <c r="Z1519">
        <v>3</v>
      </c>
      <c r="AA1519">
        <v>0</v>
      </c>
      <c r="AB1519">
        <v>2</v>
      </c>
      <c r="AC1519">
        <v>83</v>
      </c>
      <c r="AD1519">
        <v>7</v>
      </c>
      <c r="AE1519">
        <v>1</v>
      </c>
      <c r="AF1519" t="s">
        <v>77</v>
      </c>
      <c r="AG1519" t="s">
        <v>77</v>
      </c>
      <c r="AI1519" t="s">
        <v>77</v>
      </c>
      <c r="AJ1519">
        <v>11</v>
      </c>
      <c r="AK1519">
        <v>324</v>
      </c>
      <c r="AL1519">
        <v>324</v>
      </c>
      <c r="AM1519">
        <v>477</v>
      </c>
      <c r="AN1519">
        <v>48</v>
      </c>
      <c r="AO1519" t="s">
        <v>78</v>
      </c>
      <c r="AP1519">
        <v>1</v>
      </c>
      <c r="AR1519" t="s">
        <v>1607</v>
      </c>
      <c r="AS1519" s="1">
        <v>44354.399305555555</v>
      </c>
      <c r="AT1519" s="1">
        <v>44354.408206018517</v>
      </c>
      <c r="AU1519" s="1">
        <v>44354.408634259256</v>
      </c>
      <c r="AV1519" t="s">
        <v>71</v>
      </c>
      <c r="AW1519" t="s">
        <v>72</v>
      </c>
      <c r="AX1519" t="s">
        <v>73</v>
      </c>
    </row>
    <row r="1520" spans="1:50" x14ac:dyDescent="0.3">
      <c r="A1520" t="str">
        <f>"201105B0000"</f>
        <v>201105B0000</v>
      </c>
      <c r="B1520" t="str">
        <f>"201105B00002"</f>
        <v>201105B00002</v>
      </c>
      <c r="C1520" t="str">
        <f t="shared" si="74"/>
        <v>20</v>
      </c>
      <c r="D1520" t="s">
        <v>67</v>
      </c>
      <c r="E1520" t="str">
        <f t="shared" si="75"/>
        <v>007</v>
      </c>
      <c r="F1520" t="s">
        <v>1519</v>
      </c>
      <c r="G1520" t="str">
        <f>"1105"</f>
        <v>1105</v>
      </c>
      <c r="H1520" t="str">
        <f t="shared" si="76"/>
        <v>0000</v>
      </c>
      <c r="I1520" t="s">
        <v>69</v>
      </c>
      <c r="J1520">
        <v>0</v>
      </c>
      <c r="K1520">
        <v>1</v>
      </c>
      <c r="L1520">
        <v>2</v>
      </c>
      <c r="M1520">
        <v>153</v>
      </c>
      <c r="N1520">
        <v>302</v>
      </c>
      <c r="O1520">
        <v>0</v>
      </c>
      <c r="P1520">
        <v>302</v>
      </c>
      <c r="Q1520">
        <v>4</v>
      </c>
      <c r="R1520">
        <v>83</v>
      </c>
      <c r="S1520">
        <v>5</v>
      </c>
      <c r="T1520">
        <v>1</v>
      </c>
      <c r="U1520">
        <v>2</v>
      </c>
      <c r="V1520">
        <v>2</v>
      </c>
      <c r="W1520">
        <v>0</v>
      </c>
      <c r="X1520">
        <v>75</v>
      </c>
      <c r="Y1520">
        <v>1</v>
      </c>
      <c r="Z1520">
        <v>1</v>
      </c>
      <c r="AA1520">
        <v>0</v>
      </c>
      <c r="AB1520">
        <v>1</v>
      </c>
      <c r="AC1520">
        <v>100</v>
      </c>
      <c r="AD1520">
        <v>9</v>
      </c>
      <c r="AE1520">
        <v>1</v>
      </c>
      <c r="AF1520">
        <v>1</v>
      </c>
      <c r="AG1520">
        <v>0</v>
      </c>
      <c r="AI1520">
        <v>0</v>
      </c>
      <c r="AJ1520">
        <v>16</v>
      </c>
      <c r="AK1520">
        <v>302</v>
      </c>
      <c r="AL1520">
        <v>302</v>
      </c>
      <c r="AM1520">
        <v>407</v>
      </c>
      <c r="AN1520">
        <v>48</v>
      </c>
      <c r="AP1520">
        <v>1</v>
      </c>
      <c r="AR1520" t="s">
        <v>1608</v>
      </c>
      <c r="AS1520" s="1">
        <v>44354.260416666664</v>
      </c>
      <c r="AT1520" s="1">
        <v>44354.262870370374</v>
      </c>
      <c r="AU1520" s="1">
        <v>44354.263599537036</v>
      </c>
      <c r="AV1520" t="s">
        <v>71</v>
      </c>
      <c r="AW1520" t="s">
        <v>72</v>
      </c>
      <c r="AX1520" t="s">
        <v>73</v>
      </c>
    </row>
    <row r="1521" spans="1:50" x14ac:dyDescent="0.3">
      <c r="A1521" t="str">
        <f>"201193B0000"</f>
        <v>201193B0000</v>
      </c>
      <c r="B1521" t="str">
        <f>"201193B00002"</f>
        <v>201193B00002</v>
      </c>
      <c r="C1521" t="str">
        <f t="shared" si="74"/>
        <v>20</v>
      </c>
      <c r="D1521" t="s">
        <v>67</v>
      </c>
      <c r="E1521" t="str">
        <f t="shared" si="75"/>
        <v>007</v>
      </c>
      <c r="F1521" t="s">
        <v>1519</v>
      </c>
      <c r="G1521" t="str">
        <f>"1193"</f>
        <v>1193</v>
      </c>
      <c r="H1521" t="str">
        <f t="shared" si="76"/>
        <v>0000</v>
      </c>
      <c r="I1521" t="s">
        <v>69</v>
      </c>
      <c r="J1521">
        <v>0</v>
      </c>
      <c r="K1521">
        <v>1</v>
      </c>
      <c r="L1521">
        <v>2</v>
      </c>
      <c r="M1521">
        <v>358</v>
      </c>
      <c r="N1521">
        <v>161</v>
      </c>
      <c r="O1521">
        <v>2</v>
      </c>
      <c r="P1521">
        <v>161</v>
      </c>
      <c r="Q1521">
        <v>0</v>
      </c>
      <c r="R1521">
        <v>11</v>
      </c>
      <c r="S1521">
        <v>7</v>
      </c>
      <c r="T1521">
        <v>2</v>
      </c>
      <c r="U1521">
        <v>5</v>
      </c>
      <c r="V1521">
        <v>3</v>
      </c>
      <c r="W1521">
        <v>2</v>
      </c>
      <c r="X1521">
        <v>105</v>
      </c>
      <c r="Y1521">
        <v>0</v>
      </c>
      <c r="Z1521">
        <v>2</v>
      </c>
      <c r="AA1521">
        <v>5</v>
      </c>
      <c r="AB1521">
        <v>5</v>
      </c>
      <c r="AC1521">
        <v>5</v>
      </c>
      <c r="AD1521">
        <v>0</v>
      </c>
      <c r="AE1521">
        <v>0</v>
      </c>
      <c r="AF1521">
        <v>0</v>
      </c>
      <c r="AG1521">
        <v>0</v>
      </c>
      <c r="AI1521">
        <v>0</v>
      </c>
      <c r="AJ1521">
        <v>9</v>
      </c>
      <c r="AK1521">
        <v>161</v>
      </c>
      <c r="AL1521">
        <v>161</v>
      </c>
      <c r="AM1521">
        <v>473</v>
      </c>
      <c r="AN1521">
        <v>46</v>
      </c>
      <c r="AP1521">
        <v>1</v>
      </c>
      <c r="AR1521" t="s">
        <v>1609</v>
      </c>
      <c r="AS1521" s="1">
        <v>44354.317361111112</v>
      </c>
      <c r="AT1521" s="1">
        <v>44354.320254629631</v>
      </c>
      <c r="AU1521" s="1">
        <v>44354.320879629631</v>
      </c>
      <c r="AV1521" t="s">
        <v>71</v>
      </c>
      <c r="AW1521" t="s">
        <v>72</v>
      </c>
      <c r="AX1521" t="s">
        <v>73</v>
      </c>
    </row>
    <row r="1522" spans="1:50" x14ac:dyDescent="0.3">
      <c r="A1522" t="str">
        <f>"201194B0000"</f>
        <v>201194B0000</v>
      </c>
      <c r="B1522" t="str">
        <f>"201194B00002"</f>
        <v>201194B00002</v>
      </c>
      <c r="C1522" t="str">
        <f t="shared" si="74"/>
        <v>20</v>
      </c>
      <c r="D1522" t="s">
        <v>67</v>
      </c>
      <c r="E1522" t="str">
        <f t="shared" si="75"/>
        <v>007</v>
      </c>
      <c r="F1522" t="s">
        <v>1519</v>
      </c>
      <c r="G1522" t="str">
        <f>"1194"</f>
        <v>1194</v>
      </c>
      <c r="H1522" t="str">
        <f t="shared" si="76"/>
        <v>0000</v>
      </c>
      <c r="I1522" t="s">
        <v>69</v>
      </c>
      <c r="J1522">
        <v>0</v>
      </c>
      <c r="K1522">
        <v>1</v>
      </c>
      <c r="L1522">
        <v>2</v>
      </c>
      <c r="M1522">
        <v>454</v>
      </c>
      <c r="N1522">
        <v>230</v>
      </c>
      <c r="O1522">
        <v>4</v>
      </c>
      <c r="P1522">
        <v>230</v>
      </c>
      <c r="Q1522">
        <v>2</v>
      </c>
      <c r="R1522">
        <v>14</v>
      </c>
      <c r="S1522">
        <v>17</v>
      </c>
      <c r="T1522">
        <v>3</v>
      </c>
      <c r="U1522">
        <v>11</v>
      </c>
      <c r="V1522">
        <v>2</v>
      </c>
      <c r="W1522">
        <v>4</v>
      </c>
      <c r="X1522">
        <v>135</v>
      </c>
      <c r="Y1522">
        <v>3</v>
      </c>
      <c r="Z1522">
        <v>1</v>
      </c>
      <c r="AA1522">
        <v>5</v>
      </c>
      <c r="AB1522">
        <v>14</v>
      </c>
      <c r="AC1522">
        <v>6</v>
      </c>
      <c r="AD1522">
        <v>0</v>
      </c>
      <c r="AE1522">
        <v>0</v>
      </c>
      <c r="AF1522">
        <v>0</v>
      </c>
      <c r="AG1522">
        <v>0</v>
      </c>
      <c r="AI1522">
        <v>0</v>
      </c>
      <c r="AJ1522">
        <v>13</v>
      </c>
      <c r="AK1522">
        <v>230</v>
      </c>
      <c r="AL1522">
        <v>230</v>
      </c>
      <c r="AM1522">
        <v>638</v>
      </c>
      <c r="AN1522">
        <v>46</v>
      </c>
      <c r="AP1522">
        <v>1</v>
      </c>
      <c r="AR1522" t="s">
        <v>1610</v>
      </c>
      <c r="AS1522" s="1">
        <v>44354.320138888892</v>
      </c>
      <c r="AT1522" s="1">
        <v>44354.345266203702</v>
      </c>
      <c r="AU1522" s="1">
        <v>44354.345578703702</v>
      </c>
      <c r="AV1522" t="s">
        <v>71</v>
      </c>
      <c r="AW1522" t="s">
        <v>72</v>
      </c>
      <c r="AX1522" t="s">
        <v>73</v>
      </c>
    </row>
    <row r="1523" spans="1:50" x14ac:dyDescent="0.3">
      <c r="A1523" t="str">
        <f>"201195B0000"</f>
        <v>201195B0000</v>
      </c>
      <c r="B1523" t="str">
        <f>"201195B00002"</f>
        <v>201195B00002</v>
      </c>
      <c r="C1523" t="str">
        <f t="shared" si="74"/>
        <v>20</v>
      </c>
      <c r="D1523" t="s">
        <v>67</v>
      </c>
      <c r="E1523" t="str">
        <f t="shared" si="75"/>
        <v>007</v>
      </c>
      <c r="F1523" t="s">
        <v>1519</v>
      </c>
      <c r="G1523" t="str">
        <f>"1195"</f>
        <v>1195</v>
      </c>
      <c r="H1523" t="str">
        <f t="shared" si="76"/>
        <v>0000</v>
      </c>
      <c r="I1523" t="s">
        <v>69</v>
      </c>
      <c r="J1523">
        <v>0</v>
      </c>
      <c r="K1523">
        <v>1</v>
      </c>
      <c r="L1523">
        <v>2</v>
      </c>
      <c r="M1523">
        <v>329</v>
      </c>
      <c r="N1523">
        <v>160</v>
      </c>
      <c r="O1523">
        <v>0</v>
      </c>
      <c r="P1523" t="s">
        <v>80</v>
      </c>
      <c r="Q1523">
        <v>2</v>
      </c>
      <c r="R1523">
        <v>17</v>
      </c>
      <c r="S1523">
        <v>8</v>
      </c>
      <c r="T1523">
        <v>1</v>
      </c>
      <c r="U1523">
        <v>5</v>
      </c>
      <c r="V1523">
        <v>2</v>
      </c>
      <c r="W1523">
        <v>2</v>
      </c>
      <c r="X1523">
        <v>98</v>
      </c>
      <c r="Y1523">
        <v>1</v>
      </c>
      <c r="Z1523">
        <v>2</v>
      </c>
      <c r="AA1523">
        <v>5</v>
      </c>
      <c r="AB1523">
        <v>5</v>
      </c>
      <c r="AC1523">
        <v>2</v>
      </c>
      <c r="AD1523" t="s">
        <v>77</v>
      </c>
      <c r="AE1523" t="s">
        <v>77</v>
      </c>
      <c r="AF1523" t="s">
        <v>77</v>
      </c>
      <c r="AG1523" t="s">
        <v>77</v>
      </c>
      <c r="AI1523" t="s">
        <v>77</v>
      </c>
      <c r="AJ1523">
        <v>10</v>
      </c>
      <c r="AK1523">
        <v>160</v>
      </c>
      <c r="AL1523">
        <v>160</v>
      </c>
      <c r="AM1523">
        <v>443</v>
      </c>
      <c r="AN1523">
        <v>46</v>
      </c>
      <c r="AO1523" t="s">
        <v>78</v>
      </c>
      <c r="AP1523">
        <v>1</v>
      </c>
      <c r="AR1523" s="2" t="s">
        <v>1611</v>
      </c>
      <c r="AS1523" s="1">
        <v>44354.311805555553</v>
      </c>
      <c r="AT1523" s="1">
        <v>44354.314293981479</v>
      </c>
      <c r="AU1523" s="1">
        <v>44354.314942129633</v>
      </c>
      <c r="AV1523" t="s">
        <v>71</v>
      </c>
      <c r="AW1523" t="s">
        <v>72</v>
      </c>
      <c r="AX1523" t="s">
        <v>73</v>
      </c>
    </row>
    <row r="1524" spans="1:50" x14ac:dyDescent="0.3">
      <c r="A1524" t="str">
        <f>"201195C0100"</f>
        <v>201195C0100</v>
      </c>
      <c r="B1524" t="str">
        <f>"201195C01002"</f>
        <v>201195C01002</v>
      </c>
      <c r="C1524" t="str">
        <f t="shared" si="74"/>
        <v>20</v>
      </c>
      <c r="D1524" t="s">
        <v>67</v>
      </c>
      <c r="E1524" t="str">
        <f t="shared" si="75"/>
        <v>007</v>
      </c>
      <c r="F1524" t="s">
        <v>1519</v>
      </c>
      <c r="G1524" t="str">
        <f>"1195"</f>
        <v>1195</v>
      </c>
      <c r="H1524" t="str">
        <f>"0001"</f>
        <v>0001</v>
      </c>
      <c r="I1524" t="s">
        <v>75</v>
      </c>
      <c r="J1524">
        <v>0</v>
      </c>
      <c r="K1524">
        <v>1</v>
      </c>
      <c r="L1524">
        <v>2</v>
      </c>
      <c r="M1524">
        <v>333</v>
      </c>
      <c r="N1524">
        <v>155</v>
      </c>
      <c r="O1524">
        <v>0</v>
      </c>
      <c r="P1524">
        <v>155</v>
      </c>
      <c r="Q1524">
        <v>4</v>
      </c>
      <c r="R1524">
        <v>7</v>
      </c>
      <c r="S1524">
        <v>7</v>
      </c>
      <c r="T1524">
        <v>1</v>
      </c>
      <c r="U1524">
        <v>7</v>
      </c>
      <c r="V1524">
        <v>2</v>
      </c>
      <c r="W1524">
        <v>2</v>
      </c>
      <c r="X1524">
        <v>95</v>
      </c>
      <c r="Y1524">
        <v>1</v>
      </c>
      <c r="Z1524">
        <v>3</v>
      </c>
      <c r="AA1524">
        <v>7</v>
      </c>
      <c r="AB1524">
        <v>7</v>
      </c>
      <c r="AC1524">
        <v>3</v>
      </c>
      <c r="AD1524">
        <v>0</v>
      </c>
      <c r="AE1524">
        <v>0</v>
      </c>
      <c r="AF1524">
        <v>0</v>
      </c>
      <c r="AG1524">
        <v>0</v>
      </c>
      <c r="AI1524">
        <v>0</v>
      </c>
      <c r="AJ1524">
        <v>9</v>
      </c>
      <c r="AK1524">
        <v>155</v>
      </c>
      <c r="AL1524">
        <v>155</v>
      </c>
      <c r="AM1524">
        <v>442</v>
      </c>
      <c r="AN1524">
        <v>46</v>
      </c>
      <c r="AP1524">
        <v>1</v>
      </c>
      <c r="AR1524" t="s">
        <v>1612</v>
      </c>
      <c r="AS1524" s="1">
        <v>44354.313888888886</v>
      </c>
      <c r="AT1524" s="1">
        <v>44354.316493055558</v>
      </c>
      <c r="AU1524" s="1">
        <v>44354.317025462966</v>
      </c>
      <c r="AV1524" t="s">
        <v>71</v>
      </c>
      <c r="AW1524" t="s">
        <v>72</v>
      </c>
      <c r="AX1524" t="s">
        <v>73</v>
      </c>
    </row>
    <row r="1525" spans="1:50" x14ac:dyDescent="0.3">
      <c r="A1525" t="str">
        <f>"201196B0000"</f>
        <v>201196B0000</v>
      </c>
      <c r="B1525" t="str">
        <f>"201196B00002"</f>
        <v>201196B00002</v>
      </c>
      <c r="C1525" t="str">
        <f t="shared" si="74"/>
        <v>20</v>
      </c>
      <c r="D1525" t="s">
        <v>67</v>
      </c>
      <c r="E1525" t="str">
        <f t="shared" si="75"/>
        <v>007</v>
      </c>
      <c r="F1525" t="s">
        <v>1519</v>
      </c>
      <c r="G1525" t="str">
        <f>"1196"</f>
        <v>1196</v>
      </c>
      <c r="H1525" t="str">
        <f>"0000"</f>
        <v>0000</v>
      </c>
      <c r="I1525" t="s">
        <v>69</v>
      </c>
      <c r="J1525">
        <v>0</v>
      </c>
      <c r="K1525">
        <v>1</v>
      </c>
      <c r="L1525">
        <v>2</v>
      </c>
      <c r="M1525">
        <v>162</v>
      </c>
      <c r="N1525">
        <v>108</v>
      </c>
      <c r="O1525">
        <v>2</v>
      </c>
      <c r="P1525">
        <v>108</v>
      </c>
      <c r="Q1525">
        <v>3</v>
      </c>
      <c r="R1525">
        <v>9</v>
      </c>
      <c r="S1525">
        <v>3</v>
      </c>
      <c r="T1525">
        <v>2</v>
      </c>
      <c r="U1525">
        <v>7</v>
      </c>
      <c r="V1525">
        <v>2</v>
      </c>
      <c r="W1525">
        <v>5</v>
      </c>
      <c r="X1525">
        <v>53</v>
      </c>
      <c r="Y1525">
        <v>2</v>
      </c>
      <c r="Z1525">
        <v>6</v>
      </c>
      <c r="AA1525">
        <v>3</v>
      </c>
      <c r="AB1525">
        <v>7</v>
      </c>
      <c r="AC1525">
        <v>3</v>
      </c>
      <c r="AD1525">
        <v>0</v>
      </c>
      <c r="AE1525">
        <v>0</v>
      </c>
      <c r="AF1525">
        <v>0</v>
      </c>
      <c r="AG1525">
        <v>0</v>
      </c>
      <c r="AI1525">
        <v>0</v>
      </c>
      <c r="AJ1525">
        <v>3</v>
      </c>
      <c r="AK1525">
        <v>108</v>
      </c>
      <c r="AL1525">
        <v>108</v>
      </c>
      <c r="AM1525">
        <v>224</v>
      </c>
      <c r="AN1525">
        <v>46</v>
      </c>
      <c r="AP1525">
        <v>1</v>
      </c>
      <c r="AR1525" t="s">
        <v>1613</v>
      </c>
      <c r="AS1525" s="1">
        <v>44354.318749999999</v>
      </c>
      <c r="AT1525" s="1">
        <v>44354.320937500001</v>
      </c>
      <c r="AU1525" s="1">
        <v>44354.321342592593</v>
      </c>
      <c r="AV1525" t="s">
        <v>71</v>
      </c>
      <c r="AW1525" t="s">
        <v>72</v>
      </c>
      <c r="AX1525" t="s">
        <v>73</v>
      </c>
    </row>
    <row r="1526" spans="1:50" x14ac:dyDescent="0.3">
      <c r="A1526" t="str">
        <f>"201197B0000"</f>
        <v>201197B0000</v>
      </c>
      <c r="B1526" t="str">
        <f>"201197B00002"</f>
        <v>201197B00002</v>
      </c>
      <c r="C1526" t="str">
        <f t="shared" si="74"/>
        <v>20</v>
      </c>
      <c r="D1526" t="s">
        <v>67</v>
      </c>
      <c r="E1526" t="str">
        <f t="shared" si="75"/>
        <v>007</v>
      </c>
      <c r="F1526" t="s">
        <v>1519</v>
      </c>
      <c r="G1526" t="str">
        <f>"1197"</f>
        <v>1197</v>
      </c>
      <c r="H1526" t="str">
        <f>"0000"</f>
        <v>0000</v>
      </c>
      <c r="I1526" t="s">
        <v>69</v>
      </c>
      <c r="J1526">
        <v>0</v>
      </c>
      <c r="K1526">
        <v>1</v>
      </c>
      <c r="L1526">
        <v>2</v>
      </c>
      <c r="M1526">
        <v>138</v>
      </c>
      <c r="N1526">
        <v>70</v>
      </c>
      <c r="O1526">
        <v>0</v>
      </c>
      <c r="P1526">
        <v>70</v>
      </c>
      <c r="Q1526">
        <v>1</v>
      </c>
      <c r="R1526">
        <v>6</v>
      </c>
      <c r="S1526">
        <v>3</v>
      </c>
      <c r="T1526">
        <v>3</v>
      </c>
      <c r="U1526">
        <v>2</v>
      </c>
      <c r="V1526">
        <v>1</v>
      </c>
      <c r="W1526">
        <v>1</v>
      </c>
      <c r="X1526">
        <v>37</v>
      </c>
      <c r="Y1526">
        <v>3</v>
      </c>
      <c r="Z1526">
        <v>5</v>
      </c>
      <c r="AA1526">
        <v>3</v>
      </c>
      <c r="AB1526">
        <v>1</v>
      </c>
      <c r="AC1526">
        <v>0</v>
      </c>
      <c r="AD1526">
        <v>0</v>
      </c>
      <c r="AE1526">
        <v>0</v>
      </c>
      <c r="AF1526">
        <v>0</v>
      </c>
      <c r="AG1526">
        <v>0</v>
      </c>
      <c r="AI1526">
        <v>0</v>
      </c>
      <c r="AJ1526">
        <v>4</v>
      </c>
      <c r="AK1526">
        <v>70</v>
      </c>
      <c r="AL1526">
        <v>70</v>
      </c>
      <c r="AM1526">
        <v>162</v>
      </c>
      <c r="AN1526">
        <v>46</v>
      </c>
      <c r="AP1526">
        <v>1</v>
      </c>
      <c r="AR1526" t="s">
        <v>1614</v>
      </c>
      <c r="AS1526" s="1">
        <v>44354.318055555559</v>
      </c>
      <c r="AT1526" s="1">
        <v>44354.320173611108</v>
      </c>
      <c r="AU1526" s="1">
        <v>44354.320891203701</v>
      </c>
      <c r="AV1526" t="s">
        <v>71</v>
      </c>
      <c r="AW1526" t="s">
        <v>72</v>
      </c>
      <c r="AX1526" t="s">
        <v>73</v>
      </c>
    </row>
    <row r="1527" spans="1:50" x14ac:dyDescent="0.3">
      <c r="A1527" t="str">
        <f>"201198B0000"</f>
        <v>201198B0000</v>
      </c>
      <c r="B1527" t="str">
        <f>"201198B00002"</f>
        <v>201198B00002</v>
      </c>
      <c r="C1527" t="str">
        <f t="shared" si="74"/>
        <v>20</v>
      </c>
      <c r="D1527" t="s">
        <v>67</v>
      </c>
      <c r="E1527" t="str">
        <f t="shared" si="75"/>
        <v>007</v>
      </c>
      <c r="F1527" t="s">
        <v>1519</v>
      </c>
      <c r="G1527" t="str">
        <f>"1198"</f>
        <v>1198</v>
      </c>
      <c r="H1527" t="str">
        <f>"0000"</f>
        <v>0000</v>
      </c>
      <c r="I1527" t="s">
        <v>69</v>
      </c>
      <c r="J1527">
        <v>0</v>
      </c>
      <c r="K1527">
        <v>1</v>
      </c>
      <c r="L1527">
        <v>2</v>
      </c>
      <c r="M1527">
        <v>323</v>
      </c>
      <c r="N1527">
        <v>262</v>
      </c>
      <c r="O1527">
        <v>0</v>
      </c>
      <c r="P1527">
        <v>262</v>
      </c>
      <c r="Q1527">
        <v>3</v>
      </c>
      <c r="R1527">
        <v>19</v>
      </c>
      <c r="S1527">
        <v>7</v>
      </c>
      <c r="T1527">
        <v>9</v>
      </c>
      <c r="U1527">
        <v>12</v>
      </c>
      <c r="V1527">
        <v>3</v>
      </c>
      <c r="W1527">
        <v>6</v>
      </c>
      <c r="X1527">
        <v>159</v>
      </c>
      <c r="Y1527">
        <v>3</v>
      </c>
      <c r="Z1527">
        <v>6</v>
      </c>
      <c r="AA1527">
        <v>12</v>
      </c>
      <c r="AB1527">
        <v>5</v>
      </c>
      <c r="AC1527">
        <v>2</v>
      </c>
      <c r="AD1527">
        <v>0</v>
      </c>
      <c r="AE1527">
        <v>0</v>
      </c>
      <c r="AF1527">
        <v>0</v>
      </c>
      <c r="AG1527">
        <v>0</v>
      </c>
      <c r="AI1527">
        <v>0</v>
      </c>
      <c r="AJ1527">
        <v>16</v>
      </c>
      <c r="AK1527">
        <v>262</v>
      </c>
      <c r="AL1527">
        <v>262</v>
      </c>
      <c r="AM1527">
        <v>539</v>
      </c>
      <c r="AN1527">
        <v>46</v>
      </c>
      <c r="AP1527">
        <v>1</v>
      </c>
      <c r="AR1527" t="s">
        <v>1615</v>
      </c>
      <c r="AS1527" s="1">
        <v>44354.323611111111</v>
      </c>
      <c r="AT1527" s="1">
        <v>44354.65525462963</v>
      </c>
      <c r="AU1527" s="1">
        <v>44354.656828703701</v>
      </c>
      <c r="AV1527" t="s">
        <v>71</v>
      </c>
      <c r="AW1527" t="s">
        <v>72</v>
      </c>
      <c r="AX1527" t="s">
        <v>73</v>
      </c>
    </row>
    <row r="1528" spans="1:50" x14ac:dyDescent="0.3">
      <c r="A1528" t="str">
        <f>"201199B0000"</f>
        <v>201199B0000</v>
      </c>
      <c r="B1528" t="str">
        <f>"201199B00002"</f>
        <v>201199B00002</v>
      </c>
      <c r="C1528" t="str">
        <f t="shared" si="74"/>
        <v>20</v>
      </c>
      <c r="D1528" t="s">
        <v>67</v>
      </c>
      <c r="E1528" t="str">
        <f t="shared" si="75"/>
        <v>007</v>
      </c>
      <c r="F1528" t="s">
        <v>1519</v>
      </c>
      <c r="G1528" t="str">
        <f>"1199"</f>
        <v>1199</v>
      </c>
      <c r="H1528" t="str">
        <f>"0000"</f>
        <v>0000</v>
      </c>
      <c r="I1528" t="s">
        <v>69</v>
      </c>
      <c r="J1528">
        <v>0</v>
      </c>
      <c r="K1528">
        <v>1</v>
      </c>
      <c r="L1528">
        <v>2</v>
      </c>
      <c r="M1528">
        <v>419</v>
      </c>
      <c r="N1528">
        <v>348</v>
      </c>
      <c r="O1528">
        <v>2</v>
      </c>
      <c r="P1528">
        <v>348</v>
      </c>
      <c r="Q1528">
        <v>2</v>
      </c>
      <c r="R1528">
        <v>6</v>
      </c>
      <c r="S1528">
        <v>6</v>
      </c>
      <c r="T1528">
        <v>1</v>
      </c>
      <c r="U1528">
        <v>15</v>
      </c>
      <c r="V1528">
        <v>5</v>
      </c>
      <c r="W1528">
        <v>5</v>
      </c>
      <c r="X1528">
        <v>219</v>
      </c>
      <c r="Y1528">
        <v>0</v>
      </c>
      <c r="Z1528">
        <v>11</v>
      </c>
      <c r="AA1528">
        <v>23</v>
      </c>
      <c r="AB1528">
        <v>12</v>
      </c>
      <c r="AC1528">
        <v>25</v>
      </c>
      <c r="AD1528">
        <v>0</v>
      </c>
      <c r="AE1528">
        <v>0</v>
      </c>
      <c r="AF1528">
        <v>0</v>
      </c>
      <c r="AG1528">
        <v>0</v>
      </c>
      <c r="AI1528">
        <v>0</v>
      </c>
      <c r="AJ1528">
        <v>18</v>
      </c>
      <c r="AK1528">
        <v>348</v>
      </c>
      <c r="AL1528">
        <v>348</v>
      </c>
      <c r="AM1528">
        <v>721</v>
      </c>
      <c r="AN1528">
        <v>46</v>
      </c>
      <c r="AP1528">
        <v>1</v>
      </c>
      <c r="AR1528" t="s">
        <v>1616</v>
      </c>
      <c r="AS1528" s="1">
        <v>44354.316666666666</v>
      </c>
      <c r="AT1528" s="1">
        <v>44354.319733796299</v>
      </c>
      <c r="AU1528" s="1">
        <v>44354.320300925923</v>
      </c>
      <c r="AV1528" t="s">
        <v>71</v>
      </c>
      <c r="AW1528" t="s">
        <v>72</v>
      </c>
      <c r="AX1528" t="s">
        <v>73</v>
      </c>
    </row>
    <row r="1529" spans="1:50" x14ac:dyDescent="0.3">
      <c r="A1529" t="str">
        <f>"201199E0100"</f>
        <v>201199E0100</v>
      </c>
      <c r="B1529" t="str">
        <f>"201199E01002"</f>
        <v>201199E01002</v>
      </c>
      <c r="C1529" t="str">
        <f t="shared" si="74"/>
        <v>20</v>
      </c>
      <c r="D1529" t="s">
        <v>67</v>
      </c>
      <c r="E1529" t="str">
        <f t="shared" si="75"/>
        <v>007</v>
      </c>
      <c r="F1529" t="s">
        <v>1519</v>
      </c>
      <c r="G1529" t="str">
        <f>"1199"</f>
        <v>1199</v>
      </c>
      <c r="H1529" t="str">
        <f>"0001"</f>
        <v>0001</v>
      </c>
      <c r="I1529" t="s">
        <v>109</v>
      </c>
      <c r="J1529">
        <v>0</v>
      </c>
      <c r="K1529">
        <v>1</v>
      </c>
      <c r="L1529">
        <v>2</v>
      </c>
      <c r="M1529">
        <v>232</v>
      </c>
      <c r="N1529">
        <v>164</v>
      </c>
      <c r="O1529">
        <v>3</v>
      </c>
      <c r="P1529">
        <v>164</v>
      </c>
      <c r="Q1529">
        <v>0</v>
      </c>
      <c r="R1529">
        <v>6</v>
      </c>
      <c r="S1529">
        <v>16</v>
      </c>
      <c r="T1529">
        <v>3</v>
      </c>
      <c r="U1529">
        <v>15</v>
      </c>
      <c r="V1529">
        <v>3</v>
      </c>
      <c r="W1529">
        <v>1</v>
      </c>
      <c r="X1529">
        <v>83</v>
      </c>
      <c r="Y1529">
        <v>2</v>
      </c>
      <c r="Z1529">
        <v>2</v>
      </c>
      <c r="AA1529">
        <v>7</v>
      </c>
      <c r="AB1529">
        <v>5</v>
      </c>
      <c r="AC1529">
        <v>14</v>
      </c>
      <c r="AD1529">
        <v>0</v>
      </c>
      <c r="AE1529">
        <v>0</v>
      </c>
      <c r="AF1529">
        <v>0</v>
      </c>
      <c r="AG1529">
        <v>0</v>
      </c>
      <c r="AI1529">
        <v>0</v>
      </c>
      <c r="AJ1529">
        <v>5</v>
      </c>
      <c r="AK1529">
        <v>164</v>
      </c>
      <c r="AL1529">
        <v>162</v>
      </c>
      <c r="AM1529">
        <v>350</v>
      </c>
      <c r="AN1529">
        <v>46</v>
      </c>
      <c r="AP1529">
        <v>1</v>
      </c>
      <c r="AR1529" t="s">
        <v>1617</v>
      </c>
      <c r="AS1529" s="1">
        <v>44354.315972222219</v>
      </c>
      <c r="AT1529" s="1">
        <v>44354.318078703705</v>
      </c>
      <c r="AU1529" s="1">
        <v>44354.318576388891</v>
      </c>
      <c r="AV1529" t="s">
        <v>71</v>
      </c>
      <c r="AW1529" t="s">
        <v>72</v>
      </c>
      <c r="AX1529" t="s">
        <v>73</v>
      </c>
    </row>
    <row r="1530" spans="1:50" x14ac:dyDescent="0.3">
      <c r="A1530" t="str">
        <f>"201200B0000"</f>
        <v>201200B0000</v>
      </c>
      <c r="B1530" t="str">
        <f>"201200B00002"</f>
        <v>201200B00002</v>
      </c>
      <c r="C1530" t="str">
        <f t="shared" si="74"/>
        <v>20</v>
      </c>
      <c r="D1530" t="s">
        <v>67</v>
      </c>
      <c r="E1530" t="str">
        <f t="shared" si="75"/>
        <v>007</v>
      </c>
      <c r="F1530" t="s">
        <v>1519</v>
      </c>
      <c r="G1530" t="str">
        <f>"1200"</f>
        <v>1200</v>
      </c>
      <c r="H1530" t="str">
        <f>"0000"</f>
        <v>0000</v>
      </c>
      <c r="I1530" t="s">
        <v>69</v>
      </c>
      <c r="J1530">
        <v>0</v>
      </c>
      <c r="K1530">
        <v>1</v>
      </c>
      <c r="L1530">
        <v>2</v>
      </c>
      <c r="M1530">
        <v>404</v>
      </c>
      <c r="N1530">
        <v>176</v>
      </c>
      <c r="O1530">
        <v>0</v>
      </c>
      <c r="P1530">
        <v>176</v>
      </c>
      <c r="Q1530">
        <v>2</v>
      </c>
      <c r="R1530">
        <v>6</v>
      </c>
      <c r="S1530">
        <v>18</v>
      </c>
      <c r="T1530">
        <v>7</v>
      </c>
      <c r="U1530">
        <v>5</v>
      </c>
      <c r="V1530">
        <v>3</v>
      </c>
      <c r="W1530">
        <v>4</v>
      </c>
      <c r="X1530">
        <v>98</v>
      </c>
      <c r="Y1530">
        <v>1</v>
      </c>
      <c r="Z1530">
        <v>4</v>
      </c>
      <c r="AA1530">
        <v>10</v>
      </c>
      <c r="AB1530">
        <v>5</v>
      </c>
      <c r="AC1530">
        <v>0</v>
      </c>
      <c r="AD1530">
        <v>0</v>
      </c>
      <c r="AE1530">
        <v>0</v>
      </c>
      <c r="AF1530">
        <v>0</v>
      </c>
      <c r="AG1530">
        <v>0</v>
      </c>
      <c r="AI1530">
        <v>0</v>
      </c>
      <c r="AJ1530">
        <v>13</v>
      </c>
      <c r="AK1530">
        <v>176</v>
      </c>
      <c r="AL1530">
        <v>176</v>
      </c>
      <c r="AM1530">
        <v>534</v>
      </c>
      <c r="AN1530">
        <v>46</v>
      </c>
      <c r="AP1530">
        <v>1</v>
      </c>
      <c r="AR1530" t="s">
        <v>1618</v>
      </c>
      <c r="AS1530" s="1">
        <v>44354.318749999999</v>
      </c>
      <c r="AT1530" s="1">
        <v>44354.321296296293</v>
      </c>
      <c r="AU1530" s="1">
        <v>44354.322106481479</v>
      </c>
      <c r="AV1530" t="s">
        <v>71</v>
      </c>
      <c r="AW1530" t="s">
        <v>72</v>
      </c>
      <c r="AX1530" t="s">
        <v>73</v>
      </c>
    </row>
    <row r="1531" spans="1:50" x14ac:dyDescent="0.3">
      <c r="A1531" t="str">
        <f>"201201B0000"</f>
        <v>201201B0000</v>
      </c>
      <c r="B1531" t="str">
        <f>"201201B00002"</f>
        <v>201201B00002</v>
      </c>
      <c r="C1531" t="str">
        <f t="shared" si="74"/>
        <v>20</v>
      </c>
      <c r="D1531" t="s">
        <v>67</v>
      </c>
      <c r="E1531" t="str">
        <f t="shared" si="75"/>
        <v>007</v>
      </c>
      <c r="F1531" t="s">
        <v>1519</v>
      </c>
      <c r="G1531" t="str">
        <f>"1201"</f>
        <v>1201</v>
      </c>
      <c r="H1531" t="str">
        <f>"0000"</f>
        <v>0000</v>
      </c>
      <c r="I1531" t="s">
        <v>69</v>
      </c>
      <c r="J1531">
        <v>0</v>
      </c>
      <c r="K1531">
        <v>1</v>
      </c>
      <c r="L1531">
        <v>2</v>
      </c>
      <c r="M1531">
        <v>394</v>
      </c>
      <c r="N1531">
        <v>267</v>
      </c>
      <c r="O1531">
        <v>0</v>
      </c>
      <c r="P1531">
        <v>267</v>
      </c>
      <c r="Q1531">
        <v>2</v>
      </c>
      <c r="R1531">
        <v>9</v>
      </c>
      <c r="S1531">
        <v>3</v>
      </c>
      <c r="T1531">
        <v>7</v>
      </c>
      <c r="U1531">
        <v>6</v>
      </c>
      <c r="V1531">
        <v>3</v>
      </c>
      <c r="W1531">
        <v>3</v>
      </c>
      <c r="X1531">
        <v>176</v>
      </c>
      <c r="Y1531">
        <v>0</v>
      </c>
      <c r="Z1531">
        <v>8</v>
      </c>
      <c r="AA1531">
        <v>15</v>
      </c>
      <c r="AB1531">
        <v>11</v>
      </c>
      <c r="AC1531">
        <v>6</v>
      </c>
      <c r="AD1531" t="s">
        <v>99</v>
      </c>
      <c r="AE1531" t="s">
        <v>99</v>
      </c>
      <c r="AF1531" t="s">
        <v>99</v>
      </c>
      <c r="AG1531">
        <v>0</v>
      </c>
      <c r="AI1531">
        <v>0</v>
      </c>
      <c r="AJ1531">
        <v>13</v>
      </c>
      <c r="AK1531">
        <v>267</v>
      </c>
      <c r="AL1531">
        <v>262</v>
      </c>
      <c r="AM1531">
        <v>615</v>
      </c>
      <c r="AN1531">
        <v>46</v>
      </c>
      <c r="AO1531" t="s">
        <v>78</v>
      </c>
      <c r="AP1531">
        <v>1</v>
      </c>
      <c r="AR1531" t="s">
        <v>1619</v>
      </c>
      <c r="AS1531" s="1">
        <v>44354.313194444447</v>
      </c>
      <c r="AT1531" s="1">
        <v>44354.316354166665</v>
      </c>
      <c r="AU1531" s="1">
        <v>44354.321400462963</v>
      </c>
      <c r="AV1531" t="s">
        <v>71</v>
      </c>
      <c r="AW1531" t="s">
        <v>72</v>
      </c>
      <c r="AX1531" t="s">
        <v>73</v>
      </c>
    </row>
    <row r="1532" spans="1:50" x14ac:dyDescent="0.3">
      <c r="A1532" t="str">
        <f>"201202B0000"</f>
        <v>201202B0000</v>
      </c>
      <c r="B1532" t="str">
        <f>"201202B00002"</f>
        <v>201202B00002</v>
      </c>
      <c r="C1532" t="str">
        <f t="shared" si="74"/>
        <v>20</v>
      </c>
      <c r="D1532" t="s">
        <v>67</v>
      </c>
      <c r="E1532" t="str">
        <f t="shared" si="75"/>
        <v>007</v>
      </c>
      <c r="F1532" t="s">
        <v>1519</v>
      </c>
      <c r="G1532" t="str">
        <f>"1202"</f>
        <v>1202</v>
      </c>
      <c r="H1532" t="str">
        <f>"0000"</f>
        <v>0000</v>
      </c>
      <c r="I1532" t="s">
        <v>69</v>
      </c>
      <c r="J1532">
        <v>0</v>
      </c>
      <c r="K1532">
        <v>1</v>
      </c>
      <c r="L1532">
        <v>2</v>
      </c>
      <c r="M1532">
        <v>359</v>
      </c>
      <c r="N1532">
        <v>337</v>
      </c>
      <c r="O1532">
        <v>0</v>
      </c>
      <c r="P1532">
        <v>337</v>
      </c>
      <c r="Q1532">
        <v>4</v>
      </c>
      <c r="R1532">
        <v>15</v>
      </c>
      <c r="S1532">
        <v>14</v>
      </c>
      <c r="T1532">
        <v>10</v>
      </c>
      <c r="U1532">
        <v>9</v>
      </c>
      <c r="V1532">
        <v>8</v>
      </c>
      <c r="W1532">
        <v>6</v>
      </c>
      <c r="X1532">
        <v>209</v>
      </c>
      <c r="Y1532">
        <v>3</v>
      </c>
      <c r="Z1532">
        <v>15</v>
      </c>
      <c r="AA1532">
        <v>11</v>
      </c>
      <c r="AB1532">
        <v>9</v>
      </c>
      <c r="AC1532">
        <v>4</v>
      </c>
      <c r="AD1532">
        <v>0</v>
      </c>
      <c r="AE1532">
        <v>0</v>
      </c>
      <c r="AF1532">
        <v>0</v>
      </c>
      <c r="AG1532">
        <v>0</v>
      </c>
      <c r="AI1532">
        <v>0</v>
      </c>
      <c r="AJ1532">
        <v>21</v>
      </c>
      <c r="AK1532">
        <v>21</v>
      </c>
      <c r="AL1532">
        <v>338</v>
      </c>
      <c r="AM1532">
        <v>650</v>
      </c>
      <c r="AN1532">
        <v>46</v>
      </c>
      <c r="AP1532">
        <v>1</v>
      </c>
      <c r="AR1532" t="s">
        <v>1620</v>
      </c>
      <c r="AS1532" s="1">
        <v>44354.314583333333</v>
      </c>
      <c r="AT1532" s="1">
        <v>44354.318645833337</v>
      </c>
      <c r="AU1532" s="1">
        <v>44354.319722222222</v>
      </c>
      <c r="AV1532" t="s">
        <v>71</v>
      </c>
      <c r="AW1532" t="s">
        <v>72</v>
      </c>
      <c r="AX1532" t="s">
        <v>73</v>
      </c>
    </row>
    <row r="1533" spans="1:50" x14ac:dyDescent="0.3">
      <c r="A1533" t="str">
        <f>"201203B0000"</f>
        <v>201203B0000</v>
      </c>
      <c r="B1533" t="str">
        <f>"201203B00002"</f>
        <v>201203B00002</v>
      </c>
      <c r="C1533" t="str">
        <f t="shared" si="74"/>
        <v>20</v>
      </c>
      <c r="D1533" t="s">
        <v>67</v>
      </c>
      <c r="E1533" t="str">
        <f t="shared" si="75"/>
        <v>007</v>
      </c>
      <c r="F1533" t="s">
        <v>1519</v>
      </c>
      <c r="G1533" t="str">
        <f>"1203"</f>
        <v>1203</v>
      </c>
      <c r="H1533" t="str">
        <f>"0000"</f>
        <v>0000</v>
      </c>
      <c r="I1533" t="s">
        <v>69</v>
      </c>
      <c r="J1533">
        <v>0</v>
      </c>
      <c r="K1533">
        <v>1</v>
      </c>
      <c r="L1533">
        <v>2</v>
      </c>
      <c r="M1533">
        <v>285</v>
      </c>
      <c r="N1533">
        <v>216</v>
      </c>
      <c r="O1533">
        <v>4</v>
      </c>
      <c r="P1533">
        <v>216</v>
      </c>
      <c r="Q1533">
        <v>3</v>
      </c>
      <c r="R1533">
        <v>58</v>
      </c>
      <c r="S1533">
        <v>16</v>
      </c>
      <c r="T1533">
        <v>11</v>
      </c>
      <c r="U1533">
        <v>9</v>
      </c>
      <c r="V1533">
        <v>1</v>
      </c>
      <c r="W1533">
        <v>2</v>
      </c>
      <c r="X1533">
        <v>5</v>
      </c>
      <c r="Y1533">
        <v>2</v>
      </c>
      <c r="Z1533">
        <v>2</v>
      </c>
      <c r="AA1533">
        <v>8</v>
      </c>
      <c r="AB1533">
        <v>5</v>
      </c>
      <c r="AC1533">
        <v>2</v>
      </c>
      <c r="AD1533">
        <v>0</v>
      </c>
      <c r="AE1533">
        <v>1</v>
      </c>
      <c r="AF1533">
        <v>0</v>
      </c>
      <c r="AG1533">
        <v>2</v>
      </c>
      <c r="AI1533">
        <v>0</v>
      </c>
      <c r="AJ1533">
        <v>9</v>
      </c>
      <c r="AK1533">
        <v>216</v>
      </c>
      <c r="AL1533">
        <v>136</v>
      </c>
      <c r="AM1533">
        <v>455</v>
      </c>
      <c r="AN1533">
        <v>46</v>
      </c>
      <c r="AP1533">
        <v>1</v>
      </c>
      <c r="AR1533" t="s">
        <v>1621</v>
      </c>
      <c r="AS1533" s="1">
        <v>44354.320138888892</v>
      </c>
      <c r="AT1533" s="1">
        <v>44354.322754629633</v>
      </c>
      <c r="AU1533" s="1">
        <v>44354.323865740742</v>
      </c>
      <c r="AV1533" t="s">
        <v>71</v>
      </c>
      <c r="AW1533" t="s">
        <v>72</v>
      </c>
      <c r="AX1533" t="s">
        <v>73</v>
      </c>
    </row>
    <row r="1534" spans="1:50" x14ac:dyDescent="0.3">
      <c r="A1534" t="str">
        <f>"201284B0000"</f>
        <v>201284B0000</v>
      </c>
      <c r="B1534" t="str">
        <f>"201284B00002"</f>
        <v>201284B00002</v>
      </c>
      <c r="C1534" t="str">
        <f t="shared" si="74"/>
        <v>20</v>
      </c>
      <c r="D1534" t="s">
        <v>67</v>
      </c>
      <c r="E1534" t="str">
        <f t="shared" si="75"/>
        <v>007</v>
      </c>
      <c r="F1534" t="s">
        <v>1519</v>
      </c>
      <c r="G1534" t="str">
        <f>"1284"</f>
        <v>1284</v>
      </c>
      <c r="H1534" t="str">
        <f>"0000"</f>
        <v>0000</v>
      </c>
      <c r="I1534" t="s">
        <v>69</v>
      </c>
      <c r="J1534">
        <v>0</v>
      </c>
      <c r="K1534">
        <v>1</v>
      </c>
      <c r="L1534">
        <v>2</v>
      </c>
      <c r="M1534">
        <v>304</v>
      </c>
      <c r="N1534">
        <v>282</v>
      </c>
      <c r="O1534">
        <v>0</v>
      </c>
      <c r="P1534">
        <v>282</v>
      </c>
      <c r="Q1534">
        <v>4</v>
      </c>
      <c r="R1534">
        <v>40</v>
      </c>
      <c r="S1534">
        <v>1</v>
      </c>
      <c r="T1534">
        <v>9</v>
      </c>
      <c r="U1534">
        <v>17</v>
      </c>
      <c r="V1534">
        <v>1</v>
      </c>
      <c r="W1534">
        <v>1</v>
      </c>
      <c r="X1534">
        <v>89</v>
      </c>
      <c r="Y1534">
        <v>2</v>
      </c>
      <c r="Z1534">
        <v>1</v>
      </c>
      <c r="AA1534">
        <v>23</v>
      </c>
      <c r="AB1534">
        <v>3</v>
      </c>
      <c r="AC1534">
        <v>66</v>
      </c>
      <c r="AD1534">
        <v>2</v>
      </c>
      <c r="AE1534">
        <v>0</v>
      </c>
      <c r="AF1534">
        <v>0</v>
      </c>
      <c r="AG1534">
        <v>0</v>
      </c>
      <c r="AI1534">
        <v>0</v>
      </c>
      <c r="AJ1534">
        <v>23</v>
      </c>
      <c r="AK1534">
        <v>282</v>
      </c>
      <c r="AL1534">
        <v>282</v>
      </c>
      <c r="AM1534">
        <v>540</v>
      </c>
      <c r="AN1534">
        <v>46</v>
      </c>
      <c r="AP1534">
        <v>1</v>
      </c>
      <c r="AR1534" t="s">
        <v>1622</v>
      </c>
      <c r="AS1534" s="1">
        <v>44354.321527777778</v>
      </c>
      <c r="AT1534" s="1">
        <v>44354.325057870374</v>
      </c>
      <c r="AU1534" s="1">
        <v>44354.325821759259</v>
      </c>
      <c r="AV1534" t="s">
        <v>71</v>
      </c>
      <c r="AW1534" t="s">
        <v>72</v>
      </c>
      <c r="AX1534" t="s">
        <v>73</v>
      </c>
    </row>
    <row r="1535" spans="1:50" x14ac:dyDescent="0.3">
      <c r="A1535" t="str">
        <f>"201284C0100"</f>
        <v>201284C0100</v>
      </c>
      <c r="B1535" t="str">
        <f>"201284C01002"</f>
        <v>201284C01002</v>
      </c>
      <c r="C1535" t="str">
        <f t="shared" si="74"/>
        <v>20</v>
      </c>
      <c r="D1535" t="s">
        <v>67</v>
      </c>
      <c r="E1535" t="str">
        <f t="shared" si="75"/>
        <v>007</v>
      </c>
      <c r="F1535" t="s">
        <v>1519</v>
      </c>
      <c r="G1535" t="str">
        <f>"1284"</f>
        <v>1284</v>
      </c>
      <c r="H1535" t="str">
        <f>"0001"</f>
        <v>0001</v>
      </c>
      <c r="I1535" t="s">
        <v>75</v>
      </c>
      <c r="J1535">
        <v>0</v>
      </c>
      <c r="K1535">
        <v>1</v>
      </c>
      <c r="L1535">
        <v>2</v>
      </c>
      <c r="M1535">
        <v>283</v>
      </c>
      <c r="N1535">
        <v>302</v>
      </c>
      <c r="O1535">
        <v>0</v>
      </c>
      <c r="P1535">
        <v>302</v>
      </c>
      <c r="Q1535">
        <v>3</v>
      </c>
      <c r="R1535">
        <v>41</v>
      </c>
      <c r="S1535">
        <v>1</v>
      </c>
      <c r="T1535">
        <v>13</v>
      </c>
      <c r="U1535">
        <v>7</v>
      </c>
      <c r="V1535">
        <v>0</v>
      </c>
      <c r="W1535">
        <v>1</v>
      </c>
      <c r="X1535">
        <v>92</v>
      </c>
      <c r="Y1535">
        <v>0</v>
      </c>
      <c r="Z1535">
        <v>0</v>
      </c>
      <c r="AA1535">
        <v>18</v>
      </c>
      <c r="AB1535">
        <v>2</v>
      </c>
      <c r="AC1535">
        <v>86</v>
      </c>
      <c r="AD1535">
        <v>0</v>
      </c>
      <c r="AE1535">
        <v>0</v>
      </c>
      <c r="AF1535">
        <v>0</v>
      </c>
      <c r="AG1535">
        <v>0</v>
      </c>
      <c r="AI1535">
        <v>0</v>
      </c>
      <c r="AJ1535">
        <v>38</v>
      </c>
      <c r="AK1535">
        <v>302</v>
      </c>
      <c r="AL1535">
        <v>302</v>
      </c>
      <c r="AM1535">
        <v>539</v>
      </c>
      <c r="AN1535">
        <v>46</v>
      </c>
      <c r="AP1535">
        <v>1</v>
      </c>
      <c r="AR1535" s="2" t="s">
        <v>1623</v>
      </c>
      <c r="AS1535" s="1">
        <v>44354.320833333331</v>
      </c>
      <c r="AT1535" s="1">
        <v>44354.32372685185</v>
      </c>
      <c r="AU1535" s="1">
        <v>44354.32503472222</v>
      </c>
      <c r="AV1535" t="s">
        <v>71</v>
      </c>
      <c r="AW1535" t="s">
        <v>72</v>
      </c>
      <c r="AX1535" t="s">
        <v>73</v>
      </c>
    </row>
    <row r="1536" spans="1:50" x14ac:dyDescent="0.3">
      <c r="A1536" t="str">
        <f>"201284E0100"</f>
        <v>201284E0100</v>
      </c>
      <c r="B1536" t="str">
        <f>"201284E01002"</f>
        <v>201284E01002</v>
      </c>
      <c r="C1536" t="str">
        <f t="shared" si="74"/>
        <v>20</v>
      </c>
      <c r="D1536" t="s">
        <v>67</v>
      </c>
      <c r="E1536" t="str">
        <f t="shared" si="75"/>
        <v>007</v>
      </c>
      <c r="F1536" t="s">
        <v>1519</v>
      </c>
      <c r="G1536" t="str">
        <f>"1284"</f>
        <v>1284</v>
      </c>
      <c r="H1536" t="str">
        <f>"0001"</f>
        <v>0001</v>
      </c>
      <c r="I1536" t="s">
        <v>109</v>
      </c>
      <c r="J1536">
        <v>0</v>
      </c>
      <c r="K1536">
        <v>1</v>
      </c>
      <c r="L1536">
        <v>2</v>
      </c>
      <c r="M1536">
        <v>458</v>
      </c>
      <c r="N1536">
        <v>151</v>
      </c>
      <c r="O1536">
        <v>0</v>
      </c>
      <c r="P1536">
        <v>151</v>
      </c>
      <c r="Q1536">
        <v>2</v>
      </c>
      <c r="R1536">
        <v>4</v>
      </c>
      <c r="S1536">
        <v>8</v>
      </c>
      <c r="T1536">
        <v>1</v>
      </c>
      <c r="U1536">
        <v>49</v>
      </c>
      <c r="V1536">
        <v>3</v>
      </c>
      <c r="W1536">
        <v>0</v>
      </c>
      <c r="X1536">
        <v>23</v>
      </c>
      <c r="Y1536">
        <v>0</v>
      </c>
      <c r="Z1536">
        <v>1</v>
      </c>
      <c r="AA1536">
        <v>0</v>
      </c>
      <c r="AB1536">
        <v>42</v>
      </c>
      <c r="AC1536">
        <v>7</v>
      </c>
      <c r="AD1536">
        <v>0</v>
      </c>
      <c r="AE1536">
        <v>0</v>
      </c>
      <c r="AF1536">
        <v>0</v>
      </c>
      <c r="AG1536">
        <v>0</v>
      </c>
      <c r="AI1536">
        <v>0</v>
      </c>
      <c r="AJ1536">
        <v>11</v>
      </c>
      <c r="AK1536">
        <v>151</v>
      </c>
      <c r="AL1536">
        <v>151</v>
      </c>
      <c r="AM1536">
        <v>563</v>
      </c>
      <c r="AN1536">
        <v>46</v>
      </c>
      <c r="AP1536">
        <v>1</v>
      </c>
      <c r="AR1536" t="s">
        <v>1624</v>
      </c>
      <c r="AS1536" s="1">
        <v>44354.161805555559</v>
      </c>
      <c r="AT1536" s="1">
        <v>44354.164710648147</v>
      </c>
      <c r="AU1536" s="1">
        <v>44354.165335648147</v>
      </c>
      <c r="AV1536" t="s">
        <v>71</v>
      </c>
      <c r="AW1536" t="s">
        <v>72</v>
      </c>
      <c r="AX1536" t="s">
        <v>73</v>
      </c>
    </row>
    <row r="1537" spans="1:50" x14ac:dyDescent="0.3">
      <c r="A1537" t="str">
        <f>"201284E0200"</f>
        <v>201284E0200</v>
      </c>
      <c r="B1537" t="str">
        <f>"201284E02002"</f>
        <v>201284E02002</v>
      </c>
      <c r="C1537" t="str">
        <f t="shared" si="74"/>
        <v>20</v>
      </c>
      <c r="D1537" t="s">
        <v>67</v>
      </c>
      <c r="E1537" t="str">
        <f t="shared" si="75"/>
        <v>007</v>
      </c>
      <c r="F1537" t="s">
        <v>1519</v>
      </c>
      <c r="G1537" t="str">
        <f>"1284"</f>
        <v>1284</v>
      </c>
      <c r="H1537" t="str">
        <f>"0002"</f>
        <v>0002</v>
      </c>
      <c r="I1537" t="s">
        <v>109</v>
      </c>
      <c r="J1537">
        <v>0</v>
      </c>
      <c r="K1537">
        <v>1</v>
      </c>
      <c r="L1537">
        <v>2</v>
      </c>
      <c r="M1537">
        <v>125</v>
      </c>
      <c r="N1537">
        <v>121</v>
      </c>
      <c r="O1537">
        <v>0</v>
      </c>
      <c r="P1537">
        <v>121</v>
      </c>
      <c r="Q1537">
        <v>0</v>
      </c>
      <c r="R1537">
        <v>2</v>
      </c>
      <c r="S1537">
        <v>0</v>
      </c>
      <c r="T1537">
        <v>0</v>
      </c>
      <c r="U1537">
        <v>2</v>
      </c>
      <c r="V1537">
        <v>0</v>
      </c>
      <c r="W1537">
        <v>1</v>
      </c>
      <c r="X1537">
        <v>80</v>
      </c>
      <c r="Y1537">
        <v>0</v>
      </c>
      <c r="Z1537">
        <v>0</v>
      </c>
      <c r="AA1537">
        <v>7</v>
      </c>
      <c r="AB1537">
        <v>0</v>
      </c>
      <c r="AC1537">
        <v>27</v>
      </c>
      <c r="AD1537">
        <v>0</v>
      </c>
      <c r="AE1537">
        <v>0</v>
      </c>
      <c r="AF1537">
        <v>0</v>
      </c>
      <c r="AG1537">
        <v>0</v>
      </c>
      <c r="AI1537">
        <v>0</v>
      </c>
      <c r="AJ1537">
        <v>2</v>
      </c>
      <c r="AK1537">
        <v>121</v>
      </c>
      <c r="AL1537">
        <v>121</v>
      </c>
      <c r="AM1537">
        <v>200</v>
      </c>
      <c r="AN1537">
        <v>46</v>
      </c>
      <c r="AP1537">
        <v>1</v>
      </c>
      <c r="AR1537" t="s">
        <v>1625</v>
      </c>
      <c r="AS1537" s="1">
        <v>44354.351388888892</v>
      </c>
      <c r="AT1537" s="1">
        <v>44354.356712962966</v>
      </c>
      <c r="AU1537" s="1">
        <v>44354.357245370367</v>
      </c>
      <c r="AV1537" t="s">
        <v>71</v>
      </c>
      <c r="AW1537" t="s">
        <v>72</v>
      </c>
      <c r="AX1537" t="s">
        <v>73</v>
      </c>
    </row>
    <row r="1538" spans="1:50" x14ac:dyDescent="0.3">
      <c r="A1538" t="str">
        <f>"201286B0000"</f>
        <v>201286B0000</v>
      </c>
      <c r="B1538" t="str">
        <f>"201286B00002"</f>
        <v>201286B00002</v>
      </c>
      <c r="C1538" t="str">
        <f t="shared" si="74"/>
        <v>20</v>
      </c>
      <c r="D1538" t="s">
        <v>67</v>
      </c>
      <c r="E1538" t="str">
        <f t="shared" si="75"/>
        <v>007</v>
      </c>
      <c r="F1538" t="s">
        <v>1519</v>
      </c>
      <c r="G1538" t="str">
        <f>"1286"</f>
        <v>1286</v>
      </c>
      <c r="H1538" t="str">
        <f>"0000"</f>
        <v>0000</v>
      </c>
      <c r="I1538" t="s">
        <v>69</v>
      </c>
      <c r="J1538">
        <v>0</v>
      </c>
      <c r="K1538">
        <v>1</v>
      </c>
      <c r="L1538">
        <v>2</v>
      </c>
      <c r="M1538">
        <v>401</v>
      </c>
      <c r="N1538">
        <v>179</v>
      </c>
      <c r="O1538">
        <v>1</v>
      </c>
      <c r="P1538">
        <v>178</v>
      </c>
      <c r="Q1538">
        <v>8</v>
      </c>
      <c r="R1538">
        <v>15</v>
      </c>
      <c r="S1538">
        <v>14</v>
      </c>
      <c r="T1538">
        <v>11</v>
      </c>
      <c r="U1538">
        <v>16</v>
      </c>
      <c r="V1538">
        <v>13</v>
      </c>
      <c r="W1538">
        <v>3</v>
      </c>
      <c r="X1538">
        <v>31</v>
      </c>
      <c r="Y1538">
        <v>2</v>
      </c>
      <c r="Z1538">
        <v>7</v>
      </c>
      <c r="AA1538">
        <v>6</v>
      </c>
      <c r="AB1538">
        <v>6</v>
      </c>
      <c r="AC1538">
        <v>21</v>
      </c>
      <c r="AD1538">
        <v>0</v>
      </c>
      <c r="AE1538">
        <v>0</v>
      </c>
      <c r="AF1538">
        <v>0</v>
      </c>
      <c r="AG1538">
        <v>0</v>
      </c>
      <c r="AI1538">
        <v>0</v>
      </c>
      <c r="AJ1538">
        <v>18</v>
      </c>
      <c r="AK1538">
        <v>171</v>
      </c>
      <c r="AL1538">
        <v>171</v>
      </c>
      <c r="AM1538">
        <v>533</v>
      </c>
      <c r="AN1538">
        <v>46</v>
      </c>
      <c r="AP1538">
        <v>1</v>
      </c>
      <c r="AR1538" t="s">
        <v>1626</v>
      </c>
      <c r="AS1538" s="1">
        <v>44354.363194444442</v>
      </c>
      <c r="AT1538" s="1">
        <v>44354.366481481484</v>
      </c>
      <c r="AU1538" s="1">
        <v>44354.36791666667</v>
      </c>
      <c r="AV1538" t="s">
        <v>71</v>
      </c>
      <c r="AW1538" t="s">
        <v>72</v>
      </c>
      <c r="AX1538" t="s">
        <v>73</v>
      </c>
    </row>
    <row r="1539" spans="1:50" x14ac:dyDescent="0.3">
      <c r="A1539" t="str">
        <f>"201286C0100"</f>
        <v>201286C0100</v>
      </c>
      <c r="B1539" t="str">
        <f>"201286C01002"</f>
        <v>201286C01002</v>
      </c>
      <c r="C1539" t="str">
        <f t="shared" si="74"/>
        <v>20</v>
      </c>
      <c r="D1539" t="s">
        <v>67</v>
      </c>
      <c r="E1539" t="str">
        <f t="shared" si="75"/>
        <v>007</v>
      </c>
      <c r="F1539" t="s">
        <v>1519</v>
      </c>
      <c r="G1539" t="str">
        <f>"1286"</f>
        <v>1286</v>
      </c>
      <c r="H1539" t="str">
        <f>"0001"</f>
        <v>0001</v>
      </c>
      <c r="I1539" t="s">
        <v>75</v>
      </c>
      <c r="J1539">
        <v>0</v>
      </c>
      <c r="K1539">
        <v>1</v>
      </c>
      <c r="L1539">
        <v>2</v>
      </c>
      <c r="M1539">
        <v>409</v>
      </c>
      <c r="N1539">
        <v>170</v>
      </c>
      <c r="O1539">
        <v>1</v>
      </c>
      <c r="P1539">
        <v>170</v>
      </c>
      <c r="Q1539">
        <v>18</v>
      </c>
      <c r="R1539">
        <v>11</v>
      </c>
      <c r="S1539">
        <v>10</v>
      </c>
      <c r="T1539">
        <v>15</v>
      </c>
      <c r="U1539">
        <v>31</v>
      </c>
      <c r="V1539">
        <v>3</v>
      </c>
      <c r="W1539">
        <v>3</v>
      </c>
      <c r="X1539">
        <v>27</v>
      </c>
      <c r="Y1539">
        <v>2</v>
      </c>
      <c r="Z1539">
        <v>4</v>
      </c>
      <c r="AA1539">
        <v>8</v>
      </c>
      <c r="AB1539">
        <v>4</v>
      </c>
      <c r="AC1539">
        <v>9</v>
      </c>
      <c r="AD1539" t="s">
        <v>77</v>
      </c>
      <c r="AE1539" t="s">
        <v>77</v>
      </c>
      <c r="AF1539" t="s">
        <v>77</v>
      </c>
      <c r="AG1539" t="s">
        <v>77</v>
      </c>
      <c r="AI1539">
        <v>1</v>
      </c>
      <c r="AJ1539">
        <v>24</v>
      </c>
      <c r="AK1539">
        <v>170</v>
      </c>
      <c r="AL1539">
        <v>170</v>
      </c>
      <c r="AM1539">
        <v>533</v>
      </c>
      <c r="AN1539">
        <v>46</v>
      </c>
      <c r="AO1539" t="s">
        <v>78</v>
      </c>
      <c r="AP1539">
        <v>1</v>
      </c>
      <c r="AR1539" t="s">
        <v>1627</v>
      </c>
      <c r="AS1539" s="1">
        <v>44354.359722222223</v>
      </c>
      <c r="AT1539" s="1">
        <v>44354.36546296296</v>
      </c>
      <c r="AU1539" s="1">
        <v>44354.366076388891</v>
      </c>
      <c r="AV1539" t="s">
        <v>71</v>
      </c>
      <c r="AW1539" t="s">
        <v>72</v>
      </c>
      <c r="AX1539" t="s">
        <v>73</v>
      </c>
    </row>
    <row r="1540" spans="1:50" x14ac:dyDescent="0.3">
      <c r="A1540" t="str">
        <f>"201286C0200"</f>
        <v>201286C0200</v>
      </c>
      <c r="B1540" t="str">
        <f>"201286C02002"</f>
        <v>201286C02002</v>
      </c>
      <c r="C1540" t="str">
        <f t="shared" si="74"/>
        <v>20</v>
      </c>
      <c r="D1540" t="s">
        <v>67</v>
      </c>
      <c r="E1540" t="str">
        <f t="shared" si="75"/>
        <v>007</v>
      </c>
      <c r="F1540" t="s">
        <v>1519</v>
      </c>
      <c r="G1540" t="str">
        <f>"1286"</f>
        <v>1286</v>
      </c>
      <c r="H1540" t="str">
        <f>"0002"</f>
        <v>0002</v>
      </c>
      <c r="I1540" t="s">
        <v>75</v>
      </c>
      <c r="J1540">
        <v>0</v>
      </c>
      <c r="K1540">
        <v>1</v>
      </c>
      <c r="L1540">
        <v>2</v>
      </c>
      <c r="M1540">
        <v>405</v>
      </c>
      <c r="N1540">
        <v>173</v>
      </c>
      <c r="O1540">
        <v>2</v>
      </c>
      <c r="P1540">
        <v>173</v>
      </c>
      <c r="Q1540">
        <v>9</v>
      </c>
      <c r="R1540">
        <v>20</v>
      </c>
      <c r="S1540">
        <v>18</v>
      </c>
      <c r="T1540">
        <v>17</v>
      </c>
      <c r="U1540">
        <v>12</v>
      </c>
      <c r="V1540">
        <v>13</v>
      </c>
      <c r="W1540">
        <v>4</v>
      </c>
      <c r="X1540">
        <v>26</v>
      </c>
      <c r="Y1540">
        <v>6</v>
      </c>
      <c r="Z1540">
        <v>4</v>
      </c>
      <c r="AA1540">
        <v>3</v>
      </c>
      <c r="AB1540">
        <v>2</v>
      </c>
      <c r="AC1540">
        <v>19</v>
      </c>
      <c r="AD1540">
        <v>0</v>
      </c>
      <c r="AE1540">
        <v>0</v>
      </c>
      <c r="AF1540">
        <v>0</v>
      </c>
      <c r="AG1540">
        <v>2</v>
      </c>
      <c r="AI1540">
        <v>2</v>
      </c>
      <c r="AJ1540">
        <v>16</v>
      </c>
      <c r="AK1540">
        <v>163</v>
      </c>
      <c r="AL1540">
        <v>173</v>
      </c>
      <c r="AM1540">
        <v>532</v>
      </c>
      <c r="AN1540">
        <v>46</v>
      </c>
      <c r="AP1540">
        <v>1</v>
      </c>
      <c r="AR1540" t="s">
        <v>1628</v>
      </c>
      <c r="AS1540" s="1">
        <v>44354.352083333331</v>
      </c>
      <c r="AT1540" s="1">
        <v>44354.356400462966</v>
      </c>
      <c r="AU1540" s="1">
        <v>44354.357418981483</v>
      </c>
      <c r="AV1540" t="s">
        <v>71</v>
      </c>
      <c r="AW1540" t="s">
        <v>72</v>
      </c>
      <c r="AX1540" t="s">
        <v>73</v>
      </c>
    </row>
    <row r="1541" spans="1:50" x14ac:dyDescent="0.3">
      <c r="A1541" t="str">
        <f>"201286E0100"</f>
        <v>201286E0100</v>
      </c>
      <c r="B1541" t="str">
        <f>"201286E01002"</f>
        <v>201286E01002</v>
      </c>
      <c r="C1541" t="str">
        <f t="shared" si="74"/>
        <v>20</v>
      </c>
      <c r="D1541" t="s">
        <v>67</v>
      </c>
      <c r="E1541" t="str">
        <f t="shared" si="75"/>
        <v>007</v>
      </c>
      <c r="F1541" t="s">
        <v>1519</v>
      </c>
      <c r="G1541" t="str">
        <f>"1286"</f>
        <v>1286</v>
      </c>
      <c r="H1541" t="str">
        <f>"0001"</f>
        <v>0001</v>
      </c>
      <c r="I1541" t="s">
        <v>109</v>
      </c>
      <c r="J1541">
        <v>0</v>
      </c>
      <c r="K1541">
        <v>1</v>
      </c>
      <c r="L1541">
        <v>2</v>
      </c>
      <c r="M1541">
        <v>219</v>
      </c>
      <c r="N1541">
        <v>165</v>
      </c>
      <c r="O1541">
        <v>0</v>
      </c>
      <c r="P1541" t="s">
        <v>80</v>
      </c>
      <c r="Q1541">
        <v>1</v>
      </c>
      <c r="R1541">
        <v>15</v>
      </c>
      <c r="S1541">
        <v>7</v>
      </c>
      <c r="T1541">
        <v>4</v>
      </c>
      <c r="U1541">
        <v>30</v>
      </c>
      <c r="V1541">
        <v>1</v>
      </c>
      <c r="W1541">
        <v>3</v>
      </c>
      <c r="X1541">
        <v>24</v>
      </c>
      <c r="Y1541">
        <v>2</v>
      </c>
      <c r="Z1541">
        <v>3</v>
      </c>
      <c r="AA1541">
        <v>4</v>
      </c>
      <c r="AB1541">
        <v>4</v>
      </c>
      <c r="AC1541">
        <v>53</v>
      </c>
      <c r="AD1541">
        <v>0</v>
      </c>
      <c r="AE1541">
        <v>0</v>
      </c>
      <c r="AF1541">
        <v>0</v>
      </c>
      <c r="AG1541">
        <v>0</v>
      </c>
      <c r="AI1541">
        <v>0</v>
      </c>
      <c r="AJ1541">
        <v>14</v>
      </c>
      <c r="AK1541">
        <v>165</v>
      </c>
      <c r="AL1541">
        <v>165</v>
      </c>
      <c r="AM1541">
        <v>338</v>
      </c>
      <c r="AN1541">
        <v>46</v>
      </c>
      <c r="AP1541">
        <v>1</v>
      </c>
      <c r="AR1541" t="s">
        <v>1629</v>
      </c>
      <c r="AS1541" s="1">
        <v>44354.363194444442</v>
      </c>
      <c r="AT1541" s="1">
        <v>44354.366979166669</v>
      </c>
      <c r="AU1541" s="1">
        <v>44354.368819444448</v>
      </c>
      <c r="AV1541" t="s">
        <v>71</v>
      </c>
      <c r="AW1541" t="s">
        <v>72</v>
      </c>
      <c r="AX1541" t="s">
        <v>73</v>
      </c>
    </row>
    <row r="1542" spans="1:50" x14ac:dyDescent="0.3">
      <c r="A1542" t="str">
        <f>"201287B0000"</f>
        <v>201287B0000</v>
      </c>
      <c r="B1542" t="str">
        <f>"201287B00002"</f>
        <v>201287B00002</v>
      </c>
      <c r="C1542" t="str">
        <f t="shared" si="74"/>
        <v>20</v>
      </c>
      <c r="D1542" t="s">
        <v>67</v>
      </c>
      <c r="E1542" t="str">
        <f t="shared" si="75"/>
        <v>007</v>
      </c>
      <c r="F1542" t="s">
        <v>1519</v>
      </c>
      <c r="G1542" t="str">
        <f>"1287"</f>
        <v>1287</v>
      </c>
      <c r="H1542" t="str">
        <f>"0000"</f>
        <v>0000</v>
      </c>
      <c r="I1542" t="s">
        <v>69</v>
      </c>
      <c r="J1542">
        <v>0</v>
      </c>
      <c r="K1542">
        <v>1</v>
      </c>
      <c r="L1542">
        <v>2</v>
      </c>
      <c r="M1542">
        <v>398</v>
      </c>
      <c r="N1542">
        <v>208</v>
      </c>
      <c r="O1542">
        <v>0</v>
      </c>
      <c r="P1542" t="s">
        <v>80</v>
      </c>
      <c r="Q1542">
        <v>10</v>
      </c>
      <c r="R1542">
        <v>16</v>
      </c>
      <c r="S1542">
        <v>25</v>
      </c>
      <c r="T1542">
        <v>24</v>
      </c>
      <c r="U1542">
        <v>38</v>
      </c>
      <c r="V1542">
        <v>3</v>
      </c>
      <c r="W1542">
        <v>3</v>
      </c>
      <c r="X1542">
        <v>32</v>
      </c>
      <c r="Y1542">
        <v>7</v>
      </c>
      <c r="Z1542">
        <v>5</v>
      </c>
      <c r="AA1542">
        <v>6</v>
      </c>
      <c r="AB1542">
        <v>4</v>
      </c>
      <c r="AC1542">
        <v>12</v>
      </c>
      <c r="AD1542" t="s">
        <v>77</v>
      </c>
      <c r="AE1542" t="s">
        <v>77</v>
      </c>
      <c r="AF1542" t="s">
        <v>77</v>
      </c>
      <c r="AG1542" t="s">
        <v>77</v>
      </c>
      <c r="AI1542" t="s">
        <v>77</v>
      </c>
      <c r="AJ1542" t="s">
        <v>77</v>
      </c>
      <c r="AK1542" t="s">
        <v>77</v>
      </c>
      <c r="AL1542">
        <v>185</v>
      </c>
      <c r="AM1542">
        <v>560</v>
      </c>
      <c r="AN1542">
        <v>46</v>
      </c>
      <c r="AO1542" t="s">
        <v>78</v>
      </c>
      <c r="AP1542">
        <v>1</v>
      </c>
      <c r="AR1542" t="s">
        <v>1630</v>
      </c>
      <c r="AS1542" s="1">
        <v>44354.365972222222</v>
      </c>
      <c r="AT1542" s="1">
        <v>44354.368483796294</v>
      </c>
      <c r="AU1542" s="1">
        <v>44354.369039351855</v>
      </c>
      <c r="AV1542" t="s">
        <v>71</v>
      </c>
      <c r="AW1542" t="s">
        <v>72</v>
      </c>
      <c r="AX1542" t="s">
        <v>73</v>
      </c>
    </row>
    <row r="1543" spans="1:50" x14ac:dyDescent="0.3">
      <c r="A1543" t="str">
        <f>"201287C0100"</f>
        <v>201287C0100</v>
      </c>
      <c r="B1543" t="str">
        <f>"201287C01002"</f>
        <v>201287C01002</v>
      </c>
      <c r="C1543" t="str">
        <f t="shared" ref="C1543:C1606" si="77">"20"</f>
        <v>20</v>
      </c>
      <c r="D1543" t="s">
        <v>67</v>
      </c>
      <c r="E1543" t="str">
        <f t="shared" si="75"/>
        <v>007</v>
      </c>
      <c r="F1543" t="s">
        <v>1519</v>
      </c>
      <c r="G1543" t="str">
        <f>"1287"</f>
        <v>1287</v>
      </c>
      <c r="H1543" t="str">
        <f>"0001"</f>
        <v>0001</v>
      </c>
      <c r="I1543" t="s">
        <v>75</v>
      </c>
      <c r="J1543">
        <v>0</v>
      </c>
      <c r="K1543">
        <v>1</v>
      </c>
      <c r="L1543">
        <v>2</v>
      </c>
      <c r="M1543">
        <v>403</v>
      </c>
      <c r="N1543">
        <v>202</v>
      </c>
      <c r="O1543">
        <v>0</v>
      </c>
      <c r="P1543">
        <v>202</v>
      </c>
      <c r="Q1543">
        <v>13</v>
      </c>
      <c r="R1543">
        <v>20</v>
      </c>
      <c r="S1543">
        <v>19</v>
      </c>
      <c r="T1543">
        <v>13</v>
      </c>
      <c r="U1543">
        <v>19</v>
      </c>
      <c r="V1543">
        <v>6</v>
      </c>
      <c r="W1543">
        <v>4</v>
      </c>
      <c r="X1543">
        <v>19</v>
      </c>
      <c r="Y1543">
        <v>1</v>
      </c>
      <c r="Z1543">
        <v>6</v>
      </c>
      <c r="AA1543">
        <v>6</v>
      </c>
      <c r="AB1543">
        <v>4</v>
      </c>
      <c r="AC1543">
        <v>7</v>
      </c>
      <c r="AD1543" t="s">
        <v>77</v>
      </c>
      <c r="AE1543" t="s">
        <v>77</v>
      </c>
      <c r="AF1543" t="s">
        <v>77</v>
      </c>
      <c r="AG1543" t="s">
        <v>77</v>
      </c>
      <c r="AI1543" t="s">
        <v>77</v>
      </c>
      <c r="AJ1543" t="s">
        <v>77</v>
      </c>
      <c r="AK1543" t="s">
        <v>77</v>
      </c>
      <c r="AL1543">
        <v>137</v>
      </c>
      <c r="AM1543">
        <v>559</v>
      </c>
      <c r="AN1543">
        <v>46</v>
      </c>
      <c r="AO1543" t="s">
        <v>78</v>
      </c>
      <c r="AP1543">
        <v>1</v>
      </c>
      <c r="AR1543" t="s">
        <v>1631</v>
      </c>
      <c r="AS1543" s="1">
        <v>44354.361111111109</v>
      </c>
      <c r="AT1543" s="1">
        <v>44354.36414351852</v>
      </c>
      <c r="AU1543" s="1">
        <v>44354.366412037038</v>
      </c>
      <c r="AV1543" t="s">
        <v>71</v>
      </c>
      <c r="AW1543" t="s">
        <v>72</v>
      </c>
      <c r="AX1543" t="s">
        <v>73</v>
      </c>
    </row>
    <row r="1544" spans="1:50" x14ac:dyDescent="0.3">
      <c r="A1544" t="str">
        <f>"201287C0200"</f>
        <v>201287C0200</v>
      </c>
      <c r="B1544" t="str">
        <f>"201287C02002"</f>
        <v>201287C02002</v>
      </c>
      <c r="C1544" t="str">
        <f t="shared" si="77"/>
        <v>20</v>
      </c>
      <c r="D1544" t="s">
        <v>67</v>
      </c>
      <c r="E1544" t="str">
        <f t="shared" si="75"/>
        <v>007</v>
      </c>
      <c r="F1544" t="s">
        <v>1519</v>
      </c>
      <c r="G1544" t="str">
        <f>"1287"</f>
        <v>1287</v>
      </c>
      <c r="H1544" t="str">
        <f>"0002"</f>
        <v>0002</v>
      </c>
      <c r="I1544" t="s">
        <v>75</v>
      </c>
      <c r="J1544">
        <v>0</v>
      </c>
      <c r="K1544">
        <v>1</v>
      </c>
      <c r="L1544">
        <v>2</v>
      </c>
      <c r="M1544" t="s">
        <v>80</v>
      </c>
      <c r="N1544" t="s">
        <v>80</v>
      </c>
      <c r="O1544" t="s">
        <v>80</v>
      </c>
      <c r="P1544" t="s">
        <v>80</v>
      </c>
      <c r="Q1544">
        <v>11</v>
      </c>
      <c r="R1544">
        <v>22</v>
      </c>
      <c r="S1544">
        <v>21</v>
      </c>
      <c r="T1544">
        <v>20</v>
      </c>
      <c r="U1544">
        <v>27</v>
      </c>
      <c r="V1544">
        <v>12</v>
      </c>
      <c r="W1544">
        <v>4</v>
      </c>
      <c r="X1544">
        <v>36</v>
      </c>
      <c r="Y1544">
        <v>2</v>
      </c>
      <c r="Z1544">
        <v>3</v>
      </c>
      <c r="AA1544">
        <v>8</v>
      </c>
      <c r="AB1544">
        <v>4</v>
      </c>
      <c r="AC1544">
        <v>11</v>
      </c>
      <c r="AD1544" t="s">
        <v>77</v>
      </c>
      <c r="AE1544" t="s">
        <v>77</v>
      </c>
      <c r="AF1544" t="s">
        <v>77</v>
      </c>
      <c r="AG1544" t="s">
        <v>77</v>
      </c>
      <c r="AI1544" t="s">
        <v>77</v>
      </c>
      <c r="AJ1544" t="s">
        <v>77</v>
      </c>
      <c r="AK1544" t="s">
        <v>77</v>
      </c>
      <c r="AL1544">
        <v>181</v>
      </c>
      <c r="AM1544">
        <v>559</v>
      </c>
      <c r="AN1544">
        <v>46</v>
      </c>
      <c r="AO1544" t="s">
        <v>78</v>
      </c>
      <c r="AP1544">
        <v>1</v>
      </c>
      <c r="AR1544" t="s">
        <v>1632</v>
      </c>
      <c r="AS1544" s="1">
        <v>44354.357638888891</v>
      </c>
      <c r="AT1544" s="1">
        <v>44354.360289351855</v>
      </c>
      <c r="AU1544" s="1">
        <v>44354.361203703702</v>
      </c>
      <c r="AV1544" t="s">
        <v>71</v>
      </c>
      <c r="AW1544" t="s">
        <v>72</v>
      </c>
      <c r="AX1544" t="s">
        <v>73</v>
      </c>
    </row>
    <row r="1545" spans="1:50" x14ac:dyDescent="0.3">
      <c r="A1545" t="str">
        <f>"201287E0100"</f>
        <v>201287E0100</v>
      </c>
      <c r="B1545" t="str">
        <f>"201287E01002"</f>
        <v>201287E01002</v>
      </c>
      <c r="C1545" t="str">
        <f t="shared" si="77"/>
        <v>20</v>
      </c>
      <c r="D1545" t="s">
        <v>67</v>
      </c>
      <c r="E1545" t="str">
        <f t="shared" si="75"/>
        <v>007</v>
      </c>
      <c r="F1545" t="s">
        <v>1519</v>
      </c>
      <c r="G1545" t="str">
        <f>"1287"</f>
        <v>1287</v>
      </c>
      <c r="H1545" t="str">
        <f>"0001"</f>
        <v>0001</v>
      </c>
      <c r="I1545" t="s">
        <v>109</v>
      </c>
      <c r="J1545">
        <v>0</v>
      </c>
      <c r="K1545">
        <v>1</v>
      </c>
      <c r="L1545">
        <v>2</v>
      </c>
      <c r="M1545">
        <v>107</v>
      </c>
      <c r="N1545">
        <v>69</v>
      </c>
      <c r="O1545">
        <v>0</v>
      </c>
      <c r="P1545">
        <v>69</v>
      </c>
      <c r="Q1545">
        <v>3</v>
      </c>
      <c r="R1545">
        <v>4</v>
      </c>
      <c r="S1545">
        <v>7</v>
      </c>
      <c r="T1545">
        <v>8</v>
      </c>
      <c r="U1545">
        <v>4</v>
      </c>
      <c r="V1545">
        <v>2</v>
      </c>
      <c r="W1545">
        <v>2</v>
      </c>
      <c r="X1545">
        <v>20</v>
      </c>
      <c r="Y1545">
        <v>2</v>
      </c>
      <c r="Z1545">
        <v>6</v>
      </c>
      <c r="AA1545">
        <v>1</v>
      </c>
      <c r="AB1545">
        <v>4</v>
      </c>
      <c r="AC1545">
        <v>3</v>
      </c>
      <c r="AD1545">
        <v>0</v>
      </c>
      <c r="AE1545">
        <v>0</v>
      </c>
      <c r="AF1545">
        <v>0</v>
      </c>
      <c r="AG1545">
        <v>0</v>
      </c>
      <c r="AI1545">
        <v>0</v>
      </c>
      <c r="AJ1545">
        <v>3</v>
      </c>
      <c r="AK1545">
        <v>69</v>
      </c>
      <c r="AL1545">
        <v>69</v>
      </c>
      <c r="AM1545">
        <v>130</v>
      </c>
      <c r="AN1545">
        <v>46</v>
      </c>
      <c r="AP1545">
        <v>1</v>
      </c>
      <c r="AR1545" t="s">
        <v>1633</v>
      </c>
      <c r="AS1545" s="1">
        <v>44354.521527777775</v>
      </c>
      <c r="AT1545" s="1">
        <v>44354.523599537039</v>
      </c>
      <c r="AU1545" s="1">
        <v>44354.524375000001</v>
      </c>
      <c r="AV1545" t="s">
        <v>71</v>
      </c>
      <c r="AW1545" t="s">
        <v>72</v>
      </c>
      <c r="AX1545" t="s">
        <v>347</v>
      </c>
    </row>
    <row r="1546" spans="1:50" x14ac:dyDescent="0.3">
      <c r="A1546" t="str">
        <f>"201288B0000"</f>
        <v>201288B0000</v>
      </c>
      <c r="B1546" t="str">
        <f>"201288B00002"</f>
        <v>201288B00002</v>
      </c>
      <c r="C1546" t="str">
        <f t="shared" si="77"/>
        <v>20</v>
      </c>
      <c r="D1546" t="s">
        <v>67</v>
      </c>
      <c r="E1546" t="str">
        <f t="shared" si="75"/>
        <v>007</v>
      </c>
      <c r="F1546" t="s">
        <v>1519</v>
      </c>
      <c r="G1546" t="str">
        <f>"1288"</f>
        <v>1288</v>
      </c>
      <c r="H1546" t="str">
        <f>"0000"</f>
        <v>0000</v>
      </c>
      <c r="I1546" t="s">
        <v>69</v>
      </c>
      <c r="J1546">
        <v>0</v>
      </c>
      <c r="K1546">
        <v>1</v>
      </c>
      <c r="L1546">
        <v>2</v>
      </c>
      <c r="M1546">
        <v>360</v>
      </c>
      <c r="N1546">
        <v>274</v>
      </c>
      <c r="O1546">
        <v>0</v>
      </c>
      <c r="P1546" t="s">
        <v>80</v>
      </c>
      <c r="Q1546">
        <v>8</v>
      </c>
      <c r="R1546">
        <v>12</v>
      </c>
      <c r="S1546">
        <v>22</v>
      </c>
      <c r="T1546">
        <v>5</v>
      </c>
      <c r="U1546">
        <v>28</v>
      </c>
      <c r="V1546">
        <v>2</v>
      </c>
      <c r="W1546">
        <v>5</v>
      </c>
      <c r="X1546">
        <v>82</v>
      </c>
      <c r="Y1546">
        <v>5</v>
      </c>
      <c r="Z1546">
        <v>10</v>
      </c>
      <c r="AA1546">
        <v>10</v>
      </c>
      <c r="AB1546">
        <v>8</v>
      </c>
      <c r="AC1546">
        <v>66</v>
      </c>
      <c r="AD1546">
        <v>0</v>
      </c>
      <c r="AE1546">
        <v>0</v>
      </c>
      <c r="AF1546">
        <v>0</v>
      </c>
      <c r="AG1546">
        <v>0</v>
      </c>
      <c r="AI1546">
        <v>0</v>
      </c>
      <c r="AJ1546">
        <v>11</v>
      </c>
      <c r="AK1546">
        <v>274</v>
      </c>
      <c r="AL1546">
        <v>274</v>
      </c>
      <c r="AM1546">
        <v>588</v>
      </c>
      <c r="AN1546">
        <v>46</v>
      </c>
      <c r="AP1546">
        <v>1</v>
      </c>
      <c r="AR1546" t="s">
        <v>1634</v>
      </c>
      <c r="AS1546" s="1">
        <v>44354.365277777775</v>
      </c>
      <c r="AT1546" s="1">
        <v>44354.369050925925</v>
      </c>
      <c r="AU1546" s="1">
        <v>44354.369837962964</v>
      </c>
      <c r="AV1546" t="s">
        <v>71</v>
      </c>
      <c r="AW1546" t="s">
        <v>72</v>
      </c>
      <c r="AX1546" t="s">
        <v>73</v>
      </c>
    </row>
    <row r="1547" spans="1:50" x14ac:dyDescent="0.3">
      <c r="A1547" t="str">
        <f>"201288C0100"</f>
        <v>201288C0100</v>
      </c>
      <c r="B1547" t="str">
        <f>"201288C01002"</f>
        <v>201288C01002</v>
      </c>
      <c r="C1547" t="str">
        <f t="shared" si="77"/>
        <v>20</v>
      </c>
      <c r="D1547" t="s">
        <v>67</v>
      </c>
      <c r="E1547" t="str">
        <f t="shared" si="75"/>
        <v>007</v>
      </c>
      <c r="F1547" t="s">
        <v>1519</v>
      </c>
      <c r="G1547" t="str">
        <f>"1288"</f>
        <v>1288</v>
      </c>
      <c r="H1547" t="str">
        <f>"0001"</f>
        <v>0001</v>
      </c>
      <c r="I1547" t="s">
        <v>75</v>
      </c>
      <c r="J1547">
        <v>0</v>
      </c>
      <c r="K1547">
        <v>1</v>
      </c>
      <c r="L1547">
        <v>2</v>
      </c>
      <c r="M1547">
        <v>351</v>
      </c>
      <c r="N1547">
        <v>283</v>
      </c>
      <c r="O1547">
        <v>0</v>
      </c>
      <c r="P1547" t="s">
        <v>80</v>
      </c>
      <c r="Q1547">
        <v>3</v>
      </c>
      <c r="R1547">
        <v>17</v>
      </c>
      <c r="S1547">
        <v>22</v>
      </c>
      <c r="T1547">
        <v>16</v>
      </c>
      <c r="U1547">
        <v>23</v>
      </c>
      <c r="V1547">
        <v>7</v>
      </c>
      <c r="W1547">
        <v>4</v>
      </c>
      <c r="X1547">
        <v>83</v>
      </c>
      <c r="Y1547">
        <v>1</v>
      </c>
      <c r="Z1547">
        <v>6</v>
      </c>
      <c r="AA1547">
        <v>9</v>
      </c>
      <c r="AB1547">
        <v>7</v>
      </c>
      <c r="AC1547">
        <v>65</v>
      </c>
      <c r="AD1547">
        <v>0</v>
      </c>
      <c r="AE1547">
        <v>0</v>
      </c>
      <c r="AF1547">
        <v>0</v>
      </c>
      <c r="AG1547">
        <v>0</v>
      </c>
      <c r="AI1547">
        <v>0</v>
      </c>
      <c r="AJ1547">
        <v>20</v>
      </c>
      <c r="AK1547">
        <v>283</v>
      </c>
      <c r="AL1547">
        <v>283</v>
      </c>
      <c r="AM1547">
        <v>588</v>
      </c>
      <c r="AN1547">
        <v>46</v>
      </c>
      <c r="AP1547">
        <v>1</v>
      </c>
      <c r="AR1547" t="s">
        <v>1635</v>
      </c>
      <c r="AS1547" s="1">
        <v>44354.361805555556</v>
      </c>
      <c r="AT1547" s="1">
        <v>44354.364618055559</v>
      </c>
      <c r="AU1547" s="1">
        <v>44354.365486111114</v>
      </c>
      <c r="AV1547" t="s">
        <v>71</v>
      </c>
      <c r="AW1547" t="s">
        <v>72</v>
      </c>
      <c r="AX1547" t="s">
        <v>73</v>
      </c>
    </row>
    <row r="1548" spans="1:50" x14ac:dyDescent="0.3">
      <c r="A1548" t="str">
        <f>"201289B0000"</f>
        <v>201289B0000</v>
      </c>
      <c r="B1548" t="str">
        <f>"201289B00002"</f>
        <v>201289B00002</v>
      </c>
      <c r="C1548" t="str">
        <f t="shared" si="77"/>
        <v>20</v>
      </c>
      <c r="D1548" t="s">
        <v>67</v>
      </c>
      <c r="E1548" t="str">
        <f t="shared" si="75"/>
        <v>007</v>
      </c>
      <c r="F1548" t="s">
        <v>1519</v>
      </c>
      <c r="G1548" t="str">
        <f>"1289"</f>
        <v>1289</v>
      </c>
      <c r="H1548" t="str">
        <f>"0000"</f>
        <v>0000</v>
      </c>
      <c r="I1548" t="s">
        <v>69</v>
      </c>
      <c r="J1548">
        <v>0</v>
      </c>
      <c r="K1548">
        <v>1</v>
      </c>
      <c r="L1548">
        <v>2</v>
      </c>
      <c r="M1548">
        <v>127</v>
      </c>
      <c r="N1548">
        <v>72</v>
      </c>
      <c r="O1548" t="s">
        <v>80</v>
      </c>
      <c r="P1548">
        <v>72</v>
      </c>
      <c r="Q1548">
        <v>5</v>
      </c>
      <c r="R1548">
        <v>18</v>
      </c>
      <c r="S1548">
        <v>12</v>
      </c>
      <c r="T1548">
        <v>13</v>
      </c>
      <c r="U1548">
        <v>7</v>
      </c>
      <c r="V1548">
        <v>2</v>
      </c>
      <c r="W1548">
        <v>1</v>
      </c>
      <c r="X1548">
        <v>8</v>
      </c>
      <c r="Y1548" t="s">
        <v>77</v>
      </c>
      <c r="Z1548">
        <v>1</v>
      </c>
      <c r="AA1548">
        <v>2</v>
      </c>
      <c r="AB1548">
        <v>1</v>
      </c>
      <c r="AC1548">
        <v>1</v>
      </c>
      <c r="AD1548" t="s">
        <v>77</v>
      </c>
      <c r="AE1548" t="s">
        <v>77</v>
      </c>
      <c r="AF1548" t="s">
        <v>77</v>
      </c>
      <c r="AG1548" t="s">
        <v>77</v>
      </c>
      <c r="AI1548" t="s">
        <v>77</v>
      </c>
      <c r="AJ1548">
        <v>1</v>
      </c>
      <c r="AK1548">
        <v>72</v>
      </c>
      <c r="AL1548">
        <v>72</v>
      </c>
      <c r="AM1548">
        <v>153</v>
      </c>
      <c r="AN1548">
        <v>46</v>
      </c>
      <c r="AO1548" t="s">
        <v>78</v>
      </c>
      <c r="AP1548">
        <v>1</v>
      </c>
      <c r="AR1548" s="2" t="s">
        <v>1636</v>
      </c>
      <c r="AS1548" s="1">
        <v>44354.35833333333</v>
      </c>
      <c r="AT1548" s="1">
        <v>44354.363657407404</v>
      </c>
      <c r="AU1548" s="1">
        <v>44354.364571759259</v>
      </c>
      <c r="AV1548" t="s">
        <v>71</v>
      </c>
      <c r="AW1548" t="s">
        <v>72</v>
      </c>
      <c r="AX1548" t="s">
        <v>73</v>
      </c>
    </row>
    <row r="1549" spans="1:50" x14ac:dyDescent="0.3">
      <c r="A1549" t="str">
        <f>"201289E0100"</f>
        <v>201289E0100</v>
      </c>
      <c r="B1549" t="str">
        <f>"201289E01002"</f>
        <v>201289E01002</v>
      </c>
      <c r="C1549" t="str">
        <f t="shared" si="77"/>
        <v>20</v>
      </c>
      <c r="D1549" t="s">
        <v>67</v>
      </c>
      <c r="E1549" t="str">
        <f t="shared" si="75"/>
        <v>007</v>
      </c>
      <c r="F1549" t="s">
        <v>1519</v>
      </c>
      <c r="G1549" t="str">
        <f>"1289"</f>
        <v>1289</v>
      </c>
      <c r="H1549" t="str">
        <f>"0001"</f>
        <v>0001</v>
      </c>
      <c r="I1549" t="s">
        <v>109</v>
      </c>
      <c r="J1549">
        <v>0</v>
      </c>
      <c r="K1549">
        <v>1</v>
      </c>
      <c r="L1549">
        <v>2</v>
      </c>
      <c r="M1549">
        <v>546</v>
      </c>
      <c r="N1549">
        <v>187</v>
      </c>
      <c r="O1549">
        <v>0</v>
      </c>
      <c r="P1549">
        <v>187</v>
      </c>
      <c r="Q1549">
        <v>6</v>
      </c>
      <c r="R1549">
        <v>12</v>
      </c>
      <c r="S1549">
        <v>27</v>
      </c>
      <c r="T1549">
        <v>6</v>
      </c>
      <c r="U1549">
        <v>15</v>
      </c>
      <c r="V1549">
        <v>7</v>
      </c>
      <c r="W1549">
        <v>3</v>
      </c>
      <c r="X1549">
        <v>56</v>
      </c>
      <c r="Y1549">
        <v>2</v>
      </c>
      <c r="Z1549">
        <v>5</v>
      </c>
      <c r="AA1549">
        <v>2</v>
      </c>
      <c r="AB1549">
        <v>5</v>
      </c>
      <c r="AC1549">
        <v>24</v>
      </c>
      <c r="AD1549">
        <v>0</v>
      </c>
      <c r="AE1549">
        <v>0</v>
      </c>
      <c r="AF1549">
        <v>0</v>
      </c>
      <c r="AG1549">
        <v>0</v>
      </c>
      <c r="AI1549" t="s">
        <v>77</v>
      </c>
      <c r="AJ1549">
        <v>17</v>
      </c>
      <c r="AK1549">
        <v>187</v>
      </c>
      <c r="AL1549">
        <v>187</v>
      </c>
      <c r="AM1549">
        <v>687</v>
      </c>
      <c r="AN1549">
        <v>46</v>
      </c>
      <c r="AO1549" t="s">
        <v>78</v>
      </c>
      <c r="AP1549">
        <v>1</v>
      </c>
      <c r="AR1549" t="s">
        <v>1637</v>
      </c>
      <c r="AS1549" s="1">
        <v>44354.359027777777</v>
      </c>
      <c r="AT1549" s="1">
        <v>44354.361550925925</v>
      </c>
      <c r="AU1549" s="1">
        <v>44354.362453703703</v>
      </c>
      <c r="AV1549" t="s">
        <v>71</v>
      </c>
      <c r="AW1549" t="s">
        <v>72</v>
      </c>
      <c r="AX1549" t="s">
        <v>73</v>
      </c>
    </row>
    <row r="1550" spans="1:50" x14ac:dyDescent="0.3">
      <c r="A1550" t="str">
        <f>"201289E0200"</f>
        <v>201289E0200</v>
      </c>
      <c r="B1550" t="str">
        <f>"201289E02002"</f>
        <v>201289E02002</v>
      </c>
      <c r="C1550" t="str">
        <f t="shared" si="77"/>
        <v>20</v>
      </c>
      <c r="D1550" t="s">
        <v>67</v>
      </c>
      <c r="E1550" t="str">
        <f t="shared" si="75"/>
        <v>007</v>
      </c>
      <c r="F1550" t="s">
        <v>1519</v>
      </c>
      <c r="G1550" t="str">
        <f>"1289"</f>
        <v>1289</v>
      </c>
      <c r="H1550" t="str">
        <f>"0002"</f>
        <v>0002</v>
      </c>
      <c r="I1550" t="s">
        <v>109</v>
      </c>
      <c r="J1550">
        <v>0</v>
      </c>
      <c r="K1550">
        <v>1</v>
      </c>
      <c r="L1550">
        <v>2</v>
      </c>
      <c r="M1550">
        <v>142</v>
      </c>
      <c r="N1550">
        <v>55</v>
      </c>
      <c r="O1550">
        <v>0</v>
      </c>
      <c r="P1550">
        <v>55</v>
      </c>
      <c r="Q1550">
        <v>2</v>
      </c>
      <c r="R1550">
        <v>11</v>
      </c>
      <c r="S1550">
        <v>3</v>
      </c>
      <c r="T1550">
        <v>3</v>
      </c>
      <c r="U1550">
        <v>3</v>
      </c>
      <c r="V1550">
        <v>1</v>
      </c>
      <c r="W1550">
        <v>0</v>
      </c>
      <c r="X1550">
        <v>9</v>
      </c>
      <c r="Y1550">
        <v>1</v>
      </c>
      <c r="Z1550">
        <v>1</v>
      </c>
      <c r="AA1550">
        <v>3</v>
      </c>
      <c r="AB1550">
        <v>1</v>
      </c>
      <c r="AC1550">
        <v>14</v>
      </c>
      <c r="AD1550">
        <v>0</v>
      </c>
      <c r="AE1550">
        <v>0</v>
      </c>
      <c r="AF1550">
        <v>0</v>
      </c>
      <c r="AG1550">
        <v>0</v>
      </c>
      <c r="AI1550">
        <v>0</v>
      </c>
      <c r="AJ1550">
        <v>3</v>
      </c>
      <c r="AK1550">
        <v>55</v>
      </c>
      <c r="AL1550">
        <v>55</v>
      </c>
      <c r="AM1550">
        <v>151</v>
      </c>
      <c r="AN1550">
        <v>46</v>
      </c>
      <c r="AP1550">
        <v>1</v>
      </c>
      <c r="AR1550" t="s">
        <v>1638</v>
      </c>
      <c r="AS1550" s="1">
        <v>44354.363888888889</v>
      </c>
      <c r="AT1550" s="1">
        <v>44354.366018518522</v>
      </c>
      <c r="AU1550" s="1">
        <v>44354.366574074076</v>
      </c>
      <c r="AV1550" t="s">
        <v>71</v>
      </c>
      <c r="AW1550" t="s">
        <v>72</v>
      </c>
      <c r="AX1550" t="s">
        <v>73</v>
      </c>
    </row>
    <row r="1551" spans="1:50" x14ac:dyDescent="0.3">
      <c r="A1551" t="str">
        <f>"201289E0300"</f>
        <v>201289E0300</v>
      </c>
      <c r="B1551" t="str">
        <f>"201289E03002"</f>
        <v>201289E03002</v>
      </c>
      <c r="C1551" t="str">
        <f t="shared" si="77"/>
        <v>20</v>
      </c>
      <c r="D1551" t="s">
        <v>67</v>
      </c>
      <c r="E1551" t="str">
        <f t="shared" si="75"/>
        <v>007</v>
      </c>
      <c r="F1551" t="s">
        <v>1519</v>
      </c>
      <c r="G1551" t="str">
        <f>"1289"</f>
        <v>1289</v>
      </c>
      <c r="H1551" t="str">
        <f>"0003"</f>
        <v>0003</v>
      </c>
      <c r="I1551" t="s">
        <v>109</v>
      </c>
      <c r="J1551">
        <v>0</v>
      </c>
      <c r="K1551">
        <v>1</v>
      </c>
      <c r="L1551">
        <v>2</v>
      </c>
      <c r="M1551">
        <v>140</v>
      </c>
      <c r="N1551">
        <v>92</v>
      </c>
      <c r="O1551">
        <v>0</v>
      </c>
      <c r="P1551">
        <v>92</v>
      </c>
      <c r="Q1551">
        <v>4</v>
      </c>
      <c r="R1551">
        <v>6</v>
      </c>
      <c r="S1551">
        <v>13</v>
      </c>
      <c r="T1551">
        <v>12</v>
      </c>
      <c r="U1551">
        <v>19</v>
      </c>
      <c r="V1551">
        <v>1</v>
      </c>
      <c r="W1551">
        <v>3</v>
      </c>
      <c r="X1551">
        <v>15</v>
      </c>
      <c r="Y1551">
        <v>2</v>
      </c>
      <c r="Z1551">
        <v>4</v>
      </c>
      <c r="AA1551">
        <v>1</v>
      </c>
      <c r="AB1551">
        <v>3</v>
      </c>
      <c r="AC1551">
        <v>4</v>
      </c>
      <c r="AD1551">
        <v>0</v>
      </c>
      <c r="AE1551">
        <v>0</v>
      </c>
      <c r="AF1551">
        <v>0</v>
      </c>
      <c r="AG1551">
        <v>0</v>
      </c>
      <c r="AI1551">
        <v>0</v>
      </c>
      <c r="AJ1551">
        <v>5</v>
      </c>
      <c r="AK1551">
        <v>92</v>
      </c>
      <c r="AL1551">
        <v>92</v>
      </c>
      <c r="AM1551">
        <v>186</v>
      </c>
      <c r="AN1551">
        <v>46</v>
      </c>
      <c r="AP1551">
        <v>1</v>
      </c>
      <c r="AR1551" t="s">
        <v>1639</v>
      </c>
      <c r="AS1551" s="1">
        <v>44354.367361111108</v>
      </c>
      <c r="AT1551" s="1">
        <v>44354.370208333334</v>
      </c>
      <c r="AU1551" s="1">
        <v>44354.371562499997</v>
      </c>
      <c r="AV1551" t="s">
        <v>71</v>
      </c>
      <c r="AW1551" t="s">
        <v>72</v>
      </c>
      <c r="AX1551" t="s">
        <v>73</v>
      </c>
    </row>
    <row r="1552" spans="1:50" x14ac:dyDescent="0.3">
      <c r="A1552" t="str">
        <f>"201289E0400"</f>
        <v>201289E0400</v>
      </c>
      <c r="B1552" t="str">
        <f>"201289E04002"</f>
        <v>201289E04002</v>
      </c>
      <c r="C1552" t="str">
        <f t="shared" si="77"/>
        <v>20</v>
      </c>
      <c r="D1552" t="s">
        <v>67</v>
      </c>
      <c r="E1552" t="str">
        <f t="shared" si="75"/>
        <v>007</v>
      </c>
      <c r="F1552" t="s">
        <v>1519</v>
      </c>
      <c r="G1552" t="str">
        <f>"1289"</f>
        <v>1289</v>
      </c>
      <c r="H1552" t="str">
        <f>"0004"</f>
        <v>0004</v>
      </c>
      <c r="I1552" t="s">
        <v>109</v>
      </c>
      <c r="J1552">
        <v>0</v>
      </c>
      <c r="K1552">
        <v>1</v>
      </c>
      <c r="L1552">
        <v>2</v>
      </c>
      <c r="M1552">
        <v>123</v>
      </c>
      <c r="N1552">
        <v>52</v>
      </c>
      <c r="O1552">
        <v>0</v>
      </c>
      <c r="P1552">
        <v>52</v>
      </c>
      <c r="Q1552">
        <v>0</v>
      </c>
      <c r="R1552">
        <v>8</v>
      </c>
      <c r="S1552">
        <v>4</v>
      </c>
      <c r="T1552">
        <v>5</v>
      </c>
      <c r="U1552">
        <v>10</v>
      </c>
      <c r="V1552">
        <v>2</v>
      </c>
      <c r="W1552">
        <v>1</v>
      </c>
      <c r="X1552">
        <v>9</v>
      </c>
      <c r="Y1552">
        <v>1</v>
      </c>
      <c r="Z1552">
        <v>3</v>
      </c>
      <c r="AA1552">
        <v>0</v>
      </c>
      <c r="AB1552">
        <v>1</v>
      </c>
      <c r="AC1552">
        <v>0</v>
      </c>
      <c r="AD1552">
        <v>0</v>
      </c>
      <c r="AE1552">
        <v>0</v>
      </c>
      <c r="AF1552">
        <v>0</v>
      </c>
      <c r="AG1552">
        <v>0</v>
      </c>
      <c r="AI1552" t="s">
        <v>77</v>
      </c>
      <c r="AJ1552">
        <v>8</v>
      </c>
      <c r="AK1552">
        <v>52</v>
      </c>
      <c r="AL1552">
        <v>52</v>
      </c>
      <c r="AM1552">
        <v>129</v>
      </c>
      <c r="AN1552">
        <v>46</v>
      </c>
      <c r="AO1552" t="s">
        <v>78</v>
      </c>
      <c r="AP1552">
        <v>1</v>
      </c>
      <c r="AR1552" t="s">
        <v>1640</v>
      </c>
      <c r="AS1552" s="1">
        <v>44354.364583333336</v>
      </c>
      <c r="AT1552" s="1">
        <v>44354.370300925926</v>
      </c>
      <c r="AU1552" s="1">
        <v>44354.370625000003</v>
      </c>
      <c r="AV1552" t="s">
        <v>71</v>
      </c>
      <c r="AW1552" t="s">
        <v>72</v>
      </c>
      <c r="AX1552" t="s">
        <v>73</v>
      </c>
    </row>
    <row r="1553" spans="1:50" x14ac:dyDescent="0.3">
      <c r="A1553" t="str">
        <f>"201290B0000"</f>
        <v>201290B0000</v>
      </c>
      <c r="B1553" t="str">
        <f>"201290B00002"</f>
        <v>201290B00002</v>
      </c>
      <c r="C1553" t="str">
        <f t="shared" si="77"/>
        <v>20</v>
      </c>
      <c r="D1553" t="s">
        <v>67</v>
      </c>
      <c r="E1553" t="str">
        <f t="shared" si="75"/>
        <v>007</v>
      </c>
      <c r="F1553" t="s">
        <v>1519</v>
      </c>
      <c r="G1553" t="str">
        <f t="shared" ref="G1553:G1558" si="78">"1290"</f>
        <v>1290</v>
      </c>
      <c r="H1553" t="str">
        <f>"0000"</f>
        <v>0000</v>
      </c>
      <c r="I1553" t="s">
        <v>69</v>
      </c>
      <c r="J1553">
        <v>0</v>
      </c>
      <c r="K1553">
        <v>1</v>
      </c>
      <c r="L1553">
        <v>2</v>
      </c>
      <c r="M1553">
        <v>257</v>
      </c>
      <c r="N1553">
        <v>257</v>
      </c>
      <c r="O1553">
        <v>0</v>
      </c>
      <c r="P1553">
        <v>337</v>
      </c>
      <c r="Q1553">
        <v>0</v>
      </c>
      <c r="R1553">
        <v>5</v>
      </c>
      <c r="S1553">
        <v>20</v>
      </c>
      <c r="T1553">
        <v>3</v>
      </c>
      <c r="U1553">
        <v>5</v>
      </c>
      <c r="V1553">
        <v>2</v>
      </c>
      <c r="W1553">
        <v>0</v>
      </c>
      <c r="X1553">
        <v>277</v>
      </c>
      <c r="Y1553">
        <v>0</v>
      </c>
      <c r="Z1553">
        <v>2</v>
      </c>
      <c r="AA1553">
        <v>7</v>
      </c>
      <c r="AB1553">
        <v>0</v>
      </c>
      <c r="AC1553">
        <v>9</v>
      </c>
      <c r="AD1553">
        <v>0</v>
      </c>
      <c r="AE1553">
        <v>0</v>
      </c>
      <c r="AF1553">
        <v>0</v>
      </c>
      <c r="AG1553">
        <v>0</v>
      </c>
      <c r="AI1553">
        <v>0</v>
      </c>
      <c r="AJ1553">
        <v>13</v>
      </c>
      <c r="AK1553">
        <v>337</v>
      </c>
      <c r="AL1553">
        <v>343</v>
      </c>
      <c r="AM1553">
        <v>548</v>
      </c>
      <c r="AN1553">
        <v>46</v>
      </c>
      <c r="AP1553">
        <v>1</v>
      </c>
      <c r="AR1553" t="s">
        <v>1641</v>
      </c>
      <c r="AS1553" s="1">
        <v>44354.347916666666</v>
      </c>
      <c r="AT1553" s="1">
        <v>44354.356053240743</v>
      </c>
      <c r="AU1553" s="1">
        <v>44354.356747685182</v>
      </c>
      <c r="AV1553" t="s">
        <v>71</v>
      </c>
      <c r="AW1553" t="s">
        <v>72</v>
      </c>
      <c r="AX1553" t="s">
        <v>73</v>
      </c>
    </row>
    <row r="1554" spans="1:50" x14ac:dyDescent="0.3">
      <c r="A1554" t="str">
        <f>"201290C0100"</f>
        <v>201290C0100</v>
      </c>
      <c r="B1554" t="str">
        <f>"201290C01002"</f>
        <v>201290C01002</v>
      </c>
      <c r="C1554" t="str">
        <f t="shared" si="77"/>
        <v>20</v>
      </c>
      <c r="D1554" t="s">
        <v>67</v>
      </c>
      <c r="E1554" t="str">
        <f t="shared" si="75"/>
        <v>007</v>
      </c>
      <c r="F1554" t="s">
        <v>1519</v>
      </c>
      <c r="G1554" t="str">
        <f t="shared" si="78"/>
        <v>1290</v>
      </c>
      <c r="H1554" t="str">
        <f>"0001"</f>
        <v>0001</v>
      </c>
      <c r="I1554" t="s">
        <v>75</v>
      </c>
      <c r="J1554">
        <v>0</v>
      </c>
      <c r="K1554">
        <v>1</v>
      </c>
      <c r="L1554">
        <v>2</v>
      </c>
      <c r="M1554">
        <v>278</v>
      </c>
      <c r="N1554">
        <v>328</v>
      </c>
      <c r="O1554">
        <v>0</v>
      </c>
      <c r="P1554">
        <v>328</v>
      </c>
      <c r="Q1554">
        <v>1</v>
      </c>
      <c r="R1554">
        <v>6</v>
      </c>
      <c r="S1554">
        <v>43</v>
      </c>
      <c r="T1554">
        <v>0</v>
      </c>
      <c r="U1554">
        <v>1</v>
      </c>
      <c r="V1554">
        <v>0</v>
      </c>
      <c r="W1554">
        <v>0</v>
      </c>
      <c r="X1554">
        <v>253</v>
      </c>
      <c r="Y1554">
        <v>0</v>
      </c>
      <c r="Z1554">
        <v>4</v>
      </c>
      <c r="AA1554">
        <v>1</v>
      </c>
      <c r="AB1554">
        <v>0</v>
      </c>
      <c r="AC1554">
        <v>10</v>
      </c>
      <c r="AD1554">
        <v>0</v>
      </c>
      <c r="AE1554">
        <v>0</v>
      </c>
      <c r="AF1554">
        <v>0</v>
      </c>
      <c r="AG1554">
        <v>0</v>
      </c>
      <c r="AI1554">
        <v>0</v>
      </c>
      <c r="AJ1554">
        <v>5</v>
      </c>
      <c r="AK1554">
        <v>328</v>
      </c>
      <c r="AL1554">
        <v>324</v>
      </c>
      <c r="AM1554">
        <v>548</v>
      </c>
      <c r="AN1554">
        <v>46</v>
      </c>
      <c r="AP1554">
        <v>1</v>
      </c>
      <c r="AR1554" t="s">
        <v>1642</v>
      </c>
      <c r="AS1554" s="1">
        <v>44354.351388888892</v>
      </c>
      <c r="AT1554" s="1">
        <v>44354.356631944444</v>
      </c>
      <c r="AU1554" s="1">
        <v>44354.357129629629</v>
      </c>
      <c r="AV1554" t="s">
        <v>71</v>
      </c>
      <c r="AW1554" t="s">
        <v>72</v>
      </c>
      <c r="AX1554" t="s">
        <v>73</v>
      </c>
    </row>
    <row r="1555" spans="1:50" x14ac:dyDescent="0.3">
      <c r="A1555" t="str">
        <f>"201290E0100"</f>
        <v>201290E0100</v>
      </c>
      <c r="B1555" t="str">
        <f>"201290E01002"</f>
        <v>201290E01002</v>
      </c>
      <c r="C1555" t="str">
        <f t="shared" si="77"/>
        <v>20</v>
      </c>
      <c r="D1555" t="s">
        <v>67</v>
      </c>
      <c r="E1555" t="str">
        <f t="shared" si="75"/>
        <v>007</v>
      </c>
      <c r="F1555" t="s">
        <v>1519</v>
      </c>
      <c r="G1555" t="str">
        <f t="shared" si="78"/>
        <v>1290</v>
      </c>
      <c r="H1555" t="str">
        <f>"0001"</f>
        <v>0001</v>
      </c>
      <c r="I1555" t="s">
        <v>109</v>
      </c>
      <c r="J1555">
        <v>0</v>
      </c>
      <c r="K1555">
        <v>1</v>
      </c>
      <c r="L1555">
        <v>2</v>
      </c>
      <c r="M1555">
        <v>295</v>
      </c>
      <c r="N1555">
        <v>172</v>
      </c>
      <c r="O1555">
        <v>0</v>
      </c>
      <c r="P1555">
        <v>172</v>
      </c>
      <c r="Q1555">
        <v>5</v>
      </c>
      <c r="R1555">
        <v>64</v>
      </c>
      <c r="S1555">
        <v>8</v>
      </c>
      <c r="T1555">
        <v>13</v>
      </c>
      <c r="U1555">
        <v>8</v>
      </c>
      <c r="V1555">
        <v>5</v>
      </c>
      <c r="W1555">
        <v>1</v>
      </c>
      <c r="X1555">
        <v>10</v>
      </c>
      <c r="Y1555">
        <v>2</v>
      </c>
      <c r="Z1555">
        <v>5</v>
      </c>
      <c r="AA1555">
        <v>1</v>
      </c>
      <c r="AB1555">
        <v>3</v>
      </c>
      <c r="AC1555">
        <v>8</v>
      </c>
      <c r="AD1555">
        <v>0</v>
      </c>
      <c r="AE1555">
        <v>0</v>
      </c>
      <c r="AF1555">
        <v>0</v>
      </c>
      <c r="AG1555">
        <v>1</v>
      </c>
      <c r="AI1555">
        <v>0</v>
      </c>
      <c r="AJ1555">
        <v>38</v>
      </c>
      <c r="AK1555">
        <v>172</v>
      </c>
      <c r="AL1555">
        <v>172</v>
      </c>
      <c r="AM1555">
        <v>421</v>
      </c>
      <c r="AN1555">
        <v>46</v>
      </c>
      <c r="AP1555">
        <v>1</v>
      </c>
      <c r="AR1555" s="2" t="s">
        <v>1643</v>
      </c>
      <c r="AS1555" s="1">
        <v>44354.355555555558</v>
      </c>
      <c r="AT1555" s="1">
        <v>44354.359513888892</v>
      </c>
      <c r="AU1555" s="1">
        <v>44354.36005787037</v>
      </c>
      <c r="AV1555" t="s">
        <v>71</v>
      </c>
      <c r="AW1555" t="s">
        <v>72</v>
      </c>
      <c r="AX1555" t="s">
        <v>73</v>
      </c>
    </row>
    <row r="1556" spans="1:50" x14ac:dyDescent="0.3">
      <c r="A1556" t="str">
        <f>"201290E0200"</f>
        <v>201290E0200</v>
      </c>
      <c r="B1556" t="str">
        <f>"201290E02002"</f>
        <v>201290E02002</v>
      </c>
      <c r="C1556" t="str">
        <f t="shared" si="77"/>
        <v>20</v>
      </c>
      <c r="D1556" t="s">
        <v>67</v>
      </c>
      <c r="E1556" t="str">
        <f t="shared" si="75"/>
        <v>007</v>
      </c>
      <c r="F1556" t="s">
        <v>1519</v>
      </c>
      <c r="G1556" t="str">
        <f t="shared" si="78"/>
        <v>1290</v>
      </c>
      <c r="H1556" t="str">
        <f>"0002"</f>
        <v>0002</v>
      </c>
      <c r="I1556" t="s">
        <v>109</v>
      </c>
      <c r="J1556">
        <v>0</v>
      </c>
      <c r="K1556">
        <v>1</v>
      </c>
      <c r="L1556">
        <v>2</v>
      </c>
      <c r="M1556">
        <v>46</v>
      </c>
      <c r="N1556">
        <v>176</v>
      </c>
      <c r="O1556">
        <v>0</v>
      </c>
      <c r="P1556">
        <v>176</v>
      </c>
      <c r="Q1556">
        <v>0</v>
      </c>
      <c r="R1556">
        <v>0</v>
      </c>
      <c r="S1556">
        <v>3</v>
      </c>
      <c r="T1556">
        <v>0</v>
      </c>
      <c r="U1556">
        <v>6</v>
      </c>
      <c r="V1556">
        <v>0</v>
      </c>
      <c r="W1556">
        <v>1</v>
      </c>
      <c r="X1556">
        <v>55</v>
      </c>
      <c r="Y1556">
        <v>0</v>
      </c>
      <c r="Z1556">
        <v>0</v>
      </c>
      <c r="AA1556">
        <v>4</v>
      </c>
      <c r="AB1556">
        <v>0</v>
      </c>
      <c r="AC1556">
        <v>104</v>
      </c>
      <c r="AD1556">
        <v>0</v>
      </c>
      <c r="AE1556">
        <v>0</v>
      </c>
      <c r="AF1556">
        <v>0</v>
      </c>
      <c r="AG1556">
        <v>0</v>
      </c>
      <c r="AI1556">
        <v>0</v>
      </c>
      <c r="AJ1556">
        <v>3</v>
      </c>
      <c r="AK1556">
        <v>176</v>
      </c>
      <c r="AL1556">
        <v>176</v>
      </c>
      <c r="AM1556">
        <v>176</v>
      </c>
      <c r="AN1556">
        <v>46</v>
      </c>
      <c r="AP1556">
        <v>1</v>
      </c>
      <c r="AR1556" t="s">
        <v>1644</v>
      </c>
      <c r="AS1556" s="1">
        <v>44354.365277777775</v>
      </c>
      <c r="AT1556" s="1">
        <v>44354.369652777779</v>
      </c>
      <c r="AU1556" s="1">
        <v>44354.370081018518</v>
      </c>
      <c r="AV1556" t="s">
        <v>71</v>
      </c>
      <c r="AW1556" t="s">
        <v>72</v>
      </c>
      <c r="AX1556" t="s">
        <v>73</v>
      </c>
    </row>
    <row r="1557" spans="1:50" x14ac:dyDescent="0.3">
      <c r="A1557" t="str">
        <f>"201290E0300"</f>
        <v>201290E0300</v>
      </c>
      <c r="B1557" t="str">
        <f>"201290E03002"</f>
        <v>201290E03002</v>
      </c>
      <c r="C1557" t="str">
        <f t="shared" si="77"/>
        <v>20</v>
      </c>
      <c r="D1557" t="s">
        <v>67</v>
      </c>
      <c r="E1557" t="str">
        <f t="shared" si="75"/>
        <v>007</v>
      </c>
      <c r="F1557" t="s">
        <v>1519</v>
      </c>
      <c r="G1557" t="str">
        <f t="shared" si="78"/>
        <v>1290</v>
      </c>
      <c r="H1557" t="str">
        <f>"0003"</f>
        <v>0003</v>
      </c>
      <c r="I1557" t="s">
        <v>109</v>
      </c>
      <c r="J1557">
        <v>0</v>
      </c>
      <c r="K1557">
        <v>1</v>
      </c>
      <c r="L1557">
        <v>2</v>
      </c>
      <c r="M1557">
        <v>148</v>
      </c>
      <c r="N1557">
        <v>95</v>
      </c>
      <c r="O1557">
        <v>1</v>
      </c>
      <c r="P1557">
        <v>95</v>
      </c>
      <c r="Q1557">
        <v>8</v>
      </c>
      <c r="R1557">
        <v>7</v>
      </c>
      <c r="S1557">
        <v>8</v>
      </c>
      <c r="T1557">
        <v>1</v>
      </c>
      <c r="U1557">
        <v>6</v>
      </c>
      <c r="V1557">
        <v>4</v>
      </c>
      <c r="W1557">
        <v>2</v>
      </c>
      <c r="X1557">
        <v>8</v>
      </c>
      <c r="Y1557">
        <v>4</v>
      </c>
      <c r="Z1557">
        <v>2</v>
      </c>
      <c r="AA1557">
        <v>3</v>
      </c>
      <c r="AB1557">
        <v>2</v>
      </c>
      <c r="AC1557">
        <v>32</v>
      </c>
      <c r="AD1557">
        <v>0</v>
      </c>
      <c r="AE1557">
        <v>0</v>
      </c>
      <c r="AF1557">
        <v>0</v>
      </c>
      <c r="AG1557">
        <v>5</v>
      </c>
      <c r="AI1557">
        <v>0</v>
      </c>
      <c r="AJ1557">
        <v>3</v>
      </c>
      <c r="AK1557">
        <v>95</v>
      </c>
      <c r="AL1557">
        <v>95</v>
      </c>
      <c r="AM1557">
        <v>197</v>
      </c>
      <c r="AN1557">
        <v>46</v>
      </c>
      <c r="AP1557">
        <v>1</v>
      </c>
      <c r="AR1557" t="s">
        <v>1645</v>
      </c>
      <c r="AS1557" s="1">
        <v>44354.349305555559</v>
      </c>
      <c r="AT1557" s="1">
        <v>44354.354641203703</v>
      </c>
      <c r="AU1557" s="1">
        <v>44354.355150462965</v>
      </c>
      <c r="AV1557" t="s">
        <v>71</v>
      </c>
      <c r="AW1557" t="s">
        <v>72</v>
      </c>
      <c r="AX1557" t="s">
        <v>73</v>
      </c>
    </row>
    <row r="1558" spans="1:50" x14ac:dyDescent="0.3">
      <c r="A1558" t="str">
        <f>"201290E0400"</f>
        <v>201290E0400</v>
      </c>
      <c r="B1558" t="str">
        <f>"201290E04002"</f>
        <v>201290E04002</v>
      </c>
      <c r="C1558" t="str">
        <f t="shared" si="77"/>
        <v>20</v>
      </c>
      <c r="D1558" t="s">
        <v>67</v>
      </c>
      <c r="E1558" t="str">
        <f t="shared" si="75"/>
        <v>007</v>
      </c>
      <c r="F1558" t="s">
        <v>1519</v>
      </c>
      <c r="G1558" t="str">
        <f t="shared" si="78"/>
        <v>1290</v>
      </c>
      <c r="H1558" t="str">
        <f>"0004"</f>
        <v>0004</v>
      </c>
      <c r="I1558" t="s">
        <v>109</v>
      </c>
      <c r="J1558">
        <v>0</v>
      </c>
      <c r="K1558">
        <v>1</v>
      </c>
      <c r="L1558">
        <v>2</v>
      </c>
      <c r="M1558">
        <v>191</v>
      </c>
      <c r="N1558">
        <v>155</v>
      </c>
      <c r="O1558">
        <v>0</v>
      </c>
      <c r="P1558">
        <v>155</v>
      </c>
      <c r="Q1558">
        <v>0</v>
      </c>
      <c r="R1558">
        <v>0</v>
      </c>
      <c r="S1558">
        <v>0</v>
      </c>
      <c r="T1558">
        <v>18</v>
      </c>
      <c r="U1558">
        <v>18</v>
      </c>
      <c r="V1558">
        <v>18</v>
      </c>
      <c r="W1558">
        <v>10</v>
      </c>
      <c r="X1558">
        <v>1</v>
      </c>
      <c r="Y1558">
        <v>30</v>
      </c>
      <c r="Z1558">
        <v>0</v>
      </c>
      <c r="AA1558">
        <v>3</v>
      </c>
      <c r="AB1558">
        <v>2</v>
      </c>
      <c r="AC1558">
        <v>16</v>
      </c>
      <c r="AD1558">
        <v>44</v>
      </c>
      <c r="AE1558" t="s">
        <v>77</v>
      </c>
      <c r="AF1558" t="s">
        <v>77</v>
      </c>
      <c r="AG1558" t="s">
        <v>77</v>
      </c>
      <c r="AI1558">
        <v>0</v>
      </c>
      <c r="AJ1558">
        <v>12</v>
      </c>
      <c r="AK1558">
        <v>155</v>
      </c>
      <c r="AL1558">
        <v>172</v>
      </c>
      <c r="AM1558">
        <v>300</v>
      </c>
      <c r="AN1558">
        <v>46</v>
      </c>
      <c r="AO1558" t="s">
        <v>78</v>
      </c>
      <c r="AP1558">
        <v>1</v>
      </c>
      <c r="AR1558" t="s">
        <v>1646</v>
      </c>
      <c r="AS1558" s="1">
        <v>44354.347916666666</v>
      </c>
      <c r="AT1558" s="1">
        <v>44354.353368055556</v>
      </c>
      <c r="AU1558" s="1">
        <v>44354.354953703703</v>
      </c>
      <c r="AV1558" t="s">
        <v>71</v>
      </c>
      <c r="AW1558" t="s">
        <v>72</v>
      </c>
      <c r="AX1558" t="s">
        <v>73</v>
      </c>
    </row>
    <row r="1559" spans="1:50" x14ac:dyDescent="0.3">
      <c r="A1559" t="str">
        <f>"201449B0000"</f>
        <v>201449B0000</v>
      </c>
      <c r="B1559" t="str">
        <f>"201449B00002"</f>
        <v>201449B00002</v>
      </c>
      <c r="C1559" t="str">
        <f t="shared" si="77"/>
        <v>20</v>
      </c>
      <c r="D1559" t="s">
        <v>67</v>
      </c>
      <c r="E1559" t="str">
        <f t="shared" si="75"/>
        <v>007</v>
      </c>
      <c r="F1559" t="s">
        <v>1519</v>
      </c>
      <c r="G1559" t="str">
        <f>"1449"</f>
        <v>1449</v>
      </c>
      <c r="H1559" t="str">
        <f>"0000"</f>
        <v>0000</v>
      </c>
      <c r="I1559" t="s">
        <v>69</v>
      </c>
      <c r="J1559">
        <v>0</v>
      </c>
      <c r="K1559">
        <v>1</v>
      </c>
      <c r="L1559">
        <v>2</v>
      </c>
      <c r="M1559">
        <v>183</v>
      </c>
      <c r="N1559">
        <v>373</v>
      </c>
      <c r="O1559">
        <v>0</v>
      </c>
      <c r="P1559">
        <v>373</v>
      </c>
      <c r="Q1559">
        <v>0</v>
      </c>
      <c r="R1559">
        <v>50</v>
      </c>
      <c r="S1559">
        <v>118</v>
      </c>
      <c r="T1559">
        <v>0</v>
      </c>
      <c r="U1559">
        <v>1</v>
      </c>
      <c r="V1559">
        <v>1</v>
      </c>
      <c r="W1559">
        <v>0</v>
      </c>
      <c r="X1559">
        <v>131</v>
      </c>
      <c r="Y1559">
        <v>0</v>
      </c>
      <c r="Z1559">
        <v>1</v>
      </c>
      <c r="AA1559">
        <v>4</v>
      </c>
      <c r="AB1559">
        <v>0</v>
      </c>
      <c r="AC1559">
        <v>53</v>
      </c>
      <c r="AD1559" t="s">
        <v>77</v>
      </c>
      <c r="AE1559" t="s">
        <v>77</v>
      </c>
      <c r="AF1559" t="s">
        <v>77</v>
      </c>
      <c r="AG1559" t="s">
        <v>77</v>
      </c>
      <c r="AI1559" t="s">
        <v>77</v>
      </c>
      <c r="AJ1559">
        <v>14</v>
      </c>
      <c r="AK1559">
        <v>373</v>
      </c>
      <c r="AL1559">
        <v>373</v>
      </c>
      <c r="AM1559">
        <v>510</v>
      </c>
      <c r="AN1559">
        <v>46</v>
      </c>
      <c r="AO1559" t="s">
        <v>78</v>
      </c>
      <c r="AP1559">
        <v>1</v>
      </c>
      <c r="AR1559" t="s">
        <v>1647</v>
      </c>
      <c r="AS1559" s="1">
        <v>44354.00440972222</v>
      </c>
      <c r="AT1559" s="1">
        <v>44354.009826388887</v>
      </c>
      <c r="AU1559" s="1">
        <v>44354.010636574072</v>
      </c>
      <c r="AV1559" t="s">
        <v>269</v>
      </c>
      <c r="AW1559" t="s">
        <v>270</v>
      </c>
      <c r="AX1559" t="s">
        <v>73</v>
      </c>
    </row>
    <row r="1560" spans="1:50" x14ac:dyDescent="0.3">
      <c r="A1560" t="str">
        <f>"201449C0100"</f>
        <v>201449C0100</v>
      </c>
      <c r="B1560" t="str">
        <f>"201449C01002"</f>
        <v>201449C01002</v>
      </c>
      <c r="C1560" t="str">
        <f t="shared" si="77"/>
        <v>20</v>
      </c>
      <c r="D1560" t="s">
        <v>67</v>
      </c>
      <c r="E1560" t="str">
        <f t="shared" ref="E1560:E1623" si="79">"007"</f>
        <v>007</v>
      </c>
      <c r="F1560" t="s">
        <v>1519</v>
      </c>
      <c r="G1560" t="str">
        <f>"1449"</f>
        <v>1449</v>
      </c>
      <c r="H1560" t="str">
        <f>"0001"</f>
        <v>0001</v>
      </c>
      <c r="I1560" t="s">
        <v>75</v>
      </c>
      <c r="J1560">
        <v>0</v>
      </c>
      <c r="K1560">
        <v>1</v>
      </c>
      <c r="L1560">
        <v>2</v>
      </c>
      <c r="M1560">
        <v>178</v>
      </c>
      <c r="N1560">
        <v>378</v>
      </c>
      <c r="O1560">
        <v>0</v>
      </c>
      <c r="P1560">
        <v>378</v>
      </c>
      <c r="Q1560">
        <v>1</v>
      </c>
      <c r="R1560">
        <v>52</v>
      </c>
      <c r="S1560">
        <v>104</v>
      </c>
      <c r="T1560">
        <v>1</v>
      </c>
      <c r="U1560">
        <v>3</v>
      </c>
      <c r="V1560">
        <v>1</v>
      </c>
      <c r="W1560">
        <v>0</v>
      </c>
      <c r="X1560">
        <v>127</v>
      </c>
      <c r="Y1560">
        <v>1</v>
      </c>
      <c r="Z1560">
        <v>0</v>
      </c>
      <c r="AA1560">
        <v>3</v>
      </c>
      <c r="AB1560">
        <v>1</v>
      </c>
      <c r="AC1560">
        <v>72</v>
      </c>
      <c r="AD1560">
        <v>0</v>
      </c>
      <c r="AE1560">
        <v>0</v>
      </c>
      <c r="AF1560">
        <v>0</v>
      </c>
      <c r="AG1560">
        <v>0</v>
      </c>
      <c r="AI1560">
        <v>0</v>
      </c>
      <c r="AJ1560">
        <v>12</v>
      </c>
      <c r="AK1560">
        <v>378</v>
      </c>
      <c r="AL1560">
        <v>378</v>
      </c>
      <c r="AM1560">
        <v>510</v>
      </c>
      <c r="AN1560">
        <v>46</v>
      </c>
      <c r="AP1560">
        <v>1</v>
      </c>
      <c r="AR1560" t="s">
        <v>1648</v>
      </c>
      <c r="AS1560" s="1">
        <v>44354.011979166666</v>
      </c>
      <c r="AT1560" s="1">
        <v>44354.018784722219</v>
      </c>
      <c r="AU1560" s="1">
        <v>44354.019224537034</v>
      </c>
      <c r="AV1560" t="s">
        <v>269</v>
      </c>
      <c r="AW1560" t="s">
        <v>270</v>
      </c>
      <c r="AX1560" t="s">
        <v>73</v>
      </c>
    </row>
    <row r="1561" spans="1:50" x14ac:dyDescent="0.3">
      <c r="A1561" t="str">
        <f>"201449C0200"</f>
        <v>201449C0200</v>
      </c>
      <c r="B1561" t="str">
        <f>"201449C02002"</f>
        <v>201449C02002</v>
      </c>
      <c r="C1561" t="str">
        <f t="shared" si="77"/>
        <v>20</v>
      </c>
      <c r="D1561" t="s">
        <v>67</v>
      </c>
      <c r="E1561" t="str">
        <f t="shared" si="79"/>
        <v>007</v>
      </c>
      <c r="F1561" t="s">
        <v>1519</v>
      </c>
      <c r="G1561" t="str">
        <f>"1449"</f>
        <v>1449</v>
      </c>
      <c r="H1561" t="str">
        <f>"0002"</f>
        <v>0002</v>
      </c>
      <c r="I1561" t="s">
        <v>75</v>
      </c>
      <c r="J1561">
        <v>0</v>
      </c>
      <c r="K1561">
        <v>1</v>
      </c>
      <c r="L1561">
        <v>2</v>
      </c>
      <c r="M1561">
        <v>166</v>
      </c>
      <c r="N1561">
        <v>389</v>
      </c>
      <c r="O1561">
        <v>0</v>
      </c>
      <c r="P1561">
        <v>389</v>
      </c>
      <c r="Q1561">
        <v>1</v>
      </c>
      <c r="R1561">
        <v>56</v>
      </c>
      <c r="S1561">
        <v>107</v>
      </c>
      <c r="T1561">
        <v>1</v>
      </c>
      <c r="U1561">
        <v>0</v>
      </c>
      <c r="V1561">
        <v>1</v>
      </c>
      <c r="W1561">
        <v>0</v>
      </c>
      <c r="X1561">
        <v>138</v>
      </c>
      <c r="Y1561">
        <v>0</v>
      </c>
      <c r="Z1561">
        <v>0</v>
      </c>
      <c r="AA1561">
        <v>0</v>
      </c>
      <c r="AB1561">
        <v>1</v>
      </c>
      <c r="AC1561">
        <v>73</v>
      </c>
      <c r="AD1561">
        <v>0</v>
      </c>
      <c r="AE1561">
        <v>0</v>
      </c>
      <c r="AF1561">
        <v>0</v>
      </c>
      <c r="AG1561">
        <v>0</v>
      </c>
      <c r="AI1561">
        <v>0</v>
      </c>
      <c r="AJ1561">
        <v>11</v>
      </c>
      <c r="AK1561">
        <v>389</v>
      </c>
      <c r="AL1561">
        <v>389</v>
      </c>
      <c r="AM1561">
        <v>509</v>
      </c>
      <c r="AN1561">
        <v>46</v>
      </c>
      <c r="AP1561">
        <v>1</v>
      </c>
      <c r="AR1561" t="s">
        <v>1649</v>
      </c>
      <c r="AS1561" s="1">
        <v>44354.013912037037</v>
      </c>
      <c r="AT1561" s="1">
        <v>44354.02034722222</v>
      </c>
      <c r="AU1561" s="1">
        <v>44354.020983796298</v>
      </c>
      <c r="AV1561" t="s">
        <v>269</v>
      </c>
      <c r="AW1561" t="s">
        <v>270</v>
      </c>
      <c r="AX1561" t="s">
        <v>73</v>
      </c>
    </row>
    <row r="1562" spans="1:50" x14ac:dyDescent="0.3">
      <c r="A1562" t="str">
        <f>"201449E0100"</f>
        <v>201449E0100</v>
      </c>
      <c r="B1562" t="str">
        <f>"201449E01002"</f>
        <v>201449E01002</v>
      </c>
      <c r="C1562" t="str">
        <f t="shared" si="77"/>
        <v>20</v>
      </c>
      <c r="D1562" t="s">
        <v>67</v>
      </c>
      <c r="E1562" t="str">
        <f t="shared" si="79"/>
        <v>007</v>
      </c>
      <c r="F1562" t="s">
        <v>1519</v>
      </c>
      <c r="G1562" t="str">
        <f>"1449"</f>
        <v>1449</v>
      </c>
      <c r="H1562" t="str">
        <f>"0001"</f>
        <v>0001</v>
      </c>
      <c r="I1562" t="s">
        <v>109</v>
      </c>
      <c r="J1562">
        <v>0</v>
      </c>
      <c r="K1562">
        <v>1</v>
      </c>
      <c r="L1562">
        <v>2</v>
      </c>
      <c r="M1562">
        <v>123</v>
      </c>
      <c r="N1562">
        <v>330</v>
      </c>
      <c r="O1562">
        <v>2</v>
      </c>
      <c r="P1562">
        <v>330</v>
      </c>
      <c r="Q1562">
        <v>0</v>
      </c>
      <c r="R1562">
        <v>83</v>
      </c>
      <c r="S1562">
        <v>84</v>
      </c>
      <c r="T1562">
        <v>2</v>
      </c>
      <c r="U1562">
        <v>0</v>
      </c>
      <c r="V1562">
        <v>0</v>
      </c>
      <c r="W1562">
        <v>0</v>
      </c>
      <c r="X1562">
        <v>64</v>
      </c>
      <c r="Y1562">
        <v>0</v>
      </c>
      <c r="Z1562">
        <v>1</v>
      </c>
      <c r="AA1562">
        <v>1</v>
      </c>
      <c r="AB1562">
        <v>0</v>
      </c>
      <c r="AC1562">
        <v>62</v>
      </c>
      <c r="AD1562">
        <v>0</v>
      </c>
      <c r="AE1562">
        <v>0</v>
      </c>
      <c r="AF1562">
        <v>0</v>
      </c>
      <c r="AG1562">
        <v>1</v>
      </c>
      <c r="AI1562">
        <v>0</v>
      </c>
      <c r="AJ1562">
        <v>33</v>
      </c>
      <c r="AK1562">
        <v>330</v>
      </c>
      <c r="AL1562">
        <v>331</v>
      </c>
      <c r="AM1562">
        <v>407</v>
      </c>
      <c r="AN1562">
        <v>46</v>
      </c>
      <c r="AP1562">
        <v>1</v>
      </c>
      <c r="AR1562" t="s">
        <v>1650</v>
      </c>
      <c r="AS1562" s="1">
        <v>44354.27847222222</v>
      </c>
      <c r="AT1562" s="1">
        <v>44354.281053240738</v>
      </c>
      <c r="AU1562" s="1">
        <v>44354.281666666669</v>
      </c>
      <c r="AV1562" t="s">
        <v>71</v>
      </c>
      <c r="AW1562" t="s">
        <v>72</v>
      </c>
      <c r="AX1562" t="s">
        <v>73</v>
      </c>
    </row>
    <row r="1563" spans="1:50" x14ac:dyDescent="0.3">
      <c r="A1563" t="str">
        <f>"201449E0101"</f>
        <v>201449E0101</v>
      </c>
      <c r="B1563" t="str">
        <f>"201449E01012"</f>
        <v>201449E01012</v>
      </c>
      <c r="C1563" t="str">
        <f t="shared" si="77"/>
        <v>20</v>
      </c>
      <c r="D1563" t="s">
        <v>67</v>
      </c>
      <c r="E1563" t="str">
        <f t="shared" si="79"/>
        <v>007</v>
      </c>
      <c r="F1563" t="s">
        <v>1519</v>
      </c>
      <c r="G1563" t="str">
        <f>"1449"</f>
        <v>1449</v>
      </c>
      <c r="H1563" t="str">
        <f>"0001"</f>
        <v>0001</v>
      </c>
      <c r="I1563" t="s">
        <v>109</v>
      </c>
      <c r="J1563">
        <v>1</v>
      </c>
      <c r="K1563">
        <v>1</v>
      </c>
      <c r="L1563">
        <v>2</v>
      </c>
      <c r="M1563">
        <v>161</v>
      </c>
      <c r="N1563">
        <v>291</v>
      </c>
      <c r="O1563">
        <v>0</v>
      </c>
      <c r="P1563">
        <v>291</v>
      </c>
      <c r="Q1563" t="s">
        <v>77</v>
      </c>
      <c r="R1563">
        <v>62</v>
      </c>
      <c r="S1563">
        <v>106</v>
      </c>
      <c r="T1563">
        <v>1</v>
      </c>
      <c r="U1563">
        <v>0</v>
      </c>
      <c r="V1563">
        <v>0</v>
      </c>
      <c r="W1563">
        <v>0</v>
      </c>
      <c r="X1563">
        <v>68</v>
      </c>
      <c r="Y1563">
        <v>0</v>
      </c>
      <c r="Z1563">
        <v>0</v>
      </c>
      <c r="AA1563">
        <v>0</v>
      </c>
      <c r="AB1563">
        <v>0</v>
      </c>
      <c r="AC1563">
        <v>33</v>
      </c>
      <c r="AD1563">
        <v>0</v>
      </c>
      <c r="AE1563">
        <v>0</v>
      </c>
      <c r="AF1563">
        <v>0</v>
      </c>
      <c r="AG1563">
        <v>0</v>
      </c>
      <c r="AI1563">
        <v>0</v>
      </c>
      <c r="AJ1563">
        <v>1</v>
      </c>
      <c r="AK1563">
        <v>291</v>
      </c>
      <c r="AL1563">
        <v>271</v>
      </c>
      <c r="AM1563">
        <v>406</v>
      </c>
      <c r="AN1563">
        <v>46</v>
      </c>
      <c r="AO1563" t="s">
        <v>78</v>
      </c>
      <c r="AP1563">
        <v>1</v>
      </c>
      <c r="AR1563" t="s">
        <v>1651</v>
      </c>
      <c r="AS1563" s="1">
        <v>44354.279861111114</v>
      </c>
      <c r="AT1563" s="1">
        <v>44354.281643518516</v>
      </c>
      <c r="AU1563" s="1">
        <v>44354.282152777778</v>
      </c>
      <c r="AV1563" t="s">
        <v>71</v>
      </c>
      <c r="AW1563" t="s">
        <v>72</v>
      </c>
      <c r="AX1563" t="s">
        <v>73</v>
      </c>
    </row>
    <row r="1564" spans="1:50" x14ac:dyDescent="0.3">
      <c r="A1564" t="str">
        <f>"201450B0000"</f>
        <v>201450B0000</v>
      </c>
      <c r="B1564" t="str">
        <f>"201450B00002"</f>
        <v>201450B00002</v>
      </c>
      <c r="C1564" t="str">
        <f t="shared" si="77"/>
        <v>20</v>
      </c>
      <c r="D1564" t="s">
        <v>67</v>
      </c>
      <c r="E1564" t="str">
        <f t="shared" si="79"/>
        <v>007</v>
      </c>
      <c r="F1564" t="s">
        <v>1519</v>
      </c>
      <c r="G1564" t="str">
        <f>"1450"</f>
        <v>1450</v>
      </c>
      <c r="H1564" t="str">
        <f>"0000"</f>
        <v>0000</v>
      </c>
      <c r="I1564" t="s">
        <v>69</v>
      </c>
      <c r="J1564">
        <v>0</v>
      </c>
      <c r="K1564">
        <v>1</v>
      </c>
      <c r="L1564">
        <v>2</v>
      </c>
      <c r="M1564">
        <v>210</v>
      </c>
      <c r="N1564">
        <v>485</v>
      </c>
      <c r="O1564">
        <v>0</v>
      </c>
      <c r="P1564">
        <v>485</v>
      </c>
      <c r="Q1564">
        <v>0</v>
      </c>
      <c r="R1564">
        <v>67</v>
      </c>
      <c r="S1564">
        <v>98</v>
      </c>
      <c r="T1564">
        <v>1</v>
      </c>
      <c r="U1564">
        <v>0</v>
      </c>
      <c r="V1564">
        <v>3</v>
      </c>
      <c r="W1564">
        <v>1</v>
      </c>
      <c r="X1564">
        <v>218</v>
      </c>
      <c r="Y1564">
        <v>0</v>
      </c>
      <c r="Z1564">
        <v>1</v>
      </c>
      <c r="AA1564">
        <v>0</v>
      </c>
      <c r="AB1564">
        <v>1</v>
      </c>
      <c r="AC1564">
        <v>86</v>
      </c>
      <c r="AD1564">
        <v>0</v>
      </c>
      <c r="AE1564">
        <v>0</v>
      </c>
      <c r="AF1564">
        <v>0</v>
      </c>
      <c r="AG1564">
        <v>0</v>
      </c>
      <c r="AI1564">
        <v>0</v>
      </c>
      <c r="AJ1564">
        <v>9</v>
      </c>
      <c r="AK1564">
        <v>485</v>
      </c>
      <c r="AL1564">
        <v>485</v>
      </c>
      <c r="AM1564">
        <v>649</v>
      </c>
      <c r="AN1564">
        <v>46</v>
      </c>
      <c r="AP1564">
        <v>1</v>
      </c>
      <c r="AR1564" t="s">
        <v>1652</v>
      </c>
      <c r="AS1564" s="1">
        <v>44354.086446759262</v>
      </c>
      <c r="AT1564" s="1">
        <v>44354.094178240739</v>
      </c>
      <c r="AU1564" s="1">
        <v>44354.095011574071</v>
      </c>
      <c r="AV1564" t="s">
        <v>269</v>
      </c>
      <c r="AW1564" t="s">
        <v>270</v>
      </c>
      <c r="AX1564" t="s">
        <v>73</v>
      </c>
    </row>
    <row r="1565" spans="1:50" x14ac:dyDescent="0.3">
      <c r="A1565" t="str">
        <f>"201450C0100"</f>
        <v>201450C0100</v>
      </c>
      <c r="B1565" t="str">
        <f>"201450C01002"</f>
        <v>201450C01002</v>
      </c>
      <c r="C1565" t="str">
        <f t="shared" si="77"/>
        <v>20</v>
      </c>
      <c r="D1565" t="s">
        <v>67</v>
      </c>
      <c r="E1565" t="str">
        <f t="shared" si="79"/>
        <v>007</v>
      </c>
      <c r="F1565" t="s">
        <v>1519</v>
      </c>
      <c r="G1565" t="str">
        <f>"1450"</f>
        <v>1450</v>
      </c>
      <c r="H1565" t="str">
        <f>"0001"</f>
        <v>0001</v>
      </c>
      <c r="I1565" t="s">
        <v>75</v>
      </c>
      <c r="J1565">
        <v>0</v>
      </c>
      <c r="K1565">
        <v>1</v>
      </c>
      <c r="L1565">
        <v>2</v>
      </c>
      <c r="M1565">
        <v>213</v>
      </c>
      <c r="N1565">
        <v>482</v>
      </c>
      <c r="O1565">
        <v>0</v>
      </c>
      <c r="P1565">
        <v>482</v>
      </c>
      <c r="Q1565">
        <v>1</v>
      </c>
      <c r="R1565">
        <v>90</v>
      </c>
      <c r="S1565">
        <v>218</v>
      </c>
      <c r="T1565">
        <v>0</v>
      </c>
      <c r="U1565">
        <v>3</v>
      </c>
      <c r="V1565">
        <v>0</v>
      </c>
      <c r="W1565">
        <v>0</v>
      </c>
      <c r="X1565">
        <v>190</v>
      </c>
      <c r="Y1565">
        <v>1</v>
      </c>
      <c r="Z1565">
        <v>2</v>
      </c>
      <c r="AA1565">
        <v>1</v>
      </c>
      <c r="AB1565">
        <v>1</v>
      </c>
      <c r="AC1565">
        <v>63</v>
      </c>
      <c r="AD1565" t="s">
        <v>77</v>
      </c>
      <c r="AE1565" t="s">
        <v>77</v>
      </c>
      <c r="AF1565" t="s">
        <v>77</v>
      </c>
      <c r="AG1565" t="s">
        <v>77</v>
      </c>
      <c r="AI1565" t="s">
        <v>77</v>
      </c>
      <c r="AJ1565">
        <v>11</v>
      </c>
      <c r="AK1565">
        <v>482</v>
      </c>
      <c r="AL1565">
        <v>581</v>
      </c>
      <c r="AM1565">
        <v>649</v>
      </c>
      <c r="AN1565">
        <v>46</v>
      </c>
      <c r="AO1565" t="s">
        <v>78</v>
      </c>
      <c r="AP1565">
        <v>1</v>
      </c>
      <c r="AR1565" t="s">
        <v>1653</v>
      </c>
      <c r="AS1565" s="1">
        <v>44354.078796296293</v>
      </c>
      <c r="AT1565" s="1">
        <v>44354.085428240738</v>
      </c>
      <c r="AU1565" s="1">
        <v>44354.086215277777</v>
      </c>
      <c r="AV1565" t="s">
        <v>269</v>
      </c>
      <c r="AW1565" t="s">
        <v>270</v>
      </c>
      <c r="AX1565" t="s">
        <v>73</v>
      </c>
    </row>
    <row r="1566" spans="1:50" x14ac:dyDescent="0.3">
      <c r="A1566" t="str">
        <f>"201451B0000"</f>
        <v>201451B0000</v>
      </c>
      <c r="B1566" t="str">
        <f>"201451B00002"</f>
        <v>201451B00002</v>
      </c>
      <c r="C1566" t="str">
        <f t="shared" si="77"/>
        <v>20</v>
      </c>
      <c r="D1566" t="s">
        <v>67</v>
      </c>
      <c r="E1566" t="str">
        <f t="shared" si="79"/>
        <v>007</v>
      </c>
      <c r="F1566" t="s">
        <v>1519</v>
      </c>
      <c r="G1566" t="str">
        <f>"1451"</f>
        <v>1451</v>
      </c>
      <c r="H1566" t="str">
        <f>"0000"</f>
        <v>0000</v>
      </c>
      <c r="I1566" t="s">
        <v>69</v>
      </c>
      <c r="J1566">
        <v>0</v>
      </c>
      <c r="K1566">
        <v>1</v>
      </c>
      <c r="L1566">
        <v>2</v>
      </c>
      <c r="M1566">
        <v>233</v>
      </c>
      <c r="N1566">
        <v>487</v>
      </c>
      <c r="O1566">
        <v>0</v>
      </c>
      <c r="P1566">
        <v>487</v>
      </c>
      <c r="Q1566">
        <v>0</v>
      </c>
      <c r="R1566">
        <v>91</v>
      </c>
      <c r="S1566">
        <v>129</v>
      </c>
      <c r="T1566">
        <v>1</v>
      </c>
      <c r="U1566">
        <v>2</v>
      </c>
      <c r="V1566">
        <v>1</v>
      </c>
      <c r="W1566">
        <v>1</v>
      </c>
      <c r="X1566">
        <v>170</v>
      </c>
      <c r="Y1566">
        <v>0</v>
      </c>
      <c r="Z1566">
        <v>1</v>
      </c>
      <c r="AA1566">
        <v>0</v>
      </c>
      <c r="AB1566">
        <v>0</v>
      </c>
      <c r="AC1566">
        <v>77</v>
      </c>
      <c r="AD1566">
        <v>0</v>
      </c>
      <c r="AE1566">
        <v>0</v>
      </c>
      <c r="AF1566">
        <v>0</v>
      </c>
      <c r="AG1566">
        <v>0</v>
      </c>
      <c r="AI1566">
        <v>0</v>
      </c>
      <c r="AJ1566">
        <v>14</v>
      </c>
      <c r="AK1566">
        <v>487</v>
      </c>
      <c r="AL1566">
        <v>487</v>
      </c>
      <c r="AM1566">
        <v>672</v>
      </c>
      <c r="AN1566">
        <v>46</v>
      </c>
      <c r="AP1566">
        <v>1</v>
      </c>
      <c r="AR1566" t="s">
        <v>1654</v>
      </c>
      <c r="AS1566" s="1">
        <v>44354.154166666667</v>
      </c>
      <c r="AT1566" s="1">
        <v>44354.656493055554</v>
      </c>
      <c r="AU1566" s="1">
        <v>44354.657314814816</v>
      </c>
      <c r="AV1566" t="s">
        <v>71</v>
      </c>
      <c r="AW1566" t="s">
        <v>72</v>
      </c>
      <c r="AX1566" t="s">
        <v>73</v>
      </c>
    </row>
    <row r="1567" spans="1:50" x14ac:dyDescent="0.3">
      <c r="A1567" t="str">
        <f>"201451C0100"</f>
        <v>201451C0100</v>
      </c>
      <c r="B1567" t="str">
        <f>"201451C01002"</f>
        <v>201451C01002</v>
      </c>
      <c r="C1567" t="str">
        <f t="shared" si="77"/>
        <v>20</v>
      </c>
      <c r="D1567" t="s">
        <v>67</v>
      </c>
      <c r="E1567" t="str">
        <f t="shared" si="79"/>
        <v>007</v>
      </c>
      <c r="F1567" t="s">
        <v>1519</v>
      </c>
      <c r="G1567" t="str">
        <f>"1451"</f>
        <v>1451</v>
      </c>
      <c r="H1567" t="str">
        <f>"0001"</f>
        <v>0001</v>
      </c>
      <c r="I1567" t="s">
        <v>75</v>
      </c>
      <c r="J1567">
        <v>0</v>
      </c>
      <c r="K1567">
        <v>1</v>
      </c>
      <c r="L1567">
        <v>2</v>
      </c>
      <c r="M1567">
        <v>199</v>
      </c>
      <c r="N1567">
        <v>519</v>
      </c>
      <c r="O1567">
        <v>0</v>
      </c>
      <c r="P1567">
        <v>519</v>
      </c>
      <c r="Q1567">
        <v>0</v>
      </c>
      <c r="R1567">
        <v>101</v>
      </c>
      <c r="S1567">
        <v>158</v>
      </c>
      <c r="T1567">
        <v>0</v>
      </c>
      <c r="U1567">
        <v>1</v>
      </c>
      <c r="V1567">
        <v>1</v>
      </c>
      <c r="W1567">
        <v>0</v>
      </c>
      <c r="X1567">
        <v>171</v>
      </c>
      <c r="Y1567">
        <v>0</v>
      </c>
      <c r="Z1567">
        <v>1</v>
      </c>
      <c r="AA1567">
        <v>3</v>
      </c>
      <c r="AB1567">
        <v>0</v>
      </c>
      <c r="AC1567">
        <v>74</v>
      </c>
      <c r="AD1567">
        <v>0</v>
      </c>
      <c r="AE1567">
        <v>0</v>
      </c>
      <c r="AF1567">
        <v>0</v>
      </c>
      <c r="AG1567">
        <v>0</v>
      </c>
      <c r="AI1567">
        <v>0</v>
      </c>
      <c r="AJ1567">
        <v>9</v>
      </c>
      <c r="AK1567">
        <v>519</v>
      </c>
      <c r="AL1567">
        <v>519</v>
      </c>
      <c r="AM1567">
        <v>671</v>
      </c>
      <c r="AN1567">
        <v>46</v>
      </c>
      <c r="AP1567">
        <v>1</v>
      </c>
      <c r="AR1567" t="s">
        <v>1655</v>
      </c>
      <c r="AS1567" s="1">
        <v>44354.155046296299</v>
      </c>
      <c r="AT1567" s="1">
        <v>44354.160324074073</v>
      </c>
      <c r="AU1567" s="1">
        <v>44354.161759259259</v>
      </c>
      <c r="AV1567" t="s">
        <v>269</v>
      </c>
      <c r="AW1567" t="s">
        <v>270</v>
      </c>
      <c r="AX1567" t="s">
        <v>73</v>
      </c>
    </row>
    <row r="1568" spans="1:50" x14ac:dyDescent="0.3">
      <c r="A1568" t="str">
        <f>"201617B0000"</f>
        <v>201617B0000</v>
      </c>
      <c r="B1568" t="str">
        <f>"201617B00002"</f>
        <v>201617B00002</v>
      </c>
      <c r="C1568" t="str">
        <f t="shared" si="77"/>
        <v>20</v>
      </c>
      <c r="D1568" t="s">
        <v>67</v>
      </c>
      <c r="E1568" t="str">
        <f t="shared" si="79"/>
        <v>007</v>
      </c>
      <c r="F1568" t="s">
        <v>1519</v>
      </c>
      <c r="G1568" t="str">
        <f>"1617"</f>
        <v>1617</v>
      </c>
      <c r="H1568" t="str">
        <f>"0000"</f>
        <v>0000</v>
      </c>
      <c r="I1568" t="s">
        <v>69</v>
      </c>
      <c r="J1568">
        <v>0</v>
      </c>
      <c r="K1568">
        <v>1</v>
      </c>
      <c r="L1568">
        <v>2</v>
      </c>
      <c r="M1568">
        <v>503</v>
      </c>
      <c r="N1568">
        <v>279</v>
      </c>
      <c r="O1568">
        <v>1</v>
      </c>
      <c r="P1568">
        <v>279</v>
      </c>
      <c r="Q1568">
        <v>2</v>
      </c>
      <c r="R1568">
        <v>12</v>
      </c>
      <c r="S1568">
        <v>2</v>
      </c>
      <c r="T1568">
        <v>4</v>
      </c>
      <c r="U1568">
        <v>4</v>
      </c>
      <c r="V1568">
        <v>1</v>
      </c>
      <c r="W1568">
        <v>2</v>
      </c>
      <c r="X1568">
        <v>55</v>
      </c>
      <c r="Y1568">
        <v>1</v>
      </c>
      <c r="Z1568">
        <v>2</v>
      </c>
      <c r="AA1568">
        <v>6</v>
      </c>
      <c r="AB1568">
        <v>5</v>
      </c>
      <c r="AC1568">
        <v>176</v>
      </c>
      <c r="AD1568">
        <v>0</v>
      </c>
      <c r="AE1568">
        <v>0</v>
      </c>
      <c r="AF1568">
        <v>0</v>
      </c>
      <c r="AG1568">
        <v>0</v>
      </c>
      <c r="AI1568">
        <v>0</v>
      </c>
      <c r="AJ1568">
        <v>7</v>
      </c>
      <c r="AK1568">
        <v>279</v>
      </c>
      <c r="AL1568">
        <v>279</v>
      </c>
      <c r="AM1568">
        <v>736</v>
      </c>
      <c r="AN1568">
        <v>46</v>
      </c>
      <c r="AP1568">
        <v>1</v>
      </c>
      <c r="AR1568" t="s">
        <v>1656</v>
      </c>
      <c r="AS1568" s="1">
        <v>44354.595138888886</v>
      </c>
      <c r="AT1568" s="1">
        <v>44354.598819444444</v>
      </c>
      <c r="AU1568" s="1">
        <v>44354.599444444444</v>
      </c>
      <c r="AV1568" t="s">
        <v>71</v>
      </c>
      <c r="AW1568" t="s">
        <v>72</v>
      </c>
      <c r="AX1568" t="s">
        <v>73</v>
      </c>
    </row>
    <row r="1569" spans="1:50" x14ac:dyDescent="0.3">
      <c r="A1569" t="str">
        <f>"201617C0100"</f>
        <v>201617C0100</v>
      </c>
      <c r="B1569" t="str">
        <f>"201617C01002"</f>
        <v>201617C01002</v>
      </c>
      <c r="C1569" t="str">
        <f t="shared" si="77"/>
        <v>20</v>
      </c>
      <c r="D1569" t="s">
        <v>67</v>
      </c>
      <c r="E1569" t="str">
        <f t="shared" si="79"/>
        <v>007</v>
      </c>
      <c r="F1569" t="s">
        <v>1519</v>
      </c>
      <c r="G1569" t="str">
        <f>"1617"</f>
        <v>1617</v>
      </c>
      <c r="H1569" t="str">
        <f>"0001"</f>
        <v>0001</v>
      </c>
      <c r="I1569" t="s">
        <v>75</v>
      </c>
      <c r="J1569">
        <v>0</v>
      </c>
      <c r="K1569">
        <v>1</v>
      </c>
      <c r="L1569">
        <v>2</v>
      </c>
      <c r="M1569">
        <v>496</v>
      </c>
      <c r="N1569">
        <v>285</v>
      </c>
      <c r="O1569">
        <v>8</v>
      </c>
      <c r="P1569">
        <v>285</v>
      </c>
      <c r="Q1569">
        <v>3</v>
      </c>
      <c r="R1569">
        <v>21</v>
      </c>
      <c r="S1569">
        <v>4</v>
      </c>
      <c r="T1569">
        <v>5</v>
      </c>
      <c r="U1569">
        <v>4</v>
      </c>
      <c r="V1569">
        <v>1</v>
      </c>
      <c r="W1569">
        <v>1</v>
      </c>
      <c r="X1569">
        <v>73</v>
      </c>
      <c r="Y1569">
        <v>0</v>
      </c>
      <c r="Z1569">
        <v>2</v>
      </c>
      <c r="AA1569">
        <v>6</v>
      </c>
      <c r="AB1569">
        <v>8</v>
      </c>
      <c r="AC1569">
        <v>141</v>
      </c>
      <c r="AD1569">
        <v>0</v>
      </c>
      <c r="AE1569">
        <v>0</v>
      </c>
      <c r="AF1569">
        <v>0</v>
      </c>
      <c r="AG1569">
        <v>1</v>
      </c>
      <c r="AI1569">
        <v>0</v>
      </c>
      <c r="AJ1569">
        <v>15</v>
      </c>
      <c r="AK1569">
        <v>285</v>
      </c>
      <c r="AL1569">
        <v>285</v>
      </c>
      <c r="AM1569">
        <v>735</v>
      </c>
      <c r="AN1569">
        <v>46</v>
      </c>
      <c r="AP1569">
        <v>1</v>
      </c>
      <c r="AR1569" t="s">
        <v>1657</v>
      </c>
      <c r="AS1569" s="1">
        <v>44354.594444444447</v>
      </c>
      <c r="AT1569" s="1">
        <v>44354.599027777775</v>
      </c>
      <c r="AU1569" s="1">
        <v>44354.59946759259</v>
      </c>
      <c r="AV1569" t="s">
        <v>71</v>
      </c>
      <c r="AW1569" t="s">
        <v>72</v>
      </c>
      <c r="AX1569" t="s">
        <v>73</v>
      </c>
    </row>
    <row r="1570" spans="1:50" x14ac:dyDescent="0.3">
      <c r="A1570" t="str">
        <f>"201618B0000"</f>
        <v>201618B0000</v>
      </c>
      <c r="B1570" t="str">
        <f>"201618B00002"</f>
        <v>201618B00002</v>
      </c>
      <c r="C1570" t="str">
        <f t="shared" si="77"/>
        <v>20</v>
      </c>
      <c r="D1570" t="s">
        <v>67</v>
      </c>
      <c r="E1570" t="str">
        <f t="shared" si="79"/>
        <v>007</v>
      </c>
      <c r="F1570" t="s">
        <v>1519</v>
      </c>
      <c r="G1570" t="str">
        <f>"1618"</f>
        <v>1618</v>
      </c>
      <c r="H1570" t="str">
        <f>"0000"</f>
        <v>0000</v>
      </c>
      <c r="I1570" t="s">
        <v>69</v>
      </c>
      <c r="J1570">
        <v>0</v>
      </c>
      <c r="K1570">
        <v>1</v>
      </c>
      <c r="L1570">
        <v>2</v>
      </c>
      <c r="M1570">
        <v>414</v>
      </c>
      <c r="N1570">
        <v>267</v>
      </c>
      <c r="O1570">
        <v>7</v>
      </c>
      <c r="P1570">
        <v>267</v>
      </c>
      <c r="Q1570">
        <v>9</v>
      </c>
      <c r="R1570">
        <v>21</v>
      </c>
      <c r="S1570">
        <v>6</v>
      </c>
      <c r="T1570">
        <v>3</v>
      </c>
      <c r="U1570">
        <v>2</v>
      </c>
      <c r="V1570">
        <v>0</v>
      </c>
      <c r="W1570">
        <v>2</v>
      </c>
      <c r="X1570">
        <v>63</v>
      </c>
      <c r="Y1570">
        <v>1</v>
      </c>
      <c r="Z1570">
        <v>0</v>
      </c>
      <c r="AA1570">
        <v>2</v>
      </c>
      <c r="AB1570">
        <v>2</v>
      </c>
      <c r="AC1570">
        <v>139</v>
      </c>
      <c r="AD1570">
        <v>1</v>
      </c>
      <c r="AE1570">
        <v>2</v>
      </c>
      <c r="AF1570">
        <v>0</v>
      </c>
      <c r="AG1570">
        <v>0</v>
      </c>
      <c r="AI1570">
        <v>0</v>
      </c>
      <c r="AJ1570">
        <v>14</v>
      </c>
      <c r="AK1570">
        <v>267</v>
      </c>
      <c r="AL1570">
        <v>267</v>
      </c>
      <c r="AM1570">
        <v>635</v>
      </c>
      <c r="AN1570">
        <v>46</v>
      </c>
      <c r="AP1570">
        <v>1</v>
      </c>
      <c r="AR1570" t="s">
        <v>1658</v>
      </c>
      <c r="AS1570" s="1">
        <v>44354.594444444447</v>
      </c>
      <c r="AT1570" s="1">
        <v>44354.59920138889</v>
      </c>
      <c r="AU1570" s="1">
        <v>44354.59957175926</v>
      </c>
      <c r="AV1570" t="s">
        <v>71</v>
      </c>
      <c r="AW1570" t="s">
        <v>72</v>
      </c>
      <c r="AX1570" t="s">
        <v>73</v>
      </c>
    </row>
    <row r="1571" spans="1:50" x14ac:dyDescent="0.3">
      <c r="A1571" t="str">
        <f>"201618C0100"</f>
        <v>201618C0100</v>
      </c>
      <c r="B1571" t="str">
        <f>"201618C01002"</f>
        <v>201618C01002</v>
      </c>
      <c r="C1571" t="str">
        <f t="shared" si="77"/>
        <v>20</v>
      </c>
      <c r="D1571" t="s">
        <v>67</v>
      </c>
      <c r="E1571" t="str">
        <f t="shared" si="79"/>
        <v>007</v>
      </c>
      <c r="F1571" t="s">
        <v>1519</v>
      </c>
      <c r="G1571" t="str">
        <f>"1618"</f>
        <v>1618</v>
      </c>
      <c r="H1571" t="str">
        <f>"0001"</f>
        <v>0001</v>
      </c>
      <c r="I1571" t="s">
        <v>75</v>
      </c>
      <c r="J1571">
        <v>0</v>
      </c>
      <c r="K1571">
        <v>1</v>
      </c>
      <c r="L1571">
        <v>2</v>
      </c>
      <c r="M1571">
        <v>429</v>
      </c>
      <c r="N1571">
        <v>252</v>
      </c>
      <c r="O1571">
        <v>1</v>
      </c>
      <c r="P1571">
        <v>252</v>
      </c>
      <c r="Q1571">
        <v>0</v>
      </c>
      <c r="R1571">
        <v>15</v>
      </c>
      <c r="S1571">
        <v>3</v>
      </c>
      <c r="T1571">
        <v>2</v>
      </c>
      <c r="U1571">
        <v>9</v>
      </c>
      <c r="V1571">
        <v>1</v>
      </c>
      <c r="W1571">
        <v>2</v>
      </c>
      <c r="X1571">
        <v>72</v>
      </c>
      <c r="Y1571">
        <v>1</v>
      </c>
      <c r="Z1571">
        <v>1</v>
      </c>
      <c r="AA1571">
        <v>5</v>
      </c>
      <c r="AB1571">
        <v>4</v>
      </c>
      <c r="AC1571">
        <v>128</v>
      </c>
      <c r="AD1571">
        <v>0</v>
      </c>
      <c r="AE1571">
        <v>0</v>
      </c>
      <c r="AF1571">
        <v>0</v>
      </c>
      <c r="AG1571">
        <v>0</v>
      </c>
      <c r="AI1571">
        <v>0</v>
      </c>
      <c r="AJ1571">
        <v>9</v>
      </c>
      <c r="AK1571">
        <v>252</v>
      </c>
      <c r="AL1571">
        <v>252</v>
      </c>
      <c r="AM1571">
        <v>635</v>
      </c>
      <c r="AN1571">
        <v>46</v>
      </c>
      <c r="AP1571">
        <v>1</v>
      </c>
      <c r="AR1571" t="s">
        <v>1659</v>
      </c>
      <c r="AS1571" s="1">
        <v>44354.597222222219</v>
      </c>
      <c r="AT1571" s="1">
        <v>44354.601655092592</v>
      </c>
      <c r="AU1571" s="1">
        <v>44354.60229166667</v>
      </c>
      <c r="AV1571" t="s">
        <v>71</v>
      </c>
      <c r="AW1571" t="s">
        <v>72</v>
      </c>
      <c r="AX1571" t="s">
        <v>73</v>
      </c>
    </row>
    <row r="1572" spans="1:50" x14ac:dyDescent="0.3">
      <c r="A1572" t="str">
        <f>"201619B0000"</f>
        <v>201619B0000</v>
      </c>
      <c r="B1572" t="str">
        <f>"201619B00002"</f>
        <v>201619B00002</v>
      </c>
      <c r="C1572" t="str">
        <f t="shared" si="77"/>
        <v>20</v>
      </c>
      <c r="D1572" t="s">
        <v>67</v>
      </c>
      <c r="E1572" t="str">
        <f t="shared" si="79"/>
        <v>007</v>
      </c>
      <c r="F1572" t="s">
        <v>1519</v>
      </c>
      <c r="G1572" t="str">
        <f>"1619"</f>
        <v>1619</v>
      </c>
      <c r="H1572" t="str">
        <f t="shared" ref="H1572:H1577" si="80">"0000"</f>
        <v>0000</v>
      </c>
      <c r="I1572" t="s">
        <v>69</v>
      </c>
      <c r="J1572">
        <v>0</v>
      </c>
      <c r="K1572">
        <v>1</v>
      </c>
      <c r="L1572">
        <v>2</v>
      </c>
      <c r="M1572">
        <v>559</v>
      </c>
      <c r="N1572">
        <v>228</v>
      </c>
      <c r="O1572">
        <v>4</v>
      </c>
      <c r="P1572">
        <v>228</v>
      </c>
      <c r="Q1572">
        <v>2</v>
      </c>
      <c r="R1572">
        <v>16</v>
      </c>
      <c r="S1572">
        <v>7</v>
      </c>
      <c r="T1572">
        <v>6</v>
      </c>
      <c r="U1572">
        <v>2</v>
      </c>
      <c r="V1572">
        <v>6</v>
      </c>
      <c r="W1572">
        <v>5</v>
      </c>
      <c r="X1572">
        <v>72</v>
      </c>
      <c r="Y1572">
        <v>0</v>
      </c>
      <c r="Z1572">
        <v>4</v>
      </c>
      <c r="AA1572">
        <v>3</v>
      </c>
      <c r="AB1572">
        <v>3</v>
      </c>
      <c r="AC1572">
        <v>87</v>
      </c>
      <c r="AD1572">
        <v>0</v>
      </c>
      <c r="AE1572">
        <v>0</v>
      </c>
      <c r="AF1572">
        <v>0</v>
      </c>
      <c r="AG1572">
        <v>0</v>
      </c>
      <c r="AI1572">
        <v>0</v>
      </c>
      <c r="AJ1572">
        <v>15</v>
      </c>
      <c r="AK1572">
        <v>228</v>
      </c>
      <c r="AL1572">
        <v>228</v>
      </c>
      <c r="AM1572">
        <v>741</v>
      </c>
      <c r="AN1572">
        <v>46</v>
      </c>
      <c r="AP1572">
        <v>1</v>
      </c>
      <c r="AR1572" t="s">
        <v>1660</v>
      </c>
      <c r="AS1572" s="1">
        <v>44354.59652777778</v>
      </c>
      <c r="AT1572" s="1">
        <v>44354.601689814815</v>
      </c>
      <c r="AU1572" s="1">
        <v>44354.602303240739</v>
      </c>
      <c r="AV1572" t="s">
        <v>71</v>
      </c>
      <c r="AW1572" t="s">
        <v>72</v>
      </c>
      <c r="AX1572" t="s">
        <v>73</v>
      </c>
    </row>
    <row r="1573" spans="1:50" x14ac:dyDescent="0.3">
      <c r="A1573" t="str">
        <f>"201620B0000"</f>
        <v>201620B0000</v>
      </c>
      <c r="B1573" t="str">
        <f>"201620B00002"</f>
        <v>201620B00002</v>
      </c>
      <c r="C1573" t="str">
        <f t="shared" si="77"/>
        <v>20</v>
      </c>
      <c r="D1573" t="s">
        <v>67</v>
      </c>
      <c r="E1573" t="str">
        <f t="shared" si="79"/>
        <v>007</v>
      </c>
      <c r="F1573" t="s">
        <v>1519</v>
      </c>
      <c r="G1573" t="str">
        <f>"1620"</f>
        <v>1620</v>
      </c>
      <c r="H1573" t="str">
        <f t="shared" si="80"/>
        <v>0000</v>
      </c>
      <c r="I1573" t="s">
        <v>69</v>
      </c>
      <c r="J1573">
        <v>0</v>
      </c>
      <c r="K1573">
        <v>1</v>
      </c>
      <c r="L1573">
        <v>2</v>
      </c>
      <c r="M1573">
        <v>279</v>
      </c>
      <c r="N1573">
        <v>92</v>
      </c>
      <c r="O1573">
        <v>4</v>
      </c>
      <c r="P1573">
        <v>92</v>
      </c>
      <c r="Q1573">
        <v>0</v>
      </c>
      <c r="R1573">
        <v>2</v>
      </c>
      <c r="S1573">
        <v>1</v>
      </c>
      <c r="T1573">
        <v>0</v>
      </c>
      <c r="U1573">
        <v>2</v>
      </c>
      <c r="V1573">
        <v>3</v>
      </c>
      <c r="W1573">
        <v>0</v>
      </c>
      <c r="X1573">
        <v>31</v>
      </c>
      <c r="Y1573">
        <v>1</v>
      </c>
      <c r="Z1573">
        <v>0</v>
      </c>
      <c r="AA1573">
        <v>0</v>
      </c>
      <c r="AB1573">
        <v>1</v>
      </c>
      <c r="AC1573">
        <v>45</v>
      </c>
      <c r="AD1573">
        <v>0</v>
      </c>
      <c r="AE1573">
        <v>0</v>
      </c>
      <c r="AF1573">
        <v>0</v>
      </c>
      <c r="AG1573">
        <v>0</v>
      </c>
      <c r="AI1573">
        <v>0</v>
      </c>
      <c r="AJ1573">
        <v>6</v>
      </c>
      <c r="AK1573">
        <v>92</v>
      </c>
      <c r="AL1573">
        <v>92</v>
      </c>
      <c r="AM1573">
        <v>325</v>
      </c>
      <c r="AN1573">
        <v>46</v>
      </c>
      <c r="AP1573">
        <v>1</v>
      </c>
      <c r="AR1573" t="s">
        <v>1661</v>
      </c>
      <c r="AS1573" s="1">
        <v>44354.593055555553</v>
      </c>
      <c r="AT1573" s="1">
        <v>44354.599143518521</v>
      </c>
      <c r="AU1573" s="1">
        <v>44354.599861111114</v>
      </c>
      <c r="AV1573" t="s">
        <v>71</v>
      </c>
      <c r="AW1573" t="s">
        <v>72</v>
      </c>
      <c r="AX1573" t="s">
        <v>73</v>
      </c>
    </row>
    <row r="1574" spans="1:50" x14ac:dyDescent="0.3">
      <c r="A1574" t="str">
        <f>"201621B0000"</f>
        <v>201621B0000</v>
      </c>
      <c r="B1574" t="str">
        <f>"201621B00002"</f>
        <v>201621B00002</v>
      </c>
      <c r="C1574" t="str">
        <f t="shared" si="77"/>
        <v>20</v>
      </c>
      <c r="D1574" t="s">
        <v>67</v>
      </c>
      <c r="E1574" t="str">
        <f t="shared" si="79"/>
        <v>007</v>
      </c>
      <c r="F1574" t="s">
        <v>1519</v>
      </c>
      <c r="G1574" t="str">
        <f>"1621"</f>
        <v>1621</v>
      </c>
      <c r="H1574" t="str">
        <f t="shared" si="80"/>
        <v>0000</v>
      </c>
      <c r="I1574" t="s">
        <v>69</v>
      </c>
      <c r="J1574">
        <v>0</v>
      </c>
      <c r="K1574">
        <v>1</v>
      </c>
      <c r="L1574">
        <v>2</v>
      </c>
      <c r="M1574">
        <v>287</v>
      </c>
      <c r="N1574">
        <v>4</v>
      </c>
      <c r="O1574">
        <v>4</v>
      </c>
      <c r="P1574" t="s">
        <v>99</v>
      </c>
      <c r="Q1574">
        <v>4</v>
      </c>
      <c r="R1574">
        <v>7</v>
      </c>
      <c r="S1574">
        <v>7</v>
      </c>
      <c r="T1574">
        <v>1</v>
      </c>
      <c r="U1574">
        <v>6</v>
      </c>
      <c r="V1574">
        <v>1</v>
      </c>
      <c r="W1574">
        <v>4</v>
      </c>
      <c r="X1574">
        <v>28</v>
      </c>
      <c r="Y1574">
        <v>0</v>
      </c>
      <c r="Z1574">
        <v>0</v>
      </c>
      <c r="AA1574">
        <v>5</v>
      </c>
      <c r="AB1574">
        <v>4</v>
      </c>
      <c r="AC1574">
        <v>86</v>
      </c>
      <c r="AD1574" t="s">
        <v>77</v>
      </c>
      <c r="AE1574" t="s">
        <v>77</v>
      </c>
      <c r="AF1574" t="s">
        <v>77</v>
      </c>
      <c r="AG1574" t="s">
        <v>77</v>
      </c>
      <c r="AI1574" t="s">
        <v>77</v>
      </c>
      <c r="AJ1574">
        <v>8</v>
      </c>
      <c r="AK1574">
        <v>161</v>
      </c>
      <c r="AL1574">
        <v>161</v>
      </c>
      <c r="AM1574">
        <v>402</v>
      </c>
      <c r="AN1574">
        <v>46</v>
      </c>
      <c r="AO1574" t="s">
        <v>78</v>
      </c>
      <c r="AP1574">
        <v>1</v>
      </c>
      <c r="AR1574" t="s">
        <v>1662</v>
      </c>
      <c r="AS1574" s="1">
        <v>44354.599305555559</v>
      </c>
      <c r="AT1574" s="1">
        <v>44354.604398148149</v>
      </c>
      <c r="AU1574" s="1">
        <v>44354.605358796296</v>
      </c>
      <c r="AV1574" t="s">
        <v>71</v>
      </c>
      <c r="AW1574" t="s">
        <v>72</v>
      </c>
      <c r="AX1574" t="s">
        <v>73</v>
      </c>
    </row>
    <row r="1575" spans="1:50" x14ac:dyDescent="0.3">
      <c r="A1575" t="str">
        <f>"201622B0000"</f>
        <v>201622B0000</v>
      </c>
      <c r="B1575" t="str">
        <f>"201622B00002"</f>
        <v>201622B00002</v>
      </c>
      <c r="C1575" t="str">
        <f t="shared" si="77"/>
        <v>20</v>
      </c>
      <c r="D1575" t="s">
        <v>67</v>
      </c>
      <c r="E1575" t="str">
        <f t="shared" si="79"/>
        <v>007</v>
      </c>
      <c r="F1575" t="s">
        <v>1519</v>
      </c>
      <c r="G1575" t="str">
        <f>"1622"</f>
        <v>1622</v>
      </c>
      <c r="H1575" t="str">
        <f t="shared" si="80"/>
        <v>0000</v>
      </c>
      <c r="I1575" t="s">
        <v>69</v>
      </c>
      <c r="J1575">
        <v>0</v>
      </c>
      <c r="K1575">
        <v>1</v>
      </c>
      <c r="L1575">
        <v>2</v>
      </c>
      <c r="M1575">
        <v>161</v>
      </c>
      <c r="N1575">
        <v>91</v>
      </c>
      <c r="O1575">
        <v>2</v>
      </c>
      <c r="P1575">
        <v>91</v>
      </c>
      <c r="Q1575">
        <v>3</v>
      </c>
      <c r="R1575">
        <v>9</v>
      </c>
      <c r="S1575">
        <v>1</v>
      </c>
      <c r="T1575">
        <v>3</v>
      </c>
      <c r="U1575">
        <v>3</v>
      </c>
      <c r="V1575">
        <v>0</v>
      </c>
      <c r="W1575">
        <v>1</v>
      </c>
      <c r="X1575">
        <v>19</v>
      </c>
      <c r="Y1575">
        <v>1</v>
      </c>
      <c r="Z1575">
        <v>1</v>
      </c>
      <c r="AA1575">
        <v>0</v>
      </c>
      <c r="AB1575">
        <v>0</v>
      </c>
      <c r="AC1575">
        <v>50</v>
      </c>
      <c r="AD1575">
        <v>0</v>
      </c>
      <c r="AE1575">
        <v>0</v>
      </c>
      <c r="AF1575">
        <v>0</v>
      </c>
      <c r="AG1575">
        <v>0</v>
      </c>
      <c r="AI1575">
        <v>0</v>
      </c>
      <c r="AJ1575">
        <v>0</v>
      </c>
      <c r="AK1575">
        <v>91</v>
      </c>
      <c r="AL1575">
        <v>91</v>
      </c>
      <c r="AM1575">
        <v>206</v>
      </c>
      <c r="AN1575">
        <v>46</v>
      </c>
      <c r="AP1575">
        <v>1</v>
      </c>
      <c r="AR1575" t="s">
        <v>1663</v>
      </c>
      <c r="AS1575" s="1">
        <v>44354.598611111112</v>
      </c>
      <c r="AT1575" s="1">
        <v>44354.606493055559</v>
      </c>
      <c r="AU1575" s="1">
        <v>44354.607152777775</v>
      </c>
      <c r="AV1575" t="s">
        <v>71</v>
      </c>
      <c r="AW1575" t="s">
        <v>72</v>
      </c>
      <c r="AX1575" t="s">
        <v>73</v>
      </c>
    </row>
    <row r="1576" spans="1:50" x14ac:dyDescent="0.3">
      <c r="A1576" t="str">
        <f>"201623B0000"</f>
        <v>201623B0000</v>
      </c>
      <c r="B1576" t="str">
        <f>"201623B00002"</f>
        <v>201623B00002</v>
      </c>
      <c r="C1576" t="str">
        <f t="shared" si="77"/>
        <v>20</v>
      </c>
      <c r="D1576" t="s">
        <v>67</v>
      </c>
      <c r="E1576" t="str">
        <f t="shared" si="79"/>
        <v>007</v>
      </c>
      <c r="F1576" t="s">
        <v>1519</v>
      </c>
      <c r="G1576" t="str">
        <f>"1623"</f>
        <v>1623</v>
      </c>
      <c r="H1576" t="str">
        <f t="shared" si="80"/>
        <v>0000</v>
      </c>
      <c r="I1576" t="s">
        <v>69</v>
      </c>
      <c r="J1576">
        <v>0</v>
      </c>
      <c r="K1576">
        <v>1</v>
      </c>
      <c r="L1576">
        <v>2</v>
      </c>
      <c r="M1576">
        <v>197</v>
      </c>
      <c r="N1576">
        <v>168</v>
      </c>
      <c r="O1576">
        <v>2</v>
      </c>
      <c r="P1576">
        <v>168</v>
      </c>
      <c r="Q1576">
        <v>0</v>
      </c>
      <c r="R1576">
        <v>5</v>
      </c>
      <c r="S1576">
        <v>3</v>
      </c>
      <c r="T1576">
        <v>2</v>
      </c>
      <c r="U1576">
        <v>4</v>
      </c>
      <c r="V1576">
        <v>2</v>
      </c>
      <c r="W1576">
        <v>3</v>
      </c>
      <c r="X1576">
        <v>13</v>
      </c>
      <c r="Y1576">
        <v>0</v>
      </c>
      <c r="Z1576">
        <v>1</v>
      </c>
      <c r="AA1576">
        <v>2</v>
      </c>
      <c r="AB1576">
        <v>2</v>
      </c>
      <c r="AC1576">
        <v>118</v>
      </c>
      <c r="AD1576">
        <v>0</v>
      </c>
      <c r="AE1576">
        <v>0</v>
      </c>
      <c r="AF1576">
        <v>0</v>
      </c>
      <c r="AG1576">
        <v>0</v>
      </c>
      <c r="AI1576">
        <v>0</v>
      </c>
      <c r="AJ1576">
        <v>13</v>
      </c>
      <c r="AK1576">
        <v>168</v>
      </c>
      <c r="AL1576">
        <v>168</v>
      </c>
      <c r="AM1576">
        <v>319</v>
      </c>
      <c r="AN1576">
        <v>46</v>
      </c>
      <c r="AP1576">
        <v>1</v>
      </c>
      <c r="AR1576" t="s">
        <v>1664</v>
      </c>
      <c r="AS1576" s="1">
        <v>44354.595833333333</v>
      </c>
      <c r="AT1576" s="1">
        <v>44354.602743055555</v>
      </c>
      <c r="AU1576" s="1">
        <v>44354.603310185186</v>
      </c>
      <c r="AV1576" t="s">
        <v>71</v>
      </c>
      <c r="AW1576" t="s">
        <v>72</v>
      </c>
      <c r="AX1576" t="s">
        <v>73</v>
      </c>
    </row>
    <row r="1577" spans="1:50" x14ac:dyDescent="0.3">
      <c r="A1577" t="str">
        <f>"201624B0000"</f>
        <v>201624B0000</v>
      </c>
      <c r="B1577" t="str">
        <f>"201624B00002"</f>
        <v>201624B00002</v>
      </c>
      <c r="C1577" t="str">
        <f t="shared" si="77"/>
        <v>20</v>
      </c>
      <c r="D1577" t="s">
        <v>67</v>
      </c>
      <c r="E1577" t="str">
        <f t="shared" si="79"/>
        <v>007</v>
      </c>
      <c r="F1577" t="s">
        <v>1519</v>
      </c>
      <c r="G1577" t="str">
        <f>"1624"</f>
        <v>1624</v>
      </c>
      <c r="H1577" t="str">
        <f t="shared" si="80"/>
        <v>0000</v>
      </c>
      <c r="I1577" t="s">
        <v>69</v>
      </c>
      <c r="J1577">
        <v>0</v>
      </c>
      <c r="K1577">
        <v>1</v>
      </c>
      <c r="L1577">
        <v>2</v>
      </c>
      <c r="M1577">
        <v>337</v>
      </c>
      <c r="N1577">
        <v>241</v>
      </c>
      <c r="O1577">
        <v>5</v>
      </c>
      <c r="P1577">
        <v>240</v>
      </c>
      <c r="Q1577">
        <v>3</v>
      </c>
      <c r="R1577">
        <v>8</v>
      </c>
      <c r="S1577">
        <v>4</v>
      </c>
      <c r="T1577">
        <v>3</v>
      </c>
      <c r="U1577">
        <v>5</v>
      </c>
      <c r="V1577">
        <v>3</v>
      </c>
      <c r="W1577">
        <v>6</v>
      </c>
      <c r="X1577">
        <v>78</v>
      </c>
      <c r="Y1577">
        <v>2</v>
      </c>
      <c r="Z1577">
        <v>1</v>
      </c>
      <c r="AA1577">
        <v>4</v>
      </c>
      <c r="AB1577">
        <v>1</v>
      </c>
      <c r="AC1577">
        <v>105</v>
      </c>
      <c r="AD1577">
        <v>0</v>
      </c>
      <c r="AE1577">
        <v>0</v>
      </c>
      <c r="AF1577">
        <v>0</v>
      </c>
      <c r="AG1577">
        <v>0</v>
      </c>
      <c r="AI1577">
        <v>0</v>
      </c>
      <c r="AJ1577">
        <v>17</v>
      </c>
      <c r="AK1577">
        <v>240</v>
      </c>
      <c r="AL1577">
        <v>240</v>
      </c>
      <c r="AM1577">
        <v>531</v>
      </c>
      <c r="AN1577">
        <v>46</v>
      </c>
      <c r="AP1577">
        <v>1</v>
      </c>
      <c r="AR1577" t="s">
        <v>1665</v>
      </c>
      <c r="AS1577" s="1">
        <v>44354.598611111112</v>
      </c>
      <c r="AT1577" s="1">
        <v>44354.60491898148</v>
      </c>
      <c r="AU1577" s="1">
        <v>44354.60596064815</v>
      </c>
      <c r="AV1577" t="s">
        <v>71</v>
      </c>
      <c r="AW1577" t="s">
        <v>72</v>
      </c>
      <c r="AX1577" t="s">
        <v>73</v>
      </c>
    </row>
    <row r="1578" spans="1:50" x14ac:dyDescent="0.3">
      <c r="A1578" t="str">
        <f>"201624C0100"</f>
        <v>201624C0100</v>
      </c>
      <c r="B1578" t="str">
        <f>"201624C01002"</f>
        <v>201624C01002</v>
      </c>
      <c r="C1578" t="str">
        <f t="shared" si="77"/>
        <v>20</v>
      </c>
      <c r="D1578" t="s">
        <v>67</v>
      </c>
      <c r="E1578" t="str">
        <f t="shared" si="79"/>
        <v>007</v>
      </c>
      <c r="F1578" t="s">
        <v>1519</v>
      </c>
      <c r="G1578" t="str">
        <f>"1624"</f>
        <v>1624</v>
      </c>
      <c r="H1578" t="str">
        <f>"0001"</f>
        <v>0001</v>
      </c>
      <c r="I1578" t="s">
        <v>75</v>
      </c>
      <c r="J1578">
        <v>0</v>
      </c>
      <c r="K1578">
        <v>1</v>
      </c>
      <c r="L1578">
        <v>2</v>
      </c>
      <c r="M1578">
        <v>334</v>
      </c>
      <c r="N1578">
        <v>243</v>
      </c>
      <c r="O1578">
        <v>3</v>
      </c>
      <c r="P1578">
        <v>243</v>
      </c>
      <c r="Q1578">
        <v>2</v>
      </c>
      <c r="R1578">
        <v>5</v>
      </c>
      <c r="S1578">
        <v>6</v>
      </c>
      <c r="T1578">
        <v>1</v>
      </c>
      <c r="U1578">
        <v>11</v>
      </c>
      <c r="V1578">
        <v>1</v>
      </c>
      <c r="W1578">
        <v>5</v>
      </c>
      <c r="X1578">
        <v>86</v>
      </c>
      <c r="Y1578">
        <v>0</v>
      </c>
      <c r="Z1578">
        <v>0</v>
      </c>
      <c r="AA1578">
        <v>2</v>
      </c>
      <c r="AB1578">
        <v>2</v>
      </c>
      <c r="AC1578">
        <v>105</v>
      </c>
      <c r="AD1578">
        <v>1</v>
      </c>
      <c r="AE1578">
        <v>0</v>
      </c>
      <c r="AF1578">
        <v>0</v>
      </c>
      <c r="AG1578">
        <v>1</v>
      </c>
      <c r="AI1578">
        <v>0</v>
      </c>
      <c r="AJ1578">
        <v>15</v>
      </c>
      <c r="AK1578">
        <v>243</v>
      </c>
      <c r="AL1578">
        <v>243</v>
      </c>
      <c r="AM1578">
        <v>531</v>
      </c>
      <c r="AN1578">
        <v>46</v>
      </c>
      <c r="AP1578">
        <v>1</v>
      </c>
      <c r="AR1578" t="s">
        <v>1666</v>
      </c>
      <c r="AS1578" s="1">
        <v>44354.597222222219</v>
      </c>
      <c r="AT1578" s="1">
        <v>44354.600752314815</v>
      </c>
      <c r="AU1578" s="1">
        <v>44354.601458333331</v>
      </c>
      <c r="AV1578" t="s">
        <v>71</v>
      </c>
      <c r="AW1578" t="s">
        <v>72</v>
      </c>
      <c r="AX1578" t="s">
        <v>73</v>
      </c>
    </row>
    <row r="1579" spans="1:50" x14ac:dyDescent="0.3">
      <c r="A1579" t="str">
        <f>"201625B0000"</f>
        <v>201625B0000</v>
      </c>
      <c r="B1579" t="str">
        <f>"201625B00002"</f>
        <v>201625B00002</v>
      </c>
      <c r="C1579" t="str">
        <f t="shared" si="77"/>
        <v>20</v>
      </c>
      <c r="D1579" t="s">
        <v>67</v>
      </c>
      <c r="E1579" t="str">
        <f t="shared" si="79"/>
        <v>007</v>
      </c>
      <c r="F1579" t="s">
        <v>1519</v>
      </c>
      <c r="G1579" t="str">
        <f>"1625"</f>
        <v>1625</v>
      </c>
      <c r="H1579" t="str">
        <f>"0000"</f>
        <v>0000</v>
      </c>
      <c r="I1579" t="s">
        <v>69</v>
      </c>
      <c r="J1579">
        <v>0</v>
      </c>
      <c r="K1579">
        <v>1</v>
      </c>
      <c r="L1579">
        <v>2</v>
      </c>
      <c r="M1579">
        <v>191</v>
      </c>
      <c r="N1579">
        <v>178</v>
      </c>
      <c r="O1579">
        <v>4</v>
      </c>
      <c r="P1579">
        <v>178</v>
      </c>
      <c r="Q1579">
        <v>1</v>
      </c>
      <c r="R1579">
        <v>4</v>
      </c>
      <c r="S1579">
        <v>2</v>
      </c>
      <c r="T1579">
        <v>2</v>
      </c>
      <c r="U1579">
        <v>1</v>
      </c>
      <c r="V1579">
        <v>3</v>
      </c>
      <c r="W1579">
        <v>3</v>
      </c>
      <c r="X1579">
        <v>17</v>
      </c>
      <c r="Y1579">
        <v>0</v>
      </c>
      <c r="Z1579">
        <v>1</v>
      </c>
      <c r="AA1579">
        <v>3</v>
      </c>
      <c r="AB1579">
        <v>1</v>
      </c>
      <c r="AC1579">
        <v>124</v>
      </c>
      <c r="AD1579">
        <v>0</v>
      </c>
      <c r="AE1579">
        <v>0</v>
      </c>
      <c r="AF1579">
        <v>0</v>
      </c>
      <c r="AG1579">
        <v>0</v>
      </c>
      <c r="AI1579">
        <v>0</v>
      </c>
      <c r="AJ1579">
        <v>16</v>
      </c>
      <c r="AK1579">
        <v>178</v>
      </c>
      <c r="AL1579">
        <v>178</v>
      </c>
      <c r="AM1579">
        <v>323</v>
      </c>
      <c r="AN1579">
        <v>46</v>
      </c>
      <c r="AP1579">
        <v>1</v>
      </c>
      <c r="AR1579" t="s">
        <v>1667</v>
      </c>
      <c r="AS1579" s="1">
        <v>44354.59652777778</v>
      </c>
      <c r="AT1579" s="1">
        <v>44354.602534722224</v>
      </c>
      <c r="AU1579" s="1">
        <v>44354.603159722225</v>
      </c>
      <c r="AV1579" t="s">
        <v>71</v>
      </c>
      <c r="AW1579" t="s">
        <v>72</v>
      </c>
      <c r="AX1579" t="s">
        <v>73</v>
      </c>
    </row>
    <row r="1580" spans="1:50" x14ac:dyDescent="0.3">
      <c r="A1580" t="str">
        <f>"201691B0000"</f>
        <v>201691B0000</v>
      </c>
      <c r="B1580" t="str">
        <f>"201691B00002"</f>
        <v>201691B00002</v>
      </c>
      <c r="C1580" t="str">
        <f t="shared" si="77"/>
        <v>20</v>
      </c>
      <c r="D1580" t="s">
        <v>67</v>
      </c>
      <c r="E1580" t="str">
        <f t="shared" si="79"/>
        <v>007</v>
      </c>
      <c r="F1580" t="s">
        <v>1519</v>
      </c>
      <c r="G1580" t="str">
        <f>"1691"</f>
        <v>1691</v>
      </c>
      <c r="H1580" t="str">
        <f>"0000"</f>
        <v>0000</v>
      </c>
      <c r="I1580" t="s">
        <v>69</v>
      </c>
      <c r="J1580">
        <v>0</v>
      </c>
      <c r="K1580">
        <v>1</v>
      </c>
      <c r="L1580">
        <v>2</v>
      </c>
      <c r="M1580">
        <v>189</v>
      </c>
      <c r="N1580">
        <v>415</v>
      </c>
      <c r="O1580">
        <v>9</v>
      </c>
      <c r="P1580">
        <v>415</v>
      </c>
      <c r="Q1580">
        <v>0</v>
      </c>
      <c r="R1580">
        <v>100</v>
      </c>
      <c r="S1580">
        <v>1</v>
      </c>
      <c r="T1580">
        <v>0</v>
      </c>
      <c r="U1580">
        <v>34</v>
      </c>
      <c r="V1580">
        <v>1</v>
      </c>
      <c r="W1580">
        <v>3</v>
      </c>
      <c r="X1580">
        <v>100</v>
      </c>
      <c r="Y1580">
        <v>0</v>
      </c>
      <c r="Z1580">
        <v>3</v>
      </c>
      <c r="AA1580">
        <v>4</v>
      </c>
      <c r="AB1580">
        <v>3</v>
      </c>
      <c r="AC1580">
        <v>151</v>
      </c>
      <c r="AD1580">
        <v>2</v>
      </c>
      <c r="AE1580">
        <v>0</v>
      </c>
      <c r="AF1580">
        <v>0</v>
      </c>
      <c r="AG1580">
        <v>1</v>
      </c>
      <c r="AI1580">
        <v>1</v>
      </c>
      <c r="AJ1580">
        <v>11</v>
      </c>
      <c r="AK1580">
        <v>415</v>
      </c>
      <c r="AL1580">
        <v>415</v>
      </c>
      <c r="AM1580">
        <v>558</v>
      </c>
      <c r="AN1580">
        <v>46</v>
      </c>
      <c r="AP1580">
        <v>1</v>
      </c>
      <c r="AR1580" t="s">
        <v>1668</v>
      </c>
      <c r="AS1580" s="1">
        <v>44354.463194444441</v>
      </c>
      <c r="AT1580" s="1">
        <v>44354.465879629628</v>
      </c>
      <c r="AU1580" s="1">
        <v>44354.466493055559</v>
      </c>
      <c r="AV1580" t="s">
        <v>71</v>
      </c>
      <c r="AW1580" t="s">
        <v>72</v>
      </c>
      <c r="AX1580" t="s">
        <v>73</v>
      </c>
    </row>
    <row r="1581" spans="1:50" x14ac:dyDescent="0.3">
      <c r="A1581" t="str">
        <f>"201691C0100"</f>
        <v>201691C0100</v>
      </c>
      <c r="B1581" t="str">
        <f>"201691C01002"</f>
        <v>201691C01002</v>
      </c>
      <c r="C1581" t="str">
        <f t="shared" si="77"/>
        <v>20</v>
      </c>
      <c r="D1581" t="s">
        <v>67</v>
      </c>
      <c r="E1581" t="str">
        <f t="shared" si="79"/>
        <v>007</v>
      </c>
      <c r="F1581" t="s">
        <v>1519</v>
      </c>
      <c r="G1581" t="str">
        <f>"1691"</f>
        <v>1691</v>
      </c>
      <c r="H1581" t="str">
        <f>"0001"</f>
        <v>0001</v>
      </c>
      <c r="I1581" t="s">
        <v>75</v>
      </c>
      <c r="J1581">
        <v>0</v>
      </c>
      <c r="K1581">
        <v>1</v>
      </c>
      <c r="L1581">
        <v>2</v>
      </c>
      <c r="M1581">
        <v>177</v>
      </c>
      <c r="N1581">
        <v>426</v>
      </c>
      <c r="O1581">
        <v>6</v>
      </c>
      <c r="P1581">
        <v>426</v>
      </c>
      <c r="Q1581">
        <v>2</v>
      </c>
      <c r="R1581">
        <v>82</v>
      </c>
      <c r="S1581">
        <v>3</v>
      </c>
      <c r="T1581">
        <v>0</v>
      </c>
      <c r="U1581">
        <v>40</v>
      </c>
      <c r="V1581">
        <v>0</v>
      </c>
      <c r="W1581">
        <v>2</v>
      </c>
      <c r="X1581">
        <v>107</v>
      </c>
      <c r="Y1581">
        <v>0</v>
      </c>
      <c r="Z1581">
        <v>2</v>
      </c>
      <c r="AA1581">
        <v>0</v>
      </c>
      <c r="AB1581">
        <v>0</v>
      </c>
      <c r="AC1581">
        <v>159</v>
      </c>
      <c r="AD1581">
        <v>0</v>
      </c>
      <c r="AE1581">
        <v>0</v>
      </c>
      <c r="AF1581">
        <v>0</v>
      </c>
      <c r="AG1581">
        <v>0</v>
      </c>
      <c r="AI1581">
        <v>0</v>
      </c>
      <c r="AJ1581">
        <v>29</v>
      </c>
      <c r="AK1581">
        <v>426</v>
      </c>
      <c r="AL1581">
        <v>426</v>
      </c>
      <c r="AM1581">
        <v>557</v>
      </c>
      <c r="AN1581">
        <v>46</v>
      </c>
      <c r="AP1581">
        <v>1</v>
      </c>
      <c r="AR1581" t="s">
        <v>1669</v>
      </c>
      <c r="AS1581" s="1">
        <v>44354.460416666669</v>
      </c>
      <c r="AT1581" s="1">
        <v>44354.463750000003</v>
      </c>
      <c r="AU1581" s="1">
        <v>44354.464571759258</v>
      </c>
      <c r="AV1581" t="s">
        <v>71</v>
      </c>
      <c r="AW1581" t="s">
        <v>72</v>
      </c>
      <c r="AX1581" t="s">
        <v>73</v>
      </c>
    </row>
    <row r="1582" spans="1:50" x14ac:dyDescent="0.3">
      <c r="A1582" t="str">
        <f>"201692B0000"</f>
        <v>201692B0000</v>
      </c>
      <c r="B1582" t="str">
        <f>"201692B00002"</f>
        <v>201692B00002</v>
      </c>
      <c r="C1582" t="str">
        <f t="shared" si="77"/>
        <v>20</v>
      </c>
      <c r="D1582" t="s">
        <v>67</v>
      </c>
      <c r="E1582" t="str">
        <f t="shared" si="79"/>
        <v>007</v>
      </c>
      <c r="F1582" t="s">
        <v>1519</v>
      </c>
      <c r="G1582" t="str">
        <f>"1692"</f>
        <v>1692</v>
      </c>
      <c r="H1582" t="str">
        <f>"0000"</f>
        <v>0000</v>
      </c>
      <c r="I1582" t="s">
        <v>69</v>
      </c>
      <c r="J1582">
        <v>0</v>
      </c>
      <c r="K1582">
        <v>1</v>
      </c>
      <c r="L1582">
        <v>2</v>
      </c>
      <c r="M1582">
        <v>157</v>
      </c>
      <c r="N1582">
        <v>425</v>
      </c>
      <c r="O1582">
        <v>10</v>
      </c>
      <c r="P1582">
        <v>425</v>
      </c>
      <c r="Q1582">
        <v>0</v>
      </c>
      <c r="R1582">
        <v>89</v>
      </c>
      <c r="S1582">
        <v>6</v>
      </c>
      <c r="T1582">
        <v>3</v>
      </c>
      <c r="U1582">
        <v>42</v>
      </c>
      <c r="V1582">
        <v>0</v>
      </c>
      <c r="W1582">
        <v>4</v>
      </c>
      <c r="X1582">
        <v>144</v>
      </c>
      <c r="Y1582">
        <v>0</v>
      </c>
      <c r="Z1582">
        <v>5</v>
      </c>
      <c r="AA1582">
        <v>1</v>
      </c>
      <c r="AB1582">
        <v>0</v>
      </c>
      <c r="AC1582">
        <v>121</v>
      </c>
      <c r="AD1582">
        <v>0</v>
      </c>
      <c r="AE1582">
        <v>0</v>
      </c>
      <c r="AF1582">
        <v>0</v>
      </c>
      <c r="AG1582">
        <v>0</v>
      </c>
      <c r="AI1582">
        <v>0</v>
      </c>
      <c r="AJ1582">
        <v>10</v>
      </c>
      <c r="AK1582">
        <v>425</v>
      </c>
      <c r="AL1582">
        <v>425</v>
      </c>
      <c r="AM1582">
        <v>537</v>
      </c>
      <c r="AN1582">
        <v>46</v>
      </c>
      <c r="AP1582">
        <v>1</v>
      </c>
      <c r="AR1582" t="s">
        <v>1670</v>
      </c>
      <c r="AS1582" s="1">
        <v>44354.453472222223</v>
      </c>
      <c r="AT1582" s="1">
        <v>44354.456631944442</v>
      </c>
      <c r="AU1582" s="1">
        <v>44354.45716435185</v>
      </c>
      <c r="AV1582" t="s">
        <v>71</v>
      </c>
      <c r="AW1582" t="s">
        <v>72</v>
      </c>
      <c r="AX1582" t="s">
        <v>73</v>
      </c>
    </row>
    <row r="1583" spans="1:50" x14ac:dyDescent="0.3">
      <c r="A1583" t="str">
        <f>"201693B0000"</f>
        <v>201693B0000</v>
      </c>
      <c r="B1583" t="str">
        <f>"201693B00002"</f>
        <v>201693B00002</v>
      </c>
      <c r="C1583" t="str">
        <f t="shared" si="77"/>
        <v>20</v>
      </c>
      <c r="D1583" t="s">
        <v>67</v>
      </c>
      <c r="E1583" t="str">
        <f t="shared" si="79"/>
        <v>007</v>
      </c>
      <c r="F1583" t="s">
        <v>1519</v>
      </c>
      <c r="G1583" t="str">
        <f>"1693"</f>
        <v>1693</v>
      </c>
      <c r="H1583" t="str">
        <f>"0000"</f>
        <v>0000</v>
      </c>
      <c r="I1583" t="s">
        <v>69</v>
      </c>
      <c r="J1583">
        <v>0</v>
      </c>
      <c r="K1583">
        <v>1</v>
      </c>
      <c r="L1583">
        <v>2</v>
      </c>
      <c r="M1583">
        <v>213</v>
      </c>
      <c r="N1583">
        <v>421</v>
      </c>
      <c r="O1583">
        <v>4</v>
      </c>
      <c r="P1583">
        <v>421</v>
      </c>
      <c r="Q1583">
        <v>0</v>
      </c>
      <c r="R1583">
        <v>10</v>
      </c>
      <c r="S1583">
        <v>3</v>
      </c>
      <c r="T1583">
        <v>1</v>
      </c>
      <c r="U1583">
        <v>52</v>
      </c>
      <c r="V1583">
        <v>0</v>
      </c>
      <c r="W1583">
        <v>1</v>
      </c>
      <c r="X1583">
        <v>96</v>
      </c>
      <c r="Y1583">
        <v>0</v>
      </c>
      <c r="Z1583">
        <v>1</v>
      </c>
      <c r="AA1583">
        <v>0</v>
      </c>
      <c r="AB1583">
        <v>0</v>
      </c>
      <c r="AC1583">
        <v>229</v>
      </c>
      <c r="AD1583">
        <v>0</v>
      </c>
      <c r="AE1583">
        <v>0</v>
      </c>
      <c r="AF1583">
        <v>0</v>
      </c>
      <c r="AG1583">
        <v>0</v>
      </c>
      <c r="AI1583">
        <v>0</v>
      </c>
      <c r="AJ1583">
        <v>28</v>
      </c>
      <c r="AK1583">
        <v>421</v>
      </c>
      <c r="AL1583">
        <v>421</v>
      </c>
      <c r="AM1583">
        <v>588</v>
      </c>
      <c r="AN1583">
        <v>46</v>
      </c>
      <c r="AP1583">
        <v>1</v>
      </c>
      <c r="AR1583" t="s">
        <v>1671</v>
      </c>
      <c r="AS1583" s="1">
        <v>44354.460416666669</v>
      </c>
      <c r="AT1583" s="1">
        <v>44354.46434027778</v>
      </c>
      <c r="AU1583" s="1">
        <v>44354.46497685185</v>
      </c>
      <c r="AV1583" t="s">
        <v>71</v>
      </c>
      <c r="AW1583" t="s">
        <v>72</v>
      </c>
      <c r="AX1583" t="s">
        <v>73</v>
      </c>
    </row>
    <row r="1584" spans="1:50" x14ac:dyDescent="0.3">
      <c r="A1584" t="str">
        <f>"201693E0100"</f>
        <v>201693E0100</v>
      </c>
      <c r="B1584" t="str">
        <f>"201693E01002"</f>
        <v>201693E01002</v>
      </c>
      <c r="C1584" t="str">
        <f t="shared" si="77"/>
        <v>20</v>
      </c>
      <c r="D1584" t="s">
        <v>67</v>
      </c>
      <c r="E1584" t="str">
        <f t="shared" si="79"/>
        <v>007</v>
      </c>
      <c r="F1584" t="s">
        <v>1519</v>
      </c>
      <c r="G1584" t="str">
        <f>"1693"</f>
        <v>1693</v>
      </c>
      <c r="H1584" t="str">
        <f>"0001"</f>
        <v>0001</v>
      </c>
      <c r="I1584" t="s">
        <v>109</v>
      </c>
      <c r="J1584">
        <v>0</v>
      </c>
      <c r="K1584">
        <v>1</v>
      </c>
      <c r="L1584">
        <v>2</v>
      </c>
      <c r="M1584">
        <v>303</v>
      </c>
      <c r="N1584">
        <v>475</v>
      </c>
      <c r="O1584">
        <v>11</v>
      </c>
      <c r="P1584">
        <v>475</v>
      </c>
      <c r="Q1584">
        <v>0</v>
      </c>
      <c r="R1584">
        <v>52</v>
      </c>
      <c r="S1584">
        <v>3</v>
      </c>
      <c r="T1584">
        <v>1</v>
      </c>
      <c r="U1584">
        <v>40</v>
      </c>
      <c r="V1584">
        <v>3</v>
      </c>
      <c r="W1584">
        <v>21</v>
      </c>
      <c r="X1584">
        <v>227</v>
      </c>
      <c r="Y1584">
        <v>1</v>
      </c>
      <c r="Z1584">
        <v>3</v>
      </c>
      <c r="AA1584">
        <v>7</v>
      </c>
      <c r="AB1584">
        <v>1</v>
      </c>
      <c r="AC1584">
        <v>85</v>
      </c>
      <c r="AD1584">
        <v>1</v>
      </c>
      <c r="AE1584">
        <v>0</v>
      </c>
      <c r="AF1584">
        <v>0</v>
      </c>
      <c r="AG1584">
        <v>0</v>
      </c>
      <c r="AI1584">
        <v>0</v>
      </c>
      <c r="AJ1584">
        <v>30</v>
      </c>
      <c r="AK1584">
        <v>475</v>
      </c>
      <c r="AL1584">
        <v>475</v>
      </c>
      <c r="AM1584">
        <v>732</v>
      </c>
      <c r="AN1584">
        <v>46</v>
      </c>
      <c r="AP1584">
        <v>1</v>
      </c>
      <c r="AR1584" t="s">
        <v>1672</v>
      </c>
      <c r="AS1584" s="1">
        <v>44354.459722222222</v>
      </c>
      <c r="AT1584" s="1">
        <v>44354.462129629632</v>
      </c>
      <c r="AU1584" s="1">
        <v>44354.466203703705</v>
      </c>
      <c r="AV1584" t="s">
        <v>71</v>
      </c>
      <c r="AW1584" t="s">
        <v>72</v>
      </c>
      <c r="AX1584" t="s">
        <v>73</v>
      </c>
    </row>
    <row r="1585" spans="1:50" x14ac:dyDescent="0.3">
      <c r="A1585" t="str">
        <f>"201694B0000"</f>
        <v>201694B0000</v>
      </c>
      <c r="B1585" t="str">
        <f>"201694B00002"</f>
        <v>201694B00002</v>
      </c>
      <c r="C1585" t="str">
        <f t="shared" si="77"/>
        <v>20</v>
      </c>
      <c r="D1585" t="s">
        <v>67</v>
      </c>
      <c r="E1585" t="str">
        <f t="shared" si="79"/>
        <v>007</v>
      </c>
      <c r="F1585" t="s">
        <v>1519</v>
      </c>
      <c r="G1585" t="str">
        <f>"1694"</f>
        <v>1694</v>
      </c>
      <c r="H1585" t="str">
        <f>"0000"</f>
        <v>0000</v>
      </c>
      <c r="I1585" t="s">
        <v>69</v>
      </c>
      <c r="J1585">
        <v>0</v>
      </c>
      <c r="K1585">
        <v>1</v>
      </c>
      <c r="L1585">
        <v>2</v>
      </c>
      <c r="M1585">
        <v>164</v>
      </c>
      <c r="N1585">
        <v>347</v>
      </c>
      <c r="O1585">
        <v>9</v>
      </c>
      <c r="P1585">
        <v>347</v>
      </c>
      <c r="Q1585">
        <v>2</v>
      </c>
      <c r="R1585">
        <v>127</v>
      </c>
      <c r="S1585">
        <v>3</v>
      </c>
      <c r="T1585">
        <v>3</v>
      </c>
      <c r="U1585">
        <v>81</v>
      </c>
      <c r="V1585">
        <v>2</v>
      </c>
      <c r="W1585">
        <v>4</v>
      </c>
      <c r="X1585">
        <v>66</v>
      </c>
      <c r="Y1585">
        <v>1</v>
      </c>
      <c r="Z1585">
        <v>0</v>
      </c>
      <c r="AA1585">
        <v>1</v>
      </c>
      <c r="AB1585">
        <v>4</v>
      </c>
      <c r="AC1585">
        <v>24</v>
      </c>
      <c r="AD1585">
        <v>1</v>
      </c>
      <c r="AE1585">
        <v>1</v>
      </c>
      <c r="AF1585">
        <v>0</v>
      </c>
      <c r="AG1585">
        <v>0</v>
      </c>
      <c r="AI1585">
        <v>0</v>
      </c>
      <c r="AJ1585">
        <v>27</v>
      </c>
      <c r="AK1585">
        <v>347</v>
      </c>
      <c r="AL1585">
        <v>347</v>
      </c>
      <c r="AM1585">
        <v>465</v>
      </c>
      <c r="AN1585">
        <v>46</v>
      </c>
      <c r="AP1585">
        <v>1</v>
      </c>
      <c r="AR1585" t="s">
        <v>1673</v>
      </c>
      <c r="AS1585" s="1">
        <v>44354.40347222222</v>
      </c>
      <c r="AT1585" s="1">
        <v>44354.411805555559</v>
      </c>
      <c r="AU1585" s="1">
        <v>44354.412465277775</v>
      </c>
      <c r="AV1585" t="s">
        <v>71</v>
      </c>
      <c r="AW1585" t="s">
        <v>72</v>
      </c>
      <c r="AX1585" t="s">
        <v>73</v>
      </c>
    </row>
    <row r="1586" spans="1:50" x14ac:dyDescent="0.3">
      <c r="A1586" t="str">
        <f>"201694C0100"</f>
        <v>201694C0100</v>
      </c>
      <c r="B1586" t="str">
        <f>"201694C01002"</f>
        <v>201694C01002</v>
      </c>
      <c r="C1586" t="str">
        <f t="shared" si="77"/>
        <v>20</v>
      </c>
      <c r="D1586" t="s">
        <v>67</v>
      </c>
      <c r="E1586" t="str">
        <f t="shared" si="79"/>
        <v>007</v>
      </c>
      <c r="F1586" t="s">
        <v>1519</v>
      </c>
      <c r="G1586" t="str">
        <f>"1694"</f>
        <v>1694</v>
      </c>
      <c r="H1586" t="str">
        <f>"0001"</f>
        <v>0001</v>
      </c>
      <c r="I1586" t="s">
        <v>75</v>
      </c>
      <c r="J1586">
        <v>0</v>
      </c>
      <c r="K1586">
        <v>1</v>
      </c>
      <c r="L1586">
        <v>2</v>
      </c>
      <c r="M1586">
        <v>172</v>
      </c>
      <c r="N1586">
        <v>338</v>
      </c>
      <c r="O1586">
        <v>5</v>
      </c>
      <c r="P1586">
        <v>338</v>
      </c>
      <c r="Q1586">
        <v>5</v>
      </c>
      <c r="R1586">
        <v>97</v>
      </c>
      <c r="S1586">
        <v>5</v>
      </c>
      <c r="T1586">
        <v>3</v>
      </c>
      <c r="U1586">
        <v>68</v>
      </c>
      <c r="V1586">
        <v>0</v>
      </c>
      <c r="W1586">
        <v>0</v>
      </c>
      <c r="X1586">
        <v>100</v>
      </c>
      <c r="Y1586">
        <v>1</v>
      </c>
      <c r="Z1586">
        <v>5</v>
      </c>
      <c r="AA1586">
        <v>1</v>
      </c>
      <c r="AB1586">
        <v>0</v>
      </c>
      <c r="AC1586">
        <v>43</v>
      </c>
      <c r="AD1586">
        <v>1</v>
      </c>
      <c r="AE1586">
        <v>0</v>
      </c>
      <c r="AF1586">
        <v>0</v>
      </c>
      <c r="AG1586">
        <v>0</v>
      </c>
      <c r="AI1586">
        <v>0</v>
      </c>
      <c r="AJ1586">
        <v>7</v>
      </c>
      <c r="AK1586">
        <v>338</v>
      </c>
      <c r="AL1586">
        <v>336</v>
      </c>
      <c r="AM1586">
        <v>464</v>
      </c>
      <c r="AN1586">
        <v>46</v>
      </c>
      <c r="AP1586">
        <v>1</v>
      </c>
      <c r="AR1586" t="s">
        <v>1674</v>
      </c>
      <c r="AS1586" s="1">
        <v>44354.404166666667</v>
      </c>
      <c r="AT1586" s="1">
        <v>44354.40965277778</v>
      </c>
      <c r="AU1586" s="1">
        <v>44354.409953703704</v>
      </c>
      <c r="AV1586" t="s">
        <v>71</v>
      </c>
      <c r="AW1586" t="s">
        <v>72</v>
      </c>
      <c r="AX1586" t="s">
        <v>73</v>
      </c>
    </row>
    <row r="1587" spans="1:50" x14ac:dyDescent="0.3">
      <c r="A1587" t="str">
        <f>"201695B0000"</f>
        <v>201695B0000</v>
      </c>
      <c r="B1587" t="str">
        <f>"201695B00002"</f>
        <v>201695B00002</v>
      </c>
      <c r="C1587" t="str">
        <f t="shared" si="77"/>
        <v>20</v>
      </c>
      <c r="D1587" t="s">
        <v>67</v>
      </c>
      <c r="E1587" t="str">
        <f t="shared" si="79"/>
        <v>007</v>
      </c>
      <c r="F1587" t="s">
        <v>1519</v>
      </c>
      <c r="G1587" t="str">
        <f>"1695"</f>
        <v>1695</v>
      </c>
      <c r="H1587" t="str">
        <f>"0000"</f>
        <v>0000</v>
      </c>
      <c r="I1587" t="s">
        <v>69</v>
      </c>
      <c r="J1587">
        <v>0</v>
      </c>
      <c r="K1587">
        <v>1</v>
      </c>
      <c r="L1587">
        <v>2</v>
      </c>
      <c r="M1587">
        <v>215</v>
      </c>
      <c r="N1587">
        <v>494</v>
      </c>
      <c r="O1587">
        <v>10</v>
      </c>
      <c r="P1587">
        <v>494</v>
      </c>
      <c r="Q1587">
        <v>4</v>
      </c>
      <c r="R1587">
        <v>143</v>
      </c>
      <c r="S1587">
        <v>9</v>
      </c>
      <c r="T1587">
        <v>0</v>
      </c>
      <c r="U1587">
        <v>84</v>
      </c>
      <c r="V1587">
        <v>1</v>
      </c>
      <c r="W1587">
        <v>6</v>
      </c>
      <c r="X1587">
        <v>195</v>
      </c>
      <c r="Y1587">
        <v>1</v>
      </c>
      <c r="Z1587">
        <v>4</v>
      </c>
      <c r="AA1587">
        <v>1</v>
      </c>
      <c r="AB1587">
        <v>0</v>
      </c>
      <c r="AC1587">
        <v>16</v>
      </c>
      <c r="AD1587">
        <v>4</v>
      </c>
      <c r="AE1587">
        <v>0</v>
      </c>
      <c r="AF1587">
        <v>0</v>
      </c>
      <c r="AG1587">
        <v>1</v>
      </c>
      <c r="AI1587">
        <v>0</v>
      </c>
      <c r="AJ1587">
        <v>25</v>
      </c>
      <c r="AK1587">
        <v>494</v>
      </c>
      <c r="AL1587">
        <v>494</v>
      </c>
      <c r="AM1587">
        <v>663</v>
      </c>
      <c r="AN1587">
        <v>46</v>
      </c>
      <c r="AP1587">
        <v>1</v>
      </c>
      <c r="AR1587" t="s">
        <v>1675</v>
      </c>
      <c r="AS1587" s="1">
        <v>44354.451388888891</v>
      </c>
      <c r="AT1587" s="1">
        <v>44354.454456018517</v>
      </c>
      <c r="AU1587" s="1">
        <v>44354.455185185187</v>
      </c>
      <c r="AV1587" t="s">
        <v>71</v>
      </c>
      <c r="AW1587" t="s">
        <v>72</v>
      </c>
      <c r="AX1587" t="s">
        <v>73</v>
      </c>
    </row>
    <row r="1588" spans="1:50" x14ac:dyDescent="0.3">
      <c r="A1588" t="str">
        <f>"201695E0100"</f>
        <v>201695E0100</v>
      </c>
      <c r="B1588" t="str">
        <f>"201695E01002"</f>
        <v>201695E01002</v>
      </c>
      <c r="C1588" t="str">
        <f t="shared" si="77"/>
        <v>20</v>
      </c>
      <c r="D1588" t="s">
        <v>67</v>
      </c>
      <c r="E1588" t="str">
        <f t="shared" si="79"/>
        <v>007</v>
      </c>
      <c r="F1588" t="s">
        <v>1519</v>
      </c>
      <c r="G1588" t="str">
        <f>"1695"</f>
        <v>1695</v>
      </c>
      <c r="H1588" t="str">
        <f>"0001"</f>
        <v>0001</v>
      </c>
      <c r="I1588" t="s">
        <v>109</v>
      </c>
      <c r="J1588">
        <v>0</v>
      </c>
      <c r="K1588">
        <v>1</v>
      </c>
      <c r="L1588">
        <v>2</v>
      </c>
      <c r="M1588">
        <v>91</v>
      </c>
      <c r="N1588">
        <v>225</v>
      </c>
      <c r="O1588">
        <v>3</v>
      </c>
      <c r="P1588">
        <v>225</v>
      </c>
      <c r="Q1588">
        <v>1</v>
      </c>
      <c r="R1588">
        <v>110</v>
      </c>
      <c r="S1588">
        <v>5</v>
      </c>
      <c r="T1588">
        <v>2</v>
      </c>
      <c r="U1588">
        <v>53</v>
      </c>
      <c r="V1588">
        <v>0</v>
      </c>
      <c r="W1588">
        <v>2</v>
      </c>
      <c r="X1588">
        <v>25</v>
      </c>
      <c r="Y1588">
        <v>1</v>
      </c>
      <c r="Z1588">
        <v>1</v>
      </c>
      <c r="AA1588">
        <v>1</v>
      </c>
      <c r="AB1588">
        <v>0</v>
      </c>
      <c r="AC1588">
        <v>13</v>
      </c>
      <c r="AD1588">
        <v>0</v>
      </c>
      <c r="AE1588">
        <v>0</v>
      </c>
      <c r="AF1588">
        <v>0</v>
      </c>
      <c r="AG1588">
        <v>1</v>
      </c>
      <c r="AI1588">
        <v>0</v>
      </c>
      <c r="AJ1588">
        <v>10</v>
      </c>
      <c r="AK1588">
        <v>225</v>
      </c>
      <c r="AL1588">
        <v>225</v>
      </c>
      <c r="AM1588">
        <v>270</v>
      </c>
      <c r="AN1588">
        <v>46</v>
      </c>
      <c r="AP1588">
        <v>1</v>
      </c>
      <c r="AR1588" t="s">
        <v>1676</v>
      </c>
      <c r="AS1588" s="1">
        <v>44354.456250000003</v>
      </c>
      <c r="AT1588" s="1">
        <v>44354.459456018521</v>
      </c>
      <c r="AU1588" s="1">
        <v>44354.460127314815</v>
      </c>
      <c r="AV1588" t="s">
        <v>71</v>
      </c>
      <c r="AW1588" t="s">
        <v>72</v>
      </c>
      <c r="AX1588" t="s">
        <v>73</v>
      </c>
    </row>
    <row r="1589" spans="1:50" x14ac:dyDescent="0.3">
      <c r="A1589" t="str">
        <f>"201696B0000"</f>
        <v>201696B0000</v>
      </c>
      <c r="B1589" t="str">
        <f>"201696B00002"</f>
        <v>201696B00002</v>
      </c>
      <c r="C1589" t="str">
        <f t="shared" si="77"/>
        <v>20</v>
      </c>
      <c r="D1589" t="s">
        <v>67</v>
      </c>
      <c r="E1589" t="str">
        <f t="shared" si="79"/>
        <v>007</v>
      </c>
      <c r="F1589" t="s">
        <v>1519</v>
      </c>
      <c r="G1589" t="str">
        <f>"1696"</f>
        <v>1696</v>
      </c>
      <c r="H1589" t="str">
        <f>"0000"</f>
        <v>0000</v>
      </c>
      <c r="I1589" t="s">
        <v>69</v>
      </c>
      <c r="J1589">
        <v>0</v>
      </c>
      <c r="K1589">
        <v>1</v>
      </c>
      <c r="L1589">
        <v>2</v>
      </c>
      <c r="M1589">
        <v>119</v>
      </c>
      <c r="N1589">
        <v>277</v>
      </c>
      <c r="O1589">
        <v>0</v>
      </c>
      <c r="P1589">
        <v>277</v>
      </c>
      <c r="Q1589">
        <v>4</v>
      </c>
      <c r="R1589">
        <v>43</v>
      </c>
      <c r="S1589">
        <v>3</v>
      </c>
      <c r="T1589">
        <v>2</v>
      </c>
      <c r="U1589">
        <v>36</v>
      </c>
      <c r="V1589">
        <v>0</v>
      </c>
      <c r="W1589">
        <v>54</v>
      </c>
      <c r="X1589">
        <v>92</v>
      </c>
      <c r="Y1589">
        <v>0</v>
      </c>
      <c r="Z1589">
        <v>1</v>
      </c>
      <c r="AA1589">
        <v>0</v>
      </c>
      <c r="AB1589">
        <v>0</v>
      </c>
      <c r="AC1589">
        <v>34</v>
      </c>
      <c r="AD1589">
        <v>0</v>
      </c>
      <c r="AE1589">
        <v>0</v>
      </c>
      <c r="AF1589">
        <v>0</v>
      </c>
      <c r="AG1589">
        <v>0</v>
      </c>
      <c r="AI1589">
        <v>0</v>
      </c>
      <c r="AJ1589">
        <v>4</v>
      </c>
      <c r="AK1589">
        <v>277</v>
      </c>
      <c r="AL1589">
        <v>273</v>
      </c>
      <c r="AM1589">
        <v>350</v>
      </c>
      <c r="AN1589">
        <v>46</v>
      </c>
      <c r="AP1589">
        <v>1</v>
      </c>
      <c r="AR1589" t="s">
        <v>1677</v>
      </c>
      <c r="AS1589" s="1">
        <v>44354.454861111109</v>
      </c>
      <c r="AT1589" s="1">
        <v>44354.457615740743</v>
      </c>
      <c r="AU1589" s="1">
        <v>44354.458252314813</v>
      </c>
      <c r="AV1589" t="s">
        <v>71</v>
      </c>
      <c r="AW1589" t="s">
        <v>72</v>
      </c>
      <c r="AX1589" t="s">
        <v>73</v>
      </c>
    </row>
    <row r="1590" spans="1:50" x14ac:dyDescent="0.3">
      <c r="A1590" t="str">
        <f>"201696E0100"</f>
        <v>201696E0100</v>
      </c>
      <c r="B1590" t="str">
        <f>"201696E01002"</f>
        <v>201696E01002</v>
      </c>
      <c r="C1590" t="str">
        <f t="shared" si="77"/>
        <v>20</v>
      </c>
      <c r="D1590" t="s">
        <v>67</v>
      </c>
      <c r="E1590" t="str">
        <f t="shared" si="79"/>
        <v>007</v>
      </c>
      <c r="F1590" t="s">
        <v>1519</v>
      </c>
      <c r="G1590" t="str">
        <f>"1696"</f>
        <v>1696</v>
      </c>
      <c r="H1590" t="str">
        <f>"0001"</f>
        <v>0001</v>
      </c>
      <c r="I1590" t="s">
        <v>109</v>
      </c>
      <c r="J1590">
        <v>0</v>
      </c>
      <c r="K1590">
        <v>1</v>
      </c>
      <c r="L1590">
        <v>2</v>
      </c>
      <c r="M1590">
        <v>96</v>
      </c>
      <c r="N1590">
        <v>229</v>
      </c>
      <c r="O1590">
        <v>7</v>
      </c>
      <c r="P1590">
        <v>0</v>
      </c>
      <c r="Q1590">
        <v>6</v>
      </c>
      <c r="R1590">
        <v>76</v>
      </c>
      <c r="S1590">
        <v>0</v>
      </c>
      <c r="T1590">
        <v>0</v>
      </c>
      <c r="U1590">
        <v>39</v>
      </c>
      <c r="V1590">
        <v>2</v>
      </c>
      <c r="W1590">
        <v>1</v>
      </c>
      <c r="X1590">
        <v>91</v>
      </c>
      <c r="Y1590">
        <v>0</v>
      </c>
      <c r="Z1590">
        <v>1</v>
      </c>
      <c r="AA1590">
        <v>1</v>
      </c>
      <c r="AB1590">
        <v>1</v>
      </c>
      <c r="AC1590">
        <v>4</v>
      </c>
      <c r="AD1590">
        <v>1</v>
      </c>
      <c r="AE1590">
        <v>0</v>
      </c>
      <c r="AF1590">
        <v>0</v>
      </c>
      <c r="AG1590">
        <v>1</v>
      </c>
      <c r="AI1590">
        <v>0</v>
      </c>
      <c r="AJ1590">
        <v>5</v>
      </c>
      <c r="AK1590">
        <v>229</v>
      </c>
      <c r="AL1590">
        <v>229</v>
      </c>
      <c r="AM1590">
        <v>279</v>
      </c>
      <c r="AN1590">
        <v>46</v>
      </c>
      <c r="AP1590">
        <v>1</v>
      </c>
      <c r="AR1590" t="s">
        <v>1678</v>
      </c>
      <c r="AS1590" s="1">
        <v>44354.457638888889</v>
      </c>
      <c r="AT1590" s="1">
        <v>44354.460324074076</v>
      </c>
      <c r="AU1590" s="1">
        <v>44354.460868055554</v>
      </c>
      <c r="AV1590" t="s">
        <v>71</v>
      </c>
      <c r="AW1590" t="s">
        <v>72</v>
      </c>
      <c r="AX1590" t="s">
        <v>73</v>
      </c>
    </row>
    <row r="1591" spans="1:50" x14ac:dyDescent="0.3">
      <c r="A1591" t="str">
        <f>"201697B0000"</f>
        <v>201697B0000</v>
      </c>
      <c r="B1591" t="str">
        <f>"201697B00002"</f>
        <v>201697B00002</v>
      </c>
      <c r="C1591" t="str">
        <f t="shared" si="77"/>
        <v>20</v>
      </c>
      <c r="D1591" t="s">
        <v>67</v>
      </c>
      <c r="E1591" t="str">
        <f t="shared" si="79"/>
        <v>007</v>
      </c>
      <c r="F1591" t="s">
        <v>1519</v>
      </c>
      <c r="G1591" t="str">
        <f>"1697"</f>
        <v>1697</v>
      </c>
      <c r="H1591" t="str">
        <f>"0000"</f>
        <v>0000</v>
      </c>
      <c r="I1591" t="s">
        <v>69</v>
      </c>
      <c r="J1591">
        <v>0</v>
      </c>
      <c r="K1591">
        <v>1</v>
      </c>
      <c r="L1591">
        <v>2</v>
      </c>
      <c r="M1591">
        <v>267</v>
      </c>
      <c r="N1591">
        <v>270</v>
      </c>
      <c r="O1591">
        <v>2</v>
      </c>
      <c r="P1591">
        <v>270</v>
      </c>
      <c r="Q1591">
        <v>0</v>
      </c>
      <c r="R1591">
        <v>86</v>
      </c>
      <c r="S1591">
        <v>4</v>
      </c>
      <c r="T1591">
        <v>1</v>
      </c>
      <c r="U1591">
        <v>44</v>
      </c>
      <c r="V1591">
        <v>0</v>
      </c>
      <c r="W1591">
        <v>0</v>
      </c>
      <c r="X1591">
        <v>95</v>
      </c>
      <c r="Y1591">
        <v>0</v>
      </c>
      <c r="Z1591">
        <v>1</v>
      </c>
      <c r="AA1591">
        <v>0</v>
      </c>
      <c r="AB1591">
        <v>0</v>
      </c>
      <c r="AC1591">
        <v>24</v>
      </c>
      <c r="AD1591">
        <v>3</v>
      </c>
      <c r="AE1591">
        <v>1</v>
      </c>
      <c r="AF1591">
        <v>0</v>
      </c>
      <c r="AG1591">
        <v>0</v>
      </c>
      <c r="AI1591">
        <v>0</v>
      </c>
      <c r="AJ1591">
        <v>11</v>
      </c>
      <c r="AK1591">
        <v>270</v>
      </c>
      <c r="AL1591">
        <v>270</v>
      </c>
      <c r="AM1591">
        <v>452</v>
      </c>
      <c r="AN1591">
        <v>46</v>
      </c>
      <c r="AP1591">
        <v>1</v>
      </c>
      <c r="AR1591" t="s">
        <v>1679</v>
      </c>
      <c r="AS1591" s="1">
        <v>44354.455555555556</v>
      </c>
      <c r="AT1591" s="1">
        <v>44354.457731481481</v>
      </c>
      <c r="AU1591" s="1">
        <v>44354.458379629628</v>
      </c>
      <c r="AV1591" t="s">
        <v>71</v>
      </c>
      <c r="AW1591" t="s">
        <v>72</v>
      </c>
      <c r="AX1591" t="s">
        <v>73</v>
      </c>
    </row>
    <row r="1592" spans="1:50" x14ac:dyDescent="0.3">
      <c r="A1592" t="str">
        <f>"201697C0100"</f>
        <v>201697C0100</v>
      </c>
      <c r="B1592" t="str">
        <f>"201697C01002"</f>
        <v>201697C01002</v>
      </c>
      <c r="C1592" t="str">
        <f t="shared" si="77"/>
        <v>20</v>
      </c>
      <c r="D1592" t="s">
        <v>67</v>
      </c>
      <c r="E1592" t="str">
        <f t="shared" si="79"/>
        <v>007</v>
      </c>
      <c r="F1592" t="s">
        <v>1519</v>
      </c>
      <c r="G1592" t="str">
        <f>"1697"</f>
        <v>1697</v>
      </c>
      <c r="H1592" t="str">
        <f>"0001"</f>
        <v>0001</v>
      </c>
      <c r="I1592" t="s">
        <v>75</v>
      </c>
      <c r="J1592">
        <v>0</v>
      </c>
      <c r="K1592">
        <v>1</v>
      </c>
      <c r="L1592">
        <v>2</v>
      </c>
      <c r="M1592">
        <v>200</v>
      </c>
      <c r="N1592">
        <v>297</v>
      </c>
      <c r="O1592">
        <v>0</v>
      </c>
      <c r="P1592">
        <v>297</v>
      </c>
      <c r="Q1592">
        <v>2</v>
      </c>
      <c r="R1592">
        <v>89</v>
      </c>
      <c r="S1592">
        <v>3</v>
      </c>
      <c r="T1592" t="s">
        <v>77</v>
      </c>
      <c r="U1592">
        <v>41</v>
      </c>
      <c r="V1592">
        <v>2</v>
      </c>
      <c r="W1592">
        <v>1</v>
      </c>
      <c r="X1592">
        <v>116</v>
      </c>
      <c r="Y1592" t="s">
        <v>77</v>
      </c>
      <c r="Z1592">
        <v>5</v>
      </c>
      <c r="AA1592" t="s">
        <v>77</v>
      </c>
      <c r="AB1592" t="s">
        <v>77</v>
      </c>
      <c r="AC1592">
        <v>22</v>
      </c>
      <c r="AD1592" t="s">
        <v>77</v>
      </c>
      <c r="AE1592" t="s">
        <v>77</v>
      </c>
      <c r="AF1592" t="s">
        <v>77</v>
      </c>
      <c r="AG1592" t="s">
        <v>77</v>
      </c>
      <c r="AI1592" t="s">
        <v>77</v>
      </c>
      <c r="AJ1592">
        <v>16</v>
      </c>
      <c r="AK1592">
        <v>297</v>
      </c>
      <c r="AL1592">
        <v>297</v>
      </c>
      <c r="AM1592">
        <v>451</v>
      </c>
      <c r="AN1592">
        <v>46</v>
      </c>
      <c r="AO1592" t="s">
        <v>78</v>
      </c>
      <c r="AP1592">
        <v>1</v>
      </c>
      <c r="AR1592" t="s">
        <v>1680</v>
      </c>
      <c r="AS1592" s="1">
        <v>44354.464583333334</v>
      </c>
      <c r="AT1592" s="1">
        <v>44354.467893518522</v>
      </c>
      <c r="AU1592" s="1">
        <v>44354.468599537038</v>
      </c>
      <c r="AV1592" t="s">
        <v>71</v>
      </c>
      <c r="AW1592" t="s">
        <v>72</v>
      </c>
      <c r="AX1592" t="s">
        <v>73</v>
      </c>
    </row>
    <row r="1593" spans="1:50" x14ac:dyDescent="0.3">
      <c r="A1593" t="str">
        <f>"201698B0000"</f>
        <v>201698B0000</v>
      </c>
      <c r="B1593" t="str">
        <f>"201698B00002"</f>
        <v>201698B00002</v>
      </c>
      <c r="C1593" t="str">
        <f t="shared" si="77"/>
        <v>20</v>
      </c>
      <c r="D1593" t="s">
        <v>67</v>
      </c>
      <c r="E1593" t="str">
        <f t="shared" si="79"/>
        <v>007</v>
      </c>
      <c r="F1593" t="s">
        <v>1519</v>
      </c>
      <c r="G1593" t="str">
        <f>"1698"</f>
        <v>1698</v>
      </c>
      <c r="H1593" t="str">
        <f>"0000"</f>
        <v>0000</v>
      </c>
      <c r="I1593" t="s">
        <v>69</v>
      </c>
      <c r="J1593">
        <v>0</v>
      </c>
      <c r="K1593">
        <v>1</v>
      </c>
      <c r="L1593">
        <v>2</v>
      </c>
      <c r="M1593">
        <v>284</v>
      </c>
      <c r="N1593">
        <v>432</v>
      </c>
      <c r="O1593">
        <v>2</v>
      </c>
      <c r="P1593">
        <v>432</v>
      </c>
      <c r="Q1593">
        <v>2</v>
      </c>
      <c r="R1593">
        <v>78</v>
      </c>
      <c r="S1593">
        <v>9</v>
      </c>
      <c r="T1593">
        <v>1</v>
      </c>
      <c r="U1593">
        <v>5</v>
      </c>
      <c r="V1593">
        <v>0</v>
      </c>
      <c r="W1593">
        <v>13</v>
      </c>
      <c r="X1593">
        <v>112</v>
      </c>
      <c r="Y1593">
        <v>1</v>
      </c>
      <c r="Z1593">
        <v>1</v>
      </c>
      <c r="AA1593">
        <v>1</v>
      </c>
      <c r="AB1593">
        <v>0</v>
      </c>
      <c r="AC1593">
        <v>122</v>
      </c>
      <c r="AD1593">
        <v>3</v>
      </c>
      <c r="AE1593">
        <v>2</v>
      </c>
      <c r="AF1593">
        <v>0</v>
      </c>
      <c r="AG1593">
        <v>2</v>
      </c>
      <c r="AI1593">
        <v>0</v>
      </c>
      <c r="AJ1593">
        <v>20</v>
      </c>
      <c r="AK1593">
        <v>432</v>
      </c>
      <c r="AL1593">
        <v>372</v>
      </c>
      <c r="AM1593">
        <v>670</v>
      </c>
      <c r="AN1593">
        <v>46</v>
      </c>
      <c r="AP1593">
        <v>1</v>
      </c>
      <c r="AR1593" t="s">
        <v>1681</v>
      </c>
      <c r="AS1593" s="1">
        <v>44354.455555555556</v>
      </c>
      <c r="AT1593" s="1">
        <v>44354.457962962966</v>
      </c>
      <c r="AU1593" s="1">
        <v>44354.458680555559</v>
      </c>
      <c r="AV1593" t="s">
        <v>71</v>
      </c>
      <c r="AW1593" t="s">
        <v>72</v>
      </c>
      <c r="AX1593" t="s">
        <v>73</v>
      </c>
    </row>
    <row r="1594" spans="1:50" x14ac:dyDescent="0.3">
      <c r="A1594" t="str">
        <f>"201698C0100"</f>
        <v>201698C0100</v>
      </c>
      <c r="B1594" t="str">
        <f>"201698C01002"</f>
        <v>201698C01002</v>
      </c>
      <c r="C1594" t="str">
        <f t="shared" si="77"/>
        <v>20</v>
      </c>
      <c r="D1594" t="s">
        <v>67</v>
      </c>
      <c r="E1594" t="str">
        <f t="shared" si="79"/>
        <v>007</v>
      </c>
      <c r="F1594" t="s">
        <v>1519</v>
      </c>
      <c r="G1594" t="str">
        <f>"1698"</f>
        <v>1698</v>
      </c>
      <c r="H1594" t="str">
        <f>"0001"</f>
        <v>0001</v>
      </c>
      <c r="I1594" t="s">
        <v>75</v>
      </c>
      <c r="J1594">
        <v>0</v>
      </c>
      <c r="K1594">
        <v>1</v>
      </c>
      <c r="L1594">
        <v>2</v>
      </c>
      <c r="M1594">
        <v>296</v>
      </c>
      <c r="N1594">
        <v>420</v>
      </c>
      <c r="O1594">
        <v>3</v>
      </c>
      <c r="P1594">
        <v>420</v>
      </c>
      <c r="Q1594">
        <v>2</v>
      </c>
      <c r="R1594">
        <v>107</v>
      </c>
      <c r="S1594">
        <v>10</v>
      </c>
      <c r="T1594">
        <v>0</v>
      </c>
      <c r="U1594">
        <v>56</v>
      </c>
      <c r="V1594">
        <v>0</v>
      </c>
      <c r="W1594">
        <v>11</v>
      </c>
      <c r="X1594">
        <v>102</v>
      </c>
      <c r="Y1594">
        <v>0</v>
      </c>
      <c r="Z1594">
        <v>3</v>
      </c>
      <c r="AA1594">
        <v>2</v>
      </c>
      <c r="AB1594">
        <v>0</v>
      </c>
      <c r="AC1594">
        <v>98</v>
      </c>
      <c r="AD1594">
        <v>6</v>
      </c>
      <c r="AE1594">
        <v>1</v>
      </c>
      <c r="AF1594">
        <v>0</v>
      </c>
      <c r="AG1594">
        <v>0</v>
      </c>
      <c r="AI1594">
        <v>0</v>
      </c>
      <c r="AJ1594">
        <v>22</v>
      </c>
      <c r="AK1594">
        <v>420</v>
      </c>
      <c r="AL1594">
        <v>420</v>
      </c>
      <c r="AM1594">
        <v>670</v>
      </c>
      <c r="AN1594">
        <v>46</v>
      </c>
      <c r="AP1594">
        <v>1</v>
      </c>
      <c r="AR1594" t="s">
        <v>1682</v>
      </c>
      <c r="AS1594" s="1">
        <v>44354.455555555556</v>
      </c>
      <c r="AT1594" s="1">
        <v>44354.45821759259</v>
      </c>
      <c r="AU1594" s="1">
        <v>44354.45952546296</v>
      </c>
      <c r="AV1594" t="s">
        <v>71</v>
      </c>
      <c r="AW1594" t="s">
        <v>72</v>
      </c>
      <c r="AX1594" t="s">
        <v>73</v>
      </c>
    </row>
    <row r="1595" spans="1:50" x14ac:dyDescent="0.3">
      <c r="A1595" t="str">
        <f>"201698E0100"</f>
        <v>201698E0100</v>
      </c>
      <c r="B1595" t="str">
        <f>"201698E01002"</f>
        <v>201698E01002</v>
      </c>
      <c r="C1595" t="str">
        <f t="shared" si="77"/>
        <v>20</v>
      </c>
      <c r="D1595" t="s">
        <v>67</v>
      </c>
      <c r="E1595" t="str">
        <f t="shared" si="79"/>
        <v>007</v>
      </c>
      <c r="F1595" t="s">
        <v>1519</v>
      </c>
      <c r="G1595" t="str">
        <f>"1698"</f>
        <v>1698</v>
      </c>
      <c r="H1595" t="str">
        <f>"0001"</f>
        <v>0001</v>
      </c>
      <c r="I1595" t="s">
        <v>109</v>
      </c>
      <c r="J1595">
        <v>0</v>
      </c>
      <c r="K1595">
        <v>1</v>
      </c>
      <c r="L1595">
        <v>2</v>
      </c>
      <c r="M1595">
        <v>123</v>
      </c>
      <c r="N1595">
        <v>200</v>
      </c>
      <c r="O1595">
        <v>1</v>
      </c>
      <c r="P1595">
        <v>200</v>
      </c>
      <c r="Q1595">
        <v>0</v>
      </c>
      <c r="R1595">
        <v>12</v>
      </c>
      <c r="S1595">
        <v>2</v>
      </c>
      <c r="T1595">
        <v>1</v>
      </c>
      <c r="U1595">
        <v>50</v>
      </c>
      <c r="V1595">
        <v>1</v>
      </c>
      <c r="W1595">
        <v>0</v>
      </c>
      <c r="X1595">
        <v>27</v>
      </c>
      <c r="Y1595">
        <v>1</v>
      </c>
      <c r="Z1595">
        <v>0</v>
      </c>
      <c r="AA1595">
        <v>0</v>
      </c>
      <c r="AB1595">
        <v>1</v>
      </c>
      <c r="AC1595">
        <v>95</v>
      </c>
      <c r="AD1595">
        <v>0</v>
      </c>
      <c r="AE1595">
        <v>0</v>
      </c>
      <c r="AF1595">
        <v>0</v>
      </c>
      <c r="AG1595">
        <v>1</v>
      </c>
      <c r="AI1595">
        <v>0</v>
      </c>
      <c r="AJ1595">
        <v>9</v>
      </c>
      <c r="AK1595">
        <v>200</v>
      </c>
      <c r="AL1595">
        <v>200</v>
      </c>
      <c r="AM1595">
        <v>277</v>
      </c>
      <c r="AN1595">
        <v>46</v>
      </c>
      <c r="AP1595">
        <v>1</v>
      </c>
      <c r="AR1595" t="s">
        <v>1683</v>
      </c>
      <c r="AS1595" s="1">
        <v>44354.457638888889</v>
      </c>
      <c r="AT1595" s="1">
        <v>44354.460231481484</v>
      </c>
      <c r="AU1595" s="1">
        <v>44354.461076388892</v>
      </c>
      <c r="AV1595" t="s">
        <v>71</v>
      </c>
      <c r="AW1595" t="s">
        <v>72</v>
      </c>
      <c r="AX1595" t="s">
        <v>73</v>
      </c>
    </row>
    <row r="1596" spans="1:50" x14ac:dyDescent="0.3">
      <c r="A1596" t="str">
        <f>"201856B0000"</f>
        <v>201856B0000</v>
      </c>
      <c r="B1596" t="str">
        <f>"201856B00002"</f>
        <v>201856B00002</v>
      </c>
      <c r="C1596" t="str">
        <f t="shared" si="77"/>
        <v>20</v>
      </c>
      <c r="D1596" t="s">
        <v>67</v>
      </c>
      <c r="E1596" t="str">
        <f t="shared" si="79"/>
        <v>007</v>
      </c>
      <c r="F1596" t="s">
        <v>1519</v>
      </c>
      <c r="G1596" t="str">
        <f>"1856"</f>
        <v>1856</v>
      </c>
      <c r="H1596" t="str">
        <f>"0000"</f>
        <v>0000</v>
      </c>
      <c r="I1596" t="s">
        <v>69</v>
      </c>
      <c r="J1596">
        <v>0</v>
      </c>
      <c r="K1596">
        <v>1</v>
      </c>
      <c r="L1596">
        <v>2</v>
      </c>
      <c r="M1596">
        <v>169</v>
      </c>
      <c r="N1596">
        <v>445</v>
      </c>
      <c r="O1596">
        <v>445</v>
      </c>
      <c r="P1596">
        <v>445</v>
      </c>
      <c r="Q1596">
        <v>4</v>
      </c>
      <c r="R1596">
        <v>5</v>
      </c>
      <c r="S1596">
        <v>109</v>
      </c>
      <c r="T1596">
        <v>45</v>
      </c>
      <c r="U1596">
        <v>0</v>
      </c>
      <c r="V1596">
        <v>0</v>
      </c>
      <c r="W1596">
        <v>7</v>
      </c>
      <c r="X1596">
        <v>95</v>
      </c>
      <c r="Y1596">
        <v>1</v>
      </c>
      <c r="Z1596">
        <v>0</v>
      </c>
      <c r="AA1596">
        <v>5</v>
      </c>
      <c r="AB1596">
        <v>3</v>
      </c>
      <c r="AC1596">
        <v>134</v>
      </c>
      <c r="AD1596">
        <v>3</v>
      </c>
      <c r="AE1596">
        <v>0</v>
      </c>
      <c r="AF1596">
        <v>0</v>
      </c>
      <c r="AG1596">
        <v>1</v>
      </c>
      <c r="AI1596">
        <v>0</v>
      </c>
      <c r="AJ1596">
        <v>33</v>
      </c>
      <c r="AK1596">
        <v>445</v>
      </c>
      <c r="AL1596">
        <v>445</v>
      </c>
      <c r="AM1596">
        <v>568</v>
      </c>
      <c r="AN1596">
        <v>46</v>
      </c>
      <c r="AP1596">
        <v>1</v>
      </c>
      <c r="AR1596" t="s">
        <v>1684</v>
      </c>
      <c r="AS1596" s="1">
        <v>44353.888229166667</v>
      </c>
      <c r="AT1596" s="1">
        <v>44353.892546296294</v>
      </c>
      <c r="AU1596" s="1">
        <v>44353.893564814818</v>
      </c>
      <c r="AV1596" t="s">
        <v>269</v>
      </c>
      <c r="AW1596" t="s">
        <v>270</v>
      </c>
      <c r="AX1596" t="s">
        <v>73</v>
      </c>
    </row>
    <row r="1597" spans="1:50" x14ac:dyDescent="0.3">
      <c r="A1597" t="str">
        <f>"201856C0100"</f>
        <v>201856C0100</v>
      </c>
      <c r="B1597" t="str">
        <f>"201856C01002"</f>
        <v>201856C01002</v>
      </c>
      <c r="C1597" t="str">
        <f t="shared" si="77"/>
        <v>20</v>
      </c>
      <c r="D1597" t="s">
        <v>67</v>
      </c>
      <c r="E1597" t="str">
        <f t="shared" si="79"/>
        <v>007</v>
      </c>
      <c r="F1597" t="s">
        <v>1519</v>
      </c>
      <c r="G1597" t="str">
        <f>"1856"</f>
        <v>1856</v>
      </c>
      <c r="H1597" t="str">
        <f>"0001"</f>
        <v>0001</v>
      </c>
      <c r="I1597" t="s">
        <v>75</v>
      </c>
      <c r="J1597">
        <v>0</v>
      </c>
      <c r="K1597">
        <v>1</v>
      </c>
      <c r="L1597">
        <v>2</v>
      </c>
      <c r="M1597">
        <v>174</v>
      </c>
      <c r="N1597">
        <v>0</v>
      </c>
      <c r="O1597">
        <v>0</v>
      </c>
      <c r="P1597">
        <v>441</v>
      </c>
      <c r="Q1597">
        <v>7</v>
      </c>
      <c r="R1597">
        <v>16</v>
      </c>
      <c r="S1597">
        <v>93</v>
      </c>
      <c r="T1597">
        <v>33</v>
      </c>
      <c r="U1597">
        <v>0</v>
      </c>
      <c r="V1597">
        <v>1</v>
      </c>
      <c r="W1597">
        <v>14</v>
      </c>
      <c r="X1597">
        <v>87</v>
      </c>
      <c r="Y1597">
        <v>1</v>
      </c>
      <c r="Z1597">
        <v>0</v>
      </c>
      <c r="AA1597">
        <v>7</v>
      </c>
      <c r="AB1597">
        <v>0</v>
      </c>
      <c r="AC1597">
        <v>143</v>
      </c>
      <c r="AD1597">
        <v>1</v>
      </c>
      <c r="AE1597">
        <v>0</v>
      </c>
      <c r="AF1597">
        <v>1</v>
      </c>
      <c r="AG1597">
        <v>0</v>
      </c>
      <c r="AI1597">
        <v>0</v>
      </c>
      <c r="AJ1597">
        <v>36</v>
      </c>
      <c r="AK1597">
        <v>441</v>
      </c>
      <c r="AL1597">
        <v>440</v>
      </c>
      <c r="AM1597">
        <v>568</v>
      </c>
      <c r="AN1597">
        <v>46</v>
      </c>
      <c r="AP1597">
        <v>1</v>
      </c>
      <c r="AR1597" t="s">
        <v>1685</v>
      </c>
      <c r="AS1597" s="1">
        <v>44354.015393518515</v>
      </c>
      <c r="AT1597" s="1">
        <v>44354.022777777776</v>
      </c>
      <c r="AU1597" s="1">
        <v>44354.023530092592</v>
      </c>
      <c r="AV1597" t="s">
        <v>269</v>
      </c>
      <c r="AW1597" t="s">
        <v>270</v>
      </c>
      <c r="AX1597" t="s">
        <v>73</v>
      </c>
    </row>
    <row r="1598" spans="1:50" x14ac:dyDescent="0.3">
      <c r="A1598" t="str">
        <f>"201856C0200"</f>
        <v>201856C0200</v>
      </c>
      <c r="B1598" t="str">
        <f>"201856C02002"</f>
        <v>201856C02002</v>
      </c>
      <c r="C1598" t="str">
        <f t="shared" si="77"/>
        <v>20</v>
      </c>
      <c r="D1598" t="s">
        <v>67</v>
      </c>
      <c r="E1598" t="str">
        <f t="shared" si="79"/>
        <v>007</v>
      </c>
      <c r="F1598" t="s">
        <v>1519</v>
      </c>
      <c r="G1598" t="str">
        <f>"1856"</f>
        <v>1856</v>
      </c>
      <c r="H1598" t="str">
        <f>"0002"</f>
        <v>0002</v>
      </c>
      <c r="I1598" t="s">
        <v>75</v>
      </c>
      <c r="J1598">
        <v>0</v>
      </c>
      <c r="K1598">
        <v>1</v>
      </c>
      <c r="L1598">
        <v>2</v>
      </c>
      <c r="M1598">
        <v>154</v>
      </c>
      <c r="N1598">
        <v>459</v>
      </c>
      <c r="O1598">
        <v>0</v>
      </c>
      <c r="P1598">
        <v>0</v>
      </c>
      <c r="Q1598">
        <v>3</v>
      </c>
      <c r="R1598">
        <v>11</v>
      </c>
      <c r="S1598">
        <v>107</v>
      </c>
      <c r="T1598">
        <v>44</v>
      </c>
      <c r="U1598">
        <v>1</v>
      </c>
      <c r="V1598">
        <v>2</v>
      </c>
      <c r="W1598">
        <v>1</v>
      </c>
      <c r="X1598">
        <v>113</v>
      </c>
      <c r="Y1598">
        <v>1</v>
      </c>
      <c r="Z1598">
        <v>0</v>
      </c>
      <c r="AA1598">
        <v>2</v>
      </c>
      <c r="AB1598">
        <v>2</v>
      </c>
      <c r="AC1598">
        <v>141</v>
      </c>
      <c r="AD1598">
        <v>1</v>
      </c>
      <c r="AE1598">
        <v>0</v>
      </c>
      <c r="AF1598">
        <v>0</v>
      </c>
      <c r="AG1598">
        <v>0</v>
      </c>
      <c r="AI1598">
        <v>0</v>
      </c>
      <c r="AJ1598">
        <v>30</v>
      </c>
      <c r="AK1598">
        <v>459</v>
      </c>
      <c r="AL1598">
        <v>459</v>
      </c>
      <c r="AM1598">
        <v>567</v>
      </c>
      <c r="AN1598">
        <v>46</v>
      </c>
      <c r="AP1598">
        <v>1</v>
      </c>
      <c r="AR1598" t="s">
        <v>1686</v>
      </c>
      <c r="AS1598" s="1">
        <v>44353.91002314815</v>
      </c>
      <c r="AT1598" s="1">
        <v>44353.911921296298</v>
      </c>
      <c r="AU1598" s="1">
        <v>44353.912893518522</v>
      </c>
      <c r="AV1598" t="s">
        <v>269</v>
      </c>
      <c r="AW1598" t="s">
        <v>270</v>
      </c>
      <c r="AX1598" t="s">
        <v>73</v>
      </c>
    </row>
    <row r="1599" spans="1:50" x14ac:dyDescent="0.3">
      <c r="A1599" t="str">
        <f>"201857B0000"</f>
        <v>201857B0000</v>
      </c>
      <c r="B1599" t="str">
        <f>"201857B00002"</f>
        <v>201857B00002</v>
      </c>
      <c r="C1599" t="str">
        <f t="shared" si="77"/>
        <v>20</v>
      </c>
      <c r="D1599" t="s">
        <v>67</v>
      </c>
      <c r="E1599" t="str">
        <f t="shared" si="79"/>
        <v>007</v>
      </c>
      <c r="F1599" t="s">
        <v>1519</v>
      </c>
      <c r="G1599" t="str">
        <f>"1857"</f>
        <v>1857</v>
      </c>
      <c r="H1599" t="str">
        <f>"0000"</f>
        <v>0000</v>
      </c>
      <c r="I1599" t="s">
        <v>69</v>
      </c>
      <c r="J1599">
        <v>0</v>
      </c>
      <c r="K1599">
        <v>1</v>
      </c>
      <c r="L1599">
        <v>2</v>
      </c>
      <c r="M1599">
        <v>168</v>
      </c>
      <c r="N1599">
        <v>306</v>
      </c>
      <c r="O1599">
        <v>1</v>
      </c>
      <c r="P1599">
        <v>306</v>
      </c>
      <c r="Q1599">
        <v>1</v>
      </c>
      <c r="R1599">
        <v>3</v>
      </c>
      <c r="S1599">
        <v>75</v>
      </c>
      <c r="T1599">
        <v>28</v>
      </c>
      <c r="U1599">
        <v>0</v>
      </c>
      <c r="V1599">
        <v>0</v>
      </c>
      <c r="W1599">
        <v>0</v>
      </c>
      <c r="X1599">
        <v>53</v>
      </c>
      <c r="Y1599">
        <v>0</v>
      </c>
      <c r="Z1599">
        <v>3</v>
      </c>
      <c r="AA1599">
        <v>2</v>
      </c>
      <c r="AB1599">
        <v>1</v>
      </c>
      <c r="AC1599">
        <v>112</v>
      </c>
      <c r="AD1599">
        <v>2</v>
      </c>
      <c r="AE1599">
        <v>0</v>
      </c>
      <c r="AF1599">
        <v>1</v>
      </c>
      <c r="AG1599">
        <v>1</v>
      </c>
      <c r="AI1599">
        <v>0</v>
      </c>
      <c r="AJ1599">
        <v>24</v>
      </c>
      <c r="AK1599">
        <v>306</v>
      </c>
      <c r="AL1599">
        <v>306</v>
      </c>
      <c r="AM1599">
        <v>428</v>
      </c>
      <c r="AN1599">
        <v>46</v>
      </c>
      <c r="AP1599">
        <v>1</v>
      </c>
      <c r="AR1599" t="s">
        <v>1687</v>
      </c>
      <c r="AS1599" s="1">
        <v>44354.224305555559</v>
      </c>
      <c r="AT1599" s="1">
        <v>44354.22760416667</v>
      </c>
      <c r="AU1599" s="1">
        <v>44354.228483796294</v>
      </c>
      <c r="AV1599" t="s">
        <v>71</v>
      </c>
      <c r="AW1599" t="s">
        <v>72</v>
      </c>
      <c r="AX1599" t="s">
        <v>73</v>
      </c>
    </row>
    <row r="1600" spans="1:50" x14ac:dyDescent="0.3">
      <c r="A1600" t="str">
        <f>"201857C0100"</f>
        <v>201857C0100</v>
      </c>
      <c r="B1600" t="str">
        <f>"201857C01002"</f>
        <v>201857C01002</v>
      </c>
      <c r="C1600" t="str">
        <f t="shared" si="77"/>
        <v>20</v>
      </c>
      <c r="D1600" t="s">
        <v>67</v>
      </c>
      <c r="E1600" t="str">
        <f t="shared" si="79"/>
        <v>007</v>
      </c>
      <c r="F1600" t="s">
        <v>1519</v>
      </c>
      <c r="G1600" t="str">
        <f>"1857"</f>
        <v>1857</v>
      </c>
      <c r="H1600" t="str">
        <f>"0001"</f>
        <v>0001</v>
      </c>
      <c r="I1600" t="s">
        <v>75</v>
      </c>
      <c r="J1600">
        <v>0</v>
      </c>
      <c r="K1600">
        <v>1</v>
      </c>
      <c r="L1600">
        <v>2</v>
      </c>
      <c r="M1600">
        <v>180</v>
      </c>
      <c r="N1600">
        <v>302</v>
      </c>
      <c r="O1600">
        <v>1</v>
      </c>
      <c r="P1600">
        <v>302</v>
      </c>
      <c r="Q1600">
        <v>0</v>
      </c>
      <c r="R1600">
        <v>5</v>
      </c>
      <c r="S1600">
        <v>65</v>
      </c>
      <c r="T1600">
        <v>28</v>
      </c>
      <c r="U1600">
        <v>0</v>
      </c>
      <c r="V1600">
        <v>0</v>
      </c>
      <c r="W1600">
        <v>3</v>
      </c>
      <c r="X1600">
        <v>44</v>
      </c>
      <c r="Y1600">
        <v>0</v>
      </c>
      <c r="Z1600">
        <v>2</v>
      </c>
      <c r="AA1600">
        <v>1</v>
      </c>
      <c r="AB1600">
        <v>0</v>
      </c>
      <c r="AC1600">
        <v>130</v>
      </c>
      <c r="AD1600">
        <v>1</v>
      </c>
      <c r="AE1600">
        <v>0</v>
      </c>
      <c r="AF1600">
        <v>0</v>
      </c>
      <c r="AG1600">
        <v>0</v>
      </c>
      <c r="AI1600">
        <v>0</v>
      </c>
      <c r="AJ1600">
        <v>23</v>
      </c>
      <c r="AK1600">
        <v>302</v>
      </c>
      <c r="AL1600">
        <v>302</v>
      </c>
      <c r="AM1600">
        <v>427</v>
      </c>
      <c r="AN1600">
        <v>46</v>
      </c>
      <c r="AP1600">
        <v>1</v>
      </c>
      <c r="AR1600" t="s">
        <v>1688</v>
      </c>
      <c r="AS1600" s="1">
        <v>44354.223611111112</v>
      </c>
      <c r="AT1600" s="1">
        <v>44354.226585648146</v>
      </c>
      <c r="AU1600" s="1">
        <v>44354.228182870371</v>
      </c>
      <c r="AV1600" t="s">
        <v>71</v>
      </c>
      <c r="AW1600" t="s">
        <v>72</v>
      </c>
      <c r="AX1600" t="s">
        <v>73</v>
      </c>
    </row>
    <row r="1601" spans="1:50" x14ac:dyDescent="0.3">
      <c r="A1601" t="str">
        <f>"201857E0100"</f>
        <v>201857E0100</v>
      </c>
      <c r="B1601" t="str">
        <f>"201857E01002"</f>
        <v>201857E01002</v>
      </c>
      <c r="C1601" t="str">
        <f t="shared" si="77"/>
        <v>20</v>
      </c>
      <c r="D1601" t="s">
        <v>67</v>
      </c>
      <c r="E1601" t="str">
        <f t="shared" si="79"/>
        <v>007</v>
      </c>
      <c r="F1601" t="s">
        <v>1519</v>
      </c>
      <c r="G1601" t="str">
        <f>"1857"</f>
        <v>1857</v>
      </c>
      <c r="H1601" t="str">
        <f>"0001"</f>
        <v>0001</v>
      </c>
      <c r="I1601" t="s">
        <v>109</v>
      </c>
      <c r="J1601">
        <v>0</v>
      </c>
      <c r="K1601">
        <v>1</v>
      </c>
      <c r="L1601">
        <v>2</v>
      </c>
      <c r="M1601">
        <v>72</v>
      </c>
      <c r="N1601">
        <v>80</v>
      </c>
      <c r="O1601">
        <v>3</v>
      </c>
      <c r="P1601">
        <v>80</v>
      </c>
      <c r="Q1601">
        <v>0</v>
      </c>
      <c r="R1601">
        <v>4</v>
      </c>
      <c r="S1601">
        <v>13</v>
      </c>
      <c r="T1601">
        <v>8</v>
      </c>
      <c r="U1601">
        <v>0</v>
      </c>
      <c r="V1601">
        <v>0</v>
      </c>
      <c r="W1601">
        <v>0</v>
      </c>
      <c r="X1601">
        <v>2</v>
      </c>
      <c r="Y1601">
        <v>0</v>
      </c>
      <c r="Z1601">
        <v>0</v>
      </c>
      <c r="AA1601">
        <v>0</v>
      </c>
      <c r="AB1601">
        <v>0</v>
      </c>
      <c r="AC1601">
        <v>34</v>
      </c>
      <c r="AD1601">
        <v>0</v>
      </c>
      <c r="AE1601">
        <v>0</v>
      </c>
      <c r="AF1601">
        <v>0</v>
      </c>
      <c r="AG1601">
        <v>0</v>
      </c>
      <c r="AI1601">
        <v>0</v>
      </c>
      <c r="AJ1601">
        <v>19</v>
      </c>
      <c r="AK1601">
        <v>80</v>
      </c>
      <c r="AL1601">
        <v>80</v>
      </c>
      <c r="AM1601">
        <v>106</v>
      </c>
      <c r="AN1601">
        <v>46</v>
      </c>
      <c r="AP1601">
        <v>1</v>
      </c>
      <c r="AR1601" t="s">
        <v>1689</v>
      </c>
      <c r="AS1601" s="1">
        <v>44354.001168981478</v>
      </c>
      <c r="AT1601" s="1">
        <v>44354.006585648145</v>
      </c>
      <c r="AU1601" s="1">
        <v>44354.007222222222</v>
      </c>
      <c r="AV1601" t="s">
        <v>269</v>
      </c>
      <c r="AW1601" t="s">
        <v>270</v>
      </c>
      <c r="AX1601" t="s">
        <v>73</v>
      </c>
    </row>
    <row r="1602" spans="1:50" x14ac:dyDescent="0.3">
      <c r="A1602" t="str">
        <f>"201858B0000"</f>
        <v>201858B0000</v>
      </c>
      <c r="B1602" t="str">
        <f>"201858B00002"</f>
        <v>201858B00002</v>
      </c>
      <c r="C1602" t="str">
        <f t="shared" si="77"/>
        <v>20</v>
      </c>
      <c r="D1602" t="s">
        <v>67</v>
      </c>
      <c r="E1602" t="str">
        <f t="shared" si="79"/>
        <v>007</v>
      </c>
      <c r="F1602" t="s">
        <v>1519</v>
      </c>
      <c r="G1602" t="str">
        <f>"1858"</f>
        <v>1858</v>
      </c>
      <c r="H1602" t="str">
        <f>"0000"</f>
        <v>0000</v>
      </c>
      <c r="I1602" t="s">
        <v>69</v>
      </c>
      <c r="J1602">
        <v>0</v>
      </c>
      <c r="K1602">
        <v>1</v>
      </c>
      <c r="L1602">
        <v>2</v>
      </c>
      <c r="M1602">
        <v>248</v>
      </c>
      <c r="N1602">
        <v>344</v>
      </c>
      <c r="O1602">
        <v>2</v>
      </c>
      <c r="P1602">
        <v>344</v>
      </c>
      <c r="Q1602">
        <v>3</v>
      </c>
      <c r="R1602">
        <v>7</v>
      </c>
      <c r="S1602">
        <v>82</v>
      </c>
      <c r="T1602">
        <v>84</v>
      </c>
      <c r="U1602">
        <v>84</v>
      </c>
      <c r="V1602">
        <v>0</v>
      </c>
      <c r="W1602">
        <v>4</v>
      </c>
      <c r="X1602">
        <v>51</v>
      </c>
      <c r="Y1602">
        <v>0</v>
      </c>
      <c r="Z1602">
        <v>2</v>
      </c>
      <c r="AA1602">
        <v>2</v>
      </c>
      <c r="AB1602">
        <v>3</v>
      </c>
      <c r="AC1602">
        <v>63</v>
      </c>
      <c r="AD1602">
        <v>6</v>
      </c>
      <c r="AE1602">
        <v>0</v>
      </c>
      <c r="AF1602">
        <v>0</v>
      </c>
      <c r="AG1602">
        <v>1</v>
      </c>
      <c r="AI1602">
        <v>0</v>
      </c>
      <c r="AJ1602">
        <v>35</v>
      </c>
      <c r="AK1602">
        <v>344</v>
      </c>
      <c r="AL1602">
        <v>427</v>
      </c>
      <c r="AM1602">
        <v>546</v>
      </c>
      <c r="AN1602">
        <v>46</v>
      </c>
      <c r="AP1602">
        <v>1</v>
      </c>
      <c r="AR1602" t="s">
        <v>1690</v>
      </c>
      <c r="AS1602" s="1">
        <v>44353.950162037036</v>
      </c>
      <c r="AT1602" s="1">
        <v>44353.955092592594</v>
      </c>
      <c r="AU1602" s="1">
        <v>44353.957129629627</v>
      </c>
      <c r="AV1602" t="s">
        <v>269</v>
      </c>
      <c r="AW1602" t="s">
        <v>270</v>
      </c>
      <c r="AX1602" t="s">
        <v>73</v>
      </c>
    </row>
    <row r="1603" spans="1:50" x14ac:dyDescent="0.3">
      <c r="A1603" t="str">
        <f>"201858C0100"</f>
        <v>201858C0100</v>
      </c>
      <c r="B1603" t="str">
        <f>"201858C01002"</f>
        <v>201858C01002</v>
      </c>
      <c r="C1603" t="str">
        <f t="shared" si="77"/>
        <v>20</v>
      </c>
      <c r="D1603" t="s">
        <v>67</v>
      </c>
      <c r="E1603" t="str">
        <f t="shared" si="79"/>
        <v>007</v>
      </c>
      <c r="F1603" t="s">
        <v>1519</v>
      </c>
      <c r="G1603" t="str">
        <f>"1858"</f>
        <v>1858</v>
      </c>
      <c r="H1603" t="str">
        <f>"0001"</f>
        <v>0001</v>
      </c>
      <c r="I1603" t="s">
        <v>75</v>
      </c>
      <c r="J1603">
        <v>0</v>
      </c>
      <c r="K1603">
        <v>1</v>
      </c>
      <c r="L1603">
        <v>2</v>
      </c>
      <c r="M1603">
        <v>234</v>
      </c>
      <c r="N1603">
        <v>356</v>
      </c>
      <c r="O1603">
        <v>1</v>
      </c>
      <c r="P1603">
        <v>356</v>
      </c>
      <c r="Q1603">
        <v>0</v>
      </c>
      <c r="R1603">
        <v>13</v>
      </c>
      <c r="S1603">
        <v>63</v>
      </c>
      <c r="T1603">
        <v>96</v>
      </c>
      <c r="U1603">
        <v>0</v>
      </c>
      <c r="V1603">
        <v>1</v>
      </c>
      <c r="W1603">
        <v>2</v>
      </c>
      <c r="X1603">
        <v>46</v>
      </c>
      <c r="Y1603">
        <v>1</v>
      </c>
      <c r="Z1603">
        <v>1</v>
      </c>
      <c r="AA1603">
        <v>0</v>
      </c>
      <c r="AB1603">
        <v>2</v>
      </c>
      <c r="AC1603">
        <v>82</v>
      </c>
      <c r="AD1603">
        <v>3</v>
      </c>
      <c r="AE1603">
        <v>0</v>
      </c>
      <c r="AF1603">
        <v>0</v>
      </c>
      <c r="AG1603">
        <v>0</v>
      </c>
      <c r="AI1603">
        <v>0</v>
      </c>
      <c r="AJ1603">
        <v>36</v>
      </c>
      <c r="AK1603">
        <v>356</v>
      </c>
      <c r="AL1603">
        <v>346</v>
      </c>
      <c r="AM1603">
        <v>545</v>
      </c>
      <c r="AN1603">
        <v>46</v>
      </c>
      <c r="AP1603">
        <v>1</v>
      </c>
      <c r="AR1603" t="s">
        <v>1691</v>
      </c>
      <c r="AS1603" s="1">
        <v>44353.971099537041</v>
      </c>
      <c r="AT1603" s="1">
        <v>44353.974317129629</v>
      </c>
      <c r="AU1603" s="1">
        <v>44353.975057870368</v>
      </c>
      <c r="AV1603" t="s">
        <v>269</v>
      </c>
      <c r="AW1603" t="s">
        <v>270</v>
      </c>
      <c r="AX1603" t="s">
        <v>73</v>
      </c>
    </row>
    <row r="1604" spans="1:50" x14ac:dyDescent="0.3">
      <c r="A1604" t="str">
        <f>"201940B0000"</f>
        <v>201940B0000</v>
      </c>
      <c r="B1604" t="str">
        <f>"201940B00002"</f>
        <v>201940B00002</v>
      </c>
      <c r="C1604" t="str">
        <f t="shared" si="77"/>
        <v>20</v>
      </c>
      <c r="D1604" t="s">
        <v>67</v>
      </c>
      <c r="E1604" t="str">
        <f t="shared" si="79"/>
        <v>007</v>
      </c>
      <c r="F1604" t="s">
        <v>1519</v>
      </c>
      <c r="G1604" t="str">
        <f>"1940"</f>
        <v>1940</v>
      </c>
      <c r="H1604" t="str">
        <f>"0000"</f>
        <v>0000</v>
      </c>
      <c r="I1604" t="s">
        <v>69</v>
      </c>
      <c r="J1604">
        <v>0</v>
      </c>
      <c r="K1604">
        <v>1</v>
      </c>
      <c r="L1604">
        <v>2</v>
      </c>
      <c r="M1604">
        <v>211</v>
      </c>
      <c r="N1604">
        <v>396</v>
      </c>
      <c r="O1604">
        <v>1</v>
      </c>
      <c r="P1604">
        <v>396</v>
      </c>
      <c r="Q1604">
        <v>1</v>
      </c>
      <c r="R1604">
        <v>91</v>
      </c>
      <c r="S1604">
        <v>3</v>
      </c>
      <c r="T1604">
        <v>3</v>
      </c>
      <c r="U1604">
        <v>21</v>
      </c>
      <c r="V1604">
        <v>1</v>
      </c>
      <c r="W1604">
        <v>0</v>
      </c>
      <c r="X1604">
        <v>162</v>
      </c>
      <c r="Y1604">
        <v>0</v>
      </c>
      <c r="Z1604">
        <v>2</v>
      </c>
      <c r="AA1604">
        <v>7</v>
      </c>
      <c r="AB1604">
        <v>2</v>
      </c>
      <c r="AC1604">
        <v>74</v>
      </c>
      <c r="AD1604">
        <v>3</v>
      </c>
      <c r="AE1604">
        <v>0</v>
      </c>
      <c r="AF1604">
        <v>0</v>
      </c>
      <c r="AG1604">
        <v>0</v>
      </c>
      <c r="AI1604">
        <v>0</v>
      </c>
      <c r="AJ1604">
        <v>26</v>
      </c>
      <c r="AK1604">
        <v>396</v>
      </c>
      <c r="AL1604">
        <v>396</v>
      </c>
      <c r="AM1604">
        <v>561</v>
      </c>
      <c r="AN1604">
        <v>46</v>
      </c>
      <c r="AP1604">
        <v>1</v>
      </c>
      <c r="AR1604" t="s">
        <v>1692</v>
      </c>
      <c r="AS1604" s="1">
        <v>44354.381944444445</v>
      </c>
      <c r="AT1604" s="1">
        <v>44354.384305555555</v>
      </c>
      <c r="AU1604" s="1">
        <v>44354.384699074071</v>
      </c>
      <c r="AV1604" t="s">
        <v>71</v>
      </c>
      <c r="AW1604" t="s">
        <v>72</v>
      </c>
      <c r="AX1604" t="s">
        <v>73</v>
      </c>
    </row>
    <row r="1605" spans="1:50" x14ac:dyDescent="0.3">
      <c r="A1605" t="str">
        <f>"201940C0100"</f>
        <v>201940C0100</v>
      </c>
      <c r="B1605" t="str">
        <f>"201940C01002"</f>
        <v>201940C01002</v>
      </c>
      <c r="C1605" t="str">
        <f t="shared" si="77"/>
        <v>20</v>
      </c>
      <c r="D1605" t="s">
        <v>67</v>
      </c>
      <c r="E1605" t="str">
        <f t="shared" si="79"/>
        <v>007</v>
      </c>
      <c r="F1605" t="s">
        <v>1519</v>
      </c>
      <c r="G1605" t="str">
        <f>"1940"</f>
        <v>1940</v>
      </c>
      <c r="H1605" t="str">
        <f>"0001"</f>
        <v>0001</v>
      </c>
      <c r="I1605" t="s">
        <v>75</v>
      </c>
      <c r="J1605">
        <v>0</v>
      </c>
      <c r="K1605">
        <v>1</v>
      </c>
      <c r="L1605">
        <v>2</v>
      </c>
      <c r="M1605">
        <v>217</v>
      </c>
      <c r="N1605">
        <v>390</v>
      </c>
      <c r="O1605">
        <v>0</v>
      </c>
      <c r="P1605">
        <v>390</v>
      </c>
      <c r="Q1605">
        <v>1</v>
      </c>
      <c r="R1605">
        <v>129</v>
      </c>
      <c r="S1605">
        <v>12</v>
      </c>
      <c r="T1605">
        <v>5</v>
      </c>
      <c r="U1605">
        <v>11</v>
      </c>
      <c r="V1605">
        <v>2</v>
      </c>
      <c r="W1605">
        <v>2</v>
      </c>
      <c r="X1605">
        <v>147</v>
      </c>
      <c r="Y1605">
        <v>0</v>
      </c>
      <c r="Z1605">
        <v>2</v>
      </c>
      <c r="AA1605">
        <v>5</v>
      </c>
      <c r="AB1605">
        <v>1</v>
      </c>
      <c r="AC1605">
        <v>39</v>
      </c>
      <c r="AD1605">
        <v>1</v>
      </c>
      <c r="AE1605">
        <v>0</v>
      </c>
      <c r="AF1605">
        <v>0</v>
      </c>
      <c r="AG1605">
        <v>1</v>
      </c>
      <c r="AI1605">
        <v>0</v>
      </c>
      <c r="AJ1605">
        <v>32</v>
      </c>
      <c r="AK1605">
        <v>390</v>
      </c>
      <c r="AL1605">
        <v>390</v>
      </c>
      <c r="AM1605">
        <v>561</v>
      </c>
      <c r="AN1605">
        <v>46</v>
      </c>
      <c r="AP1605">
        <v>1</v>
      </c>
      <c r="AR1605" t="s">
        <v>1693</v>
      </c>
      <c r="AS1605" s="1">
        <v>44354.384027777778</v>
      </c>
      <c r="AT1605" s="1">
        <v>44354.387199074074</v>
      </c>
      <c r="AU1605" s="1">
        <v>44354.387743055559</v>
      </c>
      <c r="AV1605" t="s">
        <v>71</v>
      </c>
      <c r="AW1605" t="s">
        <v>72</v>
      </c>
      <c r="AX1605" t="s">
        <v>73</v>
      </c>
    </row>
    <row r="1606" spans="1:50" x14ac:dyDescent="0.3">
      <c r="A1606" t="str">
        <f>"201940C0200"</f>
        <v>201940C0200</v>
      </c>
      <c r="B1606" t="str">
        <f>"201940C02002"</f>
        <v>201940C02002</v>
      </c>
      <c r="C1606" t="str">
        <f t="shared" si="77"/>
        <v>20</v>
      </c>
      <c r="D1606" t="s">
        <v>67</v>
      </c>
      <c r="E1606" t="str">
        <f t="shared" si="79"/>
        <v>007</v>
      </c>
      <c r="F1606" t="s">
        <v>1519</v>
      </c>
      <c r="G1606" t="str">
        <f>"1940"</f>
        <v>1940</v>
      </c>
      <c r="H1606" t="str">
        <f>"0002"</f>
        <v>0002</v>
      </c>
      <c r="I1606" t="s">
        <v>75</v>
      </c>
      <c r="J1606">
        <v>0</v>
      </c>
      <c r="K1606">
        <v>1</v>
      </c>
      <c r="L1606">
        <v>2</v>
      </c>
      <c r="M1606">
        <v>240</v>
      </c>
      <c r="N1606">
        <v>366</v>
      </c>
      <c r="O1606">
        <v>2</v>
      </c>
      <c r="P1606">
        <v>366</v>
      </c>
      <c r="Q1606">
        <v>2</v>
      </c>
      <c r="R1606">
        <v>100</v>
      </c>
      <c r="S1606">
        <v>4</v>
      </c>
      <c r="T1606">
        <v>2</v>
      </c>
      <c r="U1606">
        <v>14</v>
      </c>
      <c r="V1606">
        <v>1</v>
      </c>
      <c r="W1606">
        <v>5</v>
      </c>
      <c r="X1606">
        <v>147</v>
      </c>
      <c r="Y1606">
        <v>0</v>
      </c>
      <c r="Z1606">
        <v>0</v>
      </c>
      <c r="AA1606">
        <v>5</v>
      </c>
      <c r="AB1606">
        <v>1</v>
      </c>
      <c r="AC1606">
        <v>70</v>
      </c>
      <c r="AD1606">
        <v>2</v>
      </c>
      <c r="AE1606">
        <v>0</v>
      </c>
      <c r="AF1606">
        <v>1</v>
      </c>
      <c r="AG1606">
        <v>0</v>
      </c>
      <c r="AI1606">
        <v>0</v>
      </c>
      <c r="AJ1606">
        <v>12</v>
      </c>
      <c r="AK1606">
        <v>366</v>
      </c>
      <c r="AL1606">
        <v>366</v>
      </c>
      <c r="AM1606">
        <v>560</v>
      </c>
      <c r="AN1606">
        <v>46</v>
      </c>
      <c r="AP1606">
        <v>1</v>
      </c>
      <c r="AR1606" t="s">
        <v>1694</v>
      </c>
      <c r="AS1606" s="1">
        <v>44354.370833333334</v>
      </c>
      <c r="AT1606" s="1">
        <v>44354.413310185184</v>
      </c>
      <c r="AU1606" s="1">
        <v>44354.458009259259</v>
      </c>
      <c r="AV1606" t="s">
        <v>71</v>
      </c>
      <c r="AW1606" t="s">
        <v>72</v>
      </c>
      <c r="AX1606" t="s">
        <v>73</v>
      </c>
    </row>
    <row r="1607" spans="1:50" x14ac:dyDescent="0.3">
      <c r="A1607" t="str">
        <f>"201941B0000"</f>
        <v>201941B0000</v>
      </c>
      <c r="B1607" t="str">
        <f>"201941B00002"</f>
        <v>201941B00002</v>
      </c>
      <c r="C1607" t="str">
        <f t="shared" ref="C1607:C1670" si="81">"20"</f>
        <v>20</v>
      </c>
      <c r="D1607" t="s">
        <v>67</v>
      </c>
      <c r="E1607" t="str">
        <f t="shared" si="79"/>
        <v>007</v>
      </c>
      <c r="F1607" t="s">
        <v>1519</v>
      </c>
      <c r="G1607" t="str">
        <f>"1941"</f>
        <v>1941</v>
      </c>
      <c r="H1607" t="str">
        <f>"0000"</f>
        <v>0000</v>
      </c>
      <c r="I1607" t="s">
        <v>69</v>
      </c>
      <c r="J1607">
        <v>0</v>
      </c>
      <c r="K1607">
        <v>1</v>
      </c>
      <c r="L1607">
        <v>2</v>
      </c>
      <c r="M1607">
        <v>234</v>
      </c>
      <c r="N1607">
        <v>386</v>
      </c>
      <c r="O1607">
        <v>2</v>
      </c>
      <c r="P1607">
        <v>386</v>
      </c>
      <c r="Q1607">
        <v>4</v>
      </c>
      <c r="R1607">
        <v>121</v>
      </c>
      <c r="S1607">
        <v>7</v>
      </c>
      <c r="T1607">
        <v>3</v>
      </c>
      <c r="U1607">
        <v>14</v>
      </c>
      <c r="V1607">
        <v>3</v>
      </c>
      <c r="W1607">
        <v>3</v>
      </c>
      <c r="X1607">
        <v>134</v>
      </c>
      <c r="Y1607">
        <v>0</v>
      </c>
      <c r="Z1607">
        <v>1</v>
      </c>
      <c r="AA1607">
        <v>3</v>
      </c>
      <c r="AB1607">
        <v>2</v>
      </c>
      <c r="AC1607">
        <v>72</v>
      </c>
      <c r="AD1607">
        <v>4</v>
      </c>
      <c r="AE1607">
        <v>1</v>
      </c>
      <c r="AF1607">
        <v>0</v>
      </c>
      <c r="AG1607">
        <v>0</v>
      </c>
      <c r="AI1607">
        <v>0</v>
      </c>
      <c r="AJ1607">
        <v>14</v>
      </c>
      <c r="AK1607">
        <v>386</v>
      </c>
      <c r="AL1607">
        <v>386</v>
      </c>
      <c r="AM1607">
        <v>574</v>
      </c>
      <c r="AN1607">
        <v>46</v>
      </c>
      <c r="AP1607">
        <v>1</v>
      </c>
      <c r="AR1607" t="s">
        <v>1695</v>
      </c>
      <c r="AS1607" s="1">
        <v>44354.379166666666</v>
      </c>
      <c r="AT1607" s="1">
        <v>44354.382453703707</v>
      </c>
      <c r="AU1607" s="1">
        <v>44354.382928240739</v>
      </c>
      <c r="AV1607" t="s">
        <v>71</v>
      </c>
      <c r="AW1607" t="s">
        <v>72</v>
      </c>
      <c r="AX1607" t="s">
        <v>73</v>
      </c>
    </row>
    <row r="1608" spans="1:50" x14ac:dyDescent="0.3">
      <c r="A1608" t="str">
        <f>"201941C0100"</f>
        <v>201941C0100</v>
      </c>
      <c r="B1608" t="str">
        <f>"201941C01002"</f>
        <v>201941C01002</v>
      </c>
      <c r="C1608" t="str">
        <f t="shared" si="81"/>
        <v>20</v>
      </c>
      <c r="D1608" t="s">
        <v>67</v>
      </c>
      <c r="E1608" t="str">
        <f t="shared" si="79"/>
        <v>007</v>
      </c>
      <c r="F1608" t="s">
        <v>1519</v>
      </c>
      <c r="G1608" t="str">
        <f>"1941"</f>
        <v>1941</v>
      </c>
      <c r="H1608" t="str">
        <f>"0001"</f>
        <v>0001</v>
      </c>
      <c r="I1608" t="s">
        <v>75</v>
      </c>
      <c r="J1608">
        <v>0</v>
      </c>
      <c r="K1608">
        <v>1</v>
      </c>
      <c r="L1608">
        <v>2</v>
      </c>
      <c r="M1608">
        <v>264</v>
      </c>
      <c r="N1608">
        <v>354</v>
      </c>
      <c r="O1608">
        <v>0</v>
      </c>
      <c r="P1608">
        <v>354</v>
      </c>
      <c r="Q1608">
        <v>2</v>
      </c>
      <c r="R1608">
        <v>131</v>
      </c>
      <c r="S1608">
        <v>9</v>
      </c>
      <c r="T1608">
        <v>2</v>
      </c>
      <c r="U1608">
        <v>11</v>
      </c>
      <c r="V1608">
        <v>1</v>
      </c>
      <c r="W1608">
        <v>0</v>
      </c>
      <c r="X1608">
        <v>113</v>
      </c>
      <c r="Y1608">
        <v>0</v>
      </c>
      <c r="Z1608">
        <v>4</v>
      </c>
      <c r="AA1608">
        <v>3</v>
      </c>
      <c r="AB1608">
        <v>5</v>
      </c>
      <c r="AC1608">
        <v>56</v>
      </c>
      <c r="AD1608">
        <v>1</v>
      </c>
      <c r="AE1608">
        <v>0</v>
      </c>
      <c r="AF1608">
        <v>0</v>
      </c>
      <c r="AG1608">
        <v>1</v>
      </c>
      <c r="AI1608">
        <v>0</v>
      </c>
      <c r="AJ1608">
        <v>15</v>
      </c>
      <c r="AK1608">
        <v>354</v>
      </c>
      <c r="AL1608">
        <v>354</v>
      </c>
      <c r="AM1608">
        <v>573</v>
      </c>
      <c r="AN1608">
        <v>46</v>
      </c>
      <c r="AP1608">
        <v>1</v>
      </c>
      <c r="AR1608" t="s">
        <v>1696</v>
      </c>
      <c r="AS1608" s="1">
        <v>44354.380555555559</v>
      </c>
      <c r="AT1608" s="1">
        <v>44354.383067129631</v>
      </c>
      <c r="AU1608" s="1">
        <v>44354.383564814816</v>
      </c>
      <c r="AV1608" t="s">
        <v>71</v>
      </c>
      <c r="AW1608" t="s">
        <v>72</v>
      </c>
      <c r="AX1608" t="s">
        <v>73</v>
      </c>
    </row>
    <row r="1609" spans="1:50" x14ac:dyDescent="0.3">
      <c r="A1609" t="str">
        <f>"201941C0200"</f>
        <v>201941C0200</v>
      </c>
      <c r="B1609" t="str">
        <f>"201941C02002"</f>
        <v>201941C02002</v>
      </c>
      <c r="C1609" t="str">
        <f t="shared" si="81"/>
        <v>20</v>
      </c>
      <c r="D1609" t="s">
        <v>67</v>
      </c>
      <c r="E1609" t="str">
        <f t="shared" si="79"/>
        <v>007</v>
      </c>
      <c r="F1609" t="s">
        <v>1519</v>
      </c>
      <c r="G1609" t="str">
        <f>"1941"</f>
        <v>1941</v>
      </c>
      <c r="H1609" t="str">
        <f>"0002"</f>
        <v>0002</v>
      </c>
      <c r="I1609" t="s">
        <v>75</v>
      </c>
      <c r="J1609">
        <v>0</v>
      </c>
      <c r="K1609">
        <v>1</v>
      </c>
      <c r="L1609">
        <v>2</v>
      </c>
      <c r="M1609">
        <v>245</v>
      </c>
      <c r="N1609">
        <v>374</v>
      </c>
      <c r="O1609">
        <v>0</v>
      </c>
      <c r="P1609">
        <v>374</v>
      </c>
      <c r="Q1609">
        <v>2</v>
      </c>
      <c r="R1609">
        <v>131</v>
      </c>
      <c r="S1609">
        <v>5</v>
      </c>
      <c r="T1609">
        <v>1</v>
      </c>
      <c r="U1609">
        <v>7</v>
      </c>
      <c r="V1609">
        <v>2</v>
      </c>
      <c r="W1609">
        <v>1</v>
      </c>
      <c r="X1609">
        <v>134</v>
      </c>
      <c r="Y1609">
        <v>1</v>
      </c>
      <c r="Z1609">
        <v>2</v>
      </c>
      <c r="AA1609">
        <v>3</v>
      </c>
      <c r="AB1609">
        <v>1</v>
      </c>
      <c r="AC1609">
        <v>61</v>
      </c>
      <c r="AD1609">
        <v>3</v>
      </c>
      <c r="AE1609">
        <v>0</v>
      </c>
      <c r="AF1609">
        <v>0</v>
      </c>
      <c r="AG1609">
        <v>2</v>
      </c>
      <c r="AI1609">
        <v>0</v>
      </c>
      <c r="AJ1609">
        <v>18</v>
      </c>
      <c r="AK1609">
        <v>374</v>
      </c>
      <c r="AL1609">
        <v>374</v>
      </c>
      <c r="AM1609">
        <v>573</v>
      </c>
      <c r="AN1609">
        <v>46</v>
      </c>
      <c r="AP1609">
        <v>1</v>
      </c>
      <c r="AR1609" t="s">
        <v>1697</v>
      </c>
      <c r="AS1609" s="1">
        <v>44354.383333333331</v>
      </c>
      <c r="AT1609" s="1">
        <v>44354.38652777778</v>
      </c>
      <c r="AU1609" s="1">
        <v>44354.387685185182</v>
      </c>
      <c r="AV1609" t="s">
        <v>71</v>
      </c>
      <c r="AW1609" t="s">
        <v>72</v>
      </c>
      <c r="AX1609" t="s">
        <v>73</v>
      </c>
    </row>
    <row r="1610" spans="1:50" x14ac:dyDescent="0.3">
      <c r="A1610" t="str">
        <f>"201942B0000"</f>
        <v>201942B0000</v>
      </c>
      <c r="B1610" t="str">
        <f>"201942B00002"</f>
        <v>201942B00002</v>
      </c>
      <c r="C1610" t="str">
        <f t="shared" si="81"/>
        <v>20</v>
      </c>
      <c r="D1610" t="s">
        <v>67</v>
      </c>
      <c r="E1610" t="str">
        <f t="shared" si="79"/>
        <v>007</v>
      </c>
      <c r="F1610" t="s">
        <v>1519</v>
      </c>
      <c r="G1610" t="str">
        <f>"1942"</f>
        <v>1942</v>
      </c>
      <c r="H1610" t="str">
        <f>"0000"</f>
        <v>0000</v>
      </c>
      <c r="I1610" t="s">
        <v>69</v>
      </c>
      <c r="J1610">
        <v>0</v>
      </c>
      <c r="K1610">
        <v>1</v>
      </c>
      <c r="L1610">
        <v>2</v>
      </c>
      <c r="M1610">
        <v>272</v>
      </c>
      <c r="N1610">
        <v>424</v>
      </c>
      <c r="O1610">
        <v>0</v>
      </c>
      <c r="P1610" t="s">
        <v>80</v>
      </c>
      <c r="Q1610">
        <v>1</v>
      </c>
      <c r="R1610">
        <v>145</v>
      </c>
      <c r="S1610">
        <v>6</v>
      </c>
      <c r="T1610">
        <v>0</v>
      </c>
      <c r="U1610">
        <v>10</v>
      </c>
      <c r="V1610">
        <v>0</v>
      </c>
      <c r="W1610">
        <v>1</v>
      </c>
      <c r="X1610">
        <v>141</v>
      </c>
      <c r="Y1610">
        <v>1</v>
      </c>
      <c r="Z1610">
        <v>1</v>
      </c>
      <c r="AA1610">
        <v>7</v>
      </c>
      <c r="AB1610">
        <v>0</v>
      </c>
      <c r="AC1610">
        <v>79</v>
      </c>
      <c r="AD1610">
        <v>1</v>
      </c>
      <c r="AE1610">
        <v>0</v>
      </c>
      <c r="AF1610">
        <v>0</v>
      </c>
      <c r="AG1610">
        <v>0</v>
      </c>
      <c r="AI1610">
        <v>0</v>
      </c>
      <c r="AJ1610">
        <v>31</v>
      </c>
      <c r="AK1610">
        <v>424</v>
      </c>
      <c r="AL1610">
        <v>424</v>
      </c>
      <c r="AM1610">
        <v>650</v>
      </c>
      <c r="AN1610">
        <v>46</v>
      </c>
      <c r="AP1610">
        <v>1</v>
      </c>
      <c r="AR1610" t="s">
        <v>1698</v>
      </c>
      <c r="AS1610" s="1">
        <v>44354.371527777781</v>
      </c>
      <c r="AT1610" s="1">
        <v>44354.37572916667</v>
      </c>
      <c r="AU1610" s="1">
        <v>44354.376284722224</v>
      </c>
      <c r="AV1610" t="s">
        <v>71</v>
      </c>
      <c r="AW1610" t="s">
        <v>72</v>
      </c>
      <c r="AX1610" t="s">
        <v>73</v>
      </c>
    </row>
    <row r="1611" spans="1:50" x14ac:dyDescent="0.3">
      <c r="A1611" t="str">
        <f>"201942C0100"</f>
        <v>201942C0100</v>
      </c>
      <c r="B1611" t="str">
        <f>"201942C01002"</f>
        <v>201942C01002</v>
      </c>
      <c r="C1611" t="str">
        <f t="shared" si="81"/>
        <v>20</v>
      </c>
      <c r="D1611" t="s">
        <v>67</v>
      </c>
      <c r="E1611" t="str">
        <f t="shared" si="79"/>
        <v>007</v>
      </c>
      <c r="F1611" t="s">
        <v>1519</v>
      </c>
      <c r="G1611" t="str">
        <f>"1942"</f>
        <v>1942</v>
      </c>
      <c r="H1611" t="str">
        <f>"0001"</f>
        <v>0001</v>
      </c>
      <c r="I1611" t="s">
        <v>75</v>
      </c>
      <c r="J1611">
        <v>0</v>
      </c>
      <c r="K1611">
        <v>1</v>
      </c>
      <c r="L1611">
        <v>2</v>
      </c>
      <c r="M1611">
        <v>279</v>
      </c>
      <c r="N1611">
        <v>416</v>
      </c>
      <c r="O1611">
        <v>2</v>
      </c>
      <c r="P1611">
        <v>416</v>
      </c>
      <c r="Q1611">
        <v>1</v>
      </c>
      <c r="R1611">
        <v>142</v>
      </c>
      <c r="S1611">
        <v>8</v>
      </c>
      <c r="T1611">
        <v>2</v>
      </c>
      <c r="U1611">
        <v>14</v>
      </c>
      <c r="V1611">
        <v>0</v>
      </c>
      <c r="W1611">
        <v>1</v>
      </c>
      <c r="X1611">
        <v>132</v>
      </c>
      <c r="Y1611">
        <v>0</v>
      </c>
      <c r="Z1611">
        <v>0</v>
      </c>
      <c r="AA1611">
        <v>5</v>
      </c>
      <c r="AB1611">
        <v>0</v>
      </c>
      <c r="AC1611">
        <v>80</v>
      </c>
      <c r="AD1611">
        <v>6</v>
      </c>
      <c r="AE1611">
        <v>0</v>
      </c>
      <c r="AF1611">
        <v>0</v>
      </c>
      <c r="AG1611">
        <v>2</v>
      </c>
      <c r="AI1611">
        <v>0</v>
      </c>
      <c r="AJ1611">
        <v>23</v>
      </c>
      <c r="AK1611">
        <v>416</v>
      </c>
      <c r="AL1611">
        <v>416</v>
      </c>
      <c r="AM1611">
        <v>649</v>
      </c>
      <c r="AN1611">
        <v>46</v>
      </c>
      <c r="AP1611">
        <v>1</v>
      </c>
      <c r="AR1611" t="s">
        <v>1699</v>
      </c>
      <c r="AS1611" s="1">
        <v>44354.37777777778</v>
      </c>
      <c r="AT1611" s="1">
        <v>44354.379421296297</v>
      </c>
      <c r="AU1611" s="1">
        <v>44354.380254629628</v>
      </c>
      <c r="AV1611" t="s">
        <v>71</v>
      </c>
      <c r="AW1611" t="s">
        <v>72</v>
      </c>
      <c r="AX1611" t="s">
        <v>347</v>
      </c>
    </row>
    <row r="1612" spans="1:50" x14ac:dyDescent="0.3">
      <c r="A1612" t="str">
        <f>"201942C0200"</f>
        <v>201942C0200</v>
      </c>
      <c r="B1612" t="str">
        <f>"201942C02002"</f>
        <v>201942C02002</v>
      </c>
      <c r="C1612" t="str">
        <f t="shared" si="81"/>
        <v>20</v>
      </c>
      <c r="D1612" t="s">
        <v>67</v>
      </c>
      <c r="E1612" t="str">
        <f t="shared" si="79"/>
        <v>007</v>
      </c>
      <c r="F1612" t="s">
        <v>1519</v>
      </c>
      <c r="G1612" t="str">
        <f>"1942"</f>
        <v>1942</v>
      </c>
      <c r="H1612" t="str">
        <f>"0002"</f>
        <v>0002</v>
      </c>
      <c r="I1612" t="s">
        <v>75</v>
      </c>
      <c r="J1612">
        <v>0</v>
      </c>
      <c r="K1612">
        <v>1</v>
      </c>
      <c r="L1612">
        <v>2</v>
      </c>
      <c r="M1612">
        <v>290</v>
      </c>
      <c r="N1612">
        <v>405</v>
      </c>
      <c r="O1612">
        <v>1</v>
      </c>
      <c r="P1612">
        <v>405</v>
      </c>
      <c r="Q1612">
        <v>1</v>
      </c>
      <c r="R1612">
        <v>130</v>
      </c>
      <c r="S1612">
        <v>6</v>
      </c>
      <c r="T1612">
        <v>0</v>
      </c>
      <c r="U1612">
        <v>13</v>
      </c>
      <c r="V1612">
        <v>1</v>
      </c>
      <c r="W1612">
        <v>3</v>
      </c>
      <c r="X1612">
        <v>138</v>
      </c>
      <c r="Y1612">
        <v>1</v>
      </c>
      <c r="Z1612">
        <v>3</v>
      </c>
      <c r="AA1612">
        <v>2</v>
      </c>
      <c r="AB1612">
        <v>0</v>
      </c>
      <c r="AC1612">
        <v>80</v>
      </c>
      <c r="AD1612">
        <v>4</v>
      </c>
      <c r="AE1612">
        <v>0</v>
      </c>
      <c r="AF1612">
        <v>0</v>
      </c>
      <c r="AG1612">
        <v>1</v>
      </c>
      <c r="AI1612">
        <v>0</v>
      </c>
      <c r="AJ1612">
        <v>22</v>
      </c>
      <c r="AK1612">
        <v>405</v>
      </c>
      <c r="AL1612">
        <v>405</v>
      </c>
      <c r="AM1612">
        <v>649</v>
      </c>
      <c r="AN1612">
        <v>46</v>
      </c>
      <c r="AP1612">
        <v>1</v>
      </c>
      <c r="AR1612" t="s">
        <v>1700</v>
      </c>
      <c r="AS1612" s="1">
        <v>44354.383333333331</v>
      </c>
      <c r="AT1612" s="1">
        <v>44354.386874999997</v>
      </c>
      <c r="AU1612" s="1">
        <v>44354.387743055559</v>
      </c>
      <c r="AV1612" t="s">
        <v>71</v>
      </c>
      <c r="AW1612" t="s">
        <v>72</v>
      </c>
      <c r="AX1612" t="s">
        <v>73</v>
      </c>
    </row>
    <row r="1613" spans="1:50" x14ac:dyDescent="0.3">
      <c r="A1613" t="str">
        <f>"201943B0000"</f>
        <v>201943B0000</v>
      </c>
      <c r="B1613" t="str">
        <f>"201943B00002"</f>
        <v>201943B00002</v>
      </c>
      <c r="C1613" t="str">
        <f t="shared" si="81"/>
        <v>20</v>
      </c>
      <c r="D1613" t="s">
        <v>67</v>
      </c>
      <c r="E1613" t="str">
        <f t="shared" si="79"/>
        <v>007</v>
      </c>
      <c r="F1613" t="s">
        <v>1519</v>
      </c>
      <c r="G1613" t="str">
        <f>"1943"</f>
        <v>1943</v>
      </c>
      <c r="H1613" t="str">
        <f>"0000"</f>
        <v>0000</v>
      </c>
      <c r="I1613" t="s">
        <v>69</v>
      </c>
      <c r="J1613">
        <v>0</v>
      </c>
      <c r="K1613">
        <v>1</v>
      </c>
      <c r="L1613">
        <v>2</v>
      </c>
      <c r="M1613">
        <v>241</v>
      </c>
      <c r="N1613">
        <v>434</v>
      </c>
      <c r="O1613">
        <v>6</v>
      </c>
      <c r="P1613">
        <v>434</v>
      </c>
      <c r="Q1613">
        <v>3</v>
      </c>
      <c r="R1613">
        <v>185</v>
      </c>
      <c r="S1613">
        <v>20</v>
      </c>
      <c r="T1613">
        <v>0</v>
      </c>
      <c r="U1613">
        <v>22</v>
      </c>
      <c r="V1613">
        <v>1</v>
      </c>
      <c r="W1613">
        <v>1</v>
      </c>
      <c r="X1613">
        <v>166</v>
      </c>
      <c r="Y1613">
        <v>1</v>
      </c>
      <c r="Z1613">
        <v>2</v>
      </c>
      <c r="AA1613">
        <v>0</v>
      </c>
      <c r="AB1613">
        <v>1</v>
      </c>
      <c r="AC1613">
        <v>20</v>
      </c>
      <c r="AD1613">
        <v>3</v>
      </c>
      <c r="AE1613">
        <v>0</v>
      </c>
      <c r="AF1613">
        <v>0</v>
      </c>
      <c r="AG1613">
        <v>0</v>
      </c>
      <c r="AI1613">
        <v>0</v>
      </c>
      <c r="AJ1613">
        <v>9</v>
      </c>
      <c r="AK1613">
        <v>434</v>
      </c>
      <c r="AL1613">
        <v>434</v>
      </c>
      <c r="AM1613">
        <v>629</v>
      </c>
      <c r="AN1613">
        <v>46</v>
      </c>
      <c r="AP1613">
        <v>1</v>
      </c>
      <c r="AR1613" t="s">
        <v>1701</v>
      </c>
      <c r="AS1613" s="1">
        <v>44354.382638888892</v>
      </c>
      <c r="AT1613" s="1">
        <v>44354.386562500003</v>
      </c>
      <c r="AU1613" s="1">
        <v>44354.387060185189</v>
      </c>
      <c r="AV1613" t="s">
        <v>71</v>
      </c>
      <c r="AW1613" t="s">
        <v>72</v>
      </c>
      <c r="AX1613" t="s">
        <v>73</v>
      </c>
    </row>
    <row r="1614" spans="1:50" x14ac:dyDescent="0.3">
      <c r="A1614" t="str">
        <f>"201943E0100"</f>
        <v>201943E0100</v>
      </c>
      <c r="B1614" t="str">
        <f>"201943E01002"</f>
        <v>201943E01002</v>
      </c>
      <c r="C1614" t="str">
        <f t="shared" si="81"/>
        <v>20</v>
      </c>
      <c r="D1614" t="s">
        <v>67</v>
      </c>
      <c r="E1614" t="str">
        <f t="shared" si="79"/>
        <v>007</v>
      </c>
      <c r="F1614" t="s">
        <v>1519</v>
      </c>
      <c r="G1614" t="str">
        <f>"1943"</f>
        <v>1943</v>
      </c>
      <c r="H1614" t="str">
        <f>"0001"</f>
        <v>0001</v>
      </c>
      <c r="I1614" t="s">
        <v>109</v>
      </c>
      <c r="J1614">
        <v>0</v>
      </c>
      <c r="K1614">
        <v>1</v>
      </c>
      <c r="L1614">
        <v>2</v>
      </c>
      <c r="M1614">
        <v>264</v>
      </c>
      <c r="N1614">
        <v>376</v>
      </c>
      <c r="O1614">
        <v>0</v>
      </c>
      <c r="P1614">
        <v>376</v>
      </c>
      <c r="Q1614">
        <v>1</v>
      </c>
      <c r="R1614">
        <v>56</v>
      </c>
      <c r="S1614">
        <v>11</v>
      </c>
      <c r="T1614">
        <v>1</v>
      </c>
      <c r="U1614">
        <v>11</v>
      </c>
      <c r="V1614">
        <v>4</v>
      </c>
      <c r="W1614">
        <v>12</v>
      </c>
      <c r="X1614">
        <v>166</v>
      </c>
      <c r="Y1614">
        <v>0</v>
      </c>
      <c r="Z1614">
        <v>4</v>
      </c>
      <c r="AA1614">
        <v>4</v>
      </c>
      <c r="AB1614">
        <v>1</v>
      </c>
      <c r="AC1614">
        <v>0</v>
      </c>
      <c r="AD1614">
        <v>0</v>
      </c>
      <c r="AE1614">
        <v>0</v>
      </c>
      <c r="AF1614">
        <v>0</v>
      </c>
      <c r="AG1614">
        <v>1</v>
      </c>
      <c r="AI1614">
        <v>0</v>
      </c>
      <c r="AJ1614">
        <v>7</v>
      </c>
      <c r="AK1614">
        <v>376</v>
      </c>
      <c r="AL1614">
        <v>279</v>
      </c>
      <c r="AM1614">
        <v>594</v>
      </c>
      <c r="AN1614">
        <v>46</v>
      </c>
      <c r="AP1614">
        <v>1</v>
      </c>
      <c r="AR1614" t="s">
        <v>1702</v>
      </c>
      <c r="AS1614" s="1">
        <v>44354.37777777778</v>
      </c>
      <c r="AT1614" s="1">
        <v>44354.380474537036</v>
      </c>
      <c r="AU1614" s="1">
        <v>44354.381111111114</v>
      </c>
      <c r="AV1614" t="s">
        <v>71</v>
      </c>
      <c r="AW1614" t="s">
        <v>72</v>
      </c>
      <c r="AX1614" t="s">
        <v>73</v>
      </c>
    </row>
    <row r="1615" spans="1:50" x14ac:dyDescent="0.3">
      <c r="A1615" t="str">
        <f>"201944B0000"</f>
        <v>201944B0000</v>
      </c>
      <c r="B1615" t="str">
        <f>"201944B00002"</f>
        <v>201944B00002</v>
      </c>
      <c r="C1615" t="str">
        <f t="shared" si="81"/>
        <v>20</v>
      </c>
      <c r="D1615" t="s">
        <v>67</v>
      </c>
      <c r="E1615" t="str">
        <f t="shared" si="79"/>
        <v>007</v>
      </c>
      <c r="F1615" t="s">
        <v>1519</v>
      </c>
      <c r="G1615" t="str">
        <f>"1944"</f>
        <v>1944</v>
      </c>
      <c r="H1615" t="str">
        <f>"0000"</f>
        <v>0000</v>
      </c>
      <c r="I1615" t="s">
        <v>69</v>
      </c>
      <c r="J1615">
        <v>0</v>
      </c>
      <c r="K1615">
        <v>1</v>
      </c>
      <c r="L1615">
        <v>2</v>
      </c>
      <c r="M1615">
        <v>248</v>
      </c>
      <c r="N1615">
        <v>372</v>
      </c>
      <c r="O1615">
        <v>1</v>
      </c>
      <c r="P1615">
        <v>372</v>
      </c>
      <c r="Q1615">
        <v>0</v>
      </c>
      <c r="R1615">
        <v>72</v>
      </c>
      <c r="S1615">
        <v>7</v>
      </c>
      <c r="T1615">
        <v>1</v>
      </c>
      <c r="U1615">
        <v>13</v>
      </c>
      <c r="V1615">
        <v>1</v>
      </c>
      <c r="W1615">
        <v>1</v>
      </c>
      <c r="X1615">
        <v>127</v>
      </c>
      <c r="Y1615">
        <v>0</v>
      </c>
      <c r="Z1615">
        <v>5</v>
      </c>
      <c r="AA1615">
        <v>3</v>
      </c>
      <c r="AB1615">
        <v>0</v>
      </c>
      <c r="AC1615">
        <v>119</v>
      </c>
      <c r="AD1615">
        <v>2</v>
      </c>
      <c r="AE1615">
        <v>0</v>
      </c>
      <c r="AF1615">
        <v>1</v>
      </c>
      <c r="AG1615">
        <v>0</v>
      </c>
      <c r="AI1615">
        <v>0</v>
      </c>
      <c r="AJ1615">
        <v>20</v>
      </c>
      <c r="AK1615">
        <v>372</v>
      </c>
      <c r="AL1615">
        <v>372</v>
      </c>
      <c r="AM1615">
        <v>575</v>
      </c>
      <c r="AN1615">
        <v>46</v>
      </c>
      <c r="AP1615">
        <v>1</v>
      </c>
      <c r="AR1615" t="s">
        <v>1703</v>
      </c>
      <c r="AS1615" s="1">
        <v>44354.381249999999</v>
      </c>
      <c r="AT1615" s="1">
        <v>44354.384143518517</v>
      </c>
      <c r="AU1615" s="1">
        <v>44354.384745370371</v>
      </c>
      <c r="AV1615" t="s">
        <v>71</v>
      </c>
      <c r="AW1615" t="s">
        <v>72</v>
      </c>
      <c r="AX1615" t="s">
        <v>73</v>
      </c>
    </row>
    <row r="1616" spans="1:50" x14ac:dyDescent="0.3">
      <c r="A1616" t="str">
        <f>"201944C0100"</f>
        <v>201944C0100</v>
      </c>
      <c r="B1616" t="str">
        <f>"201944C01002"</f>
        <v>201944C01002</v>
      </c>
      <c r="C1616" t="str">
        <f t="shared" si="81"/>
        <v>20</v>
      </c>
      <c r="D1616" t="s">
        <v>67</v>
      </c>
      <c r="E1616" t="str">
        <f t="shared" si="79"/>
        <v>007</v>
      </c>
      <c r="F1616" t="s">
        <v>1519</v>
      </c>
      <c r="G1616" t="str">
        <f>"1944"</f>
        <v>1944</v>
      </c>
      <c r="H1616" t="str">
        <f>"0001"</f>
        <v>0001</v>
      </c>
      <c r="I1616" t="s">
        <v>75</v>
      </c>
      <c r="J1616">
        <v>0</v>
      </c>
      <c r="K1616">
        <v>1</v>
      </c>
      <c r="L1616">
        <v>2</v>
      </c>
      <c r="M1616">
        <v>262</v>
      </c>
      <c r="N1616">
        <v>363</v>
      </c>
      <c r="O1616">
        <v>5</v>
      </c>
      <c r="P1616">
        <v>358</v>
      </c>
      <c r="Q1616">
        <v>1</v>
      </c>
      <c r="R1616">
        <v>82</v>
      </c>
      <c r="S1616">
        <v>3</v>
      </c>
      <c r="T1616">
        <v>5</v>
      </c>
      <c r="U1616">
        <v>8</v>
      </c>
      <c r="V1616">
        <v>1</v>
      </c>
      <c r="W1616">
        <v>2</v>
      </c>
      <c r="X1616">
        <v>125</v>
      </c>
      <c r="Y1616">
        <v>0</v>
      </c>
      <c r="Z1616">
        <v>4</v>
      </c>
      <c r="AA1616">
        <v>4</v>
      </c>
      <c r="AB1616">
        <v>0</v>
      </c>
      <c r="AC1616">
        <v>101</v>
      </c>
      <c r="AD1616" t="s">
        <v>77</v>
      </c>
      <c r="AE1616" t="s">
        <v>77</v>
      </c>
      <c r="AF1616" t="s">
        <v>77</v>
      </c>
      <c r="AG1616" t="s">
        <v>77</v>
      </c>
      <c r="AI1616" t="s">
        <v>77</v>
      </c>
      <c r="AJ1616">
        <v>22</v>
      </c>
      <c r="AK1616">
        <v>358</v>
      </c>
      <c r="AL1616">
        <v>358</v>
      </c>
      <c r="AM1616">
        <v>574</v>
      </c>
      <c r="AN1616">
        <v>46</v>
      </c>
      <c r="AO1616" t="s">
        <v>78</v>
      </c>
      <c r="AP1616">
        <v>1</v>
      </c>
      <c r="AR1616" t="s">
        <v>1704</v>
      </c>
      <c r="AS1616" s="1">
        <v>44354.378472222219</v>
      </c>
      <c r="AT1616" s="1">
        <v>44354.380844907406</v>
      </c>
      <c r="AU1616" s="1">
        <v>44354.381215277775</v>
      </c>
      <c r="AV1616" t="s">
        <v>71</v>
      </c>
      <c r="AW1616" t="s">
        <v>72</v>
      </c>
      <c r="AX1616" t="s">
        <v>73</v>
      </c>
    </row>
    <row r="1617" spans="1:50" x14ac:dyDescent="0.3">
      <c r="A1617" t="str">
        <f>"201945B0000"</f>
        <v>201945B0000</v>
      </c>
      <c r="B1617" t="str">
        <f>"201945B00002"</f>
        <v>201945B00002</v>
      </c>
      <c r="C1617" t="str">
        <f t="shared" si="81"/>
        <v>20</v>
      </c>
      <c r="D1617" t="s">
        <v>67</v>
      </c>
      <c r="E1617" t="str">
        <f t="shared" si="79"/>
        <v>007</v>
      </c>
      <c r="F1617" t="s">
        <v>1519</v>
      </c>
      <c r="G1617" t="str">
        <f>"1945"</f>
        <v>1945</v>
      </c>
      <c r="H1617" t="str">
        <f>"0000"</f>
        <v>0000</v>
      </c>
      <c r="I1617" t="s">
        <v>69</v>
      </c>
      <c r="J1617">
        <v>0</v>
      </c>
      <c r="K1617">
        <v>1</v>
      </c>
      <c r="L1617">
        <v>2</v>
      </c>
      <c r="M1617">
        <v>342</v>
      </c>
      <c r="N1617">
        <v>432</v>
      </c>
      <c r="O1617">
        <v>3</v>
      </c>
      <c r="P1617">
        <v>432</v>
      </c>
      <c r="Q1617">
        <v>3</v>
      </c>
      <c r="R1617">
        <v>41</v>
      </c>
      <c r="S1617" t="s">
        <v>99</v>
      </c>
      <c r="T1617">
        <v>2</v>
      </c>
      <c r="U1617">
        <v>7</v>
      </c>
      <c r="V1617">
        <v>3</v>
      </c>
      <c r="W1617">
        <v>2</v>
      </c>
      <c r="X1617">
        <v>262</v>
      </c>
      <c r="Y1617">
        <v>1</v>
      </c>
      <c r="Z1617">
        <v>5</v>
      </c>
      <c r="AA1617">
        <v>6</v>
      </c>
      <c r="AB1617">
        <v>4</v>
      </c>
      <c r="AC1617">
        <v>64</v>
      </c>
      <c r="AD1617">
        <v>2</v>
      </c>
      <c r="AE1617">
        <v>0</v>
      </c>
      <c r="AF1617">
        <v>0</v>
      </c>
      <c r="AG1617">
        <v>2</v>
      </c>
      <c r="AI1617">
        <v>0</v>
      </c>
      <c r="AJ1617">
        <v>20</v>
      </c>
      <c r="AK1617">
        <v>432</v>
      </c>
      <c r="AL1617">
        <v>424</v>
      </c>
      <c r="AM1617">
        <v>728</v>
      </c>
      <c r="AN1617">
        <v>46</v>
      </c>
      <c r="AO1617" t="s">
        <v>78</v>
      </c>
      <c r="AP1617">
        <v>1</v>
      </c>
      <c r="AR1617" t="s">
        <v>1705</v>
      </c>
      <c r="AS1617" s="1">
        <v>44354.382638888892</v>
      </c>
      <c r="AT1617" s="1">
        <v>44354.385405092595</v>
      </c>
      <c r="AU1617" s="1">
        <v>44354.386296296296</v>
      </c>
      <c r="AV1617" t="s">
        <v>71</v>
      </c>
      <c r="AW1617" t="s">
        <v>72</v>
      </c>
      <c r="AX1617" t="s">
        <v>73</v>
      </c>
    </row>
    <row r="1618" spans="1:50" x14ac:dyDescent="0.3">
      <c r="A1618" t="str">
        <f>"201946B0000"</f>
        <v>201946B0000</v>
      </c>
      <c r="B1618" t="str">
        <f>"201946B00002"</f>
        <v>201946B00002</v>
      </c>
      <c r="C1618" t="str">
        <f t="shared" si="81"/>
        <v>20</v>
      </c>
      <c r="D1618" t="s">
        <v>67</v>
      </c>
      <c r="E1618" t="str">
        <f t="shared" si="79"/>
        <v>007</v>
      </c>
      <c r="F1618" t="s">
        <v>1519</v>
      </c>
      <c r="G1618" t="str">
        <f>"1946"</f>
        <v>1946</v>
      </c>
      <c r="H1618" t="str">
        <f>"0000"</f>
        <v>0000</v>
      </c>
      <c r="I1618" t="s">
        <v>69</v>
      </c>
      <c r="J1618">
        <v>0</v>
      </c>
      <c r="K1618">
        <v>1</v>
      </c>
      <c r="L1618">
        <v>2</v>
      </c>
      <c r="M1618">
        <v>325</v>
      </c>
      <c r="N1618">
        <v>379</v>
      </c>
      <c r="O1618">
        <v>0</v>
      </c>
      <c r="P1618" t="s">
        <v>80</v>
      </c>
      <c r="Q1618" t="s">
        <v>77</v>
      </c>
      <c r="R1618">
        <v>81</v>
      </c>
      <c r="S1618">
        <v>6</v>
      </c>
      <c r="T1618">
        <v>3</v>
      </c>
      <c r="U1618">
        <v>19</v>
      </c>
      <c r="V1618">
        <v>1</v>
      </c>
      <c r="W1618">
        <v>3</v>
      </c>
      <c r="X1618">
        <v>159</v>
      </c>
      <c r="Y1618">
        <v>1</v>
      </c>
      <c r="Z1618">
        <v>6</v>
      </c>
      <c r="AA1618">
        <v>6</v>
      </c>
      <c r="AB1618">
        <v>3</v>
      </c>
      <c r="AC1618">
        <v>69</v>
      </c>
      <c r="AD1618" t="s">
        <v>77</v>
      </c>
      <c r="AE1618" t="s">
        <v>77</v>
      </c>
      <c r="AF1618" t="s">
        <v>77</v>
      </c>
      <c r="AG1618" t="s">
        <v>77</v>
      </c>
      <c r="AI1618" t="s">
        <v>77</v>
      </c>
      <c r="AJ1618">
        <v>22</v>
      </c>
      <c r="AK1618" t="s">
        <v>77</v>
      </c>
      <c r="AL1618">
        <v>379</v>
      </c>
      <c r="AM1618">
        <v>658</v>
      </c>
      <c r="AN1618">
        <v>46</v>
      </c>
      <c r="AO1618" t="s">
        <v>78</v>
      </c>
      <c r="AP1618">
        <v>1</v>
      </c>
      <c r="AR1618" t="s">
        <v>1706</v>
      </c>
      <c r="AS1618" s="1">
        <v>44354.373611111114</v>
      </c>
      <c r="AT1618" s="1">
        <v>44354.376111111109</v>
      </c>
      <c r="AU1618" s="1">
        <v>44354.37703703704</v>
      </c>
      <c r="AV1618" t="s">
        <v>71</v>
      </c>
      <c r="AW1618" t="s">
        <v>72</v>
      </c>
      <c r="AX1618" t="s">
        <v>73</v>
      </c>
    </row>
    <row r="1619" spans="1:50" x14ac:dyDescent="0.3">
      <c r="A1619" t="str">
        <f>"201946C0100"</f>
        <v>201946C0100</v>
      </c>
      <c r="B1619" t="str">
        <f>"201946C01002"</f>
        <v>201946C01002</v>
      </c>
      <c r="C1619" t="str">
        <f t="shared" si="81"/>
        <v>20</v>
      </c>
      <c r="D1619" t="s">
        <v>67</v>
      </c>
      <c r="E1619" t="str">
        <f t="shared" si="79"/>
        <v>007</v>
      </c>
      <c r="F1619" t="s">
        <v>1519</v>
      </c>
      <c r="G1619" t="str">
        <f>"1946"</f>
        <v>1946</v>
      </c>
      <c r="H1619" t="str">
        <f>"0001"</f>
        <v>0001</v>
      </c>
      <c r="I1619" t="s">
        <v>75</v>
      </c>
      <c r="J1619">
        <v>0</v>
      </c>
      <c r="K1619">
        <v>1</v>
      </c>
      <c r="L1619">
        <v>2</v>
      </c>
      <c r="M1619" t="s">
        <v>80</v>
      </c>
      <c r="N1619" t="s">
        <v>80</v>
      </c>
      <c r="O1619" t="s">
        <v>80</v>
      </c>
      <c r="P1619" t="s">
        <v>80</v>
      </c>
      <c r="Q1619">
        <v>1</v>
      </c>
      <c r="R1619">
        <v>79</v>
      </c>
      <c r="S1619">
        <v>7</v>
      </c>
      <c r="T1619">
        <v>1</v>
      </c>
      <c r="U1619">
        <v>20</v>
      </c>
      <c r="V1619">
        <v>2</v>
      </c>
      <c r="W1619">
        <v>3</v>
      </c>
      <c r="X1619">
        <v>202</v>
      </c>
      <c r="Y1619">
        <v>1</v>
      </c>
      <c r="Z1619">
        <v>3</v>
      </c>
      <c r="AA1619">
        <v>1</v>
      </c>
      <c r="AB1619">
        <v>1</v>
      </c>
      <c r="AC1619">
        <v>70</v>
      </c>
      <c r="AD1619">
        <v>0</v>
      </c>
      <c r="AE1619">
        <v>0</v>
      </c>
      <c r="AF1619">
        <v>0</v>
      </c>
      <c r="AG1619">
        <v>0</v>
      </c>
      <c r="AI1619">
        <v>0</v>
      </c>
      <c r="AJ1619">
        <v>6</v>
      </c>
      <c r="AK1619">
        <v>398</v>
      </c>
      <c r="AL1619">
        <v>397</v>
      </c>
      <c r="AM1619">
        <v>657</v>
      </c>
      <c r="AN1619">
        <v>46</v>
      </c>
      <c r="AP1619">
        <v>1</v>
      </c>
      <c r="AR1619" t="s">
        <v>1707</v>
      </c>
      <c r="AS1619" s="1">
        <v>44354.379861111112</v>
      </c>
      <c r="AT1619" s="1">
        <v>44354.383657407408</v>
      </c>
      <c r="AU1619" s="1">
        <v>44354.384502314817</v>
      </c>
      <c r="AV1619" t="s">
        <v>71</v>
      </c>
      <c r="AW1619" t="s">
        <v>72</v>
      </c>
      <c r="AX1619" t="s">
        <v>73</v>
      </c>
    </row>
    <row r="1620" spans="1:50" x14ac:dyDescent="0.3">
      <c r="A1620" t="str">
        <f>"201947B0000"</f>
        <v>201947B0000</v>
      </c>
      <c r="B1620" t="str">
        <f>"201947B00002"</f>
        <v>201947B00002</v>
      </c>
      <c r="C1620" t="str">
        <f t="shared" si="81"/>
        <v>20</v>
      </c>
      <c r="D1620" t="s">
        <v>67</v>
      </c>
      <c r="E1620" t="str">
        <f t="shared" si="79"/>
        <v>007</v>
      </c>
      <c r="F1620" t="s">
        <v>1519</v>
      </c>
      <c r="G1620" t="str">
        <f>"1947"</f>
        <v>1947</v>
      </c>
      <c r="H1620" t="str">
        <f>"0000"</f>
        <v>0000</v>
      </c>
      <c r="I1620" t="s">
        <v>69</v>
      </c>
      <c r="J1620">
        <v>0</v>
      </c>
      <c r="K1620">
        <v>1</v>
      </c>
      <c r="L1620">
        <v>2</v>
      </c>
      <c r="M1620">
        <v>417</v>
      </c>
      <c r="N1620">
        <v>209</v>
      </c>
      <c r="O1620">
        <v>0</v>
      </c>
      <c r="P1620">
        <v>209</v>
      </c>
      <c r="Q1620">
        <v>5</v>
      </c>
      <c r="R1620">
        <v>25</v>
      </c>
      <c r="S1620">
        <v>13</v>
      </c>
      <c r="T1620">
        <v>1</v>
      </c>
      <c r="U1620">
        <v>2</v>
      </c>
      <c r="V1620">
        <v>6</v>
      </c>
      <c r="W1620">
        <v>12</v>
      </c>
      <c r="X1620">
        <v>75</v>
      </c>
      <c r="Y1620">
        <v>1</v>
      </c>
      <c r="Z1620">
        <v>4</v>
      </c>
      <c r="AA1620">
        <v>5</v>
      </c>
      <c r="AB1620">
        <v>2</v>
      </c>
      <c r="AC1620">
        <v>39</v>
      </c>
      <c r="AD1620">
        <v>2</v>
      </c>
      <c r="AE1620">
        <v>0</v>
      </c>
      <c r="AF1620">
        <v>0</v>
      </c>
      <c r="AG1620">
        <v>0</v>
      </c>
      <c r="AI1620">
        <v>0</v>
      </c>
      <c r="AJ1620">
        <v>17</v>
      </c>
      <c r="AK1620">
        <v>209</v>
      </c>
      <c r="AL1620">
        <v>209</v>
      </c>
      <c r="AM1620">
        <v>580</v>
      </c>
      <c r="AN1620">
        <v>46</v>
      </c>
      <c r="AP1620">
        <v>1</v>
      </c>
      <c r="AR1620" t="s">
        <v>1708</v>
      </c>
      <c r="AS1620" s="1">
        <v>44354.384722222225</v>
      </c>
      <c r="AT1620" s="1">
        <v>44354.388240740744</v>
      </c>
      <c r="AU1620" s="1">
        <v>44354.388773148145</v>
      </c>
      <c r="AV1620" t="s">
        <v>71</v>
      </c>
      <c r="AW1620" t="s">
        <v>72</v>
      </c>
      <c r="AX1620" t="s">
        <v>73</v>
      </c>
    </row>
    <row r="1621" spans="1:50" x14ac:dyDescent="0.3">
      <c r="A1621" t="str">
        <f>"201947C0100"</f>
        <v>201947C0100</v>
      </c>
      <c r="B1621" t="str">
        <f>"201947C01002"</f>
        <v>201947C01002</v>
      </c>
      <c r="C1621" t="str">
        <f t="shared" si="81"/>
        <v>20</v>
      </c>
      <c r="D1621" t="s">
        <v>67</v>
      </c>
      <c r="E1621" t="str">
        <f t="shared" si="79"/>
        <v>007</v>
      </c>
      <c r="F1621" t="s">
        <v>1519</v>
      </c>
      <c r="G1621" t="str">
        <f>"1947"</f>
        <v>1947</v>
      </c>
      <c r="H1621" t="str">
        <f>"0001"</f>
        <v>0001</v>
      </c>
      <c r="I1621" t="s">
        <v>75</v>
      </c>
      <c r="J1621">
        <v>0</v>
      </c>
      <c r="K1621">
        <v>1</v>
      </c>
      <c r="L1621">
        <v>2</v>
      </c>
      <c r="M1621">
        <v>426</v>
      </c>
      <c r="N1621">
        <v>200</v>
      </c>
      <c r="O1621">
        <v>0</v>
      </c>
      <c r="P1621">
        <v>200</v>
      </c>
      <c r="Q1621">
        <v>5</v>
      </c>
      <c r="R1621">
        <v>25</v>
      </c>
      <c r="S1621">
        <v>7</v>
      </c>
      <c r="T1621">
        <v>7</v>
      </c>
      <c r="U1621">
        <v>2</v>
      </c>
      <c r="V1621">
        <v>3</v>
      </c>
      <c r="W1621">
        <v>16</v>
      </c>
      <c r="X1621">
        <v>85</v>
      </c>
      <c r="Y1621">
        <v>3</v>
      </c>
      <c r="Z1621">
        <v>1</v>
      </c>
      <c r="AA1621">
        <v>6</v>
      </c>
      <c r="AB1621">
        <v>0</v>
      </c>
      <c r="AC1621">
        <v>27</v>
      </c>
      <c r="AD1621">
        <v>0</v>
      </c>
      <c r="AE1621">
        <v>0</v>
      </c>
      <c r="AF1621">
        <v>1</v>
      </c>
      <c r="AG1621">
        <v>0</v>
      </c>
      <c r="AI1621">
        <v>1</v>
      </c>
      <c r="AJ1621">
        <v>11</v>
      </c>
      <c r="AK1621">
        <v>200</v>
      </c>
      <c r="AL1621">
        <v>200</v>
      </c>
      <c r="AM1621">
        <v>580</v>
      </c>
      <c r="AN1621">
        <v>46</v>
      </c>
      <c r="AP1621">
        <v>1</v>
      </c>
      <c r="AR1621" t="s">
        <v>1709</v>
      </c>
      <c r="AS1621" s="1">
        <v>44354.37222222222</v>
      </c>
      <c r="AT1621" s="1">
        <v>44354.374606481484</v>
      </c>
      <c r="AU1621" s="1">
        <v>44354.375196759262</v>
      </c>
      <c r="AV1621" t="s">
        <v>71</v>
      </c>
      <c r="AW1621" t="s">
        <v>72</v>
      </c>
      <c r="AX1621" t="s">
        <v>73</v>
      </c>
    </row>
    <row r="1622" spans="1:50" x14ac:dyDescent="0.3">
      <c r="A1622" t="str">
        <f>"201948B0000"</f>
        <v>201948B0000</v>
      </c>
      <c r="B1622" t="str">
        <f>"201948B00002"</f>
        <v>201948B00002</v>
      </c>
      <c r="C1622" t="str">
        <f t="shared" si="81"/>
        <v>20</v>
      </c>
      <c r="D1622" t="s">
        <v>67</v>
      </c>
      <c r="E1622" t="str">
        <f t="shared" si="79"/>
        <v>007</v>
      </c>
      <c r="F1622" t="s">
        <v>1519</v>
      </c>
      <c r="G1622" t="str">
        <f>"1948"</f>
        <v>1948</v>
      </c>
      <c r="H1622" t="str">
        <f>"0000"</f>
        <v>0000</v>
      </c>
      <c r="I1622" t="s">
        <v>69</v>
      </c>
      <c r="J1622">
        <v>0</v>
      </c>
      <c r="K1622">
        <v>1</v>
      </c>
      <c r="L1622">
        <v>2</v>
      </c>
      <c r="M1622">
        <v>187</v>
      </c>
      <c r="N1622">
        <v>334</v>
      </c>
      <c r="O1622">
        <v>0</v>
      </c>
      <c r="P1622" t="s">
        <v>80</v>
      </c>
      <c r="Q1622">
        <v>0</v>
      </c>
      <c r="R1622">
        <v>90</v>
      </c>
      <c r="S1622">
        <v>6</v>
      </c>
      <c r="T1622">
        <v>2</v>
      </c>
      <c r="U1622">
        <v>1</v>
      </c>
      <c r="V1622">
        <v>2</v>
      </c>
      <c r="W1622">
        <v>1</v>
      </c>
      <c r="X1622">
        <v>149</v>
      </c>
      <c r="Y1622">
        <v>1</v>
      </c>
      <c r="Z1622">
        <v>1</v>
      </c>
      <c r="AA1622">
        <v>1</v>
      </c>
      <c r="AB1622">
        <v>0</v>
      </c>
      <c r="AC1622">
        <v>62</v>
      </c>
      <c r="AD1622">
        <v>0</v>
      </c>
      <c r="AE1622">
        <v>0</v>
      </c>
      <c r="AF1622">
        <v>0</v>
      </c>
      <c r="AG1622">
        <v>0</v>
      </c>
      <c r="AI1622">
        <v>0</v>
      </c>
      <c r="AJ1622">
        <v>18</v>
      </c>
      <c r="AK1622">
        <v>334</v>
      </c>
      <c r="AL1622">
        <v>334</v>
      </c>
      <c r="AM1622">
        <v>475</v>
      </c>
      <c r="AN1622">
        <v>46</v>
      </c>
      <c r="AP1622">
        <v>1</v>
      </c>
      <c r="AR1622" t="s">
        <v>1710</v>
      </c>
      <c r="AS1622" s="1">
        <v>44354.413888888892</v>
      </c>
      <c r="AT1622" s="1">
        <v>44354.418287037035</v>
      </c>
      <c r="AU1622" s="1">
        <v>44354.418946759259</v>
      </c>
      <c r="AV1622" t="s">
        <v>71</v>
      </c>
      <c r="AW1622" t="s">
        <v>72</v>
      </c>
      <c r="AX1622" t="s">
        <v>73</v>
      </c>
    </row>
    <row r="1623" spans="1:50" x14ac:dyDescent="0.3">
      <c r="A1623" t="str">
        <f>"201948E0100"</f>
        <v>201948E0100</v>
      </c>
      <c r="B1623" t="str">
        <f>"201948E01002"</f>
        <v>201948E01002</v>
      </c>
      <c r="C1623" t="str">
        <f t="shared" si="81"/>
        <v>20</v>
      </c>
      <c r="D1623" t="s">
        <v>67</v>
      </c>
      <c r="E1623" t="str">
        <f t="shared" si="79"/>
        <v>007</v>
      </c>
      <c r="F1623" t="s">
        <v>1519</v>
      </c>
      <c r="G1623" t="str">
        <f>"1948"</f>
        <v>1948</v>
      </c>
      <c r="H1623" t="str">
        <f>"0001"</f>
        <v>0001</v>
      </c>
      <c r="I1623" t="s">
        <v>109</v>
      </c>
      <c r="J1623">
        <v>0</v>
      </c>
      <c r="K1623">
        <v>1</v>
      </c>
      <c r="L1623">
        <v>2</v>
      </c>
      <c r="M1623">
        <v>119</v>
      </c>
      <c r="N1623">
        <v>137</v>
      </c>
      <c r="O1623">
        <v>0</v>
      </c>
      <c r="P1623">
        <v>137</v>
      </c>
      <c r="Q1623">
        <v>0</v>
      </c>
      <c r="R1623">
        <v>74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14</v>
      </c>
      <c r="Y1623">
        <v>0</v>
      </c>
      <c r="Z1623">
        <v>1</v>
      </c>
      <c r="AA1623">
        <v>0</v>
      </c>
      <c r="AB1623">
        <v>0</v>
      </c>
      <c r="AC1623">
        <v>33</v>
      </c>
      <c r="AD1623">
        <v>6</v>
      </c>
      <c r="AE1623">
        <v>0</v>
      </c>
      <c r="AF1623">
        <v>0</v>
      </c>
      <c r="AG1623">
        <v>0</v>
      </c>
      <c r="AI1623">
        <v>0</v>
      </c>
      <c r="AJ1623">
        <v>8</v>
      </c>
      <c r="AK1623">
        <v>137</v>
      </c>
      <c r="AL1623">
        <v>137</v>
      </c>
      <c r="AM1623">
        <v>210</v>
      </c>
      <c r="AN1623">
        <v>46</v>
      </c>
      <c r="AP1623">
        <v>1</v>
      </c>
      <c r="AR1623" t="s">
        <v>1711</v>
      </c>
      <c r="AS1623" s="1">
        <v>44354.381944444445</v>
      </c>
      <c r="AT1623" s="1">
        <v>44354.384525462963</v>
      </c>
      <c r="AU1623" s="1">
        <v>44354.385497685187</v>
      </c>
      <c r="AV1623" t="s">
        <v>71</v>
      </c>
      <c r="AW1623" t="s">
        <v>72</v>
      </c>
      <c r="AX1623" t="s">
        <v>73</v>
      </c>
    </row>
    <row r="1624" spans="1:50" x14ac:dyDescent="0.3">
      <c r="A1624" t="str">
        <f>"201949B0000"</f>
        <v>201949B0000</v>
      </c>
      <c r="B1624" t="str">
        <f>"201949B00002"</f>
        <v>201949B00002</v>
      </c>
      <c r="C1624" t="str">
        <f t="shared" si="81"/>
        <v>20</v>
      </c>
      <c r="D1624" t="s">
        <v>67</v>
      </c>
      <c r="E1624" t="str">
        <f t="shared" ref="E1624:E1670" si="82">"007"</f>
        <v>007</v>
      </c>
      <c r="F1624" t="s">
        <v>1519</v>
      </c>
      <c r="G1624" t="str">
        <f>"1949"</f>
        <v>1949</v>
      </c>
      <c r="H1624" t="str">
        <f>"0000"</f>
        <v>0000</v>
      </c>
      <c r="I1624" t="s">
        <v>69</v>
      </c>
      <c r="J1624">
        <v>0</v>
      </c>
      <c r="K1624">
        <v>1</v>
      </c>
      <c r="L1624">
        <v>2</v>
      </c>
      <c r="M1624">
        <v>325</v>
      </c>
      <c r="N1624">
        <v>389</v>
      </c>
      <c r="O1624">
        <v>2</v>
      </c>
      <c r="P1624">
        <v>389</v>
      </c>
      <c r="Q1624">
        <v>1</v>
      </c>
      <c r="R1624">
        <v>214</v>
      </c>
      <c r="S1624">
        <v>5</v>
      </c>
      <c r="T1624">
        <v>1</v>
      </c>
      <c r="U1624">
        <v>31</v>
      </c>
      <c r="V1624">
        <v>3</v>
      </c>
      <c r="W1624">
        <v>3</v>
      </c>
      <c r="X1624">
        <v>56</v>
      </c>
      <c r="Y1624">
        <v>0</v>
      </c>
      <c r="Z1624">
        <v>3</v>
      </c>
      <c r="AA1624">
        <v>1</v>
      </c>
      <c r="AB1624">
        <v>2</v>
      </c>
      <c r="AC1624">
        <v>51</v>
      </c>
      <c r="AD1624">
        <v>2</v>
      </c>
      <c r="AE1624">
        <v>1</v>
      </c>
      <c r="AF1624">
        <v>0</v>
      </c>
      <c r="AG1624">
        <v>0</v>
      </c>
      <c r="AI1624">
        <v>0</v>
      </c>
      <c r="AJ1624">
        <v>15</v>
      </c>
      <c r="AK1624">
        <v>389</v>
      </c>
      <c r="AL1624">
        <v>389</v>
      </c>
      <c r="AM1624">
        <v>668</v>
      </c>
      <c r="AN1624">
        <v>46</v>
      </c>
      <c r="AP1624">
        <v>1</v>
      </c>
      <c r="AR1624" t="s">
        <v>1712</v>
      </c>
      <c r="AS1624" s="1">
        <v>44354.384722222225</v>
      </c>
      <c r="AT1624" s="1">
        <v>44354.38826388889</v>
      </c>
      <c r="AU1624" s="1">
        <v>44354.388888888891</v>
      </c>
      <c r="AV1624" t="s">
        <v>71</v>
      </c>
      <c r="AW1624" t="s">
        <v>72</v>
      </c>
      <c r="AX1624" t="s">
        <v>73</v>
      </c>
    </row>
    <row r="1625" spans="1:50" x14ac:dyDescent="0.3">
      <c r="A1625" t="str">
        <f>"202033B0000"</f>
        <v>202033B0000</v>
      </c>
      <c r="B1625" t="str">
        <f>"202033B00002"</f>
        <v>202033B00002</v>
      </c>
      <c r="C1625" t="str">
        <f t="shared" si="81"/>
        <v>20</v>
      </c>
      <c r="D1625" t="s">
        <v>67</v>
      </c>
      <c r="E1625" t="str">
        <f t="shared" si="82"/>
        <v>007</v>
      </c>
      <c r="F1625" t="s">
        <v>1519</v>
      </c>
      <c r="G1625" t="str">
        <f>"2033"</f>
        <v>2033</v>
      </c>
      <c r="H1625" t="str">
        <f>"0000"</f>
        <v>0000</v>
      </c>
      <c r="I1625" t="s">
        <v>69</v>
      </c>
      <c r="J1625">
        <v>0</v>
      </c>
      <c r="K1625">
        <v>1</v>
      </c>
      <c r="L1625">
        <v>2</v>
      </c>
      <c r="M1625">
        <v>247</v>
      </c>
      <c r="N1625">
        <v>388</v>
      </c>
      <c r="O1625">
        <v>8</v>
      </c>
      <c r="P1625">
        <v>385</v>
      </c>
      <c r="Q1625">
        <v>4</v>
      </c>
      <c r="R1625">
        <v>18</v>
      </c>
      <c r="S1625">
        <v>1</v>
      </c>
      <c r="T1625">
        <v>7</v>
      </c>
      <c r="U1625">
        <v>22</v>
      </c>
      <c r="V1625">
        <v>1</v>
      </c>
      <c r="W1625">
        <v>3</v>
      </c>
      <c r="X1625">
        <v>142</v>
      </c>
      <c r="Y1625">
        <v>1</v>
      </c>
      <c r="Z1625">
        <v>0</v>
      </c>
      <c r="AA1625">
        <v>10</v>
      </c>
      <c r="AB1625">
        <v>10</v>
      </c>
      <c r="AC1625">
        <v>150</v>
      </c>
      <c r="AD1625">
        <v>0</v>
      </c>
      <c r="AE1625">
        <v>0</v>
      </c>
      <c r="AF1625">
        <v>0</v>
      </c>
      <c r="AG1625">
        <v>0</v>
      </c>
      <c r="AI1625">
        <v>0</v>
      </c>
      <c r="AJ1625">
        <v>15</v>
      </c>
      <c r="AK1625">
        <v>385</v>
      </c>
      <c r="AL1625">
        <v>384</v>
      </c>
      <c r="AM1625">
        <v>590</v>
      </c>
      <c r="AN1625">
        <v>48</v>
      </c>
      <c r="AP1625">
        <v>1</v>
      </c>
      <c r="AR1625" s="2" t="s">
        <v>1713</v>
      </c>
      <c r="AS1625" s="1">
        <v>44354.300694444442</v>
      </c>
      <c r="AT1625" s="1">
        <v>44354.303993055553</v>
      </c>
      <c r="AU1625" s="1">
        <v>44354.304560185185</v>
      </c>
      <c r="AV1625" t="s">
        <v>71</v>
      </c>
      <c r="AW1625" t="s">
        <v>72</v>
      </c>
      <c r="AX1625" t="s">
        <v>73</v>
      </c>
    </row>
    <row r="1626" spans="1:50" x14ac:dyDescent="0.3">
      <c r="A1626" t="str">
        <f>"202033C0100"</f>
        <v>202033C0100</v>
      </c>
      <c r="B1626" t="str">
        <f>"202033C01002"</f>
        <v>202033C01002</v>
      </c>
      <c r="C1626" t="str">
        <f t="shared" si="81"/>
        <v>20</v>
      </c>
      <c r="D1626" t="s">
        <v>67</v>
      </c>
      <c r="E1626" t="str">
        <f t="shared" si="82"/>
        <v>007</v>
      </c>
      <c r="F1626" t="s">
        <v>1519</v>
      </c>
      <c r="G1626" t="str">
        <f>"2033"</f>
        <v>2033</v>
      </c>
      <c r="H1626" t="str">
        <f>"0001"</f>
        <v>0001</v>
      </c>
      <c r="I1626" t="s">
        <v>75</v>
      </c>
      <c r="J1626">
        <v>0</v>
      </c>
      <c r="K1626">
        <v>1</v>
      </c>
      <c r="L1626">
        <v>2</v>
      </c>
      <c r="M1626">
        <v>266</v>
      </c>
      <c r="N1626">
        <v>372</v>
      </c>
      <c r="O1626">
        <v>6</v>
      </c>
      <c r="P1626">
        <v>1</v>
      </c>
      <c r="Q1626">
        <v>1</v>
      </c>
      <c r="R1626">
        <v>24</v>
      </c>
      <c r="S1626">
        <v>2</v>
      </c>
      <c r="T1626">
        <v>5</v>
      </c>
      <c r="U1626">
        <v>22</v>
      </c>
      <c r="V1626">
        <v>4</v>
      </c>
      <c r="W1626">
        <v>2</v>
      </c>
      <c r="X1626">
        <v>92</v>
      </c>
      <c r="Y1626">
        <v>0</v>
      </c>
      <c r="Z1626">
        <v>3</v>
      </c>
      <c r="AA1626">
        <v>10</v>
      </c>
      <c r="AB1626">
        <v>9</v>
      </c>
      <c r="AC1626">
        <v>185</v>
      </c>
      <c r="AD1626">
        <v>0</v>
      </c>
      <c r="AE1626">
        <v>1</v>
      </c>
      <c r="AF1626">
        <v>0</v>
      </c>
      <c r="AG1626">
        <v>0</v>
      </c>
      <c r="AI1626">
        <v>0</v>
      </c>
      <c r="AJ1626">
        <v>12</v>
      </c>
      <c r="AK1626">
        <v>372</v>
      </c>
      <c r="AL1626">
        <v>372</v>
      </c>
      <c r="AM1626">
        <v>590</v>
      </c>
      <c r="AN1626">
        <v>48</v>
      </c>
      <c r="AP1626">
        <v>1</v>
      </c>
      <c r="AR1626" t="s">
        <v>1714</v>
      </c>
      <c r="AS1626" s="1">
        <v>44354.328472222223</v>
      </c>
      <c r="AT1626" s="1">
        <v>44354.333749999998</v>
      </c>
      <c r="AU1626" s="1">
        <v>44354.334363425929</v>
      </c>
      <c r="AV1626" t="s">
        <v>71</v>
      </c>
      <c r="AW1626" t="s">
        <v>72</v>
      </c>
      <c r="AX1626" t="s">
        <v>73</v>
      </c>
    </row>
    <row r="1627" spans="1:50" x14ac:dyDescent="0.3">
      <c r="A1627" t="str">
        <f>"202033C0200"</f>
        <v>202033C0200</v>
      </c>
      <c r="B1627" t="str">
        <f>"202033C02002"</f>
        <v>202033C02002</v>
      </c>
      <c r="C1627" t="str">
        <f t="shared" si="81"/>
        <v>20</v>
      </c>
      <c r="D1627" t="s">
        <v>67</v>
      </c>
      <c r="E1627" t="str">
        <f t="shared" si="82"/>
        <v>007</v>
      </c>
      <c r="F1627" t="s">
        <v>1519</v>
      </c>
      <c r="G1627" t="str">
        <f>"2033"</f>
        <v>2033</v>
      </c>
      <c r="H1627" t="str">
        <f>"0002"</f>
        <v>0002</v>
      </c>
      <c r="I1627" t="s">
        <v>75</v>
      </c>
      <c r="J1627">
        <v>0</v>
      </c>
      <c r="K1627">
        <v>1</v>
      </c>
      <c r="L1627">
        <v>2</v>
      </c>
      <c r="M1627">
        <v>291</v>
      </c>
      <c r="N1627">
        <v>344</v>
      </c>
      <c r="O1627">
        <v>12</v>
      </c>
      <c r="P1627">
        <v>346</v>
      </c>
      <c r="Q1627">
        <v>7</v>
      </c>
      <c r="R1627">
        <v>29</v>
      </c>
      <c r="S1627">
        <v>3</v>
      </c>
      <c r="T1627">
        <v>8</v>
      </c>
      <c r="U1627">
        <v>22</v>
      </c>
      <c r="V1627">
        <v>6</v>
      </c>
      <c r="W1627">
        <v>0</v>
      </c>
      <c r="X1627">
        <v>98</v>
      </c>
      <c r="Y1627">
        <v>0</v>
      </c>
      <c r="Z1627">
        <v>2</v>
      </c>
      <c r="AA1627">
        <v>11</v>
      </c>
      <c r="AB1627">
        <v>5</v>
      </c>
      <c r="AC1627">
        <v>144</v>
      </c>
      <c r="AD1627">
        <v>2</v>
      </c>
      <c r="AE1627">
        <v>0</v>
      </c>
      <c r="AF1627">
        <v>0</v>
      </c>
      <c r="AG1627">
        <v>0</v>
      </c>
      <c r="AI1627">
        <v>0</v>
      </c>
      <c r="AJ1627">
        <v>9</v>
      </c>
      <c r="AK1627">
        <v>346</v>
      </c>
      <c r="AL1627">
        <v>346</v>
      </c>
      <c r="AM1627">
        <v>589</v>
      </c>
      <c r="AN1627">
        <v>48</v>
      </c>
      <c r="AP1627">
        <v>1</v>
      </c>
      <c r="AR1627" t="s">
        <v>1715</v>
      </c>
      <c r="AS1627" s="1">
        <v>44354.324305555558</v>
      </c>
      <c r="AT1627" s="1">
        <v>44354.326736111114</v>
      </c>
      <c r="AU1627" s="1">
        <v>44354.327430555553</v>
      </c>
      <c r="AV1627" t="s">
        <v>71</v>
      </c>
      <c r="AW1627" t="s">
        <v>72</v>
      </c>
      <c r="AX1627" t="s">
        <v>73</v>
      </c>
    </row>
    <row r="1628" spans="1:50" x14ac:dyDescent="0.3">
      <c r="A1628" t="str">
        <f>"202033S0100"</f>
        <v>202033S0100</v>
      </c>
      <c r="B1628" t="str">
        <f>"202033S01002EMR"</f>
        <v>202033S01002EMR</v>
      </c>
      <c r="C1628" t="str">
        <f t="shared" si="81"/>
        <v>20</v>
      </c>
      <c r="D1628" t="s">
        <v>67</v>
      </c>
      <c r="E1628" t="str">
        <f t="shared" si="82"/>
        <v>007</v>
      </c>
      <c r="F1628" t="s">
        <v>1519</v>
      </c>
      <c r="G1628" t="str">
        <f>"2033"</f>
        <v>2033</v>
      </c>
      <c r="H1628" t="str">
        <f>"0001"</f>
        <v>0001</v>
      </c>
      <c r="I1628" t="s">
        <v>85</v>
      </c>
      <c r="J1628">
        <v>0</v>
      </c>
      <c r="K1628">
        <v>1</v>
      </c>
      <c r="L1628" t="s">
        <v>86</v>
      </c>
      <c r="M1628">
        <v>573</v>
      </c>
      <c r="N1628">
        <v>294</v>
      </c>
      <c r="O1628">
        <v>0</v>
      </c>
      <c r="P1628">
        <v>330</v>
      </c>
      <c r="Q1628">
        <v>3</v>
      </c>
      <c r="R1628">
        <v>23</v>
      </c>
      <c r="S1628">
        <v>7</v>
      </c>
      <c r="T1628">
        <v>11</v>
      </c>
      <c r="U1628">
        <v>22</v>
      </c>
      <c r="V1628">
        <v>5</v>
      </c>
      <c r="W1628">
        <v>7</v>
      </c>
      <c r="X1628">
        <v>103</v>
      </c>
      <c r="Y1628">
        <v>2</v>
      </c>
      <c r="Z1628">
        <v>0</v>
      </c>
      <c r="AA1628">
        <v>5</v>
      </c>
      <c r="AB1628">
        <v>16</v>
      </c>
      <c r="AC1628">
        <v>111</v>
      </c>
      <c r="AD1628">
        <v>0</v>
      </c>
      <c r="AE1628">
        <v>0</v>
      </c>
      <c r="AF1628">
        <v>0</v>
      </c>
      <c r="AG1628">
        <v>0</v>
      </c>
      <c r="AI1628">
        <v>0</v>
      </c>
      <c r="AJ1628">
        <v>17</v>
      </c>
      <c r="AK1628">
        <v>330</v>
      </c>
      <c r="AL1628">
        <v>332</v>
      </c>
      <c r="AM1628">
        <v>0</v>
      </c>
      <c r="AN1628">
        <v>48</v>
      </c>
      <c r="AP1628">
        <v>1</v>
      </c>
      <c r="AR1628" t="s">
        <v>1716</v>
      </c>
      <c r="AS1628" s="1">
        <v>44354.511111111111</v>
      </c>
      <c r="AT1628" s="1">
        <v>44354.515196759261</v>
      </c>
      <c r="AU1628" s="1">
        <v>44354.5158912037</v>
      </c>
      <c r="AV1628" t="s">
        <v>71</v>
      </c>
      <c r="AW1628" t="s">
        <v>72</v>
      </c>
      <c r="AX1628" t="s">
        <v>73</v>
      </c>
    </row>
    <row r="1629" spans="1:50" x14ac:dyDescent="0.3">
      <c r="A1629" t="str">
        <f>"202034B0000"</f>
        <v>202034B0000</v>
      </c>
      <c r="B1629" t="str">
        <f>"202034B00002"</f>
        <v>202034B00002</v>
      </c>
      <c r="C1629" t="str">
        <f t="shared" si="81"/>
        <v>20</v>
      </c>
      <c r="D1629" t="s">
        <v>67</v>
      </c>
      <c r="E1629" t="str">
        <f t="shared" si="82"/>
        <v>007</v>
      </c>
      <c r="F1629" t="s">
        <v>1519</v>
      </c>
      <c r="G1629" t="str">
        <f>"2034"</f>
        <v>2034</v>
      </c>
      <c r="H1629" t="str">
        <f>"0000"</f>
        <v>0000</v>
      </c>
      <c r="I1629" t="s">
        <v>69</v>
      </c>
      <c r="J1629">
        <v>0</v>
      </c>
      <c r="K1629">
        <v>1</v>
      </c>
      <c r="L1629">
        <v>2</v>
      </c>
      <c r="M1629">
        <v>306</v>
      </c>
      <c r="N1629">
        <v>404</v>
      </c>
      <c r="O1629">
        <v>7</v>
      </c>
      <c r="P1629">
        <v>404</v>
      </c>
      <c r="Q1629">
        <v>6</v>
      </c>
      <c r="R1629">
        <v>33</v>
      </c>
      <c r="S1629">
        <v>4</v>
      </c>
      <c r="T1629">
        <v>11</v>
      </c>
      <c r="U1629">
        <v>24</v>
      </c>
      <c r="V1629">
        <v>9</v>
      </c>
      <c r="W1629">
        <v>1</v>
      </c>
      <c r="X1629">
        <v>102</v>
      </c>
      <c r="Y1629">
        <v>1</v>
      </c>
      <c r="Z1629">
        <v>3</v>
      </c>
      <c r="AA1629">
        <v>16</v>
      </c>
      <c r="AB1629">
        <v>24</v>
      </c>
      <c r="AC1629">
        <v>143</v>
      </c>
      <c r="AD1629">
        <v>0</v>
      </c>
      <c r="AE1629">
        <v>0</v>
      </c>
      <c r="AF1629">
        <v>0</v>
      </c>
      <c r="AG1629">
        <v>0</v>
      </c>
      <c r="AI1629">
        <v>0</v>
      </c>
      <c r="AJ1629">
        <v>27</v>
      </c>
      <c r="AK1629">
        <v>404</v>
      </c>
      <c r="AL1629">
        <v>404</v>
      </c>
      <c r="AM1629">
        <v>662</v>
      </c>
      <c r="AN1629">
        <v>48</v>
      </c>
      <c r="AP1629">
        <v>1</v>
      </c>
      <c r="AR1629" t="s">
        <v>1717</v>
      </c>
      <c r="AS1629" s="1">
        <v>44354.328472222223</v>
      </c>
      <c r="AT1629" s="1">
        <v>44354.330266203702</v>
      </c>
      <c r="AU1629" s="1">
        <v>44354.33289351852</v>
      </c>
      <c r="AV1629" t="s">
        <v>71</v>
      </c>
      <c r="AW1629" t="s">
        <v>72</v>
      </c>
      <c r="AX1629" t="s">
        <v>73</v>
      </c>
    </row>
    <row r="1630" spans="1:50" x14ac:dyDescent="0.3">
      <c r="A1630" t="str">
        <f>"202034C0100"</f>
        <v>202034C0100</v>
      </c>
      <c r="B1630" t="str">
        <f>"202034C01002"</f>
        <v>202034C01002</v>
      </c>
      <c r="C1630" t="str">
        <f t="shared" si="81"/>
        <v>20</v>
      </c>
      <c r="D1630" t="s">
        <v>67</v>
      </c>
      <c r="E1630" t="str">
        <f t="shared" si="82"/>
        <v>007</v>
      </c>
      <c r="F1630" t="s">
        <v>1519</v>
      </c>
      <c r="G1630" t="str">
        <f>"2034"</f>
        <v>2034</v>
      </c>
      <c r="H1630" t="str">
        <f>"0001"</f>
        <v>0001</v>
      </c>
      <c r="I1630" t="s">
        <v>75</v>
      </c>
      <c r="J1630">
        <v>0</v>
      </c>
      <c r="K1630">
        <v>1</v>
      </c>
      <c r="L1630">
        <v>2</v>
      </c>
      <c r="M1630">
        <v>330</v>
      </c>
      <c r="N1630">
        <v>379</v>
      </c>
      <c r="O1630">
        <v>12</v>
      </c>
      <c r="P1630">
        <v>379</v>
      </c>
      <c r="Q1630">
        <v>2</v>
      </c>
      <c r="R1630">
        <v>42</v>
      </c>
      <c r="S1630">
        <v>1</v>
      </c>
      <c r="T1630">
        <v>7</v>
      </c>
      <c r="U1630">
        <v>28</v>
      </c>
      <c r="V1630">
        <v>10</v>
      </c>
      <c r="W1630">
        <v>1</v>
      </c>
      <c r="X1630">
        <v>85</v>
      </c>
      <c r="Y1630">
        <v>0</v>
      </c>
      <c r="Z1630">
        <v>3</v>
      </c>
      <c r="AA1630">
        <v>18</v>
      </c>
      <c r="AB1630">
        <v>37</v>
      </c>
      <c r="AC1630">
        <v>122</v>
      </c>
      <c r="AD1630">
        <v>0</v>
      </c>
      <c r="AE1630">
        <v>0</v>
      </c>
      <c r="AF1630">
        <v>0</v>
      </c>
      <c r="AG1630">
        <v>0</v>
      </c>
      <c r="AI1630">
        <v>0</v>
      </c>
      <c r="AJ1630">
        <v>23</v>
      </c>
      <c r="AK1630">
        <v>379</v>
      </c>
      <c r="AL1630">
        <v>379</v>
      </c>
      <c r="AM1630">
        <v>662</v>
      </c>
      <c r="AN1630">
        <v>48</v>
      </c>
      <c r="AP1630">
        <v>1</v>
      </c>
      <c r="AR1630" t="s">
        <v>1718</v>
      </c>
      <c r="AS1630" s="1">
        <v>44354.327777777777</v>
      </c>
      <c r="AT1630" s="1">
        <v>44354.335509259261</v>
      </c>
      <c r="AU1630" s="1">
        <v>44354.336076388892</v>
      </c>
      <c r="AV1630" t="s">
        <v>71</v>
      </c>
      <c r="AW1630" t="s">
        <v>72</v>
      </c>
      <c r="AX1630" t="s">
        <v>73</v>
      </c>
    </row>
    <row r="1631" spans="1:50" x14ac:dyDescent="0.3">
      <c r="A1631" t="str">
        <f>"202034C0200"</f>
        <v>202034C0200</v>
      </c>
      <c r="B1631" t="str">
        <f>"202034C02002"</f>
        <v>202034C02002</v>
      </c>
      <c r="C1631" t="str">
        <f t="shared" si="81"/>
        <v>20</v>
      </c>
      <c r="D1631" t="s">
        <v>67</v>
      </c>
      <c r="E1631" t="str">
        <f t="shared" si="82"/>
        <v>007</v>
      </c>
      <c r="F1631" t="s">
        <v>1519</v>
      </c>
      <c r="G1631" t="str">
        <f>"2034"</f>
        <v>2034</v>
      </c>
      <c r="H1631" t="str">
        <f>"0002"</f>
        <v>0002</v>
      </c>
      <c r="I1631" t="s">
        <v>75</v>
      </c>
      <c r="J1631">
        <v>0</v>
      </c>
      <c r="K1631">
        <v>1</v>
      </c>
      <c r="L1631">
        <v>2</v>
      </c>
      <c r="M1631">
        <v>362</v>
      </c>
      <c r="N1631">
        <v>348</v>
      </c>
      <c r="O1631">
        <v>7</v>
      </c>
      <c r="P1631">
        <v>348</v>
      </c>
      <c r="Q1631">
        <v>1</v>
      </c>
      <c r="R1631">
        <v>41</v>
      </c>
      <c r="S1631">
        <v>1</v>
      </c>
      <c r="T1631">
        <v>5</v>
      </c>
      <c r="U1631">
        <v>22</v>
      </c>
      <c r="V1631">
        <v>10</v>
      </c>
      <c r="W1631">
        <v>1</v>
      </c>
      <c r="X1631">
        <v>71</v>
      </c>
      <c r="Y1631">
        <v>1</v>
      </c>
      <c r="Z1631">
        <v>2</v>
      </c>
      <c r="AA1631">
        <v>22</v>
      </c>
      <c r="AB1631">
        <v>25</v>
      </c>
      <c r="AC1631">
        <v>119</v>
      </c>
      <c r="AD1631">
        <v>1</v>
      </c>
      <c r="AE1631">
        <v>0</v>
      </c>
      <c r="AF1631">
        <v>0</v>
      </c>
      <c r="AG1631">
        <v>1</v>
      </c>
      <c r="AI1631">
        <v>0</v>
      </c>
      <c r="AJ1631">
        <v>26</v>
      </c>
      <c r="AK1631">
        <v>348</v>
      </c>
      <c r="AL1631">
        <v>349</v>
      </c>
      <c r="AM1631">
        <v>662</v>
      </c>
      <c r="AN1631">
        <v>48</v>
      </c>
      <c r="AP1631">
        <v>1</v>
      </c>
      <c r="AR1631" t="s">
        <v>1719</v>
      </c>
      <c r="AS1631" s="1">
        <v>44354.326388888891</v>
      </c>
      <c r="AT1631" s="1">
        <v>44354.328877314816</v>
      </c>
      <c r="AU1631" s="1">
        <v>44354.329398148147</v>
      </c>
      <c r="AV1631" t="s">
        <v>71</v>
      </c>
      <c r="AW1631" t="s">
        <v>72</v>
      </c>
      <c r="AX1631" t="s">
        <v>73</v>
      </c>
    </row>
    <row r="1632" spans="1:50" x14ac:dyDescent="0.3">
      <c r="A1632" t="str">
        <f>"202034C0300"</f>
        <v>202034C0300</v>
      </c>
      <c r="B1632" t="str">
        <f>"202034C03002"</f>
        <v>202034C03002</v>
      </c>
      <c r="C1632" t="str">
        <f t="shared" si="81"/>
        <v>20</v>
      </c>
      <c r="D1632" t="s">
        <v>67</v>
      </c>
      <c r="E1632" t="str">
        <f t="shared" si="82"/>
        <v>007</v>
      </c>
      <c r="F1632" t="s">
        <v>1519</v>
      </c>
      <c r="G1632" t="str">
        <f>"2034"</f>
        <v>2034</v>
      </c>
      <c r="H1632" t="str">
        <f>"0003"</f>
        <v>0003</v>
      </c>
      <c r="I1632" t="s">
        <v>75</v>
      </c>
      <c r="J1632">
        <v>0</v>
      </c>
      <c r="K1632">
        <v>1</v>
      </c>
      <c r="L1632">
        <v>2</v>
      </c>
      <c r="M1632">
        <v>345</v>
      </c>
      <c r="N1632">
        <v>365</v>
      </c>
      <c r="O1632">
        <v>6</v>
      </c>
      <c r="P1632">
        <v>364</v>
      </c>
      <c r="Q1632">
        <v>3</v>
      </c>
      <c r="R1632">
        <v>23</v>
      </c>
      <c r="S1632">
        <v>2</v>
      </c>
      <c r="T1632">
        <v>12</v>
      </c>
      <c r="U1632">
        <v>41</v>
      </c>
      <c r="V1632">
        <v>8</v>
      </c>
      <c r="W1632">
        <v>2</v>
      </c>
      <c r="X1632">
        <v>82</v>
      </c>
      <c r="Y1632">
        <v>2</v>
      </c>
      <c r="Z1632">
        <v>4</v>
      </c>
      <c r="AA1632">
        <v>10</v>
      </c>
      <c r="AB1632">
        <v>32</v>
      </c>
      <c r="AC1632">
        <v>121</v>
      </c>
      <c r="AD1632">
        <v>0</v>
      </c>
      <c r="AE1632">
        <v>0</v>
      </c>
      <c r="AF1632">
        <v>0</v>
      </c>
      <c r="AG1632">
        <v>0</v>
      </c>
      <c r="AI1632">
        <v>0</v>
      </c>
      <c r="AJ1632">
        <v>22</v>
      </c>
      <c r="AK1632">
        <v>364</v>
      </c>
      <c r="AL1632">
        <v>364</v>
      </c>
      <c r="AM1632">
        <v>662</v>
      </c>
      <c r="AN1632">
        <v>48</v>
      </c>
      <c r="AP1632">
        <v>1</v>
      </c>
      <c r="AR1632" t="s">
        <v>1720</v>
      </c>
      <c r="AS1632" s="1">
        <v>44354.332638888889</v>
      </c>
      <c r="AT1632" s="1">
        <v>44354.348865740743</v>
      </c>
      <c r="AU1632" s="1">
        <v>44354.350081018521</v>
      </c>
      <c r="AV1632" t="s">
        <v>71</v>
      </c>
      <c r="AW1632" t="s">
        <v>72</v>
      </c>
      <c r="AX1632" t="s">
        <v>73</v>
      </c>
    </row>
    <row r="1633" spans="1:50" x14ac:dyDescent="0.3">
      <c r="A1633" t="str">
        <f>"202035B0000"</f>
        <v>202035B0000</v>
      </c>
      <c r="B1633" t="str">
        <f>"202035B00002"</f>
        <v>202035B00002</v>
      </c>
      <c r="C1633" t="str">
        <f t="shared" si="81"/>
        <v>20</v>
      </c>
      <c r="D1633" t="s">
        <v>67</v>
      </c>
      <c r="E1633" t="str">
        <f t="shared" si="82"/>
        <v>007</v>
      </c>
      <c r="F1633" t="s">
        <v>1519</v>
      </c>
      <c r="G1633" t="str">
        <f>"2035"</f>
        <v>2035</v>
      </c>
      <c r="H1633" t="str">
        <f>"0000"</f>
        <v>0000</v>
      </c>
      <c r="I1633" t="s">
        <v>69</v>
      </c>
      <c r="J1633">
        <v>0</v>
      </c>
      <c r="K1633">
        <v>1</v>
      </c>
      <c r="L1633">
        <v>2</v>
      </c>
      <c r="M1633">
        <v>248</v>
      </c>
      <c r="N1633">
        <v>416</v>
      </c>
      <c r="O1633">
        <v>8</v>
      </c>
      <c r="P1633">
        <v>416</v>
      </c>
      <c r="Q1633">
        <v>4</v>
      </c>
      <c r="R1633">
        <v>22</v>
      </c>
      <c r="S1633">
        <v>1</v>
      </c>
      <c r="T1633">
        <v>8</v>
      </c>
      <c r="U1633">
        <v>18</v>
      </c>
      <c r="V1633">
        <v>16</v>
      </c>
      <c r="W1633">
        <v>0</v>
      </c>
      <c r="X1633">
        <v>92</v>
      </c>
      <c r="Y1633">
        <v>0</v>
      </c>
      <c r="Z1633">
        <v>5</v>
      </c>
      <c r="AA1633">
        <v>38</v>
      </c>
      <c r="AB1633">
        <v>21</v>
      </c>
      <c r="AC1633">
        <v>168</v>
      </c>
      <c r="AD1633">
        <v>1</v>
      </c>
      <c r="AE1633">
        <v>1</v>
      </c>
      <c r="AF1633">
        <v>0</v>
      </c>
      <c r="AG1633">
        <v>0</v>
      </c>
      <c r="AI1633">
        <v>0</v>
      </c>
      <c r="AJ1633">
        <v>19</v>
      </c>
      <c r="AK1633">
        <v>416</v>
      </c>
      <c r="AL1633">
        <v>414</v>
      </c>
      <c r="AM1633">
        <v>616</v>
      </c>
      <c r="AN1633">
        <v>48</v>
      </c>
      <c r="AP1633">
        <v>1</v>
      </c>
      <c r="AR1633" t="s">
        <v>1721</v>
      </c>
      <c r="AS1633" s="1">
        <v>44354.334722222222</v>
      </c>
      <c r="AT1633" s="1">
        <v>44354.337685185186</v>
      </c>
      <c r="AU1633" s="1">
        <v>44354.338206018518</v>
      </c>
      <c r="AV1633" t="s">
        <v>71</v>
      </c>
      <c r="AW1633" t="s">
        <v>72</v>
      </c>
      <c r="AX1633" t="s">
        <v>73</v>
      </c>
    </row>
    <row r="1634" spans="1:50" x14ac:dyDescent="0.3">
      <c r="A1634" t="str">
        <f>"202035C0100"</f>
        <v>202035C0100</v>
      </c>
      <c r="B1634" t="str">
        <f>"202035C01002"</f>
        <v>202035C01002</v>
      </c>
      <c r="C1634" t="str">
        <f t="shared" si="81"/>
        <v>20</v>
      </c>
      <c r="D1634" t="s">
        <v>67</v>
      </c>
      <c r="E1634" t="str">
        <f t="shared" si="82"/>
        <v>007</v>
      </c>
      <c r="F1634" t="s">
        <v>1519</v>
      </c>
      <c r="G1634" t="str">
        <f>"2035"</f>
        <v>2035</v>
      </c>
      <c r="H1634" t="str">
        <f>"0001"</f>
        <v>0001</v>
      </c>
      <c r="I1634" t="s">
        <v>75</v>
      </c>
      <c r="J1634">
        <v>0</v>
      </c>
      <c r="K1634">
        <v>1</v>
      </c>
      <c r="L1634">
        <v>2</v>
      </c>
      <c r="M1634">
        <v>257</v>
      </c>
      <c r="N1634">
        <v>407</v>
      </c>
      <c r="O1634">
        <v>9</v>
      </c>
      <c r="P1634">
        <v>407</v>
      </c>
      <c r="Q1634">
        <v>1</v>
      </c>
      <c r="R1634">
        <v>27</v>
      </c>
      <c r="S1634">
        <v>6</v>
      </c>
      <c r="T1634">
        <v>4</v>
      </c>
      <c r="U1634">
        <v>16</v>
      </c>
      <c r="V1634">
        <v>12</v>
      </c>
      <c r="W1634">
        <v>1</v>
      </c>
      <c r="X1634">
        <v>87</v>
      </c>
      <c r="Y1634">
        <v>0</v>
      </c>
      <c r="Z1634">
        <v>0</v>
      </c>
      <c r="AA1634">
        <v>26</v>
      </c>
      <c r="AB1634">
        <v>27</v>
      </c>
      <c r="AC1634">
        <v>182</v>
      </c>
      <c r="AD1634">
        <v>2</v>
      </c>
      <c r="AE1634">
        <v>0</v>
      </c>
      <c r="AF1634">
        <v>0</v>
      </c>
      <c r="AG1634">
        <v>0</v>
      </c>
      <c r="AI1634">
        <v>1</v>
      </c>
      <c r="AJ1634">
        <v>15</v>
      </c>
      <c r="AK1634">
        <v>407</v>
      </c>
      <c r="AL1634">
        <v>407</v>
      </c>
      <c r="AM1634">
        <v>616</v>
      </c>
      <c r="AN1634">
        <v>48</v>
      </c>
      <c r="AP1634">
        <v>1</v>
      </c>
      <c r="AR1634" t="s">
        <v>1722</v>
      </c>
      <c r="AS1634" s="1">
        <v>44354.333333333336</v>
      </c>
      <c r="AT1634" s="1">
        <v>44354.338819444441</v>
      </c>
      <c r="AU1634" s="1">
        <v>44354.33934027778</v>
      </c>
      <c r="AV1634" t="s">
        <v>71</v>
      </c>
      <c r="AW1634" t="s">
        <v>72</v>
      </c>
      <c r="AX1634" t="s">
        <v>73</v>
      </c>
    </row>
    <row r="1635" spans="1:50" x14ac:dyDescent="0.3">
      <c r="A1635" t="str">
        <f>"202035C0200"</f>
        <v>202035C0200</v>
      </c>
      <c r="B1635" t="str">
        <f>"202035C02002"</f>
        <v>202035C02002</v>
      </c>
      <c r="C1635" t="str">
        <f t="shared" si="81"/>
        <v>20</v>
      </c>
      <c r="D1635" t="s">
        <v>67</v>
      </c>
      <c r="E1635" t="str">
        <f t="shared" si="82"/>
        <v>007</v>
      </c>
      <c r="F1635" t="s">
        <v>1519</v>
      </c>
      <c r="G1635" t="str">
        <f>"2035"</f>
        <v>2035</v>
      </c>
      <c r="H1635" t="str">
        <f>"0002"</f>
        <v>0002</v>
      </c>
      <c r="I1635" t="s">
        <v>75</v>
      </c>
      <c r="J1635">
        <v>0</v>
      </c>
      <c r="K1635">
        <v>1</v>
      </c>
      <c r="L1635">
        <v>2</v>
      </c>
      <c r="M1635">
        <v>261</v>
      </c>
      <c r="N1635">
        <v>403</v>
      </c>
      <c r="O1635">
        <v>12</v>
      </c>
      <c r="P1635">
        <v>403</v>
      </c>
      <c r="Q1635">
        <v>1</v>
      </c>
      <c r="R1635">
        <v>18</v>
      </c>
      <c r="S1635">
        <v>2</v>
      </c>
      <c r="T1635">
        <v>3</v>
      </c>
      <c r="U1635">
        <v>19</v>
      </c>
      <c r="V1635">
        <v>19</v>
      </c>
      <c r="W1635">
        <v>2</v>
      </c>
      <c r="X1635">
        <v>97</v>
      </c>
      <c r="Y1635">
        <v>0</v>
      </c>
      <c r="Z1635">
        <v>1</v>
      </c>
      <c r="AA1635">
        <v>28</v>
      </c>
      <c r="AB1635">
        <v>24</v>
      </c>
      <c r="AC1635">
        <v>168</v>
      </c>
      <c r="AD1635">
        <v>3</v>
      </c>
      <c r="AE1635">
        <v>0</v>
      </c>
      <c r="AF1635">
        <v>0</v>
      </c>
      <c r="AG1635">
        <v>0</v>
      </c>
      <c r="AI1635">
        <v>1</v>
      </c>
      <c r="AJ1635">
        <v>17</v>
      </c>
      <c r="AK1635">
        <v>403</v>
      </c>
      <c r="AL1635">
        <v>403</v>
      </c>
      <c r="AM1635">
        <v>616</v>
      </c>
      <c r="AN1635">
        <v>48</v>
      </c>
      <c r="AP1635">
        <v>1</v>
      </c>
      <c r="AR1635" t="s">
        <v>1723</v>
      </c>
      <c r="AS1635" s="1">
        <v>44354.331944444442</v>
      </c>
      <c r="AT1635" s="1">
        <v>44354.349537037036</v>
      </c>
      <c r="AU1635" s="1">
        <v>44354.349930555552</v>
      </c>
      <c r="AV1635" t="s">
        <v>71</v>
      </c>
      <c r="AW1635" t="s">
        <v>72</v>
      </c>
      <c r="AX1635" t="s">
        <v>73</v>
      </c>
    </row>
    <row r="1636" spans="1:50" x14ac:dyDescent="0.3">
      <c r="A1636" t="str">
        <f>"202035E0100"</f>
        <v>202035E0100</v>
      </c>
      <c r="B1636" t="str">
        <f>"202035E01002"</f>
        <v>202035E01002</v>
      </c>
      <c r="C1636" t="str">
        <f t="shared" si="81"/>
        <v>20</v>
      </c>
      <c r="D1636" t="s">
        <v>67</v>
      </c>
      <c r="E1636" t="str">
        <f t="shared" si="82"/>
        <v>007</v>
      </c>
      <c r="F1636" t="s">
        <v>1519</v>
      </c>
      <c r="G1636" t="str">
        <f>"2035"</f>
        <v>2035</v>
      </c>
      <c r="H1636" t="str">
        <f>"0001"</f>
        <v>0001</v>
      </c>
      <c r="I1636" t="s">
        <v>109</v>
      </c>
      <c r="J1636">
        <v>0</v>
      </c>
      <c r="K1636">
        <v>1</v>
      </c>
      <c r="L1636">
        <v>2</v>
      </c>
      <c r="M1636">
        <v>102</v>
      </c>
      <c r="N1636">
        <v>109</v>
      </c>
      <c r="O1636">
        <v>9</v>
      </c>
      <c r="P1636">
        <v>109</v>
      </c>
      <c r="Q1636">
        <v>1</v>
      </c>
      <c r="R1636">
        <v>13</v>
      </c>
      <c r="S1636">
        <v>3</v>
      </c>
      <c r="T1636">
        <v>2</v>
      </c>
      <c r="U1636">
        <v>11</v>
      </c>
      <c r="V1636">
        <v>4</v>
      </c>
      <c r="W1636">
        <v>2</v>
      </c>
      <c r="X1636">
        <v>40</v>
      </c>
      <c r="Y1636">
        <v>0</v>
      </c>
      <c r="Z1636">
        <v>5</v>
      </c>
      <c r="AA1636">
        <v>0</v>
      </c>
      <c r="AB1636">
        <v>4</v>
      </c>
      <c r="AC1636">
        <v>12</v>
      </c>
      <c r="AD1636">
        <v>1</v>
      </c>
      <c r="AE1636">
        <v>0</v>
      </c>
      <c r="AF1636">
        <v>0</v>
      </c>
      <c r="AG1636">
        <v>0</v>
      </c>
      <c r="AI1636">
        <v>0</v>
      </c>
      <c r="AJ1636">
        <v>11</v>
      </c>
      <c r="AK1636">
        <v>109</v>
      </c>
      <c r="AL1636">
        <v>109</v>
      </c>
      <c r="AM1636">
        <v>163</v>
      </c>
      <c r="AN1636">
        <v>48</v>
      </c>
      <c r="AP1636">
        <v>1</v>
      </c>
      <c r="AR1636" t="s">
        <v>1724</v>
      </c>
      <c r="AS1636" s="1">
        <v>44354.322222222225</v>
      </c>
      <c r="AT1636" s="1">
        <v>44354.325787037036</v>
      </c>
      <c r="AU1636" s="1">
        <v>44354.326180555552</v>
      </c>
      <c r="AV1636" t="s">
        <v>71</v>
      </c>
      <c r="AW1636" t="s">
        <v>72</v>
      </c>
      <c r="AX1636" t="s">
        <v>73</v>
      </c>
    </row>
    <row r="1637" spans="1:50" x14ac:dyDescent="0.3">
      <c r="A1637" t="str">
        <f>"202036B0000"</f>
        <v>202036B0000</v>
      </c>
      <c r="B1637" t="str">
        <f>"202036B00002"</f>
        <v>202036B00002</v>
      </c>
      <c r="C1637" t="str">
        <f t="shared" si="81"/>
        <v>20</v>
      </c>
      <c r="D1637" t="s">
        <v>67</v>
      </c>
      <c r="E1637" t="str">
        <f t="shared" si="82"/>
        <v>007</v>
      </c>
      <c r="F1637" t="s">
        <v>1519</v>
      </c>
      <c r="G1637" t="str">
        <f>"2036"</f>
        <v>2036</v>
      </c>
      <c r="H1637" t="str">
        <f>"0000"</f>
        <v>0000</v>
      </c>
      <c r="I1637" t="s">
        <v>69</v>
      </c>
      <c r="J1637">
        <v>0</v>
      </c>
      <c r="K1637">
        <v>1</v>
      </c>
      <c r="L1637">
        <v>2</v>
      </c>
      <c r="M1637">
        <v>325</v>
      </c>
      <c r="N1637">
        <v>470</v>
      </c>
      <c r="O1637">
        <v>5</v>
      </c>
      <c r="P1637">
        <v>470</v>
      </c>
      <c r="Q1637">
        <v>2</v>
      </c>
      <c r="R1637">
        <v>56</v>
      </c>
      <c r="S1637">
        <v>0</v>
      </c>
      <c r="T1637">
        <v>8</v>
      </c>
      <c r="U1637">
        <v>34</v>
      </c>
      <c r="V1637">
        <v>19</v>
      </c>
      <c r="W1637">
        <v>2</v>
      </c>
      <c r="X1637">
        <v>101</v>
      </c>
      <c r="Y1637">
        <v>0</v>
      </c>
      <c r="Z1637">
        <v>1</v>
      </c>
      <c r="AA1637">
        <v>34</v>
      </c>
      <c r="AB1637">
        <v>23</v>
      </c>
      <c r="AC1637">
        <v>170</v>
      </c>
      <c r="AD1637">
        <v>0</v>
      </c>
      <c r="AE1637">
        <v>1</v>
      </c>
      <c r="AF1637">
        <v>0</v>
      </c>
      <c r="AG1637">
        <v>0</v>
      </c>
      <c r="AI1637">
        <v>0</v>
      </c>
      <c r="AJ1637">
        <v>19</v>
      </c>
      <c r="AK1637">
        <v>470</v>
      </c>
      <c r="AL1637">
        <v>470</v>
      </c>
      <c r="AM1637">
        <v>748</v>
      </c>
      <c r="AN1637">
        <v>48</v>
      </c>
      <c r="AP1637">
        <v>1</v>
      </c>
      <c r="AR1637" t="s">
        <v>1725</v>
      </c>
      <c r="AS1637" s="1">
        <v>44354.335416666669</v>
      </c>
      <c r="AT1637" s="1">
        <v>44354.349282407406</v>
      </c>
      <c r="AU1637" s="1">
        <v>44354.351018518515</v>
      </c>
      <c r="AV1637" t="s">
        <v>71</v>
      </c>
      <c r="AW1637" t="s">
        <v>72</v>
      </c>
      <c r="AX1637" t="s">
        <v>73</v>
      </c>
    </row>
    <row r="1638" spans="1:50" x14ac:dyDescent="0.3">
      <c r="A1638" t="str">
        <f>"202036C0100"</f>
        <v>202036C0100</v>
      </c>
      <c r="B1638" t="str">
        <f>"202036C01002"</f>
        <v>202036C01002</v>
      </c>
      <c r="C1638" t="str">
        <f t="shared" si="81"/>
        <v>20</v>
      </c>
      <c r="D1638" t="s">
        <v>67</v>
      </c>
      <c r="E1638" t="str">
        <f t="shared" si="82"/>
        <v>007</v>
      </c>
      <c r="F1638" t="s">
        <v>1519</v>
      </c>
      <c r="G1638" t="str">
        <f>"2036"</f>
        <v>2036</v>
      </c>
      <c r="H1638" t="str">
        <f>"0001"</f>
        <v>0001</v>
      </c>
      <c r="I1638" t="s">
        <v>75</v>
      </c>
      <c r="J1638">
        <v>0</v>
      </c>
      <c r="K1638">
        <v>1</v>
      </c>
      <c r="L1638">
        <v>2</v>
      </c>
      <c r="M1638">
        <v>363</v>
      </c>
      <c r="N1638">
        <v>434</v>
      </c>
      <c r="O1638">
        <v>3</v>
      </c>
      <c r="P1638" t="s">
        <v>80</v>
      </c>
      <c r="Q1638">
        <v>2</v>
      </c>
      <c r="R1638">
        <v>36</v>
      </c>
      <c r="S1638">
        <v>2</v>
      </c>
      <c r="T1638">
        <v>11</v>
      </c>
      <c r="U1638">
        <v>32</v>
      </c>
      <c r="V1638">
        <v>18</v>
      </c>
      <c r="W1638">
        <v>1</v>
      </c>
      <c r="X1638">
        <v>106</v>
      </c>
      <c r="Y1638">
        <v>1</v>
      </c>
      <c r="Z1638">
        <v>3</v>
      </c>
      <c r="AA1638">
        <v>20</v>
      </c>
      <c r="AB1638">
        <v>9</v>
      </c>
      <c r="AC1638">
        <v>174</v>
      </c>
      <c r="AD1638">
        <v>1</v>
      </c>
      <c r="AE1638">
        <v>2</v>
      </c>
      <c r="AF1638">
        <v>0</v>
      </c>
      <c r="AG1638">
        <v>0</v>
      </c>
      <c r="AI1638">
        <v>0</v>
      </c>
      <c r="AJ1638">
        <v>13</v>
      </c>
      <c r="AK1638">
        <v>431</v>
      </c>
      <c r="AL1638">
        <v>431</v>
      </c>
      <c r="AM1638">
        <v>748</v>
      </c>
      <c r="AN1638">
        <v>48</v>
      </c>
      <c r="AP1638">
        <v>1</v>
      </c>
      <c r="AR1638" t="s">
        <v>1726</v>
      </c>
      <c r="AS1638" s="1">
        <v>44354.336805555555</v>
      </c>
      <c r="AT1638" s="1">
        <v>44354.340775462966</v>
      </c>
      <c r="AU1638" s="1">
        <v>44354.342418981483</v>
      </c>
      <c r="AV1638" t="s">
        <v>71</v>
      </c>
      <c r="AW1638" t="s">
        <v>72</v>
      </c>
      <c r="AX1638" t="s">
        <v>73</v>
      </c>
    </row>
    <row r="1639" spans="1:50" x14ac:dyDescent="0.3">
      <c r="A1639" t="str">
        <f>"202036C0200"</f>
        <v>202036C0200</v>
      </c>
      <c r="B1639" t="str">
        <f>"202036C02002"</f>
        <v>202036C02002</v>
      </c>
      <c r="C1639" t="str">
        <f t="shared" si="81"/>
        <v>20</v>
      </c>
      <c r="D1639" t="s">
        <v>67</v>
      </c>
      <c r="E1639" t="str">
        <f t="shared" si="82"/>
        <v>007</v>
      </c>
      <c r="F1639" t="s">
        <v>1519</v>
      </c>
      <c r="G1639" t="str">
        <f>"2036"</f>
        <v>2036</v>
      </c>
      <c r="H1639" t="str">
        <f>"0002"</f>
        <v>0002</v>
      </c>
      <c r="I1639" t="s">
        <v>75</v>
      </c>
      <c r="J1639">
        <v>0</v>
      </c>
      <c r="K1639">
        <v>1</v>
      </c>
      <c r="L1639">
        <v>2</v>
      </c>
      <c r="M1639">
        <v>367</v>
      </c>
      <c r="N1639">
        <v>428</v>
      </c>
      <c r="O1639">
        <v>8</v>
      </c>
      <c r="P1639">
        <v>428</v>
      </c>
      <c r="Q1639">
        <v>5</v>
      </c>
      <c r="R1639">
        <v>39</v>
      </c>
      <c r="S1639">
        <v>1</v>
      </c>
      <c r="T1639">
        <v>4</v>
      </c>
      <c r="U1639">
        <v>27</v>
      </c>
      <c r="V1639">
        <v>25</v>
      </c>
      <c r="W1639">
        <v>0</v>
      </c>
      <c r="X1639">
        <v>86</v>
      </c>
      <c r="Y1639">
        <v>0</v>
      </c>
      <c r="Z1639">
        <v>0</v>
      </c>
      <c r="AA1639">
        <v>33</v>
      </c>
      <c r="AB1639">
        <v>18</v>
      </c>
      <c r="AC1639">
        <v>172</v>
      </c>
      <c r="AD1639">
        <v>3</v>
      </c>
      <c r="AE1639">
        <v>1</v>
      </c>
      <c r="AF1639">
        <v>0</v>
      </c>
      <c r="AG1639">
        <v>0</v>
      </c>
      <c r="AI1639">
        <v>0</v>
      </c>
      <c r="AJ1639">
        <v>14</v>
      </c>
      <c r="AK1639">
        <v>428</v>
      </c>
      <c r="AL1639">
        <v>428</v>
      </c>
      <c r="AM1639">
        <v>747</v>
      </c>
      <c r="AN1639">
        <v>48</v>
      </c>
      <c r="AP1639">
        <v>1</v>
      </c>
      <c r="AR1639" t="s">
        <v>1727</v>
      </c>
      <c r="AS1639" s="1">
        <v>44354.336111111108</v>
      </c>
      <c r="AT1639" s="1">
        <v>44354.339097222219</v>
      </c>
      <c r="AU1639" s="1">
        <v>44354.339421296296</v>
      </c>
      <c r="AV1639" t="s">
        <v>71</v>
      </c>
      <c r="AW1639" t="s">
        <v>72</v>
      </c>
      <c r="AX1639" t="s">
        <v>73</v>
      </c>
    </row>
    <row r="1640" spans="1:50" x14ac:dyDescent="0.3">
      <c r="A1640" t="str">
        <f>"202037B0000"</f>
        <v>202037B0000</v>
      </c>
      <c r="B1640" t="str">
        <f>"202037B00002"</f>
        <v>202037B00002</v>
      </c>
      <c r="C1640" t="str">
        <f t="shared" si="81"/>
        <v>20</v>
      </c>
      <c r="D1640" t="s">
        <v>67</v>
      </c>
      <c r="E1640" t="str">
        <f t="shared" si="82"/>
        <v>007</v>
      </c>
      <c r="F1640" t="s">
        <v>1519</v>
      </c>
      <c r="G1640" t="str">
        <f>"2037"</f>
        <v>2037</v>
      </c>
      <c r="H1640" t="str">
        <f>"0000"</f>
        <v>0000</v>
      </c>
      <c r="I1640" t="s">
        <v>69</v>
      </c>
      <c r="J1640">
        <v>0</v>
      </c>
      <c r="K1640">
        <v>1</v>
      </c>
      <c r="L1640">
        <v>2</v>
      </c>
      <c r="M1640">
        <v>311</v>
      </c>
      <c r="N1640">
        <v>246</v>
      </c>
      <c r="O1640">
        <v>7</v>
      </c>
      <c r="P1640">
        <v>229</v>
      </c>
      <c r="Q1640">
        <v>3</v>
      </c>
      <c r="R1640">
        <v>19</v>
      </c>
      <c r="S1640">
        <v>5</v>
      </c>
      <c r="T1640">
        <v>14</v>
      </c>
      <c r="U1640">
        <v>14</v>
      </c>
      <c r="V1640">
        <v>4</v>
      </c>
      <c r="W1640">
        <v>1</v>
      </c>
      <c r="X1640">
        <v>62</v>
      </c>
      <c r="Y1640">
        <v>1</v>
      </c>
      <c r="Z1640">
        <v>2</v>
      </c>
      <c r="AA1640">
        <v>4</v>
      </c>
      <c r="AB1640">
        <v>27</v>
      </c>
      <c r="AC1640">
        <v>68</v>
      </c>
      <c r="AD1640">
        <v>2</v>
      </c>
      <c r="AE1640">
        <v>1</v>
      </c>
      <c r="AF1640">
        <v>0</v>
      </c>
      <c r="AG1640">
        <v>0</v>
      </c>
      <c r="AI1640">
        <v>0</v>
      </c>
      <c r="AJ1640">
        <v>16</v>
      </c>
      <c r="AK1640">
        <v>229</v>
      </c>
      <c r="AL1640">
        <v>243</v>
      </c>
      <c r="AM1640">
        <v>511</v>
      </c>
      <c r="AN1640">
        <v>48</v>
      </c>
      <c r="AP1640">
        <v>1</v>
      </c>
      <c r="AR1640" t="s">
        <v>1728</v>
      </c>
      <c r="AS1640" s="1">
        <v>44354.341666666667</v>
      </c>
      <c r="AT1640" s="1">
        <v>44354.345879629633</v>
      </c>
      <c r="AU1640" s="1">
        <v>44354.346608796295</v>
      </c>
      <c r="AV1640" t="s">
        <v>71</v>
      </c>
      <c r="AW1640" t="s">
        <v>72</v>
      </c>
      <c r="AX1640" t="s">
        <v>73</v>
      </c>
    </row>
    <row r="1641" spans="1:50" x14ac:dyDescent="0.3">
      <c r="A1641" t="str">
        <f>"202037C0100"</f>
        <v>202037C0100</v>
      </c>
      <c r="B1641" t="str">
        <f>"202037C01002"</f>
        <v>202037C01002</v>
      </c>
      <c r="C1641" t="str">
        <f t="shared" si="81"/>
        <v>20</v>
      </c>
      <c r="D1641" t="s">
        <v>67</v>
      </c>
      <c r="E1641" t="str">
        <f t="shared" si="82"/>
        <v>007</v>
      </c>
      <c r="F1641" t="s">
        <v>1519</v>
      </c>
      <c r="G1641" t="str">
        <f>"2037"</f>
        <v>2037</v>
      </c>
      <c r="H1641" t="str">
        <f>"0001"</f>
        <v>0001</v>
      </c>
      <c r="I1641" t="s">
        <v>75</v>
      </c>
      <c r="J1641">
        <v>0</v>
      </c>
      <c r="K1641">
        <v>1</v>
      </c>
      <c r="L1641">
        <v>2</v>
      </c>
      <c r="M1641">
        <v>303</v>
      </c>
      <c r="N1641">
        <v>256</v>
      </c>
      <c r="O1641">
        <v>3</v>
      </c>
      <c r="P1641">
        <v>256</v>
      </c>
      <c r="Q1641">
        <v>6</v>
      </c>
      <c r="R1641">
        <v>24</v>
      </c>
      <c r="S1641">
        <v>3</v>
      </c>
      <c r="T1641">
        <v>8</v>
      </c>
      <c r="U1641">
        <v>10</v>
      </c>
      <c r="V1641">
        <v>11</v>
      </c>
      <c r="W1641">
        <v>3</v>
      </c>
      <c r="X1641">
        <v>50</v>
      </c>
      <c r="Y1641">
        <v>1</v>
      </c>
      <c r="Z1641">
        <v>2</v>
      </c>
      <c r="AA1641">
        <v>8</v>
      </c>
      <c r="AB1641">
        <v>43</v>
      </c>
      <c r="AC1641">
        <v>66</v>
      </c>
      <c r="AD1641">
        <v>0</v>
      </c>
      <c r="AE1641">
        <v>0</v>
      </c>
      <c r="AF1641">
        <v>0</v>
      </c>
      <c r="AG1641">
        <v>0</v>
      </c>
      <c r="AI1641">
        <v>1</v>
      </c>
      <c r="AJ1641">
        <v>20</v>
      </c>
      <c r="AK1641">
        <v>256</v>
      </c>
      <c r="AL1641">
        <v>256</v>
      </c>
      <c r="AM1641">
        <v>511</v>
      </c>
      <c r="AN1641">
        <v>48</v>
      </c>
      <c r="AP1641">
        <v>1</v>
      </c>
      <c r="AR1641" t="s">
        <v>1729</v>
      </c>
      <c r="AS1641" s="1">
        <v>44354.340277777781</v>
      </c>
      <c r="AT1641" s="1">
        <v>44354.350300925929</v>
      </c>
      <c r="AU1641" s="1">
        <v>44354.351643518516</v>
      </c>
      <c r="AV1641" t="s">
        <v>71</v>
      </c>
      <c r="AW1641" t="s">
        <v>72</v>
      </c>
      <c r="AX1641" t="s">
        <v>73</v>
      </c>
    </row>
    <row r="1642" spans="1:50" x14ac:dyDescent="0.3">
      <c r="A1642" t="str">
        <f>"202038B0000"</f>
        <v>202038B0000</v>
      </c>
      <c r="B1642" t="str">
        <f>"202038B00002"</f>
        <v>202038B00002</v>
      </c>
      <c r="C1642" t="str">
        <f t="shared" si="81"/>
        <v>20</v>
      </c>
      <c r="D1642" t="s">
        <v>67</v>
      </c>
      <c r="E1642" t="str">
        <f t="shared" si="82"/>
        <v>007</v>
      </c>
      <c r="F1642" t="s">
        <v>1519</v>
      </c>
      <c r="G1642" t="str">
        <f>"2038"</f>
        <v>2038</v>
      </c>
      <c r="H1642" t="str">
        <f>"0000"</f>
        <v>0000</v>
      </c>
      <c r="I1642" t="s">
        <v>69</v>
      </c>
      <c r="J1642">
        <v>0</v>
      </c>
      <c r="K1642">
        <v>1</v>
      </c>
      <c r="L1642">
        <v>2</v>
      </c>
      <c r="M1642">
        <v>462</v>
      </c>
      <c r="N1642">
        <v>203</v>
      </c>
      <c r="O1642">
        <v>9</v>
      </c>
      <c r="P1642">
        <v>203</v>
      </c>
      <c r="Q1642">
        <v>8</v>
      </c>
      <c r="R1642">
        <v>22</v>
      </c>
      <c r="S1642">
        <v>15</v>
      </c>
      <c r="T1642">
        <v>12</v>
      </c>
      <c r="U1642">
        <v>23</v>
      </c>
      <c r="V1642">
        <v>16</v>
      </c>
      <c r="W1642">
        <v>4</v>
      </c>
      <c r="X1642">
        <v>40</v>
      </c>
      <c r="Y1642">
        <v>4</v>
      </c>
      <c r="Z1642">
        <v>3</v>
      </c>
      <c r="AA1642">
        <v>14</v>
      </c>
      <c r="AB1642">
        <v>10</v>
      </c>
      <c r="AC1642">
        <v>19</v>
      </c>
      <c r="AD1642">
        <v>0</v>
      </c>
      <c r="AE1642">
        <v>0</v>
      </c>
      <c r="AF1642">
        <v>0</v>
      </c>
      <c r="AG1642">
        <v>0</v>
      </c>
      <c r="AI1642">
        <v>0</v>
      </c>
      <c r="AJ1642">
        <v>13</v>
      </c>
      <c r="AK1642">
        <v>203</v>
      </c>
      <c r="AL1642">
        <v>203</v>
      </c>
      <c r="AM1642">
        <v>617</v>
      </c>
      <c r="AN1642">
        <v>48</v>
      </c>
      <c r="AP1642">
        <v>1</v>
      </c>
      <c r="AR1642" t="s">
        <v>1730</v>
      </c>
      <c r="AS1642" s="1">
        <v>44354.336805555555</v>
      </c>
      <c r="AT1642" s="1">
        <v>44354.339444444442</v>
      </c>
      <c r="AU1642" s="1">
        <v>44354.340624999997</v>
      </c>
      <c r="AV1642" t="s">
        <v>71</v>
      </c>
      <c r="AW1642" t="s">
        <v>72</v>
      </c>
      <c r="AX1642" t="s">
        <v>73</v>
      </c>
    </row>
    <row r="1643" spans="1:50" x14ac:dyDescent="0.3">
      <c r="A1643" t="str">
        <f>"202039B0000"</f>
        <v>202039B0000</v>
      </c>
      <c r="B1643" t="str">
        <f>"202039B00002"</f>
        <v>202039B00002</v>
      </c>
      <c r="C1643" t="str">
        <f t="shared" si="81"/>
        <v>20</v>
      </c>
      <c r="D1643" t="s">
        <v>67</v>
      </c>
      <c r="E1643" t="str">
        <f t="shared" si="82"/>
        <v>007</v>
      </c>
      <c r="F1643" t="s">
        <v>1519</v>
      </c>
      <c r="G1643" t="str">
        <f>"2039"</f>
        <v>2039</v>
      </c>
      <c r="H1643" t="str">
        <f>"0000"</f>
        <v>0000</v>
      </c>
      <c r="I1643" t="s">
        <v>69</v>
      </c>
      <c r="J1643">
        <v>0</v>
      </c>
      <c r="K1643">
        <v>1</v>
      </c>
      <c r="L1643">
        <v>2</v>
      </c>
      <c r="M1643">
        <v>377</v>
      </c>
      <c r="N1643">
        <v>362</v>
      </c>
      <c r="O1643">
        <v>11</v>
      </c>
      <c r="P1643">
        <v>362</v>
      </c>
      <c r="Q1643">
        <v>3</v>
      </c>
      <c r="R1643">
        <v>30</v>
      </c>
      <c r="S1643">
        <v>4</v>
      </c>
      <c r="T1643">
        <v>24</v>
      </c>
      <c r="U1643">
        <v>15</v>
      </c>
      <c r="V1643">
        <v>23</v>
      </c>
      <c r="W1643">
        <v>1</v>
      </c>
      <c r="X1643">
        <v>118</v>
      </c>
      <c r="Y1643">
        <v>3</v>
      </c>
      <c r="Z1643">
        <v>6</v>
      </c>
      <c r="AA1643">
        <v>20</v>
      </c>
      <c r="AB1643">
        <v>29</v>
      </c>
      <c r="AC1643">
        <v>68</v>
      </c>
      <c r="AD1643">
        <v>1</v>
      </c>
      <c r="AE1643">
        <v>0</v>
      </c>
      <c r="AF1643">
        <v>0</v>
      </c>
      <c r="AG1643">
        <v>0</v>
      </c>
      <c r="AI1643">
        <v>0</v>
      </c>
      <c r="AJ1643">
        <v>17</v>
      </c>
      <c r="AK1643">
        <v>362</v>
      </c>
      <c r="AL1643">
        <v>362</v>
      </c>
      <c r="AM1643">
        <v>691</v>
      </c>
      <c r="AN1643">
        <v>48</v>
      </c>
      <c r="AP1643">
        <v>1</v>
      </c>
      <c r="AR1643" t="s">
        <v>1731</v>
      </c>
      <c r="AS1643" s="1">
        <v>44354.347222222219</v>
      </c>
      <c r="AT1643" s="1">
        <v>44354.354386574072</v>
      </c>
      <c r="AU1643" s="1">
        <v>44354.355196759258</v>
      </c>
      <c r="AV1643" t="s">
        <v>71</v>
      </c>
      <c r="AW1643" t="s">
        <v>72</v>
      </c>
      <c r="AX1643" t="s">
        <v>73</v>
      </c>
    </row>
    <row r="1644" spans="1:50" x14ac:dyDescent="0.3">
      <c r="A1644" t="str">
        <f>"202039E0100"</f>
        <v>202039E0100</v>
      </c>
      <c r="B1644" t="str">
        <f>"202039E01002"</f>
        <v>202039E01002</v>
      </c>
      <c r="C1644" t="str">
        <f t="shared" si="81"/>
        <v>20</v>
      </c>
      <c r="D1644" t="s">
        <v>67</v>
      </c>
      <c r="E1644" t="str">
        <f t="shared" si="82"/>
        <v>007</v>
      </c>
      <c r="F1644" t="s">
        <v>1519</v>
      </c>
      <c r="G1644" t="str">
        <f>"2039"</f>
        <v>2039</v>
      </c>
      <c r="H1644" t="str">
        <f>"0001"</f>
        <v>0001</v>
      </c>
      <c r="I1644" t="s">
        <v>109</v>
      </c>
      <c r="J1644">
        <v>0</v>
      </c>
      <c r="K1644">
        <v>1</v>
      </c>
      <c r="L1644">
        <v>2</v>
      </c>
      <c r="M1644">
        <v>319</v>
      </c>
      <c r="N1644">
        <v>287</v>
      </c>
      <c r="O1644">
        <v>10</v>
      </c>
      <c r="P1644">
        <v>287</v>
      </c>
      <c r="Q1644">
        <v>3</v>
      </c>
      <c r="R1644">
        <v>26</v>
      </c>
      <c r="S1644">
        <v>6</v>
      </c>
      <c r="T1644">
        <v>8</v>
      </c>
      <c r="U1644">
        <v>5</v>
      </c>
      <c r="V1644">
        <v>5</v>
      </c>
      <c r="W1644">
        <v>1</v>
      </c>
      <c r="X1644">
        <v>82</v>
      </c>
      <c r="Y1644">
        <v>2</v>
      </c>
      <c r="Z1644">
        <v>6</v>
      </c>
      <c r="AA1644">
        <v>10</v>
      </c>
      <c r="AB1644">
        <v>40</v>
      </c>
      <c r="AC1644">
        <v>79</v>
      </c>
      <c r="AD1644">
        <v>0</v>
      </c>
      <c r="AE1644">
        <v>0</v>
      </c>
      <c r="AF1644">
        <v>0</v>
      </c>
      <c r="AG1644">
        <v>0</v>
      </c>
      <c r="AI1644">
        <v>0</v>
      </c>
      <c r="AJ1644">
        <v>14</v>
      </c>
      <c r="AK1644">
        <v>287</v>
      </c>
      <c r="AL1644">
        <v>287</v>
      </c>
      <c r="AM1644">
        <v>558</v>
      </c>
      <c r="AN1644">
        <v>48</v>
      </c>
      <c r="AP1644">
        <v>1</v>
      </c>
      <c r="AR1644" t="s">
        <v>1732</v>
      </c>
      <c r="AS1644" s="1">
        <v>44354.34375</v>
      </c>
      <c r="AT1644" s="1">
        <v>44354.350173611114</v>
      </c>
      <c r="AU1644" s="1">
        <v>44354.35050925926</v>
      </c>
      <c r="AV1644" t="s">
        <v>71</v>
      </c>
      <c r="AW1644" t="s">
        <v>72</v>
      </c>
      <c r="AX1644" t="s">
        <v>73</v>
      </c>
    </row>
    <row r="1645" spans="1:50" x14ac:dyDescent="0.3">
      <c r="A1645" t="str">
        <f>"202039E0200"</f>
        <v>202039E0200</v>
      </c>
      <c r="B1645" t="str">
        <f>"202039E02002"</f>
        <v>202039E02002</v>
      </c>
      <c r="C1645" t="str">
        <f t="shared" si="81"/>
        <v>20</v>
      </c>
      <c r="D1645" t="s">
        <v>67</v>
      </c>
      <c r="E1645" t="str">
        <f t="shared" si="82"/>
        <v>007</v>
      </c>
      <c r="F1645" t="s">
        <v>1519</v>
      </c>
      <c r="G1645" t="str">
        <f>"2039"</f>
        <v>2039</v>
      </c>
      <c r="H1645" t="str">
        <f>"0002"</f>
        <v>0002</v>
      </c>
      <c r="I1645" t="s">
        <v>109</v>
      </c>
      <c r="J1645">
        <v>0</v>
      </c>
      <c r="K1645">
        <v>1</v>
      </c>
      <c r="L1645">
        <v>2</v>
      </c>
      <c r="M1645">
        <v>48</v>
      </c>
      <c r="N1645">
        <v>112</v>
      </c>
      <c r="O1645">
        <v>2</v>
      </c>
      <c r="P1645">
        <v>112</v>
      </c>
      <c r="Q1645">
        <v>0</v>
      </c>
      <c r="R1645">
        <v>1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109</v>
      </c>
      <c r="Y1645">
        <v>0</v>
      </c>
      <c r="Z1645">
        <v>0</v>
      </c>
      <c r="AA1645">
        <v>1</v>
      </c>
      <c r="AB1645">
        <v>0</v>
      </c>
      <c r="AC1645">
        <v>1</v>
      </c>
      <c r="AD1645">
        <v>0</v>
      </c>
      <c r="AE1645">
        <v>0</v>
      </c>
      <c r="AF1645">
        <v>0</v>
      </c>
      <c r="AG1645">
        <v>0</v>
      </c>
      <c r="AI1645">
        <v>0</v>
      </c>
      <c r="AJ1645">
        <v>0</v>
      </c>
      <c r="AK1645">
        <v>112</v>
      </c>
      <c r="AL1645">
        <v>112</v>
      </c>
      <c r="AM1645">
        <v>112</v>
      </c>
      <c r="AN1645">
        <v>48</v>
      </c>
      <c r="AP1645">
        <v>1</v>
      </c>
      <c r="AR1645" t="s">
        <v>1733</v>
      </c>
      <c r="AS1645" s="1">
        <v>44354.344444444447</v>
      </c>
      <c r="AT1645" s="1">
        <v>44354.351053240738</v>
      </c>
      <c r="AU1645" s="1">
        <v>44354.351585648146</v>
      </c>
      <c r="AV1645" t="s">
        <v>71</v>
      </c>
      <c r="AW1645" t="s">
        <v>72</v>
      </c>
      <c r="AX1645" t="s">
        <v>73</v>
      </c>
    </row>
    <row r="1646" spans="1:50" x14ac:dyDescent="0.3">
      <c r="A1646" t="str">
        <f>"202040B0000"</f>
        <v>202040B0000</v>
      </c>
      <c r="B1646" t="str">
        <f>"202040B00002"</f>
        <v>202040B00002</v>
      </c>
      <c r="C1646" t="str">
        <f t="shared" si="81"/>
        <v>20</v>
      </c>
      <c r="D1646" t="s">
        <v>67</v>
      </c>
      <c r="E1646" t="str">
        <f t="shared" si="82"/>
        <v>007</v>
      </c>
      <c r="F1646" t="s">
        <v>1519</v>
      </c>
      <c r="G1646" t="str">
        <f>"2040"</f>
        <v>2040</v>
      </c>
      <c r="H1646" t="str">
        <f>"0000"</f>
        <v>0000</v>
      </c>
      <c r="I1646" t="s">
        <v>69</v>
      </c>
      <c r="J1646">
        <v>0</v>
      </c>
      <c r="K1646">
        <v>1</v>
      </c>
      <c r="L1646">
        <v>2</v>
      </c>
      <c r="M1646">
        <v>422</v>
      </c>
      <c r="N1646">
        <v>367</v>
      </c>
      <c r="O1646">
        <v>8</v>
      </c>
      <c r="P1646">
        <v>367</v>
      </c>
      <c r="Q1646" t="s">
        <v>99</v>
      </c>
      <c r="R1646">
        <v>17</v>
      </c>
      <c r="S1646">
        <v>2</v>
      </c>
      <c r="T1646">
        <v>9</v>
      </c>
      <c r="U1646">
        <v>16</v>
      </c>
      <c r="V1646">
        <v>4</v>
      </c>
      <c r="W1646">
        <v>1</v>
      </c>
      <c r="X1646">
        <v>107</v>
      </c>
      <c r="Y1646">
        <v>12</v>
      </c>
      <c r="Z1646">
        <v>2</v>
      </c>
      <c r="AA1646">
        <v>6</v>
      </c>
      <c r="AB1646" t="s">
        <v>99</v>
      </c>
      <c r="AC1646">
        <v>99</v>
      </c>
      <c r="AD1646">
        <v>0</v>
      </c>
      <c r="AE1646">
        <v>0</v>
      </c>
      <c r="AF1646">
        <v>0</v>
      </c>
      <c r="AG1646">
        <v>0</v>
      </c>
      <c r="AI1646">
        <v>0</v>
      </c>
      <c r="AJ1646" t="s">
        <v>99</v>
      </c>
      <c r="AK1646" t="s">
        <v>99</v>
      </c>
      <c r="AL1646">
        <v>275</v>
      </c>
      <c r="AM1646">
        <v>741</v>
      </c>
      <c r="AN1646">
        <v>48</v>
      </c>
      <c r="AO1646" t="s">
        <v>78</v>
      </c>
      <c r="AP1646">
        <v>1</v>
      </c>
      <c r="AR1646" t="s">
        <v>1734</v>
      </c>
      <c r="AS1646" s="1">
        <v>44354.343055555553</v>
      </c>
      <c r="AT1646" s="1">
        <v>44354.356631944444</v>
      </c>
      <c r="AU1646" s="1">
        <v>44354.373182870368</v>
      </c>
      <c r="AV1646" t="s">
        <v>71</v>
      </c>
      <c r="AW1646" t="s">
        <v>72</v>
      </c>
      <c r="AX1646" t="s">
        <v>73</v>
      </c>
    </row>
    <row r="1647" spans="1:50" x14ac:dyDescent="0.3">
      <c r="A1647" t="str">
        <f>"202041B0000"</f>
        <v>202041B0000</v>
      </c>
      <c r="B1647" t="str">
        <f>"202041B00002"</f>
        <v>202041B00002</v>
      </c>
      <c r="C1647" t="str">
        <f t="shared" si="81"/>
        <v>20</v>
      </c>
      <c r="D1647" t="s">
        <v>67</v>
      </c>
      <c r="E1647" t="str">
        <f t="shared" si="82"/>
        <v>007</v>
      </c>
      <c r="F1647" t="s">
        <v>1519</v>
      </c>
      <c r="G1647" t="str">
        <f>"2041"</f>
        <v>2041</v>
      </c>
      <c r="H1647" t="str">
        <f>"0000"</f>
        <v>0000</v>
      </c>
      <c r="I1647" t="s">
        <v>69</v>
      </c>
      <c r="J1647">
        <v>0</v>
      </c>
      <c r="K1647">
        <v>1</v>
      </c>
      <c r="L1647">
        <v>2</v>
      </c>
      <c r="M1647">
        <v>397</v>
      </c>
      <c r="N1647">
        <v>387</v>
      </c>
      <c r="O1647">
        <v>10</v>
      </c>
      <c r="P1647">
        <v>387</v>
      </c>
      <c r="Q1647">
        <v>7</v>
      </c>
      <c r="R1647">
        <v>56</v>
      </c>
      <c r="S1647">
        <v>12</v>
      </c>
      <c r="T1647">
        <v>9</v>
      </c>
      <c r="U1647">
        <v>32</v>
      </c>
      <c r="V1647">
        <v>11</v>
      </c>
      <c r="W1647">
        <v>0</v>
      </c>
      <c r="X1647">
        <v>123</v>
      </c>
      <c r="Y1647">
        <v>1</v>
      </c>
      <c r="Z1647">
        <v>12</v>
      </c>
      <c r="AA1647">
        <v>4</v>
      </c>
      <c r="AB1647">
        <v>24</v>
      </c>
      <c r="AC1647">
        <v>48</v>
      </c>
      <c r="AD1647">
        <v>1</v>
      </c>
      <c r="AE1647">
        <v>0</v>
      </c>
      <c r="AF1647">
        <v>1</v>
      </c>
      <c r="AG1647">
        <v>0</v>
      </c>
      <c r="AI1647">
        <v>0</v>
      </c>
      <c r="AJ1647">
        <v>46</v>
      </c>
      <c r="AK1647">
        <v>387</v>
      </c>
      <c r="AL1647">
        <v>387</v>
      </c>
      <c r="AM1647">
        <v>736</v>
      </c>
      <c r="AN1647">
        <v>48</v>
      </c>
      <c r="AP1647">
        <v>1</v>
      </c>
      <c r="AR1647" t="s">
        <v>1735</v>
      </c>
      <c r="AS1647" s="1">
        <v>44354.349305555559</v>
      </c>
      <c r="AT1647" s="1">
        <v>44354.353333333333</v>
      </c>
      <c r="AU1647" s="1">
        <v>44354.354363425926</v>
      </c>
      <c r="AV1647" t="s">
        <v>71</v>
      </c>
      <c r="AW1647" t="s">
        <v>72</v>
      </c>
      <c r="AX1647" t="s">
        <v>73</v>
      </c>
    </row>
    <row r="1648" spans="1:50" x14ac:dyDescent="0.3">
      <c r="A1648" t="str">
        <f>"202042B0000"</f>
        <v>202042B0000</v>
      </c>
      <c r="B1648" t="str">
        <f>"202042B00002"</f>
        <v>202042B00002</v>
      </c>
      <c r="C1648" t="str">
        <f t="shared" si="81"/>
        <v>20</v>
      </c>
      <c r="D1648" t="s">
        <v>67</v>
      </c>
      <c r="E1648" t="str">
        <f t="shared" si="82"/>
        <v>007</v>
      </c>
      <c r="F1648" t="s">
        <v>1519</v>
      </c>
      <c r="G1648" t="str">
        <f>"2042"</f>
        <v>2042</v>
      </c>
      <c r="H1648" t="str">
        <f>"0000"</f>
        <v>0000</v>
      </c>
      <c r="I1648" t="s">
        <v>69</v>
      </c>
      <c r="J1648">
        <v>0</v>
      </c>
      <c r="K1648">
        <v>1</v>
      </c>
      <c r="L1648">
        <v>2</v>
      </c>
      <c r="M1648">
        <v>253</v>
      </c>
      <c r="N1648">
        <v>412</v>
      </c>
      <c r="O1648">
        <v>6</v>
      </c>
      <c r="P1648">
        <v>412</v>
      </c>
      <c r="Q1648">
        <v>2</v>
      </c>
      <c r="R1648">
        <v>111</v>
      </c>
      <c r="S1648">
        <v>16</v>
      </c>
      <c r="T1648">
        <v>9</v>
      </c>
      <c r="U1648">
        <v>55</v>
      </c>
      <c r="V1648">
        <v>5</v>
      </c>
      <c r="W1648">
        <v>2</v>
      </c>
      <c r="X1648">
        <v>36</v>
      </c>
      <c r="Y1648">
        <v>2</v>
      </c>
      <c r="Z1648">
        <v>0</v>
      </c>
      <c r="AA1648">
        <v>1</v>
      </c>
      <c r="AB1648">
        <v>20</v>
      </c>
      <c r="AC1648">
        <v>138</v>
      </c>
      <c r="AD1648">
        <v>1</v>
      </c>
      <c r="AE1648">
        <v>1</v>
      </c>
      <c r="AF1648">
        <v>0</v>
      </c>
      <c r="AG1648">
        <v>0</v>
      </c>
      <c r="AI1648">
        <v>0</v>
      </c>
      <c r="AJ1648">
        <v>12</v>
      </c>
      <c r="AK1648">
        <v>412</v>
      </c>
      <c r="AL1648">
        <v>411</v>
      </c>
      <c r="AM1648">
        <v>618</v>
      </c>
      <c r="AN1648">
        <v>48</v>
      </c>
      <c r="AP1648">
        <v>1</v>
      </c>
      <c r="AR1648" t="s">
        <v>1736</v>
      </c>
      <c r="AS1648" s="1">
        <v>44354.355555555558</v>
      </c>
      <c r="AT1648" s="1">
        <v>44354.361539351848</v>
      </c>
      <c r="AU1648" s="1">
        <v>44354.362199074072</v>
      </c>
      <c r="AV1648" t="s">
        <v>71</v>
      </c>
      <c r="AW1648" t="s">
        <v>72</v>
      </c>
      <c r="AX1648" t="s">
        <v>73</v>
      </c>
    </row>
    <row r="1649" spans="1:50" x14ac:dyDescent="0.3">
      <c r="A1649" t="str">
        <f>"202042C0100"</f>
        <v>202042C0100</v>
      </c>
      <c r="B1649" t="str">
        <f>"202042C01002"</f>
        <v>202042C01002</v>
      </c>
      <c r="C1649" t="str">
        <f t="shared" si="81"/>
        <v>20</v>
      </c>
      <c r="D1649" t="s">
        <v>67</v>
      </c>
      <c r="E1649" t="str">
        <f t="shared" si="82"/>
        <v>007</v>
      </c>
      <c r="F1649" t="s">
        <v>1519</v>
      </c>
      <c r="G1649" t="str">
        <f>"2042"</f>
        <v>2042</v>
      </c>
      <c r="H1649" t="str">
        <f>"0001"</f>
        <v>0001</v>
      </c>
      <c r="I1649" t="s">
        <v>75</v>
      </c>
      <c r="J1649">
        <v>0</v>
      </c>
      <c r="K1649">
        <v>1</v>
      </c>
      <c r="L1649">
        <v>2</v>
      </c>
      <c r="M1649">
        <v>276</v>
      </c>
      <c r="N1649">
        <v>387</v>
      </c>
      <c r="O1649">
        <v>6</v>
      </c>
      <c r="P1649">
        <v>387</v>
      </c>
      <c r="Q1649">
        <v>2</v>
      </c>
      <c r="R1649">
        <v>81</v>
      </c>
      <c r="S1649">
        <v>12</v>
      </c>
      <c r="T1649">
        <v>11</v>
      </c>
      <c r="U1649">
        <v>65</v>
      </c>
      <c r="V1649">
        <v>3</v>
      </c>
      <c r="W1649">
        <v>3</v>
      </c>
      <c r="X1649">
        <v>21</v>
      </c>
      <c r="Y1649">
        <v>1</v>
      </c>
      <c r="Z1649">
        <v>3</v>
      </c>
      <c r="AA1649">
        <v>3</v>
      </c>
      <c r="AB1649">
        <v>22</v>
      </c>
      <c r="AC1649">
        <v>141</v>
      </c>
      <c r="AD1649">
        <v>1</v>
      </c>
      <c r="AE1649">
        <v>2</v>
      </c>
      <c r="AF1649">
        <v>0</v>
      </c>
      <c r="AG1649">
        <v>0</v>
      </c>
      <c r="AI1649">
        <v>0</v>
      </c>
      <c r="AJ1649">
        <v>16</v>
      </c>
      <c r="AK1649">
        <v>387</v>
      </c>
      <c r="AL1649">
        <v>387</v>
      </c>
      <c r="AM1649">
        <v>617</v>
      </c>
      <c r="AN1649">
        <v>48</v>
      </c>
      <c r="AP1649">
        <v>1</v>
      </c>
      <c r="AR1649" t="s">
        <v>1737</v>
      </c>
      <c r="AS1649" s="1">
        <v>44354.36041666667</v>
      </c>
      <c r="AT1649" s="1">
        <v>44354.364247685182</v>
      </c>
      <c r="AU1649" s="1">
        <v>44354.364907407406</v>
      </c>
      <c r="AV1649" t="s">
        <v>71</v>
      </c>
      <c r="AW1649" t="s">
        <v>72</v>
      </c>
      <c r="AX1649" t="s">
        <v>73</v>
      </c>
    </row>
    <row r="1650" spans="1:50" x14ac:dyDescent="0.3">
      <c r="A1650" t="str">
        <f>"202042E0100"</f>
        <v>202042E0100</v>
      </c>
      <c r="B1650" t="str">
        <f>"202042E01002"</f>
        <v>202042E01002</v>
      </c>
      <c r="C1650" t="str">
        <f t="shared" si="81"/>
        <v>20</v>
      </c>
      <c r="D1650" t="s">
        <v>67</v>
      </c>
      <c r="E1650" t="str">
        <f t="shared" si="82"/>
        <v>007</v>
      </c>
      <c r="F1650" t="s">
        <v>1519</v>
      </c>
      <c r="G1650" t="str">
        <f>"2042"</f>
        <v>2042</v>
      </c>
      <c r="H1650" t="str">
        <f>"0001"</f>
        <v>0001</v>
      </c>
      <c r="I1650" t="s">
        <v>109</v>
      </c>
      <c r="J1650">
        <v>0</v>
      </c>
      <c r="K1650">
        <v>1</v>
      </c>
      <c r="L1650">
        <v>2</v>
      </c>
      <c r="M1650">
        <v>189</v>
      </c>
      <c r="N1650">
        <v>286</v>
      </c>
      <c r="O1650">
        <v>6</v>
      </c>
      <c r="P1650">
        <v>286</v>
      </c>
      <c r="Q1650">
        <v>4</v>
      </c>
      <c r="R1650">
        <v>107</v>
      </c>
      <c r="S1650">
        <v>3</v>
      </c>
      <c r="T1650">
        <v>2</v>
      </c>
      <c r="U1650">
        <v>15</v>
      </c>
      <c r="V1650">
        <v>9</v>
      </c>
      <c r="W1650">
        <v>0</v>
      </c>
      <c r="X1650">
        <v>11</v>
      </c>
      <c r="Y1650">
        <v>0</v>
      </c>
      <c r="Z1650">
        <v>0</v>
      </c>
      <c r="AA1650">
        <v>2</v>
      </c>
      <c r="AB1650">
        <v>9</v>
      </c>
      <c r="AC1650">
        <v>92</v>
      </c>
      <c r="AD1650" t="s">
        <v>77</v>
      </c>
      <c r="AE1650" t="s">
        <v>77</v>
      </c>
      <c r="AF1650" t="s">
        <v>77</v>
      </c>
      <c r="AG1650" t="s">
        <v>77</v>
      </c>
      <c r="AI1650" t="s">
        <v>77</v>
      </c>
      <c r="AJ1650">
        <v>32</v>
      </c>
      <c r="AK1650">
        <v>286</v>
      </c>
      <c r="AL1650">
        <v>286</v>
      </c>
      <c r="AM1650">
        <v>428</v>
      </c>
      <c r="AN1650">
        <v>48</v>
      </c>
      <c r="AO1650" t="s">
        <v>78</v>
      </c>
      <c r="AP1650">
        <v>1</v>
      </c>
      <c r="AR1650" t="s">
        <v>1738</v>
      </c>
      <c r="AS1650" s="1">
        <v>44354.361805555556</v>
      </c>
      <c r="AT1650" s="1">
        <v>44354.364988425928</v>
      </c>
      <c r="AU1650" s="1">
        <v>44354.365636574075</v>
      </c>
      <c r="AV1650" t="s">
        <v>71</v>
      </c>
      <c r="AW1650" t="s">
        <v>72</v>
      </c>
      <c r="AX1650" t="s">
        <v>73</v>
      </c>
    </row>
    <row r="1651" spans="1:50" x14ac:dyDescent="0.3">
      <c r="A1651" t="str">
        <f>"202042E0101"</f>
        <v>202042E0101</v>
      </c>
      <c r="B1651" t="str">
        <f>"202042E01012"</f>
        <v>202042E01012</v>
      </c>
      <c r="C1651" t="str">
        <f t="shared" si="81"/>
        <v>20</v>
      </c>
      <c r="D1651" t="s">
        <v>67</v>
      </c>
      <c r="E1651" t="str">
        <f t="shared" si="82"/>
        <v>007</v>
      </c>
      <c r="F1651" t="s">
        <v>1519</v>
      </c>
      <c r="G1651" t="str">
        <f>"2042"</f>
        <v>2042</v>
      </c>
      <c r="H1651" t="str">
        <f>"0001"</f>
        <v>0001</v>
      </c>
      <c r="I1651" t="s">
        <v>109</v>
      </c>
      <c r="J1651">
        <v>1</v>
      </c>
      <c r="K1651">
        <v>1</v>
      </c>
      <c r="L1651">
        <v>2</v>
      </c>
      <c r="M1651">
        <v>180</v>
      </c>
      <c r="N1651">
        <v>295</v>
      </c>
      <c r="O1651">
        <v>5</v>
      </c>
      <c r="P1651">
        <v>295</v>
      </c>
      <c r="Q1651">
        <v>3</v>
      </c>
      <c r="R1651">
        <v>129</v>
      </c>
      <c r="S1651">
        <v>1</v>
      </c>
      <c r="T1651">
        <v>4</v>
      </c>
      <c r="U1651">
        <v>6</v>
      </c>
      <c r="V1651">
        <v>6</v>
      </c>
      <c r="W1651">
        <v>0</v>
      </c>
      <c r="X1651">
        <v>19</v>
      </c>
      <c r="Y1651">
        <v>1</v>
      </c>
      <c r="Z1651">
        <v>3</v>
      </c>
      <c r="AA1651">
        <v>4</v>
      </c>
      <c r="AB1651">
        <v>5</v>
      </c>
      <c r="AC1651">
        <v>87</v>
      </c>
      <c r="AD1651">
        <v>1</v>
      </c>
      <c r="AE1651">
        <v>0</v>
      </c>
      <c r="AF1651">
        <v>0</v>
      </c>
      <c r="AG1651">
        <v>2</v>
      </c>
      <c r="AI1651">
        <v>0</v>
      </c>
      <c r="AJ1651">
        <v>24</v>
      </c>
      <c r="AK1651">
        <v>295</v>
      </c>
      <c r="AL1651">
        <v>295</v>
      </c>
      <c r="AM1651">
        <v>428</v>
      </c>
      <c r="AN1651">
        <v>48</v>
      </c>
      <c r="AP1651">
        <v>1</v>
      </c>
      <c r="AR1651" t="s">
        <v>1739</v>
      </c>
      <c r="AS1651" s="1">
        <v>44354.362500000003</v>
      </c>
      <c r="AT1651" s="1">
        <v>44354.366412037038</v>
      </c>
      <c r="AU1651" s="1">
        <v>44354.367395833331</v>
      </c>
      <c r="AV1651" t="s">
        <v>71</v>
      </c>
      <c r="AW1651" t="s">
        <v>72</v>
      </c>
      <c r="AX1651" t="s">
        <v>73</v>
      </c>
    </row>
    <row r="1652" spans="1:50" x14ac:dyDescent="0.3">
      <c r="A1652" t="str">
        <f>"202043B0000"</f>
        <v>202043B0000</v>
      </c>
      <c r="B1652" t="str">
        <f>"202043B00002"</f>
        <v>202043B00002</v>
      </c>
      <c r="C1652" t="str">
        <f t="shared" si="81"/>
        <v>20</v>
      </c>
      <c r="D1652" t="s">
        <v>67</v>
      </c>
      <c r="E1652" t="str">
        <f t="shared" si="82"/>
        <v>007</v>
      </c>
      <c r="F1652" t="s">
        <v>1519</v>
      </c>
      <c r="G1652" t="str">
        <f>"2043"</f>
        <v>2043</v>
      </c>
      <c r="H1652" t="str">
        <f>"0000"</f>
        <v>0000</v>
      </c>
      <c r="I1652" t="s">
        <v>69</v>
      </c>
      <c r="J1652">
        <v>0</v>
      </c>
      <c r="K1652">
        <v>1</v>
      </c>
      <c r="L1652">
        <v>2</v>
      </c>
      <c r="M1652">
        <v>233</v>
      </c>
      <c r="N1652">
        <v>194</v>
      </c>
      <c r="O1652">
        <v>9</v>
      </c>
      <c r="P1652">
        <v>192</v>
      </c>
      <c r="Q1652">
        <v>5</v>
      </c>
      <c r="R1652">
        <v>27</v>
      </c>
      <c r="S1652">
        <v>5</v>
      </c>
      <c r="T1652">
        <v>5</v>
      </c>
      <c r="U1652">
        <v>11</v>
      </c>
      <c r="V1652">
        <v>4</v>
      </c>
      <c r="W1652">
        <v>4</v>
      </c>
      <c r="X1652">
        <v>21</v>
      </c>
      <c r="Y1652">
        <v>2</v>
      </c>
      <c r="Z1652">
        <v>7</v>
      </c>
      <c r="AA1652">
        <v>6</v>
      </c>
      <c r="AB1652">
        <v>16</v>
      </c>
      <c r="AC1652">
        <v>59</v>
      </c>
      <c r="AD1652">
        <v>0</v>
      </c>
      <c r="AE1652">
        <v>0</v>
      </c>
      <c r="AF1652">
        <v>0</v>
      </c>
      <c r="AG1652">
        <v>1</v>
      </c>
      <c r="AI1652">
        <v>0</v>
      </c>
      <c r="AJ1652">
        <v>19</v>
      </c>
      <c r="AK1652">
        <v>192</v>
      </c>
      <c r="AL1652">
        <v>192</v>
      </c>
      <c r="AM1652">
        <v>378</v>
      </c>
      <c r="AN1652">
        <v>48</v>
      </c>
      <c r="AP1652">
        <v>1</v>
      </c>
      <c r="AR1652" t="s">
        <v>1740</v>
      </c>
      <c r="AS1652" s="1">
        <v>44354.6</v>
      </c>
      <c r="AT1652" s="1">
        <v>44354.604108796295</v>
      </c>
      <c r="AU1652" s="1">
        <v>44354.604675925926</v>
      </c>
      <c r="AV1652" t="s">
        <v>71</v>
      </c>
      <c r="AW1652" t="s">
        <v>72</v>
      </c>
      <c r="AX1652" t="s">
        <v>73</v>
      </c>
    </row>
    <row r="1653" spans="1:50" x14ac:dyDescent="0.3">
      <c r="A1653" t="str">
        <f>"202043C0100"</f>
        <v>202043C0100</v>
      </c>
      <c r="B1653" t="str">
        <f>"202043C01002"</f>
        <v>202043C01002</v>
      </c>
      <c r="C1653" t="str">
        <f t="shared" si="81"/>
        <v>20</v>
      </c>
      <c r="D1653" t="s">
        <v>67</v>
      </c>
      <c r="E1653" t="str">
        <f t="shared" si="82"/>
        <v>007</v>
      </c>
      <c r="F1653" t="s">
        <v>1519</v>
      </c>
      <c r="G1653" t="str">
        <f>"2043"</f>
        <v>2043</v>
      </c>
      <c r="H1653" t="str">
        <f>"0001"</f>
        <v>0001</v>
      </c>
      <c r="I1653" t="s">
        <v>75</v>
      </c>
      <c r="J1653">
        <v>0</v>
      </c>
      <c r="K1653">
        <v>1</v>
      </c>
      <c r="L1653">
        <v>2</v>
      </c>
      <c r="M1653">
        <v>221</v>
      </c>
      <c r="N1653">
        <v>205</v>
      </c>
      <c r="O1653">
        <v>9</v>
      </c>
      <c r="P1653">
        <v>206</v>
      </c>
      <c r="Q1653">
        <v>1</v>
      </c>
      <c r="R1653">
        <v>28</v>
      </c>
      <c r="S1653">
        <v>1</v>
      </c>
      <c r="T1653">
        <v>2</v>
      </c>
      <c r="U1653">
        <v>7</v>
      </c>
      <c r="V1653">
        <v>5</v>
      </c>
      <c r="W1653">
        <v>6</v>
      </c>
      <c r="X1653">
        <v>35</v>
      </c>
      <c r="Y1653">
        <v>0</v>
      </c>
      <c r="Z1653">
        <v>6</v>
      </c>
      <c r="AA1653">
        <v>3</v>
      </c>
      <c r="AB1653">
        <v>11</v>
      </c>
      <c r="AC1653">
        <v>66</v>
      </c>
      <c r="AD1653">
        <v>0</v>
      </c>
      <c r="AE1653">
        <v>0</v>
      </c>
      <c r="AF1653">
        <v>0</v>
      </c>
      <c r="AG1653">
        <v>0</v>
      </c>
      <c r="AI1653">
        <v>0</v>
      </c>
      <c r="AJ1653">
        <v>35</v>
      </c>
      <c r="AK1653">
        <v>206</v>
      </c>
      <c r="AL1653">
        <v>206</v>
      </c>
      <c r="AM1653">
        <v>378</v>
      </c>
      <c r="AN1653">
        <v>48</v>
      </c>
      <c r="AP1653">
        <v>1</v>
      </c>
      <c r="AR1653" t="s">
        <v>1741</v>
      </c>
      <c r="AS1653" s="1">
        <v>44354.59375</v>
      </c>
      <c r="AT1653" s="1">
        <v>44354.601412037038</v>
      </c>
      <c r="AU1653" s="1">
        <v>44354.601921296293</v>
      </c>
      <c r="AV1653" t="s">
        <v>71</v>
      </c>
      <c r="AW1653" t="s">
        <v>72</v>
      </c>
      <c r="AX1653" t="s">
        <v>73</v>
      </c>
    </row>
    <row r="1654" spans="1:50" x14ac:dyDescent="0.3">
      <c r="A1654" t="str">
        <f>"202043E0100"</f>
        <v>202043E0100</v>
      </c>
      <c r="B1654" t="str">
        <f>"202043E01002"</f>
        <v>202043E01002</v>
      </c>
      <c r="C1654" t="str">
        <f t="shared" si="81"/>
        <v>20</v>
      </c>
      <c r="D1654" t="s">
        <v>67</v>
      </c>
      <c r="E1654" t="str">
        <f t="shared" si="82"/>
        <v>007</v>
      </c>
      <c r="F1654" t="s">
        <v>1519</v>
      </c>
      <c r="G1654" t="str">
        <f>"2043"</f>
        <v>2043</v>
      </c>
      <c r="H1654" t="str">
        <f>"0001"</f>
        <v>0001</v>
      </c>
      <c r="I1654" t="s">
        <v>109</v>
      </c>
      <c r="J1654">
        <v>0</v>
      </c>
      <c r="K1654">
        <v>1</v>
      </c>
      <c r="L1654">
        <v>2</v>
      </c>
      <c r="M1654">
        <v>444</v>
      </c>
      <c r="N1654">
        <v>294</v>
      </c>
      <c r="O1654">
        <v>8</v>
      </c>
      <c r="P1654">
        <v>284</v>
      </c>
      <c r="Q1654">
        <v>5</v>
      </c>
      <c r="R1654">
        <v>28</v>
      </c>
      <c r="S1654">
        <v>16</v>
      </c>
      <c r="T1654">
        <v>3</v>
      </c>
      <c r="U1654">
        <v>36</v>
      </c>
      <c r="V1654">
        <v>12</v>
      </c>
      <c r="W1654">
        <v>7</v>
      </c>
      <c r="X1654">
        <v>100</v>
      </c>
      <c r="Y1654">
        <v>4</v>
      </c>
      <c r="Z1654">
        <v>6</v>
      </c>
      <c r="AA1654">
        <v>16</v>
      </c>
      <c r="AB1654">
        <v>22</v>
      </c>
      <c r="AC1654">
        <v>19</v>
      </c>
      <c r="AD1654">
        <v>0</v>
      </c>
      <c r="AE1654">
        <v>0</v>
      </c>
      <c r="AF1654">
        <v>0</v>
      </c>
      <c r="AG1654">
        <v>0</v>
      </c>
      <c r="AI1654">
        <v>0</v>
      </c>
      <c r="AJ1654">
        <v>36</v>
      </c>
      <c r="AK1654">
        <v>284</v>
      </c>
      <c r="AL1654">
        <v>310</v>
      </c>
      <c r="AM1654">
        <v>729</v>
      </c>
      <c r="AN1654">
        <v>48</v>
      </c>
      <c r="AP1654">
        <v>1</v>
      </c>
      <c r="AR1654" t="s">
        <v>1742</v>
      </c>
      <c r="AS1654" s="1">
        <v>44354.6</v>
      </c>
      <c r="AT1654" s="1">
        <v>44354.611354166664</v>
      </c>
      <c r="AU1654" s="1">
        <v>44354.612187500003</v>
      </c>
      <c r="AV1654" t="s">
        <v>71</v>
      </c>
      <c r="AW1654" t="s">
        <v>72</v>
      </c>
      <c r="AX1654" t="s">
        <v>73</v>
      </c>
    </row>
    <row r="1655" spans="1:50" x14ac:dyDescent="0.3">
      <c r="A1655" t="str">
        <f>"202044B0000"</f>
        <v>202044B0000</v>
      </c>
      <c r="B1655" t="str">
        <f>"202044B00002"</f>
        <v>202044B00002</v>
      </c>
      <c r="C1655" t="str">
        <f t="shared" si="81"/>
        <v>20</v>
      </c>
      <c r="D1655" t="s">
        <v>67</v>
      </c>
      <c r="E1655" t="str">
        <f t="shared" si="82"/>
        <v>007</v>
      </c>
      <c r="F1655" t="s">
        <v>1519</v>
      </c>
      <c r="G1655" t="str">
        <f>"2044"</f>
        <v>2044</v>
      </c>
      <c r="H1655" t="str">
        <f>"0000"</f>
        <v>0000</v>
      </c>
      <c r="I1655" t="s">
        <v>69</v>
      </c>
      <c r="J1655">
        <v>0</v>
      </c>
      <c r="K1655">
        <v>1</v>
      </c>
      <c r="L1655">
        <v>2</v>
      </c>
      <c r="M1655">
        <v>314</v>
      </c>
      <c r="N1655">
        <v>378</v>
      </c>
      <c r="O1655">
        <v>4</v>
      </c>
      <c r="P1655">
        <v>378</v>
      </c>
      <c r="Q1655">
        <v>1</v>
      </c>
      <c r="R1655">
        <v>37</v>
      </c>
      <c r="S1655">
        <v>7</v>
      </c>
      <c r="T1655">
        <v>15</v>
      </c>
      <c r="U1655">
        <v>6</v>
      </c>
      <c r="V1655">
        <v>11</v>
      </c>
      <c r="W1655">
        <v>1</v>
      </c>
      <c r="X1655">
        <v>109</v>
      </c>
      <c r="Y1655">
        <v>0</v>
      </c>
      <c r="Z1655">
        <v>3</v>
      </c>
      <c r="AA1655">
        <v>4</v>
      </c>
      <c r="AB1655">
        <v>5</v>
      </c>
      <c r="AC1655">
        <v>52</v>
      </c>
      <c r="AD1655">
        <v>1</v>
      </c>
      <c r="AE1655">
        <v>0</v>
      </c>
      <c r="AF1655">
        <v>0</v>
      </c>
      <c r="AG1655">
        <v>0</v>
      </c>
      <c r="AI1655">
        <v>0</v>
      </c>
      <c r="AJ1655">
        <v>26</v>
      </c>
      <c r="AK1655">
        <v>378</v>
      </c>
      <c r="AL1655">
        <v>278</v>
      </c>
      <c r="AM1655">
        <v>644</v>
      </c>
      <c r="AN1655">
        <v>48</v>
      </c>
      <c r="AP1655">
        <v>1</v>
      </c>
      <c r="AR1655" t="s">
        <v>1743</v>
      </c>
      <c r="AS1655" s="1">
        <v>44354.344444444447</v>
      </c>
      <c r="AT1655" s="1">
        <v>44354.352662037039</v>
      </c>
      <c r="AU1655" s="1">
        <v>44354.353263888886</v>
      </c>
      <c r="AV1655" t="s">
        <v>71</v>
      </c>
      <c r="AW1655" t="s">
        <v>72</v>
      </c>
      <c r="AX1655" t="s">
        <v>73</v>
      </c>
    </row>
    <row r="1656" spans="1:50" x14ac:dyDescent="0.3">
      <c r="A1656" t="str">
        <f>"202045B0000"</f>
        <v>202045B0000</v>
      </c>
      <c r="B1656" t="str">
        <f>"202045B00002"</f>
        <v>202045B00002</v>
      </c>
      <c r="C1656" t="str">
        <f t="shared" si="81"/>
        <v>20</v>
      </c>
      <c r="D1656" t="s">
        <v>67</v>
      </c>
      <c r="E1656" t="str">
        <f t="shared" si="82"/>
        <v>007</v>
      </c>
      <c r="F1656" t="s">
        <v>1519</v>
      </c>
      <c r="G1656" t="str">
        <f>"2045"</f>
        <v>2045</v>
      </c>
      <c r="H1656" t="str">
        <f>"0000"</f>
        <v>0000</v>
      </c>
      <c r="I1656" t="s">
        <v>69</v>
      </c>
      <c r="J1656">
        <v>0</v>
      </c>
      <c r="K1656">
        <v>1</v>
      </c>
      <c r="L1656">
        <v>2</v>
      </c>
      <c r="M1656">
        <v>339</v>
      </c>
      <c r="N1656">
        <v>8</v>
      </c>
      <c r="O1656">
        <v>1</v>
      </c>
      <c r="P1656">
        <v>402</v>
      </c>
      <c r="Q1656">
        <v>4</v>
      </c>
      <c r="R1656">
        <v>178</v>
      </c>
      <c r="S1656">
        <v>14</v>
      </c>
      <c r="T1656">
        <v>28</v>
      </c>
      <c r="U1656">
        <v>1</v>
      </c>
      <c r="V1656">
        <v>27</v>
      </c>
      <c r="W1656">
        <v>3</v>
      </c>
      <c r="X1656">
        <v>4</v>
      </c>
      <c r="Y1656">
        <v>5</v>
      </c>
      <c r="Z1656">
        <v>4</v>
      </c>
      <c r="AA1656">
        <v>5</v>
      </c>
      <c r="AB1656">
        <v>28</v>
      </c>
      <c r="AC1656">
        <v>81</v>
      </c>
      <c r="AD1656">
        <v>0</v>
      </c>
      <c r="AE1656">
        <v>0</v>
      </c>
      <c r="AF1656">
        <v>0</v>
      </c>
      <c r="AG1656">
        <v>0</v>
      </c>
      <c r="AI1656">
        <v>0</v>
      </c>
      <c r="AJ1656">
        <v>0</v>
      </c>
      <c r="AK1656">
        <v>0</v>
      </c>
      <c r="AL1656">
        <v>382</v>
      </c>
      <c r="AM1656">
        <v>744</v>
      </c>
      <c r="AN1656">
        <v>48</v>
      </c>
      <c r="AP1656">
        <v>1</v>
      </c>
      <c r="AR1656" t="s">
        <v>1744</v>
      </c>
      <c r="AS1656" s="1">
        <v>44354.347916666666</v>
      </c>
      <c r="AT1656" s="1">
        <v>44354.35659722222</v>
      </c>
      <c r="AU1656" s="1">
        <v>44354.357118055559</v>
      </c>
      <c r="AV1656" t="s">
        <v>71</v>
      </c>
      <c r="AW1656" t="s">
        <v>72</v>
      </c>
      <c r="AX1656" t="s">
        <v>73</v>
      </c>
    </row>
    <row r="1657" spans="1:50" x14ac:dyDescent="0.3">
      <c r="A1657" t="str">
        <f>"202045E0100"</f>
        <v>202045E0100</v>
      </c>
      <c r="B1657" t="str">
        <f>"202045E01002"</f>
        <v>202045E01002</v>
      </c>
      <c r="C1657" t="str">
        <f t="shared" si="81"/>
        <v>20</v>
      </c>
      <c r="D1657" t="s">
        <v>67</v>
      </c>
      <c r="E1657" t="str">
        <f t="shared" si="82"/>
        <v>007</v>
      </c>
      <c r="F1657" t="s">
        <v>1519</v>
      </c>
      <c r="G1657" t="str">
        <f>"2045"</f>
        <v>2045</v>
      </c>
      <c r="H1657" t="str">
        <f>"0001"</f>
        <v>0001</v>
      </c>
      <c r="I1657" t="s">
        <v>109</v>
      </c>
      <c r="J1657">
        <v>0</v>
      </c>
      <c r="K1657">
        <v>1</v>
      </c>
      <c r="L1657">
        <v>2</v>
      </c>
      <c r="M1657">
        <v>182</v>
      </c>
      <c r="N1657">
        <v>275</v>
      </c>
      <c r="O1657">
        <v>5</v>
      </c>
      <c r="P1657" t="s">
        <v>80</v>
      </c>
      <c r="Q1657">
        <v>1</v>
      </c>
      <c r="R1657">
        <v>7</v>
      </c>
      <c r="S1657">
        <v>0</v>
      </c>
      <c r="T1657">
        <v>3</v>
      </c>
      <c r="U1657">
        <v>11</v>
      </c>
      <c r="V1657">
        <v>1</v>
      </c>
      <c r="W1657">
        <v>0</v>
      </c>
      <c r="X1657">
        <v>9</v>
      </c>
      <c r="Y1657">
        <v>1</v>
      </c>
      <c r="Z1657">
        <v>1</v>
      </c>
      <c r="AA1657">
        <v>0</v>
      </c>
      <c r="AB1657">
        <v>4</v>
      </c>
      <c r="AC1657">
        <v>232</v>
      </c>
      <c r="AD1657" t="s">
        <v>77</v>
      </c>
      <c r="AE1657" t="s">
        <v>77</v>
      </c>
      <c r="AF1657" t="s">
        <v>77</v>
      </c>
      <c r="AG1657" t="s">
        <v>77</v>
      </c>
      <c r="AI1657" t="s">
        <v>77</v>
      </c>
      <c r="AJ1657">
        <v>5</v>
      </c>
      <c r="AK1657">
        <v>275</v>
      </c>
      <c r="AL1657">
        <v>275</v>
      </c>
      <c r="AM1657">
        <v>409</v>
      </c>
      <c r="AN1657">
        <v>48</v>
      </c>
      <c r="AO1657" t="s">
        <v>78</v>
      </c>
      <c r="AP1657">
        <v>1</v>
      </c>
      <c r="AR1657" t="s">
        <v>1745</v>
      </c>
      <c r="AS1657" s="1">
        <v>44354.350694444445</v>
      </c>
      <c r="AT1657" s="1">
        <v>44354.354699074072</v>
      </c>
      <c r="AU1657" s="1">
        <v>44354.355243055557</v>
      </c>
      <c r="AV1657" t="s">
        <v>71</v>
      </c>
      <c r="AW1657" t="s">
        <v>72</v>
      </c>
      <c r="AX1657" t="s">
        <v>73</v>
      </c>
    </row>
    <row r="1658" spans="1:50" x14ac:dyDescent="0.3">
      <c r="A1658" t="str">
        <f>"202046B0000"</f>
        <v>202046B0000</v>
      </c>
      <c r="B1658" t="str">
        <f>"202046B00002"</f>
        <v>202046B00002</v>
      </c>
      <c r="C1658" t="str">
        <f t="shared" si="81"/>
        <v>20</v>
      </c>
      <c r="D1658" t="s">
        <v>67</v>
      </c>
      <c r="E1658" t="str">
        <f t="shared" si="82"/>
        <v>007</v>
      </c>
      <c r="F1658" t="s">
        <v>1519</v>
      </c>
      <c r="G1658" t="str">
        <f>"2046"</f>
        <v>2046</v>
      </c>
      <c r="H1658" t="str">
        <f>"0000"</f>
        <v>0000</v>
      </c>
      <c r="I1658" t="s">
        <v>69</v>
      </c>
      <c r="J1658">
        <v>0</v>
      </c>
      <c r="K1658">
        <v>1</v>
      </c>
      <c r="L1658">
        <v>2</v>
      </c>
      <c r="M1658">
        <v>111</v>
      </c>
      <c r="N1658">
        <v>207</v>
      </c>
      <c r="O1658">
        <v>5</v>
      </c>
      <c r="P1658" t="s">
        <v>80</v>
      </c>
      <c r="Q1658">
        <v>0</v>
      </c>
      <c r="R1658">
        <v>3</v>
      </c>
      <c r="S1658">
        <v>1</v>
      </c>
      <c r="T1658">
        <v>5</v>
      </c>
      <c r="U1658">
        <v>2</v>
      </c>
      <c r="V1658">
        <v>2</v>
      </c>
      <c r="W1658">
        <v>1</v>
      </c>
      <c r="X1658">
        <v>153</v>
      </c>
      <c r="Y1658">
        <v>1</v>
      </c>
      <c r="Z1658">
        <v>1</v>
      </c>
      <c r="AA1658">
        <v>5</v>
      </c>
      <c r="AB1658">
        <v>1</v>
      </c>
      <c r="AC1658">
        <v>17</v>
      </c>
      <c r="AD1658">
        <v>0</v>
      </c>
      <c r="AE1658">
        <v>0</v>
      </c>
      <c r="AF1658">
        <v>0</v>
      </c>
      <c r="AG1658">
        <v>0</v>
      </c>
      <c r="AI1658">
        <v>0</v>
      </c>
      <c r="AJ1658">
        <v>11</v>
      </c>
      <c r="AK1658">
        <v>202</v>
      </c>
      <c r="AL1658">
        <v>203</v>
      </c>
      <c r="AM1658">
        <v>265</v>
      </c>
      <c r="AN1658">
        <v>48</v>
      </c>
      <c r="AP1658">
        <v>1</v>
      </c>
      <c r="AR1658" t="s">
        <v>1746</v>
      </c>
      <c r="AS1658" s="1">
        <v>44354.344444444447</v>
      </c>
      <c r="AT1658" s="1">
        <v>44354.352164351854</v>
      </c>
      <c r="AU1658" s="1">
        <v>44354.353472222225</v>
      </c>
      <c r="AV1658" t="s">
        <v>71</v>
      </c>
      <c r="AW1658" t="s">
        <v>72</v>
      </c>
      <c r="AX1658" t="s">
        <v>73</v>
      </c>
    </row>
    <row r="1659" spans="1:50" x14ac:dyDescent="0.3">
      <c r="A1659" t="str">
        <f>"202046E0100"</f>
        <v>202046E0100</v>
      </c>
      <c r="B1659" t="str">
        <f>"202046E01002"</f>
        <v>202046E01002</v>
      </c>
      <c r="C1659" t="str">
        <f t="shared" si="81"/>
        <v>20</v>
      </c>
      <c r="D1659" t="s">
        <v>67</v>
      </c>
      <c r="E1659" t="str">
        <f t="shared" si="82"/>
        <v>007</v>
      </c>
      <c r="F1659" t="s">
        <v>1519</v>
      </c>
      <c r="G1659" t="str">
        <f>"2046"</f>
        <v>2046</v>
      </c>
      <c r="H1659" t="str">
        <f>"0001"</f>
        <v>0001</v>
      </c>
      <c r="I1659" t="s">
        <v>109</v>
      </c>
      <c r="J1659">
        <v>0</v>
      </c>
      <c r="K1659">
        <v>1</v>
      </c>
      <c r="L1659">
        <v>2</v>
      </c>
      <c r="M1659">
        <v>60</v>
      </c>
      <c r="N1659">
        <v>418</v>
      </c>
      <c r="O1659">
        <v>2</v>
      </c>
      <c r="P1659">
        <v>418</v>
      </c>
      <c r="Q1659">
        <v>0</v>
      </c>
      <c r="R1659">
        <v>0</v>
      </c>
      <c r="S1659">
        <v>0</v>
      </c>
      <c r="T1659">
        <v>1</v>
      </c>
      <c r="U1659">
        <v>16</v>
      </c>
      <c r="V1659">
        <v>1</v>
      </c>
      <c r="W1659">
        <v>0</v>
      </c>
      <c r="X1659">
        <v>398</v>
      </c>
      <c r="Y1659">
        <v>0</v>
      </c>
      <c r="Z1659">
        <v>0</v>
      </c>
      <c r="AA1659">
        <v>0</v>
      </c>
      <c r="AB1659">
        <v>0</v>
      </c>
      <c r="AC1659">
        <v>1</v>
      </c>
      <c r="AD1659">
        <v>0</v>
      </c>
      <c r="AE1659">
        <v>0</v>
      </c>
      <c r="AF1659">
        <v>0</v>
      </c>
      <c r="AG1659">
        <v>0</v>
      </c>
      <c r="AI1659">
        <v>0</v>
      </c>
      <c r="AJ1659">
        <v>1</v>
      </c>
      <c r="AK1659">
        <v>418</v>
      </c>
      <c r="AL1659">
        <v>418</v>
      </c>
      <c r="AM1659">
        <v>430</v>
      </c>
      <c r="AN1659">
        <v>48</v>
      </c>
      <c r="AP1659">
        <v>1</v>
      </c>
      <c r="AR1659" t="s">
        <v>1747</v>
      </c>
      <c r="AS1659" s="1">
        <v>44354.34375</v>
      </c>
      <c r="AT1659" s="1">
        <v>44354.353414351855</v>
      </c>
      <c r="AU1659" s="1">
        <v>44354.354074074072</v>
      </c>
      <c r="AV1659" t="s">
        <v>71</v>
      </c>
      <c r="AW1659" t="s">
        <v>72</v>
      </c>
      <c r="AX1659" t="s">
        <v>73</v>
      </c>
    </row>
    <row r="1660" spans="1:50" x14ac:dyDescent="0.3">
      <c r="A1660" t="str">
        <f>"202046E0200"</f>
        <v>202046E0200</v>
      </c>
      <c r="B1660" t="str">
        <f>"202046E02002"</f>
        <v>202046E02002</v>
      </c>
      <c r="C1660" t="str">
        <f t="shared" si="81"/>
        <v>20</v>
      </c>
      <c r="D1660" t="s">
        <v>67</v>
      </c>
      <c r="E1660" t="str">
        <f t="shared" si="82"/>
        <v>007</v>
      </c>
      <c r="F1660" t="s">
        <v>1519</v>
      </c>
      <c r="G1660" t="str">
        <f>"2046"</f>
        <v>2046</v>
      </c>
      <c r="H1660" t="str">
        <f>"0002"</f>
        <v>0002</v>
      </c>
      <c r="I1660" t="s">
        <v>109</v>
      </c>
      <c r="J1660">
        <v>0</v>
      </c>
      <c r="K1660">
        <v>1</v>
      </c>
      <c r="L1660">
        <v>2</v>
      </c>
      <c r="M1660">
        <v>89</v>
      </c>
      <c r="N1660">
        <v>565</v>
      </c>
      <c r="O1660">
        <v>0</v>
      </c>
      <c r="P1660">
        <v>0</v>
      </c>
      <c r="Q1660">
        <v>1</v>
      </c>
      <c r="R1660">
        <v>50</v>
      </c>
      <c r="S1660">
        <v>0</v>
      </c>
      <c r="T1660">
        <v>2</v>
      </c>
      <c r="U1660">
        <v>8</v>
      </c>
      <c r="V1660">
        <v>6</v>
      </c>
      <c r="W1660">
        <v>1</v>
      </c>
      <c r="X1660">
        <v>30</v>
      </c>
      <c r="Y1660">
        <v>0</v>
      </c>
      <c r="Z1660">
        <v>1</v>
      </c>
      <c r="AA1660">
        <v>0</v>
      </c>
      <c r="AB1660">
        <v>9</v>
      </c>
      <c r="AC1660">
        <v>454</v>
      </c>
      <c r="AD1660">
        <v>0</v>
      </c>
      <c r="AE1660">
        <v>0</v>
      </c>
      <c r="AF1660">
        <v>0</v>
      </c>
      <c r="AG1660">
        <v>0</v>
      </c>
      <c r="AI1660">
        <v>0</v>
      </c>
      <c r="AJ1660">
        <v>3</v>
      </c>
      <c r="AK1660">
        <v>565</v>
      </c>
      <c r="AL1660">
        <v>565</v>
      </c>
      <c r="AM1660">
        <v>606</v>
      </c>
      <c r="AN1660">
        <v>48</v>
      </c>
      <c r="AP1660">
        <v>1</v>
      </c>
      <c r="AR1660" t="s">
        <v>1748</v>
      </c>
      <c r="AS1660" s="1">
        <v>44354.345833333333</v>
      </c>
      <c r="AT1660" s="1">
        <v>44354.353541666664</v>
      </c>
      <c r="AU1660" s="1">
        <v>44354.354247685187</v>
      </c>
      <c r="AV1660" t="s">
        <v>71</v>
      </c>
      <c r="AW1660" t="s">
        <v>72</v>
      </c>
      <c r="AX1660" t="s">
        <v>73</v>
      </c>
    </row>
    <row r="1661" spans="1:50" x14ac:dyDescent="0.3">
      <c r="A1661" t="str">
        <f>"202047B0000"</f>
        <v>202047B0000</v>
      </c>
      <c r="B1661" t="str">
        <f>"202047B00002"</f>
        <v>202047B00002</v>
      </c>
      <c r="C1661" t="str">
        <f t="shared" si="81"/>
        <v>20</v>
      </c>
      <c r="D1661" t="s">
        <v>67</v>
      </c>
      <c r="E1661" t="str">
        <f t="shared" si="82"/>
        <v>007</v>
      </c>
      <c r="F1661" t="s">
        <v>1519</v>
      </c>
      <c r="G1661" t="str">
        <f>"2047"</f>
        <v>2047</v>
      </c>
      <c r="H1661" t="str">
        <f>"0000"</f>
        <v>0000</v>
      </c>
      <c r="I1661" t="s">
        <v>69</v>
      </c>
      <c r="J1661">
        <v>0</v>
      </c>
      <c r="K1661">
        <v>1</v>
      </c>
      <c r="L1661">
        <v>2</v>
      </c>
      <c r="M1661">
        <v>196</v>
      </c>
      <c r="N1661">
        <v>389</v>
      </c>
      <c r="O1661">
        <v>1</v>
      </c>
      <c r="P1661" t="s">
        <v>99</v>
      </c>
      <c r="Q1661">
        <v>0</v>
      </c>
      <c r="R1661">
        <v>3</v>
      </c>
      <c r="S1661">
        <v>3</v>
      </c>
      <c r="T1661">
        <v>0</v>
      </c>
      <c r="U1661">
        <v>22</v>
      </c>
      <c r="V1661">
        <v>3</v>
      </c>
      <c r="W1661">
        <v>4</v>
      </c>
      <c r="X1661">
        <v>347</v>
      </c>
      <c r="Y1661">
        <v>0</v>
      </c>
      <c r="Z1661">
        <v>3</v>
      </c>
      <c r="AA1661">
        <v>2</v>
      </c>
      <c r="AB1661">
        <v>3</v>
      </c>
      <c r="AC1661">
        <v>3</v>
      </c>
      <c r="AD1661">
        <v>0</v>
      </c>
      <c r="AE1661">
        <v>0</v>
      </c>
      <c r="AF1661">
        <v>0</v>
      </c>
      <c r="AG1661">
        <v>0</v>
      </c>
      <c r="AI1661">
        <v>0</v>
      </c>
      <c r="AJ1661">
        <v>1</v>
      </c>
      <c r="AK1661">
        <v>388</v>
      </c>
      <c r="AL1661">
        <v>394</v>
      </c>
      <c r="AM1661">
        <v>538</v>
      </c>
      <c r="AN1661">
        <v>48</v>
      </c>
      <c r="AP1661">
        <v>1</v>
      </c>
      <c r="AR1661" t="s">
        <v>1749</v>
      </c>
      <c r="AS1661" s="1">
        <v>44354.34652777778</v>
      </c>
      <c r="AT1661" s="1">
        <v>44354.355231481481</v>
      </c>
      <c r="AU1661" s="1">
        <v>44354.355844907404</v>
      </c>
      <c r="AV1661" t="s">
        <v>71</v>
      </c>
      <c r="AW1661" t="s">
        <v>72</v>
      </c>
      <c r="AX1661" t="s">
        <v>73</v>
      </c>
    </row>
    <row r="1662" spans="1:50" x14ac:dyDescent="0.3">
      <c r="A1662" t="str">
        <f>"202047E0100"</f>
        <v>202047E0100</v>
      </c>
      <c r="B1662" t="str">
        <f>"202047E01002"</f>
        <v>202047E01002</v>
      </c>
      <c r="C1662" t="str">
        <f t="shared" si="81"/>
        <v>20</v>
      </c>
      <c r="D1662" t="s">
        <v>67</v>
      </c>
      <c r="E1662" t="str">
        <f t="shared" si="82"/>
        <v>007</v>
      </c>
      <c r="F1662" t="s">
        <v>1519</v>
      </c>
      <c r="G1662" t="str">
        <f>"2047"</f>
        <v>2047</v>
      </c>
      <c r="H1662" t="str">
        <f>"0001"</f>
        <v>0001</v>
      </c>
      <c r="I1662" t="s">
        <v>109</v>
      </c>
      <c r="J1662">
        <v>0</v>
      </c>
      <c r="K1662">
        <v>1</v>
      </c>
      <c r="L1662">
        <v>2</v>
      </c>
      <c r="M1662">
        <v>229</v>
      </c>
      <c r="N1662">
        <v>215</v>
      </c>
      <c r="O1662">
        <v>4</v>
      </c>
      <c r="P1662">
        <v>246</v>
      </c>
      <c r="Q1662">
        <v>0</v>
      </c>
      <c r="R1662">
        <v>38</v>
      </c>
      <c r="S1662">
        <v>0</v>
      </c>
      <c r="T1662">
        <v>0</v>
      </c>
      <c r="U1662">
        <v>0</v>
      </c>
      <c r="V1662">
        <v>2</v>
      </c>
      <c r="W1662">
        <v>0</v>
      </c>
      <c r="X1662">
        <v>2</v>
      </c>
      <c r="Y1662">
        <v>0</v>
      </c>
      <c r="Z1662">
        <v>0</v>
      </c>
      <c r="AA1662">
        <v>0</v>
      </c>
      <c r="AB1662">
        <v>2</v>
      </c>
      <c r="AC1662">
        <v>179</v>
      </c>
      <c r="AD1662">
        <v>0</v>
      </c>
      <c r="AE1662">
        <v>0</v>
      </c>
      <c r="AF1662">
        <v>0</v>
      </c>
      <c r="AG1662">
        <v>0</v>
      </c>
      <c r="AI1662">
        <v>0</v>
      </c>
      <c r="AJ1662">
        <v>23</v>
      </c>
      <c r="AK1662">
        <v>246</v>
      </c>
      <c r="AL1662">
        <v>246</v>
      </c>
      <c r="AM1662">
        <v>427</v>
      </c>
      <c r="AN1662">
        <v>48</v>
      </c>
      <c r="AP1662">
        <v>1</v>
      </c>
      <c r="AR1662" t="s">
        <v>1750</v>
      </c>
      <c r="AS1662" s="1">
        <v>44354.350694444445</v>
      </c>
      <c r="AT1662" s="1">
        <v>44354.35659722222</v>
      </c>
      <c r="AU1662" s="1">
        <v>44354.357245370367</v>
      </c>
      <c r="AV1662" t="s">
        <v>71</v>
      </c>
      <c r="AW1662" t="s">
        <v>72</v>
      </c>
      <c r="AX1662" t="s">
        <v>73</v>
      </c>
    </row>
    <row r="1663" spans="1:50" x14ac:dyDescent="0.3">
      <c r="A1663" t="str">
        <f>"202047E0101"</f>
        <v>202047E0101</v>
      </c>
      <c r="B1663" t="str">
        <f>"202047E01012"</f>
        <v>202047E01012</v>
      </c>
      <c r="C1663" t="str">
        <f t="shared" si="81"/>
        <v>20</v>
      </c>
      <c r="D1663" t="s">
        <v>67</v>
      </c>
      <c r="E1663" t="str">
        <f t="shared" si="82"/>
        <v>007</v>
      </c>
      <c r="F1663" t="s">
        <v>1519</v>
      </c>
      <c r="G1663" t="str">
        <f>"2047"</f>
        <v>2047</v>
      </c>
      <c r="H1663" t="str">
        <f>"0001"</f>
        <v>0001</v>
      </c>
      <c r="I1663" t="s">
        <v>109</v>
      </c>
      <c r="J1663">
        <v>1</v>
      </c>
      <c r="K1663">
        <v>1</v>
      </c>
      <c r="L1663">
        <v>2</v>
      </c>
      <c r="M1663">
        <v>225</v>
      </c>
      <c r="N1663">
        <v>249</v>
      </c>
      <c r="O1663">
        <v>3</v>
      </c>
      <c r="P1663">
        <v>249</v>
      </c>
      <c r="Q1663">
        <v>0</v>
      </c>
      <c r="R1663">
        <v>7</v>
      </c>
      <c r="S1663">
        <v>0</v>
      </c>
      <c r="T1663">
        <v>0</v>
      </c>
      <c r="U1663">
        <v>2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0</v>
      </c>
      <c r="AB1663">
        <v>2</v>
      </c>
      <c r="AC1663">
        <v>231</v>
      </c>
      <c r="AD1663">
        <v>0</v>
      </c>
      <c r="AE1663">
        <v>0</v>
      </c>
      <c r="AF1663">
        <v>0</v>
      </c>
      <c r="AG1663">
        <v>0</v>
      </c>
      <c r="AI1663">
        <v>0</v>
      </c>
      <c r="AJ1663">
        <v>6</v>
      </c>
      <c r="AK1663">
        <v>249</v>
      </c>
      <c r="AL1663">
        <v>249</v>
      </c>
      <c r="AM1663">
        <v>427</v>
      </c>
      <c r="AN1663">
        <v>48</v>
      </c>
      <c r="AP1663">
        <v>1</v>
      </c>
      <c r="AR1663" t="s">
        <v>1751</v>
      </c>
      <c r="AS1663" s="1">
        <v>44354.345833333333</v>
      </c>
      <c r="AT1663" s="1">
        <v>44354.351724537039</v>
      </c>
      <c r="AU1663" s="1">
        <v>44354.352060185185</v>
      </c>
      <c r="AV1663" t="s">
        <v>71</v>
      </c>
      <c r="AW1663" t="s">
        <v>72</v>
      </c>
      <c r="AX1663" t="s">
        <v>73</v>
      </c>
    </row>
    <row r="1664" spans="1:50" x14ac:dyDescent="0.3">
      <c r="A1664" t="str">
        <f>"202048B0000"</f>
        <v>202048B0000</v>
      </c>
      <c r="B1664" t="str">
        <f>"202048B00002"</f>
        <v>202048B00002</v>
      </c>
      <c r="C1664" t="str">
        <f t="shared" si="81"/>
        <v>20</v>
      </c>
      <c r="D1664" t="s">
        <v>67</v>
      </c>
      <c r="E1664" t="str">
        <f t="shared" si="82"/>
        <v>007</v>
      </c>
      <c r="F1664" t="s">
        <v>1519</v>
      </c>
      <c r="G1664" t="str">
        <f>"2048"</f>
        <v>2048</v>
      </c>
      <c r="H1664" t="str">
        <f>"0000"</f>
        <v>0000</v>
      </c>
      <c r="I1664" t="s">
        <v>69</v>
      </c>
      <c r="J1664">
        <v>0</v>
      </c>
      <c r="K1664">
        <v>1</v>
      </c>
      <c r="L1664">
        <v>2</v>
      </c>
      <c r="M1664">
        <v>310</v>
      </c>
      <c r="N1664">
        <v>368</v>
      </c>
      <c r="O1664">
        <v>0</v>
      </c>
      <c r="P1664">
        <v>368</v>
      </c>
      <c r="Q1664">
        <v>1</v>
      </c>
      <c r="R1664">
        <v>2</v>
      </c>
      <c r="S1664">
        <v>6</v>
      </c>
      <c r="T1664" t="s">
        <v>77</v>
      </c>
      <c r="U1664">
        <v>20</v>
      </c>
      <c r="V1664">
        <v>2</v>
      </c>
      <c r="W1664">
        <v>1</v>
      </c>
      <c r="X1664">
        <v>333</v>
      </c>
      <c r="Y1664">
        <v>1</v>
      </c>
      <c r="Z1664">
        <v>1</v>
      </c>
      <c r="AA1664" t="s">
        <v>77</v>
      </c>
      <c r="AB1664">
        <v>1</v>
      </c>
      <c r="AC1664" t="s">
        <v>77</v>
      </c>
      <c r="AD1664" t="s">
        <v>77</v>
      </c>
      <c r="AE1664" t="s">
        <v>77</v>
      </c>
      <c r="AF1664" t="s">
        <v>77</v>
      </c>
      <c r="AG1664" t="s">
        <v>77</v>
      </c>
      <c r="AI1664" t="s">
        <v>77</v>
      </c>
      <c r="AJ1664" t="s">
        <v>77</v>
      </c>
      <c r="AK1664" t="s">
        <v>77</v>
      </c>
      <c r="AL1664">
        <v>368</v>
      </c>
      <c r="AM1664">
        <v>630</v>
      </c>
      <c r="AN1664">
        <v>48</v>
      </c>
      <c r="AO1664" t="s">
        <v>78</v>
      </c>
      <c r="AP1664">
        <v>1</v>
      </c>
      <c r="AR1664" t="s">
        <v>1752</v>
      </c>
      <c r="AS1664" s="1">
        <v>44354.18472222222</v>
      </c>
      <c r="AT1664" s="1">
        <v>44354.186423611114</v>
      </c>
      <c r="AU1664" s="1">
        <v>44354.186921296299</v>
      </c>
      <c r="AV1664" t="s">
        <v>71</v>
      </c>
      <c r="AW1664" t="s">
        <v>72</v>
      </c>
      <c r="AX1664" t="s">
        <v>73</v>
      </c>
    </row>
    <row r="1665" spans="1:50" x14ac:dyDescent="0.3">
      <c r="A1665" t="str">
        <f>"202048E0100"</f>
        <v>202048E0100</v>
      </c>
      <c r="B1665" t="str">
        <f>"202048E01002"</f>
        <v>202048E01002</v>
      </c>
      <c r="C1665" t="str">
        <f t="shared" si="81"/>
        <v>20</v>
      </c>
      <c r="D1665" t="s">
        <v>67</v>
      </c>
      <c r="E1665" t="str">
        <f t="shared" si="82"/>
        <v>007</v>
      </c>
      <c r="F1665" t="s">
        <v>1519</v>
      </c>
      <c r="G1665" t="str">
        <f>"2048"</f>
        <v>2048</v>
      </c>
      <c r="H1665" t="str">
        <f>"0001"</f>
        <v>0001</v>
      </c>
      <c r="I1665" t="s">
        <v>109</v>
      </c>
      <c r="J1665">
        <v>0</v>
      </c>
      <c r="K1665">
        <v>1</v>
      </c>
      <c r="L1665">
        <v>2</v>
      </c>
      <c r="M1665">
        <v>88</v>
      </c>
      <c r="N1665">
        <v>275</v>
      </c>
      <c r="O1665">
        <v>0</v>
      </c>
      <c r="P1665">
        <v>275</v>
      </c>
      <c r="Q1665">
        <v>2</v>
      </c>
      <c r="R1665">
        <v>5</v>
      </c>
      <c r="S1665">
        <v>1</v>
      </c>
      <c r="T1665">
        <v>0</v>
      </c>
      <c r="U1665">
        <v>3</v>
      </c>
      <c r="V1665">
        <v>0</v>
      </c>
      <c r="W1665">
        <v>3</v>
      </c>
      <c r="X1665">
        <v>256</v>
      </c>
      <c r="Y1665">
        <v>0</v>
      </c>
      <c r="Z1665">
        <v>0</v>
      </c>
      <c r="AA1665">
        <v>0</v>
      </c>
      <c r="AB1665">
        <v>0</v>
      </c>
      <c r="AC1665">
        <v>4</v>
      </c>
      <c r="AD1665">
        <v>0</v>
      </c>
      <c r="AE1665">
        <v>0</v>
      </c>
      <c r="AF1665">
        <v>0</v>
      </c>
      <c r="AG1665">
        <v>0</v>
      </c>
      <c r="AI1665">
        <v>0</v>
      </c>
      <c r="AJ1665">
        <v>1</v>
      </c>
      <c r="AK1665">
        <v>275</v>
      </c>
      <c r="AL1665">
        <v>275</v>
      </c>
      <c r="AM1665">
        <v>315</v>
      </c>
      <c r="AN1665">
        <v>48</v>
      </c>
      <c r="AP1665">
        <v>1</v>
      </c>
      <c r="AR1665" t="s">
        <v>1753</v>
      </c>
      <c r="AS1665" s="1">
        <v>44354.334722222222</v>
      </c>
      <c r="AT1665" s="1">
        <v>44354.348101851851</v>
      </c>
      <c r="AU1665" s="1">
        <v>44354.349374999998</v>
      </c>
      <c r="AV1665" t="s">
        <v>71</v>
      </c>
      <c r="AW1665" t="s">
        <v>72</v>
      </c>
      <c r="AX1665" t="s">
        <v>73</v>
      </c>
    </row>
    <row r="1666" spans="1:50" x14ac:dyDescent="0.3">
      <c r="A1666" t="str">
        <f>"202048E0200"</f>
        <v>202048E0200</v>
      </c>
      <c r="B1666" t="str">
        <f>"202048E02002"</f>
        <v>202048E02002</v>
      </c>
      <c r="C1666" t="str">
        <f t="shared" si="81"/>
        <v>20</v>
      </c>
      <c r="D1666" t="s">
        <v>67</v>
      </c>
      <c r="E1666" t="str">
        <f t="shared" si="82"/>
        <v>007</v>
      </c>
      <c r="F1666" t="s">
        <v>1519</v>
      </c>
      <c r="G1666" t="str">
        <f>"2048"</f>
        <v>2048</v>
      </c>
      <c r="H1666" t="str">
        <f>"0002"</f>
        <v>0002</v>
      </c>
      <c r="I1666" t="s">
        <v>109</v>
      </c>
      <c r="J1666">
        <v>0</v>
      </c>
      <c r="K1666">
        <v>1</v>
      </c>
      <c r="L1666">
        <v>2</v>
      </c>
      <c r="M1666">
        <v>131</v>
      </c>
      <c r="N1666">
        <v>158</v>
      </c>
      <c r="O1666">
        <v>1</v>
      </c>
      <c r="P1666">
        <v>158</v>
      </c>
      <c r="Q1666">
        <v>1</v>
      </c>
      <c r="R1666">
        <v>4</v>
      </c>
      <c r="S1666">
        <v>3</v>
      </c>
      <c r="T1666">
        <v>4</v>
      </c>
      <c r="U1666">
        <v>3</v>
      </c>
      <c r="V1666">
        <v>4</v>
      </c>
      <c r="W1666">
        <v>2</v>
      </c>
      <c r="X1666">
        <v>131</v>
      </c>
      <c r="Y1666">
        <v>2</v>
      </c>
      <c r="Z1666">
        <v>1</v>
      </c>
      <c r="AA1666" t="s">
        <v>77</v>
      </c>
      <c r="AB1666">
        <v>3</v>
      </c>
      <c r="AC1666" t="s">
        <v>77</v>
      </c>
      <c r="AD1666" t="s">
        <v>77</v>
      </c>
      <c r="AE1666" t="s">
        <v>77</v>
      </c>
      <c r="AF1666" t="s">
        <v>77</v>
      </c>
      <c r="AG1666" t="s">
        <v>77</v>
      </c>
      <c r="AI1666" t="s">
        <v>77</v>
      </c>
      <c r="AJ1666" t="s">
        <v>77</v>
      </c>
      <c r="AK1666" t="s">
        <v>77</v>
      </c>
      <c r="AL1666">
        <v>158</v>
      </c>
      <c r="AM1666">
        <v>241</v>
      </c>
      <c r="AN1666">
        <v>48</v>
      </c>
      <c r="AO1666" t="s">
        <v>78</v>
      </c>
      <c r="AP1666">
        <v>1</v>
      </c>
      <c r="AR1666" t="s">
        <v>1754</v>
      </c>
      <c r="AS1666" s="1">
        <v>44354.180555555555</v>
      </c>
      <c r="AT1666" s="1">
        <v>44354.183842592596</v>
      </c>
      <c r="AU1666" s="1">
        <v>44354.184247685182</v>
      </c>
      <c r="AV1666" t="s">
        <v>71</v>
      </c>
      <c r="AW1666" t="s">
        <v>72</v>
      </c>
      <c r="AX1666" t="s">
        <v>73</v>
      </c>
    </row>
    <row r="1667" spans="1:50" x14ac:dyDescent="0.3">
      <c r="A1667" t="str">
        <f>"202048E0300"</f>
        <v>202048E0300</v>
      </c>
      <c r="B1667" t="str">
        <f>"202048E03002"</f>
        <v>202048E03002</v>
      </c>
      <c r="C1667" t="str">
        <f t="shared" si="81"/>
        <v>20</v>
      </c>
      <c r="D1667" t="s">
        <v>67</v>
      </c>
      <c r="E1667" t="str">
        <f t="shared" si="82"/>
        <v>007</v>
      </c>
      <c r="F1667" t="s">
        <v>1519</v>
      </c>
      <c r="G1667" t="str">
        <f>"2048"</f>
        <v>2048</v>
      </c>
      <c r="H1667" t="str">
        <f>"0003"</f>
        <v>0003</v>
      </c>
      <c r="I1667" t="s">
        <v>109</v>
      </c>
      <c r="J1667">
        <v>0</v>
      </c>
      <c r="K1667">
        <v>1</v>
      </c>
      <c r="L1667">
        <v>2</v>
      </c>
      <c r="M1667">
        <v>0</v>
      </c>
      <c r="N1667" t="s">
        <v>80</v>
      </c>
      <c r="O1667" t="s">
        <v>80</v>
      </c>
      <c r="P1667">
        <v>239</v>
      </c>
      <c r="Q1667">
        <v>0</v>
      </c>
      <c r="R1667">
        <v>0</v>
      </c>
      <c r="S1667">
        <v>0</v>
      </c>
      <c r="T1667">
        <v>0</v>
      </c>
      <c r="U1667">
        <v>1</v>
      </c>
      <c r="V1667">
        <v>1</v>
      </c>
      <c r="W1667">
        <v>1</v>
      </c>
      <c r="X1667">
        <v>239</v>
      </c>
      <c r="Y1667">
        <v>0</v>
      </c>
      <c r="Z1667">
        <v>0</v>
      </c>
      <c r="AA1667">
        <v>0</v>
      </c>
      <c r="AB1667">
        <v>2</v>
      </c>
      <c r="AC1667">
        <v>0</v>
      </c>
      <c r="AD1667">
        <v>0</v>
      </c>
      <c r="AE1667">
        <v>0</v>
      </c>
      <c r="AF1667">
        <v>0</v>
      </c>
      <c r="AG1667">
        <v>0</v>
      </c>
      <c r="AI1667">
        <v>0</v>
      </c>
      <c r="AJ1667">
        <v>3</v>
      </c>
      <c r="AK1667">
        <v>247</v>
      </c>
      <c r="AL1667">
        <v>247</v>
      </c>
      <c r="AM1667">
        <v>264</v>
      </c>
      <c r="AN1667">
        <v>48</v>
      </c>
      <c r="AP1667">
        <v>1</v>
      </c>
      <c r="AR1667" t="s">
        <v>1755</v>
      </c>
      <c r="AS1667" s="1">
        <v>44354.334027777775</v>
      </c>
      <c r="AT1667" s="1">
        <v>44354.346597222226</v>
      </c>
      <c r="AU1667" s="1">
        <v>44354.347349537034</v>
      </c>
      <c r="AV1667" t="s">
        <v>71</v>
      </c>
      <c r="AW1667" t="s">
        <v>72</v>
      </c>
      <c r="AX1667" t="s">
        <v>73</v>
      </c>
    </row>
    <row r="1668" spans="1:50" x14ac:dyDescent="0.3">
      <c r="A1668" t="str">
        <f>"202049B0000"</f>
        <v>202049B0000</v>
      </c>
      <c r="B1668" t="str">
        <f>"202049B00002"</f>
        <v>202049B00002</v>
      </c>
      <c r="C1668" t="str">
        <f t="shared" si="81"/>
        <v>20</v>
      </c>
      <c r="D1668" t="s">
        <v>67</v>
      </c>
      <c r="E1668" t="str">
        <f t="shared" si="82"/>
        <v>007</v>
      </c>
      <c r="F1668" t="s">
        <v>1519</v>
      </c>
      <c r="G1668" t="str">
        <f>"2049"</f>
        <v>2049</v>
      </c>
      <c r="H1668" t="str">
        <f>"0000"</f>
        <v>0000</v>
      </c>
      <c r="I1668" t="s">
        <v>69</v>
      </c>
      <c r="J1668">
        <v>0</v>
      </c>
      <c r="K1668">
        <v>1</v>
      </c>
      <c r="L1668">
        <v>2</v>
      </c>
      <c r="M1668">
        <v>203</v>
      </c>
      <c r="N1668">
        <v>221</v>
      </c>
      <c r="O1668">
        <v>0</v>
      </c>
      <c r="P1668" t="s">
        <v>80</v>
      </c>
      <c r="Q1668">
        <v>0</v>
      </c>
      <c r="R1668">
        <v>3</v>
      </c>
      <c r="S1668">
        <v>0</v>
      </c>
      <c r="T1668">
        <v>0</v>
      </c>
      <c r="U1668">
        <v>4</v>
      </c>
      <c r="V1668">
        <v>1</v>
      </c>
      <c r="W1668">
        <v>1</v>
      </c>
      <c r="X1668">
        <v>149</v>
      </c>
      <c r="Y1668">
        <v>0</v>
      </c>
      <c r="Z1668">
        <v>0</v>
      </c>
      <c r="AA1668">
        <v>1</v>
      </c>
      <c r="AB1668">
        <v>1</v>
      </c>
      <c r="AC1668">
        <v>46</v>
      </c>
      <c r="AD1668">
        <v>0</v>
      </c>
      <c r="AE1668">
        <v>0</v>
      </c>
      <c r="AF1668">
        <v>0</v>
      </c>
      <c r="AG1668">
        <v>0</v>
      </c>
      <c r="AI1668">
        <v>0</v>
      </c>
      <c r="AJ1668">
        <v>17</v>
      </c>
      <c r="AK1668">
        <v>223</v>
      </c>
      <c r="AL1668">
        <v>223</v>
      </c>
      <c r="AM1668">
        <v>378</v>
      </c>
      <c r="AN1668">
        <v>48</v>
      </c>
      <c r="AP1668">
        <v>1</v>
      </c>
      <c r="AR1668" t="s">
        <v>1756</v>
      </c>
      <c r="AS1668" s="1">
        <v>44354.336111111108</v>
      </c>
      <c r="AT1668" s="1">
        <v>44354.355185185188</v>
      </c>
      <c r="AU1668" s="1">
        <v>44354.356180555558</v>
      </c>
      <c r="AV1668" t="s">
        <v>71</v>
      </c>
      <c r="AW1668" t="s">
        <v>72</v>
      </c>
      <c r="AX1668" t="s">
        <v>73</v>
      </c>
    </row>
    <row r="1669" spans="1:50" x14ac:dyDescent="0.3">
      <c r="A1669" t="str">
        <f>"202049C0100"</f>
        <v>202049C0100</v>
      </c>
      <c r="B1669" t="str">
        <f>"202049C01002"</f>
        <v>202049C01002</v>
      </c>
      <c r="C1669" t="str">
        <f t="shared" si="81"/>
        <v>20</v>
      </c>
      <c r="D1669" t="s">
        <v>67</v>
      </c>
      <c r="E1669" t="str">
        <f t="shared" si="82"/>
        <v>007</v>
      </c>
      <c r="F1669" t="s">
        <v>1519</v>
      </c>
      <c r="G1669" t="str">
        <f>"2049"</f>
        <v>2049</v>
      </c>
      <c r="H1669" t="str">
        <f>"0001"</f>
        <v>0001</v>
      </c>
      <c r="I1669" t="s">
        <v>75</v>
      </c>
      <c r="J1669">
        <v>0</v>
      </c>
      <c r="K1669">
        <v>1</v>
      </c>
      <c r="L1669">
        <v>2</v>
      </c>
      <c r="M1669">
        <v>212</v>
      </c>
      <c r="N1669">
        <v>214</v>
      </c>
      <c r="O1669">
        <v>0</v>
      </c>
      <c r="P1669">
        <v>214</v>
      </c>
      <c r="Q1669">
        <v>0</v>
      </c>
      <c r="R1669">
        <v>0</v>
      </c>
      <c r="S1669">
        <v>1</v>
      </c>
      <c r="T1669">
        <v>0</v>
      </c>
      <c r="U1669">
        <v>2</v>
      </c>
      <c r="V1669">
        <v>0</v>
      </c>
      <c r="W1669">
        <v>1</v>
      </c>
      <c r="X1669">
        <v>156</v>
      </c>
      <c r="Y1669">
        <v>1</v>
      </c>
      <c r="Z1669">
        <v>0</v>
      </c>
      <c r="AA1669">
        <v>0</v>
      </c>
      <c r="AB1669">
        <v>1</v>
      </c>
      <c r="AC1669">
        <v>39</v>
      </c>
      <c r="AD1669">
        <v>0</v>
      </c>
      <c r="AE1669">
        <v>0</v>
      </c>
      <c r="AF1669">
        <v>0</v>
      </c>
      <c r="AG1669">
        <v>0</v>
      </c>
      <c r="AI1669">
        <v>0</v>
      </c>
      <c r="AJ1669">
        <v>13</v>
      </c>
      <c r="AK1669">
        <v>214</v>
      </c>
      <c r="AL1669">
        <v>214</v>
      </c>
      <c r="AM1669">
        <v>378</v>
      </c>
      <c r="AN1669">
        <v>48</v>
      </c>
      <c r="AP1669">
        <v>1</v>
      </c>
      <c r="AR1669" t="s">
        <v>1757</v>
      </c>
      <c r="AS1669" s="1">
        <v>44354.35</v>
      </c>
      <c r="AT1669" s="1">
        <v>44354.35601851852</v>
      </c>
      <c r="AU1669" s="1">
        <v>44354.356446759259</v>
      </c>
      <c r="AV1669" t="s">
        <v>71</v>
      </c>
      <c r="AW1669" t="s">
        <v>72</v>
      </c>
      <c r="AX1669" t="s">
        <v>73</v>
      </c>
    </row>
    <row r="1670" spans="1:50" x14ac:dyDescent="0.3">
      <c r="A1670" t="str">
        <f>"202453B0000"</f>
        <v>202453B0000</v>
      </c>
      <c r="B1670" t="str">
        <f>"202453B00002"</f>
        <v>202453B00002</v>
      </c>
      <c r="C1670" t="str">
        <f t="shared" si="81"/>
        <v>20</v>
      </c>
      <c r="D1670" t="s">
        <v>67</v>
      </c>
      <c r="E1670" t="str">
        <f t="shared" si="82"/>
        <v>007</v>
      </c>
      <c r="F1670" t="s">
        <v>1519</v>
      </c>
      <c r="G1670" t="str">
        <f>"2453"</f>
        <v>2453</v>
      </c>
      <c r="H1670" t="str">
        <f>"0000"</f>
        <v>0000</v>
      </c>
      <c r="I1670" t="s">
        <v>69</v>
      </c>
      <c r="J1670">
        <v>0</v>
      </c>
      <c r="K1670">
        <v>1</v>
      </c>
      <c r="L1670">
        <v>2</v>
      </c>
      <c r="M1670">
        <v>105</v>
      </c>
      <c r="N1670">
        <v>149</v>
      </c>
      <c r="O1670">
        <v>5</v>
      </c>
      <c r="P1670">
        <v>149</v>
      </c>
      <c r="Q1670">
        <v>2</v>
      </c>
      <c r="R1670">
        <v>43</v>
      </c>
      <c r="S1670">
        <v>0</v>
      </c>
      <c r="T1670">
        <v>1</v>
      </c>
      <c r="U1670">
        <v>0</v>
      </c>
      <c r="V1670">
        <v>2</v>
      </c>
      <c r="W1670">
        <v>1</v>
      </c>
      <c r="X1670">
        <v>7</v>
      </c>
      <c r="Y1670">
        <v>0</v>
      </c>
      <c r="Z1670">
        <v>2</v>
      </c>
      <c r="AA1670">
        <v>15</v>
      </c>
      <c r="AB1670">
        <v>0</v>
      </c>
      <c r="AC1670">
        <v>58</v>
      </c>
      <c r="AD1670">
        <v>0</v>
      </c>
      <c r="AE1670">
        <v>0</v>
      </c>
      <c r="AF1670">
        <v>0</v>
      </c>
      <c r="AG1670">
        <v>0</v>
      </c>
      <c r="AI1670">
        <v>0</v>
      </c>
      <c r="AJ1670">
        <v>18</v>
      </c>
      <c r="AK1670">
        <v>149</v>
      </c>
      <c r="AL1670">
        <v>149</v>
      </c>
      <c r="AM1670">
        <v>206</v>
      </c>
      <c r="AN1670">
        <v>48</v>
      </c>
      <c r="AP1670">
        <v>1</v>
      </c>
      <c r="AR1670" t="s">
        <v>1758</v>
      </c>
      <c r="AS1670" s="1">
        <v>44354.316666666666</v>
      </c>
      <c r="AT1670" s="1">
        <v>44354.319560185184</v>
      </c>
      <c r="AU1670" s="1">
        <v>44354.320104166669</v>
      </c>
      <c r="AV1670" t="s">
        <v>71</v>
      </c>
      <c r="AW1670" t="s">
        <v>72</v>
      </c>
      <c r="AX1670" t="s">
        <v>73</v>
      </c>
    </row>
    <row r="1671" spans="1:50" x14ac:dyDescent="0.3">
      <c r="A1671" t="str">
        <f>"200104B0000"</f>
        <v>200104B0000</v>
      </c>
      <c r="B1671" t="str">
        <f>"200104B00002"</f>
        <v>200104B00002</v>
      </c>
      <c r="C1671" t="str">
        <f t="shared" ref="C1671:C1734" si="83">"20"</f>
        <v>20</v>
      </c>
      <c r="D1671" t="s">
        <v>67</v>
      </c>
      <c r="E1671" t="str">
        <f t="shared" ref="E1671:E1734" si="84">"008"</f>
        <v>008</v>
      </c>
      <c r="F1671" t="s">
        <v>1759</v>
      </c>
      <c r="G1671" t="str">
        <f>"0104"</f>
        <v>0104</v>
      </c>
      <c r="H1671" t="str">
        <f>"0000"</f>
        <v>0000</v>
      </c>
      <c r="I1671" t="s">
        <v>69</v>
      </c>
      <c r="J1671">
        <v>0</v>
      </c>
      <c r="K1671">
        <v>1</v>
      </c>
      <c r="L1671">
        <v>2</v>
      </c>
      <c r="M1671">
        <v>243</v>
      </c>
      <c r="N1671">
        <v>342</v>
      </c>
      <c r="O1671">
        <v>0</v>
      </c>
      <c r="P1671">
        <v>342</v>
      </c>
      <c r="Q1671">
        <v>11</v>
      </c>
      <c r="R1671">
        <v>32</v>
      </c>
      <c r="S1671">
        <v>18</v>
      </c>
      <c r="T1671">
        <v>10</v>
      </c>
      <c r="U1671">
        <v>99</v>
      </c>
      <c r="V1671">
        <v>1</v>
      </c>
      <c r="W1671">
        <v>16</v>
      </c>
      <c r="X1671">
        <v>100</v>
      </c>
      <c r="Y1671">
        <v>12</v>
      </c>
      <c r="Z1671">
        <v>4</v>
      </c>
      <c r="AA1671">
        <v>4</v>
      </c>
      <c r="AB1671">
        <v>6</v>
      </c>
      <c r="AD1671">
        <v>6</v>
      </c>
      <c r="AE1671">
        <v>1</v>
      </c>
      <c r="AF1671">
        <v>0</v>
      </c>
      <c r="AG1671">
        <v>0</v>
      </c>
      <c r="AI1671">
        <v>0</v>
      </c>
      <c r="AJ1671">
        <v>22</v>
      </c>
      <c r="AK1671">
        <v>342</v>
      </c>
      <c r="AL1671">
        <v>342</v>
      </c>
      <c r="AM1671">
        <v>541</v>
      </c>
      <c r="AN1671">
        <v>44</v>
      </c>
      <c r="AP1671">
        <v>1</v>
      </c>
      <c r="AR1671" t="s">
        <v>1760</v>
      </c>
      <c r="AS1671" s="1">
        <v>44354.21597222222</v>
      </c>
      <c r="AT1671" s="1">
        <v>44354.218368055554</v>
      </c>
      <c r="AU1671" s="1">
        <v>44354.219108796293</v>
      </c>
      <c r="AV1671" t="s">
        <v>71</v>
      </c>
      <c r="AW1671" t="s">
        <v>72</v>
      </c>
      <c r="AX1671" t="s">
        <v>73</v>
      </c>
    </row>
    <row r="1672" spans="1:50" x14ac:dyDescent="0.3">
      <c r="A1672" t="str">
        <f>"200104C0100"</f>
        <v>200104C0100</v>
      </c>
      <c r="B1672" t="str">
        <f>"200104C01002"</f>
        <v>200104C01002</v>
      </c>
      <c r="C1672" t="str">
        <f t="shared" si="83"/>
        <v>20</v>
      </c>
      <c r="D1672" t="s">
        <v>67</v>
      </c>
      <c r="E1672" t="str">
        <f t="shared" si="84"/>
        <v>008</v>
      </c>
      <c r="F1672" t="s">
        <v>1759</v>
      </c>
      <c r="G1672" t="str">
        <f>"0104"</f>
        <v>0104</v>
      </c>
      <c r="H1672" t="str">
        <f>"0001"</f>
        <v>0001</v>
      </c>
      <c r="I1672" t="s">
        <v>75</v>
      </c>
      <c r="J1672">
        <v>0</v>
      </c>
      <c r="K1672">
        <v>1</v>
      </c>
      <c r="L1672">
        <v>2</v>
      </c>
      <c r="M1672">
        <v>230</v>
      </c>
      <c r="N1672">
        <v>355</v>
      </c>
      <c r="O1672">
        <v>3</v>
      </c>
      <c r="P1672">
        <v>354</v>
      </c>
      <c r="Q1672">
        <v>4</v>
      </c>
      <c r="R1672">
        <v>38</v>
      </c>
      <c r="S1672">
        <v>23</v>
      </c>
      <c r="T1672">
        <v>16</v>
      </c>
      <c r="U1672">
        <v>76</v>
      </c>
      <c r="V1672">
        <v>3</v>
      </c>
      <c r="W1672">
        <v>17</v>
      </c>
      <c r="X1672">
        <v>117</v>
      </c>
      <c r="Y1672">
        <v>21</v>
      </c>
      <c r="Z1672">
        <v>7</v>
      </c>
      <c r="AA1672">
        <v>2</v>
      </c>
      <c r="AB1672">
        <v>5</v>
      </c>
      <c r="AD1672">
        <v>4</v>
      </c>
      <c r="AE1672">
        <v>0</v>
      </c>
      <c r="AF1672">
        <v>0</v>
      </c>
      <c r="AG1672">
        <v>2</v>
      </c>
      <c r="AI1672">
        <v>0</v>
      </c>
      <c r="AJ1672">
        <v>19</v>
      </c>
      <c r="AK1672">
        <v>354</v>
      </c>
      <c r="AL1672">
        <v>354</v>
      </c>
      <c r="AM1672">
        <v>541</v>
      </c>
      <c r="AN1672">
        <v>44</v>
      </c>
      <c r="AP1672">
        <v>1</v>
      </c>
      <c r="AR1672" t="s">
        <v>1761</v>
      </c>
      <c r="AS1672" s="1">
        <v>44354.218055555553</v>
      </c>
      <c r="AT1672" s="1">
        <v>44354.220833333333</v>
      </c>
      <c r="AU1672" s="1">
        <v>44354.221296296295</v>
      </c>
      <c r="AV1672" t="s">
        <v>71</v>
      </c>
      <c r="AW1672" t="s">
        <v>72</v>
      </c>
      <c r="AX1672" t="s">
        <v>73</v>
      </c>
    </row>
    <row r="1673" spans="1:50" x14ac:dyDescent="0.3">
      <c r="A1673" t="str">
        <f>"200105B0000"</f>
        <v>200105B0000</v>
      </c>
      <c r="B1673" t="str">
        <f>"200105B00002"</f>
        <v>200105B00002</v>
      </c>
      <c r="C1673" t="str">
        <f t="shared" si="83"/>
        <v>20</v>
      </c>
      <c r="D1673" t="s">
        <v>67</v>
      </c>
      <c r="E1673" t="str">
        <f t="shared" si="84"/>
        <v>008</v>
      </c>
      <c r="F1673" t="s">
        <v>1759</v>
      </c>
      <c r="G1673" t="str">
        <f>"0105"</f>
        <v>0105</v>
      </c>
      <c r="H1673" t="str">
        <f>"0000"</f>
        <v>0000</v>
      </c>
      <c r="I1673" t="s">
        <v>69</v>
      </c>
      <c r="J1673">
        <v>0</v>
      </c>
      <c r="K1673">
        <v>1</v>
      </c>
      <c r="L1673">
        <v>2</v>
      </c>
      <c r="M1673">
        <v>270</v>
      </c>
      <c r="N1673">
        <v>393</v>
      </c>
      <c r="O1673">
        <v>0</v>
      </c>
      <c r="P1673">
        <v>393</v>
      </c>
      <c r="Q1673">
        <v>8</v>
      </c>
      <c r="R1673">
        <v>21</v>
      </c>
      <c r="S1673">
        <v>26</v>
      </c>
      <c r="T1673">
        <v>12</v>
      </c>
      <c r="U1673">
        <v>117</v>
      </c>
      <c r="V1673">
        <v>3</v>
      </c>
      <c r="W1673">
        <v>19</v>
      </c>
      <c r="X1673">
        <v>137</v>
      </c>
      <c r="Y1673">
        <v>14</v>
      </c>
      <c r="Z1673">
        <v>5</v>
      </c>
      <c r="AA1673">
        <v>0</v>
      </c>
      <c r="AB1673">
        <v>2</v>
      </c>
      <c r="AD1673">
        <v>2</v>
      </c>
      <c r="AE1673">
        <v>0</v>
      </c>
      <c r="AF1673">
        <v>0</v>
      </c>
      <c r="AG1673">
        <v>0</v>
      </c>
      <c r="AI1673">
        <v>0</v>
      </c>
      <c r="AJ1673">
        <v>0</v>
      </c>
      <c r="AK1673">
        <v>0</v>
      </c>
      <c r="AL1673">
        <v>366</v>
      </c>
      <c r="AM1673">
        <v>619</v>
      </c>
      <c r="AN1673">
        <v>44</v>
      </c>
      <c r="AP1673">
        <v>1</v>
      </c>
      <c r="AR1673" t="s">
        <v>1762</v>
      </c>
      <c r="AS1673" s="1">
        <v>44354.213194444441</v>
      </c>
      <c r="AT1673" s="1">
        <v>44354.215173611112</v>
      </c>
      <c r="AU1673" s="1">
        <v>44354.215868055559</v>
      </c>
      <c r="AV1673" t="s">
        <v>71</v>
      </c>
      <c r="AW1673" t="s">
        <v>72</v>
      </c>
      <c r="AX1673" t="s">
        <v>73</v>
      </c>
    </row>
    <row r="1674" spans="1:50" x14ac:dyDescent="0.3">
      <c r="A1674" t="str">
        <f>"200105C0100"</f>
        <v>200105C0100</v>
      </c>
      <c r="B1674" t="str">
        <f>"200105C01002"</f>
        <v>200105C01002</v>
      </c>
      <c r="C1674" t="str">
        <f t="shared" si="83"/>
        <v>20</v>
      </c>
      <c r="D1674" t="s">
        <v>67</v>
      </c>
      <c r="E1674" t="str">
        <f t="shared" si="84"/>
        <v>008</v>
      </c>
      <c r="F1674" t="s">
        <v>1759</v>
      </c>
      <c r="G1674" t="str">
        <f>"0105"</f>
        <v>0105</v>
      </c>
      <c r="H1674" t="str">
        <f>"0001"</f>
        <v>0001</v>
      </c>
      <c r="I1674" t="s">
        <v>75</v>
      </c>
      <c r="J1674">
        <v>0</v>
      </c>
      <c r="K1674">
        <v>1</v>
      </c>
      <c r="L1674">
        <v>2</v>
      </c>
      <c r="M1674">
        <v>282</v>
      </c>
      <c r="N1674">
        <v>380</v>
      </c>
      <c r="O1674">
        <v>1</v>
      </c>
      <c r="P1674">
        <v>380</v>
      </c>
      <c r="Q1674">
        <v>2</v>
      </c>
      <c r="R1674">
        <v>41</v>
      </c>
      <c r="S1674">
        <v>24</v>
      </c>
      <c r="T1674">
        <v>17</v>
      </c>
      <c r="U1674">
        <v>94</v>
      </c>
      <c r="V1674">
        <v>7</v>
      </c>
      <c r="W1674">
        <v>17</v>
      </c>
      <c r="X1674">
        <v>118</v>
      </c>
      <c r="Y1674">
        <v>7</v>
      </c>
      <c r="Z1674">
        <v>5</v>
      </c>
      <c r="AA1674">
        <v>2</v>
      </c>
      <c r="AB1674">
        <v>14</v>
      </c>
      <c r="AD1674">
        <v>2</v>
      </c>
      <c r="AE1674">
        <v>0</v>
      </c>
      <c r="AF1674">
        <v>0</v>
      </c>
      <c r="AG1674">
        <v>0</v>
      </c>
      <c r="AI1674">
        <v>0</v>
      </c>
      <c r="AJ1674">
        <v>30</v>
      </c>
      <c r="AK1674">
        <v>380</v>
      </c>
      <c r="AL1674">
        <v>380</v>
      </c>
      <c r="AM1674">
        <v>618</v>
      </c>
      <c r="AN1674">
        <v>44</v>
      </c>
      <c r="AP1674">
        <v>1</v>
      </c>
      <c r="AR1674" t="s">
        <v>1763</v>
      </c>
      <c r="AS1674" s="1">
        <v>44354.213888888888</v>
      </c>
      <c r="AT1674" s="1">
        <v>44354.219722222224</v>
      </c>
      <c r="AU1674" s="1">
        <v>44354.220590277779</v>
      </c>
      <c r="AV1674" t="s">
        <v>71</v>
      </c>
      <c r="AW1674" t="s">
        <v>72</v>
      </c>
      <c r="AX1674" t="s">
        <v>73</v>
      </c>
    </row>
    <row r="1675" spans="1:50" x14ac:dyDescent="0.3">
      <c r="A1675" t="str">
        <f>"200106B0000"</f>
        <v>200106B0000</v>
      </c>
      <c r="B1675" t="str">
        <f>"200106B00002"</f>
        <v>200106B00002</v>
      </c>
      <c r="C1675" t="str">
        <f t="shared" si="83"/>
        <v>20</v>
      </c>
      <c r="D1675" t="s">
        <v>67</v>
      </c>
      <c r="E1675" t="str">
        <f t="shared" si="84"/>
        <v>008</v>
      </c>
      <c r="F1675" t="s">
        <v>1759</v>
      </c>
      <c r="G1675" t="str">
        <f>"0106"</f>
        <v>0106</v>
      </c>
      <c r="H1675" t="str">
        <f>"0000"</f>
        <v>0000</v>
      </c>
      <c r="I1675" t="s">
        <v>69</v>
      </c>
      <c r="J1675">
        <v>0</v>
      </c>
      <c r="K1675">
        <v>1</v>
      </c>
      <c r="L1675">
        <v>2</v>
      </c>
      <c r="M1675">
        <v>230</v>
      </c>
      <c r="N1675">
        <v>328</v>
      </c>
      <c r="O1675">
        <v>0</v>
      </c>
      <c r="P1675">
        <v>328</v>
      </c>
      <c r="Q1675">
        <v>5</v>
      </c>
      <c r="R1675">
        <v>17</v>
      </c>
      <c r="S1675">
        <v>19</v>
      </c>
      <c r="T1675">
        <v>9</v>
      </c>
      <c r="U1675">
        <v>100</v>
      </c>
      <c r="V1675">
        <v>6</v>
      </c>
      <c r="W1675">
        <v>11</v>
      </c>
      <c r="X1675">
        <v>113</v>
      </c>
      <c r="Y1675">
        <v>12</v>
      </c>
      <c r="Z1675">
        <v>3</v>
      </c>
      <c r="AA1675">
        <v>3</v>
      </c>
      <c r="AB1675">
        <v>6</v>
      </c>
      <c r="AD1675">
        <v>1</v>
      </c>
      <c r="AE1675">
        <v>0</v>
      </c>
      <c r="AF1675">
        <v>0</v>
      </c>
      <c r="AG1675">
        <v>0</v>
      </c>
      <c r="AI1675">
        <v>1</v>
      </c>
      <c r="AJ1675">
        <v>23</v>
      </c>
      <c r="AK1675">
        <v>328</v>
      </c>
      <c r="AL1675">
        <v>329</v>
      </c>
      <c r="AM1675">
        <v>514</v>
      </c>
      <c r="AN1675">
        <v>44</v>
      </c>
      <c r="AP1675">
        <v>1</v>
      </c>
      <c r="AR1675" t="s">
        <v>1764</v>
      </c>
      <c r="AS1675" s="1">
        <v>44354.217361111114</v>
      </c>
      <c r="AT1675" s="1">
        <v>44354.221099537041</v>
      </c>
      <c r="AU1675" s="1">
        <v>44354.221898148149</v>
      </c>
      <c r="AV1675" t="s">
        <v>71</v>
      </c>
      <c r="AW1675" t="s">
        <v>72</v>
      </c>
      <c r="AX1675" t="s">
        <v>73</v>
      </c>
    </row>
    <row r="1676" spans="1:50" x14ac:dyDescent="0.3">
      <c r="A1676" t="str">
        <f>"200106C0100"</f>
        <v>200106C0100</v>
      </c>
      <c r="B1676" t="str">
        <f>"200106C01002"</f>
        <v>200106C01002</v>
      </c>
      <c r="C1676" t="str">
        <f t="shared" si="83"/>
        <v>20</v>
      </c>
      <c r="D1676" t="s">
        <v>67</v>
      </c>
      <c r="E1676" t="str">
        <f t="shared" si="84"/>
        <v>008</v>
      </c>
      <c r="F1676" t="s">
        <v>1759</v>
      </c>
      <c r="G1676" t="str">
        <f>"0106"</f>
        <v>0106</v>
      </c>
      <c r="H1676" t="str">
        <f>"0001"</f>
        <v>0001</v>
      </c>
      <c r="I1676" t="s">
        <v>75</v>
      </c>
      <c r="J1676">
        <v>0</v>
      </c>
      <c r="K1676">
        <v>1</v>
      </c>
      <c r="L1676">
        <v>2</v>
      </c>
      <c r="M1676">
        <v>235</v>
      </c>
      <c r="N1676">
        <v>323</v>
      </c>
      <c r="O1676">
        <v>0</v>
      </c>
      <c r="P1676">
        <v>323</v>
      </c>
      <c r="Q1676">
        <v>4</v>
      </c>
      <c r="R1676">
        <v>16</v>
      </c>
      <c r="S1676">
        <v>24</v>
      </c>
      <c r="T1676">
        <v>6</v>
      </c>
      <c r="U1676">
        <v>95</v>
      </c>
      <c r="V1676">
        <v>8</v>
      </c>
      <c r="W1676">
        <v>11</v>
      </c>
      <c r="X1676">
        <v>114</v>
      </c>
      <c r="Y1676">
        <v>15</v>
      </c>
      <c r="Z1676">
        <v>3</v>
      </c>
      <c r="AA1676">
        <v>1</v>
      </c>
      <c r="AB1676">
        <v>4</v>
      </c>
      <c r="AD1676">
        <v>0</v>
      </c>
      <c r="AE1676">
        <v>0</v>
      </c>
      <c r="AF1676">
        <v>0</v>
      </c>
      <c r="AG1676">
        <v>0</v>
      </c>
      <c r="AI1676">
        <v>0</v>
      </c>
      <c r="AJ1676">
        <v>22</v>
      </c>
      <c r="AK1676">
        <v>323</v>
      </c>
      <c r="AL1676">
        <v>323</v>
      </c>
      <c r="AM1676">
        <v>514</v>
      </c>
      <c r="AN1676">
        <v>44</v>
      </c>
      <c r="AP1676">
        <v>1</v>
      </c>
      <c r="AR1676" t="s">
        <v>1765</v>
      </c>
      <c r="AS1676" s="1">
        <v>44354.215277777781</v>
      </c>
      <c r="AT1676" s="1">
        <v>44354.218287037038</v>
      </c>
      <c r="AU1676" s="1">
        <v>44354.219201388885</v>
      </c>
      <c r="AV1676" t="s">
        <v>71</v>
      </c>
      <c r="AW1676" t="s">
        <v>72</v>
      </c>
      <c r="AX1676" t="s">
        <v>73</v>
      </c>
    </row>
    <row r="1677" spans="1:50" x14ac:dyDescent="0.3">
      <c r="A1677" t="str">
        <f>"200106S0100"</f>
        <v>200106S0100</v>
      </c>
      <c r="B1677" t="str">
        <f>"200106S01002EMR"</f>
        <v>200106S01002EMR</v>
      </c>
      <c r="C1677" t="str">
        <f t="shared" si="83"/>
        <v>20</v>
      </c>
      <c r="D1677" t="s">
        <v>67</v>
      </c>
      <c r="E1677" t="str">
        <f t="shared" si="84"/>
        <v>008</v>
      </c>
      <c r="F1677" t="s">
        <v>1759</v>
      </c>
      <c r="G1677" t="str">
        <f>"0106"</f>
        <v>0106</v>
      </c>
      <c r="H1677" t="str">
        <f>"0001"</f>
        <v>0001</v>
      </c>
      <c r="I1677" t="s">
        <v>85</v>
      </c>
      <c r="J1677">
        <v>0</v>
      </c>
      <c r="K1677">
        <v>1</v>
      </c>
      <c r="L1677" t="s">
        <v>86</v>
      </c>
      <c r="M1677">
        <v>840</v>
      </c>
      <c r="N1677">
        <v>116</v>
      </c>
      <c r="O1677">
        <v>0</v>
      </c>
      <c r="P1677">
        <v>117</v>
      </c>
      <c r="Q1677">
        <v>2</v>
      </c>
      <c r="R1677">
        <v>13</v>
      </c>
      <c r="S1677">
        <v>3</v>
      </c>
      <c r="T1677">
        <v>2</v>
      </c>
      <c r="U1677">
        <v>29</v>
      </c>
      <c r="V1677">
        <v>0</v>
      </c>
      <c r="W1677">
        <v>3</v>
      </c>
      <c r="X1677">
        <v>45</v>
      </c>
      <c r="Y1677">
        <v>8</v>
      </c>
      <c r="Z1677">
        <v>2</v>
      </c>
      <c r="AA1677">
        <v>0</v>
      </c>
      <c r="AB1677">
        <v>2</v>
      </c>
      <c r="AD1677">
        <v>0</v>
      </c>
      <c r="AE1677">
        <v>0</v>
      </c>
      <c r="AF1677">
        <v>0</v>
      </c>
      <c r="AG1677">
        <v>0</v>
      </c>
      <c r="AI1677">
        <v>0</v>
      </c>
      <c r="AJ1677">
        <v>8</v>
      </c>
      <c r="AK1677">
        <v>117</v>
      </c>
      <c r="AL1677">
        <v>117</v>
      </c>
      <c r="AM1677">
        <v>0</v>
      </c>
      <c r="AN1677">
        <v>44</v>
      </c>
      <c r="AP1677">
        <v>1</v>
      </c>
      <c r="AR1677" t="s">
        <v>1766</v>
      </c>
      <c r="AS1677" s="1">
        <v>44354.565972222219</v>
      </c>
      <c r="AT1677" s="1">
        <v>44354.570925925924</v>
      </c>
      <c r="AU1677" s="1">
        <v>44354.571620370371</v>
      </c>
      <c r="AV1677" t="s">
        <v>71</v>
      </c>
      <c r="AW1677" t="s">
        <v>72</v>
      </c>
      <c r="AX1677" t="s">
        <v>73</v>
      </c>
    </row>
    <row r="1678" spans="1:50" x14ac:dyDescent="0.3">
      <c r="A1678" t="str">
        <f>"200107B0000"</f>
        <v>200107B0000</v>
      </c>
      <c r="B1678" t="str">
        <f>"200107B00002"</f>
        <v>200107B00002</v>
      </c>
      <c r="C1678" t="str">
        <f t="shared" si="83"/>
        <v>20</v>
      </c>
      <c r="D1678" t="s">
        <v>67</v>
      </c>
      <c r="E1678" t="str">
        <f t="shared" si="84"/>
        <v>008</v>
      </c>
      <c r="F1678" t="s">
        <v>1759</v>
      </c>
      <c r="G1678" t="str">
        <f>"0107"</f>
        <v>0107</v>
      </c>
      <c r="H1678" t="str">
        <f>"0000"</f>
        <v>0000</v>
      </c>
      <c r="I1678" t="s">
        <v>69</v>
      </c>
      <c r="J1678">
        <v>0</v>
      </c>
      <c r="K1678">
        <v>1</v>
      </c>
      <c r="L1678">
        <v>2</v>
      </c>
      <c r="M1678">
        <v>306</v>
      </c>
      <c r="N1678">
        <v>401</v>
      </c>
      <c r="O1678">
        <v>0</v>
      </c>
      <c r="P1678">
        <v>401</v>
      </c>
      <c r="Q1678">
        <v>7</v>
      </c>
      <c r="R1678">
        <v>24</v>
      </c>
      <c r="S1678">
        <v>43</v>
      </c>
      <c r="T1678">
        <v>12</v>
      </c>
      <c r="U1678">
        <v>107</v>
      </c>
      <c r="V1678">
        <v>6</v>
      </c>
      <c r="W1678">
        <v>8</v>
      </c>
      <c r="X1678">
        <v>121</v>
      </c>
      <c r="Y1678">
        <v>19</v>
      </c>
      <c r="Z1678">
        <v>11</v>
      </c>
      <c r="AA1678">
        <v>5</v>
      </c>
      <c r="AB1678">
        <v>9</v>
      </c>
      <c r="AD1678">
        <v>2</v>
      </c>
      <c r="AE1678">
        <v>0</v>
      </c>
      <c r="AF1678">
        <v>0</v>
      </c>
      <c r="AG1678">
        <v>0</v>
      </c>
      <c r="AI1678">
        <v>1</v>
      </c>
      <c r="AJ1678">
        <v>26</v>
      </c>
      <c r="AK1678">
        <v>401</v>
      </c>
      <c r="AL1678">
        <v>401</v>
      </c>
      <c r="AM1678">
        <v>663</v>
      </c>
      <c r="AN1678">
        <v>44</v>
      </c>
      <c r="AP1678">
        <v>1</v>
      </c>
      <c r="AR1678" t="s">
        <v>1767</v>
      </c>
      <c r="AS1678" s="1">
        <v>44354.21597222222</v>
      </c>
      <c r="AT1678" s="1">
        <v>44354.219074074077</v>
      </c>
      <c r="AU1678" s="1">
        <v>44354.219398148147</v>
      </c>
      <c r="AV1678" t="s">
        <v>71</v>
      </c>
      <c r="AW1678" t="s">
        <v>72</v>
      </c>
      <c r="AX1678" t="s">
        <v>73</v>
      </c>
    </row>
    <row r="1679" spans="1:50" x14ac:dyDescent="0.3">
      <c r="A1679" t="str">
        <f>"200107E0100"</f>
        <v>200107E0100</v>
      </c>
      <c r="B1679" t="str">
        <f>"200107E01002"</f>
        <v>200107E01002</v>
      </c>
      <c r="C1679" t="str">
        <f t="shared" si="83"/>
        <v>20</v>
      </c>
      <c r="D1679" t="s">
        <v>67</v>
      </c>
      <c r="E1679" t="str">
        <f t="shared" si="84"/>
        <v>008</v>
      </c>
      <c r="F1679" t="s">
        <v>1759</v>
      </c>
      <c r="G1679" t="str">
        <f>"0107"</f>
        <v>0107</v>
      </c>
      <c r="H1679" t="str">
        <f>"0001"</f>
        <v>0001</v>
      </c>
      <c r="I1679" t="s">
        <v>109</v>
      </c>
      <c r="J1679">
        <v>0</v>
      </c>
      <c r="K1679">
        <v>1</v>
      </c>
      <c r="L1679">
        <v>2</v>
      </c>
      <c r="M1679">
        <v>221</v>
      </c>
      <c r="N1679">
        <v>315</v>
      </c>
      <c r="O1679">
        <v>2</v>
      </c>
      <c r="P1679">
        <v>315</v>
      </c>
      <c r="Q1679">
        <v>3</v>
      </c>
      <c r="R1679">
        <v>16</v>
      </c>
      <c r="S1679">
        <v>12</v>
      </c>
      <c r="T1679">
        <v>12</v>
      </c>
      <c r="U1679">
        <v>102</v>
      </c>
      <c r="V1679">
        <v>3</v>
      </c>
      <c r="W1679">
        <v>13</v>
      </c>
      <c r="X1679">
        <v>113</v>
      </c>
      <c r="Y1679">
        <v>16</v>
      </c>
      <c r="Z1679">
        <v>2</v>
      </c>
      <c r="AA1679">
        <v>2</v>
      </c>
      <c r="AB1679">
        <v>0</v>
      </c>
      <c r="AD1679">
        <v>3</v>
      </c>
      <c r="AE1679">
        <v>0</v>
      </c>
      <c r="AF1679">
        <v>0</v>
      </c>
      <c r="AG1679">
        <v>0</v>
      </c>
      <c r="AI1679">
        <v>0</v>
      </c>
      <c r="AJ1679">
        <v>18</v>
      </c>
      <c r="AK1679">
        <v>315</v>
      </c>
      <c r="AL1679">
        <v>315</v>
      </c>
      <c r="AM1679">
        <v>492</v>
      </c>
      <c r="AN1679">
        <v>44</v>
      </c>
      <c r="AP1679">
        <v>1</v>
      </c>
      <c r="AR1679" t="s">
        <v>1768</v>
      </c>
      <c r="AS1679" s="1">
        <v>44354.21875</v>
      </c>
      <c r="AT1679" s="1">
        <v>44354.221550925926</v>
      </c>
      <c r="AU1679" s="1">
        <v>44354.222407407404</v>
      </c>
      <c r="AV1679" t="s">
        <v>71</v>
      </c>
      <c r="AW1679" t="s">
        <v>72</v>
      </c>
      <c r="AX1679" t="s">
        <v>73</v>
      </c>
    </row>
    <row r="1680" spans="1:50" x14ac:dyDescent="0.3">
      <c r="A1680" t="str">
        <f>"200108B0000"</f>
        <v>200108B0000</v>
      </c>
      <c r="B1680" t="str">
        <f>"200108B00002"</f>
        <v>200108B00002</v>
      </c>
      <c r="C1680" t="str">
        <f t="shared" si="83"/>
        <v>20</v>
      </c>
      <c r="D1680" t="s">
        <v>67</v>
      </c>
      <c r="E1680" t="str">
        <f t="shared" si="84"/>
        <v>008</v>
      </c>
      <c r="F1680" t="s">
        <v>1759</v>
      </c>
      <c r="G1680" t="str">
        <f>"0108"</f>
        <v>0108</v>
      </c>
      <c r="H1680" t="str">
        <f>"0000"</f>
        <v>0000</v>
      </c>
      <c r="I1680" t="s">
        <v>69</v>
      </c>
      <c r="J1680">
        <v>0</v>
      </c>
      <c r="K1680">
        <v>1</v>
      </c>
      <c r="L1680">
        <v>2</v>
      </c>
      <c r="M1680">
        <v>231</v>
      </c>
      <c r="N1680">
        <v>340</v>
      </c>
      <c r="O1680">
        <v>1</v>
      </c>
      <c r="P1680">
        <v>340</v>
      </c>
      <c r="Q1680">
        <v>2</v>
      </c>
      <c r="R1680">
        <v>5</v>
      </c>
      <c r="S1680">
        <v>36</v>
      </c>
      <c r="T1680">
        <v>8</v>
      </c>
      <c r="U1680">
        <v>142</v>
      </c>
      <c r="V1680">
        <v>0</v>
      </c>
      <c r="W1680">
        <v>5</v>
      </c>
      <c r="X1680">
        <v>102</v>
      </c>
      <c r="Y1680">
        <v>10</v>
      </c>
      <c r="Z1680">
        <v>2</v>
      </c>
      <c r="AA1680">
        <v>5</v>
      </c>
      <c r="AB1680">
        <v>5</v>
      </c>
      <c r="AD1680">
        <v>1</v>
      </c>
      <c r="AE1680">
        <v>0</v>
      </c>
      <c r="AF1680">
        <v>0</v>
      </c>
      <c r="AG1680">
        <v>0</v>
      </c>
      <c r="AI1680">
        <v>0</v>
      </c>
      <c r="AJ1680">
        <v>17</v>
      </c>
      <c r="AK1680">
        <v>340</v>
      </c>
      <c r="AL1680">
        <v>340</v>
      </c>
      <c r="AM1680">
        <v>527</v>
      </c>
      <c r="AN1680">
        <v>44</v>
      </c>
      <c r="AP1680">
        <v>1</v>
      </c>
      <c r="AR1680" t="s">
        <v>1769</v>
      </c>
      <c r="AS1680" s="1">
        <v>44354.21597222222</v>
      </c>
      <c r="AT1680" s="1">
        <v>44354.219398148147</v>
      </c>
      <c r="AU1680" s="1">
        <v>44354.220324074071</v>
      </c>
      <c r="AV1680" t="s">
        <v>71</v>
      </c>
      <c r="AW1680" t="s">
        <v>72</v>
      </c>
      <c r="AX1680" t="s">
        <v>73</v>
      </c>
    </row>
    <row r="1681" spans="1:50" x14ac:dyDescent="0.3">
      <c r="A1681" t="str">
        <f>"200109B0000"</f>
        <v>200109B0000</v>
      </c>
      <c r="B1681" t="str">
        <f>"200109B00002"</f>
        <v>200109B00002</v>
      </c>
      <c r="C1681" t="str">
        <f t="shared" si="83"/>
        <v>20</v>
      </c>
      <c r="D1681" t="s">
        <v>67</v>
      </c>
      <c r="E1681" t="str">
        <f t="shared" si="84"/>
        <v>008</v>
      </c>
      <c r="F1681" t="s">
        <v>1759</v>
      </c>
      <c r="G1681" t="str">
        <f>"0109"</f>
        <v>0109</v>
      </c>
      <c r="H1681" t="str">
        <f>"0000"</f>
        <v>0000</v>
      </c>
      <c r="I1681" t="s">
        <v>69</v>
      </c>
      <c r="J1681">
        <v>0</v>
      </c>
      <c r="K1681">
        <v>1</v>
      </c>
      <c r="L1681">
        <v>2</v>
      </c>
      <c r="M1681">
        <v>178</v>
      </c>
      <c r="N1681">
        <v>303</v>
      </c>
      <c r="O1681">
        <v>5</v>
      </c>
      <c r="P1681">
        <v>303</v>
      </c>
      <c r="Q1681">
        <v>9</v>
      </c>
      <c r="R1681">
        <v>20</v>
      </c>
      <c r="S1681">
        <v>36</v>
      </c>
      <c r="T1681">
        <v>8</v>
      </c>
      <c r="U1681">
        <v>53</v>
      </c>
      <c r="V1681">
        <v>1</v>
      </c>
      <c r="W1681">
        <v>2</v>
      </c>
      <c r="X1681">
        <v>97</v>
      </c>
      <c r="Y1681">
        <v>41</v>
      </c>
      <c r="Z1681">
        <v>6</v>
      </c>
      <c r="AA1681">
        <v>2</v>
      </c>
      <c r="AB1681">
        <v>2</v>
      </c>
      <c r="AD1681">
        <v>6</v>
      </c>
      <c r="AE1681">
        <v>0</v>
      </c>
      <c r="AF1681">
        <v>1</v>
      </c>
      <c r="AG1681">
        <v>1</v>
      </c>
      <c r="AI1681">
        <v>0</v>
      </c>
      <c r="AJ1681">
        <v>20</v>
      </c>
      <c r="AK1681">
        <v>303</v>
      </c>
      <c r="AL1681">
        <v>305</v>
      </c>
      <c r="AM1681">
        <v>437</v>
      </c>
      <c r="AN1681">
        <v>44</v>
      </c>
      <c r="AP1681">
        <v>1</v>
      </c>
      <c r="AR1681" t="s">
        <v>1770</v>
      </c>
      <c r="AS1681" s="1">
        <v>44354.215277777781</v>
      </c>
      <c r="AT1681" s="1">
        <v>44354.220405092594</v>
      </c>
      <c r="AU1681" s="1">
        <v>44354.221006944441</v>
      </c>
      <c r="AV1681" t="s">
        <v>71</v>
      </c>
      <c r="AW1681" t="s">
        <v>72</v>
      </c>
      <c r="AX1681" t="s">
        <v>73</v>
      </c>
    </row>
    <row r="1682" spans="1:50" x14ac:dyDescent="0.3">
      <c r="A1682" t="str">
        <f>"200109E0100"</f>
        <v>200109E0100</v>
      </c>
      <c r="B1682" t="str">
        <f>"200109E01002"</f>
        <v>200109E01002</v>
      </c>
      <c r="C1682" t="str">
        <f t="shared" si="83"/>
        <v>20</v>
      </c>
      <c r="D1682" t="s">
        <v>67</v>
      </c>
      <c r="E1682" t="str">
        <f t="shared" si="84"/>
        <v>008</v>
      </c>
      <c r="F1682" t="s">
        <v>1759</v>
      </c>
      <c r="G1682" t="str">
        <f>"0109"</f>
        <v>0109</v>
      </c>
      <c r="H1682" t="str">
        <f>"0001"</f>
        <v>0001</v>
      </c>
      <c r="I1682" t="s">
        <v>109</v>
      </c>
      <c r="J1682">
        <v>0</v>
      </c>
      <c r="K1682">
        <v>1</v>
      </c>
      <c r="L1682">
        <v>2</v>
      </c>
      <c r="M1682">
        <v>144</v>
      </c>
      <c r="N1682">
        <v>247</v>
      </c>
      <c r="O1682">
        <v>3</v>
      </c>
      <c r="P1682">
        <v>247</v>
      </c>
      <c r="Q1682">
        <v>6</v>
      </c>
      <c r="R1682">
        <v>32</v>
      </c>
      <c r="S1682">
        <v>30</v>
      </c>
      <c r="T1682">
        <v>0</v>
      </c>
      <c r="U1682">
        <v>9</v>
      </c>
      <c r="V1682">
        <v>2</v>
      </c>
      <c r="W1682">
        <v>5</v>
      </c>
      <c r="X1682">
        <v>61</v>
      </c>
      <c r="Y1682">
        <v>14</v>
      </c>
      <c r="Z1682">
        <v>1</v>
      </c>
      <c r="AA1682">
        <v>1</v>
      </c>
      <c r="AB1682">
        <v>1</v>
      </c>
      <c r="AD1682">
        <v>11</v>
      </c>
      <c r="AE1682">
        <v>0</v>
      </c>
      <c r="AF1682">
        <v>0</v>
      </c>
      <c r="AG1682">
        <v>2</v>
      </c>
      <c r="AI1682">
        <v>0</v>
      </c>
      <c r="AJ1682">
        <v>21</v>
      </c>
      <c r="AK1682">
        <v>247</v>
      </c>
      <c r="AL1682">
        <v>196</v>
      </c>
      <c r="AM1682">
        <v>347</v>
      </c>
      <c r="AN1682">
        <v>44</v>
      </c>
      <c r="AP1682">
        <v>1</v>
      </c>
      <c r="AR1682" t="s">
        <v>1771</v>
      </c>
      <c r="AS1682" s="1">
        <v>44354.209722222222</v>
      </c>
      <c r="AT1682" s="1">
        <v>44354.212430555555</v>
      </c>
      <c r="AU1682" s="1">
        <v>44354.21303240741</v>
      </c>
      <c r="AV1682" t="s">
        <v>71</v>
      </c>
      <c r="AW1682" t="s">
        <v>72</v>
      </c>
      <c r="AX1682" t="s">
        <v>73</v>
      </c>
    </row>
    <row r="1683" spans="1:50" x14ac:dyDescent="0.3">
      <c r="A1683" t="str">
        <f>"200110B0000"</f>
        <v>200110B0000</v>
      </c>
      <c r="B1683" t="str">
        <f>"200110B00002"</f>
        <v>200110B00002</v>
      </c>
      <c r="C1683" t="str">
        <f t="shared" si="83"/>
        <v>20</v>
      </c>
      <c r="D1683" t="s">
        <v>67</v>
      </c>
      <c r="E1683" t="str">
        <f t="shared" si="84"/>
        <v>008</v>
      </c>
      <c r="F1683" t="s">
        <v>1759</v>
      </c>
      <c r="G1683" t="str">
        <f>"0110"</f>
        <v>0110</v>
      </c>
      <c r="H1683" t="str">
        <f>"0000"</f>
        <v>0000</v>
      </c>
      <c r="I1683" t="s">
        <v>69</v>
      </c>
      <c r="J1683">
        <v>0</v>
      </c>
      <c r="K1683">
        <v>1</v>
      </c>
      <c r="L1683">
        <v>2</v>
      </c>
      <c r="M1683">
        <v>263</v>
      </c>
      <c r="N1683">
        <v>279</v>
      </c>
      <c r="O1683">
        <v>4</v>
      </c>
      <c r="P1683">
        <v>279</v>
      </c>
      <c r="Q1683">
        <v>0</v>
      </c>
      <c r="R1683">
        <v>8</v>
      </c>
      <c r="S1683">
        <v>28</v>
      </c>
      <c r="T1683">
        <v>7</v>
      </c>
      <c r="U1683">
        <v>116</v>
      </c>
      <c r="V1683">
        <v>1</v>
      </c>
      <c r="W1683">
        <v>9</v>
      </c>
      <c r="X1683">
        <v>66</v>
      </c>
      <c r="Y1683">
        <v>9</v>
      </c>
      <c r="Z1683">
        <v>7</v>
      </c>
      <c r="AA1683">
        <v>0</v>
      </c>
      <c r="AB1683">
        <v>1</v>
      </c>
      <c r="AD1683">
        <v>0</v>
      </c>
      <c r="AE1683">
        <v>0</v>
      </c>
      <c r="AF1683">
        <v>0</v>
      </c>
      <c r="AG1683">
        <v>1</v>
      </c>
      <c r="AI1683">
        <v>0</v>
      </c>
      <c r="AJ1683">
        <v>26</v>
      </c>
      <c r="AK1683">
        <v>279</v>
      </c>
      <c r="AL1683">
        <v>279</v>
      </c>
      <c r="AM1683">
        <v>498</v>
      </c>
      <c r="AN1683">
        <v>44</v>
      </c>
      <c r="AP1683">
        <v>1</v>
      </c>
      <c r="AR1683" t="s">
        <v>1772</v>
      </c>
      <c r="AS1683" s="1">
        <v>44354.211111111108</v>
      </c>
      <c r="AT1683" s="1">
        <v>44354.213460648149</v>
      </c>
      <c r="AU1683" s="1">
        <v>44354.21402777778</v>
      </c>
      <c r="AV1683" t="s">
        <v>71</v>
      </c>
      <c r="AW1683" t="s">
        <v>72</v>
      </c>
      <c r="AX1683" t="s">
        <v>73</v>
      </c>
    </row>
    <row r="1684" spans="1:50" x14ac:dyDescent="0.3">
      <c r="A1684" t="str">
        <f>"200110E0100"</f>
        <v>200110E0100</v>
      </c>
      <c r="B1684" t="str">
        <f>"200110E01002"</f>
        <v>200110E01002</v>
      </c>
      <c r="C1684" t="str">
        <f t="shared" si="83"/>
        <v>20</v>
      </c>
      <c r="D1684" t="s">
        <v>67</v>
      </c>
      <c r="E1684" t="str">
        <f t="shared" si="84"/>
        <v>008</v>
      </c>
      <c r="F1684" t="s">
        <v>1759</v>
      </c>
      <c r="G1684" t="str">
        <f>"0110"</f>
        <v>0110</v>
      </c>
      <c r="H1684" t="str">
        <f>"0001"</f>
        <v>0001</v>
      </c>
      <c r="I1684" t="s">
        <v>109</v>
      </c>
      <c r="J1684">
        <v>0</v>
      </c>
      <c r="K1684">
        <v>1</v>
      </c>
      <c r="L1684">
        <v>2</v>
      </c>
      <c r="M1684">
        <v>163</v>
      </c>
      <c r="N1684">
        <v>175</v>
      </c>
      <c r="O1684">
        <v>0</v>
      </c>
      <c r="P1684">
        <v>175</v>
      </c>
      <c r="Q1684">
        <v>2</v>
      </c>
      <c r="R1684">
        <v>5</v>
      </c>
      <c r="S1684">
        <v>12</v>
      </c>
      <c r="T1684">
        <v>2</v>
      </c>
      <c r="U1684">
        <v>95</v>
      </c>
      <c r="V1684">
        <v>1</v>
      </c>
      <c r="W1684">
        <v>3</v>
      </c>
      <c r="X1684">
        <v>41</v>
      </c>
      <c r="Y1684">
        <v>2</v>
      </c>
      <c r="Z1684">
        <v>1</v>
      </c>
      <c r="AA1684">
        <v>1</v>
      </c>
      <c r="AB1684">
        <v>3</v>
      </c>
      <c r="AD1684">
        <v>0</v>
      </c>
      <c r="AE1684">
        <v>0</v>
      </c>
      <c r="AF1684">
        <v>0</v>
      </c>
      <c r="AG1684">
        <v>0</v>
      </c>
      <c r="AI1684">
        <v>0</v>
      </c>
      <c r="AJ1684">
        <v>7</v>
      </c>
      <c r="AK1684">
        <v>175</v>
      </c>
      <c r="AL1684">
        <v>175</v>
      </c>
      <c r="AM1684">
        <v>294</v>
      </c>
      <c r="AN1684">
        <v>44</v>
      </c>
      <c r="AP1684">
        <v>1</v>
      </c>
      <c r="AR1684" t="s">
        <v>1773</v>
      </c>
      <c r="AS1684" s="1">
        <v>44354.095833333333</v>
      </c>
      <c r="AT1684" s="1">
        <v>44354.099479166667</v>
      </c>
      <c r="AU1684" s="1">
        <v>44354.099895833337</v>
      </c>
      <c r="AV1684" t="s">
        <v>71</v>
      </c>
      <c r="AW1684" t="s">
        <v>72</v>
      </c>
      <c r="AX1684" t="s">
        <v>73</v>
      </c>
    </row>
    <row r="1685" spans="1:50" x14ac:dyDescent="0.3">
      <c r="A1685" t="str">
        <f>"200255B0000"</f>
        <v>200255B0000</v>
      </c>
      <c r="B1685" t="str">
        <f>"200255B00002"</f>
        <v>200255B00002</v>
      </c>
      <c r="C1685" t="str">
        <f t="shared" si="83"/>
        <v>20</v>
      </c>
      <c r="D1685" t="s">
        <v>67</v>
      </c>
      <c r="E1685" t="str">
        <f t="shared" si="84"/>
        <v>008</v>
      </c>
      <c r="F1685" t="s">
        <v>1759</v>
      </c>
      <c r="G1685" t="str">
        <f>"0255"</f>
        <v>0255</v>
      </c>
      <c r="H1685" t="str">
        <f>"0000"</f>
        <v>0000</v>
      </c>
      <c r="I1685" t="s">
        <v>69</v>
      </c>
      <c r="J1685">
        <v>0</v>
      </c>
      <c r="K1685">
        <v>1</v>
      </c>
      <c r="L1685">
        <v>2</v>
      </c>
      <c r="M1685">
        <v>321</v>
      </c>
      <c r="N1685">
        <v>106</v>
      </c>
      <c r="O1685">
        <v>3</v>
      </c>
      <c r="P1685">
        <v>106</v>
      </c>
      <c r="Q1685">
        <v>1</v>
      </c>
      <c r="R1685">
        <v>6</v>
      </c>
      <c r="S1685">
        <v>6</v>
      </c>
      <c r="T1685">
        <v>0</v>
      </c>
      <c r="U1685">
        <v>5</v>
      </c>
      <c r="V1685">
        <v>1</v>
      </c>
      <c r="W1685">
        <v>2</v>
      </c>
      <c r="X1685">
        <v>77</v>
      </c>
      <c r="Y1685">
        <v>0</v>
      </c>
      <c r="Z1685">
        <v>4</v>
      </c>
      <c r="AA1685">
        <v>1</v>
      </c>
      <c r="AB1685">
        <v>1</v>
      </c>
      <c r="AD1685">
        <v>0</v>
      </c>
      <c r="AE1685">
        <v>1</v>
      </c>
      <c r="AF1685">
        <v>0</v>
      </c>
      <c r="AG1685">
        <v>0</v>
      </c>
      <c r="AI1685">
        <v>0</v>
      </c>
      <c r="AJ1685">
        <v>1</v>
      </c>
      <c r="AK1685">
        <v>106</v>
      </c>
      <c r="AL1685">
        <v>106</v>
      </c>
      <c r="AM1685">
        <v>383</v>
      </c>
      <c r="AN1685">
        <v>44</v>
      </c>
      <c r="AP1685">
        <v>1</v>
      </c>
      <c r="AR1685" t="s">
        <v>1774</v>
      </c>
      <c r="AS1685" s="1">
        <v>44354.407638888886</v>
      </c>
      <c r="AT1685" s="1">
        <v>44354.410740740743</v>
      </c>
      <c r="AU1685" s="1">
        <v>44354.411273148151</v>
      </c>
      <c r="AV1685" t="s">
        <v>71</v>
      </c>
      <c r="AW1685" t="s">
        <v>72</v>
      </c>
      <c r="AX1685" t="s">
        <v>73</v>
      </c>
    </row>
    <row r="1686" spans="1:50" x14ac:dyDescent="0.3">
      <c r="A1686" t="str">
        <f>"200255C0100"</f>
        <v>200255C0100</v>
      </c>
      <c r="B1686" t="str">
        <f>"200255C01002"</f>
        <v>200255C01002</v>
      </c>
      <c r="C1686" t="str">
        <f t="shared" si="83"/>
        <v>20</v>
      </c>
      <c r="D1686" t="s">
        <v>67</v>
      </c>
      <c r="E1686" t="str">
        <f t="shared" si="84"/>
        <v>008</v>
      </c>
      <c r="F1686" t="s">
        <v>1759</v>
      </c>
      <c r="G1686" t="str">
        <f>"0255"</f>
        <v>0255</v>
      </c>
      <c r="H1686" t="str">
        <f>"0001"</f>
        <v>0001</v>
      </c>
      <c r="I1686" t="s">
        <v>75</v>
      </c>
      <c r="J1686">
        <v>0</v>
      </c>
      <c r="K1686">
        <v>1</v>
      </c>
      <c r="L1686">
        <v>2</v>
      </c>
      <c r="M1686">
        <v>333</v>
      </c>
      <c r="N1686">
        <v>94</v>
      </c>
      <c r="O1686">
        <v>5</v>
      </c>
      <c r="P1686">
        <v>94</v>
      </c>
      <c r="Q1686">
        <v>2</v>
      </c>
      <c r="R1686">
        <v>8</v>
      </c>
      <c r="S1686">
        <v>4</v>
      </c>
      <c r="T1686">
        <v>1</v>
      </c>
      <c r="U1686">
        <v>7</v>
      </c>
      <c r="V1686">
        <v>2</v>
      </c>
      <c r="W1686">
        <v>0</v>
      </c>
      <c r="X1686">
        <v>60</v>
      </c>
      <c r="Y1686">
        <v>1</v>
      </c>
      <c r="Z1686">
        <v>2</v>
      </c>
      <c r="AA1686">
        <v>0</v>
      </c>
      <c r="AB1686">
        <v>2</v>
      </c>
      <c r="AD1686">
        <v>1</v>
      </c>
      <c r="AE1686">
        <v>0</v>
      </c>
      <c r="AF1686">
        <v>0</v>
      </c>
      <c r="AG1686">
        <v>0</v>
      </c>
      <c r="AI1686">
        <v>0</v>
      </c>
      <c r="AJ1686">
        <v>4</v>
      </c>
      <c r="AK1686">
        <v>94</v>
      </c>
      <c r="AL1686">
        <v>94</v>
      </c>
      <c r="AM1686">
        <v>383</v>
      </c>
      <c r="AN1686">
        <v>44</v>
      </c>
      <c r="AP1686">
        <v>1</v>
      </c>
      <c r="AR1686" t="s">
        <v>1775</v>
      </c>
      <c r="AS1686" s="1">
        <v>44354.408333333333</v>
      </c>
      <c r="AT1686" s="1">
        <v>44354.411064814813</v>
      </c>
      <c r="AU1686" s="1">
        <v>44354.411446759259</v>
      </c>
      <c r="AV1686" t="s">
        <v>71</v>
      </c>
      <c r="AW1686" t="s">
        <v>72</v>
      </c>
      <c r="AX1686" t="s">
        <v>73</v>
      </c>
    </row>
    <row r="1687" spans="1:50" x14ac:dyDescent="0.3">
      <c r="A1687" t="str">
        <f>"200256B0000"</f>
        <v>200256B0000</v>
      </c>
      <c r="B1687" t="str">
        <f>"200256B00002"</f>
        <v>200256B00002</v>
      </c>
      <c r="C1687" t="str">
        <f t="shared" si="83"/>
        <v>20</v>
      </c>
      <c r="D1687" t="s">
        <v>67</v>
      </c>
      <c r="E1687" t="str">
        <f t="shared" si="84"/>
        <v>008</v>
      </c>
      <c r="F1687" t="s">
        <v>1759</v>
      </c>
      <c r="G1687" t="str">
        <f>"0256"</f>
        <v>0256</v>
      </c>
      <c r="H1687" t="str">
        <f>"0000"</f>
        <v>0000</v>
      </c>
      <c r="I1687" t="s">
        <v>69</v>
      </c>
      <c r="J1687">
        <v>0</v>
      </c>
      <c r="K1687">
        <v>1</v>
      </c>
      <c r="L1687">
        <v>2</v>
      </c>
      <c r="M1687">
        <v>131</v>
      </c>
      <c r="N1687">
        <v>63</v>
      </c>
      <c r="O1687">
        <v>4</v>
      </c>
      <c r="P1687">
        <v>63</v>
      </c>
      <c r="Q1687">
        <v>1</v>
      </c>
      <c r="R1687">
        <v>3</v>
      </c>
      <c r="S1687">
        <v>1</v>
      </c>
      <c r="T1687">
        <v>0</v>
      </c>
      <c r="U1687">
        <v>1</v>
      </c>
      <c r="V1687">
        <v>0</v>
      </c>
      <c r="W1687">
        <v>0</v>
      </c>
      <c r="X1687">
        <v>53</v>
      </c>
      <c r="Y1687">
        <v>0</v>
      </c>
      <c r="Z1687">
        <v>4</v>
      </c>
      <c r="AA1687">
        <v>0</v>
      </c>
      <c r="AB1687">
        <v>0</v>
      </c>
      <c r="AD1687">
        <v>0</v>
      </c>
      <c r="AE1687">
        <v>0</v>
      </c>
      <c r="AF1687">
        <v>0</v>
      </c>
      <c r="AG1687">
        <v>0</v>
      </c>
      <c r="AI1687">
        <v>0</v>
      </c>
      <c r="AJ1687">
        <v>0</v>
      </c>
      <c r="AK1687">
        <v>63</v>
      </c>
      <c r="AL1687">
        <v>63</v>
      </c>
      <c r="AM1687">
        <v>150</v>
      </c>
      <c r="AN1687">
        <v>44</v>
      </c>
      <c r="AP1687">
        <v>1</v>
      </c>
      <c r="AR1687" t="s">
        <v>1776</v>
      </c>
      <c r="AS1687" s="1">
        <v>44354.407638888886</v>
      </c>
      <c r="AT1687" s="1">
        <v>44354.409155092595</v>
      </c>
      <c r="AU1687" s="1">
        <v>44354.409861111111</v>
      </c>
      <c r="AV1687" t="s">
        <v>71</v>
      </c>
      <c r="AW1687" t="s">
        <v>72</v>
      </c>
      <c r="AX1687" t="s">
        <v>73</v>
      </c>
    </row>
    <row r="1688" spans="1:50" x14ac:dyDescent="0.3">
      <c r="A1688" t="str">
        <f>"200257B0000"</f>
        <v>200257B0000</v>
      </c>
      <c r="B1688" t="str">
        <f>"200257B00002"</f>
        <v>200257B00002</v>
      </c>
      <c r="C1688" t="str">
        <f t="shared" si="83"/>
        <v>20</v>
      </c>
      <c r="D1688" t="s">
        <v>67</v>
      </c>
      <c r="E1688" t="str">
        <f t="shared" si="84"/>
        <v>008</v>
      </c>
      <c r="F1688" t="s">
        <v>1759</v>
      </c>
      <c r="G1688" t="str">
        <f>"0257"</f>
        <v>0257</v>
      </c>
      <c r="H1688" t="str">
        <f>"0000"</f>
        <v>0000</v>
      </c>
      <c r="I1688" t="s">
        <v>69</v>
      </c>
      <c r="J1688">
        <v>0</v>
      </c>
      <c r="K1688">
        <v>1</v>
      </c>
      <c r="L1688">
        <v>2</v>
      </c>
      <c r="M1688" t="s">
        <v>80</v>
      </c>
      <c r="N1688" t="s">
        <v>80</v>
      </c>
      <c r="O1688" t="s">
        <v>80</v>
      </c>
      <c r="P1688">
        <v>75</v>
      </c>
      <c r="Q1688">
        <v>2</v>
      </c>
      <c r="R1688">
        <v>8</v>
      </c>
      <c r="S1688">
        <v>11</v>
      </c>
      <c r="T1688">
        <v>2</v>
      </c>
      <c r="U1688">
        <v>4</v>
      </c>
      <c r="V1688">
        <v>2</v>
      </c>
      <c r="W1688">
        <v>2</v>
      </c>
      <c r="X1688">
        <v>35</v>
      </c>
      <c r="Y1688">
        <v>1</v>
      </c>
      <c r="Z1688">
        <v>3</v>
      </c>
      <c r="AA1688">
        <v>4</v>
      </c>
      <c r="AB1688">
        <v>0</v>
      </c>
      <c r="AD1688">
        <v>0</v>
      </c>
      <c r="AE1688">
        <v>0</v>
      </c>
      <c r="AF1688">
        <v>0</v>
      </c>
      <c r="AG1688">
        <v>0</v>
      </c>
      <c r="AI1688">
        <v>0</v>
      </c>
      <c r="AJ1688">
        <v>1</v>
      </c>
      <c r="AK1688">
        <v>75</v>
      </c>
      <c r="AL1688">
        <v>75</v>
      </c>
      <c r="AM1688">
        <v>149</v>
      </c>
      <c r="AN1688">
        <v>44</v>
      </c>
      <c r="AP1688">
        <v>1</v>
      </c>
      <c r="AR1688" t="s">
        <v>1777</v>
      </c>
      <c r="AS1688" s="1">
        <v>44354.406944444447</v>
      </c>
      <c r="AT1688" s="1">
        <v>44354.40960648148</v>
      </c>
      <c r="AU1688" s="1">
        <v>44354.410358796296</v>
      </c>
      <c r="AV1688" t="s">
        <v>71</v>
      </c>
      <c r="AW1688" t="s">
        <v>72</v>
      </c>
      <c r="AX1688" t="s">
        <v>73</v>
      </c>
    </row>
    <row r="1689" spans="1:50" x14ac:dyDescent="0.3">
      <c r="A1689" t="str">
        <f>"200375B0000"</f>
        <v>200375B0000</v>
      </c>
      <c r="B1689" t="str">
        <f>"200375B00002"</f>
        <v>200375B00002</v>
      </c>
      <c r="C1689" t="str">
        <f t="shared" si="83"/>
        <v>20</v>
      </c>
      <c r="D1689" t="s">
        <v>67</v>
      </c>
      <c r="E1689" t="str">
        <f t="shared" si="84"/>
        <v>008</v>
      </c>
      <c r="F1689" t="s">
        <v>1759</v>
      </c>
      <c r="G1689" t="str">
        <f>"0375"</f>
        <v>0375</v>
      </c>
      <c r="H1689" t="str">
        <f>"0000"</f>
        <v>0000</v>
      </c>
      <c r="I1689" t="s">
        <v>69</v>
      </c>
      <c r="J1689">
        <v>0</v>
      </c>
      <c r="K1689">
        <v>1</v>
      </c>
      <c r="L1689">
        <v>2</v>
      </c>
      <c r="M1689">
        <v>392</v>
      </c>
      <c r="N1689">
        <v>253</v>
      </c>
      <c r="O1689">
        <v>1</v>
      </c>
      <c r="P1689">
        <v>253</v>
      </c>
      <c r="Q1689">
        <v>1</v>
      </c>
      <c r="R1689">
        <v>7</v>
      </c>
      <c r="S1689">
        <v>10</v>
      </c>
      <c r="T1689">
        <v>12</v>
      </c>
      <c r="U1689">
        <v>128</v>
      </c>
      <c r="V1689">
        <v>4</v>
      </c>
      <c r="W1689">
        <v>3</v>
      </c>
      <c r="X1689">
        <v>71</v>
      </c>
      <c r="Y1689">
        <v>0</v>
      </c>
      <c r="Z1689">
        <v>5</v>
      </c>
      <c r="AA1689">
        <v>4</v>
      </c>
      <c r="AB1689">
        <v>1</v>
      </c>
      <c r="AD1689">
        <v>0</v>
      </c>
      <c r="AE1689">
        <v>0</v>
      </c>
      <c r="AF1689">
        <v>0</v>
      </c>
      <c r="AG1689">
        <v>0</v>
      </c>
      <c r="AI1689">
        <v>0</v>
      </c>
      <c r="AJ1689">
        <v>7</v>
      </c>
      <c r="AK1689">
        <v>253</v>
      </c>
      <c r="AL1689">
        <v>253</v>
      </c>
      <c r="AM1689">
        <v>601</v>
      </c>
      <c r="AN1689">
        <v>44</v>
      </c>
      <c r="AP1689">
        <v>1</v>
      </c>
      <c r="AR1689" t="s">
        <v>1778</v>
      </c>
      <c r="AS1689" s="1">
        <v>44354.054861111108</v>
      </c>
      <c r="AT1689" s="1">
        <v>44354.060925925929</v>
      </c>
      <c r="AU1689" s="1">
        <v>44354.061574074076</v>
      </c>
      <c r="AV1689" t="s">
        <v>71</v>
      </c>
      <c r="AW1689" t="s">
        <v>72</v>
      </c>
      <c r="AX1689" t="s">
        <v>73</v>
      </c>
    </row>
    <row r="1690" spans="1:50" x14ac:dyDescent="0.3">
      <c r="A1690" t="str">
        <f>"200375E0100"</f>
        <v>200375E0100</v>
      </c>
      <c r="B1690" t="str">
        <f>"200375E01002"</f>
        <v>200375E01002</v>
      </c>
      <c r="C1690" t="str">
        <f t="shared" si="83"/>
        <v>20</v>
      </c>
      <c r="D1690" t="s">
        <v>67</v>
      </c>
      <c r="E1690" t="str">
        <f t="shared" si="84"/>
        <v>008</v>
      </c>
      <c r="F1690" t="s">
        <v>1759</v>
      </c>
      <c r="G1690" t="str">
        <f>"0375"</f>
        <v>0375</v>
      </c>
      <c r="H1690" t="str">
        <f>"0001"</f>
        <v>0001</v>
      </c>
      <c r="I1690" t="s">
        <v>109</v>
      </c>
      <c r="J1690">
        <v>0</v>
      </c>
      <c r="K1690">
        <v>1</v>
      </c>
      <c r="L1690">
        <v>2</v>
      </c>
      <c r="M1690">
        <v>210</v>
      </c>
      <c r="N1690">
        <v>215</v>
      </c>
      <c r="O1690">
        <v>4</v>
      </c>
      <c r="P1690">
        <v>215</v>
      </c>
      <c r="Q1690">
        <v>3</v>
      </c>
      <c r="R1690">
        <v>31</v>
      </c>
      <c r="S1690">
        <v>9</v>
      </c>
      <c r="T1690">
        <v>2</v>
      </c>
      <c r="U1690">
        <v>79</v>
      </c>
      <c r="V1690">
        <v>1</v>
      </c>
      <c r="W1690">
        <v>25</v>
      </c>
      <c r="X1690">
        <v>27</v>
      </c>
      <c r="Y1690">
        <v>1</v>
      </c>
      <c r="Z1690">
        <v>4</v>
      </c>
      <c r="AA1690">
        <v>3</v>
      </c>
      <c r="AB1690">
        <v>2</v>
      </c>
      <c r="AD1690">
        <v>9</v>
      </c>
      <c r="AE1690">
        <v>0</v>
      </c>
      <c r="AF1690">
        <v>1</v>
      </c>
      <c r="AG1690">
        <v>2</v>
      </c>
      <c r="AI1690">
        <v>0</v>
      </c>
      <c r="AJ1690">
        <v>16</v>
      </c>
      <c r="AK1690">
        <v>215</v>
      </c>
      <c r="AL1690">
        <v>215</v>
      </c>
      <c r="AM1690">
        <v>381</v>
      </c>
      <c r="AN1690">
        <v>44</v>
      </c>
      <c r="AP1690">
        <v>1</v>
      </c>
      <c r="AR1690" t="s">
        <v>1779</v>
      </c>
      <c r="AS1690" s="1">
        <v>44354.101388888892</v>
      </c>
      <c r="AT1690" s="1">
        <v>44354.103472222225</v>
      </c>
      <c r="AU1690" s="1">
        <v>44354.104004629633</v>
      </c>
      <c r="AV1690" t="s">
        <v>71</v>
      </c>
      <c r="AW1690" t="s">
        <v>72</v>
      </c>
      <c r="AX1690" t="s">
        <v>73</v>
      </c>
    </row>
    <row r="1691" spans="1:50" x14ac:dyDescent="0.3">
      <c r="A1691" t="str">
        <f>"200376B0000"</f>
        <v>200376B0000</v>
      </c>
      <c r="B1691" t="str">
        <f>"200376B00002"</f>
        <v>200376B00002</v>
      </c>
      <c r="C1691" t="str">
        <f t="shared" si="83"/>
        <v>20</v>
      </c>
      <c r="D1691" t="s">
        <v>67</v>
      </c>
      <c r="E1691" t="str">
        <f t="shared" si="84"/>
        <v>008</v>
      </c>
      <c r="F1691" t="s">
        <v>1759</v>
      </c>
      <c r="G1691" t="str">
        <f>"0376"</f>
        <v>0376</v>
      </c>
      <c r="H1691" t="str">
        <f>"0000"</f>
        <v>0000</v>
      </c>
      <c r="I1691" t="s">
        <v>69</v>
      </c>
      <c r="J1691">
        <v>0</v>
      </c>
      <c r="K1691">
        <v>1</v>
      </c>
      <c r="L1691">
        <v>2</v>
      </c>
      <c r="M1691">
        <v>289</v>
      </c>
      <c r="N1691">
        <v>180</v>
      </c>
      <c r="O1691">
        <v>5</v>
      </c>
      <c r="P1691">
        <v>180</v>
      </c>
      <c r="Q1691">
        <v>3</v>
      </c>
      <c r="R1691">
        <v>25</v>
      </c>
      <c r="S1691">
        <v>9</v>
      </c>
      <c r="T1691">
        <v>6</v>
      </c>
      <c r="U1691">
        <v>62</v>
      </c>
      <c r="V1691">
        <v>2</v>
      </c>
      <c r="W1691">
        <v>5</v>
      </c>
      <c r="X1691">
        <v>48</v>
      </c>
      <c r="Y1691">
        <v>1</v>
      </c>
      <c r="Z1691">
        <v>3</v>
      </c>
      <c r="AA1691">
        <v>3</v>
      </c>
      <c r="AB1691">
        <v>0</v>
      </c>
      <c r="AD1691">
        <v>1</v>
      </c>
      <c r="AE1691">
        <v>0</v>
      </c>
      <c r="AF1691">
        <v>0</v>
      </c>
      <c r="AG1691">
        <v>0</v>
      </c>
      <c r="AI1691">
        <v>0</v>
      </c>
      <c r="AJ1691">
        <v>12</v>
      </c>
      <c r="AK1691">
        <v>180</v>
      </c>
      <c r="AL1691">
        <v>180</v>
      </c>
      <c r="AM1691">
        <v>425</v>
      </c>
      <c r="AN1691">
        <v>44</v>
      </c>
      <c r="AP1691">
        <v>1</v>
      </c>
      <c r="AR1691" t="s">
        <v>1780</v>
      </c>
      <c r="AS1691" s="1">
        <v>44354.056250000001</v>
      </c>
      <c r="AT1691" s="1">
        <v>44354.062916666669</v>
      </c>
      <c r="AU1691" s="1">
        <v>44354.063750000001</v>
      </c>
      <c r="AV1691" t="s">
        <v>71</v>
      </c>
      <c r="AW1691" t="s">
        <v>72</v>
      </c>
      <c r="AX1691" t="s">
        <v>73</v>
      </c>
    </row>
    <row r="1692" spans="1:50" x14ac:dyDescent="0.3">
      <c r="A1692" t="str">
        <f>"200376C0100"</f>
        <v>200376C0100</v>
      </c>
      <c r="B1692" t="str">
        <f>"200376C01002"</f>
        <v>200376C01002</v>
      </c>
      <c r="C1692" t="str">
        <f t="shared" si="83"/>
        <v>20</v>
      </c>
      <c r="D1692" t="s">
        <v>67</v>
      </c>
      <c r="E1692" t="str">
        <f t="shared" si="84"/>
        <v>008</v>
      </c>
      <c r="F1692" t="s">
        <v>1759</v>
      </c>
      <c r="G1692" t="str">
        <f>"0376"</f>
        <v>0376</v>
      </c>
      <c r="H1692" t="str">
        <f>"0001"</f>
        <v>0001</v>
      </c>
      <c r="I1692" t="s">
        <v>75</v>
      </c>
      <c r="J1692">
        <v>0</v>
      </c>
      <c r="K1692">
        <v>1</v>
      </c>
      <c r="L1692">
        <v>2</v>
      </c>
      <c r="M1692">
        <v>294</v>
      </c>
      <c r="N1692">
        <v>175</v>
      </c>
      <c r="O1692">
        <v>8</v>
      </c>
      <c r="P1692">
        <v>175</v>
      </c>
      <c r="Q1692">
        <v>5</v>
      </c>
      <c r="R1692">
        <v>24</v>
      </c>
      <c r="S1692">
        <v>11</v>
      </c>
      <c r="T1692">
        <v>7</v>
      </c>
      <c r="U1692">
        <v>48</v>
      </c>
      <c r="V1692">
        <v>0</v>
      </c>
      <c r="W1692">
        <v>3</v>
      </c>
      <c r="X1692">
        <v>53</v>
      </c>
      <c r="Y1692">
        <v>1</v>
      </c>
      <c r="Z1692">
        <v>2</v>
      </c>
      <c r="AA1692">
        <v>3</v>
      </c>
      <c r="AB1692">
        <v>1</v>
      </c>
      <c r="AD1692">
        <v>2</v>
      </c>
      <c r="AE1692">
        <v>0</v>
      </c>
      <c r="AF1692">
        <v>0</v>
      </c>
      <c r="AG1692">
        <v>1</v>
      </c>
      <c r="AI1692">
        <v>0</v>
      </c>
      <c r="AJ1692">
        <v>14</v>
      </c>
      <c r="AK1692">
        <v>175</v>
      </c>
      <c r="AL1692">
        <v>175</v>
      </c>
      <c r="AM1692">
        <v>425</v>
      </c>
      <c r="AN1692">
        <v>44</v>
      </c>
      <c r="AP1692">
        <v>1</v>
      </c>
      <c r="AR1692" t="s">
        <v>1781</v>
      </c>
      <c r="AS1692" s="1">
        <v>44354.054861111108</v>
      </c>
      <c r="AT1692" s="1">
        <v>44354.061608796299</v>
      </c>
      <c r="AU1692" s="1">
        <v>44354.062430555554</v>
      </c>
      <c r="AV1692" t="s">
        <v>71</v>
      </c>
      <c r="AW1692" t="s">
        <v>72</v>
      </c>
      <c r="AX1692" t="s">
        <v>73</v>
      </c>
    </row>
    <row r="1693" spans="1:50" x14ac:dyDescent="0.3">
      <c r="A1693" t="str">
        <f>"200377B0000"</f>
        <v>200377B0000</v>
      </c>
      <c r="B1693" t="str">
        <f>"200377B00002"</f>
        <v>200377B00002</v>
      </c>
      <c r="C1693" t="str">
        <f t="shared" si="83"/>
        <v>20</v>
      </c>
      <c r="D1693" t="s">
        <v>67</v>
      </c>
      <c r="E1693" t="str">
        <f t="shared" si="84"/>
        <v>008</v>
      </c>
      <c r="F1693" t="s">
        <v>1759</v>
      </c>
      <c r="G1693" t="str">
        <f>"0377"</f>
        <v>0377</v>
      </c>
      <c r="H1693" t="str">
        <f>"0000"</f>
        <v>0000</v>
      </c>
      <c r="I1693" t="s">
        <v>69</v>
      </c>
      <c r="J1693">
        <v>0</v>
      </c>
      <c r="K1693">
        <v>1</v>
      </c>
      <c r="L1693">
        <v>2</v>
      </c>
      <c r="M1693">
        <v>309</v>
      </c>
      <c r="N1693">
        <v>199</v>
      </c>
      <c r="O1693">
        <v>1</v>
      </c>
      <c r="P1693">
        <v>199</v>
      </c>
      <c r="Q1693">
        <v>2</v>
      </c>
      <c r="R1693">
        <v>22</v>
      </c>
      <c r="S1693">
        <v>13</v>
      </c>
      <c r="T1693">
        <v>1</v>
      </c>
      <c r="U1693">
        <v>96</v>
      </c>
      <c r="V1693">
        <v>1</v>
      </c>
      <c r="W1693">
        <v>3</v>
      </c>
      <c r="X1693">
        <v>43</v>
      </c>
      <c r="Y1693">
        <v>1</v>
      </c>
      <c r="Z1693">
        <v>3</v>
      </c>
      <c r="AA1693">
        <v>5</v>
      </c>
      <c r="AB1693">
        <v>1</v>
      </c>
      <c r="AD1693">
        <v>1</v>
      </c>
      <c r="AE1693">
        <v>1</v>
      </c>
      <c r="AF1693">
        <v>0</v>
      </c>
      <c r="AG1693">
        <v>0</v>
      </c>
      <c r="AI1693">
        <v>0</v>
      </c>
      <c r="AJ1693">
        <v>6</v>
      </c>
      <c r="AK1693">
        <v>199</v>
      </c>
      <c r="AL1693">
        <v>199</v>
      </c>
      <c r="AM1693">
        <v>464</v>
      </c>
      <c r="AN1693">
        <v>44</v>
      </c>
      <c r="AP1693">
        <v>1</v>
      </c>
      <c r="AR1693" t="s">
        <v>1782</v>
      </c>
      <c r="AS1693" s="1">
        <v>44354.054861111108</v>
      </c>
      <c r="AT1693" s="1">
        <v>44354.061481481483</v>
      </c>
      <c r="AU1693" s="1">
        <v>44354.061979166669</v>
      </c>
      <c r="AV1693" t="s">
        <v>71</v>
      </c>
      <c r="AW1693" t="s">
        <v>72</v>
      </c>
      <c r="AX1693" t="s">
        <v>73</v>
      </c>
    </row>
    <row r="1694" spans="1:50" x14ac:dyDescent="0.3">
      <c r="A1694" t="str">
        <f>"200377C0100"</f>
        <v>200377C0100</v>
      </c>
      <c r="B1694" t="str">
        <f>"200377C01002"</f>
        <v>200377C01002</v>
      </c>
      <c r="C1694" t="str">
        <f t="shared" si="83"/>
        <v>20</v>
      </c>
      <c r="D1694" t="s">
        <v>67</v>
      </c>
      <c r="E1694" t="str">
        <f t="shared" si="84"/>
        <v>008</v>
      </c>
      <c r="F1694" t="s">
        <v>1759</v>
      </c>
      <c r="G1694" t="str">
        <f>"0377"</f>
        <v>0377</v>
      </c>
      <c r="H1694" t="str">
        <f>"0001"</f>
        <v>0001</v>
      </c>
      <c r="I1694" t="s">
        <v>75</v>
      </c>
      <c r="J1694">
        <v>0</v>
      </c>
      <c r="K1694">
        <v>1</v>
      </c>
      <c r="L1694">
        <v>2</v>
      </c>
      <c r="M1694">
        <v>275</v>
      </c>
      <c r="N1694">
        <v>232</v>
      </c>
      <c r="O1694">
        <v>1</v>
      </c>
      <c r="P1694">
        <v>232</v>
      </c>
      <c r="Q1694">
        <v>3</v>
      </c>
      <c r="R1694">
        <v>12</v>
      </c>
      <c r="S1694">
        <v>7</v>
      </c>
      <c r="T1694">
        <v>5</v>
      </c>
      <c r="U1694">
        <v>116</v>
      </c>
      <c r="V1694">
        <v>1</v>
      </c>
      <c r="W1694">
        <v>6</v>
      </c>
      <c r="X1694">
        <v>65</v>
      </c>
      <c r="Y1694">
        <v>0</v>
      </c>
      <c r="Z1694">
        <v>4</v>
      </c>
      <c r="AA1694">
        <v>5</v>
      </c>
      <c r="AB1694">
        <v>1</v>
      </c>
      <c r="AD1694">
        <v>0</v>
      </c>
      <c r="AE1694">
        <v>0</v>
      </c>
      <c r="AF1694">
        <v>0</v>
      </c>
      <c r="AG1694">
        <v>0</v>
      </c>
      <c r="AI1694">
        <v>0</v>
      </c>
      <c r="AJ1694">
        <v>7</v>
      </c>
      <c r="AK1694">
        <v>232</v>
      </c>
      <c r="AL1694">
        <v>232</v>
      </c>
      <c r="AM1694">
        <v>463</v>
      </c>
      <c r="AN1694">
        <v>44</v>
      </c>
      <c r="AP1694">
        <v>1</v>
      </c>
      <c r="AR1694" t="s">
        <v>1783</v>
      </c>
      <c r="AS1694" s="1">
        <v>44354.057638888888</v>
      </c>
      <c r="AT1694" s="1">
        <v>44354.064317129632</v>
      </c>
      <c r="AU1694" s="1">
        <v>44354.064884259256</v>
      </c>
      <c r="AV1694" t="s">
        <v>71</v>
      </c>
      <c r="AW1694" t="s">
        <v>72</v>
      </c>
      <c r="AX1694" t="s">
        <v>73</v>
      </c>
    </row>
    <row r="1695" spans="1:50" x14ac:dyDescent="0.3">
      <c r="A1695" t="str">
        <f>"200712B0000"</f>
        <v>200712B0000</v>
      </c>
      <c r="B1695" t="str">
        <f>"200712B00002"</f>
        <v>200712B00002</v>
      </c>
      <c r="C1695" t="str">
        <f t="shared" si="83"/>
        <v>20</v>
      </c>
      <c r="D1695" t="s">
        <v>67</v>
      </c>
      <c r="E1695" t="str">
        <f t="shared" si="84"/>
        <v>008</v>
      </c>
      <c r="F1695" t="s">
        <v>1759</v>
      </c>
      <c r="G1695" t="str">
        <f>"0712"</f>
        <v>0712</v>
      </c>
      <c r="H1695" t="str">
        <f>"0000"</f>
        <v>0000</v>
      </c>
      <c r="I1695" t="s">
        <v>69</v>
      </c>
      <c r="J1695">
        <v>0</v>
      </c>
      <c r="K1695">
        <v>1</v>
      </c>
      <c r="L1695">
        <v>2</v>
      </c>
      <c r="M1695">
        <v>339</v>
      </c>
      <c r="N1695">
        <v>316</v>
      </c>
      <c r="O1695">
        <v>0</v>
      </c>
      <c r="P1695">
        <v>315</v>
      </c>
      <c r="Q1695">
        <v>4</v>
      </c>
      <c r="R1695">
        <v>112</v>
      </c>
      <c r="S1695">
        <v>12</v>
      </c>
      <c r="T1695">
        <v>6</v>
      </c>
      <c r="U1695">
        <v>13</v>
      </c>
      <c r="V1695">
        <v>4</v>
      </c>
      <c r="W1695">
        <v>0</v>
      </c>
      <c r="X1695">
        <v>127</v>
      </c>
      <c r="Y1695">
        <v>0</v>
      </c>
      <c r="Z1695">
        <v>3</v>
      </c>
      <c r="AA1695">
        <v>5</v>
      </c>
      <c r="AB1695">
        <v>1</v>
      </c>
      <c r="AD1695">
        <v>1</v>
      </c>
      <c r="AE1695">
        <v>0</v>
      </c>
      <c r="AF1695">
        <v>1</v>
      </c>
      <c r="AG1695">
        <v>2</v>
      </c>
      <c r="AI1695">
        <v>0</v>
      </c>
      <c r="AJ1695">
        <v>24</v>
      </c>
      <c r="AK1695">
        <v>315</v>
      </c>
      <c r="AL1695">
        <v>315</v>
      </c>
      <c r="AM1695">
        <v>611</v>
      </c>
      <c r="AN1695">
        <v>44</v>
      </c>
      <c r="AP1695">
        <v>1</v>
      </c>
      <c r="AR1695" t="s">
        <v>1784</v>
      </c>
      <c r="AS1695" s="1">
        <v>44353.988229166665</v>
      </c>
      <c r="AT1695" s="1">
        <v>44354.45417824074</v>
      </c>
      <c r="AU1695" s="1">
        <v>44354.454861111109</v>
      </c>
      <c r="AV1695" t="s">
        <v>269</v>
      </c>
      <c r="AW1695" t="s">
        <v>270</v>
      </c>
      <c r="AX1695" t="s">
        <v>73</v>
      </c>
    </row>
    <row r="1696" spans="1:50" x14ac:dyDescent="0.3">
      <c r="A1696" t="str">
        <f>"200712C0100"</f>
        <v>200712C0100</v>
      </c>
      <c r="B1696" t="str">
        <f>"200712C01002"</f>
        <v>200712C01002</v>
      </c>
      <c r="C1696" t="str">
        <f t="shared" si="83"/>
        <v>20</v>
      </c>
      <c r="D1696" t="s">
        <v>67</v>
      </c>
      <c r="E1696" t="str">
        <f t="shared" si="84"/>
        <v>008</v>
      </c>
      <c r="F1696" t="s">
        <v>1759</v>
      </c>
      <c r="G1696" t="str">
        <f>"0712"</f>
        <v>0712</v>
      </c>
      <c r="H1696" t="str">
        <f>"0001"</f>
        <v>0001</v>
      </c>
      <c r="I1696" t="s">
        <v>75</v>
      </c>
      <c r="J1696">
        <v>0</v>
      </c>
      <c r="K1696">
        <v>1</v>
      </c>
      <c r="L1696">
        <v>2</v>
      </c>
      <c r="M1696">
        <v>328</v>
      </c>
      <c r="N1696">
        <v>328</v>
      </c>
      <c r="O1696">
        <v>4</v>
      </c>
      <c r="P1696">
        <v>326</v>
      </c>
      <c r="Q1696">
        <v>3</v>
      </c>
      <c r="R1696">
        <v>98</v>
      </c>
      <c r="S1696">
        <v>12</v>
      </c>
      <c r="T1696">
        <v>3</v>
      </c>
      <c r="U1696">
        <v>6</v>
      </c>
      <c r="V1696">
        <v>5</v>
      </c>
      <c r="W1696">
        <v>1</v>
      </c>
      <c r="X1696">
        <v>160</v>
      </c>
      <c r="Y1696">
        <v>1</v>
      </c>
      <c r="Z1696">
        <v>5</v>
      </c>
      <c r="AA1696">
        <v>6</v>
      </c>
      <c r="AB1696">
        <v>0</v>
      </c>
      <c r="AD1696">
        <v>0</v>
      </c>
      <c r="AE1696">
        <v>2</v>
      </c>
      <c r="AF1696">
        <v>0</v>
      </c>
      <c r="AG1696">
        <v>3</v>
      </c>
      <c r="AI1696">
        <v>0</v>
      </c>
      <c r="AJ1696">
        <v>21</v>
      </c>
      <c r="AK1696">
        <v>326</v>
      </c>
      <c r="AL1696">
        <v>326</v>
      </c>
      <c r="AM1696">
        <v>610</v>
      </c>
      <c r="AN1696">
        <v>44</v>
      </c>
      <c r="AP1696">
        <v>1</v>
      </c>
      <c r="AR1696" t="s">
        <v>1785</v>
      </c>
      <c r="AS1696" s="1">
        <v>44354.037974537037</v>
      </c>
      <c r="AT1696" s="1">
        <v>44354.454363425924</v>
      </c>
      <c r="AU1696" s="1">
        <v>44354.454768518517</v>
      </c>
      <c r="AV1696" t="s">
        <v>269</v>
      </c>
      <c r="AW1696" t="s">
        <v>270</v>
      </c>
      <c r="AX1696" t="s">
        <v>73</v>
      </c>
    </row>
    <row r="1697" spans="1:50" x14ac:dyDescent="0.3">
      <c r="A1697" t="str">
        <f>"200713B0000"</f>
        <v>200713B0000</v>
      </c>
      <c r="B1697" t="str">
        <f>"200713B00002"</f>
        <v>200713B00002</v>
      </c>
      <c r="C1697" t="str">
        <f t="shared" si="83"/>
        <v>20</v>
      </c>
      <c r="D1697" t="s">
        <v>67</v>
      </c>
      <c r="E1697" t="str">
        <f t="shared" si="84"/>
        <v>008</v>
      </c>
      <c r="F1697" t="s">
        <v>1759</v>
      </c>
      <c r="G1697" t="str">
        <f>"0713"</f>
        <v>0713</v>
      </c>
      <c r="H1697" t="str">
        <f>"0000"</f>
        <v>0000</v>
      </c>
      <c r="I1697" t="s">
        <v>69</v>
      </c>
      <c r="J1697">
        <v>0</v>
      </c>
      <c r="K1697">
        <v>1</v>
      </c>
      <c r="L1697">
        <v>2</v>
      </c>
      <c r="M1697">
        <v>213</v>
      </c>
      <c r="N1697">
        <v>192</v>
      </c>
      <c r="O1697">
        <v>0</v>
      </c>
      <c r="P1697">
        <v>192</v>
      </c>
      <c r="Q1697">
        <v>0</v>
      </c>
      <c r="R1697">
        <v>35</v>
      </c>
      <c r="S1697">
        <v>11</v>
      </c>
      <c r="T1697">
        <v>0</v>
      </c>
      <c r="U1697">
        <v>3</v>
      </c>
      <c r="V1697">
        <v>1</v>
      </c>
      <c r="W1697">
        <v>0</v>
      </c>
      <c r="X1697">
        <v>118</v>
      </c>
      <c r="Y1697">
        <v>0</v>
      </c>
      <c r="Z1697">
        <v>7</v>
      </c>
      <c r="AA1697">
        <v>4</v>
      </c>
      <c r="AB1697">
        <v>0</v>
      </c>
      <c r="AD1697">
        <v>1</v>
      </c>
      <c r="AE1697">
        <v>1</v>
      </c>
      <c r="AF1697">
        <v>1</v>
      </c>
      <c r="AG1697">
        <v>1</v>
      </c>
      <c r="AI1697">
        <v>0</v>
      </c>
      <c r="AJ1697">
        <v>9</v>
      </c>
      <c r="AK1697">
        <v>192</v>
      </c>
      <c r="AL1697">
        <v>192</v>
      </c>
      <c r="AM1697">
        <v>361</v>
      </c>
      <c r="AN1697">
        <v>44</v>
      </c>
      <c r="AP1697">
        <v>1</v>
      </c>
      <c r="AR1697" t="s">
        <v>1786</v>
      </c>
      <c r="AS1697" s="1">
        <v>44354.495138888888</v>
      </c>
      <c r="AT1697" s="1">
        <v>44354.498715277776</v>
      </c>
      <c r="AU1697" s="1">
        <v>44354.499432870369</v>
      </c>
      <c r="AV1697" t="s">
        <v>71</v>
      </c>
      <c r="AW1697" t="s">
        <v>72</v>
      </c>
      <c r="AX1697" t="s">
        <v>73</v>
      </c>
    </row>
    <row r="1698" spans="1:50" x14ac:dyDescent="0.3">
      <c r="A1698" t="str">
        <f>"200734B0000"</f>
        <v>200734B0000</v>
      </c>
      <c r="B1698" t="str">
        <f>"200734B00002"</f>
        <v>200734B00002</v>
      </c>
      <c r="C1698" t="str">
        <f t="shared" si="83"/>
        <v>20</v>
      </c>
      <c r="D1698" t="s">
        <v>67</v>
      </c>
      <c r="E1698" t="str">
        <f t="shared" si="84"/>
        <v>008</v>
      </c>
      <c r="F1698" t="s">
        <v>1759</v>
      </c>
      <c r="G1698" t="str">
        <f>"0734"</f>
        <v>0734</v>
      </c>
      <c r="H1698" t="str">
        <f>"0000"</f>
        <v>0000</v>
      </c>
      <c r="I1698" t="s">
        <v>69</v>
      </c>
      <c r="J1698">
        <v>0</v>
      </c>
      <c r="K1698">
        <v>1</v>
      </c>
      <c r="L1698">
        <v>2</v>
      </c>
      <c r="M1698">
        <v>186</v>
      </c>
      <c r="N1698">
        <v>144</v>
      </c>
      <c r="O1698">
        <v>6</v>
      </c>
      <c r="P1698">
        <v>144</v>
      </c>
      <c r="Q1698">
        <v>1</v>
      </c>
      <c r="R1698">
        <v>1</v>
      </c>
      <c r="S1698">
        <v>3</v>
      </c>
      <c r="T1698">
        <v>1</v>
      </c>
      <c r="U1698">
        <v>115</v>
      </c>
      <c r="V1698">
        <v>2</v>
      </c>
      <c r="W1698">
        <v>11</v>
      </c>
      <c r="X1698">
        <v>6</v>
      </c>
      <c r="Y1698">
        <v>0</v>
      </c>
      <c r="Z1698">
        <v>2</v>
      </c>
      <c r="AA1698">
        <v>0</v>
      </c>
      <c r="AB1698">
        <v>0</v>
      </c>
      <c r="AD1698">
        <v>0</v>
      </c>
      <c r="AE1698">
        <v>0</v>
      </c>
      <c r="AF1698">
        <v>0</v>
      </c>
      <c r="AG1698">
        <v>0</v>
      </c>
      <c r="AI1698">
        <v>0</v>
      </c>
      <c r="AJ1698">
        <v>2</v>
      </c>
      <c r="AK1698">
        <v>144</v>
      </c>
      <c r="AL1698">
        <v>144</v>
      </c>
      <c r="AM1698">
        <v>286</v>
      </c>
      <c r="AN1698">
        <v>44</v>
      </c>
      <c r="AP1698">
        <v>1</v>
      </c>
      <c r="AR1698" t="s">
        <v>1787</v>
      </c>
      <c r="AS1698" s="1">
        <v>44354.097222222219</v>
      </c>
      <c r="AT1698" s="1">
        <v>44354.100208333337</v>
      </c>
      <c r="AU1698" s="1">
        <v>44354.100914351853</v>
      </c>
      <c r="AV1698" t="s">
        <v>71</v>
      </c>
      <c r="AW1698" t="s">
        <v>72</v>
      </c>
      <c r="AX1698" t="s">
        <v>73</v>
      </c>
    </row>
    <row r="1699" spans="1:50" x14ac:dyDescent="0.3">
      <c r="A1699" t="str">
        <f>"200735B0000"</f>
        <v>200735B0000</v>
      </c>
      <c r="B1699" t="str">
        <f>"200735B00002"</f>
        <v>200735B00002</v>
      </c>
      <c r="C1699" t="str">
        <f t="shared" si="83"/>
        <v>20</v>
      </c>
      <c r="D1699" t="s">
        <v>67</v>
      </c>
      <c r="E1699" t="str">
        <f t="shared" si="84"/>
        <v>008</v>
      </c>
      <c r="F1699" t="s">
        <v>1759</v>
      </c>
      <c r="G1699" t="str">
        <f>"0735"</f>
        <v>0735</v>
      </c>
      <c r="H1699" t="str">
        <f>"0000"</f>
        <v>0000</v>
      </c>
      <c r="I1699" t="s">
        <v>69</v>
      </c>
      <c r="J1699">
        <v>0</v>
      </c>
      <c r="K1699">
        <v>1</v>
      </c>
      <c r="L1699">
        <v>2</v>
      </c>
      <c r="M1699">
        <v>253</v>
      </c>
      <c r="N1699">
        <v>196</v>
      </c>
      <c r="O1699">
        <v>0</v>
      </c>
      <c r="P1699">
        <v>0</v>
      </c>
      <c r="Q1699">
        <v>0</v>
      </c>
      <c r="R1699">
        <v>11</v>
      </c>
      <c r="S1699">
        <v>4</v>
      </c>
      <c r="T1699">
        <v>1</v>
      </c>
      <c r="U1699">
        <v>124</v>
      </c>
      <c r="V1699">
        <v>2</v>
      </c>
      <c r="W1699">
        <v>14</v>
      </c>
      <c r="X1699">
        <v>26</v>
      </c>
      <c r="Y1699">
        <v>0</v>
      </c>
      <c r="Z1699">
        <v>1</v>
      </c>
      <c r="AA1699">
        <v>0</v>
      </c>
      <c r="AB1699">
        <v>4</v>
      </c>
      <c r="AD1699">
        <v>0</v>
      </c>
      <c r="AE1699">
        <v>1</v>
      </c>
      <c r="AF1699">
        <v>0</v>
      </c>
      <c r="AG1699">
        <v>0</v>
      </c>
      <c r="AI1699">
        <v>0</v>
      </c>
      <c r="AJ1699">
        <v>8</v>
      </c>
      <c r="AK1699">
        <v>196</v>
      </c>
      <c r="AL1699">
        <v>196</v>
      </c>
      <c r="AM1699">
        <v>405</v>
      </c>
      <c r="AN1699">
        <v>44</v>
      </c>
      <c r="AP1699">
        <v>1</v>
      </c>
      <c r="AR1699" t="s">
        <v>1788</v>
      </c>
      <c r="AS1699" s="1">
        <v>44354.099305555559</v>
      </c>
      <c r="AT1699" s="1">
        <v>44354.101400462961</v>
      </c>
      <c r="AU1699" s="1">
        <v>44354.101863425924</v>
      </c>
      <c r="AV1699" t="s">
        <v>71</v>
      </c>
      <c r="AW1699" t="s">
        <v>72</v>
      </c>
      <c r="AX1699" t="s">
        <v>73</v>
      </c>
    </row>
    <row r="1700" spans="1:50" x14ac:dyDescent="0.3">
      <c r="A1700" t="str">
        <f>"200772B0000"</f>
        <v>200772B0000</v>
      </c>
      <c r="B1700" t="str">
        <f>"200772B00002"</f>
        <v>200772B00002</v>
      </c>
      <c r="C1700" t="str">
        <f t="shared" si="83"/>
        <v>20</v>
      </c>
      <c r="D1700" t="s">
        <v>67</v>
      </c>
      <c r="E1700" t="str">
        <f t="shared" si="84"/>
        <v>008</v>
      </c>
      <c r="F1700" t="s">
        <v>1759</v>
      </c>
      <c r="G1700" t="str">
        <f>"0772"</f>
        <v>0772</v>
      </c>
      <c r="H1700" t="str">
        <f>"0000"</f>
        <v>0000</v>
      </c>
      <c r="I1700" t="s">
        <v>69</v>
      </c>
      <c r="J1700">
        <v>0</v>
      </c>
      <c r="K1700">
        <v>1</v>
      </c>
      <c r="L1700">
        <v>2</v>
      </c>
      <c r="M1700">
        <v>380</v>
      </c>
      <c r="N1700">
        <v>236</v>
      </c>
      <c r="O1700">
        <v>3</v>
      </c>
      <c r="P1700">
        <v>236</v>
      </c>
      <c r="Q1700">
        <v>4</v>
      </c>
      <c r="R1700">
        <v>44</v>
      </c>
      <c r="S1700">
        <v>10</v>
      </c>
      <c r="T1700">
        <v>2</v>
      </c>
      <c r="U1700">
        <v>11</v>
      </c>
      <c r="V1700">
        <v>1</v>
      </c>
      <c r="W1700">
        <v>2</v>
      </c>
      <c r="X1700">
        <v>142</v>
      </c>
      <c r="Y1700">
        <v>0</v>
      </c>
      <c r="Z1700">
        <v>0</v>
      </c>
      <c r="AA1700">
        <v>0</v>
      </c>
      <c r="AB1700">
        <v>3</v>
      </c>
      <c r="AD1700">
        <v>0</v>
      </c>
      <c r="AE1700">
        <v>1</v>
      </c>
      <c r="AF1700">
        <v>1</v>
      </c>
      <c r="AG1700">
        <v>0</v>
      </c>
      <c r="AI1700">
        <v>0</v>
      </c>
      <c r="AJ1700">
        <v>15</v>
      </c>
      <c r="AK1700">
        <v>236</v>
      </c>
      <c r="AL1700">
        <v>236</v>
      </c>
      <c r="AM1700">
        <v>572</v>
      </c>
      <c r="AN1700">
        <v>44</v>
      </c>
      <c r="AP1700">
        <v>1</v>
      </c>
      <c r="AR1700" t="s">
        <v>1789</v>
      </c>
      <c r="AS1700" s="1">
        <v>44354.060416666667</v>
      </c>
      <c r="AT1700" s="1">
        <v>44354.066782407404</v>
      </c>
      <c r="AU1700" s="1">
        <v>44354.067210648151</v>
      </c>
      <c r="AV1700" t="s">
        <v>71</v>
      </c>
      <c r="AW1700" t="s">
        <v>72</v>
      </c>
      <c r="AX1700" t="s">
        <v>73</v>
      </c>
    </row>
    <row r="1701" spans="1:50" x14ac:dyDescent="0.3">
      <c r="A1701" t="str">
        <f>"200772C0100"</f>
        <v>200772C0100</v>
      </c>
      <c r="B1701" t="str">
        <f>"200772C01002"</f>
        <v>200772C01002</v>
      </c>
      <c r="C1701" t="str">
        <f t="shared" si="83"/>
        <v>20</v>
      </c>
      <c r="D1701" t="s">
        <v>67</v>
      </c>
      <c r="E1701" t="str">
        <f t="shared" si="84"/>
        <v>008</v>
      </c>
      <c r="F1701" t="s">
        <v>1759</v>
      </c>
      <c r="G1701" t="str">
        <f>"0772"</f>
        <v>0772</v>
      </c>
      <c r="H1701" t="str">
        <f>"0001"</f>
        <v>0001</v>
      </c>
      <c r="I1701" t="s">
        <v>75</v>
      </c>
      <c r="J1701">
        <v>0</v>
      </c>
      <c r="K1701">
        <v>1</v>
      </c>
      <c r="L1701">
        <v>2</v>
      </c>
      <c r="M1701">
        <v>364</v>
      </c>
      <c r="N1701">
        <v>252</v>
      </c>
      <c r="O1701">
        <v>4</v>
      </c>
      <c r="P1701">
        <v>252</v>
      </c>
      <c r="Q1701">
        <v>5</v>
      </c>
      <c r="R1701">
        <v>91</v>
      </c>
      <c r="S1701">
        <v>9</v>
      </c>
      <c r="T1701">
        <v>1</v>
      </c>
      <c r="U1701">
        <v>10</v>
      </c>
      <c r="V1701">
        <v>2</v>
      </c>
      <c r="W1701">
        <v>3</v>
      </c>
      <c r="X1701">
        <v>110</v>
      </c>
      <c r="Y1701">
        <v>3</v>
      </c>
      <c r="Z1701">
        <v>1</v>
      </c>
      <c r="AA1701">
        <v>1</v>
      </c>
      <c r="AB1701">
        <v>1</v>
      </c>
      <c r="AD1701">
        <v>2</v>
      </c>
      <c r="AE1701">
        <v>0</v>
      </c>
      <c r="AF1701">
        <v>0</v>
      </c>
      <c r="AG1701">
        <v>0</v>
      </c>
      <c r="AI1701">
        <v>0</v>
      </c>
      <c r="AJ1701">
        <v>13</v>
      </c>
      <c r="AK1701">
        <v>252</v>
      </c>
      <c r="AL1701">
        <v>252</v>
      </c>
      <c r="AM1701">
        <v>572</v>
      </c>
      <c r="AN1701">
        <v>44</v>
      </c>
      <c r="AP1701">
        <v>1</v>
      </c>
      <c r="AR1701" t="s">
        <v>1790</v>
      </c>
      <c r="AS1701" s="1">
        <v>44354.061111111114</v>
      </c>
      <c r="AT1701" s="1">
        <v>44354.068148148152</v>
      </c>
      <c r="AU1701" s="1">
        <v>44354.068611111114</v>
      </c>
      <c r="AV1701" t="s">
        <v>71</v>
      </c>
      <c r="AW1701" t="s">
        <v>72</v>
      </c>
      <c r="AX1701" t="s">
        <v>73</v>
      </c>
    </row>
    <row r="1702" spans="1:50" x14ac:dyDescent="0.3">
      <c r="A1702" t="str">
        <f>"200772E0100"</f>
        <v>200772E0100</v>
      </c>
      <c r="B1702" t="str">
        <f>"200772E01002"</f>
        <v>200772E01002</v>
      </c>
      <c r="C1702" t="str">
        <f t="shared" si="83"/>
        <v>20</v>
      </c>
      <c r="D1702" t="s">
        <v>67</v>
      </c>
      <c r="E1702" t="str">
        <f t="shared" si="84"/>
        <v>008</v>
      </c>
      <c r="F1702" t="s">
        <v>1759</v>
      </c>
      <c r="G1702" t="str">
        <f>"0772"</f>
        <v>0772</v>
      </c>
      <c r="H1702" t="str">
        <f>"0001"</f>
        <v>0001</v>
      </c>
      <c r="I1702" t="s">
        <v>109</v>
      </c>
      <c r="J1702">
        <v>0</v>
      </c>
      <c r="K1702">
        <v>1</v>
      </c>
      <c r="L1702">
        <v>2</v>
      </c>
      <c r="M1702">
        <v>421</v>
      </c>
      <c r="N1702">
        <v>354</v>
      </c>
      <c r="O1702">
        <v>8</v>
      </c>
      <c r="P1702">
        <v>354</v>
      </c>
      <c r="Q1702">
        <v>7</v>
      </c>
      <c r="R1702">
        <v>27</v>
      </c>
      <c r="S1702">
        <v>11</v>
      </c>
      <c r="T1702">
        <v>6</v>
      </c>
      <c r="U1702">
        <v>10</v>
      </c>
      <c r="V1702">
        <v>3</v>
      </c>
      <c r="W1702">
        <v>5</v>
      </c>
      <c r="X1702">
        <v>249</v>
      </c>
      <c r="Y1702">
        <v>1</v>
      </c>
      <c r="Z1702">
        <v>11</v>
      </c>
      <c r="AA1702">
        <v>4</v>
      </c>
      <c r="AB1702">
        <v>3</v>
      </c>
      <c r="AD1702">
        <v>0</v>
      </c>
      <c r="AE1702">
        <v>1</v>
      </c>
      <c r="AF1702">
        <v>0</v>
      </c>
      <c r="AG1702">
        <v>0</v>
      </c>
      <c r="AI1702">
        <v>0</v>
      </c>
      <c r="AJ1702">
        <v>16</v>
      </c>
      <c r="AK1702">
        <v>354</v>
      </c>
      <c r="AL1702">
        <v>354</v>
      </c>
      <c r="AM1702">
        <v>731</v>
      </c>
      <c r="AN1702">
        <v>44</v>
      </c>
      <c r="AP1702">
        <v>1</v>
      </c>
      <c r="AR1702" t="s">
        <v>1791</v>
      </c>
      <c r="AS1702" s="1">
        <v>44354.084027777775</v>
      </c>
      <c r="AT1702" s="1">
        <v>44354.091168981482</v>
      </c>
      <c r="AU1702" s="1">
        <v>44354.091793981483</v>
      </c>
      <c r="AV1702" t="s">
        <v>71</v>
      </c>
      <c r="AW1702" t="s">
        <v>72</v>
      </c>
      <c r="AX1702" t="s">
        <v>73</v>
      </c>
    </row>
    <row r="1703" spans="1:50" x14ac:dyDescent="0.3">
      <c r="A1703" t="str">
        <f>"200773B0000"</f>
        <v>200773B0000</v>
      </c>
      <c r="B1703" t="str">
        <f>"200773B00002"</f>
        <v>200773B00002</v>
      </c>
      <c r="C1703" t="str">
        <f t="shared" si="83"/>
        <v>20</v>
      </c>
      <c r="D1703" t="s">
        <v>67</v>
      </c>
      <c r="E1703" t="str">
        <f t="shared" si="84"/>
        <v>008</v>
      </c>
      <c r="F1703" t="s">
        <v>1759</v>
      </c>
      <c r="G1703" t="str">
        <f>"0773"</f>
        <v>0773</v>
      </c>
      <c r="H1703" t="str">
        <f>"0000"</f>
        <v>0000</v>
      </c>
      <c r="I1703" t="s">
        <v>69</v>
      </c>
      <c r="J1703">
        <v>0</v>
      </c>
      <c r="K1703">
        <v>1</v>
      </c>
      <c r="L1703">
        <v>2</v>
      </c>
      <c r="M1703">
        <v>369</v>
      </c>
      <c r="N1703">
        <v>328</v>
      </c>
      <c r="O1703">
        <v>0</v>
      </c>
      <c r="P1703">
        <v>328</v>
      </c>
      <c r="Q1703">
        <v>6</v>
      </c>
      <c r="R1703">
        <v>68</v>
      </c>
      <c r="S1703">
        <v>5</v>
      </c>
      <c r="T1703">
        <v>4</v>
      </c>
      <c r="U1703">
        <v>26</v>
      </c>
      <c r="V1703">
        <v>6</v>
      </c>
      <c r="W1703">
        <v>2</v>
      </c>
      <c r="X1703">
        <v>188</v>
      </c>
      <c r="Y1703">
        <v>0</v>
      </c>
      <c r="Z1703">
        <v>6</v>
      </c>
      <c r="AA1703">
        <v>3</v>
      </c>
      <c r="AB1703">
        <v>0</v>
      </c>
      <c r="AD1703">
        <v>0</v>
      </c>
      <c r="AE1703">
        <v>0</v>
      </c>
      <c r="AF1703">
        <v>0</v>
      </c>
      <c r="AG1703">
        <v>0</v>
      </c>
      <c r="AI1703">
        <v>0</v>
      </c>
      <c r="AJ1703">
        <v>14</v>
      </c>
      <c r="AK1703">
        <v>328</v>
      </c>
      <c r="AL1703">
        <v>328</v>
      </c>
      <c r="AM1703">
        <v>653</v>
      </c>
      <c r="AN1703">
        <v>44</v>
      </c>
      <c r="AP1703">
        <v>1</v>
      </c>
      <c r="AR1703" t="s">
        <v>1792</v>
      </c>
      <c r="AS1703" s="1">
        <v>44354.07916666667</v>
      </c>
      <c r="AT1703" s="1">
        <v>44354.086423611108</v>
      </c>
      <c r="AU1703" s="1">
        <v>44354.08697916667</v>
      </c>
      <c r="AV1703" t="s">
        <v>71</v>
      </c>
      <c r="AW1703" t="s">
        <v>72</v>
      </c>
      <c r="AX1703" t="s">
        <v>73</v>
      </c>
    </row>
    <row r="1704" spans="1:50" x14ac:dyDescent="0.3">
      <c r="A1704" t="str">
        <f>"200774B0000"</f>
        <v>200774B0000</v>
      </c>
      <c r="B1704" t="str">
        <f>"200774B00002"</f>
        <v>200774B00002</v>
      </c>
      <c r="C1704" t="str">
        <f t="shared" si="83"/>
        <v>20</v>
      </c>
      <c r="D1704" t="s">
        <v>67</v>
      </c>
      <c r="E1704" t="str">
        <f t="shared" si="84"/>
        <v>008</v>
      </c>
      <c r="F1704" t="s">
        <v>1759</v>
      </c>
      <c r="G1704" t="str">
        <f>"0774"</f>
        <v>0774</v>
      </c>
      <c r="H1704" t="str">
        <f>"0000"</f>
        <v>0000</v>
      </c>
      <c r="I1704" t="s">
        <v>69</v>
      </c>
      <c r="J1704">
        <v>0</v>
      </c>
      <c r="K1704">
        <v>1</v>
      </c>
      <c r="L1704">
        <v>2</v>
      </c>
      <c r="M1704">
        <v>356</v>
      </c>
      <c r="N1704">
        <v>361</v>
      </c>
      <c r="O1704">
        <v>3</v>
      </c>
      <c r="P1704">
        <v>361</v>
      </c>
      <c r="Q1704">
        <v>0</v>
      </c>
      <c r="R1704">
        <v>309</v>
      </c>
      <c r="S1704">
        <v>3</v>
      </c>
      <c r="T1704">
        <v>1</v>
      </c>
      <c r="U1704">
        <v>22</v>
      </c>
      <c r="V1704">
        <v>0</v>
      </c>
      <c r="W1704">
        <v>1</v>
      </c>
      <c r="X1704">
        <v>3</v>
      </c>
      <c r="Y1704">
        <v>4</v>
      </c>
      <c r="Z1704">
        <v>0</v>
      </c>
      <c r="AA1704">
        <v>0</v>
      </c>
      <c r="AB1704">
        <v>0</v>
      </c>
      <c r="AD1704">
        <v>4</v>
      </c>
      <c r="AE1704">
        <v>2</v>
      </c>
      <c r="AF1704">
        <v>1</v>
      </c>
      <c r="AG1704">
        <v>0</v>
      </c>
      <c r="AI1704">
        <v>0</v>
      </c>
      <c r="AJ1704">
        <v>12</v>
      </c>
      <c r="AK1704">
        <v>362</v>
      </c>
      <c r="AL1704">
        <v>362</v>
      </c>
      <c r="AM1704">
        <v>674</v>
      </c>
      <c r="AN1704">
        <v>44</v>
      </c>
      <c r="AP1704">
        <v>1</v>
      </c>
      <c r="AR1704" t="s">
        <v>1793</v>
      </c>
      <c r="AS1704" s="1">
        <v>44354.07708333333</v>
      </c>
      <c r="AT1704" s="1">
        <v>44354.085185185184</v>
      </c>
      <c r="AU1704" s="1">
        <v>44354.085740740738</v>
      </c>
      <c r="AV1704" t="s">
        <v>71</v>
      </c>
      <c r="AW1704" t="s">
        <v>72</v>
      </c>
      <c r="AX1704" t="s">
        <v>73</v>
      </c>
    </row>
    <row r="1705" spans="1:50" x14ac:dyDescent="0.3">
      <c r="A1705" t="str">
        <f>"200774C0100"</f>
        <v>200774C0100</v>
      </c>
      <c r="B1705" t="str">
        <f>"200774C01002"</f>
        <v>200774C01002</v>
      </c>
      <c r="C1705" t="str">
        <f t="shared" si="83"/>
        <v>20</v>
      </c>
      <c r="D1705" t="s">
        <v>67</v>
      </c>
      <c r="E1705" t="str">
        <f t="shared" si="84"/>
        <v>008</v>
      </c>
      <c r="F1705" t="s">
        <v>1759</v>
      </c>
      <c r="G1705" t="str">
        <f>"0774"</f>
        <v>0774</v>
      </c>
      <c r="H1705" t="str">
        <f>"0001"</f>
        <v>0001</v>
      </c>
      <c r="I1705" t="s">
        <v>75</v>
      </c>
      <c r="J1705">
        <v>0</v>
      </c>
      <c r="K1705">
        <v>1</v>
      </c>
      <c r="L1705">
        <v>2</v>
      </c>
      <c r="M1705">
        <v>328</v>
      </c>
      <c r="N1705">
        <v>390</v>
      </c>
      <c r="O1705">
        <v>3</v>
      </c>
      <c r="P1705" t="s">
        <v>80</v>
      </c>
      <c r="Q1705">
        <v>3</v>
      </c>
      <c r="R1705">
        <v>349</v>
      </c>
      <c r="S1705">
        <v>0</v>
      </c>
      <c r="T1705">
        <v>4</v>
      </c>
      <c r="U1705">
        <v>14</v>
      </c>
      <c r="V1705">
        <v>1</v>
      </c>
      <c r="W1705">
        <v>0</v>
      </c>
      <c r="X1705">
        <v>3</v>
      </c>
      <c r="Y1705">
        <v>3</v>
      </c>
      <c r="Z1705">
        <v>1</v>
      </c>
      <c r="AA1705">
        <v>0</v>
      </c>
      <c r="AB1705">
        <v>0</v>
      </c>
      <c r="AD1705">
        <v>3</v>
      </c>
      <c r="AE1705">
        <v>2</v>
      </c>
      <c r="AF1705">
        <v>0</v>
      </c>
      <c r="AG1705">
        <v>0</v>
      </c>
      <c r="AI1705">
        <v>0</v>
      </c>
      <c r="AJ1705">
        <v>7</v>
      </c>
      <c r="AK1705">
        <v>390</v>
      </c>
      <c r="AL1705">
        <v>390</v>
      </c>
      <c r="AM1705">
        <v>674</v>
      </c>
      <c r="AN1705">
        <v>44</v>
      </c>
      <c r="AP1705">
        <v>1</v>
      </c>
      <c r="AR1705" t="s">
        <v>1794</v>
      </c>
      <c r="AS1705" s="1">
        <v>44354.079861111109</v>
      </c>
      <c r="AT1705" s="1">
        <v>44354.087951388887</v>
      </c>
      <c r="AU1705" s="1">
        <v>44354.088634259257</v>
      </c>
      <c r="AV1705" t="s">
        <v>71</v>
      </c>
      <c r="AW1705" t="s">
        <v>72</v>
      </c>
      <c r="AX1705" t="s">
        <v>73</v>
      </c>
    </row>
    <row r="1706" spans="1:50" x14ac:dyDescent="0.3">
      <c r="A1706" t="str">
        <f>"200774E0100"</f>
        <v>200774E0100</v>
      </c>
      <c r="B1706" t="str">
        <f>"200774E01002"</f>
        <v>200774E01002</v>
      </c>
      <c r="C1706" t="str">
        <f t="shared" si="83"/>
        <v>20</v>
      </c>
      <c r="D1706" t="s">
        <v>67</v>
      </c>
      <c r="E1706" t="str">
        <f t="shared" si="84"/>
        <v>008</v>
      </c>
      <c r="F1706" t="s">
        <v>1759</v>
      </c>
      <c r="G1706" t="str">
        <f>"0774"</f>
        <v>0774</v>
      </c>
      <c r="H1706" t="str">
        <f>"0001"</f>
        <v>0001</v>
      </c>
      <c r="I1706" t="s">
        <v>109</v>
      </c>
      <c r="J1706">
        <v>0</v>
      </c>
      <c r="K1706">
        <v>1</v>
      </c>
      <c r="L1706">
        <v>2</v>
      </c>
      <c r="M1706">
        <v>122</v>
      </c>
      <c r="N1706">
        <v>154</v>
      </c>
      <c r="O1706">
        <v>6</v>
      </c>
      <c r="P1706">
        <v>154</v>
      </c>
      <c r="Q1706">
        <v>0</v>
      </c>
      <c r="R1706">
        <v>11</v>
      </c>
      <c r="S1706">
        <v>1</v>
      </c>
      <c r="T1706">
        <v>2</v>
      </c>
      <c r="U1706">
        <v>12</v>
      </c>
      <c r="V1706">
        <v>2</v>
      </c>
      <c r="W1706">
        <v>1</v>
      </c>
      <c r="X1706">
        <v>115</v>
      </c>
      <c r="Y1706">
        <v>0</v>
      </c>
      <c r="Z1706">
        <v>5</v>
      </c>
      <c r="AA1706">
        <v>0</v>
      </c>
      <c r="AB1706">
        <v>0</v>
      </c>
      <c r="AD1706">
        <v>0</v>
      </c>
      <c r="AE1706">
        <v>0</v>
      </c>
      <c r="AF1706">
        <v>0</v>
      </c>
      <c r="AG1706">
        <v>0</v>
      </c>
      <c r="AI1706">
        <v>0</v>
      </c>
      <c r="AJ1706">
        <v>5</v>
      </c>
      <c r="AK1706">
        <v>154</v>
      </c>
      <c r="AL1706">
        <v>154</v>
      </c>
      <c r="AM1706">
        <v>232</v>
      </c>
      <c r="AN1706">
        <v>44</v>
      </c>
      <c r="AP1706">
        <v>1</v>
      </c>
      <c r="AR1706" t="s">
        <v>1795</v>
      </c>
      <c r="AS1706" s="1">
        <v>44354.07708333333</v>
      </c>
      <c r="AT1706" s="1">
        <v>44354.084421296298</v>
      </c>
      <c r="AU1706" s="1">
        <v>44354.085266203707</v>
      </c>
      <c r="AV1706" t="s">
        <v>71</v>
      </c>
      <c r="AW1706" t="s">
        <v>72</v>
      </c>
      <c r="AX1706" t="s">
        <v>73</v>
      </c>
    </row>
    <row r="1707" spans="1:50" x14ac:dyDescent="0.3">
      <c r="A1707" t="str">
        <f>"200775B0000"</f>
        <v>200775B0000</v>
      </c>
      <c r="B1707" t="str">
        <f>"200775B00002"</f>
        <v>200775B00002</v>
      </c>
      <c r="C1707" t="str">
        <f t="shared" si="83"/>
        <v>20</v>
      </c>
      <c r="D1707" t="s">
        <v>67</v>
      </c>
      <c r="E1707" t="str">
        <f t="shared" si="84"/>
        <v>008</v>
      </c>
      <c r="F1707" t="s">
        <v>1759</v>
      </c>
      <c r="G1707" t="str">
        <f>"0775"</f>
        <v>0775</v>
      </c>
      <c r="H1707" t="str">
        <f>"0000"</f>
        <v>0000</v>
      </c>
      <c r="I1707" t="s">
        <v>69</v>
      </c>
      <c r="J1707">
        <v>0</v>
      </c>
      <c r="K1707">
        <v>1</v>
      </c>
      <c r="L1707">
        <v>2</v>
      </c>
      <c r="M1707">
        <v>339</v>
      </c>
      <c r="N1707">
        <v>442</v>
      </c>
      <c r="O1707">
        <v>438</v>
      </c>
      <c r="P1707" t="s">
        <v>80</v>
      </c>
      <c r="Q1707">
        <v>6</v>
      </c>
      <c r="R1707">
        <v>129</v>
      </c>
      <c r="S1707">
        <v>5</v>
      </c>
      <c r="T1707">
        <v>6</v>
      </c>
      <c r="U1707">
        <v>52</v>
      </c>
      <c r="V1707">
        <v>3</v>
      </c>
      <c r="W1707">
        <v>3</v>
      </c>
      <c r="X1707">
        <v>190</v>
      </c>
      <c r="Y1707">
        <v>1</v>
      </c>
      <c r="Z1707">
        <v>6</v>
      </c>
      <c r="AA1707">
        <v>3</v>
      </c>
      <c r="AB1707">
        <v>1</v>
      </c>
      <c r="AD1707">
        <v>3</v>
      </c>
      <c r="AE1707">
        <v>0</v>
      </c>
      <c r="AF1707">
        <v>0</v>
      </c>
      <c r="AG1707">
        <v>0</v>
      </c>
      <c r="AI1707">
        <v>0</v>
      </c>
      <c r="AJ1707">
        <v>34</v>
      </c>
      <c r="AK1707">
        <v>442</v>
      </c>
      <c r="AL1707">
        <v>442</v>
      </c>
      <c r="AM1707">
        <v>737</v>
      </c>
      <c r="AN1707">
        <v>44</v>
      </c>
      <c r="AP1707">
        <v>1</v>
      </c>
      <c r="AR1707" t="s">
        <v>1796</v>
      </c>
      <c r="AS1707" s="1">
        <v>44354.079861111109</v>
      </c>
      <c r="AT1707" s="1">
        <v>44354.086828703701</v>
      </c>
      <c r="AU1707" s="1">
        <v>44354.088495370372</v>
      </c>
      <c r="AV1707" t="s">
        <v>71</v>
      </c>
      <c r="AW1707" t="s">
        <v>72</v>
      </c>
      <c r="AX1707" t="s">
        <v>73</v>
      </c>
    </row>
    <row r="1708" spans="1:50" x14ac:dyDescent="0.3">
      <c r="A1708" t="str">
        <f>"200775E0100"</f>
        <v>200775E0100</v>
      </c>
      <c r="B1708" t="str">
        <f>"200775E01002"</f>
        <v>200775E01002</v>
      </c>
      <c r="C1708" t="str">
        <f t="shared" si="83"/>
        <v>20</v>
      </c>
      <c r="D1708" t="s">
        <v>67</v>
      </c>
      <c r="E1708" t="str">
        <f t="shared" si="84"/>
        <v>008</v>
      </c>
      <c r="F1708" t="s">
        <v>1759</v>
      </c>
      <c r="G1708" t="str">
        <f>"0775"</f>
        <v>0775</v>
      </c>
      <c r="H1708" t="str">
        <f>"0001"</f>
        <v>0001</v>
      </c>
      <c r="I1708" t="s">
        <v>109</v>
      </c>
      <c r="J1708">
        <v>0</v>
      </c>
      <c r="K1708">
        <v>1</v>
      </c>
      <c r="L1708">
        <v>2</v>
      </c>
      <c r="M1708">
        <v>229</v>
      </c>
      <c r="N1708">
        <v>434</v>
      </c>
      <c r="O1708">
        <v>6</v>
      </c>
      <c r="P1708">
        <v>434</v>
      </c>
      <c r="Q1708">
        <v>5</v>
      </c>
      <c r="R1708">
        <v>35</v>
      </c>
      <c r="S1708">
        <v>4</v>
      </c>
      <c r="T1708">
        <v>2</v>
      </c>
      <c r="U1708">
        <v>226</v>
      </c>
      <c r="V1708">
        <v>2</v>
      </c>
      <c r="W1708">
        <v>1</v>
      </c>
      <c r="X1708">
        <v>138</v>
      </c>
      <c r="Y1708">
        <v>0</v>
      </c>
      <c r="Z1708">
        <v>4</v>
      </c>
      <c r="AA1708">
        <v>3</v>
      </c>
      <c r="AB1708">
        <v>2</v>
      </c>
      <c r="AD1708">
        <v>0</v>
      </c>
      <c r="AE1708">
        <v>0</v>
      </c>
      <c r="AF1708">
        <v>0</v>
      </c>
      <c r="AG1708">
        <v>0</v>
      </c>
      <c r="AI1708">
        <v>0</v>
      </c>
      <c r="AJ1708">
        <v>12</v>
      </c>
      <c r="AK1708">
        <v>434</v>
      </c>
      <c r="AL1708">
        <v>434</v>
      </c>
      <c r="AM1708">
        <v>620</v>
      </c>
      <c r="AN1708">
        <v>44</v>
      </c>
      <c r="AP1708">
        <v>1</v>
      </c>
      <c r="AR1708" t="s">
        <v>1797</v>
      </c>
      <c r="AS1708" s="1">
        <v>44354.084027777775</v>
      </c>
      <c r="AT1708" s="1">
        <v>44354.091585648152</v>
      </c>
      <c r="AU1708" s="1">
        <v>44354.092268518521</v>
      </c>
      <c r="AV1708" t="s">
        <v>71</v>
      </c>
      <c r="AW1708" t="s">
        <v>72</v>
      </c>
      <c r="AX1708" t="s">
        <v>73</v>
      </c>
    </row>
    <row r="1709" spans="1:50" x14ac:dyDescent="0.3">
      <c r="A1709" t="str">
        <f>"200789B0000"</f>
        <v>200789B0000</v>
      </c>
      <c r="B1709" t="str">
        <f>"200789B00002"</f>
        <v>200789B00002</v>
      </c>
      <c r="C1709" t="str">
        <f t="shared" si="83"/>
        <v>20</v>
      </c>
      <c r="D1709" t="s">
        <v>67</v>
      </c>
      <c r="E1709" t="str">
        <f t="shared" si="84"/>
        <v>008</v>
      </c>
      <c r="F1709" t="s">
        <v>1759</v>
      </c>
      <c r="G1709" t="str">
        <f>"0789"</f>
        <v>0789</v>
      </c>
      <c r="H1709" t="str">
        <f>"0000"</f>
        <v>0000</v>
      </c>
      <c r="I1709" t="s">
        <v>69</v>
      </c>
      <c r="J1709">
        <v>0</v>
      </c>
      <c r="K1709">
        <v>1</v>
      </c>
      <c r="L1709">
        <v>2</v>
      </c>
      <c r="M1709">
        <v>306</v>
      </c>
      <c r="N1709">
        <v>161</v>
      </c>
      <c r="O1709">
        <v>2</v>
      </c>
      <c r="P1709">
        <v>161</v>
      </c>
      <c r="Q1709">
        <v>4</v>
      </c>
      <c r="R1709">
        <v>48</v>
      </c>
      <c r="S1709">
        <v>6</v>
      </c>
      <c r="T1709">
        <v>5</v>
      </c>
      <c r="U1709">
        <v>83</v>
      </c>
      <c r="V1709">
        <v>0</v>
      </c>
      <c r="W1709">
        <v>1</v>
      </c>
      <c r="X1709">
        <v>5</v>
      </c>
      <c r="Y1709">
        <v>0</v>
      </c>
      <c r="Z1709">
        <v>1</v>
      </c>
      <c r="AA1709">
        <v>0</v>
      </c>
      <c r="AB1709">
        <v>2</v>
      </c>
      <c r="AD1709">
        <v>0</v>
      </c>
      <c r="AE1709">
        <v>2</v>
      </c>
      <c r="AF1709">
        <v>0</v>
      </c>
      <c r="AG1709">
        <v>0</v>
      </c>
      <c r="AI1709">
        <v>0</v>
      </c>
      <c r="AJ1709">
        <v>4</v>
      </c>
      <c r="AK1709">
        <v>161</v>
      </c>
      <c r="AL1709">
        <v>161</v>
      </c>
      <c r="AM1709">
        <v>423</v>
      </c>
      <c r="AN1709">
        <v>44</v>
      </c>
      <c r="AP1709">
        <v>1</v>
      </c>
      <c r="AR1709" t="s">
        <v>1798</v>
      </c>
      <c r="AS1709" s="1">
        <v>44354.087500000001</v>
      </c>
      <c r="AT1709" s="1">
        <v>44354.094525462962</v>
      </c>
      <c r="AU1709" s="1">
        <v>44354.094965277778</v>
      </c>
      <c r="AV1709" t="s">
        <v>71</v>
      </c>
      <c r="AW1709" t="s">
        <v>72</v>
      </c>
      <c r="AX1709" t="s">
        <v>73</v>
      </c>
    </row>
    <row r="1710" spans="1:50" x14ac:dyDescent="0.3">
      <c r="A1710" t="str">
        <f>"200789C0100"</f>
        <v>200789C0100</v>
      </c>
      <c r="B1710" t="str">
        <f>"200789C01002"</f>
        <v>200789C01002</v>
      </c>
      <c r="C1710" t="str">
        <f t="shared" si="83"/>
        <v>20</v>
      </c>
      <c r="D1710" t="s">
        <v>67</v>
      </c>
      <c r="E1710" t="str">
        <f t="shared" si="84"/>
        <v>008</v>
      </c>
      <c r="F1710" t="s">
        <v>1759</v>
      </c>
      <c r="G1710" t="str">
        <f>"0789"</f>
        <v>0789</v>
      </c>
      <c r="H1710" t="str">
        <f>"0001"</f>
        <v>0001</v>
      </c>
      <c r="I1710" t="s">
        <v>75</v>
      </c>
      <c r="J1710">
        <v>0</v>
      </c>
      <c r="K1710">
        <v>1</v>
      </c>
      <c r="L1710">
        <v>2</v>
      </c>
      <c r="M1710">
        <v>314</v>
      </c>
      <c r="N1710">
        <v>152</v>
      </c>
      <c r="O1710">
        <v>6</v>
      </c>
      <c r="P1710">
        <v>152</v>
      </c>
      <c r="Q1710">
        <v>3</v>
      </c>
      <c r="R1710">
        <v>52</v>
      </c>
      <c r="S1710">
        <v>3</v>
      </c>
      <c r="T1710">
        <v>5</v>
      </c>
      <c r="U1710">
        <v>63</v>
      </c>
      <c r="V1710">
        <v>0</v>
      </c>
      <c r="W1710">
        <v>0</v>
      </c>
      <c r="X1710">
        <v>7</v>
      </c>
      <c r="Y1710">
        <v>0</v>
      </c>
      <c r="Z1710">
        <v>2</v>
      </c>
      <c r="AA1710">
        <v>2</v>
      </c>
      <c r="AB1710">
        <v>0</v>
      </c>
      <c r="AD1710">
        <v>5</v>
      </c>
      <c r="AE1710">
        <v>0</v>
      </c>
      <c r="AF1710">
        <v>0</v>
      </c>
      <c r="AG1710">
        <v>2</v>
      </c>
      <c r="AI1710">
        <v>0</v>
      </c>
      <c r="AJ1710">
        <v>8</v>
      </c>
      <c r="AK1710">
        <v>152</v>
      </c>
      <c r="AL1710">
        <v>152</v>
      </c>
      <c r="AM1710">
        <v>422</v>
      </c>
      <c r="AN1710">
        <v>44</v>
      </c>
      <c r="AP1710">
        <v>1</v>
      </c>
      <c r="AR1710" t="s">
        <v>1799</v>
      </c>
      <c r="AS1710" s="1">
        <v>44354.084722222222</v>
      </c>
      <c r="AT1710" s="1">
        <v>44354.091944444444</v>
      </c>
      <c r="AU1710" s="1">
        <v>44354.092581018522</v>
      </c>
      <c r="AV1710" t="s">
        <v>71</v>
      </c>
      <c r="AW1710" t="s">
        <v>72</v>
      </c>
      <c r="AX1710" t="s">
        <v>73</v>
      </c>
    </row>
    <row r="1711" spans="1:50" x14ac:dyDescent="0.3">
      <c r="A1711" t="str">
        <f>"200789E0100"</f>
        <v>200789E0100</v>
      </c>
      <c r="B1711" t="str">
        <f>"200789E01002"</f>
        <v>200789E01002</v>
      </c>
      <c r="C1711" t="str">
        <f t="shared" si="83"/>
        <v>20</v>
      </c>
      <c r="D1711" t="s">
        <v>67</v>
      </c>
      <c r="E1711" t="str">
        <f t="shared" si="84"/>
        <v>008</v>
      </c>
      <c r="F1711" t="s">
        <v>1759</v>
      </c>
      <c r="G1711" t="str">
        <f>"0789"</f>
        <v>0789</v>
      </c>
      <c r="H1711" t="str">
        <f>"0001"</f>
        <v>0001</v>
      </c>
      <c r="I1711" t="s">
        <v>109</v>
      </c>
      <c r="J1711">
        <v>0</v>
      </c>
      <c r="K1711">
        <v>1</v>
      </c>
      <c r="L1711">
        <v>2</v>
      </c>
      <c r="M1711">
        <v>87</v>
      </c>
      <c r="N1711">
        <v>85</v>
      </c>
      <c r="O1711">
        <v>7</v>
      </c>
      <c r="P1711">
        <v>85</v>
      </c>
      <c r="Q1711">
        <v>1</v>
      </c>
      <c r="R1711">
        <v>7</v>
      </c>
      <c r="S1711">
        <v>3</v>
      </c>
      <c r="T1711">
        <v>2</v>
      </c>
      <c r="U1711">
        <v>63</v>
      </c>
      <c r="V1711">
        <v>0</v>
      </c>
      <c r="W1711">
        <v>3</v>
      </c>
      <c r="X1711">
        <v>4</v>
      </c>
      <c r="Y1711">
        <v>0</v>
      </c>
      <c r="Z1711">
        <v>0</v>
      </c>
      <c r="AA1711">
        <v>1</v>
      </c>
      <c r="AB1711">
        <v>0</v>
      </c>
      <c r="AD1711">
        <v>0</v>
      </c>
      <c r="AE1711">
        <v>0</v>
      </c>
      <c r="AF1711">
        <v>0</v>
      </c>
      <c r="AG1711">
        <v>0</v>
      </c>
      <c r="AI1711">
        <v>0</v>
      </c>
      <c r="AJ1711">
        <v>0</v>
      </c>
      <c r="AK1711">
        <v>84</v>
      </c>
      <c r="AL1711">
        <v>84</v>
      </c>
      <c r="AM1711">
        <v>128</v>
      </c>
      <c r="AN1711">
        <v>44</v>
      </c>
      <c r="AP1711">
        <v>1</v>
      </c>
      <c r="AR1711" t="s">
        <v>1800</v>
      </c>
      <c r="AS1711" s="1">
        <v>44354.086805555555</v>
      </c>
      <c r="AT1711" s="1">
        <v>44354.094074074077</v>
      </c>
      <c r="AU1711" s="1">
        <v>44354.094710648147</v>
      </c>
      <c r="AV1711" t="s">
        <v>71</v>
      </c>
      <c r="AW1711" t="s">
        <v>72</v>
      </c>
      <c r="AX1711" t="s">
        <v>73</v>
      </c>
    </row>
    <row r="1712" spans="1:50" x14ac:dyDescent="0.3">
      <c r="A1712" t="str">
        <f>"200789E0200"</f>
        <v>200789E0200</v>
      </c>
      <c r="B1712" t="str">
        <f>"200789E02002"</f>
        <v>200789E02002</v>
      </c>
      <c r="C1712" t="str">
        <f t="shared" si="83"/>
        <v>20</v>
      </c>
      <c r="D1712" t="s">
        <v>67</v>
      </c>
      <c r="E1712" t="str">
        <f t="shared" si="84"/>
        <v>008</v>
      </c>
      <c r="F1712" t="s">
        <v>1759</v>
      </c>
      <c r="G1712" t="str">
        <f>"0789"</f>
        <v>0789</v>
      </c>
      <c r="H1712" t="str">
        <f>"0002"</f>
        <v>0002</v>
      </c>
      <c r="I1712" t="s">
        <v>109</v>
      </c>
      <c r="J1712">
        <v>0</v>
      </c>
      <c r="K1712">
        <v>1</v>
      </c>
      <c r="L1712">
        <v>2</v>
      </c>
      <c r="M1712">
        <v>115</v>
      </c>
      <c r="N1712">
        <v>78</v>
      </c>
      <c r="O1712">
        <v>8</v>
      </c>
      <c r="P1712">
        <v>78</v>
      </c>
      <c r="Q1712">
        <v>4</v>
      </c>
      <c r="R1712">
        <v>9</v>
      </c>
      <c r="S1712">
        <v>1</v>
      </c>
      <c r="T1712">
        <v>6</v>
      </c>
      <c r="U1712">
        <v>33</v>
      </c>
      <c r="V1712">
        <v>0</v>
      </c>
      <c r="W1712">
        <v>0</v>
      </c>
      <c r="X1712">
        <v>18</v>
      </c>
      <c r="Y1712">
        <v>0</v>
      </c>
      <c r="Z1712">
        <v>2</v>
      </c>
      <c r="AA1712">
        <v>0</v>
      </c>
      <c r="AB1712">
        <v>0</v>
      </c>
      <c r="AD1712">
        <v>0</v>
      </c>
      <c r="AE1712">
        <v>0</v>
      </c>
      <c r="AF1712">
        <v>0</v>
      </c>
      <c r="AG1712">
        <v>0</v>
      </c>
      <c r="AI1712">
        <v>0</v>
      </c>
      <c r="AJ1712">
        <v>5</v>
      </c>
      <c r="AK1712">
        <v>78</v>
      </c>
      <c r="AL1712">
        <v>78</v>
      </c>
      <c r="AM1712">
        <v>149</v>
      </c>
      <c r="AN1712">
        <v>44</v>
      </c>
      <c r="AP1712">
        <v>1</v>
      </c>
      <c r="AR1712" t="s">
        <v>1801</v>
      </c>
      <c r="AS1712" s="1">
        <v>44354.088888888888</v>
      </c>
      <c r="AT1712" s="1">
        <v>44354.095601851855</v>
      </c>
      <c r="AU1712" s="1">
        <v>44354.096122685187</v>
      </c>
      <c r="AV1712" t="s">
        <v>71</v>
      </c>
      <c r="AW1712" t="s">
        <v>72</v>
      </c>
      <c r="AX1712" t="s">
        <v>73</v>
      </c>
    </row>
    <row r="1713" spans="1:50" x14ac:dyDescent="0.3">
      <c r="A1713" t="str">
        <f>"200810B0000"</f>
        <v>200810B0000</v>
      </c>
      <c r="B1713" t="str">
        <f>"200810B00002"</f>
        <v>200810B00002</v>
      </c>
      <c r="C1713" t="str">
        <f t="shared" si="83"/>
        <v>20</v>
      </c>
      <c r="D1713" t="s">
        <v>67</v>
      </c>
      <c r="E1713" t="str">
        <f t="shared" si="84"/>
        <v>008</v>
      </c>
      <c r="F1713" t="s">
        <v>1759</v>
      </c>
      <c r="G1713" t="str">
        <f>"0810"</f>
        <v>0810</v>
      </c>
      <c r="H1713" t="str">
        <f>"0000"</f>
        <v>0000</v>
      </c>
      <c r="I1713" t="s">
        <v>69</v>
      </c>
      <c r="J1713">
        <v>0</v>
      </c>
      <c r="K1713">
        <v>1</v>
      </c>
      <c r="L1713">
        <v>2</v>
      </c>
      <c r="M1713">
        <v>178</v>
      </c>
      <c r="N1713">
        <v>166</v>
      </c>
      <c r="O1713">
        <v>11</v>
      </c>
      <c r="P1713">
        <v>166</v>
      </c>
      <c r="Q1713">
        <v>4</v>
      </c>
      <c r="R1713">
        <v>14</v>
      </c>
      <c r="S1713">
        <v>6</v>
      </c>
      <c r="T1713">
        <v>5</v>
      </c>
      <c r="U1713">
        <v>29</v>
      </c>
      <c r="V1713">
        <v>1</v>
      </c>
      <c r="W1713">
        <v>1</v>
      </c>
      <c r="X1713">
        <v>95</v>
      </c>
      <c r="Y1713">
        <v>0</v>
      </c>
      <c r="Z1713">
        <v>3</v>
      </c>
      <c r="AA1713">
        <v>1</v>
      </c>
      <c r="AB1713">
        <v>2</v>
      </c>
      <c r="AD1713">
        <v>1</v>
      </c>
      <c r="AE1713">
        <v>0</v>
      </c>
      <c r="AF1713">
        <v>0</v>
      </c>
      <c r="AG1713">
        <v>0</v>
      </c>
      <c r="AI1713">
        <v>0</v>
      </c>
      <c r="AJ1713">
        <v>4</v>
      </c>
      <c r="AK1713">
        <v>166</v>
      </c>
      <c r="AL1713">
        <v>166</v>
      </c>
      <c r="AM1713">
        <v>300</v>
      </c>
      <c r="AN1713">
        <v>44</v>
      </c>
      <c r="AP1713">
        <v>1</v>
      </c>
      <c r="AR1713" t="s">
        <v>1802</v>
      </c>
      <c r="AS1713" s="1">
        <v>44354.35</v>
      </c>
      <c r="AT1713" s="1">
        <v>44354.352268518516</v>
      </c>
      <c r="AU1713" s="1">
        <v>44354.352731481478</v>
      </c>
      <c r="AV1713" t="s">
        <v>71</v>
      </c>
      <c r="AW1713" t="s">
        <v>72</v>
      </c>
      <c r="AX1713" t="s">
        <v>73</v>
      </c>
    </row>
    <row r="1714" spans="1:50" x14ac:dyDescent="0.3">
      <c r="A1714" t="str">
        <f>"200835B0000"</f>
        <v>200835B0000</v>
      </c>
      <c r="B1714" t="str">
        <f>"200835B00002"</f>
        <v>200835B00002</v>
      </c>
      <c r="C1714" t="str">
        <f t="shared" si="83"/>
        <v>20</v>
      </c>
      <c r="D1714" t="s">
        <v>67</v>
      </c>
      <c r="E1714" t="str">
        <f t="shared" si="84"/>
        <v>008</v>
      </c>
      <c r="F1714" t="s">
        <v>1759</v>
      </c>
      <c r="G1714" t="str">
        <f>"0835"</f>
        <v>0835</v>
      </c>
      <c r="H1714" t="str">
        <f>"0000"</f>
        <v>0000</v>
      </c>
      <c r="I1714" t="s">
        <v>69</v>
      </c>
      <c r="J1714">
        <v>0</v>
      </c>
      <c r="K1714">
        <v>1</v>
      </c>
      <c r="L1714">
        <v>2</v>
      </c>
      <c r="M1714">
        <v>351</v>
      </c>
      <c r="N1714">
        <v>146</v>
      </c>
      <c r="O1714">
        <v>0</v>
      </c>
      <c r="P1714">
        <v>146</v>
      </c>
      <c r="Q1714">
        <v>1</v>
      </c>
      <c r="R1714">
        <v>5</v>
      </c>
      <c r="S1714">
        <v>3</v>
      </c>
      <c r="T1714">
        <v>3</v>
      </c>
      <c r="U1714">
        <v>85</v>
      </c>
      <c r="V1714">
        <v>3</v>
      </c>
      <c r="W1714">
        <v>1</v>
      </c>
      <c r="X1714">
        <v>30</v>
      </c>
      <c r="Y1714">
        <v>1</v>
      </c>
      <c r="Z1714">
        <v>7</v>
      </c>
      <c r="AA1714">
        <v>0</v>
      </c>
      <c r="AB1714">
        <v>1</v>
      </c>
      <c r="AD1714">
        <v>0</v>
      </c>
      <c r="AE1714">
        <v>0</v>
      </c>
      <c r="AF1714">
        <v>0</v>
      </c>
      <c r="AG1714">
        <v>0</v>
      </c>
      <c r="AI1714">
        <v>0</v>
      </c>
      <c r="AJ1714">
        <v>6</v>
      </c>
      <c r="AK1714">
        <v>146</v>
      </c>
      <c r="AL1714">
        <v>146</v>
      </c>
      <c r="AM1714">
        <v>453</v>
      </c>
      <c r="AN1714">
        <v>44</v>
      </c>
      <c r="AP1714">
        <v>1</v>
      </c>
      <c r="AR1714" t="s">
        <v>1803</v>
      </c>
      <c r="AS1714" s="1">
        <v>44353.847511574073</v>
      </c>
      <c r="AT1714" s="1">
        <v>44353.993402777778</v>
      </c>
      <c r="AU1714" s="1">
        <v>44353.993946759256</v>
      </c>
      <c r="AV1714" t="s">
        <v>269</v>
      </c>
      <c r="AW1714" t="s">
        <v>270</v>
      </c>
      <c r="AX1714" t="s">
        <v>73</v>
      </c>
    </row>
    <row r="1715" spans="1:50" x14ac:dyDescent="0.3">
      <c r="A1715" t="str">
        <f>"200835C0100"</f>
        <v>200835C0100</v>
      </c>
      <c r="B1715" t="str">
        <f>"200835C01002"</f>
        <v>200835C01002</v>
      </c>
      <c r="C1715" t="str">
        <f t="shared" si="83"/>
        <v>20</v>
      </c>
      <c r="D1715" t="s">
        <v>67</v>
      </c>
      <c r="E1715" t="str">
        <f t="shared" si="84"/>
        <v>008</v>
      </c>
      <c r="F1715" t="s">
        <v>1759</v>
      </c>
      <c r="G1715" t="str">
        <f>"0835"</f>
        <v>0835</v>
      </c>
      <c r="H1715" t="str">
        <f>"0001"</f>
        <v>0001</v>
      </c>
      <c r="I1715" t="s">
        <v>75</v>
      </c>
      <c r="J1715">
        <v>0</v>
      </c>
      <c r="K1715">
        <v>1</v>
      </c>
      <c r="L1715">
        <v>2</v>
      </c>
      <c r="M1715">
        <v>311</v>
      </c>
      <c r="N1715">
        <v>186</v>
      </c>
      <c r="O1715">
        <v>2</v>
      </c>
      <c r="P1715">
        <v>186</v>
      </c>
      <c r="Q1715">
        <v>1</v>
      </c>
      <c r="R1715">
        <v>2</v>
      </c>
      <c r="S1715">
        <v>6</v>
      </c>
      <c r="T1715">
        <v>4</v>
      </c>
      <c r="U1715">
        <v>112</v>
      </c>
      <c r="V1715">
        <v>1</v>
      </c>
      <c r="W1715">
        <v>2</v>
      </c>
      <c r="X1715">
        <v>44</v>
      </c>
      <c r="Y1715">
        <v>0</v>
      </c>
      <c r="Z1715">
        <v>3</v>
      </c>
      <c r="AA1715">
        <v>1</v>
      </c>
      <c r="AB1715">
        <v>2</v>
      </c>
      <c r="AD1715">
        <v>0</v>
      </c>
      <c r="AE1715">
        <v>0</v>
      </c>
      <c r="AF1715">
        <v>0</v>
      </c>
      <c r="AG1715">
        <v>0</v>
      </c>
      <c r="AI1715">
        <v>0</v>
      </c>
      <c r="AJ1715">
        <v>8</v>
      </c>
      <c r="AK1715">
        <v>186</v>
      </c>
      <c r="AL1715">
        <v>186</v>
      </c>
      <c r="AM1715">
        <v>453</v>
      </c>
      <c r="AN1715">
        <v>44</v>
      </c>
      <c r="AP1715">
        <v>1</v>
      </c>
      <c r="AR1715" t="s">
        <v>1804</v>
      </c>
      <c r="AS1715" s="1">
        <v>44353.845810185187</v>
      </c>
      <c r="AT1715" s="1">
        <v>44353.993472222224</v>
      </c>
      <c r="AU1715" s="1">
        <v>44353.993877314817</v>
      </c>
      <c r="AV1715" t="s">
        <v>269</v>
      </c>
      <c r="AW1715" t="s">
        <v>270</v>
      </c>
      <c r="AX1715" t="s">
        <v>73</v>
      </c>
    </row>
    <row r="1716" spans="1:50" x14ac:dyDescent="0.3">
      <c r="A1716" t="str">
        <f>"200847B0000"</f>
        <v>200847B0000</v>
      </c>
      <c r="B1716" t="str">
        <f>"200847B00002"</f>
        <v>200847B00002</v>
      </c>
      <c r="C1716" t="str">
        <f t="shared" si="83"/>
        <v>20</v>
      </c>
      <c r="D1716" t="s">
        <v>67</v>
      </c>
      <c r="E1716" t="str">
        <f t="shared" si="84"/>
        <v>008</v>
      </c>
      <c r="F1716" t="s">
        <v>1759</v>
      </c>
      <c r="G1716" t="str">
        <f>"0847"</f>
        <v>0847</v>
      </c>
      <c r="H1716" t="str">
        <f>"0000"</f>
        <v>0000</v>
      </c>
      <c r="I1716" t="s">
        <v>69</v>
      </c>
      <c r="J1716">
        <v>0</v>
      </c>
      <c r="K1716">
        <v>1</v>
      </c>
      <c r="L1716">
        <v>2</v>
      </c>
      <c r="M1716">
        <v>238</v>
      </c>
      <c r="N1716">
        <v>275</v>
      </c>
      <c r="O1716">
        <v>1</v>
      </c>
      <c r="P1716">
        <v>275</v>
      </c>
      <c r="Q1716">
        <v>2</v>
      </c>
      <c r="R1716">
        <v>8</v>
      </c>
      <c r="S1716">
        <v>7</v>
      </c>
      <c r="T1716">
        <v>1</v>
      </c>
      <c r="U1716">
        <v>149</v>
      </c>
      <c r="V1716">
        <v>3</v>
      </c>
      <c r="W1716">
        <v>10</v>
      </c>
      <c r="X1716">
        <v>72</v>
      </c>
      <c r="Y1716">
        <v>0</v>
      </c>
      <c r="Z1716">
        <v>4</v>
      </c>
      <c r="AA1716">
        <v>1</v>
      </c>
      <c r="AB1716">
        <v>6</v>
      </c>
      <c r="AD1716">
        <v>0</v>
      </c>
      <c r="AE1716">
        <v>0</v>
      </c>
      <c r="AF1716">
        <v>0</v>
      </c>
      <c r="AG1716">
        <v>0</v>
      </c>
      <c r="AI1716">
        <v>0</v>
      </c>
      <c r="AJ1716">
        <v>12</v>
      </c>
      <c r="AK1716">
        <v>275</v>
      </c>
      <c r="AL1716">
        <v>275</v>
      </c>
      <c r="AM1716">
        <v>469</v>
      </c>
      <c r="AN1716">
        <v>44</v>
      </c>
      <c r="AP1716">
        <v>1</v>
      </c>
      <c r="AR1716" t="s">
        <v>1805</v>
      </c>
      <c r="AS1716" s="1">
        <v>44354.071527777778</v>
      </c>
      <c r="AT1716" s="1">
        <v>44354.078865740739</v>
      </c>
      <c r="AU1716" s="1">
        <v>44354.079317129632</v>
      </c>
      <c r="AV1716" t="s">
        <v>71</v>
      </c>
      <c r="AW1716" t="s">
        <v>72</v>
      </c>
      <c r="AX1716" t="s">
        <v>73</v>
      </c>
    </row>
    <row r="1717" spans="1:50" x14ac:dyDescent="0.3">
      <c r="A1717" t="str">
        <f>"200847C0100"</f>
        <v>200847C0100</v>
      </c>
      <c r="B1717" t="str">
        <f>"200847C01002"</f>
        <v>200847C01002</v>
      </c>
      <c r="C1717" t="str">
        <f t="shared" si="83"/>
        <v>20</v>
      </c>
      <c r="D1717" t="s">
        <v>67</v>
      </c>
      <c r="E1717" t="str">
        <f t="shared" si="84"/>
        <v>008</v>
      </c>
      <c r="F1717" t="s">
        <v>1759</v>
      </c>
      <c r="G1717" t="str">
        <f>"0847"</f>
        <v>0847</v>
      </c>
      <c r="H1717" t="str">
        <f>"0001"</f>
        <v>0001</v>
      </c>
      <c r="I1717" t="s">
        <v>75</v>
      </c>
      <c r="J1717">
        <v>0</v>
      </c>
      <c r="K1717">
        <v>1</v>
      </c>
      <c r="L1717">
        <v>2</v>
      </c>
      <c r="M1717">
        <v>229</v>
      </c>
      <c r="N1717">
        <v>284</v>
      </c>
      <c r="O1717">
        <v>5</v>
      </c>
      <c r="P1717">
        <v>284</v>
      </c>
      <c r="Q1717">
        <v>2</v>
      </c>
      <c r="R1717">
        <v>13</v>
      </c>
      <c r="S1717">
        <v>3</v>
      </c>
      <c r="T1717">
        <v>4</v>
      </c>
      <c r="U1717">
        <v>147</v>
      </c>
      <c r="V1717">
        <v>2</v>
      </c>
      <c r="W1717">
        <v>5</v>
      </c>
      <c r="X1717">
        <v>77</v>
      </c>
      <c r="Y1717">
        <v>1</v>
      </c>
      <c r="Z1717">
        <v>4</v>
      </c>
      <c r="AA1717">
        <v>3</v>
      </c>
      <c r="AB1717">
        <v>4</v>
      </c>
      <c r="AD1717">
        <v>0</v>
      </c>
      <c r="AE1717">
        <v>0</v>
      </c>
      <c r="AF1717">
        <v>0</v>
      </c>
      <c r="AG1717">
        <v>0</v>
      </c>
      <c r="AI1717">
        <v>0</v>
      </c>
      <c r="AJ1717">
        <v>19</v>
      </c>
      <c r="AK1717">
        <v>284</v>
      </c>
      <c r="AL1717">
        <v>284</v>
      </c>
      <c r="AM1717">
        <v>469</v>
      </c>
      <c r="AN1717">
        <v>44</v>
      </c>
      <c r="AP1717">
        <v>1</v>
      </c>
      <c r="AR1717" t="s">
        <v>1806</v>
      </c>
      <c r="AS1717" s="1">
        <v>44354.070138888892</v>
      </c>
      <c r="AT1717" s="1">
        <v>44354.077013888891</v>
      </c>
      <c r="AU1717" s="1">
        <v>44354.077534722222</v>
      </c>
      <c r="AV1717" t="s">
        <v>71</v>
      </c>
      <c r="AW1717" t="s">
        <v>72</v>
      </c>
      <c r="AX1717" t="s">
        <v>73</v>
      </c>
    </row>
    <row r="1718" spans="1:50" x14ac:dyDescent="0.3">
      <c r="A1718" t="str">
        <f>"200848B0000"</f>
        <v>200848B0000</v>
      </c>
      <c r="B1718" t="str">
        <f>"200848B00002"</f>
        <v>200848B00002</v>
      </c>
      <c r="C1718" t="str">
        <f t="shared" si="83"/>
        <v>20</v>
      </c>
      <c r="D1718" t="s">
        <v>67</v>
      </c>
      <c r="E1718" t="str">
        <f t="shared" si="84"/>
        <v>008</v>
      </c>
      <c r="F1718" t="s">
        <v>1759</v>
      </c>
      <c r="G1718" t="str">
        <f>"0848"</f>
        <v>0848</v>
      </c>
      <c r="H1718" t="str">
        <f>"0000"</f>
        <v>0000</v>
      </c>
      <c r="I1718" t="s">
        <v>69</v>
      </c>
      <c r="J1718">
        <v>0</v>
      </c>
      <c r="K1718">
        <v>1</v>
      </c>
      <c r="L1718">
        <v>2</v>
      </c>
      <c r="M1718">
        <v>240</v>
      </c>
      <c r="N1718">
        <v>0</v>
      </c>
      <c r="O1718">
        <v>0</v>
      </c>
      <c r="P1718">
        <v>343</v>
      </c>
      <c r="Q1718">
        <v>7</v>
      </c>
      <c r="R1718">
        <v>22</v>
      </c>
      <c r="S1718">
        <v>13</v>
      </c>
      <c r="T1718">
        <v>6</v>
      </c>
      <c r="U1718">
        <v>196</v>
      </c>
      <c r="V1718">
        <v>4</v>
      </c>
      <c r="W1718">
        <v>7</v>
      </c>
      <c r="X1718">
        <v>65</v>
      </c>
      <c r="Y1718">
        <v>0</v>
      </c>
      <c r="Z1718">
        <v>4</v>
      </c>
      <c r="AA1718">
        <v>1</v>
      </c>
      <c r="AB1718">
        <v>2</v>
      </c>
      <c r="AD1718">
        <v>0</v>
      </c>
      <c r="AE1718">
        <v>0</v>
      </c>
      <c r="AF1718">
        <v>0</v>
      </c>
      <c r="AG1718">
        <v>0</v>
      </c>
      <c r="AI1718">
        <v>0</v>
      </c>
      <c r="AJ1718">
        <v>16</v>
      </c>
      <c r="AK1718">
        <v>343</v>
      </c>
      <c r="AL1718">
        <v>343</v>
      </c>
      <c r="AM1718">
        <v>539</v>
      </c>
      <c r="AN1718">
        <v>44</v>
      </c>
      <c r="AP1718">
        <v>1</v>
      </c>
      <c r="AR1718" t="s">
        <v>1807</v>
      </c>
      <c r="AS1718" s="1">
        <v>44354.167361111111</v>
      </c>
      <c r="AT1718" s="1">
        <v>44354.16978009259</v>
      </c>
      <c r="AU1718" s="1">
        <v>44354.170428240737</v>
      </c>
      <c r="AV1718" t="s">
        <v>71</v>
      </c>
      <c r="AW1718" t="s">
        <v>72</v>
      </c>
      <c r="AX1718" t="s">
        <v>73</v>
      </c>
    </row>
    <row r="1719" spans="1:50" x14ac:dyDescent="0.3">
      <c r="A1719" t="str">
        <f>"200849B0000"</f>
        <v>200849B0000</v>
      </c>
      <c r="B1719" t="str">
        <f>"200849B00002"</f>
        <v>200849B00002</v>
      </c>
      <c r="C1719" t="str">
        <f t="shared" si="83"/>
        <v>20</v>
      </c>
      <c r="D1719" t="s">
        <v>67</v>
      </c>
      <c r="E1719" t="str">
        <f t="shared" si="84"/>
        <v>008</v>
      </c>
      <c r="F1719" t="s">
        <v>1759</v>
      </c>
      <c r="G1719" t="str">
        <f>"0849"</f>
        <v>0849</v>
      </c>
      <c r="H1719" t="str">
        <f>"0000"</f>
        <v>0000</v>
      </c>
      <c r="I1719" t="s">
        <v>69</v>
      </c>
      <c r="J1719">
        <v>0</v>
      </c>
      <c r="K1719">
        <v>1</v>
      </c>
      <c r="L1719">
        <v>2</v>
      </c>
      <c r="M1719">
        <v>182</v>
      </c>
      <c r="N1719">
        <v>194</v>
      </c>
      <c r="O1719">
        <v>6</v>
      </c>
      <c r="P1719">
        <v>194</v>
      </c>
      <c r="Q1719">
        <v>0</v>
      </c>
      <c r="R1719">
        <v>12</v>
      </c>
      <c r="S1719">
        <v>7</v>
      </c>
      <c r="T1719">
        <v>3</v>
      </c>
      <c r="U1719">
        <v>132</v>
      </c>
      <c r="V1719">
        <v>1</v>
      </c>
      <c r="W1719">
        <v>1</v>
      </c>
      <c r="X1719">
        <v>21</v>
      </c>
      <c r="Y1719">
        <v>0</v>
      </c>
      <c r="Z1719">
        <v>1</v>
      </c>
      <c r="AA1719">
        <v>0</v>
      </c>
      <c r="AB1719">
        <v>0</v>
      </c>
      <c r="AD1719">
        <v>1</v>
      </c>
      <c r="AE1719">
        <v>0</v>
      </c>
      <c r="AF1719">
        <v>0</v>
      </c>
      <c r="AG1719">
        <v>1</v>
      </c>
      <c r="AI1719">
        <v>0</v>
      </c>
      <c r="AJ1719">
        <v>196</v>
      </c>
      <c r="AK1719">
        <v>376</v>
      </c>
      <c r="AL1719">
        <v>376</v>
      </c>
      <c r="AM1719">
        <v>332</v>
      </c>
      <c r="AN1719">
        <v>44</v>
      </c>
      <c r="AP1719">
        <v>1</v>
      </c>
      <c r="AR1719" t="s">
        <v>1808</v>
      </c>
      <c r="AS1719" s="1">
        <v>44354.163194444445</v>
      </c>
      <c r="AT1719" s="1">
        <v>44354.167129629626</v>
      </c>
      <c r="AU1719" s="1">
        <v>44354.167534722219</v>
      </c>
      <c r="AV1719" t="s">
        <v>71</v>
      </c>
      <c r="AW1719" t="s">
        <v>72</v>
      </c>
      <c r="AX1719" t="s">
        <v>73</v>
      </c>
    </row>
    <row r="1720" spans="1:50" x14ac:dyDescent="0.3">
      <c r="A1720" t="str">
        <f>"200849E0100"</f>
        <v>200849E0100</v>
      </c>
      <c r="B1720" t="str">
        <f>"200849E01002"</f>
        <v>200849E01002</v>
      </c>
      <c r="C1720" t="str">
        <f t="shared" si="83"/>
        <v>20</v>
      </c>
      <c r="D1720" t="s">
        <v>67</v>
      </c>
      <c r="E1720" t="str">
        <f t="shared" si="84"/>
        <v>008</v>
      </c>
      <c r="F1720" t="s">
        <v>1759</v>
      </c>
      <c r="G1720" t="str">
        <f>"0849"</f>
        <v>0849</v>
      </c>
      <c r="H1720" t="str">
        <f>"0001"</f>
        <v>0001</v>
      </c>
      <c r="I1720" t="s">
        <v>109</v>
      </c>
      <c r="J1720">
        <v>0</v>
      </c>
      <c r="K1720">
        <v>1</v>
      </c>
      <c r="L1720">
        <v>2</v>
      </c>
      <c r="M1720">
        <v>168</v>
      </c>
      <c r="N1720">
        <v>207</v>
      </c>
      <c r="O1720">
        <v>3</v>
      </c>
      <c r="P1720">
        <v>207</v>
      </c>
      <c r="Q1720">
        <v>0</v>
      </c>
      <c r="R1720">
        <v>15</v>
      </c>
      <c r="S1720">
        <v>8</v>
      </c>
      <c r="T1720">
        <v>1</v>
      </c>
      <c r="U1720">
        <v>108</v>
      </c>
      <c r="V1720">
        <v>0</v>
      </c>
      <c r="W1720">
        <v>5</v>
      </c>
      <c r="X1720">
        <v>53</v>
      </c>
      <c r="Y1720">
        <v>1</v>
      </c>
      <c r="Z1720">
        <v>4</v>
      </c>
      <c r="AA1720">
        <v>0</v>
      </c>
      <c r="AB1720">
        <v>2</v>
      </c>
      <c r="AD1720">
        <v>1</v>
      </c>
      <c r="AE1720">
        <v>1</v>
      </c>
      <c r="AF1720">
        <v>0</v>
      </c>
      <c r="AG1720">
        <v>0</v>
      </c>
      <c r="AI1720">
        <v>0</v>
      </c>
      <c r="AJ1720">
        <v>8</v>
      </c>
      <c r="AK1720">
        <v>207</v>
      </c>
      <c r="AL1720">
        <v>207</v>
      </c>
      <c r="AM1720">
        <v>331</v>
      </c>
      <c r="AN1720">
        <v>44</v>
      </c>
      <c r="AP1720">
        <v>1</v>
      </c>
      <c r="AR1720" t="s">
        <v>1809</v>
      </c>
      <c r="AS1720" s="1">
        <v>44354.168749999997</v>
      </c>
      <c r="AT1720" s="1">
        <v>44354.171412037038</v>
      </c>
      <c r="AU1720" s="1">
        <v>44354.172222222223</v>
      </c>
      <c r="AV1720" t="s">
        <v>71</v>
      </c>
      <c r="AW1720" t="s">
        <v>72</v>
      </c>
      <c r="AX1720" t="s">
        <v>73</v>
      </c>
    </row>
    <row r="1721" spans="1:50" x14ac:dyDescent="0.3">
      <c r="A1721" t="str">
        <f>"200849E0200"</f>
        <v>200849E0200</v>
      </c>
      <c r="B1721" t="str">
        <f>"200849E02002"</f>
        <v>200849E02002</v>
      </c>
      <c r="C1721" t="str">
        <f t="shared" si="83"/>
        <v>20</v>
      </c>
      <c r="D1721" t="s">
        <v>67</v>
      </c>
      <c r="E1721" t="str">
        <f t="shared" si="84"/>
        <v>008</v>
      </c>
      <c r="F1721" t="s">
        <v>1759</v>
      </c>
      <c r="G1721" t="str">
        <f>"0849"</f>
        <v>0849</v>
      </c>
      <c r="H1721" t="str">
        <f>"0002"</f>
        <v>0002</v>
      </c>
      <c r="I1721" t="s">
        <v>109</v>
      </c>
      <c r="J1721">
        <v>0</v>
      </c>
      <c r="K1721">
        <v>1</v>
      </c>
      <c r="L1721">
        <v>2</v>
      </c>
      <c r="M1721">
        <v>121</v>
      </c>
      <c r="N1721">
        <v>114</v>
      </c>
      <c r="O1721">
        <v>2</v>
      </c>
      <c r="P1721">
        <v>114</v>
      </c>
      <c r="Q1721">
        <v>0</v>
      </c>
      <c r="R1721">
        <v>0</v>
      </c>
      <c r="S1721">
        <v>3</v>
      </c>
      <c r="T1721">
        <v>0</v>
      </c>
      <c r="U1721">
        <v>66</v>
      </c>
      <c r="V1721">
        <v>0</v>
      </c>
      <c r="W1721">
        <v>1</v>
      </c>
      <c r="X1721">
        <v>18</v>
      </c>
      <c r="Y1721">
        <v>0</v>
      </c>
      <c r="Z1721">
        <v>1</v>
      </c>
      <c r="AA1721">
        <v>21</v>
      </c>
      <c r="AB1721">
        <v>1</v>
      </c>
      <c r="AD1721">
        <v>0</v>
      </c>
      <c r="AE1721">
        <v>0</v>
      </c>
      <c r="AF1721">
        <v>0</v>
      </c>
      <c r="AG1721">
        <v>1</v>
      </c>
      <c r="AI1721">
        <v>0</v>
      </c>
      <c r="AJ1721">
        <v>2</v>
      </c>
      <c r="AK1721">
        <v>114</v>
      </c>
      <c r="AL1721">
        <v>114</v>
      </c>
      <c r="AM1721">
        <v>191</v>
      </c>
      <c r="AN1721">
        <v>44</v>
      </c>
      <c r="AP1721">
        <v>1</v>
      </c>
      <c r="AR1721" t="s">
        <v>1810</v>
      </c>
      <c r="AS1721" s="1">
        <v>44353.994444444441</v>
      </c>
      <c r="AT1721" s="1">
        <v>44354.000173611108</v>
      </c>
      <c r="AU1721" s="1">
        <v>44354.001064814816</v>
      </c>
      <c r="AV1721" t="s">
        <v>71</v>
      </c>
      <c r="AW1721" t="s">
        <v>72</v>
      </c>
      <c r="AX1721" t="s">
        <v>73</v>
      </c>
    </row>
    <row r="1722" spans="1:50" x14ac:dyDescent="0.3">
      <c r="A1722" t="str">
        <f>"200850B0000"</f>
        <v>200850B0000</v>
      </c>
      <c r="B1722" t="str">
        <f>"200850B00002"</f>
        <v>200850B00002</v>
      </c>
      <c r="C1722" t="str">
        <f t="shared" si="83"/>
        <v>20</v>
      </c>
      <c r="D1722" t="s">
        <v>67</v>
      </c>
      <c r="E1722" t="str">
        <f t="shared" si="84"/>
        <v>008</v>
      </c>
      <c r="F1722" t="s">
        <v>1759</v>
      </c>
      <c r="G1722" t="str">
        <f>"0850"</f>
        <v>0850</v>
      </c>
      <c r="H1722" t="str">
        <f>"0000"</f>
        <v>0000</v>
      </c>
      <c r="I1722" t="s">
        <v>69</v>
      </c>
      <c r="J1722">
        <v>0</v>
      </c>
      <c r="K1722">
        <v>1</v>
      </c>
      <c r="L1722">
        <v>2</v>
      </c>
      <c r="M1722">
        <v>130</v>
      </c>
      <c r="N1722">
        <v>174</v>
      </c>
      <c r="O1722">
        <v>3</v>
      </c>
      <c r="P1722">
        <v>174</v>
      </c>
      <c r="Q1722">
        <v>0</v>
      </c>
      <c r="R1722">
        <v>1</v>
      </c>
      <c r="S1722">
        <v>3</v>
      </c>
      <c r="T1722">
        <v>0</v>
      </c>
      <c r="U1722">
        <v>17</v>
      </c>
      <c r="V1722">
        <v>2</v>
      </c>
      <c r="W1722">
        <v>0</v>
      </c>
      <c r="X1722">
        <v>37</v>
      </c>
      <c r="Y1722">
        <v>0</v>
      </c>
      <c r="Z1722">
        <v>0</v>
      </c>
      <c r="AA1722">
        <v>109</v>
      </c>
      <c r="AB1722">
        <v>1</v>
      </c>
      <c r="AD1722">
        <v>0</v>
      </c>
      <c r="AE1722">
        <v>0</v>
      </c>
      <c r="AF1722">
        <v>0</v>
      </c>
      <c r="AG1722">
        <v>0</v>
      </c>
      <c r="AI1722">
        <v>0</v>
      </c>
      <c r="AJ1722">
        <v>4</v>
      </c>
      <c r="AK1722">
        <v>174</v>
      </c>
      <c r="AL1722">
        <v>174</v>
      </c>
      <c r="AM1722">
        <v>260</v>
      </c>
      <c r="AN1722">
        <v>44</v>
      </c>
      <c r="AP1722">
        <v>1</v>
      </c>
      <c r="AR1722" t="s">
        <v>1811</v>
      </c>
      <c r="AS1722" s="1">
        <v>44354.068749999999</v>
      </c>
      <c r="AT1722" s="1">
        <v>44354.075879629629</v>
      </c>
      <c r="AU1722" s="1">
        <v>44354.077337962961</v>
      </c>
      <c r="AV1722" t="s">
        <v>71</v>
      </c>
      <c r="AW1722" t="s">
        <v>72</v>
      </c>
      <c r="AX1722" t="s">
        <v>73</v>
      </c>
    </row>
    <row r="1723" spans="1:50" x14ac:dyDescent="0.3">
      <c r="A1723" t="str">
        <f>"200850E0100"</f>
        <v>200850E0100</v>
      </c>
      <c r="B1723" t="str">
        <f>"200850E01002"</f>
        <v>200850E01002</v>
      </c>
      <c r="C1723" t="str">
        <f t="shared" si="83"/>
        <v>20</v>
      </c>
      <c r="D1723" t="s">
        <v>67</v>
      </c>
      <c r="E1723" t="str">
        <f t="shared" si="84"/>
        <v>008</v>
      </c>
      <c r="F1723" t="s">
        <v>1759</v>
      </c>
      <c r="G1723" t="str">
        <f>"0850"</f>
        <v>0850</v>
      </c>
      <c r="H1723" t="str">
        <f>"0001"</f>
        <v>0001</v>
      </c>
      <c r="I1723" t="s">
        <v>109</v>
      </c>
      <c r="J1723">
        <v>0</v>
      </c>
      <c r="K1723">
        <v>1</v>
      </c>
      <c r="L1723">
        <v>2</v>
      </c>
      <c r="M1723">
        <v>153</v>
      </c>
      <c r="N1723">
        <v>162</v>
      </c>
      <c r="O1723">
        <v>5</v>
      </c>
      <c r="P1723" t="s">
        <v>80</v>
      </c>
      <c r="Q1723">
        <v>1</v>
      </c>
      <c r="R1723">
        <v>2</v>
      </c>
      <c r="S1723">
        <v>0</v>
      </c>
      <c r="T1723">
        <v>1</v>
      </c>
      <c r="U1723">
        <v>1</v>
      </c>
      <c r="V1723">
        <v>0</v>
      </c>
      <c r="W1723">
        <v>1</v>
      </c>
      <c r="X1723">
        <v>11</v>
      </c>
      <c r="Y1723">
        <v>0</v>
      </c>
      <c r="Z1723">
        <v>2</v>
      </c>
      <c r="AA1723">
        <v>133</v>
      </c>
      <c r="AB1723">
        <v>3</v>
      </c>
      <c r="AD1723">
        <v>0</v>
      </c>
      <c r="AE1723">
        <v>0</v>
      </c>
      <c r="AF1723">
        <v>0</v>
      </c>
      <c r="AG1723">
        <v>0</v>
      </c>
      <c r="AI1723">
        <v>0</v>
      </c>
      <c r="AJ1723">
        <v>7</v>
      </c>
      <c r="AK1723">
        <v>162</v>
      </c>
      <c r="AL1723">
        <v>162</v>
      </c>
      <c r="AM1723">
        <v>271</v>
      </c>
      <c r="AN1723">
        <v>44</v>
      </c>
      <c r="AP1723">
        <v>1</v>
      </c>
      <c r="AR1723" t="s">
        <v>1812</v>
      </c>
      <c r="AS1723" s="1">
        <v>44354.068055555559</v>
      </c>
      <c r="AT1723" s="1">
        <v>44354.074421296296</v>
      </c>
      <c r="AU1723" s="1">
        <v>44354.074803240743</v>
      </c>
      <c r="AV1723" t="s">
        <v>71</v>
      </c>
      <c r="AW1723" t="s">
        <v>72</v>
      </c>
      <c r="AX1723" t="s">
        <v>73</v>
      </c>
    </row>
    <row r="1724" spans="1:50" x14ac:dyDescent="0.3">
      <c r="A1724" t="str">
        <f>"200978B0000"</f>
        <v>200978B0000</v>
      </c>
      <c r="B1724" t="str">
        <f>"200978B00002"</f>
        <v>200978B00002</v>
      </c>
      <c r="C1724" t="str">
        <f t="shared" si="83"/>
        <v>20</v>
      </c>
      <c r="D1724" t="s">
        <v>67</v>
      </c>
      <c r="E1724" t="str">
        <f t="shared" si="84"/>
        <v>008</v>
      </c>
      <c r="F1724" t="s">
        <v>1759</v>
      </c>
      <c r="G1724" t="str">
        <f>"0978"</f>
        <v>0978</v>
      </c>
      <c r="H1724" t="str">
        <f>"0000"</f>
        <v>0000</v>
      </c>
      <c r="I1724" t="s">
        <v>69</v>
      </c>
      <c r="J1724">
        <v>0</v>
      </c>
      <c r="K1724">
        <v>1</v>
      </c>
      <c r="L1724">
        <v>2</v>
      </c>
      <c r="M1724">
        <v>213</v>
      </c>
      <c r="N1724">
        <v>193</v>
      </c>
      <c r="O1724">
        <v>0</v>
      </c>
      <c r="P1724">
        <v>0</v>
      </c>
      <c r="Q1724">
        <v>2</v>
      </c>
      <c r="R1724">
        <v>22</v>
      </c>
      <c r="S1724">
        <v>5</v>
      </c>
      <c r="T1724">
        <v>5</v>
      </c>
      <c r="U1724">
        <v>17</v>
      </c>
      <c r="V1724">
        <v>6</v>
      </c>
      <c r="W1724">
        <v>4</v>
      </c>
      <c r="X1724">
        <v>110</v>
      </c>
      <c r="Y1724">
        <v>1</v>
      </c>
      <c r="Z1724">
        <v>2</v>
      </c>
      <c r="AA1724">
        <v>2</v>
      </c>
      <c r="AB1724">
        <v>5</v>
      </c>
      <c r="AD1724">
        <v>0</v>
      </c>
      <c r="AE1724">
        <v>0</v>
      </c>
      <c r="AF1724">
        <v>0</v>
      </c>
      <c r="AG1724">
        <v>0</v>
      </c>
      <c r="AI1724">
        <v>0</v>
      </c>
      <c r="AJ1724">
        <v>12</v>
      </c>
      <c r="AK1724">
        <v>193</v>
      </c>
      <c r="AL1724">
        <v>193</v>
      </c>
      <c r="AM1724">
        <v>362</v>
      </c>
      <c r="AN1724">
        <v>44</v>
      </c>
      <c r="AP1724">
        <v>1</v>
      </c>
      <c r="AR1724" t="s">
        <v>1813</v>
      </c>
      <c r="AS1724" s="1">
        <v>44354.345833333333</v>
      </c>
      <c r="AT1724" s="1">
        <v>44354.348333333335</v>
      </c>
      <c r="AU1724" s="1">
        <v>44354.348923611113</v>
      </c>
      <c r="AV1724" t="s">
        <v>71</v>
      </c>
      <c r="AW1724" t="s">
        <v>72</v>
      </c>
      <c r="AX1724" t="s">
        <v>73</v>
      </c>
    </row>
    <row r="1725" spans="1:50" x14ac:dyDescent="0.3">
      <c r="A1725" t="str">
        <f>"201205B0000"</f>
        <v>201205B0000</v>
      </c>
      <c r="B1725" t="str">
        <f>"201205B00002"</f>
        <v>201205B00002</v>
      </c>
      <c r="C1725" t="str">
        <f t="shared" si="83"/>
        <v>20</v>
      </c>
      <c r="D1725" t="s">
        <v>67</v>
      </c>
      <c r="E1725" t="str">
        <f t="shared" si="84"/>
        <v>008</v>
      </c>
      <c r="F1725" t="s">
        <v>1759</v>
      </c>
      <c r="G1725" t="str">
        <f>"1205"</f>
        <v>1205</v>
      </c>
      <c r="H1725" t="str">
        <f>"0000"</f>
        <v>0000</v>
      </c>
      <c r="I1725" t="s">
        <v>69</v>
      </c>
      <c r="J1725">
        <v>0</v>
      </c>
      <c r="K1725">
        <v>1</v>
      </c>
      <c r="L1725">
        <v>2</v>
      </c>
      <c r="M1725">
        <v>317</v>
      </c>
      <c r="N1725">
        <v>349</v>
      </c>
      <c r="O1725">
        <v>5</v>
      </c>
      <c r="P1725">
        <v>349</v>
      </c>
      <c r="Q1725">
        <v>3</v>
      </c>
      <c r="R1725">
        <v>72</v>
      </c>
      <c r="S1725">
        <v>9</v>
      </c>
      <c r="T1725">
        <v>4</v>
      </c>
      <c r="U1725">
        <v>66</v>
      </c>
      <c r="V1725">
        <v>2</v>
      </c>
      <c r="W1725">
        <v>5</v>
      </c>
      <c r="X1725">
        <v>160</v>
      </c>
      <c r="Y1725">
        <v>1</v>
      </c>
      <c r="Z1725">
        <v>6</v>
      </c>
      <c r="AA1725">
        <v>2</v>
      </c>
      <c r="AB1725">
        <v>3</v>
      </c>
      <c r="AD1725">
        <v>0</v>
      </c>
      <c r="AE1725">
        <v>0</v>
      </c>
      <c r="AF1725">
        <v>1</v>
      </c>
      <c r="AG1725">
        <v>1</v>
      </c>
      <c r="AI1725">
        <v>0</v>
      </c>
      <c r="AJ1725">
        <v>14</v>
      </c>
      <c r="AK1725">
        <v>349</v>
      </c>
      <c r="AL1725">
        <v>349</v>
      </c>
      <c r="AM1725">
        <v>622</v>
      </c>
      <c r="AN1725">
        <v>44</v>
      </c>
      <c r="AP1725">
        <v>1</v>
      </c>
      <c r="AR1725" t="s">
        <v>1814</v>
      </c>
      <c r="AS1725" s="1">
        <v>44354.000694444447</v>
      </c>
      <c r="AT1725" s="1">
        <v>44354.007256944446</v>
      </c>
      <c r="AU1725" s="1">
        <v>44354.007939814815</v>
      </c>
      <c r="AV1725" t="s">
        <v>71</v>
      </c>
      <c r="AW1725" t="s">
        <v>72</v>
      </c>
      <c r="AX1725" t="s">
        <v>73</v>
      </c>
    </row>
    <row r="1726" spans="1:50" x14ac:dyDescent="0.3">
      <c r="A1726" t="str">
        <f>"201205C0100"</f>
        <v>201205C0100</v>
      </c>
      <c r="B1726" t="str">
        <f>"201205C01002"</f>
        <v>201205C01002</v>
      </c>
      <c r="C1726" t="str">
        <f t="shared" si="83"/>
        <v>20</v>
      </c>
      <c r="D1726" t="s">
        <v>67</v>
      </c>
      <c r="E1726" t="str">
        <f t="shared" si="84"/>
        <v>008</v>
      </c>
      <c r="F1726" t="s">
        <v>1759</v>
      </c>
      <c r="G1726" t="str">
        <f>"1205"</f>
        <v>1205</v>
      </c>
      <c r="H1726" t="str">
        <f>"0001"</f>
        <v>0001</v>
      </c>
      <c r="I1726" t="s">
        <v>75</v>
      </c>
      <c r="J1726">
        <v>0</v>
      </c>
      <c r="K1726">
        <v>1</v>
      </c>
      <c r="L1726">
        <v>2</v>
      </c>
      <c r="M1726">
        <v>341</v>
      </c>
      <c r="N1726">
        <v>325</v>
      </c>
      <c r="O1726">
        <v>3</v>
      </c>
      <c r="P1726">
        <v>325</v>
      </c>
      <c r="Q1726">
        <v>2</v>
      </c>
      <c r="R1726">
        <v>100</v>
      </c>
      <c r="S1726">
        <v>4</v>
      </c>
      <c r="T1726">
        <v>2</v>
      </c>
      <c r="U1726">
        <v>112</v>
      </c>
      <c r="V1726">
        <v>1</v>
      </c>
      <c r="W1726">
        <v>2</v>
      </c>
      <c r="X1726">
        <v>77</v>
      </c>
      <c r="Y1726">
        <v>1</v>
      </c>
      <c r="Z1726">
        <v>2</v>
      </c>
      <c r="AA1726">
        <v>0</v>
      </c>
      <c r="AB1726">
        <v>2</v>
      </c>
      <c r="AD1726">
        <v>2</v>
      </c>
      <c r="AE1726">
        <v>1</v>
      </c>
      <c r="AF1726">
        <v>0</v>
      </c>
      <c r="AG1726">
        <v>1</v>
      </c>
      <c r="AI1726">
        <v>0</v>
      </c>
      <c r="AJ1726">
        <v>16</v>
      </c>
      <c r="AK1726">
        <v>325</v>
      </c>
      <c r="AL1726">
        <v>325</v>
      </c>
      <c r="AM1726">
        <v>622</v>
      </c>
      <c r="AN1726">
        <v>44</v>
      </c>
      <c r="AP1726">
        <v>1</v>
      </c>
      <c r="AR1726" t="s">
        <v>1815</v>
      </c>
      <c r="AS1726" s="1">
        <v>44354.001388888886</v>
      </c>
      <c r="AT1726" s="1">
        <v>44354.006851851853</v>
      </c>
      <c r="AU1726" s="1">
        <v>44354.007430555554</v>
      </c>
      <c r="AV1726" t="s">
        <v>71</v>
      </c>
      <c r="AW1726" t="s">
        <v>72</v>
      </c>
      <c r="AX1726" t="s">
        <v>73</v>
      </c>
    </row>
    <row r="1727" spans="1:50" x14ac:dyDescent="0.3">
      <c r="A1727" t="str">
        <f>"201206B0000"</f>
        <v>201206B0000</v>
      </c>
      <c r="B1727" t="str">
        <f>"201206B00002"</f>
        <v>201206B00002</v>
      </c>
      <c r="C1727" t="str">
        <f t="shared" si="83"/>
        <v>20</v>
      </c>
      <c r="D1727" t="s">
        <v>67</v>
      </c>
      <c r="E1727" t="str">
        <f t="shared" si="84"/>
        <v>008</v>
      </c>
      <c r="F1727" t="s">
        <v>1759</v>
      </c>
      <c r="G1727" t="str">
        <f>"1206"</f>
        <v>1206</v>
      </c>
      <c r="H1727" t="str">
        <f>"0000"</f>
        <v>0000</v>
      </c>
      <c r="I1727" t="s">
        <v>69</v>
      </c>
      <c r="J1727">
        <v>0</v>
      </c>
      <c r="K1727">
        <v>1</v>
      </c>
      <c r="L1727">
        <v>2</v>
      </c>
      <c r="M1727">
        <v>250</v>
      </c>
      <c r="N1727">
        <v>254</v>
      </c>
      <c r="O1727">
        <v>2</v>
      </c>
      <c r="P1727">
        <v>254</v>
      </c>
      <c r="Q1727">
        <v>4</v>
      </c>
      <c r="R1727">
        <v>183</v>
      </c>
      <c r="S1727">
        <v>1</v>
      </c>
      <c r="T1727">
        <v>3</v>
      </c>
      <c r="U1727">
        <v>3</v>
      </c>
      <c r="V1727">
        <v>2</v>
      </c>
      <c r="W1727">
        <v>4</v>
      </c>
      <c r="X1727">
        <v>42</v>
      </c>
      <c r="Y1727">
        <v>2</v>
      </c>
      <c r="Z1727">
        <v>1</v>
      </c>
      <c r="AA1727">
        <v>1</v>
      </c>
      <c r="AB1727">
        <v>0</v>
      </c>
      <c r="AD1727">
        <v>1</v>
      </c>
      <c r="AE1727">
        <v>1</v>
      </c>
      <c r="AF1727">
        <v>0</v>
      </c>
      <c r="AG1727">
        <v>0</v>
      </c>
      <c r="AI1727">
        <v>0</v>
      </c>
      <c r="AJ1727">
        <v>6</v>
      </c>
      <c r="AK1727">
        <v>254</v>
      </c>
      <c r="AL1727">
        <v>254</v>
      </c>
      <c r="AM1727">
        <v>460</v>
      </c>
      <c r="AN1727">
        <v>44</v>
      </c>
      <c r="AP1727">
        <v>1</v>
      </c>
      <c r="AR1727" t="s">
        <v>1816</v>
      </c>
      <c r="AS1727" s="1">
        <v>44353.986111111109</v>
      </c>
      <c r="AT1727" s="1">
        <v>44353.992847222224</v>
      </c>
      <c r="AU1727" s="1">
        <v>44353.993263888886</v>
      </c>
      <c r="AV1727" t="s">
        <v>71</v>
      </c>
      <c r="AW1727" t="s">
        <v>72</v>
      </c>
      <c r="AX1727" t="s">
        <v>73</v>
      </c>
    </row>
    <row r="1728" spans="1:50" x14ac:dyDescent="0.3">
      <c r="A1728" t="str">
        <f>"201206E0100"</f>
        <v>201206E0100</v>
      </c>
      <c r="B1728" t="str">
        <f>"201206E01002"</f>
        <v>201206E01002</v>
      </c>
      <c r="C1728" t="str">
        <f t="shared" si="83"/>
        <v>20</v>
      </c>
      <c r="D1728" t="s">
        <v>67</v>
      </c>
      <c r="E1728" t="str">
        <f t="shared" si="84"/>
        <v>008</v>
      </c>
      <c r="F1728" t="s">
        <v>1759</v>
      </c>
      <c r="G1728" t="str">
        <f>"1206"</f>
        <v>1206</v>
      </c>
      <c r="H1728" t="str">
        <f>"0001"</f>
        <v>0001</v>
      </c>
      <c r="I1728" t="s">
        <v>109</v>
      </c>
      <c r="J1728">
        <v>0</v>
      </c>
      <c r="K1728">
        <v>1</v>
      </c>
      <c r="L1728">
        <v>2</v>
      </c>
      <c r="M1728">
        <v>266</v>
      </c>
      <c r="N1728">
        <v>163</v>
      </c>
      <c r="O1728">
        <v>163</v>
      </c>
      <c r="P1728">
        <v>163</v>
      </c>
      <c r="Q1728">
        <v>1</v>
      </c>
      <c r="R1728">
        <v>95</v>
      </c>
      <c r="S1728">
        <v>5</v>
      </c>
      <c r="T1728">
        <v>2</v>
      </c>
      <c r="U1728">
        <v>19</v>
      </c>
      <c r="V1728">
        <v>1</v>
      </c>
      <c r="W1728">
        <v>1</v>
      </c>
      <c r="X1728">
        <v>32</v>
      </c>
      <c r="Y1728">
        <v>1</v>
      </c>
      <c r="Z1728">
        <v>3</v>
      </c>
      <c r="AA1728">
        <v>1</v>
      </c>
      <c r="AB1728" t="s">
        <v>77</v>
      </c>
      <c r="AD1728" t="s">
        <v>77</v>
      </c>
      <c r="AE1728" t="s">
        <v>77</v>
      </c>
      <c r="AF1728" t="s">
        <v>77</v>
      </c>
      <c r="AG1728" t="s">
        <v>77</v>
      </c>
      <c r="AI1728" t="s">
        <v>77</v>
      </c>
      <c r="AJ1728">
        <v>3</v>
      </c>
      <c r="AK1728">
        <v>163</v>
      </c>
      <c r="AL1728">
        <v>164</v>
      </c>
      <c r="AM1728">
        <v>385</v>
      </c>
      <c r="AN1728">
        <v>44</v>
      </c>
      <c r="AO1728" t="s">
        <v>78</v>
      </c>
      <c r="AP1728">
        <v>1</v>
      </c>
      <c r="AR1728" t="s">
        <v>1817</v>
      </c>
      <c r="AS1728" s="1">
        <v>44353.986111111109</v>
      </c>
      <c r="AT1728" s="1">
        <v>44353.995115740741</v>
      </c>
      <c r="AU1728" s="1">
        <v>44353.995856481481</v>
      </c>
      <c r="AV1728" t="s">
        <v>71</v>
      </c>
      <c r="AW1728" t="s">
        <v>72</v>
      </c>
      <c r="AX1728" t="s">
        <v>73</v>
      </c>
    </row>
    <row r="1729" spans="1:50" x14ac:dyDescent="0.3">
      <c r="A1729" t="str">
        <f>"201206E0101"</f>
        <v>201206E0101</v>
      </c>
      <c r="B1729" t="str">
        <f>"201206E01012"</f>
        <v>201206E01012</v>
      </c>
      <c r="C1729" t="str">
        <f t="shared" si="83"/>
        <v>20</v>
      </c>
      <c r="D1729" t="s">
        <v>67</v>
      </c>
      <c r="E1729" t="str">
        <f t="shared" si="84"/>
        <v>008</v>
      </c>
      <c r="F1729" t="s">
        <v>1759</v>
      </c>
      <c r="G1729" t="str">
        <f>"1206"</f>
        <v>1206</v>
      </c>
      <c r="H1729" t="str">
        <f>"0001"</f>
        <v>0001</v>
      </c>
      <c r="I1729" t="s">
        <v>109</v>
      </c>
      <c r="J1729">
        <v>1</v>
      </c>
      <c r="K1729">
        <v>1</v>
      </c>
      <c r="L1729">
        <v>2</v>
      </c>
      <c r="M1729">
        <v>283</v>
      </c>
      <c r="N1729">
        <v>146</v>
      </c>
      <c r="O1729">
        <v>2</v>
      </c>
      <c r="P1729">
        <v>146</v>
      </c>
      <c r="Q1729">
        <v>2</v>
      </c>
      <c r="R1729">
        <v>74</v>
      </c>
      <c r="S1729">
        <v>3</v>
      </c>
      <c r="T1729">
        <v>0</v>
      </c>
      <c r="U1729">
        <v>11</v>
      </c>
      <c r="V1729">
        <v>2</v>
      </c>
      <c r="W1729">
        <v>0</v>
      </c>
      <c r="X1729">
        <v>40</v>
      </c>
      <c r="Y1729">
        <v>2</v>
      </c>
      <c r="Z1729">
        <v>1</v>
      </c>
      <c r="AA1729">
        <v>0</v>
      </c>
      <c r="AB1729">
        <v>1</v>
      </c>
      <c r="AD1729">
        <v>4</v>
      </c>
      <c r="AE1729">
        <v>0</v>
      </c>
      <c r="AF1729">
        <v>0</v>
      </c>
      <c r="AG1729">
        <v>0</v>
      </c>
      <c r="AI1729">
        <v>0</v>
      </c>
      <c r="AJ1729">
        <v>5</v>
      </c>
      <c r="AK1729">
        <v>146</v>
      </c>
      <c r="AL1729">
        <v>145</v>
      </c>
      <c r="AM1729">
        <v>385</v>
      </c>
      <c r="AN1729">
        <v>44</v>
      </c>
      <c r="AP1729">
        <v>1</v>
      </c>
      <c r="AR1729" t="s">
        <v>1818</v>
      </c>
      <c r="AS1729" s="1">
        <v>44353.98333333333</v>
      </c>
      <c r="AT1729" s="1">
        <v>44353.990312499998</v>
      </c>
      <c r="AU1729" s="1">
        <v>44353.991388888891</v>
      </c>
      <c r="AV1729" t="s">
        <v>71</v>
      </c>
      <c r="AW1729" t="s">
        <v>72</v>
      </c>
      <c r="AX1729" t="s">
        <v>73</v>
      </c>
    </row>
    <row r="1730" spans="1:50" x14ac:dyDescent="0.3">
      <c r="A1730" t="str">
        <f>"201207B0000"</f>
        <v>201207B0000</v>
      </c>
      <c r="B1730" t="str">
        <f>"201207B00002"</f>
        <v>201207B00002</v>
      </c>
      <c r="C1730" t="str">
        <f t="shared" si="83"/>
        <v>20</v>
      </c>
      <c r="D1730" t="s">
        <v>67</v>
      </c>
      <c r="E1730" t="str">
        <f t="shared" si="84"/>
        <v>008</v>
      </c>
      <c r="F1730" t="s">
        <v>1759</v>
      </c>
      <c r="G1730" t="str">
        <f>"1207"</f>
        <v>1207</v>
      </c>
      <c r="H1730" t="str">
        <f>"0000"</f>
        <v>0000</v>
      </c>
      <c r="I1730" t="s">
        <v>69</v>
      </c>
      <c r="J1730">
        <v>0</v>
      </c>
      <c r="K1730">
        <v>1</v>
      </c>
      <c r="L1730">
        <v>2</v>
      </c>
      <c r="M1730">
        <v>277</v>
      </c>
      <c r="N1730">
        <v>251</v>
      </c>
      <c r="O1730">
        <v>0</v>
      </c>
      <c r="P1730">
        <v>251</v>
      </c>
      <c r="Q1730">
        <v>0</v>
      </c>
      <c r="R1730">
        <v>49</v>
      </c>
      <c r="S1730">
        <v>2</v>
      </c>
      <c r="T1730">
        <v>0</v>
      </c>
      <c r="U1730">
        <v>78</v>
      </c>
      <c r="V1730">
        <v>1</v>
      </c>
      <c r="W1730">
        <v>0</v>
      </c>
      <c r="X1730">
        <v>114</v>
      </c>
      <c r="Y1730">
        <v>0</v>
      </c>
      <c r="Z1730">
        <v>2</v>
      </c>
      <c r="AA1730">
        <v>0</v>
      </c>
      <c r="AB1730">
        <v>0</v>
      </c>
      <c r="AD1730" t="s">
        <v>77</v>
      </c>
      <c r="AE1730" t="s">
        <v>77</v>
      </c>
      <c r="AF1730" t="s">
        <v>77</v>
      </c>
      <c r="AG1730" t="s">
        <v>77</v>
      </c>
      <c r="AI1730" t="s">
        <v>77</v>
      </c>
      <c r="AJ1730">
        <v>4</v>
      </c>
      <c r="AK1730">
        <v>251</v>
      </c>
      <c r="AL1730">
        <v>250</v>
      </c>
      <c r="AM1730">
        <v>484</v>
      </c>
      <c r="AN1730">
        <v>44</v>
      </c>
      <c r="AO1730" t="s">
        <v>78</v>
      </c>
      <c r="AP1730">
        <v>1</v>
      </c>
      <c r="AR1730" t="s">
        <v>1819</v>
      </c>
      <c r="AS1730" s="1">
        <v>44353.984722222223</v>
      </c>
      <c r="AT1730" s="1">
        <v>44353.987962962965</v>
      </c>
      <c r="AU1730" s="1">
        <v>44353.988379629627</v>
      </c>
      <c r="AV1730" t="s">
        <v>71</v>
      </c>
      <c r="AW1730" t="s">
        <v>72</v>
      </c>
      <c r="AX1730" t="s">
        <v>73</v>
      </c>
    </row>
    <row r="1731" spans="1:50" x14ac:dyDescent="0.3">
      <c r="A1731" t="str">
        <f>"201207C0100"</f>
        <v>201207C0100</v>
      </c>
      <c r="B1731" t="str">
        <f>"201207C01002"</f>
        <v>201207C01002</v>
      </c>
      <c r="C1731" t="str">
        <f t="shared" si="83"/>
        <v>20</v>
      </c>
      <c r="D1731" t="s">
        <v>67</v>
      </c>
      <c r="E1731" t="str">
        <f t="shared" si="84"/>
        <v>008</v>
      </c>
      <c r="F1731" t="s">
        <v>1759</v>
      </c>
      <c r="G1731" t="str">
        <f>"1207"</f>
        <v>1207</v>
      </c>
      <c r="H1731" t="str">
        <f>"0001"</f>
        <v>0001</v>
      </c>
      <c r="I1731" t="s">
        <v>75</v>
      </c>
      <c r="J1731">
        <v>0</v>
      </c>
      <c r="K1731">
        <v>1</v>
      </c>
      <c r="L1731">
        <v>2</v>
      </c>
      <c r="M1731">
        <v>308</v>
      </c>
      <c r="N1731">
        <v>219</v>
      </c>
      <c r="O1731">
        <v>0</v>
      </c>
      <c r="P1731">
        <v>219</v>
      </c>
      <c r="Q1731">
        <v>2</v>
      </c>
      <c r="R1731">
        <v>50</v>
      </c>
      <c r="S1731">
        <v>2</v>
      </c>
      <c r="T1731">
        <v>0</v>
      </c>
      <c r="U1731">
        <v>79</v>
      </c>
      <c r="V1731">
        <v>2</v>
      </c>
      <c r="W1731">
        <v>0</v>
      </c>
      <c r="X1731">
        <v>73</v>
      </c>
      <c r="Y1731">
        <v>1</v>
      </c>
      <c r="Z1731">
        <v>3</v>
      </c>
      <c r="AA1731">
        <v>0</v>
      </c>
      <c r="AB1731">
        <v>0</v>
      </c>
      <c r="AD1731">
        <v>0</v>
      </c>
      <c r="AE1731">
        <v>0</v>
      </c>
      <c r="AF1731">
        <v>0</v>
      </c>
      <c r="AG1731">
        <v>0</v>
      </c>
      <c r="AI1731">
        <v>0</v>
      </c>
      <c r="AJ1731">
        <v>7</v>
      </c>
      <c r="AK1731">
        <v>219</v>
      </c>
      <c r="AL1731">
        <v>219</v>
      </c>
      <c r="AM1731">
        <v>483</v>
      </c>
      <c r="AN1731">
        <v>44</v>
      </c>
      <c r="AP1731">
        <v>1</v>
      </c>
      <c r="AR1731" t="s">
        <v>1820</v>
      </c>
      <c r="AS1731" s="1">
        <v>44353.984027777777</v>
      </c>
      <c r="AT1731" s="1">
        <v>44353.987256944441</v>
      </c>
      <c r="AU1731" s="1">
        <v>44353.988043981481</v>
      </c>
      <c r="AV1731" t="s">
        <v>71</v>
      </c>
      <c r="AW1731" t="s">
        <v>72</v>
      </c>
      <c r="AX1731" t="s">
        <v>73</v>
      </c>
    </row>
    <row r="1732" spans="1:50" x14ac:dyDescent="0.3">
      <c r="A1732" t="str">
        <f>"201208B0000"</f>
        <v>201208B0000</v>
      </c>
      <c r="B1732" t="str">
        <f>"201208B00002"</f>
        <v>201208B00002</v>
      </c>
      <c r="C1732" t="str">
        <f t="shared" si="83"/>
        <v>20</v>
      </c>
      <c r="D1732" t="s">
        <v>67</v>
      </c>
      <c r="E1732" t="str">
        <f t="shared" si="84"/>
        <v>008</v>
      </c>
      <c r="F1732" t="s">
        <v>1759</v>
      </c>
      <c r="G1732" t="str">
        <f>"1208"</f>
        <v>1208</v>
      </c>
      <c r="H1732" t="str">
        <f>"0000"</f>
        <v>0000</v>
      </c>
      <c r="I1732" t="s">
        <v>69</v>
      </c>
      <c r="J1732">
        <v>0</v>
      </c>
      <c r="K1732">
        <v>1</v>
      </c>
      <c r="L1732">
        <v>2</v>
      </c>
      <c r="M1732">
        <v>299</v>
      </c>
      <c r="N1732">
        <v>343</v>
      </c>
      <c r="O1732">
        <v>5</v>
      </c>
      <c r="P1732">
        <v>343</v>
      </c>
      <c r="Q1732">
        <v>3</v>
      </c>
      <c r="R1732">
        <v>125</v>
      </c>
      <c r="S1732">
        <v>1</v>
      </c>
      <c r="T1732">
        <v>3</v>
      </c>
      <c r="U1732">
        <v>139</v>
      </c>
      <c r="V1732">
        <v>2</v>
      </c>
      <c r="W1732">
        <v>1</v>
      </c>
      <c r="X1732">
        <v>56</v>
      </c>
      <c r="Y1732">
        <v>0</v>
      </c>
      <c r="Z1732">
        <v>2</v>
      </c>
      <c r="AA1732">
        <v>0</v>
      </c>
      <c r="AB1732">
        <v>1</v>
      </c>
      <c r="AD1732">
        <v>0</v>
      </c>
      <c r="AE1732">
        <v>0</v>
      </c>
      <c r="AF1732">
        <v>0</v>
      </c>
      <c r="AG1732">
        <v>0</v>
      </c>
      <c r="AI1732">
        <v>0</v>
      </c>
      <c r="AJ1732">
        <v>0</v>
      </c>
      <c r="AK1732">
        <v>0</v>
      </c>
      <c r="AL1732">
        <v>333</v>
      </c>
      <c r="AM1732">
        <v>598</v>
      </c>
      <c r="AN1732">
        <v>44</v>
      </c>
      <c r="AP1732">
        <v>1</v>
      </c>
      <c r="AR1732" t="s">
        <v>1821</v>
      </c>
      <c r="AS1732" s="1">
        <v>44354.003472222219</v>
      </c>
      <c r="AT1732" s="1">
        <v>44354.010185185187</v>
      </c>
      <c r="AU1732" s="1">
        <v>44354.011030092595</v>
      </c>
      <c r="AV1732" t="s">
        <v>71</v>
      </c>
      <c r="AW1732" t="s">
        <v>72</v>
      </c>
      <c r="AX1732" t="s">
        <v>73</v>
      </c>
    </row>
    <row r="1733" spans="1:50" x14ac:dyDescent="0.3">
      <c r="A1733" t="str">
        <f>"201208E0100"</f>
        <v>201208E0100</v>
      </c>
      <c r="B1733" t="str">
        <f>"201208E01002"</f>
        <v>201208E01002</v>
      </c>
      <c r="C1733" t="str">
        <f t="shared" si="83"/>
        <v>20</v>
      </c>
      <c r="D1733" t="s">
        <v>67</v>
      </c>
      <c r="E1733" t="str">
        <f t="shared" si="84"/>
        <v>008</v>
      </c>
      <c r="F1733" t="s">
        <v>1759</v>
      </c>
      <c r="G1733" t="str">
        <f>"1208"</f>
        <v>1208</v>
      </c>
      <c r="H1733" t="str">
        <f>"0001"</f>
        <v>0001</v>
      </c>
      <c r="I1733" t="s">
        <v>109</v>
      </c>
      <c r="J1733">
        <v>0</v>
      </c>
      <c r="K1733">
        <v>1</v>
      </c>
      <c r="L1733">
        <v>2</v>
      </c>
      <c r="M1733">
        <v>239</v>
      </c>
      <c r="N1733">
        <v>212</v>
      </c>
      <c r="O1733">
        <v>3</v>
      </c>
      <c r="P1733">
        <v>212</v>
      </c>
      <c r="Q1733">
        <v>5</v>
      </c>
      <c r="R1733">
        <v>85</v>
      </c>
      <c r="S1733">
        <v>5</v>
      </c>
      <c r="T1733">
        <v>5</v>
      </c>
      <c r="U1733">
        <v>39</v>
      </c>
      <c r="V1733">
        <v>1</v>
      </c>
      <c r="W1733">
        <v>1</v>
      </c>
      <c r="X1733">
        <v>56</v>
      </c>
      <c r="Y1733">
        <v>2</v>
      </c>
      <c r="Z1733">
        <v>4</v>
      </c>
      <c r="AA1733">
        <v>0</v>
      </c>
      <c r="AB1733">
        <v>0</v>
      </c>
      <c r="AD1733">
        <v>3</v>
      </c>
      <c r="AE1733">
        <v>1</v>
      </c>
      <c r="AF1733">
        <v>1</v>
      </c>
      <c r="AG1733">
        <v>0</v>
      </c>
      <c r="AI1733">
        <v>0</v>
      </c>
      <c r="AJ1733">
        <v>4</v>
      </c>
      <c r="AK1733">
        <v>212</v>
      </c>
      <c r="AL1733">
        <v>212</v>
      </c>
      <c r="AM1733">
        <v>407</v>
      </c>
      <c r="AN1733">
        <v>44</v>
      </c>
      <c r="AP1733">
        <v>1</v>
      </c>
      <c r="AR1733" t="s">
        <v>1822</v>
      </c>
      <c r="AS1733" s="1">
        <v>44354.001388888886</v>
      </c>
      <c r="AT1733" s="1">
        <v>44354.012835648151</v>
      </c>
      <c r="AU1733" s="1">
        <v>44354.013437499998</v>
      </c>
      <c r="AV1733" t="s">
        <v>71</v>
      </c>
      <c r="AW1733" t="s">
        <v>72</v>
      </c>
      <c r="AX1733" t="s">
        <v>73</v>
      </c>
    </row>
    <row r="1734" spans="1:50" x14ac:dyDescent="0.3">
      <c r="A1734" t="str">
        <f>"201209B0000"</f>
        <v>201209B0000</v>
      </c>
      <c r="B1734" t="str">
        <f>"201209B00002"</f>
        <v>201209B00002</v>
      </c>
      <c r="C1734" t="str">
        <f t="shared" si="83"/>
        <v>20</v>
      </c>
      <c r="D1734" t="s">
        <v>67</v>
      </c>
      <c r="E1734" t="str">
        <f t="shared" si="84"/>
        <v>008</v>
      </c>
      <c r="F1734" t="s">
        <v>1759</v>
      </c>
      <c r="G1734" t="str">
        <f>"1209"</f>
        <v>1209</v>
      </c>
      <c r="H1734" t="str">
        <f>"0000"</f>
        <v>0000</v>
      </c>
      <c r="I1734" t="s">
        <v>69</v>
      </c>
      <c r="J1734">
        <v>0</v>
      </c>
      <c r="K1734">
        <v>1</v>
      </c>
      <c r="L1734">
        <v>2</v>
      </c>
      <c r="M1734">
        <v>338</v>
      </c>
      <c r="N1734">
        <v>241</v>
      </c>
      <c r="O1734">
        <v>3</v>
      </c>
      <c r="P1734">
        <v>241</v>
      </c>
      <c r="Q1734">
        <v>2</v>
      </c>
      <c r="R1734">
        <v>30</v>
      </c>
      <c r="S1734">
        <v>0</v>
      </c>
      <c r="T1734">
        <v>0</v>
      </c>
      <c r="U1734">
        <v>138</v>
      </c>
      <c r="V1734">
        <v>1</v>
      </c>
      <c r="W1734">
        <v>1</v>
      </c>
      <c r="X1734">
        <v>61</v>
      </c>
      <c r="Y1734">
        <v>2</v>
      </c>
      <c r="Z1734">
        <v>1</v>
      </c>
      <c r="AA1734">
        <v>0</v>
      </c>
      <c r="AB1734">
        <v>1</v>
      </c>
      <c r="AD1734">
        <v>0</v>
      </c>
      <c r="AE1734">
        <v>0</v>
      </c>
      <c r="AF1734">
        <v>0</v>
      </c>
      <c r="AG1734">
        <v>0</v>
      </c>
      <c r="AI1734">
        <v>0</v>
      </c>
      <c r="AJ1734">
        <v>4</v>
      </c>
      <c r="AK1734">
        <v>241</v>
      </c>
      <c r="AL1734">
        <v>241</v>
      </c>
      <c r="AM1734">
        <v>535</v>
      </c>
      <c r="AN1734">
        <v>44</v>
      </c>
      <c r="AP1734">
        <v>1</v>
      </c>
      <c r="AR1734" t="s">
        <v>1823</v>
      </c>
      <c r="AS1734" s="1">
        <v>44354.006249999999</v>
      </c>
      <c r="AT1734" s="1">
        <v>44354.012615740743</v>
      </c>
      <c r="AU1734" s="1">
        <v>44354.013460648152</v>
      </c>
      <c r="AV1734" t="s">
        <v>71</v>
      </c>
      <c r="AW1734" t="s">
        <v>72</v>
      </c>
      <c r="AX1734" t="s">
        <v>73</v>
      </c>
    </row>
    <row r="1735" spans="1:50" x14ac:dyDescent="0.3">
      <c r="A1735" t="str">
        <f>"201225B0000"</f>
        <v>201225B0000</v>
      </c>
      <c r="B1735" t="str">
        <f>"201225B00002"</f>
        <v>201225B00002</v>
      </c>
      <c r="C1735" t="str">
        <f t="shared" ref="C1735:C1798" si="85">"20"</f>
        <v>20</v>
      </c>
      <c r="D1735" t="s">
        <v>67</v>
      </c>
      <c r="E1735" t="str">
        <f t="shared" ref="E1735:E1798" si="86">"008"</f>
        <v>008</v>
      </c>
      <c r="F1735" t="s">
        <v>1759</v>
      </c>
      <c r="G1735" t="str">
        <f>"1225"</f>
        <v>1225</v>
      </c>
      <c r="H1735" t="str">
        <f>"0000"</f>
        <v>0000</v>
      </c>
      <c r="I1735" t="s">
        <v>69</v>
      </c>
      <c r="J1735">
        <v>0</v>
      </c>
      <c r="K1735">
        <v>1</v>
      </c>
      <c r="L1735">
        <v>2</v>
      </c>
      <c r="M1735">
        <v>298</v>
      </c>
      <c r="N1735">
        <v>162</v>
      </c>
      <c r="O1735">
        <v>0</v>
      </c>
      <c r="P1735">
        <v>162</v>
      </c>
      <c r="Q1735">
        <v>4</v>
      </c>
      <c r="R1735">
        <v>48</v>
      </c>
      <c r="S1735">
        <v>6</v>
      </c>
      <c r="T1735">
        <v>3</v>
      </c>
      <c r="U1735">
        <v>50</v>
      </c>
      <c r="V1735">
        <v>1</v>
      </c>
      <c r="W1735">
        <v>1</v>
      </c>
      <c r="X1735">
        <v>42</v>
      </c>
      <c r="Y1735">
        <v>0</v>
      </c>
      <c r="Z1735">
        <v>4</v>
      </c>
      <c r="AA1735">
        <v>0</v>
      </c>
      <c r="AB1735">
        <v>2</v>
      </c>
      <c r="AD1735">
        <v>0</v>
      </c>
      <c r="AE1735">
        <v>0</v>
      </c>
      <c r="AF1735">
        <v>0</v>
      </c>
      <c r="AG1735">
        <v>0</v>
      </c>
      <c r="AI1735">
        <v>0</v>
      </c>
      <c r="AJ1735">
        <v>1</v>
      </c>
      <c r="AK1735">
        <v>162</v>
      </c>
      <c r="AL1735">
        <v>162</v>
      </c>
      <c r="AM1735">
        <v>416</v>
      </c>
      <c r="AN1735">
        <v>44</v>
      </c>
      <c r="AP1735">
        <v>1</v>
      </c>
      <c r="AR1735" t="s">
        <v>1824</v>
      </c>
      <c r="AS1735" s="1">
        <v>44354.036111111112</v>
      </c>
      <c r="AT1735" s="1">
        <v>44354.047037037039</v>
      </c>
      <c r="AU1735" s="1">
        <v>44354.04760416667</v>
      </c>
      <c r="AV1735" t="s">
        <v>71</v>
      </c>
      <c r="AW1735" t="s">
        <v>72</v>
      </c>
      <c r="AX1735" t="s">
        <v>73</v>
      </c>
    </row>
    <row r="1736" spans="1:50" x14ac:dyDescent="0.3">
      <c r="A1736" t="str">
        <f>"201283B0000"</f>
        <v>201283B0000</v>
      </c>
      <c r="B1736" t="str">
        <f>"201283B00002"</f>
        <v>201283B00002</v>
      </c>
      <c r="C1736" t="str">
        <f t="shared" si="85"/>
        <v>20</v>
      </c>
      <c r="D1736" t="s">
        <v>67</v>
      </c>
      <c r="E1736" t="str">
        <f t="shared" si="86"/>
        <v>008</v>
      </c>
      <c r="F1736" t="s">
        <v>1759</v>
      </c>
      <c r="G1736" t="str">
        <f>"1283"</f>
        <v>1283</v>
      </c>
      <c r="H1736" t="str">
        <f>"0000"</f>
        <v>0000</v>
      </c>
      <c r="I1736" t="s">
        <v>69</v>
      </c>
      <c r="J1736">
        <v>0</v>
      </c>
      <c r="K1736">
        <v>1</v>
      </c>
      <c r="L1736">
        <v>2</v>
      </c>
      <c r="M1736">
        <v>393</v>
      </c>
      <c r="N1736">
        <v>234</v>
      </c>
      <c r="O1736">
        <v>6</v>
      </c>
      <c r="P1736" t="s">
        <v>80</v>
      </c>
      <c r="Q1736">
        <v>2</v>
      </c>
      <c r="R1736">
        <v>18</v>
      </c>
      <c r="S1736">
        <v>8</v>
      </c>
      <c r="T1736">
        <v>7</v>
      </c>
      <c r="U1736">
        <v>63</v>
      </c>
      <c r="V1736">
        <v>0</v>
      </c>
      <c r="W1736">
        <v>4</v>
      </c>
      <c r="X1736">
        <v>99</v>
      </c>
      <c r="Y1736">
        <v>4</v>
      </c>
      <c r="Z1736">
        <v>4</v>
      </c>
      <c r="AA1736">
        <v>1</v>
      </c>
      <c r="AB1736">
        <v>11</v>
      </c>
      <c r="AD1736">
        <v>1</v>
      </c>
      <c r="AE1736">
        <v>0</v>
      </c>
      <c r="AF1736">
        <v>0</v>
      </c>
      <c r="AG1736">
        <v>0</v>
      </c>
      <c r="AI1736">
        <v>0</v>
      </c>
      <c r="AJ1736">
        <v>12</v>
      </c>
      <c r="AK1736">
        <v>234</v>
      </c>
      <c r="AL1736">
        <v>234</v>
      </c>
      <c r="AM1736">
        <v>583</v>
      </c>
      <c r="AN1736">
        <v>44</v>
      </c>
      <c r="AP1736">
        <v>1</v>
      </c>
      <c r="AR1736" t="s">
        <v>1825</v>
      </c>
      <c r="AS1736" s="1">
        <v>44354.11041666667</v>
      </c>
      <c r="AT1736" s="1">
        <v>44354.114444444444</v>
      </c>
      <c r="AU1736" s="1">
        <v>44354.114745370367</v>
      </c>
      <c r="AV1736" t="s">
        <v>71</v>
      </c>
      <c r="AW1736" t="s">
        <v>72</v>
      </c>
      <c r="AX1736" t="s">
        <v>73</v>
      </c>
    </row>
    <row r="1737" spans="1:50" x14ac:dyDescent="0.3">
      <c r="A1737" t="str">
        <f>"201283E0100"</f>
        <v>201283E0100</v>
      </c>
      <c r="B1737" t="str">
        <f>"201283E01002"</f>
        <v>201283E01002</v>
      </c>
      <c r="C1737" t="str">
        <f t="shared" si="85"/>
        <v>20</v>
      </c>
      <c r="D1737" t="s">
        <v>67</v>
      </c>
      <c r="E1737" t="str">
        <f t="shared" si="86"/>
        <v>008</v>
      </c>
      <c r="F1737" t="s">
        <v>1759</v>
      </c>
      <c r="G1737" t="str">
        <f>"1283"</f>
        <v>1283</v>
      </c>
      <c r="H1737" t="str">
        <f>"0001"</f>
        <v>0001</v>
      </c>
      <c r="I1737" t="s">
        <v>109</v>
      </c>
      <c r="J1737">
        <v>0</v>
      </c>
      <c r="K1737">
        <v>1</v>
      </c>
      <c r="L1737">
        <v>2</v>
      </c>
      <c r="M1737">
        <v>166</v>
      </c>
      <c r="N1737">
        <v>100</v>
      </c>
      <c r="O1737">
        <v>5</v>
      </c>
      <c r="P1737">
        <v>100</v>
      </c>
      <c r="Q1737">
        <v>0</v>
      </c>
      <c r="R1737">
        <v>17</v>
      </c>
      <c r="S1737">
        <v>1</v>
      </c>
      <c r="T1737">
        <v>2</v>
      </c>
      <c r="U1737">
        <v>43</v>
      </c>
      <c r="V1737">
        <v>1</v>
      </c>
      <c r="W1737">
        <v>1</v>
      </c>
      <c r="X1737">
        <v>27</v>
      </c>
      <c r="Y1737">
        <v>0</v>
      </c>
      <c r="Z1737">
        <v>1</v>
      </c>
      <c r="AA1737">
        <v>1</v>
      </c>
      <c r="AB1737">
        <v>1</v>
      </c>
      <c r="AD1737">
        <v>0</v>
      </c>
      <c r="AE1737">
        <v>0</v>
      </c>
      <c r="AF1737">
        <v>0</v>
      </c>
      <c r="AG1737">
        <v>0</v>
      </c>
      <c r="AI1737">
        <v>0</v>
      </c>
      <c r="AJ1737">
        <v>5</v>
      </c>
      <c r="AK1737">
        <v>100</v>
      </c>
      <c r="AL1737">
        <v>100</v>
      </c>
      <c r="AM1737">
        <v>222</v>
      </c>
      <c r="AN1737">
        <v>44</v>
      </c>
      <c r="AP1737">
        <v>1</v>
      </c>
      <c r="AR1737" t="s">
        <v>1826</v>
      </c>
      <c r="AS1737" s="1">
        <v>44354.111111111109</v>
      </c>
      <c r="AT1737" s="1">
        <v>44354.115798611114</v>
      </c>
      <c r="AU1737" s="1">
        <v>44354.116284722222</v>
      </c>
      <c r="AV1737" t="s">
        <v>71</v>
      </c>
      <c r="AW1737" t="s">
        <v>72</v>
      </c>
      <c r="AX1737" t="s">
        <v>73</v>
      </c>
    </row>
    <row r="1738" spans="1:50" x14ac:dyDescent="0.3">
      <c r="A1738" t="str">
        <f>"201304B0000"</f>
        <v>201304B0000</v>
      </c>
      <c r="B1738" t="str">
        <f>"201304B00002"</f>
        <v>201304B00002</v>
      </c>
      <c r="C1738" t="str">
        <f t="shared" si="85"/>
        <v>20</v>
      </c>
      <c r="D1738" t="s">
        <v>67</v>
      </c>
      <c r="E1738" t="str">
        <f t="shared" si="86"/>
        <v>008</v>
      </c>
      <c r="F1738" t="s">
        <v>1759</v>
      </c>
      <c r="G1738" t="str">
        <f>"1304"</f>
        <v>1304</v>
      </c>
      <c r="H1738" t="str">
        <f>"0000"</f>
        <v>0000</v>
      </c>
      <c r="I1738" t="s">
        <v>69</v>
      </c>
      <c r="J1738">
        <v>0</v>
      </c>
      <c r="K1738">
        <v>1</v>
      </c>
      <c r="L1738">
        <v>2</v>
      </c>
      <c r="M1738">
        <v>337</v>
      </c>
      <c r="N1738">
        <v>232</v>
      </c>
      <c r="O1738">
        <v>5</v>
      </c>
      <c r="P1738">
        <v>232</v>
      </c>
      <c r="Q1738">
        <v>4</v>
      </c>
      <c r="R1738">
        <v>47</v>
      </c>
      <c r="S1738">
        <v>3</v>
      </c>
      <c r="T1738">
        <v>4</v>
      </c>
      <c r="U1738">
        <v>91</v>
      </c>
      <c r="V1738">
        <v>1</v>
      </c>
      <c r="W1738">
        <v>14</v>
      </c>
      <c r="X1738">
        <v>39</v>
      </c>
      <c r="Y1738">
        <v>2</v>
      </c>
      <c r="Z1738">
        <v>5</v>
      </c>
      <c r="AA1738">
        <v>2</v>
      </c>
      <c r="AB1738">
        <v>3</v>
      </c>
      <c r="AD1738">
        <v>1</v>
      </c>
      <c r="AE1738">
        <v>2</v>
      </c>
      <c r="AF1738">
        <v>0</v>
      </c>
      <c r="AG1738">
        <v>0</v>
      </c>
      <c r="AI1738">
        <v>0</v>
      </c>
      <c r="AJ1738">
        <v>14</v>
      </c>
      <c r="AK1738">
        <v>232</v>
      </c>
      <c r="AL1738">
        <v>232</v>
      </c>
      <c r="AM1738">
        <v>525</v>
      </c>
      <c r="AN1738">
        <v>44</v>
      </c>
      <c r="AP1738">
        <v>1</v>
      </c>
      <c r="AR1738" t="s">
        <v>1827</v>
      </c>
      <c r="AS1738" s="1">
        <v>44354.013888888891</v>
      </c>
      <c r="AT1738" s="1">
        <v>44354.021284722221</v>
      </c>
      <c r="AU1738" s="1">
        <v>44354.021874999999</v>
      </c>
      <c r="AV1738" t="s">
        <v>71</v>
      </c>
      <c r="AW1738" t="s">
        <v>72</v>
      </c>
      <c r="AX1738" t="s">
        <v>73</v>
      </c>
    </row>
    <row r="1739" spans="1:50" x14ac:dyDescent="0.3">
      <c r="A1739" t="str">
        <f>"201304C0100"</f>
        <v>201304C0100</v>
      </c>
      <c r="B1739" t="str">
        <f>"201304C01002"</f>
        <v>201304C01002</v>
      </c>
      <c r="C1739" t="str">
        <f t="shared" si="85"/>
        <v>20</v>
      </c>
      <c r="D1739" t="s">
        <v>67</v>
      </c>
      <c r="E1739" t="str">
        <f t="shared" si="86"/>
        <v>008</v>
      </c>
      <c r="F1739" t="s">
        <v>1759</v>
      </c>
      <c r="G1739" t="str">
        <f>"1304"</f>
        <v>1304</v>
      </c>
      <c r="H1739" t="str">
        <f>"0001"</f>
        <v>0001</v>
      </c>
      <c r="I1739" t="s">
        <v>75</v>
      </c>
      <c r="J1739">
        <v>0</v>
      </c>
      <c r="K1739">
        <v>1</v>
      </c>
      <c r="L1739">
        <v>2</v>
      </c>
      <c r="M1739">
        <v>337</v>
      </c>
      <c r="N1739">
        <v>232</v>
      </c>
      <c r="O1739">
        <v>4</v>
      </c>
      <c r="P1739" t="s">
        <v>80</v>
      </c>
      <c r="Q1739">
        <v>8</v>
      </c>
      <c r="R1739">
        <v>40</v>
      </c>
      <c r="S1739">
        <v>4</v>
      </c>
      <c r="T1739">
        <v>3</v>
      </c>
      <c r="U1739">
        <v>94</v>
      </c>
      <c r="V1739">
        <v>0</v>
      </c>
      <c r="W1739">
        <v>11</v>
      </c>
      <c r="X1739">
        <v>53</v>
      </c>
      <c r="Y1739">
        <v>2</v>
      </c>
      <c r="Z1739">
        <v>4</v>
      </c>
      <c r="AA1739">
        <v>3</v>
      </c>
      <c r="AB1739">
        <v>4</v>
      </c>
      <c r="AD1739">
        <v>1</v>
      </c>
      <c r="AE1739">
        <v>0</v>
      </c>
      <c r="AF1739">
        <v>0</v>
      </c>
      <c r="AG1739">
        <v>0</v>
      </c>
      <c r="AI1739">
        <v>0</v>
      </c>
      <c r="AJ1739">
        <v>5</v>
      </c>
      <c r="AK1739">
        <v>232</v>
      </c>
      <c r="AL1739">
        <v>232</v>
      </c>
      <c r="AM1739">
        <v>525</v>
      </c>
      <c r="AN1739">
        <v>44</v>
      </c>
      <c r="AP1739">
        <v>1</v>
      </c>
      <c r="AR1739" t="s">
        <v>1828</v>
      </c>
      <c r="AS1739" s="1">
        <v>44354.015277777777</v>
      </c>
      <c r="AT1739" s="1">
        <v>44354.023854166669</v>
      </c>
      <c r="AU1739" s="1">
        <v>44354.024351851855</v>
      </c>
      <c r="AV1739" t="s">
        <v>71</v>
      </c>
      <c r="AW1739" t="s">
        <v>72</v>
      </c>
      <c r="AX1739" t="s">
        <v>73</v>
      </c>
    </row>
    <row r="1740" spans="1:50" x14ac:dyDescent="0.3">
      <c r="A1740" t="str">
        <f>"201305B0000"</f>
        <v>201305B0000</v>
      </c>
      <c r="B1740" t="str">
        <f>"201305B00002"</f>
        <v>201305B00002</v>
      </c>
      <c r="C1740" t="str">
        <f t="shared" si="85"/>
        <v>20</v>
      </c>
      <c r="D1740" t="s">
        <v>67</v>
      </c>
      <c r="E1740" t="str">
        <f t="shared" si="86"/>
        <v>008</v>
      </c>
      <c r="F1740" t="s">
        <v>1759</v>
      </c>
      <c r="G1740" t="str">
        <f>"1305"</f>
        <v>1305</v>
      </c>
      <c r="H1740" t="str">
        <f>"0000"</f>
        <v>0000</v>
      </c>
      <c r="I1740" t="s">
        <v>69</v>
      </c>
      <c r="J1740">
        <v>0</v>
      </c>
      <c r="K1740">
        <v>1</v>
      </c>
      <c r="L1740">
        <v>2</v>
      </c>
      <c r="M1740">
        <v>361</v>
      </c>
      <c r="N1740">
        <v>229</v>
      </c>
      <c r="O1740">
        <v>2</v>
      </c>
      <c r="P1740">
        <v>229</v>
      </c>
      <c r="Q1740">
        <v>2</v>
      </c>
      <c r="R1740">
        <v>16</v>
      </c>
      <c r="S1740">
        <v>8</v>
      </c>
      <c r="T1740">
        <v>7</v>
      </c>
      <c r="U1740">
        <v>101</v>
      </c>
      <c r="V1740">
        <v>5</v>
      </c>
      <c r="W1740">
        <v>7</v>
      </c>
      <c r="X1740">
        <v>40</v>
      </c>
      <c r="Y1740">
        <v>3</v>
      </c>
      <c r="Z1740">
        <v>6</v>
      </c>
      <c r="AA1740">
        <v>2</v>
      </c>
      <c r="AB1740">
        <v>3</v>
      </c>
      <c r="AD1740">
        <v>0</v>
      </c>
      <c r="AE1740">
        <v>0</v>
      </c>
      <c r="AF1740">
        <v>1</v>
      </c>
      <c r="AG1740">
        <v>0</v>
      </c>
      <c r="AI1740">
        <v>0</v>
      </c>
      <c r="AJ1740">
        <v>28</v>
      </c>
      <c r="AK1740">
        <v>229</v>
      </c>
      <c r="AL1740">
        <v>229</v>
      </c>
      <c r="AM1740">
        <v>546</v>
      </c>
      <c r="AN1740">
        <v>44</v>
      </c>
      <c r="AP1740">
        <v>1</v>
      </c>
      <c r="AR1740" t="s">
        <v>1829</v>
      </c>
      <c r="AS1740" s="1">
        <v>44354.113194444442</v>
      </c>
      <c r="AT1740" s="1">
        <v>44354.116469907407</v>
      </c>
      <c r="AU1740" s="1">
        <v>44354.117025462961</v>
      </c>
      <c r="AV1740" t="s">
        <v>71</v>
      </c>
      <c r="AW1740" t="s">
        <v>72</v>
      </c>
      <c r="AX1740" t="s">
        <v>73</v>
      </c>
    </row>
    <row r="1741" spans="1:50" x14ac:dyDescent="0.3">
      <c r="A1741" t="str">
        <f>"201314B0000"</f>
        <v>201314B0000</v>
      </c>
      <c r="B1741" t="str">
        <f>"201314B00002"</f>
        <v>201314B00002</v>
      </c>
      <c r="C1741" t="str">
        <f t="shared" si="85"/>
        <v>20</v>
      </c>
      <c r="D1741" t="s">
        <v>67</v>
      </c>
      <c r="E1741" t="str">
        <f t="shared" si="86"/>
        <v>008</v>
      </c>
      <c r="F1741" t="s">
        <v>1759</v>
      </c>
      <c r="G1741" t="str">
        <f>"1314"</f>
        <v>1314</v>
      </c>
      <c r="H1741" t="str">
        <f>"0000"</f>
        <v>0000</v>
      </c>
      <c r="I1741" t="s">
        <v>69</v>
      </c>
      <c r="J1741">
        <v>0</v>
      </c>
      <c r="K1741">
        <v>1</v>
      </c>
      <c r="L1741">
        <v>2</v>
      </c>
      <c r="M1741">
        <v>396</v>
      </c>
      <c r="N1741">
        <v>172</v>
      </c>
      <c r="O1741">
        <v>0</v>
      </c>
      <c r="P1741">
        <v>172</v>
      </c>
      <c r="Q1741">
        <v>1</v>
      </c>
      <c r="R1741">
        <v>5</v>
      </c>
      <c r="S1741">
        <v>6</v>
      </c>
      <c r="T1741">
        <v>0</v>
      </c>
      <c r="U1741">
        <v>27</v>
      </c>
      <c r="V1741">
        <v>4</v>
      </c>
      <c r="W1741">
        <v>7</v>
      </c>
      <c r="X1741">
        <v>99</v>
      </c>
      <c r="Y1741">
        <v>0</v>
      </c>
      <c r="Z1741">
        <v>6</v>
      </c>
      <c r="AA1741">
        <v>2</v>
      </c>
      <c r="AB1741">
        <v>0</v>
      </c>
      <c r="AD1741">
        <v>2</v>
      </c>
      <c r="AE1741">
        <v>0</v>
      </c>
      <c r="AF1741">
        <v>1</v>
      </c>
      <c r="AG1741">
        <v>0</v>
      </c>
      <c r="AI1741">
        <v>0</v>
      </c>
      <c r="AJ1741">
        <v>12</v>
      </c>
      <c r="AK1741">
        <v>172</v>
      </c>
      <c r="AL1741">
        <v>172</v>
      </c>
      <c r="AM1741">
        <v>524</v>
      </c>
      <c r="AN1741">
        <v>44</v>
      </c>
      <c r="AP1741">
        <v>1</v>
      </c>
      <c r="AR1741" t="s">
        <v>1830</v>
      </c>
      <c r="AS1741" s="1">
        <v>44354.349305555559</v>
      </c>
      <c r="AT1741" s="1">
        <v>44354.353472222225</v>
      </c>
      <c r="AU1741" s="1">
        <v>44354.354178240741</v>
      </c>
      <c r="AV1741" t="s">
        <v>71</v>
      </c>
      <c r="AW1741" t="s">
        <v>72</v>
      </c>
      <c r="AX1741" t="s">
        <v>73</v>
      </c>
    </row>
    <row r="1742" spans="1:50" x14ac:dyDescent="0.3">
      <c r="A1742" t="str">
        <f>"201314C0100"</f>
        <v>201314C0100</v>
      </c>
      <c r="B1742" t="str">
        <f>"201314C01002"</f>
        <v>201314C01002</v>
      </c>
      <c r="C1742" t="str">
        <f t="shared" si="85"/>
        <v>20</v>
      </c>
      <c r="D1742" t="s">
        <v>67</v>
      </c>
      <c r="E1742" t="str">
        <f t="shared" si="86"/>
        <v>008</v>
      </c>
      <c r="F1742" t="s">
        <v>1759</v>
      </c>
      <c r="G1742" t="str">
        <f>"1314"</f>
        <v>1314</v>
      </c>
      <c r="H1742" t="str">
        <f>"0001"</f>
        <v>0001</v>
      </c>
      <c r="I1742" t="s">
        <v>75</v>
      </c>
      <c r="J1742">
        <v>0</v>
      </c>
      <c r="K1742">
        <v>1</v>
      </c>
      <c r="L1742">
        <v>2</v>
      </c>
      <c r="M1742">
        <v>405</v>
      </c>
      <c r="N1742" t="s">
        <v>80</v>
      </c>
      <c r="O1742" t="s">
        <v>80</v>
      </c>
      <c r="P1742" t="s">
        <v>80</v>
      </c>
      <c r="Q1742">
        <v>1</v>
      </c>
      <c r="R1742">
        <v>11</v>
      </c>
      <c r="S1742">
        <v>3</v>
      </c>
      <c r="T1742">
        <v>2</v>
      </c>
      <c r="U1742">
        <v>30</v>
      </c>
      <c r="V1742">
        <v>0</v>
      </c>
      <c r="W1742" t="s">
        <v>99</v>
      </c>
      <c r="X1742">
        <v>72</v>
      </c>
      <c r="Y1742">
        <v>0</v>
      </c>
      <c r="Z1742">
        <v>15</v>
      </c>
      <c r="AA1742">
        <v>4</v>
      </c>
      <c r="AB1742">
        <v>0</v>
      </c>
      <c r="AD1742">
        <v>0</v>
      </c>
      <c r="AE1742">
        <v>0</v>
      </c>
      <c r="AF1742">
        <v>0</v>
      </c>
      <c r="AG1742">
        <v>0</v>
      </c>
      <c r="AI1742">
        <v>0</v>
      </c>
      <c r="AJ1742">
        <v>13</v>
      </c>
      <c r="AK1742">
        <v>162</v>
      </c>
      <c r="AL1742">
        <v>151</v>
      </c>
      <c r="AM1742">
        <v>523</v>
      </c>
      <c r="AN1742">
        <v>44</v>
      </c>
      <c r="AO1742" t="s">
        <v>78</v>
      </c>
      <c r="AP1742">
        <v>1</v>
      </c>
      <c r="AR1742" t="s">
        <v>1831</v>
      </c>
      <c r="AS1742" s="1">
        <v>44354.347222222219</v>
      </c>
      <c r="AT1742" s="1">
        <v>44354.389918981484</v>
      </c>
      <c r="AU1742" s="1">
        <v>44354.457199074073</v>
      </c>
      <c r="AV1742" t="s">
        <v>71</v>
      </c>
      <c r="AW1742" t="s">
        <v>72</v>
      </c>
      <c r="AX1742" t="s">
        <v>73</v>
      </c>
    </row>
    <row r="1743" spans="1:50" x14ac:dyDescent="0.3">
      <c r="A1743" t="str">
        <f>"201314C0200"</f>
        <v>201314C0200</v>
      </c>
      <c r="B1743" t="str">
        <f>"201314C02002"</f>
        <v>201314C02002</v>
      </c>
      <c r="C1743" t="str">
        <f t="shared" si="85"/>
        <v>20</v>
      </c>
      <c r="D1743" t="s">
        <v>67</v>
      </c>
      <c r="E1743" t="str">
        <f t="shared" si="86"/>
        <v>008</v>
      </c>
      <c r="F1743" t="s">
        <v>1759</v>
      </c>
      <c r="G1743" t="str">
        <f>"1314"</f>
        <v>1314</v>
      </c>
      <c r="H1743" t="str">
        <f>"0002"</f>
        <v>0002</v>
      </c>
      <c r="I1743" t="s">
        <v>75</v>
      </c>
      <c r="J1743">
        <v>0</v>
      </c>
      <c r="K1743">
        <v>1</v>
      </c>
      <c r="L1743">
        <v>2</v>
      </c>
      <c r="M1743">
        <v>406</v>
      </c>
      <c r="N1743">
        <v>161</v>
      </c>
      <c r="O1743">
        <v>0</v>
      </c>
      <c r="P1743" t="s">
        <v>80</v>
      </c>
      <c r="Q1743">
        <v>1</v>
      </c>
      <c r="R1743">
        <v>6</v>
      </c>
      <c r="S1743">
        <v>0</v>
      </c>
      <c r="T1743">
        <v>0</v>
      </c>
      <c r="U1743">
        <v>33</v>
      </c>
      <c r="V1743">
        <v>2</v>
      </c>
      <c r="W1743">
        <v>4</v>
      </c>
      <c r="X1743">
        <v>85</v>
      </c>
      <c r="Y1743">
        <v>0</v>
      </c>
      <c r="Z1743">
        <v>6</v>
      </c>
      <c r="AA1743">
        <v>6</v>
      </c>
      <c r="AB1743">
        <v>1</v>
      </c>
      <c r="AD1743">
        <v>0</v>
      </c>
      <c r="AE1743">
        <v>0</v>
      </c>
      <c r="AF1743">
        <v>0</v>
      </c>
      <c r="AG1743">
        <v>1</v>
      </c>
      <c r="AI1743">
        <v>0</v>
      </c>
      <c r="AJ1743">
        <v>9</v>
      </c>
      <c r="AK1743">
        <v>161</v>
      </c>
      <c r="AL1743">
        <v>154</v>
      </c>
      <c r="AM1743">
        <v>523</v>
      </c>
      <c r="AN1743">
        <v>44</v>
      </c>
      <c r="AP1743">
        <v>1</v>
      </c>
      <c r="AR1743" t="s">
        <v>1832</v>
      </c>
      <c r="AS1743" s="1">
        <v>44354.566666666666</v>
      </c>
      <c r="AT1743" s="1">
        <v>44354.570613425924</v>
      </c>
      <c r="AU1743" s="1">
        <v>44354.571168981478</v>
      </c>
      <c r="AV1743" t="s">
        <v>71</v>
      </c>
      <c r="AW1743" t="s">
        <v>72</v>
      </c>
      <c r="AX1743" t="s">
        <v>73</v>
      </c>
    </row>
    <row r="1744" spans="1:50" x14ac:dyDescent="0.3">
      <c r="A1744" t="str">
        <f>"201319B0000"</f>
        <v>201319B0000</v>
      </c>
      <c r="B1744" t="str">
        <f>"201319B00002"</f>
        <v>201319B00002</v>
      </c>
      <c r="C1744" t="str">
        <f t="shared" si="85"/>
        <v>20</v>
      </c>
      <c r="D1744" t="s">
        <v>67</v>
      </c>
      <c r="E1744" t="str">
        <f t="shared" si="86"/>
        <v>008</v>
      </c>
      <c r="F1744" t="s">
        <v>1759</v>
      </c>
      <c r="G1744" t="str">
        <f>"1319"</f>
        <v>1319</v>
      </c>
      <c r="H1744" t="str">
        <f t="shared" ref="H1744:H1750" si="87">"0000"</f>
        <v>0000</v>
      </c>
      <c r="I1744" t="s">
        <v>69</v>
      </c>
      <c r="J1744">
        <v>0</v>
      </c>
      <c r="K1744">
        <v>1</v>
      </c>
      <c r="L1744">
        <v>2</v>
      </c>
      <c r="M1744">
        <v>331</v>
      </c>
      <c r="N1744">
        <v>225</v>
      </c>
      <c r="O1744">
        <v>9</v>
      </c>
      <c r="P1744">
        <v>225</v>
      </c>
      <c r="Q1744">
        <v>2</v>
      </c>
      <c r="R1744">
        <v>61</v>
      </c>
      <c r="S1744">
        <v>6</v>
      </c>
      <c r="T1744">
        <v>3</v>
      </c>
      <c r="U1744">
        <v>34</v>
      </c>
      <c r="V1744">
        <v>1</v>
      </c>
      <c r="W1744">
        <v>8</v>
      </c>
      <c r="X1744">
        <v>85</v>
      </c>
      <c r="Y1744">
        <v>0</v>
      </c>
      <c r="Z1744">
        <v>4</v>
      </c>
      <c r="AA1744">
        <v>1</v>
      </c>
      <c r="AB1744">
        <v>3</v>
      </c>
      <c r="AD1744">
        <v>5</v>
      </c>
      <c r="AE1744">
        <v>1</v>
      </c>
      <c r="AF1744">
        <v>0</v>
      </c>
      <c r="AG1744">
        <v>0</v>
      </c>
      <c r="AI1744">
        <v>0</v>
      </c>
      <c r="AJ1744">
        <v>11</v>
      </c>
      <c r="AK1744">
        <v>225</v>
      </c>
      <c r="AL1744">
        <v>225</v>
      </c>
      <c r="AM1744">
        <v>512</v>
      </c>
      <c r="AN1744">
        <v>44</v>
      </c>
      <c r="AP1744">
        <v>1</v>
      </c>
      <c r="AR1744" t="s">
        <v>1833</v>
      </c>
      <c r="AS1744" s="1">
        <v>44354.348611111112</v>
      </c>
      <c r="AT1744" s="1">
        <v>44354.351168981484</v>
      </c>
      <c r="AU1744" s="1">
        <v>44354.352048611108</v>
      </c>
      <c r="AV1744" t="s">
        <v>71</v>
      </c>
      <c r="AW1744" t="s">
        <v>72</v>
      </c>
      <c r="AX1744" t="s">
        <v>73</v>
      </c>
    </row>
    <row r="1745" spans="1:50" x14ac:dyDescent="0.3">
      <c r="A1745" t="str">
        <f>"201354B0000"</f>
        <v>201354B0000</v>
      </c>
      <c r="B1745" t="str">
        <f>"201354B00002"</f>
        <v>201354B00002</v>
      </c>
      <c r="C1745" t="str">
        <f t="shared" si="85"/>
        <v>20</v>
      </c>
      <c r="D1745" t="s">
        <v>67</v>
      </c>
      <c r="E1745" t="str">
        <f t="shared" si="86"/>
        <v>008</v>
      </c>
      <c r="F1745" t="s">
        <v>1759</v>
      </c>
      <c r="G1745" t="str">
        <f>"1354"</f>
        <v>1354</v>
      </c>
      <c r="H1745" t="str">
        <f t="shared" si="87"/>
        <v>0000</v>
      </c>
      <c r="I1745" t="s">
        <v>69</v>
      </c>
      <c r="J1745">
        <v>0</v>
      </c>
      <c r="K1745">
        <v>1</v>
      </c>
      <c r="L1745">
        <v>2</v>
      </c>
      <c r="M1745">
        <v>239</v>
      </c>
      <c r="N1745">
        <v>343</v>
      </c>
      <c r="O1745">
        <v>2</v>
      </c>
      <c r="P1745">
        <v>343</v>
      </c>
      <c r="Q1745">
        <v>1</v>
      </c>
      <c r="R1745">
        <v>3</v>
      </c>
      <c r="S1745">
        <v>4</v>
      </c>
      <c r="T1745">
        <v>1</v>
      </c>
      <c r="U1745">
        <v>113</v>
      </c>
      <c r="V1745">
        <v>1</v>
      </c>
      <c r="W1745">
        <v>6</v>
      </c>
      <c r="X1745">
        <v>194</v>
      </c>
      <c r="Y1745">
        <v>0</v>
      </c>
      <c r="Z1745">
        <v>3</v>
      </c>
      <c r="AA1745">
        <v>0</v>
      </c>
      <c r="AB1745">
        <v>1</v>
      </c>
      <c r="AD1745">
        <v>0</v>
      </c>
      <c r="AE1745">
        <v>0</v>
      </c>
      <c r="AF1745">
        <v>0</v>
      </c>
      <c r="AG1745">
        <v>0</v>
      </c>
      <c r="AI1745">
        <v>0</v>
      </c>
      <c r="AJ1745">
        <v>16</v>
      </c>
      <c r="AK1745">
        <v>343</v>
      </c>
      <c r="AL1745">
        <v>343</v>
      </c>
      <c r="AM1745">
        <v>538</v>
      </c>
      <c r="AN1745">
        <v>44</v>
      </c>
      <c r="AP1745">
        <v>1</v>
      </c>
      <c r="AR1745" t="s">
        <v>1834</v>
      </c>
      <c r="AS1745" s="1">
        <v>44354.011111111111</v>
      </c>
      <c r="AT1745" s="1">
        <v>44354.018692129626</v>
      </c>
      <c r="AU1745" s="1">
        <v>44354.01935185185</v>
      </c>
      <c r="AV1745" t="s">
        <v>71</v>
      </c>
      <c r="AW1745" t="s">
        <v>72</v>
      </c>
      <c r="AX1745" t="s">
        <v>73</v>
      </c>
    </row>
    <row r="1746" spans="1:50" x14ac:dyDescent="0.3">
      <c r="A1746" t="str">
        <f>"201355B0000"</f>
        <v>201355B0000</v>
      </c>
      <c r="B1746" t="str">
        <f>"201355B00002"</f>
        <v>201355B00002</v>
      </c>
      <c r="C1746" t="str">
        <f t="shared" si="85"/>
        <v>20</v>
      </c>
      <c r="D1746" t="s">
        <v>67</v>
      </c>
      <c r="E1746" t="str">
        <f t="shared" si="86"/>
        <v>008</v>
      </c>
      <c r="F1746" t="s">
        <v>1759</v>
      </c>
      <c r="G1746" t="str">
        <f>"1355"</f>
        <v>1355</v>
      </c>
      <c r="H1746" t="str">
        <f t="shared" si="87"/>
        <v>0000</v>
      </c>
      <c r="I1746" t="s">
        <v>69</v>
      </c>
      <c r="J1746">
        <v>0</v>
      </c>
      <c r="K1746">
        <v>1</v>
      </c>
      <c r="L1746">
        <v>2</v>
      </c>
      <c r="M1746">
        <v>319</v>
      </c>
      <c r="N1746">
        <v>436</v>
      </c>
      <c r="O1746">
        <v>4</v>
      </c>
      <c r="P1746">
        <v>436</v>
      </c>
      <c r="Q1746">
        <v>7</v>
      </c>
      <c r="R1746">
        <v>18</v>
      </c>
      <c r="S1746">
        <v>13</v>
      </c>
      <c r="T1746">
        <v>1</v>
      </c>
      <c r="U1746">
        <v>93</v>
      </c>
      <c r="V1746">
        <v>6</v>
      </c>
      <c r="W1746">
        <v>17</v>
      </c>
      <c r="X1746">
        <v>259</v>
      </c>
      <c r="Y1746">
        <v>2</v>
      </c>
      <c r="Z1746">
        <v>2</v>
      </c>
      <c r="AA1746">
        <v>2</v>
      </c>
      <c r="AB1746">
        <v>3</v>
      </c>
      <c r="AD1746">
        <v>0</v>
      </c>
      <c r="AE1746">
        <v>0</v>
      </c>
      <c r="AF1746">
        <v>0</v>
      </c>
      <c r="AG1746">
        <v>0</v>
      </c>
      <c r="AI1746">
        <v>0</v>
      </c>
      <c r="AJ1746">
        <v>13</v>
      </c>
      <c r="AK1746">
        <v>436</v>
      </c>
      <c r="AL1746">
        <v>436</v>
      </c>
      <c r="AM1746">
        <v>711</v>
      </c>
      <c r="AN1746">
        <v>44</v>
      </c>
      <c r="AP1746">
        <v>1</v>
      </c>
      <c r="AR1746" t="s">
        <v>1835</v>
      </c>
      <c r="AS1746" s="1">
        <v>44354.01458333333</v>
      </c>
      <c r="AT1746" s="1">
        <v>44354.02171296296</v>
      </c>
      <c r="AU1746" s="1">
        <v>44354.022187499999</v>
      </c>
      <c r="AV1746" t="s">
        <v>71</v>
      </c>
      <c r="AW1746" t="s">
        <v>72</v>
      </c>
      <c r="AX1746" t="s">
        <v>73</v>
      </c>
    </row>
    <row r="1747" spans="1:50" x14ac:dyDescent="0.3">
      <c r="A1747" t="str">
        <f>"201356B0000"</f>
        <v>201356B0000</v>
      </c>
      <c r="B1747" t="str">
        <f>"201356B00002"</f>
        <v>201356B00002</v>
      </c>
      <c r="C1747" t="str">
        <f t="shared" si="85"/>
        <v>20</v>
      </c>
      <c r="D1747" t="s">
        <v>67</v>
      </c>
      <c r="E1747" t="str">
        <f t="shared" si="86"/>
        <v>008</v>
      </c>
      <c r="F1747" t="s">
        <v>1759</v>
      </c>
      <c r="G1747" t="str">
        <f>"1356"</f>
        <v>1356</v>
      </c>
      <c r="H1747" t="str">
        <f t="shared" si="87"/>
        <v>0000</v>
      </c>
      <c r="I1747" t="s">
        <v>69</v>
      </c>
      <c r="J1747">
        <v>0</v>
      </c>
      <c r="K1747">
        <v>1</v>
      </c>
      <c r="L1747">
        <v>2</v>
      </c>
      <c r="M1747">
        <v>246</v>
      </c>
      <c r="N1747">
        <v>347</v>
      </c>
      <c r="O1747">
        <v>2</v>
      </c>
      <c r="P1747">
        <v>347</v>
      </c>
      <c r="Q1747">
        <v>4</v>
      </c>
      <c r="R1747">
        <v>2</v>
      </c>
      <c r="S1747">
        <v>14</v>
      </c>
      <c r="T1747">
        <v>3</v>
      </c>
      <c r="U1747">
        <v>224</v>
      </c>
      <c r="V1747">
        <v>3</v>
      </c>
      <c r="W1747">
        <v>0</v>
      </c>
      <c r="X1747">
        <v>82</v>
      </c>
      <c r="Y1747">
        <v>0</v>
      </c>
      <c r="Z1747">
        <v>4</v>
      </c>
      <c r="AA1747">
        <v>2</v>
      </c>
      <c r="AB1747">
        <v>1</v>
      </c>
      <c r="AD1747">
        <v>0</v>
      </c>
      <c r="AE1747">
        <v>0</v>
      </c>
      <c r="AF1747">
        <v>0</v>
      </c>
      <c r="AG1747">
        <v>0</v>
      </c>
      <c r="AI1747">
        <v>0</v>
      </c>
      <c r="AJ1747">
        <v>8</v>
      </c>
      <c r="AK1747">
        <v>347</v>
      </c>
      <c r="AL1747">
        <v>347</v>
      </c>
      <c r="AM1747">
        <v>549</v>
      </c>
      <c r="AN1747">
        <v>44</v>
      </c>
      <c r="AP1747">
        <v>1</v>
      </c>
      <c r="AR1747" t="s">
        <v>1836</v>
      </c>
      <c r="AS1747" s="1">
        <v>44354.012499999997</v>
      </c>
      <c r="AT1747" s="1">
        <v>44354.019988425927</v>
      </c>
      <c r="AU1747" s="1">
        <v>44354.020821759259</v>
      </c>
      <c r="AV1747" t="s">
        <v>71</v>
      </c>
      <c r="AW1747" t="s">
        <v>72</v>
      </c>
      <c r="AX1747" t="s">
        <v>73</v>
      </c>
    </row>
    <row r="1748" spans="1:50" x14ac:dyDescent="0.3">
      <c r="A1748" t="str">
        <f>"201357B0000"</f>
        <v>201357B0000</v>
      </c>
      <c r="B1748" t="str">
        <f>"201357B00002"</f>
        <v>201357B00002</v>
      </c>
      <c r="C1748" t="str">
        <f t="shared" si="85"/>
        <v>20</v>
      </c>
      <c r="D1748" t="s">
        <v>67</v>
      </c>
      <c r="E1748" t="str">
        <f t="shared" si="86"/>
        <v>008</v>
      </c>
      <c r="F1748" t="s">
        <v>1759</v>
      </c>
      <c r="G1748" t="str">
        <f>"1357"</f>
        <v>1357</v>
      </c>
      <c r="H1748" t="str">
        <f t="shared" si="87"/>
        <v>0000</v>
      </c>
      <c r="I1748" t="s">
        <v>69</v>
      </c>
      <c r="J1748">
        <v>0</v>
      </c>
      <c r="K1748">
        <v>1</v>
      </c>
      <c r="L1748">
        <v>2</v>
      </c>
      <c r="M1748">
        <v>258</v>
      </c>
      <c r="N1748">
        <v>332</v>
      </c>
      <c r="O1748">
        <v>3</v>
      </c>
      <c r="P1748">
        <v>332</v>
      </c>
      <c r="Q1748">
        <v>0</v>
      </c>
      <c r="R1748">
        <v>1</v>
      </c>
      <c r="S1748">
        <v>3</v>
      </c>
      <c r="T1748">
        <v>3</v>
      </c>
      <c r="U1748">
        <v>245</v>
      </c>
      <c r="V1748">
        <v>0</v>
      </c>
      <c r="W1748">
        <v>0</v>
      </c>
      <c r="X1748">
        <v>70</v>
      </c>
      <c r="Y1748">
        <v>0</v>
      </c>
      <c r="Z1748">
        <v>2</v>
      </c>
      <c r="AA1748">
        <v>1</v>
      </c>
      <c r="AB1748">
        <v>1</v>
      </c>
      <c r="AD1748">
        <v>0</v>
      </c>
      <c r="AE1748">
        <v>0</v>
      </c>
      <c r="AF1748">
        <v>0</v>
      </c>
      <c r="AG1748">
        <v>0</v>
      </c>
      <c r="AI1748">
        <v>0</v>
      </c>
      <c r="AJ1748">
        <v>6</v>
      </c>
      <c r="AK1748">
        <v>332</v>
      </c>
      <c r="AL1748">
        <v>332</v>
      </c>
      <c r="AM1748">
        <v>546</v>
      </c>
      <c r="AN1748">
        <v>44</v>
      </c>
      <c r="AP1748">
        <v>1</v>
      </c>
      <c r="AR1748" t="s">
        <v>1837</v>
      </c>
      <c r="AS1748" s="1">
        <v>44354.012499999997</v>
      </c>
      <c r="AT1748" s="1">
        <v>44354.01939814815</v>
      </c>
      <c r="AU1748" s="1">
        <v>44354.02002314815</v>
      </c>
      <c r="AV1748" t="s">
        <v>71</v>
      </c>
      <c r="AW1748" t="s">
        <v>72</v>
      </c>
      <c r="AX1748" t="s">
        <v>73</v>
      </c>
    </row>
    <row r="1749" spans="1:50" x14ac:dyDescent="0.3">
      <c r="A1749" t="str">
        <f>"201358B0000"</f>
        <v>201358B0000</v>
      </c>
      <c r="B1749" t="str">
        <f>"201358B00002"</f>
        <v>201358B00002</v>
      </c>
      <c r="C1749" t="str">
        <f t="shared" si="85"/>
        <v>20</v>
      </c>
      <c r="D1749" t="s">
        <v>67</v>
      </c>
      <c r="E1749" t="str">
        <f t="shared" si="86"/>
        <v>008</v>
      </c>
      <c r="F1749" t="s">
        <v>1759</v>
      </c>
      <c r="G1749" t="str">
        <f>"1358"</f>
        <v>1358</v>
      </c>
      <c r="H1749" t="str">
        <f t="shared" si="87"/>
        <v>0000</v>
      </c>
      <c r="I1749" t="s">
        <v>69</v>
      </c>
      <c r="J1749">
        <v>0</v>
      </c>
      <c r="K1749">
        <v>1</v>
      </c>
      <c r="L1749">
        <v>2</v>
      </c>
      <c r="M1749">
        <v>230</v>
      </c>
      <c r="N1749">
        <v>411</v>
      </c>
      <c r="O1749">
        <v>0</v>
      </c>
      <c r="P1749">
        <v>411</v>
      </c>
      <c r="Q1749">
        <v>1</v>
      </c>
      <c r="R1749">
        <v>6</v>
      </c>
      <c r="S1749">
        <v>9</v>
      </c>
      <c r="T1749">
        <v>0</v>
      </c>
      <c r="U1749">
        <v>121</v>
      </c>
      <c r="V1749">
        <v>3</v>
      </c>
      <c r="W1749">
        <v>8</v>
      </c>
      <c r="X1749">
        <v>244</v>
      </c>
      <c r="Y1749">
        <v>2</v>
      </c>
      <c r="Z1749">
        <v>4</v>
      </c>
      <c r="AA1749">
        <v>3</v>
      </c>
      <c r="AB1749">
        <v>1</v>
      </c>
      <c r="AD1749">
        <v>0</v>
      </c>
      <c r="AE1749">
        <v>0</v>
      </c>
      <c r="AF1749">
        <v>0</v>
      </c>
      <c r="AG1749">
        <v>0</v>
      </c>
      <c r="AI1749">
        <v>0</v>
      </c>
      <c r="AJ1749">
        <v>9</v>
      </c>
      <c r="AK1749">
        <v>411</v>
      </c>
      <c r="AL1749">
        <v>411</v>
      </c>
      <c r="AM1749">
        <v>597</v>
      </c>
      <c r="AN1749">
        <v>44</v>
      </c>
      <c r="AP1749">
        <v>1</v>
      </c>
      <c r="AR1749" t="s">
        <v>1838</v>
      </c>
      <c r="AS1749" s="1">
        <v>44354.214583333334</v>
      </c>
      <c r="AT1749" s="1">
        <v>44354.217800925922</v>
      </c>
      <c r="AU1749" s="1">
        <v>44354.218368055554</v>
      </c>
      <c r="AV1749" t="s">
        <v>71</v>
      </c>
      <c r="AW1749" t="s">
        <v>72</v>
      </c>
      <c r="AX1749" t="s">
        <v>73</v>
      </c>
    </row>
    <row r="1750" spans="1:50" x14ac:dyDescent="0.3">
      <c r="A1750" t="str">
        <f>"201411B0000"</f>
        <v>201411B0000</v>
      </c>
      <c r="B1750" t="str">
        <f>"201411B00002"</f>
        <v>201411B00002</v>
      </c>
      <c r="C1750" t="str">
        <f t="shared" si="85"/>
        <v>20</v>
      </c>
      <c r="D1750" t="s">
        <v>67</v>
      </c>
      <c r="E1750" t="str">
        <f t="shared" si="86"/>
        <v>008</v>
      </c>
      <c r="F1750" t="s">
        <v>1759</v>
      </c>
      <c r="G1750" t="str">
        <f>"1411"</f>
        <v>1411</v>
      </c>
      <c r="H1750" t="str">
        <f t="shared" si="87"/>
        <v>0000</v>
      </c>
      <c r="I1750" t="s">
        <v>69</v>
      </c>
      <c r="J1750">
        <v>0</v>
      </c>
      <c r="K1750">
        <v>1</v>
      </c>
      <c r="L1750">
        <v>2</v>
      </c>
      <c r="M1750">
        <v>343</v>
      </c>
      <c r="N1750" t="s">
        <v>80</v>
      </c>
      <c r="O1750">
        <v>2</v>
      </c>
      <c r="P1750">
        <v>131</v>
      </c>
      <c r="Q1750" t="s">
        <v>77</v>
      </c>
      <c r="R1750">
        <v>7</v>
      </c>
      <c r="S1750">
        <v>3</v>
      </c>
      <c r="T1750">
        <v>4</v>
      </c>
      <c r="U1750">
        <v>5</v>
      </c>
      <c r="V1750">
        <v>2</v>
      </c>
      <c r="W1750">
        <v>1</v>
      </c>
      <c r="X1750">
        <v>95</v>
      </c>
      <c r="Y1750">
        <v>0</v>
      </c>
      <c r="Z1750">
        <v>4</v>
      </c>
      <c r="AA1750">
        <v>3</v>
      </c>
      <c r="AB1750">
        <v>3</v>
      </c>
      <c r="AD1750">
        <v>0</v>
      </c>
      <c r="AE1750">
        <v>0</v>
      </c>
      <c r="AF1750">
        <v>0</v>
      </c>
      <c r="AG1750">
        <v>0</v>
      </c>
      <c r="AI1750">
        <v>0</v>
      </c>
      <c r="AJ1750">
        <v>4</v>
      </c>
      <c r="AK1750">
        <v>131</v>
      </c>
      <c r="AL1750">
        <v>131</v>
      </c>
      <c r="AM1750">
        <v>430</v>
      </c>
      <c r="AN1750">
        <v>44</v>
      </c>
      <c r="AO1750" t="s">
        <v>78</v>
      </c>
      <c r="AP1750">
        <v>1</v>
      </c>
      <c r="AR1750" t="s">
        <v>1839</v>
      </c>
      <c r="AS1750" s="1">
        <v>44354.722916666666</v>
      </c>
      <c r="AT1750" s="1">
        <v>44354.729027777779</v>
      </c>
      <c r="AU1750" s="1">
        <v>44354.729629629626</v>
      </c>
      <c r="AV1750" t="s">
        <v>71</v>
      </c>
      <c r="AW1750" t="s">
        <v>72</v>
      </c>
      <c r="AX1750" t="s">
        <v>73</v>
      </c>
    </row>
    <row r="1751" spans="1:50" x14ac:dyDescent="0.3">
      <c r="A1751" t="str">
        <f>"201411C0100"</f>
        <v>201411C0100</v>
      </c>
      <c r="B1751" t="str">
        <f>"201411C01002"</f>
        <v>201411C01002</v>
      </c>
      <c r="C1751" t="str">
        <f t="shared" si="85"/>
        <v>20</v>
      </c>
      <c r="D1751" t="s">
        <v>67</v>
      </c>
      <c r="E1751" t="str">
        <f t="shared" si="86"/>
        <v>008</v>
      </c>
      <c r="F1751" t="s">
        <v>1759</v>
      </c>
      <c r="G1751" t="str">
        <f>"1411"</f>
        <v>1411</v>
      </c>
      <c r="H1751" t="str">
        <f>"0001"</f>
        <v>0001</v>
      </c>
      <c r="I1751" t="s">
        <v>75</v>
      </c>
      <c r="J1751">
        <v>0</v>
      </c>
      <c r="K1751">
        <v>1</v>
      </c>
      <c r="L1751">
        <v>2</v>
      </c>
      <c r="M1751">
        <v>349</v>
      </c>
      <c r="N1751">
        <v>124</v>
      </c>
      <c r="O1751">
        <v>0</v>
      </c>
      <c r="P1751">
        <v>124</v>
      </c>
      <c r="Q1751">
        <v>1</v>
      </c>
      <c r="R1751">
        <v>7</v>
      </c>
      <c r="S1751">
        <v>4</v>
      </c>
      <c r="T1751">
        <v>5</v>
      </c>
      <c r="U1751">
        <v>7</v>
      </c>
      <c r="V1751">
        <v>2</v>
      </c>
      <c r="W1751">
        <v>1</v>
      </c>
      <c r="X1751">
        <v>86</v>
      </c>
      <c r="Y1751">
        <v>1</v>
      </c>
      <c r="Z1751">
        <v>2</v>
      </c>
      <c r="AA1751">
        <v>1</v>
      </c>
      <c r="AB1751">
        <v>5</v>
      </c>
      <c r="AD1751">
        <v>0</v>
      </c>
      <c r="AE1751">
        <v>1</v>
      </c>
      <c r="AF1751">
        <v>0</v>
      </c>
      <c r="AG1751">
        <v>0</v>
      </c>
      <c r="AI1751">
        <v>0</v>
      </c>
      <c r="AJ1751">
        <v>1</v>
      </c>
      <c r="AK1751">
        <v>124</v>
      </c>
      <c r="AL1751">
        <v>124</v>
      </c>
      <c r="AM1751">
        <v>429</v>
      </c>
      <c r="AN1751">
        <v>44</v>
      </c>
      <c r="AP1751">
        <v>1</v>
      </c>
      <c r="AR1751" t="s">
        <v>1840</v>
      </c>
      <c r="AS1751" s="1">
        <v>44354.722916666666</v>
      </c>
      <c r="AT1751" s="1">
        <v>44354.726770833331</v>
      </c>
      <c r="AU1751" s="1">
        <v>44354.727847222224</v>
      </c>
      <c r="AV1751" t="s">
        <v>71</v>
      </c>
      <c r="AW1751" t="s">
        <v>72</v>
      </c>
      <c r="AX1751" t="s">
        <v>73</v>
      </c>
    </row>
    <row r="1752" spans="1:50" x14ac:dyDescent="0.3">
      <c r="A1752" t="str">
        <f>"201412B0000"</f>
        <v>201412B0000</v>
      </c>
      <c r="B1752" t="str">
        <f>"201412B00002"</f>
        <v>201412B00002</v>
      </c>
      <c r="C1752" t="str">
        <f t="shared" si="85"/>
        <v>20</v>
      </c>
      <c r="D1752" t="s">
        <v>67</v>
      </c>
      <c r="E1752" t="str">
        <f t="shared" si="86"/>
        <v>008</v>
      </c>
      <c r="F1752" t="s">
        <v>1759</v>
      </c>
      <c r="G1752" t="str">
        <f>"1412"</f>
        <v>1412</v>
      </c>
      <c r="H1752" t="str">
        <f>"0000"</f>
        <v>0000</v>
      </c>
      <c r="I1752" t="s">
        <v>69</v>
      </c>
      <c r="J1752">
        <v>0</v>
      </c>
      <c r="K1752">
        <v>1</v>
      </c>
      <c r="L1752">
        <v>2</v>
      </c>
      <c r="M1752">
        <v>543</v>
      </c>
      <c r="N1752">
        <v>238</v>
      </c>
      <c r="O1752">
        <v>0</v>
      </c>
      <c r="P1752">
        <v>238</v>
      </c>
      <c r="Q1752">
        <v>7</v>
      </c>
      <c r="R1752">
        <v>40</v>
      </c>
      <c r="S1752">
        <v>9</v>
      </c>
      <c r="T1752">
        <v>9</v>
      </c>
      <c r="U1752">
        <v>8</v>
      </c>
      <c r="V1752">
        <v>1</v>
      </c>
      <c r="W1752">
        <v>1</v>
      </c>
      <c r="X1752">
        <v>136</v>
      </c>
      <c r="Y1752">
        <v>1</v>
      </c>
      <c r="Z1752">
        <v>5</v>
      </c>
      <c r="AA1752">
        <v>9</v>
      </c>
      <c r="AB1752">
        <v>3</v>
      </c>
      <c r="AD1752" t="s">
        <v>77</v>
      </c>
      <c r="AE1752" t="s">
        <v>77</v>
      </c>
      <c r="AF1752" t="s">
        <v>77</v>
      </c>
      <c r="AG1752" t="s">
        <v>77</v>
      </c>
      <c r="AI1752" t="s">
        <v>77</v>
      </c>
      <c r="AJ1752">
        <v>9</v>
      </c>
      <c r="AK1752">
        <v>9</v>
      </c>
      <c r="AL1752">
        <v>238</v>
      </c>
      <c r="AM1752">
        <v>737</v>
      </c>
      <c r="AN1752">
        <v>44</v>
      </c>
      <c r="AO1752" t="s">
        <v>78</v>
      </c>
      <c r="AP1752">
        <v>1</v>
      </c>
      <c r="AR1752" t="s">
        <v>1841</v>
      </c>
      <c r="AS1752" s="1">
        <v>44354.722222222219</v>
      </c>
      <c r="AT1752" s="1">
        <v>44354.725381944445</v>
      </c>
      <c r="AU1752" s="1">
        <v>44354.726168981484</v>
      </c>
      <c r="AV1752" t="s">
        <v>71</v>
      </c>
      <c r="AW1752" t="s">
        <v>72</v>
      </c>
      <c r="AX1752" t="s">
        <v>73</v>
      </c>
    </row>
    <row r="1753" spans="1:50" x14ac:dyDescent="0.3">
      <c r="A1753" t="str">
        <f>"201413B0000"</f>
        <v>201413B0000</v>
      </c>
      <c r="B1753" t="str">
        <f>"201413B00002"</f>
        <v>201413B00002</v>
      </c>
      <c r="C1753" t="str">
        <f t="shared" si="85"/>
        <v>20</v>
      </c>
      <c r="D1753" t="s">
        <v>67</v>
      </c>
      <c r="E1753" t="str">
        <f t="shared" si="86"/>
        <v>008</v>
      </c>
      <c r="F1753" t="s">
        <v>1759</v>
      </c>
      <c r="G1753" t="str">
        <f>"1413"</f>
        <v>1413</v>
      </c>
      <c r="H1753" t="str">
        <f>"0000"</f>
        <v>0000</v>
      </c>
      <c r="I1753" t="s">
        <v>69</v>
      </c>
      <c r="J1753">
        <v>0</v>
      </c>
      <c r="K1753">
        <v>1</v>
      </c>
      <c r="L1753">
        <v>2</v>
      </c>
      <c r="M1753">
        <v>271</v>
      </c>
      <c r="N1753">
        <v>98</v>
      </c>
      <c r="O1753">
        <v>7</v>
      </c>
      <c r="P1753">
        <v>98</v>
      </c>
      <c r="Q1753">
        <v>0</v>
      </c>
      <c r="R1753">
        <v>7</v>
      </c>
      <c r="S1753">
        <v>3</v>
      </c>
      <c r="T1753">
        <v>4</v>
      </c>
      <c r="U1753">
        <v>9</v>
      </c>
      <c r="V1753">
        <v>0</v>
      </c>
      <c r="W1753">
        <v>2</v>
      </c>
      <c r="X1753">
        <v>62</v>
      </c>
      <c r="Y1753">
        <v>0</v>
      </c>
      <c r="Z1753">
        <v>2</v>
      </c>
      <c r="AA1753">
        <v>5</v>
      </c>
      <c r="AB1753">
        <v>1</v>
      </c>
      <c r="AD1753">
        <v>0</v>
      </c>
      <c r="AE1753">
        <v>0</v>
      </c>
      <c r="AF1753">
        <v>0</v>
      </c>
      <c r="AG1753">
        <v>0</v>
      </c>
      <c r="AI1753">
        <v>0</v>
      </c>
      <c r="AJ1753">
        <v>3</v>
      </c>
      <c r="AK1753">
        <v>98</v>
      </c>
      <c r="AL1753">
        <v>98</v>
      </c>
      <c r="AM1753">
        <v>325</v>
      </c>
      <c r="AN1753">
        <v>44</v>
      </c>
      <c r="AP1753">
        <v>1</v>
      </c>
      <c r="AR1753" t="s">
        <v>1842</v>
      </c>
      <c r="AS1753" s="1">
        <v>44354.722916666666</v>
      </c>
      <c r="AT1753" s="1">
        <v>44354.725775462961</v>
      </c>
      <c r="AU1753" s="1">
        <v>44354.727175925924</v>
      </c>
      <c r="AV1753" t="s">
        <v>71</v>
      </c>
      <c r="AW1753" t="s">
        <v>72</v>
      </c>
      <c r="AX1753" t="s">
        <v>73</v>
      </c>
    </row>
    <row r="1754" spans="1:50" x14ac:dyDescent="0.3">
      <c r="A1754" t="str">
        <f>"201414B0000"</f>
        <v>201414B0000</v>
      </c>
      <c r="B1754" t="str">
        <f>"201414B00002"</f>
        <v>201414B00002</v>
      </c>
      <c r="C1754" t="str">
        <f t="shared" si="85"/>
        <v>20</v>
      </c>
      <c r="D1754" t="s">
        <v>67</v>
      </c>
      <c r="E1754" t="str">
        <f t="shared" si="86"/>
        <v>008</v>
      </c>
      <c r="F1754" t="s">
        <v>1759</v>
      </c>
      <c r="G1754" t="str">
        <f>"1414"</f>
        <v>1414</v>
      </c>
      <c r="H1754" t="str">
        <f>"0000"</f>
        <v>0000</v>
      </c>
      <c r="I1754" t="s">
        <v>69</v>
      </c>
      <c r="J1754">
        <v>0</v>
      </c>
      <c r="K1754">
        <v>1</v>
      </c>
      <c r="L1754">
        <v>2</v>
      </c>
      <c r="M1754">
        <v>427</v>
      </c>
      <c r="N1754">
        <v>118</v>
      </c>
      <c r="O1754">
        <v>6</v>
      </c>
      <c r="P1754">
        <v>112</v>
      </c>
      <c r="Q1754">
        <v>0</v>
      </c>
      <c r="R1754">
        <v>15</v>
      </c>
      <c r="S1754">
        <v>3</v>
      </c>
      <c r="T1754">
        <v>4</v>
      </c>
      <c r="U1754">
        <v>13</v>
      </c>
      <c r="V1754">
        <v>6</v>
      </c>
      <c r="W1754">
        <v>5</v>
      </c>
      <c r="X1754">
        <v>53</v>
      </c>
      <c r="Y1754">
        <v>3</v>
      </c>
      <c r="Z1754">
        <v>2</v>
      </c>
      <c r="AA1754">
        <v>4</v>
      </c>
      <c r="AB1754">
        <v>4</v>
      </c>
      <c r="AD1754">
        <v>0</v>
      </c>
      <c r="AE1754">
        <v>0</v>
      </c>
      <c r="AF1754">
        <v>0</v>
      </c>
      <c r="AG1754">
        <v>0</v>
      </c>
      <c r="AI1754">
        <v>0</v>
      </c>
      <c r="AJ1754">
        <v>6</v>
      </c>
      <c r="AK1754">
        <v>112</v>
      </c>
      <c r="AL1754">
        <v>118</v>
      </c>
      <c r="AM1754">
        <v>501</v>
      </c>
      <c r="AN1754">
        <v>44</v>
      </c>
      <c r="AP1754">
        <v>1</v>
      </c>
      <c r="AR1754" t="s">
        <v>1843</v>
      </c>
      <c r="AS1754" s="1">
        <v>44354.722916666666</v>
      </c>
      <c r="AT1754" s="1">
        <v>44354.727164351854</v>
      </c>
      <c r="AU1754" s="1">
        <v>44354.727916666663</v>
      </c>
      <c r="AV1754" t="s">
        <v>71</v>
      </c>
      <c r="AW1754" t="s">
        <v>72</v>
      </c>
      <c r="AX1754" t="s">
        <v>73</v>
      </c>
    </row>
    <row r="1755" spans="1:50" x14ac:dyDescent="0.3">
      <c r="A1755" t="str">
        <f>"201438B0000"</f>
        <v>201438B0000</v>
      </c>
      <c r="B1755" t="str">
        <f>"201438B00002"</f>
        <v>201438B00002</v>
      </c>
      <c r="C1755" t="str">
        <f t="shared" si="85"/>
        <v>20</v>
      </c>
      <c r="D1755" t="s">
        <v>67</v>
      </c>
      <c r="E1755" t="str">
        <f t="shared" si="86"/>
        <v>008</v>
      </c>
      <c r="F1755" t="s">
        <v>1759</v>
      </c>
      <c r="G1755" t="str">
        <f>"1438"</f>
        <v>1438</v>
      </c>
      <c r="H1755" t="str">
        <f>"0000"</f>
        <v>0000</v>
      </c>
      <c r="I1755" t="s">
        <v>69</v>
      </c>
      <c r="J1755">
        <v>0</v>
      </c>
      <c r="K1755">
        <v>1</v>
      </c>
      <c r="L1755">
        <v>2</v>
      </c>
      <c r="M1755">
        <v>127</v>
      </c>
      <c r="N1755">
        <v>91</v>
      </c>
      <c r="O1755">
        <v>7</v>
      </c>
      <c r="P1755">
        <v>91</v>
      </c>
      <c r="Q1755">
        <v>3</v>
      </c>
      <c r="R1755">
        <v>3</v>
      </c>
      <c r="S1755">
        <v>2</v>
      </c>
      <c r="T1755">
        <v>1</v>
      </c>
      <c r="U1755">
        <v>67</v>
      </c>
      <c r="V1755">
        <v>0</v>
      </c>
      <c r="W1755">
        <v>1</v>
      </c>
      <c r="X1755">
        <v>7</v>
      </c>
      <c r="Y1755">
        <v>0</v>
      </c>
      <c r="Z1755">
        <v>1</v>
      </c>
      <c r="AA1755">
        <v>1</v>
      </c>
      <c r="AB1755">
        <v>0</v>
      </c>
      <c r="AD1755">
        <v>0</v>
      </c>
      <c r="AE1755">
        <v>0</v>
      </c>
      <c r="AF1755">
        <v>0</v>
      </c>
      <c r="AG1755">
        <v>0</v>
      </c>
      <c r="AI1755">
        <v>0</v>
      </c>
      <c r="AJ1755">
        <v>5</v>
      </c>
      <c r="AK1755">
        <v>91</v>
      </c>
      <c r="AL1755">
        <v>91</v>
      </c>
      <c r="AM1755">
        <v>174</v>
      </c>
      <c r="AN1755">
        <v>44</v>
      </c>
      <c r="AP1755">
        <v>1</v>
      </c>
      <c r="AR1755" t="s">
        <v>1844</v>
      </c>
      <c r="AS1755" s="1">
        <v>44354.21597222222</v>
      </c>
      <c r="AT1755" s="1">
        <v>44354.219039351854</v>
      </c>
      <c r="AU1755" s="1">
        <v>44354.219710648147</v>
      </c>
      <c r="AV1755" t="s">
        <v>71</v>
      </c>
      <c r="AW1755" t="s">
        <v>72</v>
      </c>
      <c r="AX1755" t="s">
        <v>73</v>
      </c>
    </row>
    <row r="1756" spans="1:50" x14ac:dyDescent="0.3">
      <c r="A1756" t="str">
        <f>"201438E0100"</f>
        <v>201438E0100</v>
      </c>
      <c r="B1756" t="str">
        <f>"201438E01002"</f>
        <v>201438E01002</v>
      </c>
      <c r="C1756" t="str">
        <f t="shared" si="85"/>
        <v>20</v>
      </c>
      <c r="D1756" t="s">
        <v>67</v>
      </c>
      <c r="E1756" t="str">
        <f t="shared" si="86"/>
        <v>008</v>
      </c>
      <c r="F1756" t="s">
        <v>1759</v>
      </c>
      <c r="G1756" t="str">
        <f>"1438"</f>
        <v>1438</v>
      </c>
      <c r="H1756" t="str">
        <f>"0001"</f>
        <v>0001</v>
      </c>
      <c r="I1756" t="s">
        <v>109</v>
      </c>
      <c r="J1756">
        <v>0</v>
      </c>
      <c r="K1756">
        <v>1</v>
      </c>
      <c r="L1756">
        <v>2</v>
      </c>
      <c r="M1756">
        <v>297</v>
      </c>
      <c r="N1756">
        <v>243</v>
      </c>
      <c r="O1756">
        <v>0</v>
      </c>
      <c r="P1756">
        <v>243</v>
      </c>
      <c r="Q1756">
        <v>3</v>
      </c>
      <c r="R1756">
        <v>22</v>
      </c>
      <c r="S1756">
        <v>8</v>
      </c>
      <c r="T1756">
        <v>6</v>
      </c>
      <c r="U1756">
        <v>149</v>
      </c>
      <c r="V1756">
        <v>0</v>
      </c>
      <c r="W1756">
        <v>3</v>
      </c>
      <c r="X1756">
        <v>23</v>
      </c>
      <c r="Y1756">
        <v>1</v>
      </c>
      <c r="Z1756">
        <v>8</v>
      </c>
      <c r="AA1756">
        <v>2</v>
      </c>
      <c r="AB1756">
        <v>0</v>
      </c>
      <c r="AD1756">
        <v>0</v>
      </c>
      <c r="AE1756">
        <v>0</v>
      </c>
      <c r="AF1756">
        <v>0</v>
      </c>
      <c r="AG1756">
        <v>0</v>
      </c>
      <c r="AI1756">
        <v>0</v>
      </c>
      <c r="AJ1756">
        <v>18</v>
      </c>
      <c r="AK1756">
        <v>243</v>
      </c>
      <c r="AL1756">
        <v>243</v>
      </c>
      <c r="AM1756">
        <v>496</v>
      </c>
      <c r="AN1756">
        <v>44</v>
      </c>
      <c r="AP1756">
        <v>1</v>
      </c>
      <c r="AR1756" t="s">
        <v>1845</v>
      </c>
      <c r="AS1756" s="1">
        <v>44354.214583333334</v>
      </c>
      <c r="AT1756" s="1">
        <v>44354.216979166667</v>
      </c>
      <c r="AU1756" s="1">
        <v>44354.217465277776</v>
      </c>
      <c r="AV1756" t="s">
        <v>71</v>
      </c>
      <c r="AW1756" t="s">
        <v>72</v>
      </c>
      <c r="AX1756" t="s">
        <v>73</v>
      </c>
    </row>
    <row r="1757" spans="1:50" x14ac:dyDescent="0.3">
      <c r="A1757" t="str">
        <f>"201438E0200"</f>
        <v>201438E0200</v>
      </c>
      <c r="B1757" t="str">
        <f>"201438E02002"</f>
        <v>201438E02002</v>
      </c>
      <c r="C1757" t="str">
        <f t="shared" si="85"/>
        <v>20</v>
      </c>
      <c r="D1757" t="s">
        <v>67</v>
      </c>
      <c r="E1757" t="str">
        <f t="shared" si="86"/>
        <v>008</v>
      </c>
      <c r="F1757" t="s">
        <v>1759</v>
      </c>
      <c r="G1757" t="str">
        <f>"1438"</f>
        <v>1438</v>
      </c>
      <c r="H1757" t="str">
        <f>"0002"</f>
        <v>0002</v>
      </c>
      <c r="I1757" t="s">
        <v>109</v>
      </c>
      <c r="J1757">
        <v>0</v>
      </c>
      <c r="K1757">
        <v>1</v>
      </c>
      <c r="L1757">
        <v>2</v>
      </c>
      <c r="M1757">
        <v>87</v>
      </c>
      <c r="N1757">
        <v>77</v>
      </c>
      <c r="O1757">
        <v>6</v>
      </c>
      <c r="P1757" t="s">
        <v>80</v>
      </c>
      <c r="Q1757">
        <v>0</v>
      </c>
      <c r="R1757">
        <v>2</v>
      </c>
      <c r="S1757">
        <v>3</v>
      </c>
      <c r="T1757">
        <v>2</v>
      </c>
      <c r="U1757">
        <v>48</v>
      </c>
      <c r="V1757">
        <v>0</v>
      </c>
      <c r="W1757">
        <v>8</v>
      </c>
      <c r="X1757">
        <v>4</v>
      </c>
      <c r="Y1757">
        <v>0</v>
      </c>
      <c r="Z1757">
        <v>0</v>
      </c>
      <c r="AA1757">
        <v>0</v>
      </c>
      <c r="AB1757">
        <v>1</v>
      </c>
      <c r="AD1757">
        <v>0</v>
      </c>
      <c r="AE1757">
        <v>0</v>
      </c>
      <c r="AF1757">
        <v>0</v>
      </c>
      <c r="AG1757">
        <v>0</v>
      </c>
      <c r="AI1757">
        <v>1</v>
      </c>
      <c r="AJ1757">
        <v>8</v>
      </c>
      <c r="AK1757">
        <v>77</v>
      </c>
      <c r="AL1757">
        <v>77</v>
      </c>
      <c r="AM1757">
        <v>120</v>
      </c>
      <c r="AN1757">
        <v>44</v>
      </c>
      <c r="AP1757">
        <v>1</v>
      </c>
      <c r="AR1757" t="s">
        <v>1846</v>
      </c>
      <c r="AS1757" s="1">
        <v>44354.111111111109</v>
      </c>
      <c r="AT1757" s="1">
        <v>44354.11445601852</v>
      </c>
      <c r="AU1757" s="1">
        <v>44354.114988425928</v>
      </c>
      <c r="AV1757" t="s">
        <v>71</v>
      </c>
      <c r="AW1757" t="s">
        <v>72</v>
      </c>
      <c r="AX1757" t="s">
        <v>73</v>
      </c>
    </row>
    <row r="1758" spans="1:50" x14ac:dyDescent="0.3">
      <c r="A1758" t="str">
        <f>"201439B0000"</f>
        <v>201439B0000</v>
      </c>
      <c r="B1758" t="str">
        <f>"201439B00002"</f>
        <v>201439B00002</v>
      </c>
      <c r="C1758" t="str">
        <f t="shared" si="85"/>
        <v>20</v>
      </c>
      <c r="D1758" t="s">
        <v>67</v>
      </c>
      <c r="E1758" t="str">
        <f t="shared" si="86"/>
        <v>008</v>
      </c>
      <c r="F1758" t="s">
        <v>1759</v>
      </c>
      <c r="G1758" t="str">
        <f>"1439"</f>
        <v>1439</v>
      </c>
      <c r="H1758" t="str">
        <f>"0000"</f>
        <v>0000</v>
      </c>
      <c r="I1758" t="s">
        <v>69</v>
      </c>
      <c r="J1758">
        <v>0</v>
      </c>
      <c r="K1758">
        <v>1</v>
      </c>
      <c r="L1758">
        <v>2</v>
      </c>
      <c r="M1758">
        <v>265</v>
      </c>
      <c r="N1758">
        <v>163</v>
      </c>
      <c r="O1758">
        <v>0</v>
      </c>
      <c r="P1758">
        <v>163</v>
      </c>
      <c r="Q1758">
        <v>1</v>
      </c>
      <c r="R1758">
        <v>3</v>
      </c>
      <c r="S1758">
        <v>8</v>
      </c>
      <c r="T1758">
        <v>6</v>
      </c>
      <c r="U1758">
        <v>134</v>
      </c>
      <c r="V1758">
        <v>1</v>
      </c>
      <c r="W1758">
        <v>5</v>
      </c>
      <c r="X1758">
        <v>2</v>
      </c>
      <c r="Y1758">
        <v>0</v>
      </c>
      <c r="Z1758">
        <v>0</v>
      </c>
      <c r="AA1758">
        <v>0</v>
      </c>
      <c r="AB1758">
        <v>0</v>
      </c>
      <c r="AD1758">
        <v>0</v>
      </c>
      <c r="AE1758">
        <v>0</v>
      </c>
      <c r="AF1758">
        <v>0</v>
      </c>
      <c r="AG1758">
        <v>0</v>
      </c>
      <c r="AI1758">
        <v>0</v>
      </c>
      <c r="AJ1758">
        <v>3</v>
      </c>
      <c r="AK1758">
        <v>0</v>
      </c>
      <c r="AL1758">
        <v>163</v>
      </c>
      <c r="AM1758">
        <v>384</v>
      </c>
      <c r="AN1758">
        <v>44</v>
      </c>
      <c r="AP1758">
        <v>1</v>
      </c>
      <c r="AR1758" t="s">
        <v>1847</v>
      </c>
      <c r="AS1758" s="1">
        <v>44354.09097222222</v>
      </c>
      <c r="AT1758" s="1">
        <v>44354.096550925926</v>
      </c>
      <c r="AU1758" s="1">
        <v>44354.097199074073</v>
      </c>
      <c r="AV1758" t="s">
        <v>71</v>
      </c>
      <c r="AW1758" t="s">
        <v>72</v>
      </c>
      <c r="AX1758" t="s">
        <v>73</v>
      </c>
    </row>
    <row r="1759" spans="1:50" x14ac:dyDescent="0.3">
      <c r="A1759" t="str">
        <f>"201439C0100"</f>
        <v>201439C0100</v>
      </c>
      <c r="B1759" t="str">
        <f>"201439C01002"</f>
        <v>201439C01002</v>
      </c>
      <c r="C1759" t="str">
        <f t="shared" si="85"/>
        <v>20</v>
      </c>
      <c r="D1759" t="s">
        <v>67</v>
      </c>
      <c r="E1759" t="str">
        <f t="shared" si="86"/>
        <v>008</v>
      </c>
      <c r="F1759" t="s">
        <v>1759</v>
      </c>
      <c r="G1759" t="str">
        <f>"1439"</f>
        <v>1439</v>
      </c>
      <c r="H1759" t="str">
        <f>"0001"</f>
        <v>0001</v>
      </c>
      <c r="I1759" t="s">
        <v>75</v>
      </c>
      <c r="J1759">
        <v>0</v>
      </c>
      <c r="K1759">
        <v>1</v>
      </c>
      <c r="L1759">
        <v>2</v>
      </c>
      <c r="M1759">
        <v>254</v>
      </c>
      <c r="N1759">
        <v>175</v>
      </c>
      <c r="O1759">
        <v>7</v>
      </c>
      <c r="P1759">
        <v>175</v>
      </c>
      <c r="Q1759">
        <v>0</v>
      </c>
      <c r="R1759">
        <v>11</v>
      </c>
      <c r="S1759">
        <v>3</v>
      </c>
      <c r="T1759">
        <v>5</v>
      </c>
      <c r="U1759" t="s">
        <v>99</v>
      </c>
      <c r="V1759">
        <v>0</v>
      </c>
      <c r="W1759">
        <v>4</v>
      </c>
      <c r="X1759">
        <v>6</v>
      </c>
      <c r="Y1759">
        <v>2</v>
      </c>
      <c r="Z1759">
        <v>0</v>
      </c>
      <c r="AA1759">
        <v>1</v>
      </c>
      <c r="AB1759">
        <v>0</v>
      </c>
      <c r="AD1759">
        <v>0</v>
      </c>
      <c r="AE1759">
        <v>0</v>
      </c>
      <c r="AF1759">
        <v>0</v>
      </c>
      <c r="AG1759">
        <v>0</v>
      </c>
      <c r="AI1759">
        <v>0</v>
      </c>
      <c r="AJ1759">
        <v>10</v>
      </c>
      <c r="AK1759">
        <v>175</v>
      </c>
      <c r="AL1759">
        <v>42</v>
      </c>
      <c r="AM1759">
        <v>384</v>
      </c>
      <c r="AN1759">
        <v>44</v>
      </c>
      <c r="AO1759" t="s">
        <v>78</v>
      </c>
      <c r="AP1759">
        <v>1</v>
      </c>
      <c r="AR1759" t="s">
        <v>1848</v>
      </c>
      <c r="AS1759" s="1">
        <v>44353.966631944444</v>
      </c>
      <c r="AT1759" s="1">
        <v>44354.04546296296</v>
      </c>
      <c r="AU1759" s="1">
        <v>44354.04614583333</v>
      </c>
      <c r="AV1759" t="s">
        <v>269</v>
      </c>
      <c r="AW1759" t="s">
        <v>270</v>
      </c>
      <c r="AX1759" t="s">
        <v>73</v>
      </c>
    </row>
    <row r="1760" spans="1:50" x14ac:dyDescent="0.3">
      <c r="A1760" t="str">
        <f>"201496B0000"</f>
        <v>201496B0000</v>
      </c>
      <c r="B1760" t="str">
        <f>"201496B00002"</f>
        <v>201496B00002</v>
      </c>
      <c r="C1760" t="str">
        <f t="shared" si="85"/>
        <v>20</v>
      </c>
      <c r="D1760" t="s">
        <v>67</v>
      </c>
      <c r="E1760" t="str">
        <f t="shared" si="86"/>
        <v>008</v>
      </c>
      <c r="F1760" t="s">
        <v>1759</v>
      </c>
      <c r="G1760" t="str">
        <f>"1496"</f>
        <v>1496</v>
      </c>
      <c r="H1760" t="str">
        <f>"0000"</f>
        <v>0000</v>
      </c>
      <c r="I1760" t="s">
        <v>69</v>
      </c>
      <c r="J1760">
        <v>0</v>
      </c>
      <c r="K1760">
        <v>1</v>
      </c>
      <c r="L1760">
        <v>2</v>
      </c>
      <c r="M1760">
        <v>540</v>
      </c>
      <c r="N1760">
        <v>195</v>
      </c>
      <c r="O1760">
        <v>6</v>
      </c>
      <c r="P1760">
        <v>195</v>
      </c>
      <c r="Q1760">
        <v>6</v>
      </c>
      <c r="R1760">
        <v>23</v>
      </c>
      <c r="S1760">
        <v>2</v>
      </c>
      <c r="T1760">
        <v>9</v>
      </c>
      <c r="U1760">
        <v>26</v>
      </c>
      <c r="V1760">
        <v>1</v>
      </c>
      <c r="W1760">
        <v>0</v>
      </c>
      <c r="X1760">
        <v>102</v>
      </c>
      <c r="Y1760">
        <v>1</v>
      </c>
      <c r="Z1760">
        <v>3</v>
      </c>
      <c r="AA1760">
        <v>3</v>
      </c>
      <c r="AB1760">
        <v>1</v>
      </c>
      <c r="AD1760">
        <v>0</v>
      </c>
      <c r="AE1760">
        <v>0</v>
      </c>
      <c r="AF1760">
        <v>0</v>
      </c>
      <c r="AG1760">
        <v>0</v>
      </c>
      <c r="AI1760">
        <v>0</v>
      </c>
      <c r="AJ1760">
        <v>18</v>
      </c>
      <c r="AK1760">
        <v>195</v>
      </c>
      <c r="AL1760">
        <v>195</v>
      </c>
      <c r="AM1760">
        <v>691</v>
      </c>
      <c r="AN1760">
        <v>44</v>
      </c>
      <c r="AP1760">
        <v>1</v>
      </c>
      <c r="AR1760" t="s">
        <v>1849</v>
      </c>
      <c r="AS1760" s="1">
        <v>44354.10833333333</v>
      </c>
      <c r="AT1760" s="1">
        <v>44354.111932870372</v>
      </c>
      <c r="AU1760" s="1">
        <v>44354.112604166665</v>
      </c>
      <c r="AV1760" t="s">
        <v>71</v>
      </c>
      <c r="AW1760" t="s">
        <v>72</v>
      </c>
      <c r="AX1760" t="s">
        <v>73</v>
      </c>
    </row>
    <row r="1761" spans="1:50" x14ac:dyDescent="0.3">
      <c r="A1761" t="str">
        <f>"201497B0000"</f>
        <v>201497B0000</v>
      </c>
      <c r="B1761" t="str">
        <f>"201497B00002"</f>
        <v>201497B00002</v>
      </c>
      <c r="C1761" t="str">
        <f t="shared" si="85"/>
        <v>20</v>
      </c>
      <c r="D1761" t="s">
        <v>67</v>
      </c>
      <c r="E1761" t="str">
        <f t="shared" si="86"/>
        <v>008</v>
      </c>
      <c r="F1761" t="s">
        <v>1759</v>
      </c>
      <c r="G1761" t="str">
        <f>"1497"</f>
        <v>1497</v>
      </c>
      <c r="H1761" t="str">
        <f>"0000"</f>
        <v>0000</v>
      </c>
      <c r="I1761" t="s">
        <v>69</v>
      </c>
      <c r="J1761">
        <v>0</v>
      </c>
      <c r="K1761">
        <v>1</v>
      </c>
      <c r="L1761">
        <v>2</v>
      </c>
      <c r="M1761">
        <v>271</v>
      </c>
      <c r="N1761">
        <v>140</v>
      </c>
      <c r="O1761">
        <v>7</v>
      </c>
      <c r="P1761">
        <v>140</v>
      </c>
      <c r="Q1761">
        <v>3</v>
      </c>
      <c r="R1761">
        <v>17</v>
      </c>
      <c r="S1761">
        <v>3</v>
      </c>
      <c r="T1761">
        <v>2</v>
      </c>
      <c r="U1761">
        <v>12</v>
      </c>
      <c r="V1761">
        <v>1</v>
      </c>
      <c r="W1761">
        <v>1</v>
      </c>
      <c r="X1761">
        <v>82</v>
      </c>
      <c r="Y1761">
        <v>6</v>
      </c>
      <c r="Z1761">
        <v>5</v>
      </c>
      <c r="AA1761">
        <v>0</v>
      </c>
      <c r="AB1761">
        <v>0</v>
      </c>
      <c r="AD1761">
        <v>0</v>
      </c>
      <c r="AE1761">
        <v>0</v>
      </c>
      <c r="AF1761">
        <v>0</v>
      </c>
      <c r="AG1761">
        <v>0</v>
      </c>
      <c r="AI1761">
        <v>0</v>
      </c>
      <c r="AJ1761">
        <v>0</v>
      </c>
      <c r="AK1761">
        <v>0</v>
      </c>
      <c r="AL1761">
        <v>132</v>
      </c>
      <c r="AM1761">
        <v>367</v>
      </c>
      <c r="AN1761">
        <v>44</v>
      </c>
      <c r="AP1761">
        <v>1</v>
      </c>
      <c r="AR1761" t="s">
        <v>1850</v>
      </c>
      <c r="AS1761" s="1">
        <v>44354.10833333333</v>
      </c>
      <c r="AT1761" s="1">
        <v>44354.111006944448</v>
      </c>
      <c r="AU1761" s="1">
        <v>44354.115300925929</v>
      </c>
      <c r="AV1761" t="s">
        <v>71</v>
      </c>
      <c r="AW1761" t="s">
        <v>72</v>
      </c>
      <c r="AX1761" t="s">
        <v>73</v>
      </c>
    </row>
    <row r="1762" spans="1:50" x14ac:dyDescent="0.3">
      <c r="A1762" t="str">
        <f>"201512B0000"</f>
        <v>201512B0000</v>
      </c>
      <c r="B1762" t="str">
        <f>"201512B00002"</f>
        <v>201512B00002</v>
      </c>
      <c r="C1762" t="str">
        <f t="shared" si="85"/>
        <v>20</v>
      </c>
      <c r="D1762" t="s">
        <v>67</v>
      </c>
      <c r="E1762" t="str">
        <f t="shared" si="86"/>
        <v>008</v>
      </c>
      <c r="F1762" t="s">
        <v>1759</v>
      </c>
      <c r="G1762" t="str">
        <f>"1512"</f>
        <v>1512</v>
      </c>
      <c r="H1762" t="str">
        <f>"0000"</f>
        <v>0000</v>
      </c>
      <c r="I1762" t="s">
        <v>69</v>
      </c>
      <c r="J1762">
        <v>0</v>
      </c>
      <c r="K1762">
        <v>1</v>
      </c>
      <c r="L1762">
        <v>2</v>
      </c>
      <c r="M1762">
        <v>294</v>
      </c>
      <c r="N1762">
        <v>286</v>
      </c>
      <c r="O1762">
        <v>0</v>
      </c>
      <c r="P1762">
        <v>286</v>
      </c>
      <c r="Q1762">
        <v>5</v>
      </c>
      <c r="R1762">
        <v>31</v>
      </c>
      <c r="S1762">
        <v>8</v>
      </c>
      <c r="T1762">
        <v>64</v>
      </c>
      <c r="U1762">
        <v>129</v>
      </c>
      <c r="V1762">
        <v>0</v>
      </c>
      <c r="W1762">
        <v>4</v>
      </c>
      <c r="X1762">
        <v>34</v>
      </c>
      <c r="Y1762">
        <v>1</v>
      </c>
      <c r="Z1762">
        <v>1</v>
      </c>
      <c r="AA1762">
        <v>2</v>
      </c>
      <c r="AB1762">
        <v>0</v>
      </c>
      <c r="AD1762">
        <v>2</v>
      </c>
      <c r="AE1762">
        <v>0</v>
      </c>
      <c r="AF1762">
        <v>0</v>
      </c>
      <c r="AG1762">
        <v>0</v>
      </c>
      <c r="AI1762">
        <v>0</v>
      </c>
      <c r="AJ1762">
        <v>5</v>
      </c>
      <c r="AK1762">
        <v>286</v>
      </c>
      <c r="AL1762">
        <v>286</v>
      </c>
      <c r="AM1762">
        <v>536</v>
      </c>
      <c r="AN1762">
        <v>44</v>
      </c>
      <c r="AP1762">
        <v>1</v>
      </c>
      <c r="AR1762" s="2" t="s">
        <v>1851</v>
      </c>
      <c r="AS1762" s="1">
        <v>44354.015277777777</v>
      </c>
      <c r="AT1762" s="1">
        <v>44354.023634259262</v>
      </c>
      <c r="AU1762" s="1">
        <v>44354.024629629632</v>
      </c>
      <c r="AV1762" t="s">
        <v>71</v>
      </c>
      <c r="AW1762" t="s">
        <v>72</v>
      </c>
      <c r="AX1762" t="s">
        <v>73</v>
      </c>
    </row>
    <row r="1763" spans="1:50" x14ac:dyDescent="0.3">
      <c r="A1763" t="str">
        <f>"201613B0000"</f>
        <v>201613B0000</v>
      </c>
      <c r="B1763" t="str">
        <f>"201613B00002"</f>
        <v>201613B00002</v>
      </c>
      <c r="C1763" t="str">
        <f t="shared" si="85"/>
        <v>20</v>
      </c>
      <c r="D1763" t="s">
        <v>67</v>
      </c>
      <c r="E1763" t="str">
        <f t="shared" si="86"/>
        <v>008</v>
      </c>
      <c r="F1763" t="s">
        <v>1759</v>
      </c>
      <c r="G1763" t="str">
        <f>"1613"</f>
        <v>1613</v>
      </c>
      <c r="H1763" t="str">
        <f>"0000"</f>
        <v>0000</v>
      </c>
      <c r="I1763" t="s">
        <v>69</v>
      </c>
      <c r="J1763">
        <v>0</v>
      </c>
      <c r="K1763">
        <v>1</v>
      </c>
      <c r="L1763">
        <v>2</v>
      </c>
      <c r="M1763">
        <v>428</v>
      </c>
      <c r="N1763">
        <v>252</v>
      </c>
      <c r="O1763">
        <v>0</v>
      </c>
      <c r="P1763">
        <v>252</v>
      </c>
      <c r="Q1763">
        <v>2</v>
      </c>
      <c r="R1763">
        <v>6</v>
      </c>
      <c r="S1763">
        <v>4</v>
      </c>
      <c r="T1763">
        <v>2</v>
      </c>
      <c r="U1763">
        <v>2</v>
      </c>
      <c r="V1763">
        <v>0</v>
      </c>
      <c r="W1763">
        <v>1</v>
      </c>
      <c r="X1763">
        <v>227</v>
      </c>
      <c r="Y1763">
        <v>0</v>
      </c>
      <c r="Z1763">
        <v>2</v>
      </c>
      <c r="AA1763">
        <v>0</v>
      </c>
      <c r="AB1763">
        <v>1</v>
      </c>
      <c r="AD1763">
        <v>1</v>
      </c>
      <c r="AE1763">
        <v>1</v>
      </c>
      <c r="AF1763">
        <v>0</v>
      </c>
      <c r="AG1763">
        <v>0</v>
      </c>
      <c r="AI1763">
        <v>0</v>
      </c>
      <c r="AJ1763">
        <v>3</v>
      </c>
      <c r="AK1763">
        <v>252</v>
      </c>
      <c r="AL1763">
        <v>252</v>
      </c>
      <c r="AM1763">
        <v>636</v>
      </c>
      <c r="AN1763">
        <v>44</v>
      </c>
      <c r="AP1763">
        <v>1</v>
      </c>
      <c r="AR1763" t="s">
        <v>1852</v>
      </c>
      <c r="AS1763" s="1">
        <v>44354.056250000001</v>
      </c>
      <c r="AT1763" s="1">
        <v>44354.061863425923</v>
      </c>
      <c r="AU1763" s="1">
        <v>44354.062569444446</v>
      </c>
      <c r="AV1763" t="s">
        <v>71</v>
      </c>
      <c r="AW1763" t="s">
        <v>72</v>
      </c>
      <c r="AX1763" t="s">
        <v>73</v>
      </c>
    </row>
    <row r="1764" spans="1:50" x14ac:dyDescent="0.3">
      <c r="A1764" t="str">
        <f>"201613C0100"</f>
        <v>201613C0100</v>
      </c>
      <c r="B1764" t="str">
        <f>"201613C01002"</f>
        <v>201613C01002</v>
      </c>
      <c r="C1764" t="str">
        <f t="shared" si="85"/>
        <v>20</v>
      </c>
      <c r="D1764" t="s">
        <v>67</v>
      </c>
      <c r="E1764" t="str">
        <f t="shared" si="86"/>
        <v>008</v>
      </c>
      <c r="F1764" t="s">
        <v>1759</v>
      </c>
      <c r="G1764" t="str">
        <f>"1613"</f>
        <v>1613</v>
      </c>
      <c r="H1764" t="str">
        <f>"0001"</f>
        <v>0001</v>
      </c>
      <c r="I1764" t="s">
        <v>75</v>
      </c>
      <c r="J1764">
        <v>0</v>
      </c>
      <c r="K1764">
        <v>1</v>
      </c>
      <c r="L1764">
        <v>2</v>
      </c>
      <c r="M1764">
        <v>406</v>
      </c>
      <c r="N1764">
        <v>273</v>
      </c>
      <c r="O1764" t="s">
        <v>99</v>
      </c>
      <c r="P1764">
        <v>273</v>
      </c>
      <c r="Q1764">
        <v>3</v>
      </c>
      <c r="R1764">
        <v>12</v>
      </c>
      <c r="S1764">
        <v>2</v>
      </c>
      <c r="T1764">
        <v>1</v>
      </c>
      <c r="U1764">
        <v>4</v>
      </c>
      <c r="V1764">
        <v>3</v>
      </c>
      <c r="W1764">
        <v>1</v>
      </c>
      <c r="X1764">
        <v>233</v>
      </c>
      <c r="Y1764">
        <v>1</v>
      </c>
      <c r="Z1764">
        <v>2</v>
      </c>
      <c r="AA1764">
        <v>1</v>
      </c>
      <c r="AB1764">
        <v>2</v>
      </c>
      <c r="AD1764">
        <v>2</v>
      </c>
      <c r="AE1764" t="s">
        <v>77</v>
      </c>
      <c r="AF1764" t="s">
        <v>77</v>
      </c>
      <c r="AG1764" t="s">
        <v>77</v>
      </c>
      <c r="AI1764" t="s">
        <v>77</v>
      </c>
      <c r="AJ1764">
        <v>6</v>
      </c>
      <c r="AK1764">
        <v>273</v>
      </c>
      <c r="AL1764">
        <v>273</v>
      </c>
      <c r="AM1764">
        <v>635</v>
      </c>
      <c r="AN1764">
        <v>44</v>
      </c>
      <c r="AO1764" t="s">
        <v>78</v>
      </c>
      <c r="AP1764">
        <v>1</v>
      </c>
      <c r="AR1764" t="s">
        <v>1853</v>
      </c>
      <c r="AS1764" s="1">
        <v>44354.056250000001</v>
      </c>
      <c r="AT1764" s="1">
        <v>44354.062199074076</v>
      </c>
      <c r="AU1764" s="1">
        <v>44354.062881944446</v>
      </c>
      <c r="AV1764" t="s">
        <v>71</v>
      </c>
      <c r="AW1764" t="s">
        <v>72</v>
      </c>
      <c r="AX1764" t="s">
        <v>73</v>
      </c>
    </row>
    <row r="1765" spans="1:50" x14ac:dyDescent="0.3">
      <c r="A1765" t="str">
        <f>"201677B0000"</f>
        <v>201677B0000</v>
      </c>
      <c r="B1765" t="str">
        <f>"201677B00002"</f>
        <v>201677B00002</v>
      </c>
      <c r="C1765" t="str">
        <f t="shared" si="85"/>
        <v>20</v>
      </c>
      <c r="D1765" t="s">
        <v>67</v>
      </c>
      <c r="E1765" t="str">
        <f t="shared" si="86"/>
        <v>008</v>
      </c>
      <c r="F1765" t="s">
        <v>1759</v>
      </c>
      <c r="G1765" t="str">
        <f>"1677"</f>
        <v>1677</v>
      </c>
      <c r="H1765" t="str">
        <f>"0000"</f>
        <v>0000</v>
      </c>
      <c r="I1765" t="s">
        <v>69</v>
      </c>
      <c r="J1765">
        <v>0</v>
      </c>
      <c r="K1765">
        <v>1</v>
      </c>
      <c r="L1765">
        <v>2</v>
      </c>
      <c r="M1765">
        <v>209</v>
      </c>
      <c r="N1765">
        <v>183</v>
      </c>
      <c r="O1765">
        <v>0</v>
      </c>
      <c r="P1765">
        <v>183</v>
      </c>
      <c r="Q1765">
        <v>1</v>
      </c>
      <c r="R1765">
        <v>23</v>
      </c>
      <c r="S1765">
        <v>4</v>
      </c>
      <c r="T1765">
        <v>3</v>
      </c>
      <c r="U1765">
        <v>11</v>
      </c>
      <c r="V1765">
        <v>0</v>
      </c>
      <c r="W1765">
        <v>0</v>
      </c>
      <c r="X1765">
        <v>127</v>
      </c>
      <c r="Y1765">
        <v>0</v>
      </c>
      <c r="Z1765">
        <v>2</v>
      </c>
      <c r="AA1765">
        <v>1</v>
      </c>
      <c r="AB1765">
        <v>0</v>
      </c>
      <c r="AD1765">
        <v>1</v>
      </c>
      <c r="AE1765">
        <v>0</v>
      </c>
      <c r="AF1765">
        <v>0</v>
      </c>
      <c r="AG1765">
        <v>0</v>
      </c>
      <c r="AI1765">
        <v>0</v>
      </c>
      <c r="AJ1765">
        <v>10</v>
      </c>
      <c r="AK1765">
        <v>183</v>
      </c>
      <c r="AL1765">
        <v>183</v>
      </c>
      <c r="AM1765">
        <v>348</v>
      </c>
      <c r="AN1765">
        <v>44</v>
      </c>
      <c r="AP1765">
        <v>1</v>
      </c>
      <c r="AR1765" t="s">
        <v>1854</v>
      </c>
      <c r="AS1765" s="1">
        <v>44354.348611111112</v>
      </c>
      <c r="AT1765" s="1">
        <v>44354.356423611112</v>
      </c>
      <c r="AU1765" s="1">
        <v>44354.357268518521</v>
      </c>
      <c r="AV1765" t="s">
        <v>71</v>
      </c>
      <c r="AW1765" t="s">
        <v>72</v>
      </c>
      <c r="AX1765" t="s">
        <v>73</v>
      </c>
    </row>
    <row r="1766" spans="1:50" x14ac:dyDescent="0.3">
      <c r="A1766" t="str">
        <f>"201677E0100"</f>
        <v>201677E0100</v>
      </c>
      <c r="B1766" t="str">
        <f>"201677E01002"</f>
        <v>201677E01002</v>
      </c>
      <c r="C1766" t="str">
        <f t="shared" si="85"/>
        <v>20</v>
      </c>
      <c r="D1766" t="s">
        <v>67</v>
      </c>
      <c r="E1766" t="str">
        <f t="shared" si="86"/>
        <v>008</v>
      </c>
      <c r="F1766" t="s">
        <v>1759</v>
      </c>
      <c r="G1766" t="str">
        <f>"1677"</f>
        <v>1677</v>
      </c>
      <c r="H1766" t="str">
        <f>"0001"</f>
        <v>0001</v>
      </c>
      <c r="I1766" t="s">
        <v>109</v>
      </c>
      <c r="J1766">
        <v>0</v>
      </c>
      <c r="K1766">
        <v>1</v>
      </c>
      <c r="L1766">
        <v>2</v>
      </c>
      <c r="M1766">
        <v>134</v>
      </c>
      <c r="N1766">
        <v>114</v>
      </c>
      <c r="O1766">
        <v>2</v>
      </c>
      <c r="P1766">
        <v>114</v>
      </c>
      <c r="Q1766">
        <v>3</v>
      </c>
      <c r="R1766">
        <v>35</v>
      </c>
      <c r="S1766">
        <v>3</v>
      </c>
      <c r="T1766">
        <v>0</v>
      </c>
      <c r="U1766">
        <v>18</v>
      </c>
      <c r="V1766">
        <v>2</v>
      </c>
      <c r="W1766">
        <v>0</v>
      </c>
      <c r="X1766">
        <v>45</v>
      </c>
      <c r="Y1766">
        <v>0</v>
      </c>
      <c r="Z1766">
        <v>1</v>
      </c>
      <c r="AA1766">
        <v>0</v>
      </c>
      <c r="AB1766">
        <v>1</v>
      </c>
      <c r="AD1766">
        <v>0</v>
      </c>
      <c r="AE1766">
        <v>0</v>
      </c>
      <c r="AF1766">
        <v>0</v>
      </c>
      <c r="AG1766">
        <v>0</v>
      </c>
      <c r="AI1766">
        <v>0</v>
      </c>
      <c r="AJ1766">
        <v>6</v>
      </c>
      <c r="AK1766">
        <v>114</v>
      </c>
      <c r="AL1766">
        <v>114</v>
      </c>
      <c r="AM1766">
        <v>204</v>
      </c>
      <c r="AN1766">
        <v>44</v>
      </c>
      <c r="AP1766">
        <v>1</v>
      </c>
      <c r="AR1766" t="s">
        <v>1855</v>
      </c>
      <c r="AS1766" s="1">
        <v>44354.352083333331</v>
      </c>
      <c r="AT1766" s="1">
        <v>44354.354351851849</v>
      </c>
      <c r="AU1766" s="1">
        <v>44354.35497685185</v>
      </c>
      <c r="AV1766" t="s">
        <v>71</v>
      </c>
      <c r="AW1766" t="s">
        <v>72</v>
      </c>
      <c r="AX1766" t="s">
        <v>73</v>
      </c>
    </row>
    <row r="1767" spans="1:50" x14ac:dyDescent="0.3">
      <c r="A1767" t="str">
        <f>"201678B0000"</f>
        <v>201678B0000</v>
      </c>
      <c r="B1767" t="str">
        <f>"201678B00002"</f>
        <v>201678B00002</v>
      </c>
      <c r="C1767" t="str">
        <f t="shared" si="85"/>
        <v>20</v>
      </c>
      <c r="D1767" t="s">
        <v>67</v>
      </c>
      <c r="E1767" t="str">
        <f t="shared" si="86"/>
        <v>008</v>
      </c>
      <c r="F1767" t="s">
        <v>1759</v>
      </c>
      <c r="G1767" t="str">
        <f>"1678"</f>
        <v>1678</v>
      </c>
      <c r="H1767" t="str">
        <f>"0000"</f>
        <v>0000</v>
      </c>
      <c r="I1767" t="s">
        <v>69</v>
      </c>
      <c r="J1767">
        <v>0</v>
      </c>
      <c r="K1767">
        <v>1</v>
      </c>
      <c r="L1767">
        <v>2</v>
      </c>
      <c r="M1767">
        <v>139</v>
      </c>
      <c r="N1767">
        <v>174</v>
      </c>
      <c r="O1767">
        <v>0</v>
      </c>
      <c r="P1767">
        <v>174</v>
      </c>
      <c r="Q1767">
        <v>0</v>
      </c>
      <c r="R1767">
        <v>10</v>
      </c>
      <c r="S1767">
        <v>6</v>
      </c>
      <c r="T1767">
        <v>5</v>
      </c>
      <c r="U1767">
        <v>36</v>
      </c>
      <c r="V1767">
        <v>0</v>
      </c>
      <c r="W1767">
        <v>1</v>
      </c>
      <c r="X1767">
        <v>98</v>
      </c>
      <c r="Y1767">
        <v>1</v>
      </c>
      <c r="Z1767">
        <v>5</v>
      </c>
      <c r="AA1767">
        <v>3</v>
      </c>
      <c r="AB1767">
        <v>4</v>
      </c>
      <c r="AD1767">
        <v>0</v>
      </c>
      <c r="AE1767">
        <v>0</v>
      </c>
      <c r="AF1767">
        <v>0</v>
      </c>
      <c r="AG1767">
        <v>0</v>
      </c>
      <c r="AI1767">
        <v>0</v>
      </c>
      <c r="AJ1767">
        <v>5</v>
      </c>
      <c r="AK1767">
        <v>174</v>
      </c>
      <c r="AL1767">
        <v>174</v>
      </c>
      <c r="AM1767">
        <v>269</v>
      </c>
      <c r="AN1767">
        <v>44</v>
      </c>
      <c r="AP1767">
        <v>1</v>
      </c>
      <c r="AR1767" t="s">
        <v>1856</v>
      </c>
      <c r="AS1767" s="1">
        <v>44354.210416666669</v>
      </c>
      <c r="AT1767" s="1">
        <v>44354.213229166664</v>
      </c>
      <c r="AU1767" s="1">
        <v>44354.21398148148</v>
      </c>
      <c r="AV1767" t="s">
        <v>71</v>
      </c>
      <c r="AW1767" t="s">
        <v>72</v>
      </c>
      <c r="AX1767" t="s">
        <v>73</v>
      </c>
    </row>
    <row r="1768" spans="1:50" x14ac:dyDescent="0.3">
      <c r="A1768" t="str">
        <f>"201679B0000"</f>
        <v>201679B0000</v>
      </c>
      <c r="B1768" t="str">
        <f>"201679B00002"</f>
        <v>201679B00002</v>
      </c>
      <c r="C1768" t="str">
        <f t="shared" si="85"/>
        <v>20</v>
      </c>
      <c r="D1768" t="s">
        <v>67</v>
      </c>
      <c r="E1768" t="str">
        <f t="shared" si="86"/>
        <v>008</v>
      </c>
      <c r="F1768" t="s">
        <v>1759</v>
      </c>
      <c r="G1768" t="str">
        <f>"1679"</f>
        <v>1679</v>
      </c>
      <c r="H1768" t="str">
        <f>"0000"</f>
        <v>0000</v>
      </c>
      <c r="I1768" t="s">
        <v>69</v>
      </c>
      <c r="J1768">
        <v>0</v>
      </c>
      <c r="K1768">
        <v>1</v>
      </c>
      <c r="L1768">
        <v>2</v>
      </c>
      <c r="M1768">
        <v>244</v>
      </c>
      <c r="N1768">
        <v>285</v>
      </c>
      <c r="O1768">
        <v>1</v>
      </c>
      <c r="P1768">
        <v>285</v>
      </c>
      <c r="Q1768">
        <v>5</v>
      </c>
      <c r="R1768">
        <v>10</v>
      </c>
      <c r="S1768">
        <v>11</v>
      </c>
      <c r="T1768">
        <v>3</v>
      </c>
      <c r="U1768">
        <v>117</v>
      </c>
      <c r="V1768">
        <v>3</v>
      </c>
      <c r="W1768">
        <v>2</v>
      </c>
      <c r="X1768">
        <v>103</v>
      </c>
      <c r="Y1768">
        <v>3</v>
      </c>
      <c r="Z1768">
        <v>10</v>
      </c>
      <c r="AA1768">
        <v>2</v>
      </c>
      <c r="AB1768">
        <v>0</v>
      </c>
      <c r="AD1768">
        <v>0</v>
      </c>
      <c r="AE1768">
        <v>0</v>
      </c>
      <c r="AF1768">
        <v>0</v>
      </c>
      <c r="AG1768">
        <v>0</v>
      </c>
      <c r="AI1768">
        <v>0</v>
      </c>
      <c r="AJ1768">
        <v>16</v>
      </c>
      <c r="AK1768">
        <v>285</v>
      </c>
      <c r="AL1768">
        <v>285</v>
      </c>
      <c r="AM1768">
        <v>485</v>
      </c>
      <c r="AN1768">
        <v>44</v>
      </c>
      <c r="AP1768">
        <v>1</v>
      </c>
      <c r="AR1768" t="s">
        <v>1857</v>
      </c>
      <c r="AS1768" s="1">
        <v>44354.214583333334</v>
      </c>
      <c r="AT1768" s="1">
        <v>44354.220717592594</v>
      </c>
      <c r="AU1768" s="1">
        <v>44354.22146990741</v>
      </c>
      <c r="AV1768" t="s">
        <v>71</v>
      </c>
      <c r="AW1768" t="s">
        <v>72</v>
      </c>
      <c r="AX1768" t="s">
        <v>73</v>
      </c>
    </row>
    <row r="1769" spans="1:50" x14ac:dyDescent="0.3">
      <c r="A1769" t="str">
        <f>"201680B0000"</f>
        <v>201680B0000</v>
      </c>
      <c r="B1769" t="str">
        <f>"201680B00002"</f>
        <v>201680B00002</v>
      </c>
      <c r="C1769" t="str">
        <f t="shared" si="85"/>
        <v>20</v>
      </c>
      <c r="D1769" t="s">
        <v>67</v>
      </c>
      <c r="E1769" t="str">
        <f t="shared" si="86"/>
        <v>008</v>
      </c>
      <c r="F1769" t="s">
        <v>1759</v>
      </c>
      <c r="G1769" t="str">
        <f>"1680"</f>
        <v>1680</v>
      </c>
      <c r="H1769" t="str">
        <f>"0000"</f>
        <v>0000</v>
      </c>
      <c r="I1769" t="s">
        <v>69</v>
      </c>
      <c r="J1769">
        <v>0</v>
      </c>
      <c r="K1769">
        <v>1</v>
      </c>
      <c r="L1769">
        <v>2</v>
      </c>
      <c r="M1769">
        <v>276</v>
      </c>
      <c r="N1769">
        <v>250</v>
      </c>
      <c r="O1769">
        <v>3</v>
      </c>
      <c r="P1769">
        <v>250</v>
      </c>
      <c r="Q1769">
        <v>3</v>
      </c>
      <c r="R1769">
        <v>3</v>
      </c>
      <c r="S1769">
        <v>10</v>
      </c>
      <c r="T1769">
        <v>2</v>
      </c>
      <c r="U1769">
        <v>79</v>
      </c>
      <c r="V1769">
        <v>4</v>
      </c>
      <c r="W1769">
        <v>11</v>
      </c>
      <c r="X1769">
        <v>113</v>
      </c>
      <c r="Y1769">
        <v>1</v>
      </c>
      <c r="Z1769">
        <v>3</v>
      </c>
      <c r="AA1769">
        <v>8</v>
      </c>
      <c r="AB1769">
        <v>2</v>
      </c>
      <c r="AD1769">
        <v>0</v>
      </c>
      <c r="AE1769">
        <v>1</v>
      </c>
      <c r="AF1769">
        <v>0</v>
      </c>
      <c r="AG1769">
        <v>0</v>
      </c>
      <c r="AI1769">
        <v>0</v>
      </c>
      <c r="AJ1769">
        <v>11</v>
      </c>
      <c r="AK1769">
        <v>250</v>
      </c>
      <c r="AL1769">
        <v>251</v>
      </c>
      <c r="AM1769">
        <v>482</v>
      </c>
      <c r="AN1769">
        <v>44</v>
      </c>
      <c r="AP1769">
        <v>1</v>
      </c>
      <c r="AR1769" t="s">
        <v>1858</v>
      </c>
      <c r="AS1769" s="1">
        <v>44354.072916666664</v>
      </c>
      <c r="AT1769" s="1">
        <v>44354.080694444441</v>
      </c>
      <c r="AU1769" s="1">
        <v>44354.081053240741</v>
      </c>
      <c r="AV1769" t="s">
        <v>71</v>
      </c>
      <c r="AW1769" t="s">
        <v>72</v>
      </c>
      <c r="AX1769" t="s">
        <v>73</v>
      </c>
    </row>
    <row r="1770" spans="1:50" x14ac:dyDescent="0.3">
      <c r="A1770" t="str">
        <f>"201681B0000"</f>
        <v>201681B0000</v>
      </c>
      <c r="B1770" t="str">
        <f>"201681B00002"</f>
        <v>201681B00002</v>
      </c>
      <c r="C1770" t="str">
        <f t="shared" si="85"/>
        <v>20</v>
      </c>
      <c r="D1770" t="s">
        <v>67</v>
      </c>
      <c r="E1770" t="str">
        <f t="shared" si="86"/>
        <v>008</v>
      </c>
      <c r="F1770" t="s">
        <v>1759</v>
      </c>
      <c r="G1770" t="str">
        <f>"1681"</f>
        <v>1681</v>
      </c>
      <c r="H1770" t="str">
        <f>"0000"</f>
        <v>0000</v>
      </c>
      <c r="I1770" t="s">
        <v>69</v>
      </c>
      <c r="J1770">
        <v>0</v>
      </c>
      <c r="K1770">
        <v>1</v>
      </c>
      <c r="L1770">
        <v>2</v>
      </c>
      <c r="M1770">
        <v>159</v>
      </c>
      <c r="N1770">
        <v>112</v>
      </c>
      <c r="O1770">
        <v>2</v>
      </c>
      <c r="P1770">
        <v>112</v>
      </c>
      <c r="Q1770">
        <v>2</v>
      </c>
      <c r="R1770">
        <v>2</v>
      </c>
      <c r="S1770">
        <v>9</v>
      </c>
      <c r="T1770">
        <v>2</v>
      </c>
      <c r="U1770">
        <v>55</v>
      </c>
      <c r="V1770">
        <v>2</v>
      </c>
      <c r="W1770">
        <v>15</v>
      </c>
      <c r="X1770">
        <v>10</v>
      </c>
      <c r="Y1770">
        <v>0</v>
      </c>
      <c r="Z1770">
        <v>1</v>
      </c>
      <c r="AA1770">
        <v>9</v>
      </c>
      <c r="AB1770">
        <v>0</v>
      </c>
      <c r="AD1770">
        <v>0</v>
      </c>
      <c r="AE1770">
        <v>0</v>
      </c>
      <c r="AF1770">
        <v>0</v>
      </c>
      <c r="AG1770">
        <v>0</v>
      </c>
      <c r="AI1770">
        <v>0</v>
      </c>
      <c r="AJ1770">
        <v>5</v>
      </c>
      <c r="AK1770">
        <v>112</v>
      </c>
      <c r="AL1770">
        <v>112</v>
      </c>
      <c r="AM1770">
        <v>227</v>
      </c>
      <c r="AN1770">
        <v>44</v>
      </c>
      <c r="AP1770">
        <v>1</v>
      </c>
      <c r="AR1770" t="s">
        <v>1859</v>
      </c>
      <c r="AS1770" s="1">
        <v>44354.080555555556</v>
      </c>
      <c r="AT1770" s="1">
        <v>44354.088530092595</v>
      </c>
      <c r="AU1770" s="1">
        <v>44354.088842592595</v>
      </c>
      <c r="AV1770" t="s">
        <v>71</v>
      </c>
      <c r="AW1770" t="s">
        <v>72</v>
      </c>
      <c r="AX1770" t="s">
        <v>73</v>
      </c>
    </row>
    <row r="1771" spans="1:50" x14ac:dyDescent="0.3">
      <c r="A1771" t="str">
        <f>"201682B0000"</f>
        <v>201682B0000</v>
      </c>
      <c r="B1771" t="str">
        <f>"201682B00002"</f>
        <v>201682B00002</v>
      </c>
      <c r="C1771" t="str">
        <f t="shared" si="85"/>
        <v>20</v>
      </c>
      <c r="D1771" t="s">
        <v>67</v>
      </c>
      <c r="E1771" t="str">
        <f t="shared" si="86"/>
        <v>008</v>
      </c>
      <c r="F1771" t="s">
        <v>1759</v>
      </c>
      <c r="G1771" t="str">
        <f>"1682"</f>
        <v>1682</v>
      </c>
      <c r="H1771" t="str">
        <f>"0000"</f>
        <v>0000</v>
      </c>
      <c r="I1771" t="s">
        <v>69</v>
      </c>
      <c r="J1771">
        <v>0</v>
      </c>
      <c r="K1771">
        <v>1</v>
      </c>
      <c r="L1771">
        <v>2</v>
      </c>
      <c r="M1771" t="s">
        <v>80</v>
      </c>
      <c r="N1771" t="s">
        <v>80</v>
      </c>
      <c r="O1771" t="s">
        <v>80</v>
      </c>
      <c r="P1771" t="s">
        <v>80</v>
      </c>
      <c r="Q1771">
        <v>1</v>
      </c>
      <c r="R1771">
        <v>3</v>
      </c>
      <c r="S1771">
        <v>7</v>
      </c>
      <c r="T1771">
        <v>2</v>
      </c>
      <c r="U1771">
        <v>28</v>
      </c>
      <c r="V1771">
        <v>1</v>
      </c>
      <c r="W1771">
        <v>0</v>
      </c>
      <c r="X1771">
        <v>22</v>
      </c>
      <c r="Y1771">
        <v>1</v>
      </c>
      <c r="Z1771">
        <v>1</v>
      </c>
      <c r="AA1771">
        <v>3</v>
      </c>
      <c r="AB1771">
        <v>2</v>
      </c>
      <c r="AD1771">
        <v>0</v>
      </c>
      <c r="AE1771">
        <v>0</v>
      </c>
      <c r="AF1771">
        <v>0</v>
      </c>
      <c r="AG1771">
        <v>0</v>
      </c>
      <c r="AI1771">
        <v>0</v>
      </c>
      <c r="AJ1771">
        <v>5</v>
      </c>
      <c r="AK1771">
        <v>75</v>
      </c>
      <c r="AL1771">
        <v>76</v>
      </c>
      <c r="AM1771">
        <v>237</v>
      </c>
      <c r="AN1771">
        <v>44</v>
      </c>
      <c r="AP1771">
        <v>1</v>
      </c>
      <c r="AR1771" t="s">
        <v>1860</v>
      </c>
      <c r="AS1771" s="1">
        <v>44354.070833333331</v>
      </c>
      <c r="AT1771" s="1">
        <v>44354.077453703707</v>
      </c>
      <c r="AU1771" s="1">
        <v>44354.078090277777</v>
      </c>
      <c r="AV1771" t="s">
        <v>71</v>
      </c>
      <c r="AW1771" t="s">
        <v>72</v>
      </c>
      <c r="AX1771" t="s">
        <v>73</v>
      </c>
    </row>
    <row r="1772" spans="1:50" x14ac:dyDescent="0.3">
      <c r="A1772" t="str">
        <f>"201682E0100"</f>
        <v>201682E0100</v>
      </c>
      <c r="B1772" t="str">
        <f>"201682E01002"</f>
        <v>201682E01002</v>
      </c>
      <c r="C1772" t="str">
        <f t="shared" si="85"/>
        <v>20</v>
      </c>
      <c r="D1772" t="s">
        <v>67</v>
      </c>
      <c r="E1772" t="str">
        <f t="shared" si="86"/>
        <v>008</v>
      </c>
      <c r="F1772" t="s">
        <v>1759</v>
      </c>
      <c r="G1772" t="str">
        <f>"1682"</f>
        <v>1682</v>
      </c>
      <c r="H1772" t="str">
        <f>"0001"</f>
        <v>0001</v>
      </c>
      <c r="I1772" t="s">
        <v>109</v>
      </c>
      <c r="J1772">
        <v>0</v>
      </c>
      <c r="K1772">
        <v>1</v>
      </c>
      <c r="L1772">
        <v>2</v>
      </c>
      <c r="AM1772">
        <v>141</v>
      </c>
      <c r="AN1772">
        <v>44</v>
      </c>
      <c r="AO1772" t="s">
        <v>143</v>
      </c>
      <c r="AP1772">
        <v>0</v>
      </c>
      <c r="AR1772" t="s">
        <v>1861</v>
      </c>
      <c r="AS1772" s="1">
        <v>44354.745833333334</v>
      </c>
      <c r="AT1772" s="1">
        <v>44354.747835648152</v>
      </c>
      <c r="AU1772" s="1">
        <v>44354.747835648152</v>
      </c>
      <c r="AV1772" t="s">
        <v>71</v>
      </c>
      <c r="AW1772" t="s">
        <v>72</v>
      </c>
      <c r="AX1772" t="s">
        <v>73</v>
      </c>
    </row>
    <row r="1773" spans="1:50" x14ac:dyDescent="0.3">
      <c r="A1773" t="str">
        <f>"201702B0000"</f>
        <v>201702B0000</v>
      </c>
      <c r="B1773" t="str">
        <f>"201702B00002"</f>
        <v>201702B00002</v>
      </c>
      <c r="C1773" t="str">
        <f t="shared" si="85"/>
        <v>20</v>
      </c>
      <c r="D1773" t="s">
        <v>67</v>
      </c>
      <c r="E1773" t="str">
        <f t="shared" si="86"/>
        <v>008</v>
      </c>
      <c r="F1773" t="s">
        <v>1759</v>
      </c>
      <c r="G1773" t="str">
        <f>"1702"</f>
        <v>1702</v>
      </c>
      <c r="H1773" t="str">
        <f>"0000"</f>
        <v>0000</v>
      </c>
      <c r="I1773" t="s">
        <v>69</v>
      </c>
      <c r="J1773">
        <v>0</v>
      </c>
      <c r="K1773">
        <v>1</v>
      </c>
      <c r="L1773">
        <v>2</v>
      </c>
      <c r="M1773">
        <v>377</v>
      </c>
      <c r="N1773">
        <v>253</v>
      </c>
      <c r="O1773">
        <v>0</v>
      </c>
      <c r="P1773">
        <v>253</v>
      </c>
      <c r="Q1773">
        <v>3</v>
      </c>
      <c r="R1773">
        <v>35</v>
      </c>
      <c r="S1773">
        <v>11</v>
      </c>
      <c r="T1773">
        <v>4</v>
      </c>
      <c r="U1773">
        <v>98</v>
      </c>
      <c r="V1773">
        <v>2</v>
      </c>
      <c r="W1773">
        <v>3</v>
      </c>
      <c r="X1773">
        <v>68</v>
      </c>
      <c r="Y1773">
        <v>2</v>
      </c>
      <c r="Z1773">
        <v>5</v>
      </c>
      <c r="AA1773">
        <v>2</v>
      </c>
      <c r="AB1773">
        <v>4</v>
      </c>
      <c r="AD1773">
        <v>2</v>
      </c>
      <c r="AE1773">
        <v>0</v>
      </c>
      <c r="AF1773">
        <v>0</v>
      </c>
      <c r="AG1773">
        <v>0</v>
      </c>
      <c r="AI1773">
        <v>0</v>
      </c>
      <c r="AJ1773">
        <v>14</v>
      </c>
      <c r="AK1773">
        <v>253</v>
      </c>
      <c r="AL1773">
        <v>253</v>
      </c>
      <c r="AM1773">
        <v>586</v>
      </c>
      <c r="AN1773">
        <v>44</v>
      </c>
      <c r="AP1773">
        <v>1</v>
      </c>
      <c r="AR1773" t="s">
        <v>1862</v>
      </c>
      <c r="AS1773" s="1">
        <v>44354.122916666667</v>
      </c>
      <c r="AT1773" s="1">
        <v>44354.125509259262</v>
      </c>
      <c r="AU1773" s="1">
        <v>44354.126018518517</v>
      </c>
      <c r="AV1773" t="s">
        <v>71</v>
      </c>
      <c r="AW1773" t="s">
        <v>72</v>
      </c>
      <c r="AX1773" t="s">
        <v>73</v>
      </c>
    </row>
    <row r="1774" spans="1:50" x14ac:dyDescent="0.3">
      <c r="A1774" t="str">
        <f>"201702C0100"</f>
        <v>201702C0100</v>
      </c>
      <c r="B1774" t="str">
        <f>"201702C01002"</f>
        <v>201702C01002</v>
      </c>
      <c r="C1774" t="str">
        <f t="shared" si="85"/>
        <v>20</v>
      </c>
      <c r="D1774" t="s">
        <v>67</v>
      </c>
      <c r="E1774" t="str">
        <f t="shared" si="86"/>
        <v>008</v>
      </c>
      <c r="F1774" t="s">
        <v>1759</v>
      </c>
      <c r="G1774" t="str">
        <f>"1702"</f>
        <v>1702</v>
      </c>
      <c r="H1774" t="str">
        <f>"0001"</f>
        <v>0001</v>
      </c>
      <c r="I1774" t="s">
        <v>75</v>
      </c>
      <c r="J1774">
        <v>0</v>
      </c>
      <c r="K1774">
        <v>1</v>
      </c>
      <c r="L1774">
        <v>2</v>
      </c>
      <c r="M1774">
        <v>408</v>
      </c>
      <c r="N1774">
        <v>222</v>
      </c>
      <c r="O1774">
        <v>0</v>
      </c>
      <c r="P1774">
        <v>222</v>
      </c>
      <c r="Q1774">
        <v>5</v>
      </c>
      <c r="R1774">
        <v>30</v>
      </c>
      <c r="S1774">
        <v>8</v>
      </c>
      <c r="T1774">
        <v>2</v>
      </c>
      <c r="U1774">
        <v>81</v>
      </c>
      <c r="V1774">
        <v>2</v>
      </c>
      <c r="W1774">
        <v>3</v>
      </c>
      <c r="X1774">
        <v>67</v>
      </c>
      <c r="Y1774">
        <v>0</v>
      </c>
      <c r="Z1774">
        <v>1</v>
      </c>
      <c r="AA1774">
        <v>0</v>
      </c>
      <c r="AB1774">
        <v>3</v>
      </c>
      <c r="AD1774">
        <v>0</v>
      </c>
      <c r="AE1774">
        <v>0</v>
      </c>
      <c r="AF1774">
        <v>0</v>
      </c>
      <c r="AG1774">
        <v>0</v>
      </c>
      <c r="AI1774">
        <v>0</v>
      </c>
      <c r="AJ1774">
        <v>20</v>
      </c>
      <c r="AK1774">
        <v>222</v>
      </c>
      <c r="AL1774">
        <v>222</v>
      </c>
      <c r="AM1774">
        <v>586</v>
      </c>
      <c r="AN1774">
        <v>44</v>
      </c>
      <c r="AP1774">
        <v>1</v>
      </c>
      <c r="AR1774" t="s">
        <v>1863</v>
      </c>
      <c r="AS1774" s="1">
        <v>44354.122916666667</v>
      </c>
      <c r="AT1774" s="1">
        <v>44354.125798611109</v>
      </c>
      <c r="AU1774" s="1">
        <v>44354.126377314817</v>
      </c>
      <c r="AV1774" t="s">
        <v>71</v>
      </c>
      <c r="AW1774" t="s">
        <v>72</v>
      </c>
      <c r="AX1774" t="s">
        <v>73</v>
      </c>
    </row>
    <row r="1775" spans="1:50" x14ac:dyDescent="0.3">
      <c r="A1775" t="str">
        <f>"201702E0100"</f>
        <v>201702E0100</v>
      </c>
      <c r="B1775" t="str">
        <f>"201702E01002"</f>
        <v>201702E01002</v>
      </c>
      <c r="C1775" t="str">
        <f t="shared" si="85"/>
        <v>20</v>
      </c>
      <c r="D1775" t="s">
        <v>67</v>
      </c>
      <c r="E1775" t="str">
        <f t="shared" si="86"/>
        <v>008</v>
      </c>
      <c r="F1775" t="s">
        <v>1759</v>
      </c>
      <c r="G1775" t="str">
        <f>"1702"</f>
        <v>1702</v>
      </c>
      <c r="H1775" t="str">
        <f>"0001"</f>
        <v>0001</v>
      </c>
      <c r="I1775" t="s">
        <v>109</v>
      </c>
      <c r="J1775">
        <v>0</v>
      </c>
      <c r="K1775">
        <v>1</v>
      </c>
      <c r="L1775">
        <v>2</v>
      </c>
      <c r="M1775">
        <v>416</v>
      </c>
      <c r="N1775" t="s">
        <v>80</v>
      </c>
      <c r="O1775" t="s">
        <v>80</v>
      </c>
      <c r="P1775" t="s">
        <v>80</v>
      </c>
      <c r="Q1775">
        <v>2</v>
      </c>
      <c r="R1775">
        <v>86</v>
      </c>
      <c r="S1775">
        <v>10</v>
      </c>
      <c r="T1775">
        <v>2</v>
      </c>
      <c r="U1775">
        <v>41</v>
      </c>
      <c r="V1775">
        <v>1</v>
      </c>
      <c r="W1775">
        <v>1</v>
      </c>
      <c r="X1775">
        <v>89</v>
      </c>
      <c r="Y1775">
        <v>4</v>
      </c>
      <c r="Z1775">
        <v>8</v>
      </c>
      <c r="AA1775">
        <v>0</v>
      </c>
      <c r="AB1775">
        <v>2</v>
      </c>
      <c r="AD1775">
        <v>3</v>
      </c>
      <c r="AE1775">
        <v>0</v>
      </c>
      <c r="AF1775">
        <v>0</v>
      </c>
      <c r="AG1775">
        <v>1</v>
      </c>
      <c r="AI1775">
        <v>0</v>
      </c>
      <c r="AJ1775">
        <v>29</v>
      </c>
      <c r="AK1775">
        <v>279</v>
      </c>
      <c r="AL1775">
        <v>279</v>
      </c>
      <c r="AM1775">
        <v>651</v>
      </c>
      <c r="AN1775">
        <v>44</v>
      </c>
      <c r="AP1775">
        <v>1</v>
      </c>
      <c r="AR1775" t="s">
        <v>1864</v>
      </c>
      <c r="AS1775" s="1">
        <v>44354.161805555559</v>
      </c>
      <c r="AT1775" s="1">
        <v>44354.165567129632</v>
      </c>
      <c r="AU1775" s="1">
        <v>44354.165972222225</v>
      </c>
      <c r="AV1775" t="s">
        <v>71</v>
      </c>
      <c r="AW1775" t="s">
        <v>72</v>
      </c>
      <c r="AX1775" t="s">
        <v>73</v>
      </c>
    </row>
    <row r="1776" spans="1:50" x14ac:dyDescent="0.3">
      <c r="A1776" t="str">
        <f>"201702E0200"</f>
        <v>201702E0200</v>
      </c>
      <c r="B1776" t="str">
        <f>"201702E02002"</f>
        <v>201702E02002</v>
      </c>
      <c r="C1776" t="str">
        <f t="shared" si="85"/>
        <v>20</v>
      </c>
      <c r="D1776" t="s">
        <v>67</v>
      </c>
      <c r="E1776" t="str">
        <f t="shared" si="86"/>
        <v>008</v>
      </c>
      <c r="F1776" t="s">
        <v>1759</v>
      </c>
      <c r="G1776" t="str">
        <f>"1702"</f>
        <v>1702</v>
      </c>
      <c r="H1776" t="str">
        <f>"0002"</f>
        <v>0002</v>
      </c>
      <c r="I1776" t="s">
        <v>109</v>
      </c>
      <c r="J1776">
        <v>0</v>
      </c>
      <c r="K1776">
        <v>1</v>
      </c>
      <c r="L1776">
        <v>2</v>
      </c>
      <c r="M1776">
        <v>277</v>
      </c>
      <c r="N1776">
        <v>473</v>
      </c>
      <c r="O1776">
        <v>2</v>
      </c>
      <c r="P1776">
        <v>196</v>
      </c>
      <c r="Q1776">
        <v>0</v>
      </c>
      <c r="R1776">
        <v>6</v>
      </c>
      <c r="S1776">
        <v>5</v>
      </c>
      <c r="T1776">
        <v>3</v>
      </c>
      <c r="U1776">
        <v>78</v>
      </c>
      <c r="V1776">
        <v>3</v>
      </c>
      <c r="W1776">
        <v>2</v>
      </c>
      <c r="X1776">
        <v>85</v>
      </c>
      <c r="Y1776">
        <v>1</v>
      </c>
      <c r="Z1776">
        <v>1</v>
      </c>
      <c r="AA1776">
        <v>0</v>
      </c>
      <c r="AB1776">
        <v>0</v>
      </c>
      <c r="AD1776">
        <v>0</v>
      </c>
      <c r="AE1776">
        <v>0</v>
      </c>
      <c r="AF1776">
        <v>0</v>
      </c>
      <c r="AG1776">
        <v>0</v>
      </c>
      <c r="AI1776">
        <v>0</v>
      </c>
      <c r="AJ1776">
        <v>11</v>
      </c>
      <c r="AK1776">
        <v>196</v>
      </c>
      <c r="AL1776">
        <v>195</v>
      </c>
      <c r="AM1776">
        <v>429</v>
      </c>
      <c r="AN1776">
        <v>44</v>
      </c>
      <c r="AP1776">
        <v>1</v>
      </c>
      <c r="AR1776" t="s">
        <v>1865</v>
      </c>
      <c r="AS1776" s="1">
        <v>44354.123611111114</v>
      </c>
      <c r="AT1776" s="1">
        <v>44354.125509259262</v>
      </c>
      <c r="AU1776" s="1">
        <v>44354.126215277778</v>
      </c>
      <c r="AV1776" t="s">
        <v>71</v>
      </c>
      <c r="AW1776" t="s">
        <v>72</v>
      </c>
      <c r="AX1776" t="s">
        <v>73</v>
      </c>
    </row>
    <row r="1777" spans="1:50" x14ac:dyDescent="0.3">
      <c r="A1777" t="str">
        <f>"201707B0000"</f>
        <v>201707B0000</v>
      </c>
      <c r="B1777" t="str">
        <f>"201707B00002"</f>
        <v>201707B00002</v>
      </c>
      <c r="C1777" t="str">
        <f t="shared" si="85"/>
        <v>20</v>
      </c>
      <c r="D1777" t="s">
        <v>67</v>
      </c>
      <c r="E1777" t="str">
        <f t="shared" si="86"/>
        <v>008</v>
      </c>
      <c r="F1777" t="s">
        <v>1759</v>
      </c>
      <c r="G1777" t="str">
        <f>"1707"</f>
        <v>1707</v>
      </c>
      <c r="H1777" t="str">
        <f>"0000"</f>
        <v>0000</v>
      </c>
      <c r="I1777" t="s">
        <v>69</v>
      </c>
      <c r="J1777">
        <v>0</v>
      </c>
      <c r="K1777">
        <v>1</v>
      </c>
      <c r="L1777">
        <v>2</v>
      </c>
      <c r="M1777">
        <v>499</v>
      </c>
      <c r="N1777">
        <v>205</v>
      </c>
      <c r="O1777">
        <v>0</v>
      </c>
      <c r="P1777">
        <v>205</v>
      </c>
      <c r="Q1777">
        <v>5</v>
      </c>
      <c r="R1777">
        <v>7</v>
      </c>
      <c r="S1777">
        <v>3</v>
      </c>
      <c r="T1777">
        <v>1</v>
      </c>
      <c r="U1777">
        <v>38</v>
      </c>
      <c r="V1777">
        <v>3</v>
      </c>
      <c r="W1777">
        <v>6</v>
      </c>
      <c r="X1777">
        <v>90</v>
      </c>
      <c r="Y1777">
        <v>0</v>
      </c>
      <c r="Z1777">
        <v>30</v>
      </c>
      <c r="AA1777">
        <v>2</v>
      </c>
      <c r="AB1777">
        <v>10</v>
      </c>
      <c r="AD1777">
        <v>0</v>
      </c>
      <c r="AE1777">
        <v>0</v>
      </c>
      <c r="AF1777">
        <v>0</v>
      </c>
      <c r="AG1777">
        <v>0</v>
      </c>
      <c r="AI1777">
        <v>0</v>
      </c>
      <c r="AJ1777">
        <v>10</v>
      </c>
      <c r="AK1777">
        <v>205</v>
      </c>
      <c r="AL1777">
        <v>205</v>
      </c>
      <c r="AM1777">
        <v>660</v>
      </c>
      <c r="AN1777">
        <v>44</v>
      </c>
      <c r="AP1777">
        <v>1</v>
      </c>
      <c r="AR1777" t="s">
        <v>1866</v>
      </c>
      <c r="AS1777" s="1">
        <v>44354.224305555559</v>
      </c>
      <c r="AT1777" s="1">
        <v>44354.227013888885</v>
      </c>
      <c r="AU1777" s="1">
        <v>44354.228159722225</v>
      </c>
      <c r="AV1777" t="s">
        <v>71</v>
      </c>
      <c r="AW1777" t="s">
        <v>72</v>
      </c>
      <c r="AX1777" t="s">
        <v>73</v>
      </c>
    </row>
    <row r="1778" spans="1:50" x14ac:dyDescent="0.3">
      <c r="A1778" t="str">
        <f>"201707E0100"</f>
        <v>201707E0100</v>
      </c>
      <c r="B1778" t="str">
        <f>"201707E01002"</f>
        <v>201707E01002</v>
      </c>
      <c r="C1778" t="str">
        <f t="shared" si="85"/>
        <v>20</v>
      </c>
      <c r="D1778" t="s">
        <v>67</v>
      </c>
      <c r="E1778" t="str">
        <f t="shared" si="86"/>
        <v>008</v>
      </c>
      <c r="F1778" t="s">
        <v>1759</v>
      </c>
      <c r="G1778" t="str">
        <f>"1707"</f>
        <v>1707</v>
      </c>
      <c r="H1778" t="str">
        <f>"0001"</f>
        <v>0001</v>
      </c>
      <c r="I1778" t="s">
        <v>109</v>
      </c>
      <c r="J1778">
        <v>0</v>
      </c>
      <c r="K1778">
        <v>1</v>
      </c>
      <c r="L1778">
        <v>2</v>
      </c>
      <c r="M1778">
        <v>190</v>
      </c>
      <c r="N1778">
        <v>57</v>
      </c>
      <c r="O1778">
        <v>4</v>
      </c>
      <c r="P1778">
        <v>57</v>
      </c>
      <c r="Q1778">
        <v>0</v>
      </c>
      <c r="R1778">
        <v>2</v>
      </c>
      <c r="S1778">
        <v>1</v>
      </c>
      <c r="T1778">
        <v>0</v>
      </c>
      <c r="U1778">
        <v>39</v>
      </c>
      <c r="V1778">
        <v>0</v>
      </c>
      <c r="W1778">
        <v>0</v>
      </c>
      <c r="X1778">
        <v>11</v>
      </c>
      <c r="Y1778">
        <v>1</v>
      </c>
      <c r="Z1778">
        <v>1</v>
      </c>
      <c r="AA1778">
        <v>0</v>
      </c>
      <c r="AB1778">
        <v>0</v>
      </c>
      <c r="AD1778">
        <v>0</v>
      </c>
      <c r="AE1778">
        <v>0</v>
      </c>
      <c r="AF1778">
        <v>0</v>
      </c>
      <c r="AG1778">
        <v>0</v>
      </c>
      <c r="AI1778">
        <v>0</v>
      </c>
      <c r="AJ1778">
        <v>2</v>
      </c>
      <c r="AK1778">
        <v>57</v>
      </c>
      <c r="AL1778">
        <v>57</v>
      </c>
      <c r="AM1778">
        <v>203</v>
      </c>
      <c r="AN1778">
        <v>44</v>
      </c>
      <c r="AP1778">
        <v>1</v>
      </c>
      <c r="AR1778" t="s">
        <v>1867</v>
      </c>
      <c r="AS1778" s="1">
        <v>44354.210416666669</v>
      </c>
      <c r="AT1778" s="1">
        <v>44354.213159722225</v>
      </c>
      <c r="AU1778" s="1">
        <v>44354.213750000003</v>
      </c>
      <c r="AV1778" t="s">
        <v>71</v>
      </c>
      <c r="AW1778" t="s">
        <v>72</v>
      </c>
      <c r="AX1778" t="s">
        <v>73</v>
      </c>
    </row>
    <row r="1779" spans="1:50" x14ac:dyDescent="0.3">
      <c r="A1779" t="str">
        <f>"201708B0000"</f>
        <v>201708B0000</v>
      </c>
      <c r="B1779" t="str">
        <f>"201708B00002"</f>
        <v>201708B00002</v>
      </c>
      <c r="C1779" t="str">
        <f t="shared" si="85"/>
        <v>20</v>
      </c>
      <c r="D1779" t="s">
        <v>67</v>
      </c>
      <c r="E1779" t="str">
        <f t="shared" si="86"/>
        <v>008</v>
      </c>
      <c r="F1779" t="s">
        <v>1759</v>
      </c>
      <c r="G1779" t="str">
        <f>"1708"</f>
        <v>1708</v>
      </c>
      <c r="H1779" t="str">
        <f>"0000"</f>
        <v>0000</v>
      </c>
      <c r="I1779" t="s">
        <v>69</v>
      </c>
      <c r="J1779">
        <v>0</v>
      </c>
      <c r="K1779">
        <v>1</v>
      </c>
      <c r="L1779">
        <v>2</v>
      </c>
      <c r="M1779">
        <v>147</v>
      </c>
      <c r="N1779">
        <v>126</v>
      </c>
      <c r="O1779">
        <v>0</v>
      </c>
      <c r="P1779">
        <v>126</v>
      </c>
      <c r="Q1779">
        <v>2</v>
      </c>
      <c r="R1779">
        <v>22</v>
      </c>
      <c r="S1779">
        <v>3</v>
      </c>
      <c r="T1779">
        <v>2</v>
      </c>
      <c r="U1779">
        <v>14</v>
      </c>
      <c r="V1779">
        <v>2</v>
      </c>
      <c r="W1779">
        <v>0</v>
      </c>
      <c r="X1779">
        <v>76</v>
      </c>
      <c r="Y1779">
        <v>1</v>
      </c>
      <c r="Z1779">
        <v>1</v>
      </c>
      <c r="AA1779">
        <v>1</v>
      </c>
      <c r="AB1779">
        <v>0</v>
      </c>
      <c r="AD1779">
        <v>0</v>
      </c>
      <c r="AE1779">
        <v>0</v>
      </c>
      <c r="AF1779">
        <v>0</v>
      </c>
      <c r="AG1779">
        <v>0</v>
      </c>
      <c r="AI1779">
        <v>0</v>
      </c>
      <c r="AJ1779">
        <v>2</v>
      </c>
      <c r="AK1779">
        <v>126</v>
      </c>
      <c r="AL1779">
        <v>126</v>
      </c>
      <c r="AM1779">
        <v>229</v>
      </c>
      <c r="AN1779">
        <v>44</v>
      </c>
      <c r="AP1779">
        <v>1</v>
      </c>
      <c r="AR1779" t="s">
        <v>1868</v>
      </c>
      <c r="AS1779" s="1">
        <v>44354.351388888892</v>
      </c>
      <c r="AT1779" s="1">
        <v>44354.354803240742</v>
      </c>
      <c r="AU1779" s="1">
        <v>44354.356064814812</v>
      </c>
      <c r="AV1779" t="s">
        <v>71</v>
      </c>
      <c r="AW1779" t="s">
        <v>72</v>
      </c>
      <c r="AX1779" t="s">
        <v>73</v>
      </c>
    </row>
    <row r="1780" spans="1:50" x14ac:dyDescent="0.3">
      <c r="A1780" t="str">
        <f>"201708E0100"</f>
        <v>201708E0100</v>
      </c>
      <c r="B1780" t="str">
        <f>"201708E01002"</f>
        <v>201708E01002</v>
      </c>
      <c r="C1780" t="str">
        <f t="shared" si="85"/>
        <v>20</v>
      </c>
      <c r="D1780" t="s">
        <v>67</v>
      </c>
      <c r="E1780" t="str">
        <f t="shared" si="86"/>
        <v>008</v>
      </c>
      <c r="F1780" t="s">
        <v>1759</v>
      </c>
      <c r="G1780" t="str">
        <f>"1708"</f>
        <v>1708</v>
      </c>
      <c r="H1780" t="str">
        <f>"0001"</f>
        <v>0001</v>
      </c>
      <c r="I1780" t="s">
        <v>109</v>
      </c>
      <c r="J1780">
        <v>0</v>
      </c>
      <c r="K1780">
        <v>1</v>
      </c>
      <c r="L1780">
        <v>2</v>
      </c>
      <c r="M1780">
        <v>148</v>
      </c>
      <c r="N1780">
        <v>119</v>
      </c>
      <c r="O1780">
        <v>3</v>
      </c>
      <c r="P1780">
        <v>0</v>
      </c>
      <c r="Q1780">
        <v>1</v>
      </c>
      <c r="R1780">
        <v>16</v>
      </c>
      <c r="S1780">
        <v>1</v>
      </c>
      <c r="T1780">
        <v>0</v>
      </c>
      <c r="U1780">
        <v>4</v>
      </c>
      <c r="V1780">
        <v>1</v>
      </c>
      <c r="W1780">
        <v>4</v>
      </c>
      <c r="X1780">
        <v>85</v>
      </c>
      <c r="Y1780">
        <v>1</v>
      </c>
      <c r="Z1780">
        <v>4</v>
      </c>
      <c r="AA1780">
        <v>0</v>
      </c>
      <c r="AB1780">
        <v>0</v>
      </c>
      <c r="AD1780">
        <v>0</v>
      </c>
      <c r="AE1780">
        <v>0</v>
      </c>
      <c r="AF1780">
        <v>0</v>
      </c>
      <c r="AG1780">
        <v>0</v>
      </c>
      <c r="AI1780">
        <v>0</v>
      </c>
      <c r="AJ1780">
        <v>2</v>
      </c>
      <c r="AK1780">
        <v>119</v>
      </c>
      <c r="AL1780">
        <v>119</v>
      </c>
      <c r="AM1780">
        <v>223</v>
      </c>
      <c r="AN1780">
        <v>44</v>
      </c>
      <c r="AP1780">
        <v>1</v>
      </c>
      <c r="AR1780" t="s">
        <v>1869</v>
      </c>
      <c r="AS1780" s="1">
        <v>44354.351388888892</v>
      </c>
      <c r="AT1780" s="1">
        <v>44354.354479166665</v>
      </c>
      <c r="AU1780" s="1">
        <v>44354.355115740742</v>
      </c>
      <c r="AV1780" t="s">
        <v>71</v>
      </c>
      <c r="AW1780" t="s">
        <v>72</v>
      </c>
      <c r="AX1780" t="s">
        <v>73</v>
      </c>
    </row>
    <row r="1781" spans="1:50" x14ac:dyDescent="0.3">
      <c r="A1781" t="str">
        <f>"201771B0000"</f>
        <v>201771B0000</v>
      </c>
      <c r="B1781" t="str">
        <f>"201771B00002"</f>
        <v>201771B00002</v>
      </c>
      <c r="C1781" t="str">
        <f t="shared" si="85"/>
        <v>20</v>
      </c>
      <c r="D1781" t="s">
        <v>67</v>
      </c>
      <c r="E1781" t="str">
        <f t="shared" si="86"/>
        <v>008</v>
      </c>
      <c r="F1781" t="s">
        <v>1759</v>
      </c>
      <c r="G1781" t="str">
        <f>"1771"</f>
        <v>1771</v>
      </c>
      <c r="H1781" t="str">
        <f>"0000"</f>
        <v>0000</v>
      </c>
      <c r="I1781" t="s">
        <v>69</v>
      </c>
      <c r="J1781">
        <v>0</v>
      </c>
      <c r="K1781">
        <v>1</v>
      </c>
      <c r="L1781">
        <v>2</v>
      </c>
      <c r="M1781">
        <v>511</v>
      </c>
      <c r="N1781">
        <v>258</v>
      </c>
      <c r="O1781">
        <v>4</v>
      </c>
      <c r="P1781">
        <v>258</v>
      </c>
      <c r="Q1781">
        <v>5</v>
      </c>
      <c r="R1781">
        <v>57</v>
      </c>
      <c r="S1781">
        <v>19</v>
      </c>
      <c r="T1781">
        <v>6</v>
      </c>
      <c r="U1781">
        <v>54</v>
      </c>
      <c r="V1781">
        <v>1</v>
      </c>
      <c r="W1781">
        <v>2</v>
      </c>
      <c r="X1781">
        <v>94</v>
      </c>
      <c r="Y1781">
        <v>1</v>
      </c>
      <c r="Z1781">
        <v>3</v>
      </c>
      <c r="AA1781">
        <v>0</v>
      </c>
      <c r="AB1781">
        <v>1</v>
      </c>
      <c r="AD1781">
        <v>3</v>
      </c>
      <c r="AE1781">
        <v>1</v>
      </c>
      <c r="AF1781">
        <v>0</v>
      </c>
      <c r="AG1781">
        <v>0</v>
      </c>
      <c r="AI1781">
        <v>0</v>
      </c>
      <c r="AJ1781">
        <v>11</v>
      </c>
      <c r="AK1781">
        <v>258</v>
      </c>
      <c r="AL1781">
        <v>258</v>
      </c>
      <c r="AM1781">
        <v>725</v>
      </c>
      <c r="AN1781">
        <v>44</v>
      </c>
      <c r="AP1781">
        <v>1</v>
      </c>
      <c r="AR1781" t="s">
        <v>1870</v>
      </c>
      <c r="AS1781" s="1">
        <v>44354.103472222225</v>
      </c>
      <c r="AT1781" s="1">
        <v>44354.104745370372</v>
      </c>
      <c r="AU1781" s="1">
        <v>44354.105196759258</v>
      </c>
      <c r="AV1781" t="s">
        <v>71</v>
      </c>
      <c r="AW1781" t="s">
        <v>72</v>
      </c>
      <c r="AX1781" t="s">
        <v>347</v>
      </c>
    </row>
    <row r="1782" spans="1:50" x14ac:dyDescent="0.3">
      <c r="A1782" t="str">
        <f>"201772B0000"</f>
        <v>201772B0000</v>
      </c>
      <c r="B1782" t="str">
        <f>"201772B00002"</f>
        <v>201772B00002</v>
      </c>
      <c r="C1782" t="str">
        <f t="shared" si="85"/>
        <v>20</v>
      </c>
      <c r="D1782" t="s">
        <v>67</v>
      </c>
      <c r="E1782" t="str">
        <f t="shared" si="86"/>
        <v>008</v>
      </c>
      <c r="F1782" t="s">
        <v>1759</v>
      </c>
      <c r="G1782" t="str">
        <f>"1772"</f>
        <v>1772</v>
      </c>
      <c r="H1782" t="str">
        <f>"0000"</f>
        <v>0000</v>
      </c>
      <c r="I1782" t="s">
        <v>69</v>
      </c>
      <c r="J1782">
        <v>0</v>
      </c>
      <c r="K1782">
        <v>1</v>
      </c>
      <c r="L1782">
        <v>2</v>
      </c>
      <c r="M1782">
        <v>458</v>
      </c>
      <c r="N1782">
        <v>243</v>
      </c>
      <c r="O1782">
        <v>4</v>
      </c>
      <c r="P1782">
        <v>243</v>
      </c>
      <c r="Q1782">
        <v>9</v>
      </c>
      <c r="R1782">
        <v>132</v>
      </c>
      <c r="S1782">
        <v>18</v>
      </c>
      <c r="T1782">
        <v>2</v>
      </c>
      <c r="U1782">
        <v>15</v>
      </c>
      <c r="V1782">
        <v>2</v>
      </c>
      <c r="W1782">
        <v>1</v>
      </c>
      <c r="X1782">
        <v>30</v>
      </c>
      <c r="Y1782">
        <v>0</v>
      </c>
      <c r="Z1782">
        <v>1</v>
      </c>
      <c r="AA1782">
        <v>0</v>
      </c>
      <c r="AB1782">
        <v>1</v>
      </c>
      <c r="AD1782">
        <v>8</v>
      </c>
      <c r="AE1782">
        <v>2</v>
      </c>
      <c r="AF1782">
        <v>2</v>
      </c>
      <c r="AG1782">
        <v>2</v>
      </c>
      <c r="AI1782" t="s">
        <v>77</v>
      </c>
      <c r="AJ1782">
        <v>17</v>
      </c>
      <c r="AK1782">
        <v>242</v>
      </c>
      <c r="AL1782">
        <v>242</v>
      </c>
      <c r="AM1782">
        <v>657</v>
      </c>
      <c r="AN1782">
        <v>44</v>
      </c>
      <c r="AO1782" t="s">
        <v>78</v>
      </c>
      <c r="AP1782">
        <v>1</v>
      </c>
      <c r="AR1782" t="s">
        <v>1871</v>
      </c>
      <c r="AS1782" s="1">
        <v>44354.064583333333</v>
      </c>
      <c r="AT1782" s="1">
        <v>44354.070011574076</v>
      </c>
      <c r="AU1782" s="1">
        <v>44354.070509259262</v>
      </c>
      <c r="AV1782" t="s">
        <v>71</v>
      </c>
      <c r="AW1782" t="s">
        <v>72</v>
      </c>
      <c r="AX1782" t="s">
        <v>73</v>
      </c>
    </row>
    <row r="1783" spans="1:50" x14ac:dyDescent="0.3">
      <c r="A1783" t="str">
        <f>"201773B0000"</f>
        <v>201773B0000</v>
      </c>
      <c r="B1783" t="str">
        <f>"201773B00002"</f>
        <v>201773B00002</v>
      </c>
      <c r="C1783" t="str">
        <f t="shared" si="85"/>
        <v>20</v>
      </c>
      <c r="D1783" t="s">
        <v>67</v>
      </c>
      <c r="E1783" t="str">
        <f t="shared" si="86"/>
        <v>008</v>
      </c>
      <c r="F1783" t="s">
        <v>1759</v>
      </c>
      <c r="G1783" t="str">
        <f>"1773"</f>
        <v>1773</v>
      </c>
      <c r="H1783" t="str">
        <f>"0000"</f>
        <v>0000</v>
      </c>
      <c r="I1783" t="s">
        <v>69</v>
      </c>
      <c r="J1783">
        <v>0</v>
      </c>
      <c r="K1783">
        <v>1</v>
      </c>
      <c r="L1783">
        <v>2</v>
      </c>
      <c r="M1783">
        <v>376</v>
      </c>
      <c r="N1783">
        <v>372</v>
      </c>
      <c r="O1783">
        <v>3</v>
      </c>
      <c r="P1783">
        <v>372</v>
      </c>
      <c r="Q1783">
        <v>14</v>
      </c>
      <c r="R1783">
        <v>130</v>
      </c>
      <c r="S1783">
        <v>25</v>
      </c>
      <c r="T1783">
        <v>13</v>
      </c>
      <c r="U1783">
        <v>65</v>
      </c>
      <c r="V1783">
        <v>2</v>
      </c>
      <c r="W1783">
        <v>4</v>
      </c>
      <c r="X1783">
        <v>52</v>
      </c>
      <c r="Y1783">
        <v>3</v>
      </c>
      <c r="Z1783">
        <v>2</v>
      </c>
      <c r="AA1783">
        <v>3</v>
      </c>
      <c r="AB1783">
        <v>1</v>
      </c>
      <c r="AD1783">
        <v>8</v>
      </c>
      <c r="AE1783">
        <v>2</v>
      </c>
      <c r="AF1783">
        <v>1</v>
      </c>
      <c r="AG1783">
        <v>4</v>
      </c>
      <c r="AI1783">
        <v>0</v>
      </c>
      <c r="AJ1783">
        <v>43</v>
      </c>
      <c r="AK1783">
        <v>372</v>
      </c>
      <c r="AL1783">
        <v>372</v>
      </c>
      <c r="AM1783">
        <v>704</v>
      </c>
      <c r="AN1783">
        <v>44</v>
      </c>
      <c r="AP1783">
        <v>1</v>
      </c>
      <c r="AR1783" t="s">
        <v>1872</v>
      </c>
      <c r="AS1783" s="1">
        <v>44354.060416666667</v>
      </c>
      <c r="AT1783" s="1">
        <v>44354.06689814815</v>
      </c>
      <c r="AU1783" s="1">
        <v>44354.067326388889</v>
      </c>
      <c r="AV1783" t="s">
        <v>71</v>
      </c>
      <c r="AW1783" t="s">
        <v>72</v>
      </c>
      <c r="AX1783" t="s">
        <v>73</v>
      </c>
    </row>
    <row r="1784" spans="1:50" x14ac:dyDescent="0.3">
      <c r="A1784" t="str">
        <f>"201773E0100"</f>
        <v>201773E0100</v>
      </c>
      <c r="B1784" t="str">
        <f>"201773E01002"</f>
        <v>201773E01002</v>
      </c>
      <c r="C1784" t="str">
        <f t="shared" si="85"/>
        <v>20</v>
      </c>
      <c r="D1784" t="s">
        <v>67</v>
      </c>
      <c r="E1784" t="str">
        <f t="shared" si="86"/>
        <v>008</v>
      </c>
      <c r="F1784" t="s">
        <v>1759</v>
      </c>
      <c r="G1784" t="str">
        <f>"1773"</f>
        <v>1773</v>
      </c>
      <c r="H1784" t="str">
        <f>"0001"</f>
        <v>0001</v>
      </c>
      <c r="I1784" t="s">
        <v>109</v>
      </c>
      <c r="J1784">
        <v>0</v>
      </c>
      <c r="K1784">
        <v>1</v>
      </c>
      <c r="L1784">
        <v>2</v>
      </c>
      <c r="M1784">
        <v>195</v>
      </c>
      <c r="N1784">
        <v>85</v>
      </c>
      <c r="O1784">
        <v>5</v>
      </c>
      <c r="P1784">
        <v>85</v>
      </c>
      <c r="Q1784">
        <v>1</v>
      </c>
      <c r="R1784">
        <v>19</v>
      </c>
      <c r="S1784">
        <v>6</v>
      </c>
      <c r="T1784">
        <v>3</v>
      </c>
      <c r="U1784">
        <v>11</v>
      </c>
      <c r="V1784">
        <v>0</v>
      </c>
      <c r="W1784">
        <v>1</v>
      </c>
      <c r="X1784">
        <v>34</v>
      </c>
      <c r="Y1784">
        <v>0</v>
      </c>
      <c r="Z1784">
        <v>1</v>
      </c>
      <c r="AA1784">
        <v>2</v>
      </c>
      <c r="AB1784">
        <v>1</v>
      </c>
      <c r="AD1784">
        <v>26</v>
      </c>
      <c r="AE1784">
        <v>20</v>
      </c>
      <c r="AF1784">
        <v>7</v>
      </c>
      <c r="AG1784">
        <v>25</v>
      </c>
      <c r="AI1784">
        <v>0</v>
      </c>
      <c r="AJ1784">
        <v>6</v>
      </c>
      <c r="AK1784">
        <v>85</v>
      </c>
      <c r="AL1784">
        <v>163</v>
      </c>
      <c r="AM1784">
        <v>236</v>
      </c>
      <c r="AN1784">
        <v>44</v>
      </c>
      <c r="AP1784">
        <v>1</v>
      </c>
      <c r="AR1784" t="s">
        <v>1873</v>
      </c>
      <c r="AS1784" s="1">
        <v>44354.070138888892</v>
      </c>
      <c r="AT1784" s="1">
        <v>44354.076689814814</v>
      </c>
      <c r="AU1784" s="1">
        <v>44354.077453703707</v>
      </c>
      <c r="AV1784" t="s">
        <v>71</v>
      </c>
      <c r="AW1784" t="s">
        <v>72</v>
      </c>
      <c r="AX1784" t="s">
        <v>73</v>
      </c>
    </row>
    <row r="1785" spans="1:50" x14ac:dyDescent="0.3">
      <c r="A1785" t="str">
        <f>"201774B0000"</f>
        <v>201774B0000</v>
      </c>
      <c r="B1785" t="str">
        <f>"201774B00002"</f>
        <v>201774B00002</v>
      </c>
      <c r="C1785" t="str">
        <f t="shared" si="85"/>
        <v>20</v>
      </c>
      <c r="D1785" t="s">
        <v>67</v>
      </c>
      <c r="E1785" t="str">
        <f t="shared" si="86"/>
        <v>008</v>
      </c>
      <c r="F1785" t="s">
        <v>1759</v>
      </c>
      <c r="G1785" t="str">
        <f>"1774"</f>
        <v>1774</v>
      </c>
      <c r="H1785" t="str">
        <f>"0000"</f>
        <v>0000</v>
      </c>
      <c r="I1785" t="s">
        <v>69</v>
      </c>
      <c r="J1785">
        <v>0</v>
      </c>
      <c r="K1785">
        <v>1</v>
      </c>
      <c r="L1785">
        <v>2</v>
      </c>
      <c r="M1785">
        <v>434</v>
      </c>
      <c r="N1785">
        <v>197</v>
      </c>
      <c r="O1785">
        <v>0</v>
      </c>
      <c r="P1785">
        <v>197</v>
      </c>
      <c r="Q1785">
        <v>2</v>
      </c>
      <c r="R1785">
        <v>14</v>
      </c>
      <c r="S1785">
        <v>10</v>
      </c>
      <c r="T1785">
        <v>5</v>
      </c>
      <c r="U1785">
        <v>110</v>
      </c>
      <c r="V1785">
        <v>2</v>
      </c>
      <c r="W1785">
        <v>1</v>
      </c>
      <c r="X1785">
        <v>44</v>
      </c>
      <c r="Y1785">
        <v>1</v>
      </c>
      <c r="Z1785">
        <v>1</v>
      </c>
      <c r="AA1785">
        <v>3</v>
      </c>
      <c r="AB1785">
        <v>1</v>
      </c>
      <c r="AD1785">
        <v>1</v>
      </c>
      <c r="AE1785">
        <v>0</v>
      </c>
      <c r="AF1785">
        <v>0</v>
      </c>
      <c r="AG1785">
        <v>0</v>
      </c>
      <c r="AI1785">
        <v>0</v>
      </c>
      <c r="AJ1785">
        <v>2</v>
      </c>
      <c r="AK1785">
        <v>197</v>
      </c>
      <c r="AL1785">
        <v>197</v>
      </c>
      <c r="AM1785">
        <v>587</v>
      </c>
      <c r="AN1785">
        <v>44</v>
      </c>
      <c r="AP1785">
        <v>1</v>
      </c>
      <c r="AR1785" t="s">
        <v>1874</v>
      </c>
      <c r="AS1785" s="1">
        <v>44354.231249999997</v>
      </c>
      <c r="AT1785" s="1">
        <v>44354.233749999999</v>
      </c>
      <c r="AU1785" s="1">
        <v>44354.234583333331</v>
      </c>
      <c r="AV1785" t="s">
        <v>71</v>
      </c>
      <c r="AW1785" t="s">
        <v>72</v>
      </c>
      <c r="AX1785" t="s">
        <v>73</v>
      </c>
    </row>
    <row r="1786" spans="1:50" x14ac:dyDescent="0.3">
      <c r="A1786" t="str">
        <f>"201774C0100"</f>
        <v>201774C0100</v>
      </c>
      <c r="B1786" t="str">
        <f>"201774C01002"</f>
        <v>201774C01002</v>
      </c>
      <c r="C1786" t="str">
        <f t="shared" si="85"/>
        <v>20</v>
      </c>
      <c r="D1786" t="s">
        <v>67</v>
      </c>
      <c r="E1786" t="str">
        <f t="shared" si="86"/>
        <v>008</v>
      </c>
      <c r="F1786" t="s">
        <v>1759</v>
      </c>
      <c r="G1786" t="str">
        <f>"1774"</f>
        <v>1774</v>
      </c>
      <c r="H1786" t="str">
        <f>"0001"</f>
        <v>0001</v>
      </c>
      <c r="I1786" t="s">
        <v>75</v>
      </c>
      <c r="J1786">
        <v>0</v>
      </c>
      <c r="K1786">
        <v>1</v>
      </c>
      <c r="L1786">
        <v>2</v>
      </c>
      <c r="M1786">
        <v>403</v>
      </c>
      <c r="N1786" t="s">
        <v>80</v>
      </c>
      <c r="O1786" t="s">
        <v>80</v>
      </c>
      <c r="P1786">
        <v>228</v>
      </c>
      <c r="Q1786">
        <v>4</v>
      </c>
      <c r="R1786">
        <v>6</v>
      </c>
      <c r="S1786">
        <v>15</v>
      </c>
      <c r="T1786">
        <v>10</v>
      </c>
      <c r="U1786">
        <v>124</v>
      </c>
      <c r="V1786">
        <v>2</v>
      </c>
      <c r="W1786">
        <v>3</v>
      </c>
      <c r="X1786">
        <v>51</v>
      </c>
      <c r="Y1786" t="s">
        <v>77</v>
      </c>
      <c r="Z1786">
        <v>4</v>
      </c>
      <c r="AA1786">
        <v>3</v>
      </c>
      <c r="AB1786" t="s">
        <v>77</v>
      </c>
      <c r="AD1786" t="s">
        <v>77</v>
      </c>
      <c r="AE1786" t="s">
        <v>77</v>
      </c>
      <c r="AF1786" t="s">
        <v>77</v>
      </c>
      <c r="AG1786" t="s">
        <v>77</v>
      </c>
      <c r="AI1786" t="s">
        <v>77</v>
      </c>
      <c r="AJ1786">
        <v>6</v>
      </c>
      <c r="AK1786">
        <v>228</v>
      </c>
      <c r="AL1786">
        <v>228</v>
      </c>
      <c r="AM1786">
        <v>587</v>
      </c>
      <c r="AN1786">
        <v>44</v>
      </c>
      <c r="AO1786" t="s">
        <v>78</v>
      </c>
      <c r="AP1786">
        <v>1</v>
      </c>
      <c r="AR1786" t="s">
        <v>1875</v>
      </c>
      <c r="AS1786" s="1">
        <v>44354.231944444444</v>
      </c>
      <c r="AT1786" s="1">
        <v>44354.235277777778</v>
      </c>
      <c r="AU1786" s="1">
        <v>44354.235937500001</v>
      </c>
      <c r="AV1786" t="s">
        <v>71</v>
      </c>
      <c r="AW1786" t="s">
        <v>72</v>
      </c>
      <c r="AX1786" t="s">
        <v>73</v>
      </c>
    </row>
    <row r="1787" spans="1:50" x14ac:dyDescent="0.3">
      <c r="A1787" t="str">
        <f>"201775B0000"</f>
        <v>201775B0000</v>
      </c>
      <c r="B1787" t="str">
        <f>"201775B00002"</f>
        <v>201775B00002</v>
      </c>
      <c r="C1787" t="str">
        <f t="shared" si="85"/>
        <v>20</v>
      </c>
      <c r="D1787" t="s">
        <v>67</v>
      </c>
      <c r="E1787" t="str">
        <f t="shared" si="86"/>
        <v>008</v>
      </c>
      <c r="F1787" t="s">
        <v>1759</v>
      </c>
      <c r="G1787" t="str">
        <f>"1775"</f>
        <v>1775</v>
      </c>
      <c r="H1787" t="str">
        <f>"0000"</f>
        <v>0000</v>
      </c>
      <c r="I1787" t="s">
        <v>69</v>
      </c>
      <c r="J1787">
        <v>0</v>
      </c>
      <c r="K1787">
        <v>1</v>
      </c>
      <c r="L1787">
        <v>2</v>
      </c>
      <c r="M1787">
        <v>313</v>
      </c>
      <c r="N1787">
        <v>181</v>
      </c>
      <c r="O1787">
        <v>0</v>
      </c>
      <c r="P1787">
        <v>181</v>
      </c>
      <c r="Q1787">
        <v>3</v>
      </c>
      <c r="R1787">
        <v>20</v>
      </c>
      <c r="S1787">
        <v>14</v>
      </c>
      <c r="T1787">
        <v>4</v>
      </c>
      <c r="U1787">
        <v>65</v>
      </c>
      <c r="V1787">
        <v>2</v>
      </c>
      <c r="W1787">
        <v>3</v>
      </c>
      <c r="X1787">
        <v>46</v>
      </c>
      <c r="Y1787">
        <v>0</v>
      </c>
      <c r="Z1787">
        <v>4</v>
      </c>
      <c r="AA1787">
        <v>3</v>
      </c>
      <c r="AB1787">
        <v>2</v>
      </c>
      <c r="AD1787">
        <v>0</v>
      </c>
      <c r="AE1787">
        <v>0</v>
      </c>
      <c r="AF1787">
        <v>0</v>
      </c>
      <c r="AG1787">
        <v>0</v>
      </c>
      <c r="AI1787">
        <v>0</v>
      </c>
      <c r="AJ1787">
        <v>15</v>
      </c>
      <c r="AK1787">
        <v>181</v>
      </c>
      <c r="AL1787">
        <v>181</v>
      </c>
      <c r="AM1787">
        <v>450</v>
      </c>
      <c r="AN1787">
        <v>44</v>
      </c>
      <c r="AP1787">
        <v>1</v>
      </c>
      <c r="AR1787" t="s">
        <v>1876</v>
      </c>
      <c r="AS1787" s="1">
        <v>44354.072222222225</v>
      </c>
      <c r="AT1787" s="1">
        <v>44354.080266203702</v>
      </c>
      <c r="AU1787" s="1">
        <v>44354.080636574072</v>
      </c>
      <c r="AV1787" t="s">
        <v>71</v>
      </c>
      <c r="AW1787" t="s">
        <v>72</v>
      </c>
      <c r="AX1787" t="s">
        <v>73</v>
      </c>
    </row>
    <row r="1788" spans="1:50" x14ac:dyDescent="0.3">
      <c r="A1788" t="str">
        <f>"201775C0100"</f>
        <v>201775C0100</v>
      </c>
      <c r="B1788" t="str">
        <f>"201775C01002"</f>
        <v>201775C01002</v>
      </c>
      <c r="C1788" t="str">
        <f t="shared" si="85"/>
        <v>20</v>
      </c>
      <c r="D1788" t="s">
        <v>67</v>
      </c>
      <c r="E1788" t="str">
        <f t="shared" si="86"/>
        <v>008</v>
      </c>
      <c r="F1788" t="s">
        <v>1759</v>
      </c>
      <c r="G1788" t="str">
        <f>"1775"</f>
        <v>1775</v>
      </c>
      <c r="H1788" t="str">
        <f>"0001"</f>
        <v>0001</v>
      </c>
      <c r="I1788" t="s">
        <v>75</v>
      </c>
      <c r="J1788">
        <v>0</v>
      </c>
      <c r="K1788">
        <v>1</v>
      </c>
      <c r="L1788">
        <v>2</v>
      </c>
      <c r="M1788">
        <v>329</v>
      </c>
      <c r="N1788">
        <v>165</v>
      </c>
      <c r="O1788">
        <v>0</v>
      </c>
      <c r="P1788">
        <v>165</v>
      </c>
      <c r="Q1788">
        <v>3</v>
      </c>
      <c r="R1788">
        <v>14</v>
      </c>
      <c r="S1788">
        <v>8</v>
      </c>
      <c r="T1788">
        <v>2</v>
      </c>
      <c r="U1788">
        <v>45</v>
      </c>
      <c r="V1788">
        <v>1</v>
      </c>
      <c r="W1788">
        <v>3</v>
      </c>
      <c r="X1788">
        <v>7</v>
      </c>
      <c r="Y1788">
        <v>0</v>
      </c>
      <c r="Z1788">
        <v>3</v>
      </c>
      <c r="AA1788">
        <v>3</v>
      </c>
      <c r="AB1788">
        <v>1</v>
      </c>
      <c r="AD1788">
        <v>3</v>
      </c>
      <c r="AE1788" t="s">
        <v>77</v>
      </c>
      <c r="AF1788" t="s">
        <v>77</v>
      </c>
      <c r="AG1788" t="s">
        <v>77</v>
      </c>
      <c r="AI1788" t="s">
        <v>77</v>
      </c>
      <c r="AJ1788">
        <v>12</v>
      </c>
      <c r="AK1788">
        <v>165</v>
      </c>
      <c r="AL1788">
        <v>105</v>
      </c>
      <c r="AM1788">
        <v>450</v>
      </c>
      <c r="AN1788">
        <v>44</v>
      </c>
      <c r="AO1788" t="s">
        <v>78</v>
      </c>
      <c r="AP1788">
        <v>1</v>
      </c>
      <c r="AR1788" t="s">
        <v>1877</v>
      </c>
      <c r="AS1788" s="1">
        <v>44354.067361111112</v>
      </c>
      <c r="AT1788" s="1">
        <v>44354.076180555552</v>
      </c>
      <c r="AU1788" s="1">
        <v>44354.076956018522</v>
      </c>
      <c r="AV1788" t="s">
        <v>71</v>
      </c>
      <c r="AW1788" t="s">
        <v>72</v>
      </c>
      <c r="AX1788" t="s">
        <v>73</v>
      </c>
    </row>
    <row r="1789" spans="1:50" x14ac:dyDescent="0.3">
      <c r="A1789" t="str">
        <f>"201828B0000"</f>
        <v>201828B0000</v>
      </c>
      <c r="B1789" t="str">
        <f>"201828B00002"</f>
        <v>201828B00002</v>
      </c>
      <c r="C1789" t="str">
        <f t="shared" si="85"/>
        <v>20</v>
      </c>
      <c r="D1789" t="s">
        <v>67</v>
      </c>
      <c r="E1789" t="str">
        <f t="shared" si="86"/>
        <v>008</v>
      </c>
      <c r="F1789" t="s">
        <v>1759</v>
      </c>
      <c r="G1789" t="str">
        <f>"1828"</f>
        <v>1828</v>
      </c>
      <c r="H1789" t="str">
        <f>"0000"</f>
        <v>0000</v>
      </c>
      <c r="I1789" t="s">
        <v>69</v>
      </c>
      <c r="J1789">
        <v>0</v>
      </c>
      <c r="K1789">
        <v>1</v>
      </c>
      <c r="L1789">
        <v>2</v>
      </c>
      <c r="M1789">
        <v>257</v>
      </c>
      <c r="N1789">
        <v>151</v>
      </c>
      <c r="O1789">
        <v>0</v>
      </c>
      <c r="P1789">
        <v>151</v>
      </c>
      <c r="Q1789">
        <v>6</v>
      </c>
      <c r="R1789">
        <v>39</v>
      </c>
      <c r="S1789">
        <v>5</v>
      </c>
      <c r="T1789">
        <v>1</v>
      </c>
      <c r="U1789">
        <v>11</v>
      </c>
      <c r="V1789">
        <v>1</v>
      </c>
      <c r="W1789">
        <v>2</v>
      </c>
      <c r="X1789">
        <v>75</v>
      </c>
      <c r="Y1789">
        <v>3</v>
      </c>
      <c r="Z1789">
        <v>3</v>
      </c>
      <c r="AA1789">
        <v>1</v>
      </c>
      <c r="AB1789">
        <v>1</v>
      </c>
      <c r="AD1789">
        <v>0</v>
      </c>
      <c r="AE1789">
        <v>0</v>
      </c>
      <c r="AF1789">
        <v>0</v>
      </c>
      <c r="AG1789">
        <v>0</v>
      </c>
      <c r="AI1789">
        <v>0</v>
      </c>
      <c r="AJ1789">
        <v>3</v>
      </c>
      <c r="AK1789">
        <v>151</v>
      </c>
      <c r="AL1789">
        <v>151</v>
      </c>
      <c r="AM1789">
        <v>364</v>
      </c>
      <c r="AN1789">
        <v>44</v>
      </c>
      <c r="AP1789">
        <v>1</v>
      </c>
      <c r="AR1789" t="s">
        <v>1878</v>
      </c>
      <c r="AS1789" s="1">
        <v>44354.038194444445</v>
      </c>
      <c r="AT1789" s="1">
        <v>44354.047233796293</v>
      </c>
      <c r="AU1789" s="1">
        <v>44354.048194444447</v>
      </c>
      <c r="AV1789" t="s">
        <v>71</v>
      </c>
      <c r="AW1789" t="s">
        <v>72</v>
      </c>
      <c r="AX1789" t="s">
        <v>73</v>
      </c>
    </row>
    <row r="1790" spans="1:50" x14ac:dyDescent="0.3">
      <c r="A1790" t="str">
        <f>"201880B0000"</f>
        <v>201880B0000</v>
      </c>
      <c r="B1790" t="str">
        <f>"201880B00002"</f>
        <v>201880B00002</v>
      </c>
      <c r="C1790" t="str">
        <f t="shared" si="85"/>
        <v>20</v>
      </c>
      <c r="D1790" t="s">
        <v>67</v>
      </c>
      <c r="E1790" t="str">
        <f t="shared" si="86"/>
        <v>008</v>
      </c>
      <c r="F1790" t="s">
        <v>1759</v>
      </c>
      <c r="G1790" t="str">
        <f>"1880"</f>
        <v>1880</v>
      </c>
      <c r="H1790" t="str">
        <f>"0000"</f>
        <v>0000</v>
      </c>
      <c r="I1790" t="s">
        <v>69</v>
      </c>
      <c r="J1790">
        <v>0</v>
      </c>
      <c r="K1790">
        <v>1</v>
      </c>
      <c r="L1790">
        <v>2</v>
      </c>
      <c r="M1790">
        <v>107</v>
      </c>
      <c r="N1790">
        <v>132</v>
      </c>
      <c r="O1790">
        <v>1</v>
      </c>
      <c r="P1790">
        <v>132</v>
      </c>
      <c r="Q1790">
        <v>0</v>
      </c>
      <c r="R1790">
        <v>34</v>
      </c>
      <c r="S1790">
        <v>2</v>
      </c>
      <c r="T1790">
        <v>2</v>
      </c>
      <c r="U1790">
        <v>2</v>
      </c>
      <c r="V1790">
        <v>2</v>
      </c>
      <c r="W1790">
        <v>1</v>
      </c>
      <c r="X1790">
        <v>84</v>
      </c>
      <c r="Y1790">
        <v>0</v>
      </c>
      <c r="Z1790">
        <v>1</v>
      </c>
      <c r="AA1790">
        <v>0</v>
      </c>
      <c r="AB1790">
        <v>1</v>
      </c>
      <c r="AD1790">
        <v>1</v>
      </c>
      <c r="AE1790">
        <v>0</v>
      </c>
      <c r="AF1790">
        <v>0</v>
      </c>
      <c r="AG1790">
        <v>0</v>
      </c>
      <c r="AI1790">
        <v>0</v>
      </c>
      <c r="AJ1790">
        <v>2</v>
      </c>
      <c r="AK1790">
        <v>132</v>
      </c>
      <c r="AL1790">
        <v>132</v>
      </c>
      <c r="AM1790">
        <v>195</v>
      </c>
      <c r="AN1790">
        <v>44</v>
      </c>
      <c r="AP1790">
        <v>1</v>
      </c>
      <c r="AR1790" t="s">
        <v>1879</v>
      </c>
      <c r="AS1790" s="1">
        <v>44354.350694444445</v>
      </c>
      <c r="AT1790" s="1">
        <v>44354.354328703703</v>
      </c>
      <c r="AU1790" s="1">
        <v>44354.355011574073</v>
      </c>
      <c r="AV1790" t="s">
        <v>71</v>
      </c>
      <c r="AW1790" t="s">
        <v>72</v>
      </c>
      <c r="AX1790" t="s">
        <v>73</v>
      </c>
    </row>
    <row r="1791" spans="1:50" x14ac:dyDescent="0.3">
      <c r="A1791" t="str">
        <f>"201881B0000"</f>
        <v>201881B0000</v>
      </c>
      <c r="B1791" t="str">
        <f>"201881B00002"</f>
        <v>201881B00002</v>
      </c>
      <c r="C1791" t="str">
        <f t="shared" si="85"/>
        <v>20</v>
      </c>
      <c r="D1791" t="s">
        <v>67</v>
      </c>
      <c r="E1791" t="str">
        <f t="shared" si="86"/>
        <v>008</v>
      </c>
      <c r="F1791" t="s">
        <v>1759</v>
      </c>
      <c r="G1791" t="str">
        <f>"1881"</f>
        <v>1881</v>
      </c>
      <c r="H1791" t="str">
        <f>"0000"</f>
        <v>0000</v>
      </c>
      <c r="I1791" t="s">
        <v>69</v>
      </c>
      <c r="J1791">
        <v>0</v>
      </c>
      <c r="K1791">
        <v>1</v>
      </c>
      <c r="L1791">
        <v>2</v>
      </c>
      <c r="M1791">
        <v>101</v>
      </c>
      <c r="N1791">
        <v>51</v>
      </c>
      <c r="O1791">
        <v>2</v>
      </c>
      <c r="P1791">
        <v>51</v>
      </c>
      <c r="Q1791">
        <v>5</v>
      </c>
      <c r="R1791">
        <v>6</v>
      </c>
      <c r="S1791">
        <v>3</v>
      </c>
      <c r="T1791">
        <v>1</v>
      </c>
      <c r="U1791">
        <v>3</v>
      </c>
      <c r="V1791">
        <v>3</v>
      </c>
      <c r="W1791">
        <v>0</v>
      </c>
      <c r="X1791">
        <v>23</v>
      </c>
      <c r="Y1791">
        <v>0</v>
      </c>
      <c r="Z1791">
        <v>1</v>
      </c>
      <c r="AA1791">
        <v>0</v>
      </c>
      <c r="AB1791">
        <v>0</v>
      </c>
      <c r="AD1791">
        <v>0</v>
      </c>
      <c r="AE1791">
        <v>0</v>
      </c>
      <c r="AF1791">
        <v>0</v>
      </c>
      <c r="AG1791">
        <v>0</v>
      </c>
      <c r="AI1791">
        <v>0</v>
      </c>
      <c r="AJ1791">
        <v>6</v>
      </c>
      <c r="AK1791">
        <v>51</v>
      </c>
      <c r="AL1791">
        <v>51</v>
      </c>
      <c r="AM1791">
        <v>109</v>
      </c>
      <c r="AN1791">
        <v>44</v>
      </c>
      <c r="AP1791">
        <v>1</v>
      </c>
      <c r="AR1791" t="s">
        <v>1880</v>
      </c>
      <c r="AS1791" s="1">
        <v>44354.351388888892</v>
      </c>
      <c r="AT1791" s="1">
        <v>44354.355011574073</v>
      </c>
      <c r="AU1791" s="1">
        <v>44354.355763888889</v>
      </c>
      <c r="AV1791" t="s">
        <v>71</v>
      </c>
      <c r="AW1791" t="s">
        <v>72</v>
      </c>
      <c r="AX1791" t="s">
        <v>73</v>
      </c>
    </row>
    <row r="1792" spans="1:50" x14ac:dyDescent="0.3">
      <c r="A1792" t="str">
        <f>"201881E0100"</f>
        <v>201881E0100</v>
      </c>
      <c r="B1792" t="str">
        <f>"201881E01002"</f>
        <v>201881E01002</v>
      </c>
      <c r="C1792" t="str">
        <f t="shared" si="85"/>
        <v>20</v>
      </c>
      <c r="D1792" t="s">
        <v>67</v>
      </c>
      <c r="E1792" t="str">
        <f t="shared" si="86"/>
        <v>008</v>
      </c>
      <c r="F1792" t="s">
        <v>1759</v>
      </c>
      <c r="G1792" t="str">
        <f>"1881"</f>
        <v>1881</v>
      </c>
      <c r="H1792" t="str">
        <f>"0001"</f>
        <v>0001</v>
      </c>
      <c r="I1792" t="s">
        <v>109</v>
      </c>
      <c r="J1792">
        <v>0</v>
      </c>
      <c r="K1792">
        <v>1</v>
      </c>
      <c r="L1792">
        <v>2</v>
      </c>
      <c r="M1792">
        <v>79</v>
      </c>
      <c r="N1792">
        <v>61</v>
      </c>
      <c r="O1792">
        <v>0</v>
      </c>
      <c r="P1792">
        <v>61</v>
      </c>
      <c r="Q1792">
        <v>0</v>
      </c>
      <c r="R1792">
        <v>13</v>
      </c>
      <c r="S1792">
        <v>3</v>
      </c>
      <c r="T1792">
        <v>1</v>
      </c>
      <c r="U1792">
        <v>5</v>
      </c>
      <c r="V1792">
        <v>0</v>
      </c>
      <c r="W1792">
        <v>1</v>
      </c>
      <c r="X1792">
        <v>36</v>
      </c>
      <c r="Y1792">
        <v>0</v>
      </c>
      <c r="Z1792">
        <v>1</v>
      </c>
      <c r="AA1792">
        <v>0</v>
      </c>
      <c r="AB1792">
        <v>0</v>
      </c>
      <c r="AD1792">
        <v>1</v>
      </c>
      <c r="AE1792">
        <v>0</v>
      </c>
      <c r="AF1792">
        <v>0</v>
      </c>
      <c r="AG1792">
        <v>0</v>
      </c>
      <c r="AI1792">
        <v>0</v>
      </c>
      <c r="AJ1792">
        <v>0</v>
      </c>
      <c r="AK1792">
        <v>61</v>
      </c>
      <c r="AL1792">
        <v>61</v>
      </c>
      <c r="AM1792">
        <v>96</v>
      </c>
      <c r="AN1792">
        <v>44</v>
      </c>
      <c r="AP1792">
        <v>1</v>
      </c>
      <c r="AR1792" t="s">
        <v>1881</v>
      </c>
      <c r="AS1792" s="1">
        <v>44354.347222222219</v>
      </c>
      <c r="AT1792" s="1">
        <v>44354.349537037036</v>
      </c>
      <c r="AU1792" s="1">
        <v>44354.350266203706</v>
      </c>
      <c r="AV1792" t="s">
        <v>71</v>
      </c>
      <c r="AW1792" t="s">
        <v>72</v>
      </c>
      <c r="AX1792" t="s">
        <v>73</v>
      </c>
    </row>
    <row r="1793" spans="1:50" x14ac:dyDescent="0.3">
      <c r="A1793" t="str">
        <f>"201905B0000"</f>
        <v>201905B0000</v>
      </c>
      <c r="B1793" t="str">
        <f>"201905B00002"</f>
        <v>201905B00002</v>
      </c>
      <c r="C1793" t="str">
        <f t="shared" si="85"/>
        <v>20</v>
      </c>
      <c r="D1793" t="s">
        <v>67</v>
      </c>
      <c r="E1793" t="str">
        <f t="shared" si="86"/>
        <v>008</v>
      </c>
      <c r="F1793" t="s">
        <v>1759</v>
      </c>
      <c r="G1793" t="str">
        <f>"1905"</f>
        <v>1905</v>
      </c>
      <c r="H1793" t="str">
        <f>"0000"</f>
        <v>0000</v>
      </c>
      <c r="I1793" t="s">
        <v>69</v>
      </c>
      <c r="J1793">
        <v>0</v>
      </c>
      <c r="K1793">
        <v>1</v>
      </c>
      <c r="L1793">
        <v>2</v>
      </c>
      <c r="M1793">
        <v>109</v>
      </c>
      <c r="N1793">
        <v>117</v>
      </c>
      <c r="O1793">
        <v>6</v>
      </c>
      <c r="P1793">
        <v>117</v>
      </c>
      <c r="Q1793">
        <v>0</v>
      </c>
      <c r="R1793">
        <v>18</v>
      </c>
      <c r="S1793">
        <v>2</v>
      </c>
      <c r="T1793">
        <v>2</v>
      </c>
      <c r="U1793">
        <v>44</v>
      </c>
      <c r="V1793">
        <v>0</v>
      </c>
      <c r="W1793">
        <v>0</v>
      </c>
      <c r="X1793">
        <v>44</v>
      </c>
      <c r="Y1793">
        <v>0</v>
      </c>
      <c r="Z1793">
        <v>1</v>
      </c>
      <c r="AA1793">
        <v>0</v>
      </c>
      <c r="AB1793">
        <v>3</v>
      </c>
      <c r="AD1793">
        <v>0</v>
      </c>
      <c r="AE1793">
        <v>0</v>
      </c>
      <c r="AF1793">
        <v>0</v>
      </c>
      <c r="AG1793">
        <v>0</v>
      </c>
      <c r="AI1793">
        <v>0</v>
      </c>
      <c r="AJ1793">
        <v>3</v>
      </c>
      <c r="AK1793">
        <v>117</v>
      </c>
      <c r="AL1793">
        <v>117</v>
      </c>
      <c r="AM1793">
        <v>182</v>
      </c>
      <c r="AN1793">
        <v>44</v>
      </c>
      <c r="AP1793">
        <v>1</v>
      </c>
      <c r="AR1793" t="s">
        <v>1882</v>
      </c>
      <c r="AS1793" s="1">
        <v>44354.348611111112</v>
      </c>
      <c r="AT1793" s="1">
        <v>44354.353680555556</v>
      </c>
      <c r="AU1793" s="1">
        <v>44354.354803240742</v>
      </c>
      <c r="AV1793" t="s">
        <v>71</v>
      </c>
      <c r="AW1793" t="s">
        <v>72</v>
      </c>
      <c r="AX1793" t="s">
        <v>73</v>
      </c>
    </row>
    <row r="1794" spans="1:50" x14ac:dyDescent="0.3">
      <c r="A1794" t="str">
        <f>"201935B0000"</f>
        <v>201935B0000</v>
      </c>
      <c r="B1794" t="str">
        <f>"201935B00002"</f>
        <v>201935B00002</v>
      </c>
      <c r="C1794" t="str">
        <f t="shared" si="85"/>
        <v>20</v>
      </c>
      <c r="D1794" t="s">
        <v>67</v>
      </c>
      <c r="E1794" t="str">
        <f t="shared" si="86"/>
        <v>008</v>
      </c>
      <c r="F1794" t="s">
        <v>1759</v>
      </c>
      <c r="G1794" t="str">
        <f>"1935"</f>
        <v>1935</v>
      </c>
      <c r="H1794" t="str">
        <f>"0000"</f>
        <v>0000</v>
      </c>
      <c r="I1794" t="s">
        <v>69</v>
      </c>
      <c r="J1794">
        <v>0</v>
      </c>
      <c r="K1794">
        <v>1</v>
      </c>
      <c r="L1794">
        <v>2</v>
      </c>
      <c r="M1794">
        <v>138</v>
      </c>
      <c r="N1794">
        <v>240</v>
      </c>
      <c r="O1794">
        <v>3</v>
      </c>
      <c r="P1794">
        <v>240</v>
      </c>
      <c r="Q1794">
        <v>1</v>
      </c>
      <c r="R1794">
        <v>4</v>
      </c>
      <c r="S1794">
        <v>10</v>
      </c>
      <c r="T1794">
        <v>9</v>
      </c>
      <c r="U1794">
        <v>82</v>
      </c>
      <c r="V1794">
        <v>0</v>
      </c>
      <c r="W1794">
        <v>5</v>
      </c>
      <c r="X1794">
        <v>116</v>
      </c>
      <c r="Y1794">
        <v>0</v>
      </c>
      <c r="Z1794">
        <v>2</v>
      </c>
      <c r="AA1794">
        <v>1</v>
      </c>
      <c r="AB1794">
        <v>2</v>
      </c>
      <c r="AD1794">
        <v>0</v>
      </c>
      <c r="AE1794">
        <v>0</v>
      </c>
      <c r="AF1794">
        <v>0</v>
      </c>
      <c r="AG1794">
        <v>0</v>
      </c>
      <c r="AI1794">
        <v>0</v>
      </c>
      <c r="AJ1794">
        <v>8</v>
      </c>
      <c r="AK1794">
        <v>240</v>
      </c>
      <c r="AL1794">
        <v>240</v>
      </c>
      <c r="AM1794">
        <v>334</v>
      </c>
      <c r="AN1794">
        <v>44</v>
      </c>
      <c r="AP1794">
        <v>1</v>
      </c>
      <c r="AR1794" t="s">
        <v>1883</v>
      </c>
      <c r="AS1794" s="1">
        <v>44354.22152777778</v>
      </c>
      <c r="AT1794" s="1">
        <v>44354.223171296297</v>
      </c>
      <c r="AU1794" s="1">
        <v>44354.224166666667</v>
      </c>
      <c r="AV1794" t="s">
        <v>71</v>
      </c>
      <c r="AW1794" t="s">
        <v>72</v>
      </c>
      <c r="AX1794" t="s">
        <v>73</v>
      </c>
    </row>
    <row r="1795" spans="1:50" x14ac:dyDescent="0.3">
      <c r="A1795" t="str">
        <f>"201936B0000"</f>
        <v>201936B0000</v>
      </c>
      <c r="B1795" t="str">
        <f>"201936B00002"</f>
        <v>201936B00002</v>
      </c>
      <c r="C1795" t="str">
        <f t="shared" si="85"/>
        <v>20</v>
      </c>
      <c r="D1795" t="s">
        <v>67</v>
      </c>
      <c r="E1795" t="str">
        <f t="shared" si="86"/>
        <v>008</v>
      </c>
      <c r="F1795" t="s">
        <v>1759</v>
      </c>
      <c r="G1795" t="str">
        <f>"1936"</f>
        <v>1936</v>
      </c>
      <c r="H1795" t="str">
        <f>"0000"</f>
        <v>0000</v>
      </c>
      <c r="I1795" t="s">
        <v>69</v>
      </c>
      <c r="J1795">
        <v>0</v>
      </c>
      <c r="K1795">
        <v>1</v>
      </c>
      <c r="L1795">
        <v>2</v>
      </c>
      <c r="M1795">
        <v>174</v>
      </c>
      <c r="N1795">
        <v>98</v>
      </c>
      <c r="O1795">
        <v>5</v>
      </c>
      <c r="P1795">
        <v>98</v>
      </c>
      <c r="Q1795">
        <v>2</v>
      </c>
      <c r="R1795">
        <v>31</v>
      </c>
      <c r="S1795">
        <v>2</v>
      </c>
      <c r="T1795">
        <v>2</v>
      </c>
      <c r="U1795">
        <v>31</v>
      </c>
      <c r="V1795">
        <v>0</v>
      </c>
      <c r="W1795">
        <v>15</v>
      </c>
      <c r="X1795">
        <v>13</v>
      </c>
      <c r="Y1795">
        <v>0</v>
      </c>
      <c r="Z1795">
        <v>0</v>
      </c>
      <c r="AA1795">
        <v>0</v>
      </c>
      <c r="AB1795">
        <v>0</v>
      </c>
      <c r="AD1795">
        <v>2</v>
      </c>
      <c r="AE1795">
        <v>0</v>
      </c>
      <c r="AF1795">
        <v>0</v>
      </c>
      <c r="AG1795">
        <v>0</v>
      </c>
      <c r="AI1795">
        <v>0</v>
      </c>
      <c r="AJ1795">
        <v>174</v>
      </c>
      <c r="AK1795">
        <v>272</v>
      </c>
      <c r="AL1795">
        <v>272</v>
      </c>
      <c r="AM1795">
        <v>228</v>
      </c>
      <c r="AN1795">
        <v>44</v>
      </c>
      <c r="AP1795">
        <v>1</v>
      </c>
      <c r="AR1795" t="s">
        <v>1884</v>
      </c>
      <c r="AS1795" s="1">
        <v>44354.013888888891</v>
      </c>
      <c r="AT1795" s="1">
        <v>44354.021597222221</v>
      </c>
      <c r="AU1795" s="1">
        <v>44354.021967592591</v>
      </c>
      <c r="AV1795" t="s">
        <v>71</v>
      </c>
      <c r="AW1795" t="s">
        <v>72</v>
      </c>
      <c r="AX1795" t="s">
        <v>73</v>
      </c>
    </row>
    <row r="1796" spans="1:50" x14ac:dyDescent="0.3">
      <c r="A1796" t="str">
        <f>"201936E0100"</f>
        <v>201936E0100</v>
      </c>
      <c r="B1796" t="str">
        <f>"201936E01002"</f>
        <v>201936E01002</v>
      </c>
      <c r="C1796" t="str">
        <f t="shared" si="85"/>
        <v>20</v>
      </c>
      <c r="D1796" t="s">
        <v>67</v>
      </c>
      <c r="E1796" t="str">
        <f t="shared" si="86"/>
        <v>008</v>
      </c>
      <c r="F1796" t="s">
        <v>1759</v>
      </c>
      <c r="G1796" t="str">
        <f>"1936"</f>
        <v>1936</v>
      </c>
      <c r="H1796" t="str">
        <f>"0001"</f>
        <v>0001</v>
      </c>
      <c r="I1796" t="s">
        <v>109</v>
      </c>
      <c r="J1796">
        <v>0</v>
      </c>
      <c r="K1796">
        <v>1</v>
      </c>
      <c r="L1796">
        <v>2</v>
      </c>
      <c r="M1796">
        <v>338</v>
      </c>
      <c r="N1796">
        <v>373</v>
      </c>
      <c r="O1796">
        <v>2</v>
      </c>
      <c r="P1796">
        <v>373</v>
      </c>
      <c r="Q1796">
        <v>5</v>
      </c>
      <c r="R1796">
        <v>20</v>
      </c>
      <c r="S1796">
        <v>8</v>
      </c>
      <c r="T1796">
        <v>19</v>
      </c>
      <c r="U1796">
        <v>139</v>
      </c>
      <c r="V1796">
        <v>4</v>
      </c>
      <c r="W1796">
        <v>64</v>
      </c>
      <c r="X1796">
        <v>79</v>
      </c>
      <c r="Y1796">
        <v>1</v>
      </c>
      <c r="Z1796">
        <v>7</v>
      </c>
      <c r="AA1796">
        <v>4</v>
      </c>
      <c r="AB1796">
        <v>6</v>
      </c>
      <c r="AD1796">
        <v>0</v>
      </c>
      <c r="AE1796">
        <v>0</v>
      </c>
      <c r="AF1796">
        <v>1</v>
      </c>
      <c r="AG1796">
        <v>0</v>
      </c>
      <c r="AI1796">
        <v>0</v>
      </c>
      <c r="AJ1796">
        <v>16</v>
      </c>
      <c r="AK1796">
        <v>373</v>
      </c>
      <c r="AL1796">
        <v>373</v>
      </c>
      <c r="AM1796">
        <v>667</v>
      </c>
      <c r="AN1796">
        <v>44</v>
      </c>
      <c r="AP1796">
        <v>1</v>
      </c>
      <c r="AR1796" t="s">
        <v>1885</v>
      </c>
      <c r="AS1796" s="1">
        <v>44354.112500000003</v>
      </c>
      <c r="AT1796" s="1">
        <v>44354.117002314815</v>
      </c>
      <c r="AU1796" s="1">
        <v>44354.117789351854</v>
      </c>
      <c r="AV1796" t="s">
        <v>71</v>
      </c>
      <c r="AW1796" t="s">
        <v>72</v>
      </c>
      <c r="AX1796" t="s">
        <v>73</v>
      </c>
    </row>
    <row r="1797" spans="1:50" x14ac:dyDescent="0.3">
      <c r="A1797" t="str">
        <f>"201936E0200"</f>
        <v>201936E0200</v>
      </c>
      <c r="B1797" t="str">
        <f>"201936E02002"</f>
        <v>201936E02002</v>
      </c>
      <c r="C1797" t="str">
        <f t="shared" si="85"/>
        <v>20</v>
      </c>
      <c r="D1797" t="s">
        <v>67</v>
      </c>
      <c r="E1797" t="str">
        <f t="shared" si="86"/>
        <v>008</v>
      </c>
      <c r="F1797" t="s">
        <v>1759</v>
      </c>
      <c r="G1797" t="str">
        <f>"1936"</f>
        <v>1936</v>
      </c>
      <c r="H1797" t="str">
        <f>"0002"</f>
        <v>0002</v>
      </c>
      <c r="I1797" t="s">
        <v>109</v>
      </c>
      <c r="J1797">
        <v>0</v>
      </c>
      <c r="K1797">
        <v>1</v>
      </c>
      <c r="L1797">
        <v>2</v>
      </c>
      <c r="M1797">
        <v>194</v>
      </c>
      <c r="N1797">
        <v>160</v>
      </c>
      <c r="O1797">
        <v>6</v>
      </c>
      <c r="P1797">
        <v>160</v>
      </c>
      <c r="Q1797">
        <v>0</v>
      </c>
      <c r="R1797">
        <v>8</v>
      </c>
      <c r="S1797">
        <v>7</v>
      </c>
      <c r="T1797">
        <v>1</v>
      </c>
      <c r="U1797">
        <v>75</v>
      </c>
      <c r="V1797">
        <v>2</v>
      </c>
      <c r="W1797">
        <v>31</v>
      </c>
      <c r="X1797">
        <v>25</v>
      </c>
      <c r="Y1797">
        <v>0</v>
      </c>
      <c r="Z1797">
        <v>1</v>
      </c>
      <c r="AA1797">
        <v>1</v>
      </c>
      <c r="AB1797">
        <v>1</v>
      </c>
      <c r="AD1797">
        <v>2</v>
      </c>
      <c r="AE1797">
        <v>0</v>
      </c>
      <c r="AF1797">
        <v>0</v>
      </c>
      <c r="AG1797">
        <v>0</v>
      </c>
      <c r="AI1797">
        <v>0</v>
      </c>
      <c r="AJ1797">
        <v>6</v>
      </c>
      <c r="AK1797">
        <v>160</v>
      </c>
      <c r="AL1797">
        <v>160</v>
      </c>
      <c r="AM1797">
        <v>310</v>
      </c>
      <c r="AN1797">
        <v>44</v>
      </c>
      <c r="AP1797">
        <v>1</v>
      </c>
      <c r="AR1797" t="s">
        <v>1886</v>
      </c>
      <c r="AS1797" s="1">
        <v>44354.113888888889</v>
      </c>
      <c r="AT1797" s="1">
        <v>44354.116967592592</v>
      </c>
      <c r="AU1797" s="1">
        <v>44354.117430555554</v>
      </c>
      <c r="AV1797" t="s">
        <v>71</v>
      </c>
      <c r="AW1797" t="s">
        <v>72</v>
      </c>
      <c r="AX1797" t="s">
        <v>73</v>
      </c>
    </row>
    <row r="1798" spans="1:50" x14ac:dyDescent="0.3">
      <c r="A1798" t="str">
        <f>"201937B0000"</f>
        <v>201937B0000</v>
      </c>
      <c r="B1798" t="str">
        <f>"201937B00002"</f>
        <v>201937B00002</v>
      </c>
      <c r="C1798" t="str">
        <f t="shared" si="85"/>
        <v>20</v>
      </c>
      <c r="D1798" t="s">
        <v>67</v>
      </c>
      <c r="E1798" t="str">
        <f t="shared" si="86"/>
        <v>008</v>
      </c>
      <c r="F1798" t="s">
        <v>1759</v>
      </c>
      <c r="G1798" t="str">
        <f>"1937"</f>
        <v>1937</v>
      </c>
      <c r="H1798" t="str">
        <f>"0000"</f>
        <v>0000</v>
      </c>
      <c r="I1798" t="s">
        <v>69</v>
      </c>
      <c r="J1798">
        <v>0</v>
      </c>
      <c r="K1798">
        <v>1</v>
      </c>
      <c r="L1798">
        <v>2</v>
      </c>
      <c r="M1798">
        <v>439</v>
      </c>
      <c r="N1798">
        <v>348</v>
      </c>
      <c r="O1798">
        <v>0</v>
      </c>
      <c r="P1798">
        <v>348</v>
      </c>
      <c r="Q1798">
        <v>6</v>
      </c>
      <c r="R1798">
        <v>39</v>
      </c>
      <c r="S1798">
        <v>5</v>
      </c>
      <c r="T1798">
        <v>8</v>
      </c>
      <c r="U1798">
        <v>90</v>
      </c>
      <c r="V1798">
        <v>2</v>
      </c>
      <c r="W1798">
        <v>0</v>
      </c>
      <c r="X1798">
        <v>160</v>
      </c>
      <c r="Y1798">
        <v>2</v>
      </c>
      <c r="Z1798">
        <v>10</v>
      </c>
      <c r="AA1798">
        <v>8</v>
      </c>
      <c r="AB1798">
        <v>5</v>
      </c>
      <c r="AD1798">
        <v>1</v>
      </c>
      <c r="AE1798">
        <v>1</v>
      </c>
      <c r="AF1798">
        <v>0</v>
      </c>
      <c r="AG1798">
        <v>0</v>
      </c>
      <c r="AI1798">
        <v>0</v>
      </c>
      <c r="AJ1798">
        <v>11</v>
      </c>
      <c r="AK1798">
        <v>348</v>
      </c>
      <c r="AL1798">
        <v>348</v>
      </c>
      <c r="AM1798">
        <v>743</v>
      </c>
      <c r="AN1798">
        <v>44</v>
      </c>
      <c r="AP1798">
        <v>1</v>
      </c>
      <c r="AR1798" t="s">
        <v>1887</v>
      </c>
      <c r="AS1798" s="1">
        <v>44353.992361111108</v>
      </c>
      <c r="AT1798" s="1">
        <v>44353.997256944444</v>
      </c>
      <c r="AU1798" s="1">
        <v>44353.997847222221</v>
      </c>
      <c r="AV1798" t="s">
        <v>71</v>
      </c>
      <c r="AW1798" t="s">
        <v>72</v>
      </c>
      <c r="AX1798" t="s">
        <v>73</v>
      </c>
    </row>
    <row r="1799" spans="1:50" x14ac:dyDescent="0.3">
      <c r="A1799" t="str">
        <f>"201937E0100"</f>
        <v>201937E0100</v>
      </c>
      <c r="B1799" t="str">
        <f>"201937E01002"</f>
        <v>201937E01002</v>
      </c>
      <c r="C1799" t="str">
        <f t="shared" ref="C1799:C1862" si="88">"20"</f>
        <v>20</v>
      </c>
      <c r="D1799" t="s">
        <v>67</v>
      </c>
      <c r="E1799" t="str">
        <f t="shared" ref="E1799:E1862" si="89">"008"</f>
        <v>008</v>
      </c>
      <c r="F1799" t="s">
        <v>1759</v>
      </c>
      <c r="G1799" t="str">
        <f>"1937"</f>
        <v>1937</v>
      </c>
      <c r="H1799" t="str">
        <f>"0001"</f>
        <v>0001</v>
      </c>
      <c r="I1799" t="s">
        <v>109</v>
      </c>
      <c r="J1799">
        <v>0</v>
      </c>
      <c r="K1799">
        <v>1</v>
      </c>
      <c r="L1799">
        <v>2</v>
      </c>
      <c r="M1799">
        <v>381</v>
      </c>
      <c r="N1799">
        <v>389</v>
      </c>
      <c r="O1799">
        <v>3</v>
      </c>
      <c r="P1799">
        <v>389</v>
      </c>
      <c r="Q1799">
        <v>8</v>
      </c>
      <c r="R1799">
        <v>34</v>
      </c>
      <c r="S1799">
        <v>4</v>
      </c>
      <c r="T1799">
        <v>5</v>
      </c>
      <c r="U1799">
        <v>174</v>
      </c>
      <c r="V1799">
        <v>3</v>
      </c>
      <c r="W1799">
        <v>1</v>
      </c>
      <c r="X1799">
        <v>115</v>
      </c>
      <c r="Y1799">
        <v>1</v>
      </c>
      <c r="Z1799">
        <v>4</v>
      </c>
      <c r="AA1799">
        <v>2</v>
      </c>
      <c r="AB1799">
        <v>4</v>
      </c>
      <c r="AD1799">
        <v>1</v>
      </c>
      <c r="AE1799" t="s">
        <v>77</v>
      </c>
      <c r="AF1799" t="s">
        <v>77</v>
      </c>
      <c r="AG1799" t="s">
        <v>77</v>
      </c>
      <c r="AI1799" t="s">
        <v>77</v>
      </c>
      <c r="AJ1799">
        <v>30</v>
      </c>
      <c r="AK1799">
        <v>389</v>
      </c>
      <c r="AL1799">
        <v>386</v>
      </c>
      <c r="AM1799">
        <v>726</v>
      </c>
      <c r="AN1799">
        <v>44</v>
      </c>
      <c r="AO1799" t="s">
        <v>78</v>
      </c>
      <c r="AP1799">
        <v>1</v>
      </c>
      <c r="AR1799" t="s">
        <v>1888</v>
      </c>
      <c r="AS1799" s="1">
        <v>44354.060416666667</v>
      </c>
      <c r="AT1799" s="1">
        <v>44354.06832175926</v>
      </c>
      <c r="AU1799" s="1">
        <v>44354.068877314814</v>
      </c>
      <c r="AV1799" t="s">
        <v>71</v>
      </c>
      <c r="AW1799" t="s">
        <v>72</v>
      </c>
      <c r="AX1799" t="s">
        <v>73</v>
      </c>
    </row>
    <row r="1800" spans="1:50" x14ac:dyDescent="0.3">
      <c r="A1800" t="str">
        <f>"201938B0000"</f>
        <v>201938B0000</v>
      </c>
      <c r="B1800" t="str">
        <f>"201938B00002"</f>
        <v>201938B00002</v>
      </c>
      <c r="C1800" t="str">
        <f t="shared" si="88"/>
        <v>20</v>
      </c>
      <c r="D1800" t="s">
        <v>67</v>
      </c>
      <c r="E1800" t="str">
        <f t="shared" si="89"/>
        <v>008</v>
      </c>
      <c r="F1800" t="s">
        <v>1759</v>
      </c>
      <c r="G1800" t="str">
        <f>"1938"</f>
        <v>1938</v>
      </c>
      <c r="H1800" t="str">
        <f>"0000"</f>
        <v>0000</v>
      </c>
      <c r="I1800" t="s">
        <v>69</v>
      </c>
      <c r="J1800">
        <v>0</v>
      </c>
      <c r="K1800">
        <v>1</v>
      </c>
      <c r="L1800">
        <v>2</v>
      </c>
      <c r="M1800">
        <v>232</v>
      </c>
      <c r="N1800">
        <v>232</v>
      </c>
      <c r="O1800">
        <v>2</v>
      </c>
      <c r="P1800">
        <v>232</v>
      </c>
      <c r="Q1800">
        <v>9</v>
      </c>
      <c r="R1800">
        <v>27</v>
      </c>
      <c r="S1800">
        <v>8</v>
      </c>
      <c r="T1800">
        <v>3</v>
      </c>
      <c r="U1800">
        <v>44</v>
      </c>
      <c r="V1800">
        <v>6</v>
      </c>
      <c r="W1800">
        <v>5</v>
      </c>
      <c r="X1800">
        <v>102</v>
      </c>
      <c r="Y1800">
        <v>4</v>
      </c>
      <c r="Z1800">
        <v>3</v>
      </c>
      <c r="AA1800">
        <v>3</v>
      </c>
      <c r="AB1800">
        <v>0</v>
      </c>
      <c r="AD1800">
        <v>1</v>
      </c>
      <c r="AE1800">
        <v>0</v>
      </c>
      <c r="AF1800">
        <v>0</v>
      </c>
      <c r="AG1800">
        <v>1</v>
      </c>
      <c r="AI1800">
        <v>0</v>
      </c>
      <c r="AJ1800">
        <v>16</v>
      </c>
      <c r="AK1800">
        <v>232</v>
      </c>
      <c r="AL1800">
        <v>232</v>
      </c>
      <c r="AM1800">
        <v>420</v>
      </c>
      <c r="AN1800">
        <v>44</v>
      </c>
      <c r="AP1800">
        <v>1</v>
      </c>
      <c r="AR1800" t="s">
        <v>1889</v>
      </c>
      <c r="AS1800" s="1">
        <v>44354.059027777781</v>
      </c>
      <c r="AT1800" s="1">
        <v>44354.065243055556</v>
      </c>
      <c r="AU1800" s="1">
        <v>44354.065879629627</v>
      </c>
      <c r="AV1800" t="s">
        <v>71</v>
      </c>
      <c r="AW1800" t="s">
        <v>72</v>
      </c>
      <c r="AX1800" t="s">
        <v>73</v>
      </c>
    </row>
    <row r="1801" spans="1:50" x14ac:dyDescent="0.3">
      <c r="A1801" t="str">
        <f>"201938C0100"</f>
        <v>201938C0100</v>
      </c>
      <c r="B1801" t="str">
        <f>"201938C01002"</f>
        <v>201938C01002</v>
      </c>
      <c r="C1801" t="str">
        <f t="shared" si="88"/>
        <v>20</v>
      </c>
      <c r="D1801" t="s">
        <v>67</v>
      </c>
      <c r="E1801" t="str">
        <f t="shared" si="89"/>
        <v>008</v>
      </c>
      <c r="F1801" t="s">
        <v>1759</v>
      </c>
      <c r="G1801" t="str">
        <f>"1938"</f>
        <v>1938</v>
      </c>
      <c r="H1801" t="str">
        <f>"0001"</f>
        <v>0001</v>
      </c>
      <c r="I1801" t="s">
        <v>75</v>
      </c>
      <c r="J1801">
        <v>0</v>
      </c>
      <c r="K1801">
        <v>1</v>
      </c>
      <c r="L1801">
        <v>2</v>
      </c>
      <c r="M1801">
        <v>248</v>
      </c>
      <c r="N1801">
        <v>216</v>
      </c>
      <c r="O1801">
        <v>3</v>
      </c>
      <c r="P1801">
        <v>216</v>
      </c>
      <c r="Q1801">
        <v>7</v>
      </c>
      <c r="R1801">
        <v>19</v>
      </c>
      <c r="S1801">
        <v>7</v>
      </c>
      <c r="T1801">
        <v>2</v>
      </c>
      <c r="U1801">
        <v>55</v>
      </c>
      <c r="V1801">
        <v>4</v>
      </c>
      <c r="W1801">
        <v>4</v>
      </c>
      <c r="X1801">
        <v>97</v>
      </c>
      <c r="Y1801">
        <v>0</v>
      </c>
      <c r="Z1801">
        <v>4</v>
      </c>
      <c r="AA1801">
        <v>2</v>
      </c>
      <c r="AB1801">
        <v>1</v>
      </c>
      <c r="AD1801">
        <v>0</v>
      </c>
      <c r="AE1801">
        <v>1</v>
      </c>
      <c r="AF1801">
        <v>0</v>
      </c>
      <c r="AG1801">
        <v>0</v>
      </c>
      <c r="AI1801">
        <v>0</v>
      </c>
      <c r="AJ1801">
        <v>13</v>
      </c>
      <c r="AK1801">
        <v>216</v>
      </c>
      <c r="AL1801">
        <v>216</v>
      </c>
      <c r="AM1801">
        <v>420</v>
      </c>
      <c r="AN1801">
        <v>44</v>
      </c>
      <c r="AP1801">
        <v>1</v>
      </c>
      <c r="AR1801" t="s">
        <v>1890</v>
      </c>
      <c r="AS1801" s="1">
        <v>44354.058333333334</v>
      </c>
      <c r="AT1801" s="1">
        <v>44354.06559027778</v>
      </c>
      <c r="AU1801" s="1">
        <v>44354.067858796298</v>
      </c>
      <c r="AV1801" t="s">
        <v>71</v>
      </c>
      <c r="AW1801" t="s">
        <v>72</v>
      </c>
      <c r="AX1801" t="s">
        <v>73</v>
      </c>
    </row>
    <row r="1802" spans="1:50" x14ac:dyDescent="0.3">
      <c r="A1802" t="str">
        <f>"201938E0100"</f>
        <v>201938E0100</v>
      </c>
      <c r="B1802" t="str">
        <f>"201938E01002"</f>
        <v>201938E01002</v>
      </c>
      <c r="C1802" t="str">
        <f t="shared" si="88"/>
        <v>20</v>
      </c>
      <c r="D1802" t="s">
        <v>67</v>
      </c>
      <c r="E1802" t="str">
        <f t="shared" si="89"/>
        <v>008</v>
      </c>
      <c r="F1802" t="s">
        <v>1759</v>
      </c>
      <c r="G1802" t="str">
        <f>"1938"</f>
        <v>1938</v>
      </c>
      <c r="H1802" t="str">
        <f>"0001"</f>
        <v>0001</v>
      </c>
      <c r="I1802" t="s">
        <v>109</v>
      </c>
      <c r="J1802">
        <v>0</v>
      </c>
      <c r="K1802">
        <v>1</v>
      </c>
      <c r="L1802">
        <v>2</v>
      </c>
      <c r="M1802">
        <v>349</v>
      </c>
      <c r="N1802">
        <v>323</v>
      </c>
      <c r="O1802">
        <v>0</v>
      </c>
      <c r="P1802">
        <v>323</v>
      </c>
      <c r="Q1802">
        <v>6</v>
      </c>
      <c r="R1802">
        <v>4</v>
      </c>
      <c r="S1802">
        <v>13</v>
      </c>
      <c r="T1802">
        <v>5</v>
      </c>
      <c r="U1802">
        <v>39</v>
      </c>
      <c r="V1802">
        <v>3</v>
      </c>
      <c r="W1802">
        <v>65</v>
      </c>
      <c r="X1802">
        <v>165</v>
      </c>
      <c r="Y1802">
        <v>2</v>
      </c>
      <c r="Z1802">
        <v>5</v>
      </c>
      <c r="AA1802">
        <v>2</v>
      </c>
      <c r="AB1802">
        <v>4</v>
      </c>
      <c r="AD1802">
        <v>0</v>
      </c>
      <c r="AE1802">
        <v>0</v>
      </c>
      <c r="AF1802">
        <v>1</v>
      </c>
      <c r="AG1802">
        <v>0</v>
      </c>
      <c r="AI1802">
        <v>0</v>
      </c>
      <c r="AJ1802">
        <v>9</v>
      </c>
      <c r="AK1802">
        <v>323</v>
      </c>
      <c r="AL1802">
        <v>323</v>
      </c>
      <c r="AM1802">
        <v>628</v>
      </c>
      <c r="AN1802">
        <v>44</v>
      </c>
      <c r="AP1802">
        <v>1</v>
      </c>
      <c r="AR1802" t="s">
        <v>1891</v>
      </c>
      <c r="AS1802" s="1">
        <v>44354.065972222219</v>
      </c>
      <c r="AT1802" s="1">
        <v>44354.071203703701</v>
      </c>
      <c r="AU1802" s="1">
        <v>44354.07172453704</v>
      </c>
      <c r="AV1802" t="s">
        <v>71</v>
      </c>
      <c r="AW1802" t="s">
        <v>72</v>
      </c>
      <c r="AX1802" t="s">
        <v>73</v>
      </c>
    </row>
    <row r="1803" spans="1:50" x14ac:dyDescent="0.3">
      <c r="A1803" t="str">
        <f>"201938E0200"</f>
        <v>201938E0200</v>
      </c>
      <c r="B1803" t="str">
        <f>"201938E02002"</f>
        <v>201938E02002</v>
      </c>
      <c r="C1803" t="str">
        <f t="shared" si="88"/>
        <v>20</v>
      </c>
      <c r="D1803" t="s">
        <v>67</v>
      </c>
      <c r="E1803" t="str">
        <f t="shared" si="89"/>
        <v>008</v>
      </c>
      <c r="F1803" t="s">
        <v>1759</v>
      </c>
      <c r="G1803" t="str">
        <f>"1938"</f>
        <v>1938</v>
      </c>
      <c r="H1803" t="str">
        <f>"0002"</f>
        <v>0002</v>
      </c>
      <c r="I1803" t="s">
        <v>109</v>
      </c>
      <c r="J1803">
        <v>0</v>
      </c>
      <c r="K1803">
        <v>1</v>
      </c>
      <c r="L1803">
        <v>2</v>
      </c>
      <c r="M1803">
        <v>224</v>
      </c>
      <c r="N1803">
        <v>224</v>
      </c>
      <c r="O1803">
        <v>2</v>
      </c>
      <c r="P1803">
        <v>224</v>
      </c>
      <c r="Q1803">
        <v>5</v>
      </c>
      <c r="R1803">
        <v>20</v>
      </c>
      <c r="S1803">
        <v>5</v>
      </c>
      <c r="T1803">
        <v>2</v>
      </c>
      <c r="U1803">
        <v>11</v>
      </c>
      <c r="V1803">
        <v>4</v>
      </c>
      <c r="W1803">
        <v>3</v>
      </c>
      <c r="X1803">
        <v>157</v>
      </c>
      <c r="Y1803">
        <v>0</v>
      </c>
      <c r="Z1803">
        <v>2</v>
      </c>
      <c r="AA1803">
        <v>3</v>
      </c>
      <c r="AB1803">
        <v>2</v>
      </c>
      <c r="AD1803">
        <v>3</v>
      </c>
      <c r="AE1803">
        <v>0</v>
      </c>
      <c r="AF1803">
        <v>0</v>
      </c>
      <c r="AG1803">
        <v>0</v>
      </c>
      <c r="AI1803">
        <v>0</v>
      </c>
      <c r="AJ1803">
        <v>7</v>
      </c>
      <c r="AK1803">
        <v>224</v>
      </c>
      <c r="AL1803">
        <v>224</v>
      </c>
      <c r="AM1803">
        <v>404</v>
      </c>
      <c r="AN1803">
        <v>44</v>
      </c>
      <c r="AP1803">
        <v>1</v>
      </c>
      <c r="AR1803" t="s">
        <v>1892</v>
      </c>
      <c r="AS1803" s="1">
        <v>44353.890138888892</v>
      </c>
      <c r="AT1803" s="1">
        <v>44354.049027777779</v>
      </c>
      <c r="AU1803" s="1">
        <v>44354.049618055556</v>
      </c>
      <c r="AV1803" t="s">
        <v>269</v>
      </c>
      <c r="AW1803" t="s">
        <v>270</v>
      </c>
      <c r="AX1803" t="s">
        <v>73</v>
      </c>
    </row>
    <row r="1804" spans="1:50" x14ac:dyDescent="0.3">
      <c r="A1804" t="str">
        <f>"201939B0000"</f>
        <v>201939B0000</v>
      </c>
      <c r="B1804" t="str">
        <f>"201939B00002"</f>
        <v>201939B00002</v>
      </c>
      <c r="C1804" t="str">
        <f t="shared" si="88"/>
        <v>20</v>
      </c>
      <c r="D1804" t="s">
        <v>67</v>
      </c>
      <c r="E1804" t="str">
        <f t="shared" si="89"/>
        <v>008</v>
      </c>
      <c r="F1804" t="s">
        <v>1759</v>
      </c>
      <c r="G1804" t="str">
        <f>"1939"</f>
        <v>1939</v>
      </c>
      <c r="H1804" t="str">
        <f>"0000"</f>
        <v>0000</v>
      </c>
      <c r="I1804" t="s">
        <v>69</v>
      </c>
      <c r="J1804">
        <v>0</v>
      </c>
      <c r="K1804">
        <v>1</v>
      </c>
      <c r="L1804">
        <v>2</v>
      </c>
      <c r="M1804">
        <v>391</v>
      </c>
      <c r="N1804">
        <v>699</v>
      </c>
      <c r="O1804">
        <v>7</v>
      </c>
      <c r="P1804">
        <v>308</v>
      </c>
      <c r="Q1804">
        <v>5</v>
      </c>
      <c r="R1804">
        <v>15</v>
      </c>
      <c r="S1804">
        <v>13</v>
      </c>
      <c r="T1804">
        <v>7</v>
      </c>
      <c r="U1804">
        <v>34</v>
      </c>
      <c r="V1804">
        <v>4</v>
      </c>
      <c r="W1804">
        <v>17</v>
      </c>
      <c r="X1804">
        <v>177</v>
      </c>
      <c r="Y1804">
        <v>0</v>
      </c>
      <c r="Z1804">
        <v>5</v>
      </c>
      <c r="AA1804">
        <v>6</v>
      </c>
      <c r="AB1804">
        <v>1</v>
      </c>
      <c r="AD1804">
        <v>2</v>
      </c>
      <c r="AE1804" t="s">
        <v>77</v>
      </c>
      <c r="AF1804" t="s">
        <v>77</v>
      </c>
      <c r="AG1804" t="s">
        <v>77</v>
      </c>
      <c r="AI1804" t="s">
        <v>77</v>
      </c>
      <c r="AJ1804">
        <v>22</v>
      </c>
      <c r="AK1804">
        <v>308</v>
      </c>
      <c r="AL1804">
        <v>308</v>
      </c>
      <c r="AM1804">
        <v>655</v>
      </c>
      <c r="AN1804">
        <v>44</v>
      </c>
      <c r="AO1804" t="s">
        <v>78</v>
      </c>
      <c r="AP1804">
        <v>1</v>
      </c>
      <c r="AR1804" t="s">
        <v>1893</v>
      </c>
      <c r="AS1804" s="1">
        <v>44354.231944444444</v>
      </c>
      <c r="AT1804" s="1">
        <v>44354.234270833331</v>
      </c>
      <c r="AU1804" s="1">
        <v>44354.235902777778</v>
      </c>
      <c r="AV1804" t="s">
        <v>71</v>
      </c>
      <c r="AW1804" t="s">
        <v>72</v>
      </c>
      <c r="AX1804" t="s">
        <v>73</v>
      </c>
    </row>
    <row r="1805" spans="1:50" x14ac:dyDescent="0.3">
      <c r="A1805" t="str">
        <f>"201939C0100"</f>
        <v>201939C0100</v>
      </c>
      <c r="B1805" t="str">
        <f>"201939C01002"</f>
        <v>201939C01002</v>
      </c>
      <c r="C1805" t="str">
        <f t="shared" si="88"/>
        <v>20</v>
      </c>
      <c r="D1805" t="s">
        <v>67</v>
      </c>
      <c r="E1805" t="str">
        <f t="shared" si="89"/>
        <v>008</v>
      </c>
      <c r="F1805" t="s">
        <v>1759</v>
      </c>
      <c r="G1805" t="str">
        <f>"1939"</f>
        <v>1939</v>
      </c>
      <c r="H1805" t="str">
        <f>"0001"</f>
        <v>0001</v>
      </c>
      <c r="I1805" t="s">
        <v>75</v>
      </c>
      <c r="J1805">
        <v>0</v>
      </c>
      <c r="K1805">
        <v>1</v>
      </c>
      <c r="L1805">
        <v>2</v>
      </c>
      <c r="M1805">
        <v>380</v>
      </c>
      <c r="N1805">
        <v>698</v>
      </c>
      <c r="O1805">
        <v>5</v>
      </c>
      <c r="P1805">
        <v>318</v>
      </c>
      <c r="Q1805">
        <v>1</v>
      </c>
      <c r="R1805">
        <v>8</v>
      </c>
      <c r="S1805">
        <v>8</v>
      </c>
      <c r="T1805">
        <v>5</v>
      </c>
      <c r="U1805">
        <v>50</v>
      </c>
      <c r="V1805">
        <v>3</v>
      </c>
      <c r="W1805">
        <v>10</v>
      </c>
      <c r="X1805">
        <v>209</v>
      </c>
      <c r="Y1805">
        <v>2</v>
      </c>
      <c r="Z1805">
        <v>5</v>
      </c>
      <c r="AA1805">
        <v>0</v>
      </c>
      <c r="AB1805">
        <v>3</v>
      </c>
      <c r="AD1805">
        <v>1</v>
      </c>
      <c r="AE1805">
        <v>1</v>
      </c>
      <c r="AF1805">
        <v>0</v>
      </c>
      <c r="AG1805">
        <v>0</v>
      </c>
      <c r="AI1805">
        <v>0</v>
      </c>
      <c r="AJ1805">
        <v>11</v>
      </c>
      <c r="AK1805">
        <v>318</v>
      </c>
      <c r="AL1805">
        <v>317</v>
      </c>
      <c r="AM1805">
        <v>654</v>
      </c>
      <c r="AN1805">
        <v>44</v>
      </c>
      <c r="AP1805">
        <v>1</v>
      </c>
      <c r="AR1805" t="s">
        <v>1894</v>
      </c>
      <c r="AS1805" s="1">
        <v>44354.231249999997</v>
      </c>
      <c r="AT1805" s="1">
        <v>44354.234525462962</v>
      </c>
      <c r="AU1805" s="1">
        <v>44354.234895833331</v>
      </c>
      <c r="AV1805" t="s">
        <v>71</v>
      </c>
      <c r="AW1805" t="s">
        <v>72</v>
      </c>
      <c r="AX1805" t="s">
        <v>73</v>
      </c>
    </row>
    <row r="1806" spans="1:50" x14ac:dyDescent="0.3">
      <c r="A1806" t="str">
        <f>"202084B0000"</f>
        <v>202084B0000</v>
      </c>
      <c r="B1806" t="str">
        <f>"202084B00002"</f>
        <v>202084B00002</v>
      </c>
      <c r="C1806" t="str">
        <f t="shared" si="88"/>
        <v>20</v>
      </c>
      <c r="D1806" t="s">
        <v>67</v>
      </c>
      <c r="E1806" t="str">
        <f t="shared" si="89"/>
        <v>008</v>
      </c>
      <c r="F1806" t="s">
        <v>1759</v>
      </c>
      <c r="G1806" t="str">
        <f>"2084"</f>
        <v>2084</v>
      </c>
      <c r="H1806" t="str">
        <f>"0000"</f>
        <v>0000</v>
      </c>
      <c r="I1806" t="s">
        <v>69</v>
      </c>
      <c r="J1806">
        <v>0</v>
      </c>
      <c r="K1806">
        <v>1</v>
      </c>
      <c r="L1806">
        <v>2</v>
      </c>
      <c r="M1806">
        <v>183</v>
      </c>
      <c r="N1806">
        <v>282</v>
      </c>
      <c r="O1806">
        <v>0</v>
      </c>
      <c r="P1806">
        <v>282</v>
      </c>
      <c r="Q1806">
        <v>3</v>
      </c>
      <c r="R1806">
        <v>33</v>
      </c>
      <c r="S1806">
        <v>5</v>
      </c>
      <c r="T1806">
        <v>2</v>
      </c>
      <c r="U1806">
        <v>127</v>
      </c>
      <c r="V1806">
        <v>1</v>
      </c>
      <c r="W1806">
        <v>1</v>
      </c>
      <c r="X1806">
        <v>90</v>
      </c>
      <c r="Y1806">
        <v>0</v>
      </c>
      <c r="Z1806">
        <v>4</v>
      </c>
      <c r="AA1806">
        <v>2</v>
      </c>
      <c r="AB1806">
        <v>1</v>
      </c>
      <c r="AD1806">
        <v>0</v>
      </c>
      <c r="AE1806">
        <v>0</v>
      </c>
      <c r="AF1806">
        <v>0</v>
      </c>
      <c r="AG1806">
        <v>0</v>
      </c>
      <c r="AI1806">
        <v>0</v>
      </c>
      <c r="AJ1806">
        <v>13</v>
      </c>
      <c r="AK1806">
        <v>281</v>
      </c>
      <c r="AL1806">
        <v>282</v>
      </c>
      <c r="AM1806">
        <v>421</v>
      </c>
      <c r="AN1806">
        <v>44</v>
      </c>
      <c r="AP1806">
        <v>1</v>
      </c>
      <c r="AR1806" t="s">
        <v>1895</v>
      </c>
      <c r="AS1806" s="1">
        <v>44354.035416666666</v>
      </c>
      <c r="AT1806" s="1">
        <v>44354.044953703706</v>
      </c>
      <c r="AU1806" s="1">
        <v>44354.04546296296</v>
      </c>
      <c r="AV1806" t="s">
        <v>71</v>
      </c>
      <c r="AW1806" t="s">
        <v>72</v>
      </c>
      <c r="AX1806" t="s">
        <v>73</v>
      </c>
    </row>
    <row r="1807" spans="1:50" x14ac:dyDescent="0.3">
      <c r="A1807" t="str">
        <f>"202085B0000"</f>
        <v>202085B0000</v>
      </c>
      <c r="B1807" t="str">
        <f>"202085B00002"</f>
        <v>202085B00002</v>
      </c>
      <c r="C1807" t="str">
        <f t="shared" si="88"/>
        <v>20</v>
      </c>
      <c r="D1807" t="s">
        <v>67</v>
      </c>
      <c r="E1807" t="str">
        <f t="shared" si="89"/>
        <v>008</v>
      </c>
      <c r="F1807" t="s">
        <v>1759</v>
      </c>
      <c r="G1807" t="str">
        <f>"2085"</f>
        <v>2085</v>
      </c>
      <c r="H1807" t="str">
        <f>"0000"</f>
        <v>0000</v>
      </c>
      <c r="I1807" t="s">
        <v>69</v>
      </c>
      <c r="J1807">
        <v>0</v>
      </c>
      <c r="K1807">
        <v>1</v>
      </c>
      <c r="L1807">
        <v>2</v>
      </c>
      <c r="M1807">
        <v>179</v>
      </c>
      <c r="N1807">
        <v>221</v>
      </c>
      <c r="O1807">
        <v>1</v>
      </c>
      <c r="P1807" t="s">
        <v>80</v>
      </c>
      <c r="Q1807">
        <v>3</v>
      </c>
      <c r="R1807">
        <v>62</v>
      </c>
      <c r="S1807">
        <v>9</v>
      </c>
      <c r="T1807">
        <v>4</v>
      </c>
      <c r="U1807">
        <v>87</v>
      </c>
      <c r="V1807">
        <v>1</v>
      </c>
      <c r="W1807">
        <v>5</v>
      </c>
      <c r="X1807">
        <v>38</v>
      </c>
      <c r="Y1807">
        <v>3</v>
      </c>
      <c r="Z1807">
        <v>2</v>
      </c>
      <c r="AA1807">
        <v>0</v>
      </c>
      <c r="AB1807">
        <v>2</v>
      </c>
      <c r="AD1807">
        <v>0</v>
      </c>
      <c r="AE1807">
        <v>1</v>
      </c>
      <c r="AF1807">
        <v>0</v>
      </c>
      <c r="AG1807">
        <v>0</v>
      </c>
      <c r="AI1807">
        <v>0</v>
      </c>
      <c r="AJ1807">
        <v>4</v>
      </c>
      <c r="AK1807">
        <v>221</v>
      </c>
      <c r="AL1807">
        <v>221</v>
      </c>
      <c r="AM1807">
        <v>356</v>
      </c>
      <c r="AN1807">
        <v>44</v>
      </c>
      <c r="AP1807">
        <v>1</v>
      </c>
      <c r="AR1807" t="s">
        <v>1896</v>
      </c>
      <c r="AS1807" s="1">
        <v>44354.036111111112</v>
      </c>
      <c r="AT1807" s="1">
        <v>44354.044317129628</v>
      </c>
      <c r="AU1807" s="1">
        <v>44354.044641203705</v>
      </c>
      <c r="AV1807" t="s">
        <v>71</v>
      </c>
      <c r="AW1807" t="s">
        <v>72</v>
      </c>
      <c r="AX1807" t="s">
        <v>73</v>
      </c>
    </row>
    <row r="1808" spans="1:50" x14ac:dyDescent="0.3">
      <c r="A1808" t="str">
        <f>"202086B0000"</f>
        <v>202086B0000</v>
      </c>
      <c r="B1808" t="str">
        <f>"202086B00002"</f>
        <v>202086B00002</v>
      </c>
      <c r="C1808" t="str">
        <f t="shared" si="88"/>
        <v>20</v>
      </c>
      <c r="D1808" t="s">
        <v>67</v>
      </c>
      <c r="E1808" t="str">
        <f t="shared" si="89"/>
        <v>008</v>
      </c>
      <c r="F1808" t="s">
        <v>1759</v>
      </c>
      <c r="G1808" t="str">
        <f>"2086"</f>
        <v>2086</v>
      </c>
      <c r="H1808" t="str">
        <f>"0000"</f>
        <v>0000</v>
      </c>
      <c r="I1808" t="s">
        <v>69</v>
      </c>
      <c r="J1808">
        <v>0</v>
      </c>
      <c r="K1808">
        <v>1</v>
      </c>
      <c r="L1808">
        <v>2</v>
      </c>
      <c r="M1808">
        <v>317</v>
      </c>
      <c r="N1808">
        <v>342</v>
      </c>
      <c r="O1808">
        <v>0</v>
      </c>
      <c r="P1808">
        <v>342</v>
      </c>
      <c r="Q1808">
        <v>4</v>
      </c>
      <c r="R1808">
        <v>14</v>
      </c>
      <c r="S1808">
        <v>6</v>
      </c>
      <c r="T1808">
        <v>4</v>
      </c>
      <c r="U1808">
        <v>84</v>
      </c>
      <c r="V1808">
        <v>4</v>
      </c>
      <c r="W1808">
        <v>3</v>
      </c>
      <c r="X1808">
        <v>196</v>
      </c>
      <c r="Y1808">
        <v>0</v>
      </c>
      <c r="Z1808">
        <v>2</v>
      </c>
      <c r="AA1808">
        <v>2</v>
      </c>
      <c r="AB1808">
        <v>10</v>
      </c>
      <c r="AD1808">
        <v>0</v>
      </c>
      <c r="AE1808">
        <v>0</v>
      </c>
      <c r="AF1808">
        <v>0</v>
      </c>
      <c r="AG1808">
        <v>0</v>
      </c>
      <c r="AI1808">
        <v>0</v>
      </c>
      <c r="AJ1808">
        <v>13</v>
      </c>
      <c r="AK1808">
        <v>342</v>
      </c>
      <c r="AL1808">
        <v>342</v>
      </c>
      <c r="AM1808">
        <v>615</v>
      </c>
      <c r="AN1808">
        <v>44</v>
      </c>
      <c r="AP1808">
        <v>1</v>
      </c>
      <c r="AR1808" t="s">
        <v>1897</v>
      </c>
      <c r="AS1808" s="1">
        <v>44353.981249999997</v>
      </c>
      <c r="AT1808" s="1">
        <v>44353.984560185185</v>
      </c>
      <c r="AU1808" s="1">
        <v>44353.985011574077</v>
      </c>
      <c r="AV1808" t="s">
        <v>71</v>
      </c>
      <c r="AW1808" t="s">
        <v>72</v>
      </c>
      <c r="AX1808" t="s">
        <v>73</v>
      </c>
    </row>
    <row r="1809" spans="1:50" x14ac:dyDescent="0.3">
      <c r="A1809" t="str">
        <f>"202087B0000"</f>
        <v>202087B0000</v>
      </c>
      <c r="B1809" t="str">
        <f>"202087B00002"</f>
        <v>202087B00002</v>
      </c>
      <c r="C1809" t="str">
        <f t="shared" si="88"/>
        <v>20</v>
      </c>
      <c r="D1809" t="s">
        <v>67</v>
      </c>
      <c r="E1809" t="str">
        <f t="shared" si="89"/>
        <v>008</v>
      </c>
      <c r="F1809" t="s">
        <v>1759</v>
      </c>
      <c r="G1809" t="str">
        <f>"2087"</f>
        <v>2087</v>
      </c>
      <c r="H1809" t="str">
        <f>"0000"</f>
        <v>0000</v>
      </c>
      <c r="I1809" t="s">
        <v>69</v>
      </c>
      <c r="J1809">
        <v>0</v>
      </c>
      <c r="K1809">
        <v>1</v>
      </c>
      <c r="L1809">
        <v>2</v>
      </c>
      <c r="M1809">
        <v>255</v>
      </c>
      <c r="N1809">
        <v>218</v>
      </c>
      <c r="O1809" t="s">
        <v>80</v>
      </c>
      <c r="P1809" t="s">
        <v>80</v>
      </c>
      <c r="Q1809">
        <v>2</v>
      </c>
      <c r="R1809">
        <v>9</v>
      </c>
      <c r="S1809">
        <v>9</v>
      </c>
      <c r="T1809">
        <v>1</v>
      </c>
      <c r="U1809">
        <v>77</v>
      </c>
      <c r="V1809">
        <v>2</v>
      </c>
      <c r="W1809">
        <v>0</v>
      </c>
      <c r="X1809">
        <v>100</v>
      </c>
      <c r="Y1809">
        <v>0</v>
      </c>
      <c r="Z1809">
        <v>1</v>
      </c>
      <c r="AA1809">
        <v>1</v>
      </c>
      <c r="AB1809">
        <v>2</v>
      </c>
      <c r="AD1809" t="s">
        <v>77</v>
      </c>
      <c r="AE1809" t="s">
        <v>77</v>
      </c>
      <c r="AF1809" t="s">
        <v>77</v>
      </c>
      <c r="AG1809" t="s">
        <v>77</v>
      </c>
      <c r="AI1809" t="s">
        <v>77</v>
      </c>
      <c r="AJ1809" t="s">
        <v>77</v>
      </c>
      <c r="AK1809" t="s">
        <v>77</v>
      </c>
      <c r="AL1809">
        <v>204</v>
      </c>
      <c r="AM1809">
        <v>429</v>
      </c>
      <c r="AN1809">
        <v>44</v>
      </c>
      <c r="AO1809" t="s">
        <v>78</v>
      </c>
      <c r="AP1809">
        <v>1</v>
      </c>
      <c r="AR1809" t="s">
        <v>1898</v>
      </c>
      <c r="AS1809" s="1">
        <v>44353.993055555555</v>
      </c>
      <c r="AT1809" s="1">
        <v>44353.998043981483</v>
      </c>
      <c r="AU1809" s="1">
        <v>44353.998437499999</v>
      </c>
      <c r="AV1809" t="s">
        <v>71</v>
      </c>
      <c r="AW1809" t="s">
        <v>72</v>
      </c>
      <c r="AX1809" t="s">
        <v>73</v>
      </c>
    </row>
    <row r="1810" spans="1:50" x14ac:dyDescent="0.3">
      <c r="A1810" t="str">
        <f>"202087C0100"</f>
        <v>202087C0100</v>
      </c>
      <c r="B1810" t="str">
        <f>"202087C01002"</f>
        <v>202087C01002</v>
      </c>
      <c r="C1810" t="str">
        <f t="shared" si="88"/>
        <v>20</v>
      </c>
      <c r="D1810" t="s">
        <v>67</v>
      </c>
      <c r="E1810" t="str">
        <f t="shared" si="89"/>
        <v>008</v>
      </c>
      <c r="F1810" t="s">
        <v>1759</v>
      </c>
      <c r="G1810" t="str">
        <f>"2087"</f>
        <v>2087</v>
      </c>
      <c r="H1810" t="str">
        <f>"0001"</f>
        <v>0001</v>
      </c>
      <c r="I1810" t="s">
        <v>75</v>
      </c>
      <c r="J1810">
        <v>0</v>
      </c>
      <c r="K1810">
        <v>1</v>
      </c>
      <c r="L1810">
        <v>2</v>
      </c>
      <c r="M1810">
        <v>261</v>
      </c>
      <c r="N1810">
        <v>207</v>
      </c>
      <c r="O1810">
        <v>1</v>
      </c>
      <c r="P1810">
        <v>207</v>
      </c>
      <c r="Q1810">
        <v>1</v>
      </c>
      <c r="R1810">
        <v>16</v>
      </c>
      <c r="S1810">
        <v>14</v>
      </c>
      <c r="T1810">
        <v>2</v>
      </c>
      <c r="U1810">
        <v>93</v>
      </c>
      <c r="V1810">
        <v>2</v>
      </c>
      <c r="W1810">
        <v>2</v>
      </c>
      <c r="X1810">
        <v>65</v>
      </c>
      <c r="Y1810">
        <v>2</v>
      </c>
      <c r="Z1810">
        <v>0</v>
      </c>
      <c r="AA1810">
        <v>1</v>
      </c>
      <c r="AB1810">
        <v>1</v>
      </c>
      <c r="AD1810">
        <v>1</v>
      </c>
      <c r="AE1810">
        <v>0</v>
      </c>
      <c r="AF1810">
        <v>0</v>
      </c>
      <c r="AG1810">
        <v>0</v>
      </c>
      <c r="AI1810">
        <v>0</v>
      </c>
      <c r="AJ1810">
        <v>7</v>
      </c>
      <c r="AK1810">
        <v>207</v>
      </c>
      <c r="AL1810">
        <v>207</v>
      </c>
      <c r="AM1810">
        <v>429</v>
      </c>
      <c r="AN1810">
        <v>44</v>
      </c>
      <c r="AP1810">
        <v>1</v>
      </c>
      <c r="AR1810" t="s">
        <v>1899</v>
      </c>
      <c r="AS1810" s="1">
        <v>44353.992361111108</v>
      </c>
      <c r="AT1810" s="1">
        <v>44353.996678240743</v>
      </c>
      <c r="AU1810" s="1">
        <v>44353.997256944444</v>
      </c>
      <c r="AV1810" t="s">
        <v>71</v>
      </c>
      <c r="AW1810" t="s">
        <v>72</v>
      </c>
      <c r="AX1810" t="s">
        <v>73</v>
      </c>
    </row>
    <row r="1811" spans="1:50" x14ac:dyDescent="0.3">
      <c r="A1811" t="str">
        <f>"202156B0000"</f>
        <v>202156B0000</v>
      </c>
      <c r="B1811" t="str">
        <f>"202156B00002"</f>
        <v>202156B00002</v>
      </c>
      <c r="C1811" t="str">
        <f t="shared" si="88"/>
        <v>20</v>
      </c>
      <c r="D1811" t="s">
        <v>67</v>
      </c>
      <c r="E1811" t="str">
        <f t="shared" si="89"/>
        <v>008</v>
      </c>
      <c r="F1811" t="s">
        <v>1759</v>
      </c>
      <c r="G1811" t="str">
        <f>"2156"</f>
        <v>2156</v>
      </c>
      <c r="H1811" t="str">
        <f>"0000"</f>
        <v>0000</v>
      </c>
      <c r="I1811" t="s">
        <v>69</v>
      </c>
      <c r="J1811">
        <v>0</v>
      </c>
      <c r="K1811">
        <v>1</v>
      </c>
      <c r="L1811">
        <v>2</v>
      </c>
      <c r="M1811">
        <v>250</v>
      </c>
      <c r="N1811">
        <v>197</v>
      </c>
      <c r="O1811" t="s">
        <v>80</v>
      </c>
      <c r="P1811">
        <v>197</v>
      </c>
      <c r="Q1811">
        <v>3</v>
      </c>
      <c r="R1811">
        <v>13</v>
      </c>
      <c r="S1811">
        <v>3</v>
      </c>
      <c r="T1811">
        <v>1</v>
      </c>
      <c r="U1811">
        <v>16</v>
      </c>
      <c r="V1811">
        <v>4</v>
      </c>
      <c r="W1811">
        <v>0</v>
      </c>
      <c r="X1811">
        <v>145</v>
      </c>
      <c r="Y1811">
        <v>1</v>
      </c>
      <c r="Z1811">
        <v>3</v>
      </c>
      <c r="AA1811">
        <v>1</v>
      </c>
      <c r="AB1811">
        <v>1</v>
      </c>
      <c r="AD1811" t="s">
        <v>77</v>
      </c>
      <c r="AE1811" t="s">
        <v>77</v>
      </c>
      <c r="AF1811" t="s">
        <v>77</v>
      </c>
      <c r="AG1811" t="s">
        <v>77</v>
      </c>
      <c r="AI1811" t="s">
        <v>77</v>
      </c>
      <c r="AJ1811">
        <v>6</v>
      </c>
      <c r="AK1811">
        <v>197</v>
      </c>
      <c r="AL1811">
        <v>197</v>
      </c>
      <c r="AM1811">
        <v>403</v>
      </c>
      <c r="AN1811">
        <v>44</v>
      </c>
      <c r="AO1811" t="s">
        <v>78</v>
      </c>
      <c r="AP1811">
        <v>1</v>
      </c>
      <c r="AR1811" t="s">
        <v>1900</v>
      </c>
      <c r="AS1811" s="1">
        <v>44354.348611111112</v>
      </c>
      <c r="AT1811" s="1">
        <v>44354.351817129631</v>
      </c>
      <c r="AU1811" s="1">
        <v>44354.35292824074</v>
      </c>
      <c r="AV1811" t="s">
        <v>71</v>
      </c>
      <c r="AW1811" t="s">
        <v>72</v>
      </c>
      <c r="AX1811" t="s">
        <v>73</v>
      </c>
    </row>
    <row r="1812" spans="1:50" x14ac:dyDescent="0.3">
      <c r="A1812" t="str">
        <f>"202156C0100"</f>
        <v>202156C0100</v>
      </c>
      <c r="B1812" t="str">
        <f>"202156C01002"</f>
        <v>202156C01002</v>
      </c>
      <c r="C1812" t="str">
        <f t="shared" si="88"/>
        <v>20</v>
      </c>
      <c r="D1812" t="s">
        <v>67</v>
      </c>
      <c r="E1812" t="str">
        <f t="shared" si="89"/>
        <v>008</v>
      </c>
      <c r="F1812" t="s">
        <v>1759</v>
      </c>
      <c r="G1812" t="str">
        <f>"2156"</f>
        <v>2156</v>
      </c>
      <c r="H1812" t="str">
        <f>"0001"</f>
        <v>0001</v>
      </c>
      <c r="I1812" t="s">
        <v>75</v>
      </c>
      <c r="J1812">
        <v>0</v>
      </c>
      <c r="K1812">
        <v>1</v>
      </c>
      <c r="L1812">
        <v>2</v>
      </c>
      <c r="M1812">
        <v>269</v>
      </c>
      <c r="N1812">
        <v>177</v>
      </c>
      <c r="O1812">
        <v>2</v>
      </c>
      <c r="P1812">
        <v>177</v>
      </c>
      <c r="Q1812">
        <v>3</v>
      </c>
      <c r="R1812">
        <v>8</v>
      </c>
      <c r="S1812">
        <v>1</v>
      </c>
      <c r="T1812">
        <v>1</v>
      </c>
      <c r="U1812">
        <v>10</v>
      </c>
      <c r="V1812">
        <v>0</v>
      </c>
      <c r="W1812">
        <v>0</v>
      </c>
      <c r="X1812">
        <v>142</v>
      </c>
      <c r="Y1812">
        <v>2</v>
      </c>
      <c r="Z1812">
        <v>0</v>
      </c>
      <c r="AA1812">
        <v>3</v>
      </c>
      <c r="AB1812">
        <v>2</v>
      </c>
      <c r="AD1812">
        <v>1</v>
      </c>
      <c r="AE1812">
        <v>0</v>
      </c>
      <c r="AF1812">
        <v>0</v>
      </c>
      <c r="AG1812">
        <v>0</v>
      </c>
      <c r="AI1812">
        <v>0</v>
      </c>
      <c r="AJ1812">
        <v>4</v>
      </c>
      <c r="AK1812">
        <v>177</v>
      </c>
      <c r="AL1812">
        <v>177</v>
      </c>
      <c r="AM1812">
        <v>402</v>
      </c>
      <c r="AN1812">
        <v>44</v>
      </c>
      <c r="AP1812">
        <v>1</v>
      </c>
      <c r="AR1812" t="s">
        <v>1901</v>
      </c>
      <c r="AS1812" s="1">
        <v>44354.351388888892</v>
      </c>
      <c r="AT1812" s="1">
        <v>44354.354837962965</v>
      </c>
      <c r="AU1812" s="1">
        <v>44354.357777777775</v>
      </c>
      <c r="AV1812" t="s">
        <v>71</v>
      </c>
      <c r="AW1812" t="s">
        <v>72</v>
      </c>
      <c r="AX1812" t="s">
        <v>73</v>
      </c>
    </row>
    <row r="1813" spans="1:50" x14ac:dyDescent="0.3">
      <c r="A1813" t="str">
        <f>"202157B0000"</f>
        <v>202157B0000</v>
      </c>
      <c r="B1813" t="str">
        <f>"202157B00002"</f>
        <v>202157B00002</v>
      </c>
      <c r="C1813" t="str">
        <f t="shared" si="88"/>
        <v>20</v>
      </c>
      <c r="D1813" t="s">
        <v>67</v>
      </c>
      <c r="E1813" t="str">
        <f t="shared" si="89"/>
        <v>008</v>
      </c>
      <c r="F1813" t="s">
        <v>1759</v>
      </c>
      <c r="G1813" t="str">
        <f>"2157"</f>
        <v>2157</v>
      </c>
      <c r="H1813" t="str">
        <f>"0000"</f>
        <v>0000</v>
      </c>
      <c r="I1813" t="s">
        <v>69</v>
      </c>
      <c r="J1813">
        <v>0</v>
      </c>
      <c r="K1813">
        <v>1</v>
      </c>
      <c r="L1813">
        <v>2</v>
      </c>
      <c r="M1813">
        <v>321</v>
      </c>
      <c r="N1813">
        <v>148</v>
      </c>
      <c r="O1813">
        <v>1</v>
      </c>
      <c r="P1813" t="s">
        <v>80</v>
      </c>
      <c r="Q1813">
        <v>3</v>
      </c>
      <c r="R1813">
        <v>12</v>
      </c>
      <c r="S1813">
        <v>7</v>
      </c>
      <c r="T1813">
        <v>3</v>
      </c>
      <c r="U1813">
        <v>12</v>
      </c>
      <c r="V1813">
        <v>1</v>
      </c>
      <c r="W1813">
        <v>1</v>
      </c>
      <c r="X1813">
        <v>103</v>
      </c>
      <c r="Y1813">
        <v>0</v>
      </c>
      <c r="Z1813">
        <v>1</v>
      </c>
      <c r="AA1813">
        <v>0</v>
      </c>
      <c r="AB1813">
        <v>1</v>
      </c>
      <c r="AD1813">
        <v>0</v>
      </c>
      <c r="AE1813">
        <v>0</v>
      </c>
      <c r="AF1813">
        <v>1</v>
      </c>
      <c r="AG1813">
        <v>0</v>
      </c>
      <c r="AI1813">
        <v>0</v>
      </c>
      <c r="AJ1813">
        <v>3</v>
      </c>
      <c r="AK1813">
        <v>148</v>
      </c>
      <c r="AL1813">
        <v>148</v>
      </c>
      <c r="AM1813">
        <v>425</v>
      </c>
      <c r="AN1813">
        <v>44</v>
      </c>
      <c r="AP1813">
        <v>1</v>
      </c>
      <c r="AR1813" t="s">
        <v>1902</v>
      </c>
      <c r="AS1813" s="1">
        <v>44354.567361111112</v>
      </c>
      <c r="AT1813" s="1">
        <v>44354.570775462962</v>
      </c>
      <c r="AU1813" s="1">
        <v>44354.571435185186</v>
      </c>
      <c r="AV1813" t="s">
        <v>71</v>
      </c>
      <c r="AW1813" t="s">
        <v>72</v>
      </c>
      <c r="AX1813" t="s">
        <v>73</v>
      </c>
    </row>
    <row r="1814" spans="1:50" x14ac:dyDescent="0.3">
      <c r="A1814" t="str">
        <f>"202157C0100"</f>
        <v>202157C0100</v>
      </c>
      <c r="B1814" t="str">
        <f>"202157C01002"</f>
        <v>202157C01002</v>
      </c>
      <c r="C1814" t="str">
        <f t="shared" si="88"/>
        <v>20</v>
      </c>
      <c r="D1814" t="s">
        <v>67</v>
      </c>
      <c r="E1814" t="str">
        <f t="shared" si="89"/>
        <v>008</v>
      </c>
      <c r="F1814" t="s">
        <v>1759</v>
      </c>
      <c r="G1814" t="str">
        <f>"2157"</f>
        <v>2157</v>
      </c>
      <c r="H1814" t="str">
        <f>"0001"</f>
        <v>0001</v>
      </c>
      <c r="I1814" t="s">
        <v>75</v>
      </c>
      <c r="J1814">
        <v>0</v>
      </c>
      <c r="K1814">
        <v>1</v>
      </c>
      <c r="L1814">
        <v>2</v>
      </c>
      <c r="M1814">
        <v>271</v>
      </c>
      <c r="N1814">
        <v>197</v>
      </c>
      <c r="O1814">
        <v>3</v>
      </c>
      <c r="P1814">
        <v>197</v>
      </c>
      <c r="Q1814">
        <v>2</v>
      </c>
      <c r="R1814">
        <v>20</v>
      </c>
      <c r="S1814">
        <v>7</v>
      </c>
      <c r="T1814">
        <v>3</v>
      </c>
      <c r="U1814">
        <v>14</v>
      </c>
      <c r="V1814">
        <v>0</v>
      </c>
      <c r="W1814">
        <v>1</v>
      </c>
      <c r="X1814">
        <v>144</v>
      </c>
      <c r="Y1814">
        <v>0</v>
      </c>
      <c r="Z1814">
        <v>1</v>
      </c>
      <c r="AA1814">
        <v>1</v>
      </c>
      <c r="AB1814">
        <v>1</v>
      </c>
      <c r="AD1814">
        <v>0</v>
      </c>
      <c r="AE1814">
        <v>0</v>
      </c>
      <c r="AF1814">
        <v>0</v>
      </c>
      <c r="AG1814">
        <v>0</v>
      </c>
      <c r="AI1814">
        <v>0</v>
      </c>
      <c r="AJ1814">
        <v>3</v>
      </c>
      <c r="AK1814">
        <v>197</v>
      </c>
      <c r="AL1814">
        <v>197</v>
      </c>
      <c r="AM1814">
        <v>424</v>
      </c>
      <c r="AN1814">
        <v>44</v>
      </c>
      <c r="AP1814">
        <v>1</v>
      </c>
      <c r="AR1814" t="s">
        <v>1903</v>
      </c>
      <c r="AS1814" s="1">
        <v>44354.349305555559</v>
      </c>
      <c r="AT1814" s="1">
        <v>44354.352071759262</v>
      </c>
      <c r="AU1814" s="1">
        <v>44354.352685185186</v>
      </c>
      <c r="AV1814" t="s">
        <v>71</v>
      </c>
      <c r="AW1814" t="s">
        <v>72</v>
      </c>
      <c r="AX1814" t="s">
        <v>73</v>
      </c>
    </row>
    <row r="1815" spans="1:50" x14ac:dyDescent="0.3">
      <c r="A1815" t="str">
        <f>"202158B0000"</f>
        <v>202158B0000</v>
      </c>
      <c r="B1815" t="str">
        <f>"202158B00002"</f>
        <v>202158B00002</v>
      </c>
      <c r="C1815" t="str">
        <f t="shared" si="88"/>
        <v>20</v>
      </c>
      <c r="D1815" t="s">
        <v>67</v>
      </c>
      <c r="E1815" t="str">
        <f t="shared" si="89"/>
        <v>008</v>
      </c>
      <c r="F1815" t="s">
        <v>1759</v>
      </c>
      <c r="G1815" t="str">
        <f>"2158"</f>
        <v>2158</v>
      </c>
      <c r="H1815" t="str">
        <f>"0000"</f>
        <v>0000</v>
      </c>
      <c r="I1815" t="s">
        <v>69</v>
      </c>
      <c r="J1815">
        <v>0</v>
      </c>
      <c r="K1815">
        <v>1</v>
      </c>
      <c r="L1815">
        <v>2</v>
      </c>
      <c r="M1815">
        <v>422</v>
      </c>
      <c r="N1815">
        <v>333</v>
      </c>
      <c r="O1815">
        <v>0</v>
      </c>
      <c r="P1815">
        <v>333</v>
      </c>
      <c r="Q1815">
        <v>3</v>
      </c>
      <c r="R1815">
        <v>25</v>
      </c>
      <c r="S1815">
        <v>6</v>
      </c>
      <c r="T1815">
        <v>7</v>
      </c>
      <c r="U1815">
        <v>116</v>
      </c>
      <c r="V1815">
        <v>2</v>
      </c>
      <c r="W1815">
        <v>3</v>
      </c>
      <c r="X1815">
        <v>138</v>
      </c>
      <c r="Y1815">
        <v>0</v>
      </c>
      <c r="Z1815">
        <v>5</v>
      </c>
      <c r="AA1815">
        <v>3</v>
      </c>
      <c r="AB1815">
        <v>13</v>
      </c>
      <c r="AD1815">
        <v>0</v>
      </c>
      <c r="AE1815">
        <v>0</v>
      </c>
      <c r="AF1815">
        <v>0</v>
      </c>
      <c r="AG1815">
        <v>0</v>
      </c>
      <c r="AI1815">
        <v>0</v>
      </c>
      <c r="AJ1815">
        <v>12</v>
      </c>
      <c r="AK1815">
        <v>333</v>
      </c>
      <c r="AL1815">
        <v>333</v>
      </c>
      <c r="AM1815">
        <v>711</v>
      </c>
      <c r="AN1815">
        <v>44</v>
      </c>
      <c r="AP1815">
        <v>1</v>
      </c>
      <c r="AR1815" t="s">
        <v>1904</v>
      </c>
      <c r="AS1815" s="1">
        <v>44354.225694444445</v>
      </c>
      <c r="AT1815" s="1">
        <v>44354.228229166663</v>
      </c>
      <c r="AU1815" s="1">
        <v>44354.228796296295</v>
      </c>
      <c r="AV1815" t="s">
        <v>71</v>
      </c>
      <c r="AW1815" t="s">
        <v>72</v>
      </c>
      <c r="AX1815" t="s">
        <v>73</v>
      </c>
    </row>
    <row r="1816" spans="1:50" x14ac:dyDescent="0.3">
      <c r="A1816" t="str">
        <f>"202158C0100"</f>
        <v>202158C0100</v>
      </c>
      <c r="B1816" t="str">
        <f>"202158C01002"</f>
        <v>202158C01002</v>
      </c>
      <c r="C1816" t="str">
        <f t="shared" si="88"/>
        <v>20</v>
      </c>
      <c r="D1816" t="s">
        <v>67</v>
      </c>
      <c r="E1816" t="str">
        <f t="shared" si="89"/>
        <v>008</v>
      </c>
      <c r="F1816" t="s">
        <v>1759</v>
      </c>
      <c r="G1816" t="str">
        <f>"2158"</f>
        <v>2158</v>
      </c>
      <c r="H1816" t="str">
        <f>"0001"</f>
        <v>0001</v>
      </c>
      <c r="I1816" t="s">
        <v>75</v>
      </c>
      <c r="J1816">
        <v>0</v>
      </c>
      <c r="K1816">
        <v>1</v>
      </c>
      <c r="L1816">
        <v>2</v>
      </c>
      <c r="M1816">
        <v>436</v>
      </c>
      <c r="N1816">
        <v>318</v>
      </c>
      <c r="O1816">
        <v>1</v>
      </c>
      <c r="P1816">
        <v>318</v>
      </c>
      <c r="Q1816">
        <v>5</v>
      </c>
      <c r="R1816">
        <v>27</v>
      </c>
      <c r="S1816">
        <v>6</v>
      </c>
      <c r="T1816">
        <v>6</v>
      </c>
      <c r="U1816">
        <v>98</v>
      </c>
      <c r="V1816">
        <v>6</v>
      </c>
      <c r="W1816">
        <v>2</v>
      </c>
      <c r="X1816">
        <v>140</v>
      </c>
      <c r="Y1816">
        <v>2</v>
      </c>
      <c r="Z1816">
        <v>4</v>
      </c>
      <c r="AA1816">
        <v>2</v>
      </c>
      <c r="AB1816">
        <v>6</v>
      </c>
      <c r="AD1816">
        <v>1</v>
      </c>
      <c r="AE1816">
        <v>0</v>
      </c>
      <c r="AF1816">
        <v>0</v>
      </c>
      <c r="AG1816">
        <v>0</v>
      </c>
      <c r="AI1816">
        <v>3</v>
      </c>
      <c r="AJ1816">
        <v>10</v>
      </c>
      <c r="AK1816">
        <v>318</v>
      </c>
      <c r="AL1816">
        <v>318</v>
      </c>
      <c r="AM1816">
        <v>710</v>
      </c>
      <c r="AN1816">
        <v>44</v>
      </c>
      <c r="AP1816">
        <v>1</v>
      </c>
      <c r="AR1816" t="s">
        <v>1905</v>
      </c>
      <c r="AS1816" s="1">
        <v>44354.222916666666</v>
      </c>
      <c r="AT1816" s="1">
        <v>44354.225671296299</v>
      </c>
      <c r="AU1816" s="1">
        <v>44354.226087962961</v>
      </c>
      <c r="AV1816" t="s">
        <v>71</v>
      </c>
      <c r="AW1816" t="s">
        <v>72</v>
      </c>
      <c r="AX1816" t="s">
        <v>73</v>
      </c>
    </row>
    <row r="1817" spans="1:50" x14ac:dyDescent="0.3">
      <c r="A1817" t="str">
        <f>"202159B0000"</f>
        <v>202159B0000</v>
      </c>
      <c r="B1817" t="str">
        <f>"202159B00002"</f>
        <v>202159B00002</v>
      </c>
      <c r="C1817" t="str">
        <f t="shared" si="88"/>
        <v>20</v>
      </c>
      <c r="D1817" t="s">
        <v>67</v>
      </c>
      <c r="E1817" t="str">
        <f t="shared" si="89"/>
        <v>008</v>
      </c>
      <c r="F1817" t="s">
        <v>1759</v>
      </c>
      <c r="G1817" t="str">
        <f>"2159"</f>
        <v>2159</v>
      </c>
      <c r="H1817" t="str">
        <f>"0000"</f>
        <v>0000</v>
      </c>
      <c r="I1817" t="s">
        <v>69</v>
      </c>
      <c r="J1817">
        <v>0</v>
      </c>
      <c r="K1817">
        <v>1</v>
      </c>
      <c r="L1817">
        <v>2</v>
      </c>
      <c r="M1817">
        <v>185</v>
      </c>
      <c r="N1817">
        <v>188</v>
      </c>
      <c r="O1817">
        <v>6</v>
      </c>
      <c r="P1817">
        <v>188</v>
      </c>
      <c r="Q1817">
        <v>1</v>
      </c>
      <c r="R1817">
        <v>9</v>
      </c>
      <c r="S1817">
        <v>15</v>
      </c>
      <c r="T1817">
        <v>2</v>
      </c>
      <c r="U1817">
        <v>110</v>
      </c>
      <c r="V1817">
        <v>1</v>
      </c>
      <c r="W1817">
        <v>1</v>
      </c>
      <c r="X1817">
        <v>40</v>
      </c>
      <c r="Y1817">
        <v>0</v>
      </c>
      <c r="Z1817">
        <v>2</v>
      </c>
      <c r="AA1817">
        <v>0</v>
      </c>
      <c r="AB1817">
        <v>1</v>
      </c>
      <c r="AD1817">
        <v>0</v>
      </c>
      <c r="AE1817">
        <v>0</v>
      </c>
      <c r="AF1817">
        <v>0</v>
      </c>
      <c r="AG1817">
        <v>0</v>
      </c>
      <c r="AI1817">
        <v>0</v>
      </c>
      <c r="AJ1817">
        <v>5</v>
      </c>
      <c r="AK1817">
        <v>188</v>
      </c>
      <c r="AL1817">
        <v>187</v>
      </c>
      <c r="AM1817">
        <v>329</v>
      </c>
      <c r="AN1817">
        <v>44</v>
      </c>
      <c r="AP1817">
        <v>1</v>
      </c>
      <c r="AR1817" t="s">
        <v>1906</v>
      </c>
      <c r="AS1817" s="1">
        <v>44354.216666666667</v>
      </c>
      <c r="AT1817" s="1">
        <v>44354.219537037039</v>
      </c>
      <c r="AU1817" s="1">
        <v>44354.220393518517</v>
      </c>
      <c r="AV1817" t="s">
        <v>71</v>
      </c>
      <c r="AW1817" t="s">
        <v>72</v>
      </c>
      <c r="AX1817" t="s">
        <v>73</v>
      </c>
    </row>
    <row r="1818" spans="1:50" x14ac:dyDescent="0.3">
      <c r="A1818" t="str">
        <f>"202159E0100"</f>
        <v>202159E0100</v>
      </c>
      <c r="B1818" t="str">
        <f>"202159E01002"</f>
        <v>202159E01002</v>
      </c>
      <c r="C1818" t="str">
        <f t="shared" si="88"/>
        <v>20</v>
      </c>
      <c r="D1818" t="s">
        <v>67</v>
      </c>
      <c r="E1818" t="str">
        <f t="shared" si="89"/>
        <v>008</v>
      </c>
      <c r="F1818" t="s">
        <v>1759</v>
      </c>
      <c r="G1818" t="str">
        <f>"2159"</f>
        <v>2159</v>
      </c>
      <c r="H1818" t="str">
        <f>"0001"</f>
        <v>0001</v>
      </c>
      <c r="I1818" t="s">
        <v>109</v>
      </c>
      <c r="J1818">
        <v>0</v>
      </c>
      <c r="K1818">
        <v>1</v>
      </c>
      <c r="L1818">
        <v>2</v>
      </c>
      <c r="M1818">
        <v>156</v>
      </c>
      <c r="N1818">
        <v>188</v>
      </c>
      <c r="O1818">
        <v>5</v>
      </c>
      <c r="P1818">
        <v>188</v>
      </c>
      <c r="Q1818">
        <v>3</v>
      </c>
      <c r="R1818">
        <v>20</v>
      </c>
      <c r="S1818">
        <v>35</v>
      </c>
      <c r="T1818">
        <v>1</v>
      </c>
      <c r="U1818">
        <v>80</v>
      </c>
      <c r="V1818">
        <v>0</v>
      </c>
      <c r="W1818">
        <v>2</v>
      </c>
      <c r="X1818">
        <v>24</v>
      </c>
      <c r="Y1818">
        <v>0</v>
      </c>
      <c r="Z1818">
        <v>0</v>
      </c>
      <c r="AA1818">
        <v>1</v>
      </c>
      <c r="AB1818">
        <v>0</v>
      </c>
      <c r="AD1818">
        <v>7</v>
      </c>
      <c r="AE1818">
        <v>1</v>
      </c>
      <c r="AF1818">
        <v>0</v>
      </c>
      <c r="AG1818">
        <v>1</v>
      </c>
      <c r="AI1818">
        <v>0</v>
      </c>
      <c r="AJ1818">
        <v>3</v>
      </c>
      <c r="AK1818">
        <v>188</v>
      </c>
      <c r="AL1818">
        <v>178</v>
      </c>
      <c r="AM1818">
        <v>300</v>
      </c>
      <c r="AN1818">
        <v>44</v>
      </c>
      <c r="AP1818">
        <v>1</v>
      </c>
      <c r="AR1818" t="s">
        <v>1907</v>
      </c>
      <c r="AS1818" s="1">
        <v>44354.225694444445</v>
      </c>
      <c r="AT1818" s="1">
        <v>44354.228217592594</v>
      </c>
      <c r="AU1818" s="1">
        <v>44354.228715277779</v>
      </c>
      <c r="AV1818" t="s">
        <v>71</v>
      </c>
      <c r="AW1818" t="s">
        <v>72</v>
      </c>
      <c r="AX1818" t="s">
        <v>73</v>
      </c>
    </row>
    <row r="1819" spans="1:50" x14ac:dyDescent="0.3">
      <c r="A1819" t="str">
        <f>"202160B0000"</f>
        <v>202160B0000</v>
      </c>
      <c r="B1819" t="str">
        <f>"202160B00002"</f>
        <v>202160B00002</v>
      </c>
      <c r="C1819" t="str">
        <f t="shared" si="88"/>
        <v>20</v>
      </c>
      <c r="D1819" t="s">
        <v>67</v>
      </c>
      <c r="E1819" t="str">
        <f t="shared" si="89"/>
        <v>008</v>
      </c>
      <c r="F1819" t="s">
        <v>1759</v>
      </c>
      <c r="G1819" t="str">
        <f>"2160"</f>
        <v>2160</v>
      </c>
      <c r="H1819" t="str">
        <f>"0000"</f>
        <v>0000</v>
      </c>
      <c r="I1819" t="s">
        <v>69</v>
      </c>
      <c r="J1819">
        <v>0</v>
      </c>
      <c r="K1819">
        <v>1</v>
      </c>
      <c r="L1819">
        <v>2</v>
      </c>
      <c r="M1819">
        <v>424</v>
      </c>
      <c r="N1819">
        <v>199</v>
      </c>
      <c r="O1819">
        <v>3</v>
      </c>
      <c r="P1819">
        <v>199</v>
      </c>
      <c r="Q1819">
        <v>6</v>
      </c>
      <c r="R1819">
        <v>16</v>
      </c>
      <c r="S1819">
        <v>6</v>
      </c>
      <c r="T1819">
        <v>8</v>
      </c>
      <c r="U1819">
        <v>29</v>
      </c>
      <c r="V1819">
        <v>6</v>
      </c>
      <c r="W1819">
        <v>2</v>
      </c>
      <c r="X1819">
        <v>105</v>
      </c>
      <c r="Y1819">
        <v>3</v>
      </c>
      <c r="Z1819">
        <v>4</v>
      </c>
      <c r="AA1819">
        <v>1</v>
      </c>
      <c r="AB1819">
        <v>1</v>
      </c>
      <c r="AD1819">
        <v>0</v>
      </c>
      <c r="AE1819">
        <v>0</v>
      </c>
      <c r="AF1819">
        <v>0</v>
      </c>
      <c r="AG1819">
        <v>1</v>
      </c>
      <c r="AI1819">
        <v>0</v>
      </c>
      <c r="AJ1819">
        <v>11</v>
      </c>
      <c r="AK1819">
        <v>199</v>
      </c>
      <c r="AL1819">
        <v>199</v>
      </c>
      <c r="AM1819">
        <v>579</v>
      </c>
      <c r="AN1819">
        <v>44</v>
      </c>
      <c r="AP1819">
        <v>1</v>
      </c>
      <c r="AR1819" s="2" t="s">
        <v>1908</v>
      </c>
      <c r="AS1819" s="1">
        <v>44354.222916666666</v>
      </c>
      <c r="AT1819" s="1">
        <v>44354.226238425923</v>
      </c>
      <c r="AU1819" s="1">
        <v>44354.226550925923</v>
      </c>
      <c r="AV1819" t="s">
        <v>71</v>
      </c>
      <c r="AW1819" t="s">
        <v>72</v>
      </c>
      <c r="AX1819" t="s">
        <v>73</v>
      </c>
    </row>
    <row r="1820" spans="1:50" x14ac:dyDescent="0.3">
      <c r="A1820" t="str">
        <f>"202160E0100"</f>
        <v>202160E0100</v>
      </c>
      <c r="B1820" t="str">
        <f>"202160E01002"</f>
        <v>202160E01002</v>
      </c>
      <c r="C1820" t="str">
        <f t="shared" si="88"/>
        <v>20</v>
      </c>
      <c r="D1820" t="s">
        <v>67</v>
      </c>
      <c r="E1820" t="str">
        <f t="shared" si="89"/>
        <v>008</v>
      </c>
      <c r="F1820" t="s">
        <v>1759</v>
      </c>
      <c r="G1820" t="str">
        <f>"2160"</f>
        <v>2160</v>
      </c>
      <c r="H1820" t="str">
        <f>"0001"</f>
        <v>0001</v>
      </c>
      <c r="I1820" t="s">
        <v>109</v>
      </c>
      <c r="J1820">
        <v>0</v>
      </c>
      <c r="K1820">
        <v>1</v>
      </c>
      <c r="L1820">
        <v>2</v>
      </c>
      <c r="M1820">
        <v>209</v>
      </c>
      <c r="N1820">
        <v>150</v>
      </c>
      <c r="O1820">
        <v>6</v>
      </c>
      <c r="P1820">
        <v>150</v>
      </c>
      <c r="Q1820">
        <v>5</v>
      </c>
      <c r="R1820">
        <v>15</v>
      </c>
      <c r="S1820">
        <v>3</v>
      </c>
      <c r="T1820">
        <v>6</v>
      </c>
      <c r="U1820">
        <v>76</v>
      </c>
      <c r="V1820">
        <v>0</v>
      </c>
      <c r="W1820">
        <v>0</v>
      </c>
      <c r="X1820">
        <v>30</v>
      </c>
      <c r="Y1820">
        <v>0</v>
      </c>
      <c r="Z1820">
        <v>0</v>
      </c>
      <c r="AA1820">
        <v>0</v>
      </c>
      <c r="AB1820">
        <v>2</v>
      </c>
      <c r="AD1820">
        <v>0</v>
      </c>
      <c r="AE1820">
        <v>0</v>
      </c>
      <c r="AF1820">
        <v>0</v>
      </c>
      <c r="AG1820">
        <v>1</v>
      </c>
      <c r="AI1820">
        <v>0</v>
      </c>
      <c r="AJ1820">
        <v>12</v>
      </c>
      <c r="AK1820">
        <v>150</v>
      </c>
      <c r="AL1820">
        <v>150</v>
      </c>
      <c r="AM1820">
        <v>315</v>
      </c>
      <c r="AN1820">
        <v>44</v>
      </c>
      <c r="AP1820">
        <v>1</v>
      </c>
      <c r="AR1820" t="s">
        <v>1909</v>
      </c>
      <c r="AS1820" s="1">
        <v>44354.222916666666</v>
      </c>
      <c r="AT1820" s="1">
        <v>44354.225474537037</v>
      </c>
      <c r="AU1820" s="1">
        <v>44354.225914351853</v>
      </c>
      <c r="AV1820" t="s">
        <v>71</v>
      </c>
      <c r="AW1820" t="s">
        <v>72</v>
      </c>
      <c r="AX1820" t="s">
        <v>73</v>
      </c>
    </row>
    <row r="1821" spans="1:50" x14ac:dyDescent="0.3">
      <c r="A1821" t="str">
        <f>"202161B0000"</f>
        <v>202161B0000</v>
      </c>
      <c r="B1821" t="str">
        <f>"202161B00002"</f>
        <v>202161B00002</v>
      </c>
      <c r="C1821" t="str">
        <f t="shared" si="88"/>
        <v>20</v>
      </c>
      <c r="D1821" t="s">
        <v>67</v>
      </c>
      <c r="E1821" t="str">
        <f t="shared" si="89"/>
        <v>008</v>
      </c>
      <c r="F1821" t="s">
        <v>1759</v>
      </c>
      <c r="G1821" t="str">
        <f>"2161"</f>
        <v>2161</v>
      </c>
      <c r="H1821" t="str">
        <f>"0000"</f>
        <v>0000</v>
      </c>
      <c r="I1821" t="s">
        <v>69</v>
      </c>
      <c r="J1821">
        <v>0</v>
      </c>
      <c r="K1821">
        <v>1</v>
      </c>
      <c r="L1821">
        <v>2</v>
      </c>
      <c r="M1821">
        <v>194</v>
      </c>
      <c r="N1821">
        <v>159</v>
      </c>
      <c r="O1821">
        <v>4</v>
      </c>
      <c r="P1821">
        <v>159</v>
      </c>
      <c r="Q1821">
        <v>5</v>
      </c>
      <c r="R1821">
        <v>3</v>
      </c>
      <c r="S1821">
        <v>3</v>
      </c>
      <c r="T1821">
        <v>0</v>
      </c>
      <c r="U1821">
        <v>16</v>
      </c>
      <c r="V1821">
        <v>1</v>
      </c>
      <c r="W1821">
        <v>0</v>
      </c>
      <c r="X1821">
        <v>120</v>
      </c>
      <c r="Y1821">
        <v>2</v>
      </c>
      <c r="Z1821">
        <v>4</v>
      </c>
      <c r="AA1821">
        <v>1</v>
      </c>
      <c r="AB1821">
        <v>0</v>
      </c>
      <c r="AD1821">
        <v>0</v>
      </c>
      <c r="AE1821">
        <v>0</v>
      </c>
      <c r="AF1821">
        <v>0</v>
      </c>
      <c r="AG1821">
        <v>0</v>
      </c>
      <c r="AI1821">
        <v>0</v>
      </c>
      <c r="AJ1821">
        <v>4</v>
      </c>
      <c r="AK1821">
        <v>159</v>
      </c>
      <c r="AL1821">
        <v>159</v>
      </c>
      <c r="AM1821">
        <v>309</v>
      </c>
      <c r="AN1821">
        <v>44</v>
      </c>
      <c r="AP1821">
        <v>1</v>
      </c>
      <c r="AR1821" t="s">
        <v>1910</v>
      </c>
      <c r="AS1821" s="1">
        <v>44354.226388888892</v>
      </c>
      <c r="AT1821" s="1">
        <v>44354.228622685187</v>
      </c>
      <c r="AU1821" s="1">
        <v>44354.228946759256</v>
      </c>
      <c r="AV1821" t="s">
        <v>71</v>
      </c>
      <c r="AW1821" t="s">
        <v>72</v>
      </c>
      <c r="AX1821" t="s">
        <v>73</v>
      </c>
    </row>
    <row r="1822" spans="1:50" x14ac:dyDescent="0.3">
      <c r="A1822" t="str">
        <f>"202162B0000"</f>
        <v>202162B0000</v>
      </c>
      <c r="B1822" t="str">
        <f>"202162B00002"</f>
        <v>202162B00002</v>
      </c>
      <c r="C1822" t="str">
        <f t="shared" si="88"/>
        <v>20</v>
      </c>
      <c r="D1822" t="s">
        <v>67</v>
      </c>
      <c r="E1822" t="str">
        <f t="shared" si="89"/>
        <v>008</v>
      </c>
      <c r="F1822" t="s">
        <v>1759</v>
      </c>
      <c r="G1822" t="str">
        <f>"2162"</f>
        <v>2162</v>
      </c>
      <c r="H1822" t="str">
        <f>"0000"</f>
        <v>0000</v>
      </c>
      <c r="I1822" t="s">
        <v>69</v>
      </c>
      <c r="J1822">
        <v>0</v>
      </c>
      <c r="K1822">
        <v>1</v>
      </c>
      <c r="L1822">
        <v>2</v>
      </c>
      <c r="M1822">
        <v>448</v>
      </c>
      <c r="N1822">
        <v>301</v>
      </c>
      <c r="O1822">
        <v>0</v>
      </c>
      <c r="P1822">
        <v>302</v>
      </c>
      <c r="Q1822">
        <v>9</v>
      </c>
      <c r="R1822">
        <v>25</v>
      </c>
      <c r="S1822">
        <v>13</v>
      </c>
      <c r="T1822">
        <v>5</v>
      </c>
      <c r="U1822">
        <v>88</v>
      </c>
      <c r="V1822">
        <v>2</v>
      </c>
      <c r="W1822">
        <v>2</v>
      </c>
      <c r="X1822">
        <v>114</v>
      </c>
      <c r="Y1822">
        <v>1</v>
      </c>
      <c r="Z1822">
        <v>5</v>
      </c>
      <c r="AA1822">
        <v>1</v>
      </c>
      <c r="AB1822">
        <v>9</v>
      </c>
      <c r="AD1822">
        <v>0</v>
      </c>
      <c r="AE1822">
        <v>1</v>
      </c>
      <c r="AF1822">
        <v>0</v>
      </c>
      <c r="AG1822">
        <v>0</v>
      </c>
      <c r="AI1822">
        <v>0</v>
      </c>
      <c r="AJ1822">
        <v>27</v>
      </c>
      <c r="AK1822">
        <v>302</v>
      </c>
      <c r="AL1822">
        <v>302</v>
      </c>
      <c r="AM1822">
        <v>706</v>
      </c>
      <c r="AN1822">
        <v>44</v>
      </c>
      <c r="AP1822">
        <v>1</v>
      </c>
      <c r="AR1822" t="s">
        <v>1911</v>
      </c>
      <c r="AS1822" s="1">
        <v>44354.222916666666</v>
      </c>
      <c r="AT1822" s="1">
        <v>44354.227268518516</v>
      </c>
      <c r="AU1822" s="1">
        <v>44354.228078703702</v>
      </c>
      <c r="AV1822" t="s">
        <v>71</v>
      </c>
      <c r="AW1822" t="s">
        <v>72</v>
      </c>
      <c r="AX1822" t="s">
        <v>73</v>
      </c>
    </row>
    <row r="1823" spans="1:50" x14ac:dyDescent="0.3">
      <c r="A1823" t="str">
        <f>"202162E0100"</f>
        <v>202162E0100</v>
      </c>
      <c r="B1823" t="str">
        <f>"202162E01002"</f>
        <v>202162E01002</v>
      </c>
      <c r="C1823" t="str">
        <f t="shared" si="88"/>
        <v>20</v>
      </c>
      <c r="D1823" t="s">
        <v>67</v>
      </c>
      <c r="E1823" t="str">
        <f t="shared" si="89"/>
        <v>008</v>
      </c>
      <c r="F1823" t="s">
        <v>1759</v>
      </c>
      <c r="G1823" t="str">
        <f>"2162"</f>
        <v>2162</v>
      </c>
      <c r="H1823" t="str">
        <f>"0001"</f>
        <v>0001</v>
      </c>
      <c r="I1823" t="s">
        <v>109</v>
      </c>
      <c r="J1823">
        <v>0</v>
      </c>
      <c r="K1823">
        <v>1</v>
      </c>
      <c r="L1823">
        <v>2</v>
      </c>
      <c r="M1823">
        <v>107</v>
      </c>
      <c r="N1823">
        <v>114</v>
      </c>
      <c r="O1823">
        <v>7</v>
      </c>
      <c r="P1823">
        <v>114</v>
      </c>
      <c r="Q1823">
        <v>1</v>
      </c>
      <c r="R1823">
        <v>4</v>
      </c>
      <c r="S1823">
        <v>7</v>
      </c>
      <c r="T1823">
        <v>3</v>
      </c>
      <c r="U1823">
        <v>61</v>
      </c>
      <c r="V1823">
        <v>2</v>
      </c>
      <c r="W1823">
        <v>2</v>
      </c>
      <c r="X1823">
        <v>22</v>
      </c>
      <c r="Y1823">
        <v>0</v>
      </c>
      <c r="Z1823">
        <v>4</v>
      </c>
      <c r="AA1823">
        <v>0</v>
      </c>
      <c r="AB1823">
        <v>5</v>
      </c>
      <c r="AD1823">
        <v>0</v>
      </c>
      <c r="AE1823">
        <v>0</v>
      </c>
      <c r="AF1823">
        <v>0</v>
      </c>
      <c r="AG1823">
        <v>0</v>
      </c>
      <c r="AI1823">
        <v>0</v>
      </c>
      <c r="AJ1823">
        <v>3</v>
      </c>
      <c r="AK1823">
        <v>114</v>
      </c>
      <c r="AL1823">
        <v>114</v>
      </c>
      <c r="AM1823">
        <v>177</v>
      </c>
      <c r="AN1823">
        <v>44</v>
      </c>
      <c r="AP1823">
        <v>1</v>
      </c>
      <c r="AR1823" t="s">
        <v>1912</v>
      </c>
      <c r="AS1823" s="1">
        <v>44354.224999999999</v>
      </c>
      <c r="AT1823" s="1">
        <v>44354.228009259263</v>
      </c>
      <c r="AU1823" s="1">
        <v>44354.228935185187</v>
      </c>
      <c r="AV1823" t="s">
        <v>71</v>
      </c>
      <c r="AW1823" t="s">
        <v>72</v>
      </c>
      <c r="AX1823" t="s">
        <v>73</v>
      </c>
    </row>
    <row r="1824" spans="1:50" x14ac:dyDescent="0.3">
      <c r="A1824" t="str">
        <f>"202163B0000"</f>
        <v>202163B0000</v>
      </c>
      <c r="B1824" t="str">
        <f>"202163B00002"</f>
        <v>202163B00002</v>
      </c>
      <c r="C1824" t="str">
        <f t="shared" si="88"/>
        <v>20</v>
      </c>
      <c r="D1824" t="s">
        <v>67</v>
      </c>
      <c r="E1824" t="str">
        <f t="shared" si="89"/>
        <v>008</v>
      </c>
      <c r="F1824" t="s">
        <v>1759</v>
      </c>
      <c r="G1824" t="str">
        <f>"2163"</f>
        <v>2163</v>
      </c>
      <c r="H1824" t="str">
        <f>"0000"</f>
        <v>0000</v>
      </c>
      <c r="I1824" t="s">
        <v>69</v>
      </c>
      <c r="J1824">
        <v>0</v>
      </c>
      <c r="K1824">
        <v>1</v>
      </c>
      <c r="L1824">
        <v>2</v>
      </c>
      <c r="M1824">
        <v>400</v>
      </c>
      <c r="N1824">
        <v>278</v>
      </c>
      <c r="O1824">
        <v>4</v>
      </c>
      <c r="P1824">
        <v>278</v>
      </c>
      <c r="Q1824">
        <v>4</v>
      </c>
      <c r="R1824">
        <v>21</v>
      </c>
      <c r="S1824">
        <v>6</v>
      </c>
      <c r="T1824">
        <v>6</v>
      </c>
      <c r="U1824">
        <v>10</v>
      </c>
      <c r="V1824">
        <v>3</v>
      </c>
      <c r="W1824">
        <v>3</v>
      </c>
      <c r="X1824">
        <v>198</v>
      </c>
      <c r="Y1824">
        <v>1</v>
      </c>
      <c r="Z1824">
        <v>8</v>
      </c>
      <c r="AA1824">
        <v>4</v>
      </c>
      <c r="AB1824">
        <v>2</v>
      </c>
      <c r="AD1824">
        <v>1</v>
      </c>
      <c r="AE1824">
        <v>0</v>
      </c>
      <c r="AF1824">
        <v>0</v>
      </c>
      <c r="AG1824">
        <v>0</v>
      </c>
      <c r="AI1824">
        <v>0</v>
      </c>
      <c r="AJ1824">
        <v>11</v>
      </c>
      <c r="AK1824">
        <v>278</v>
      </c>
      <c r="AL1824">
        <v>278</v>
      </c>
      <c r="AM1824">
        <v>634</v>
      </c>
      <c r="AN1824">
        <v>44</v>
      </c>
      <c r="AP1824">
        <v>1</v>
      </c>
      <c r="AR1824" t="s">
        <v>1913</v>
      </c>
      <c r="AS1824" s="1">
        <v>44354.24722222222</v>
      </c>
      <c r="AT1824" s="1">
        <v>44354.249189814815</v>
      </c>
      <c r="AU1824" s="1">
        <v>44354.249814814815</v>
      </c>
      <c r="AV1824" t="s">
        <v>71</v>
      </c>
      <c r="AW1824" t="s">
        <v>72</v>
      </c>
      <c r="AX1824" t="s">
        <v>73</v>
      </c>
    </row>
    <row r="1825" spans="1:50" x14ac:dyDescent="0.3">
      <c r="A1825" t="str">
        <f>"202164B0000"</f>
        <v>202164B0000</v>
      </c>
      <c r="B1825" t="str">
        <f>"202164B00002"</f>
        <v>202164B00002</v>
      </c>
      <c r="C1825" t="str">
        <f t="shared" si="88"/>
        <v>20</v>
      </c>
      <c r="D1825" t="s">
        <v>67</v>
      </c>
      <c r="E1825" t="str">
        <f t="shared" si="89"/>
        <v>008</v>
      </c>
      <c r="F1825" t="s">
        <v>1759</v>
      </c>
      <c r="G1825" t="str">
        <f>"2164"</f>
        <v>2164</v>
      </c>
      <c r="H1825" t="str">
        <f>"0000"</f>
        <v>0000</v>
      </c>
      <c r="I1825" t="s">
        <v>69</v>
      </c>
      <c r="J1825">
        <v>0</v>
      </c>
      <c r="K1825">
        <v>1</v>
      </c>
      <c r="L1825">
        <v>2</v>
      </c>
      <c r="M1825">
        <v>371</v>
      </c>
      <c r="N1825">
        <v>248</v>
      </c>
      <c r="O1825">
        <v>5</v>
      </c>
      <c r="P1825">
        <v>248</v>
      </c>
      <c r="Q1825">
        <v>7</v>
      </c>
      <c r="R1825">
        <v>20</v>
      </c>
      <c r="S1825">
        <v>7</v>
      </c>
      <c r="T1825">
        <v>2</v>
      </c>
      <c r="U1825">
        <v>76</v>
      </c>
      <c r="V1825">
        <v>1</v>
      </c>
      <c r="W1825">
        <v>3</v>
      </c>
      <c r="X1825">
        <v>97</v>
      </c>
      <c r="Y1825">
        <v>3</v>
      </c>
      <c r="Z1825">
        <v>3</v>
      </c>
      <c r="AA1825">
        <v>4</v>
      </c>
      <c r="AB1825">
        <v>7</v>
      </c>
      <c r="AD1825">
        <v>0</v>
      </c>
      <c r="AE1825">
        <v>0</v>
      </c>
      <c r="AF1825">
        <v>0</v>
      </c>
      <c r="AG1825">
        <v>1</v>
      </c>
      <c r="AI1825">
        <v>0</v>
      </c>
      <c r="AJ1825">
        <v>17</v>
      </c>
      <c r="AK1825">
        <v>248</v>
      </c>
      <c r="AL1825">
        <v>248</v>
      </c>
      <c r="AM1825">
        <v>575</v>
      </c>
      <c r="AN1825">
        <v>44</v>
      </c>
      <c r="AP1825">
        <v>1</v>
      </c>
      <c r="AR1825" t="s">
        <v>1914</v>
      </c>
      <c r="AS1825" s="1">
        <v>44354.227777777778</v>
      </c>
      <c r="AT1825" s="1">
        <v>44354.229722222219</v>
      </c>
      <c r="AU1825" s="1">
        <v>44354.231215277781</v>
      </c>
      <c r="AV1825" t="s">
        <v>71</v>
      </c>
      <c r="AW1825" t="s">
        <v>72</v>
      </c>
      <c r="AX1825" t="s">
        <v>73</v>
      </c>
    </row>
    <row r="1826" spans="1:50" x14ac:dyDescent="0.3">
      <c r="A1826" t="str">
        <f>"202164E0100"</f>
        <v>202164E0100</v>
      </c>
      <c r="B1826" t="str">
        <f>"202164E01002"</f>
        <v>202164E01002</v>
      </c>
      <c r="C1826" t="str">
        <f t="shared" si="88"/>
        <v>20</v>
      </c>
      <c r="D1826" t="s">
        <v>67</v>
      </c>
      <c r="E1826" t="str">
        <f t="shared" si="89"/>
        <v>008</v>
      </c>
      <c r="F1826" t="s">
        <v>1759</v>
      </c>
      <c r="G1826" t="str">
        <f>"2164"</f>
        <v>2164</v>
      </c>
      <c r="H1826" t="str">
        <f>"0001"</f>
        <v>0001</v>
      </c>
      <c r="I1826" t="s">
        <v>109</v>
      </c>
      <c r="J1826">
        <v>0</v>
      </c>
      <c r="K1826">
        <v>1</v>
      </c>
      <c r="L1826">
        <v>2</v>
      </c>
      <c r="M1826">
        <v>163</v>
      </c>
      <c r="N1826">
        <v>158</v>
      </c>
      <c r="O1826">
        <v>4</v>
      </c>
      <c r="P1826">
        <v>158</v>
      </c>
      <c r="Q1826">
        <v>5</v>
      </c>
      <c r="R1826">
        <v>5</v>
      </c>
      <c r="S1826">
        <v>7</v>
      </c>
      <c r="T1826">
        <v>6</v>
      </c>
      <c r="U1826">
        <v>14</v>
      </c>
      <c r="V1826">
        <v>1</v>
      </c>
      <c r="W1826">
        <v>5</v>
      </c>
      <c r="X1826">
        <v>106</v>
      </c>
      <c r="Y1826">
        <v>0</v>
      </c>
      <c r="Z1826">
        <v>2</v>
      </c>
      <c r="AA1826">
        <v>3</v>
      </c>
      <c r="AB1826">
        <v>1</v>
      </c>
      <c r="AD1826">
        <v>0</v>
      </c>
      <c r="AE1826">
        <v>0</v>
      </c>
      <c r="AF1826">
        <v>0</v>
      </c>
      <c r="AG1826">
        <v>0</v>
      </c>
      <c r="AI1826">
        <v>0</v>
      </c>
      <c r="AJ1826">
        <v>3</v>
      </c>
      <c r="AK1826">
        <v>158</v>
      </c>
      <c r="AL1826">
        <v>158</v>
      </c>
      <c r="AM1826">
        <v>277</v>
      </c>
      <c r="AN1826">
        <v>44</v>
      </c>
      <c r="AP1826">
        <v>1</v>
      </c>
      <c r="AR1826" t="s">
        <v>1915</v>
      </c>
      <c r="AS1826" s="1">
        <v>44354.568055555559</v>
      </c>
      <c r="AT1826" s="1">
        <v>44354.585393518515</v>
      </c>
      <c r="AU1826" s="1">
        <v>44354.58761574074</v>
      </c>
      <c r="AV1826" t="s">
        <v>71</v>
      </c>
      <c r="AW1826" t="s">
        <v>72</v>
      </c>
      <c r="AX1826" t="s">
        <v>73</v>
      </c>
    </row>
    <row r="1827" spans="1:50" x14ac:dyDescent="0.3">
      <c r="A1827" t="str">
        <f>"202164E0200"</f>
        <v>202164E0200</v>
      </c>
      <c r="B1827" t="str">
        <f>"202164E02002"</f>
        <v>202164E02002</v>
      </c>
      <c r="C1827" t="str">
        <f t="shared" si="88"/>
        <v>20</v>
      </c>
      <c r="D1827" t="s">
        <v>67</v>
      </c>
      <c r="E1827" t="str">
        <f t="shared" si="89"/>
        <v>008</v>
      </c>
      <c r="F1827" t="s">
        <v>1759</v>
      </c>
      <c r="G1827" t="str">
        <f>"2164"</f>
        <v>2164</v>
      </c>
      <c r="H1827" t="str">
        <f>"0002"</f>
        <v>0002</v>
      </c>
      <c r="I1827" t="s">
        <v>109</v>
      </c>
      <c r="J1827">
        <v>0</v>
      </c>
      <c r="K1827">
        <v>1</v>
      </c>
      <c r="L1827">
        <v>2</v>
      </c>
      <c r="M1827">
        <v>135</v>
      </c>
      <c r="N1827">
        <v>122</v>
      </c>
      <c r="O1827">
        <v>5</v>
      </c>
      <c r="P1827" t="s">
        <v>80</v>
      </c>
      <c r="Q1827">
        <v>1</v>
      </c>
      <c r="R1827">
        <v>9</v>
      </c>
      <c r="S1827">
        <v>5</v>
      </c>
      <c r="T1827">
        <v>2</v>
      </c>
      <c r="U1827">
        <v>82</v>
      </c>
      <c r="V1827">
        <v>0</v>
      </c>
      <c r="W1827">
        <v>1</v>
      </c>
      <c r="X1827">
        <v>13</v>
      </c>
      <c r="Y1827">
        <v>0</v>
      </c>
      <c r="Z1827">
        <v>3</v>
      </c>
      <c r="AA1827">
        <v>0</v>
      </c>
      <c r="AB1827">
        <v>0</v>
      </c>
      <c r="AD1827">
        <v>1</v>
      </c>
      <c r="AE1827">
        <v>0</v>
      </c>
      <c r="AF1827">
        <v>0</v>
      </c>
      <c r="AG1827">
        <v>0</v>
      </c>
      <c r="AI1827">
        <v>0</v>
      </c>
      <c r="AJ1827">
        <v>6</v>
      </c>
      <c r="AK1827">
        <v>123</v>
      </c>
      <c r="AL1827">
        <v>123</v>
      </c>
      <c r="AM1827">
        <v>215</v>
      </c>
      <c r="AN1827">
        <v>44</v>
      </c>
      <c r="AP1827">
        <v>1</v>
      </c>
      <c r="AR1827" t="s">
        <v>1916</v>
      </c>
      <c r="AS1827" s="1">
        <v>44354.226388888892</v>
      </c>
      <c r="AT1827" s="1">
        <v>44354.240231481483</v>
      </c>
      <c r="AU1827" s="1">
        <v>44354.240659722222</v>
      </c>
      <c r="AV1827" t="s">
        <v>71</v>
      </c>
      <c r="AW1827" t="s">
        <v>72</v>
      </c>
      <c r="AX1827" t="s">
        <v>73</v>
      </c>
    </row>
    <row r="1828" spans="1:50" x14ac:dyDescent="0.3">
      <c r="A1828" t="str">
        <f>"202185B0000"</f>
        <v>202185B0000</v>
      </c>
      <c r="B1828" t="str">
        <f>"202185B00002"</f>
        <v>202185B00002</v>
      </c>
      <c r="C1828" t="str">
        <f t="shared" si="88"/>
        <v>20</v>
      </c>
      <c r="D1828" t="s">
        <v>67</v>
      </c>
      <c r="E1828" t="str">
        <f t="shared" si="89"/>
        <v>008</v>
      </c>
      <c r="F1828" t="s">
        <v>1759</v>
      </c>
      <c r="G1828" t="str">
        <f>"2185"</f>
        <v>2185</v>
      </c>
      <c r="H1828" t="str">
        <f>"0000"</f>
        <v>0000</v>
      </c>
      <c r="I1828" t="s">
        <v>69</v>
      </c>
      <c r="J1828">
        <v>0</v>
      </c>
      <c r="K1828">
        <v>1</v>
      </c>
      <c r="L1828">
        <v>2</v>
      </c>
      <c r="M1828">
        <v>240</v>
      </c>
      <c r="N1828">
        <v>325</v>
      </c>
      <c r="O1828">
        <v>3</v>
      </c>
      <c r="P1828">
        <v>325</v>
      </c>
      <c r="Q1828">
        <v>3</v>
      </c>
      <c r="R1828">
        <v>109</v>
      </c>
      <c r="S1828">
        <v>2</v>
      </c>
      <c r="T1828">
        <v>4</v>
      </c>
      <c r="U1828">
        <v>79</v>
      </c>
      <c r="V1828">
        <v>4</v>
      </c>
      <c r="W1828">
        <v>3</v>
      </c>
      <c r="X1828">
        <v>101</v>
      </c>
      <c r="Y1828">
        <v>1</v>
      </c>
      <c r="Z1828">
        <v>2</v>
      </c>
      <c r="AA1828">
        <v>2</v>
      </c>
      <c r="AB1828">
        <v>5</v>
      </c>
      <c r="AD1828">
        <v>2</v>
      </c>
      <c r="AE1828">
        <v>0</v>
      </c>
      <c r="AF1828">
        <v>0</v>
      </c>
      <c r="AG1828">
        <v>0</v>
      </c>
      <c r="AI1828">
        <v>0</v>
      </c>
      <c r="AJ1828">
        <v>8</v>
      </c>
      <c r="AK1828">
        <v>325</v>
      </c>
      <c r="AL1828">
        <v>325</v>
      </c>
      <c r="AM1828">
        <v>521</v>
      </c>
      <c r="AN1828">
        <v>44</v>
      </c>
      <c r="AP1828">
        <v>1</v>
      </c>
      <c r="AR1828" t="s">
        <v>1917</v>
      </c>
      <c r="AS1828" s="1">
        <v>44354.224999999999</v>
      </c>
      <c r="AT1828" s="1">
        <v>44354.227418981478</v>
      </c>
      <c r="AU1828" s="1">
        <v>44354.227812500001</v>
      </c>
      <c r="AV1828" t="s">
        <v>71</v>
      </c>
      <c r="AW1828" t="s">
        <v>72</v>
      </c>
      <c r="AX1828" t="s">
        <v>73</v>
      </c>
    </row>
    <row r="1829" spans="1:50" x14ac:dyDescent="0.3">
      <c r="A1829" t="str">
        <f>"202262B0000"</f>
        <v>202262B0000</v>
      </c>
      <c r="B1829" t="str">
        <f>"202262B00002"</f>
        <v>202262B00002</v>
      </c>
      <c r="C1829" t="str">
        <f t="shared" si="88"/>
        <v>20</v>
      </c>
      <c r="D1829" t="s">
        <v>67</v>
      </c>
      <c r="E1829" t="str">
        <f t="shared" si="89"/>
        <v>008</v>
      </c>
      <c r="F1829" t="s">
        <v>1759</v>
      </c>
      <c r="G1829" t="str">
        <f>"2262"</f>
        <v>2262</v>
      </c>
      <c r="H1829" t="str">
        <f>"0000"</f>
        <v>0000</v>
      </c>
      <c r="I1829" t="s">
        <v>69</v>
      </c>
      <c r="J1829">
        <v>0</v>
      </c>
      <c r="K1829">
        <v>1</v>
      </c>
      <c r="L1829">
        <v>2</v>
      </c>
      <c r="M1829">
        <v>513</v>
      </c>
      <c r="N1829">
        <v>259</v>
      </c>
      <c r="O1829">
        <v>0</v>
      </c>
      <c r="P1829">
        <v>259</v>
      </c>
      <c r="Q1829">
        <v>5</v>
      </c>
      <c r="R1829">
        <v>23</v>
      </c>
      <c r="S1829">
        <v>2</v>
      </c>
      <c r="T1829">
        <v>6</v>
      </c>
      <c r="U1829">
        <v>84</v>
      </c>
      <c r="V1829">
        <v>2</v>
      </c>
      <c r="W1829">
        <v>13</v>
      </c>
      <c r="X1829">
        <v>98</v>
      </c>
      <c r="Y1829">
        <v>2</v>
      </c>
      <c r="Z1829">
        <v>5</v>
      </c>
      <c r="AA1829">
        <v>3</v>
      </c>
      <c r="AB1829">
        <v>3</v>
      </c>
      <c r="AD1829">
        <v>2</v>
      </c>
      <c r="AE1829">
        <v>0</v>
      </c>
      <c r="AF1829">
        <v>0</v>
      </c>
      <c r="AG1829">
        <v>0</v>
      </c>
      <c r="AI1829">
        <v>0</v>
      </c>
      <c r="AJ1829">
        <v>11</v>
      </c>
      <c r="AK1829">
        <v>259</v>
      </c>
      <c r="AL1829">
        <v>259</v>
      </c>
      <c r="AM1829">
        <v>728</v>
      </c>
      <c r="AN1829">
        <v>44</v>
      </c>
      <c r="AP1829">
        <v>1</v>
      </c>
      <c r="AR1829" t="s">
        <v>1918</v>
      </c>
      <c r="AS1829" s="1">
        <v>44354.112500000003</v>
      </c>
      <c r="AT1829" s="1">
        <v>44354.123807870368</v>
      </c>
      <c r="AU1829" s="1">
        <v>44354.130694444444</v>
      </c>
      <c r="AV1829" t="s">
        <v>71</v>
      </c>
      <c r="AW1829" t="s">
        <v>72</v>
      </c>
      <c r="AX1829" t="s">
        <v>347</v>
      </c>
    </row>
    <row r="1830" spans="1:50" x14ac:dyDescent="0.3">
      <c r="A1830" t="str">
        <f>"202262E0100"</f>
        <v>202262E0100</v>
      </c>
      <c r="B1830" t="str">
        <f>"202262E01002"</f>
        <v>202262E01002</v>
      </c>
      <c r="C1830" t="str">
        <f t="shared" si="88"/>
        <v>20</v>
      </c>
      <c r="D1830" t="s">
        <v>67</v>
      </c>
      <c r="E1830" t="str">
        <f t="shared" si="89"/>
        <v>008</v>
      </c>
      <c r="F1830" t="s">
        <v>1759</v>
      </c>
      <c r="G1830" t="str">
        <f>"2262"</f>
        <v>2262</v>
      </c>
      <c r="H1830" t="str">
        <f>"0001"</f>
        <v>0001</v>
      </c>
      <c r="I1830" t="s">
        <v>109</v>
      </c>
      <c r="J1830">
        <v>0</v>
      </c>
      <c r="K1830">
        <v>1</v>
      </c>
      <c r="L1830">
        <v>2</v>
      </c>
      <c r="M1830">
        <v>278</v>
      </c>
      <c r="N1830">
        <v>382</v>
      </c>
      <c r="O1830">
        <v>7</v>
      </c>
      <c r="P1830">
        <v>382</v>
      </c>
      <c r="Q1830">
        <v>1</v>
      </c>
      <c r="R1830">
        <v>6</v>
      </c>
      <c r="S1830">
        <v>10</v>
      </c>
      <c r="T1830">
        <v>3</v>
      </c>
      <c r="U1830">
        <v>235</v>
      </c>
      <c r="V1830">
        <v>4</v>
      </c>
      <c r="W1830">
        <v>4</v>
      </c>
      <c r="X1830">
        <v>91</v>
      </c>
      <c r="Y1830">
        <v>0</v>
      </c>
      <c r="Z1830">
        <v>6</v>
      </c>
      <c r="AA1830">
        <v>2</v>
      </c>
      <c r="AB1830">
        <v>1</v>
      </c>
      <c r="AD1830">
        <v>0</v>
      </c>
      <c r="AE1830">
        <v>0</v>
      </c>
      <c r="AF1830">
        <v>0</v>
      </c>
      <c r="AG1830">
        <v>0</v>
      </c>
      <c r="AI1830">
        <v>0</v>
      </c>
      <c r="AJ1830">
        <v>19</v>
      </c>
      <c r="AK1830">
        <v>382</v>
      </c>
      <c r="AL1830">
        <v>382</v>
      </c>
      <c r="AM1830">
        <v>616</v>
      </c>
      <c r="AN1830">
        <v>44</v>
      </c>
      <c r="AP1830">
        <v>1</v>
      </c>
      <c r="AR1830" t="s">
        <v>1919</v>
      </c>
      <c r="AS1830" s="1">
        <v>44354.088888888888</v>
      </c>
      <c r="AT1830" s="1">
        <v>44354.095243055555</v>
      </c>
      <c r="AU1830" s="1">
        <v>44354.095949074072</v>
      </c>
      <c r="AV1830" t="s">
        <v>71</v>
      </c>
      <c r="AW1830" t="s">
        <v>72</v>
      </c>
      <c r="AX1830" t="s">
        <v>73</v>
      </c>
    </row>
    <row r="1831" spans="1:50" x14ac:dyDescent="0.3">
      <c r="A1831" t="str">
        <f>"202263B0000"</f>
        <v>202263B0000</v>
      </c>
      <c r="B1831" t="str">
        <f>"202263B00002"</f>
        <v>202263B00002</v>
      </c>
      <c r="C1831" t="str">
        <f t="shared" si="88"/>
        <v>20</v>
      </c>
      <c r="D1831" t="s">
        <v>67</v>
      </c>
      <c r="E1831" t="str">
        <f t="shared" si="89"/>
        <v>008</v>
      </c>
      <c r="F1831" t="s">
        <v>1759</v>
      </c>
      <c r="G1831" t="str">
        <f>"2263"</f>
        <v>2263</v>
      </c>
      <c r="H1831" t="str">
        <f>"0000"</f>
        <v>0000</v>
      </c>
      <c r="I1831" t="s">
        <v>69</v>
      </c>
      <c r="J1831">
        <v>0</v>
      </c>
      <c r="K1831">
        <v>1</v>
      </c>
      <c r="L1831">
        <v>2</v>
      </c>
      <c r="M1831">
        <v>460</v>
      </c>
      <c r="N1831">
        <v>252</v>
      </c>
      <c r="O1831">
        <v>0</v>
      </c>
      <c r="P1831">
        <v>252</v>
      </c>
      <c r="Q1831">
        <v>5</v>
      </c>
      <c r="R1831">
        <v>22</v>
      </c>
      <c r="S1831">
        <v>10</v>
      </c>
      <c r="T1831">
        <v>4</v>
      </c>
      <c r="U1831">
        <v>131</v>
      </c>
      <c r="V1831">
        <v>2</v>
      </c>
      <c r="W1831">
        <v>7</v>
      </c>
      <c r="X1831">
        <v>52</v>
      </c>
      <c r="Y1831">
        <v>0</v>
      </c>
      <c r="Z1831">
        <v>4</v>
      </c>
      <c r="AA1831">
        <v>0</v>
      </c>
      <c r="AB1831">
        <v>0</v>
      </c>
      <c r="AD1831">
        <v>0</v>
      </c>
      <c r="AE1831">
        <v>0</v>
      </c>
      <c r="AF1831">
        <v>0</v>
      </c>
      <c r="AG1831">
        <v>1</v>
      </c>
      <c r="AI1831">
        <v>2</v>
      </c>
      <c r="AJ1831">
        <v>12</v>
      </c>
      <c r="AK1831">
        <v>252</v>
      </c>
      <c r="AL1831">
        <v>252</v>
      </c>
      <c r="AM1831">
        <v>668</v>
      </c>
      <c r="AN1831">
        <v>44</v>
      </c>
      <c r="AP1831">
        <v>1</v>
      </c>
      <c r="AR1831" t="s">
        <v>1920</v>
      </c>
      <c r="AS1831" s="1">
        <v>44354.089583333334</v>
      </c>
      <c r="AT1831" s="1">
        <v>44354.095497685186</v>
      </c>
      <c r="AU1831" s="1">
        <v>44354.096041666664</v>
      </c>
      <c r="AV1831" t="s">
        <v>71</v>
      </c>
      <c r="AW1831" t="s">
        <v>72</v>
      </c>
      <c r="AX1831" t="s">
        <v>73</v>
      </c>
    </row>
    <row r="1832" spans="1:50" x14ac:dyDescent="0.3">
      <c r="A1832" t="str">
        <f>"202263E0100"</f>
        <v>202263E0100</v>
      </c>
      <c r="B1832" t="str">
        <f>"202263E01002"</f>
        <v>202263E01002</v>
      </c>
      <c r="C1832" t="str">
        <f t="shared" si="88"/>
        <v>20</v>
      </c>
      <c r="D1832" t="s">
        <v>67</v>
      </c>
      <c r="E1832" t="str">
        <f t="shared" si="89"/>
        <v>008</v>
      </c>
      <c r="F1832" t="s">
        <v>1759</v>
      </c>
      <c r="G1832" t="str">
        <f>"2263"</f>
        <v>2263</v>
      </c>
      <c r="H1832" t="str">
        <f>"0001"</f>
        <v>0001</v>
      </c>
      <c r="I1832" t="s">
        <v>109</v>
      </c>
      <c r="J1832">
        <v>0</v>
      </c>
      <c r="K1832">
        <v>1</v>
      </c>
      <c r="L1832">
        <v>2</v>
      </c>
      <c r="M1832">
        <v>598</v>
      </c>
      <c r="N1832">
        <v>196</v>
      </c>
      <c r="O1832">
        <v>9</v>
      </c>
      <c r="P1832">
        <v>196</v>
      </c>
      <c r="Q1832">
        <v>2</v>
      </c>
      <c r="R1832">
        <v>24</v>
      </c>
      <c r="S1832">
        <v>4</v>
      </c>
      <c r="T1832">
        <v>3</v>
      </c>
      <c r="U1832">
        <v>39</v>
      </c>
      <c r="V1832">
        <v>2</v>
      </c>
      <c r="W1832">
        <v>11</v>
      </c>
      <c r="X1832">
        <v>91</v>
      </c>
      <c r="Y1832">
        <v>1</v>
      </c>
      <c r="Z1832">
        <v>2</v>
      </c>
      <c r="AA1832">
        <v>2</v>
      </c>
      <c r="AB1832">
        <v>1</v>
      </c>
      <c r="AD1832">
        <v>2</v>
      </c>
      <c r="AE1832">
        <v>0</v>
      </c>
      <c r="AF1832">
        <v>0</v>
      </c>
      <c r="AG1832">
        <v>0</v>
      </c>
      <c r="AI1832">
        <v>0</v>
      </c>
      <c r="AJ1832">
        <v>12</v>
      </c>
      <c r="AK1832">
        <v>196</v>
      </c>
      <c r="AL1832">
        <v>196</v>
      </c>
      <c r="AM1832">
        <v>750</v>
      </c>
      <c r="AN1832">
        <v>44</v>
      </c>
      <c r="AP1832">
        <v>1</v>
      </c>
      <c r="AR1832" t="s">
        <v>1921</v>
      </c>
      <c r="AS1832" s="1">
        <v>44354.086111111108</v>
      </c>
      <c r="AT1832" s="1">
        <v>44354.093854166669</v>
      </c>
      <c r="AU1832" s="1">
        <v>44354.095011574071</v>
      </c>
      <c r="AV1832" t="s">
        <v>71</v>
      </c>
      <c r="AW1832" t="s">
        <v>72</v>
      </c>
      <c r="AX1832" t="s">
        <v>73</v>
      </c>
    </row>
    <row r="1833" spans="1:50" x14ac:dyDescent="0.3">
      <c r="A1833" t="str">
        <f>"202273B0000"</f>
        <v>202273B0000</v>
      </c>
      <c r="B1833" t="str">
        <f>"202273B00002"</f>
        <v>202273B00002</v>
      </c>
      <c r="C1833" t="str">
        <f t="shared" si="88"/>
        <v>20</v>
      </c>
      <c r="D1833" t="s">
        <v>67</v>
      </c>
      <c r="E1833" t="str">
        <f t="shared" si="89"/>
        <v>008</v>
      </c>
      <c r="F1833" t="s">
        <v>1759</v>
      </c>
      <c r="G1833" t="str">
        <f>"2273"</f>
        <v>2273</v>
      </c>
      <c r="H1833" t="str">
        <f>"0000"</f>
        <v>0000</v>
      </c>
      <c r="I1833" t="s">
        <v>69</v>
      </c>
      <c r="J1833">
        <v>0</v>
      </c>
      <c r="K1833">
        <v>1</v>
      </c>
      <c r="L1833">
        <v>2</v>
      </c>
      <c r="M1833">
        <v>420</v>
      </c>
      <c r="N1833">
        <v>361</v>
      </c>
      <c r="O1833">
        <v>3</v>
      </c>
      <c r="P1833">
        <v>361</v>
      </c>
      <c r="Q1833">
        <v>1</v>
      </c>
      <c r="R1833">
        <v>10</v>
      </c>
      <c r="S1833">
        <v>17</v>
      </c>
      <c r="T1833">
        <v>3</v>
      </c>
      <c r="U1833">
        <v>10</v>
      </c>
      <c r="V1833">
        <v>5</v>
      </c>
      <c r="W1833">
        <v>6</v>
      </c>
      <c r="X1833">
        <v>275</v>
      </c>
      <c r="Y1833">
        <v>2</v>
      </c>
      <c r="Z1833">
        <v>5</v>
      </c>
      <c r="AA1833">
        <v>14</v>
      </c>
      <c r="AB1833">
        <v>2</v>
      </c>
      <c r="AD1833" t="s">
        <v>77</v>
      </c>
      <c r="AE1833" t="s">
        <v>77</v>
      </c>
      <c r="AF1833" t="s">
        <v>77</v>
      </c>
      <c r="AG1833" t="s">
        <v>77</v>
      </c>
      <c r="AI1833" t="s">
        <v>77</v>
      </c>
      <c r="AJ1833">
        <v>11</v>
      </c>
      <c r="AK1833">
        <v>361</v>
      </c>
      <c r="AL1833">
        <v>361</v>
      </c>
      <c r="AM1833">
        <v>737</v>
      </c>
      <c r="AN1833">
        <v>44</v>
      </c>
      <c r="AO1833" t="s">
        <v>78</v>
      </c>
      <c r="AP1833">
        <v>1</v>
      </c>
      <c r="AR1833" t="s">
        <v>1922</v>
      </c>
      <c r="AS1833" s="1">
        <v>44354.347916666666</v>
      </c>
      <c r="AT1833" s="1">
        <v>44354.350787037038</v>
      </c>
      <c r="AU1833" s="1">
        <v>44354.3512962963</v>
      </c>
      <c r="AV1833" t="s">
        <v>71</v>
      </c>
      <c r="AW1833" t="s">
        <v>72</v>
      </c>
      <c r="AX1833" t="s">
        <v>73</v>
      </c>
    </row>
    <row r="1834" spans="1:50" x14ac:dyDescent="0.3">
      <c r="A1834" t="str">
        <f>"202339B0000"</f>
        <v>202339B0000</v>
      </c>
      <c r="B1834" t="str">
        <f>"202339B00002"</f>
        <v>202339B00002</v>
      </c>
      <c r="C1834" t="str">
        <f t="shared" si="88"/>
        <v>20</v>
      </c>
      <c r="D1834" t="s">
        <v>67</v>
      </c>
      <c r="E1834" t="str">
        <f t="shared" si="89"/>
        <v>008</v>
      </c>
      <c r="F1834" t="s">
        <v>1759</v>
      </c>
      <c r="G1834" t="str">
        <f>"2339"</f>
        <v>2339</v>
      </c>
      <c r="H1834" t="str">
        <f>"0000"</f>
        <v>0000</v>
      </c>
      <c r="I1834" t="s">
        <v>69</v>
      </c>
      <c r="J1834">
        <v>0</v>
      </c>
      <c r="K1834">
        <v>1</v>
      </c>
      <c r="L1834">
        <v>2</v>
      </c>
      <c r="M1834">
        <v>341</v>
      </c>
      <c r="N1834">
        <v>399</v>
      </c>
      <c r="O1834">
        <v>8</v>
      </c>
      <c r="P1834">
        <v>391</v>
      </c>
      <c r="Q1834">
        <v>16</v>
      </c>
      <c r="R1834">
        <v>116</v>
      </c>
      <c r="S1834">
        <v>12</v>
      </c>
      <c r="T1834">
        <v>11</v>
      </c>
      <c r="U1834">
        <v>29</v>
      </c>
      <c r="V1834">
        <v>0</v>
      </c>
      <c r="W1834">
        <v>0</v>
      </c>
      <c r="X1834">
        <v>145</v>
      </c>
      <c r="Y1834">
        <v>17</v>
      </c>
      <c r="Z1834">
        <v>5</v>
      </c>
      <c r="AA1834">
        <v>2</v>
      </c>
      <c r="AB1834">
        <v>25</v>
      </c>
      <c r="AD1834">
        <v>0</v>
      </c>
      <c r="AE1834">
        <v>1</v>
      </c>
      <c r="AF1834">
        <v>0</v>
      </c>
      <c r="AG1834">
        <v>1</v>
      </c>
      <c r="AI1834">
        <v>0</v>
      </c>
      <c r="AJ1834">
        <v>11</v>
      </c>
      <c r="AK1834">
        <v>391</v>
      </c>
      <c r="AL1834">
        <v>391</v>
      </c>
      <c r="AM1834">
        <v>688</v>
      </c>
      <c r="AN1834">
        <v>44</v>
      </c>
      <c r="AP1834">
        <v>1</v>
      </c>
      <c r="AR1834" t="s">
        <v>1923</v>
      </c>
      <c r="AS1834" s="1">
        <v>44354.176388888889</v>
      </c>
      <c r="AT1834" s="1">
        <v>44354.179560185185</v>
      </c>
      <c r="AU1834" s="1">
        <v>44354.181273148148</v>
      </c>
      <c r="AV1834" t="s">
        <v>71</v>
      </c>
      <c r="AW1834" t="s">
        <v>72</v>
      </c>
      <c r="AX1834" t="s">
        <v>73</v>
      </c>
    </row>
    <row r="1835" spans="1:50" x14ac:dyDescent="0.3">
      <c r="A1835" t="str">
        <f>"202339C0100"</f>
        <v>202339C0100</v>
      </c>
      <c r="B1835" t="str">
        <f>"202339C01002"</f>
        <v>202339C01002</v>
      </c>
      <c r="C1835" t="str">
        <f t="shared" si="88"/>
        <v>20</v>
      </c>
      <c r="D1835" t="s">
        <v>67</v>
      </c>
      <c r="E1835" t="str">
        <f t="shared" si="89"/>
        <v>008</v>
      </c>
      <c r="F1835" t="s">
        <v>1759</v>
      </c>
      <c r="G1835" t="str">
        <f>"2339"</f>
        <v>2339</v>
      </c>
      <c r="H1835" t="str">
        <f>"0001"</f>
        <v>0001</v>
      </c>
      <c r="I1835" t="s">
        <v>75</v>
      </c>
      <c r="J1835">
        <v>0</v>
      </c>
      <c r="K1835">
        <v>1</v>
      </c>
      <c r="L1835">
        <v>2</v>
      </c>
      <c r="M1835">
        <v>342</v>
      </c>
      <c r="N1835">
        <v>378</v>
      </c>
      <c r="O1835">
        <v>8</v>
      </c>
      <c r="P1835">
        <v>389</v>
      </c>
      <c r="Q1835">
        <v>0</v>
      </c>
      <c r="R1835">
        <v>0</v>
      </c>
      <c r="S1835">
        <v>0</v>
      </c>
      <c r="T1835">
        <v>8</v>
      </c>
      <c r="U1835">
        <v>42</v>
      </c>
      <c r="V1835">
        <v>5</v>
      </c>
      <c r="W1835">
        <v>1</v>
      </c>
      <c r="X1835">
        <v>145</v>
      </c>
      <c r="Y1835">
        <v>9</v>
      </c>
      <c r="Z1835">
        <v>5</v>
      </c>
      <c r="AA1835">
        <v>2</v>
      </c>
      <c r="AB1835">
        <v>18</v>
      </c>
      <c r="AD1835">
        <v>134</v>
      </c>
      <c r="AE1835">
        <v>0</v>
      </c>
      <c r="AF1835">
        <v>0</v>
      </c>
      <c r="AG1835">
        <v>0</v>
      </c>
      <c r="AI1835">
        <v>1</v>
      </c>
      <c r="AJ1835">
        <v>19</v>
      </c>
      <c r="AK1835">
        <v>389</v>
      </c>
      <c r="AL1835">
        <v>389</v>
      </c>
      <c r="AM1835">
        <v>687</v>
      </c>
      <c r="AN1835">
        <v>44</v>
      </c>
      <c r="AP1835">
        <v>1</v>
      </c>
      <c r="AR1835" t="s">
        <v>1924</v>
      </c>
      <c r="AS1835" s="1">
        <v>44354.175694444442</v>
      </c>
      <c r="AT1835" s="1">
        <v>44354.178726851853</v>
      </c>
      <c r="AU1835" s="1">
        <v>44354.179756944446</v>
      </c>
      <c r="AV1835" t="s">
        <v>71</v>
      </c>
      <c r="AW1835" t="s">
        <v>72</v>
      </c>
      <c r="AX1835" t="s">
        <v>73</v>
      </c>
    </row>
    <row r="1836" spans="1:50" x14ac:dyDescent="0.3">
      <c r="A1836" t="str">
        <f>"202340B0000"</f>
        <v>202340B0000</v>
      </c>
      <c r="B1836" t="str">
        <f>"202340B00002"</f>
        <v>202340B00002</v>
      </c>
      <c r="C1836" t="str">
        <f t="shared" si="88"/>
        <v>20</v>
      </c>
      <c r="D1836" t="s">
        <v>67</v>
      </c>
      <c r="E1836" t="str">
        <f t="shared" si="89"/>
        <v>008</v>
      </c>
      <c r="F1836" t="s">
        <v>1759</v>
      </c>
      <c r="G1836" t="str">
        <f>"2340"</f>
        <v>2340</v>
      </c>
      <c r="H1836" t="str">
        <f>"0000"</f>
        <v>0000</v>
      </c>
      <c r="I1836" t="s">
        <v>69</v>
      </c>
      <c r="J1836">
        <v>0</v>
      </c>
      <c r="K1836">
        <v>1</v>
      </c>
      <c r="L1836">
        <v>2</v>
      </c>
      <c r="M1836">
        <v>245</v>
      </c>
      <c r="N1836">
        <v>301</v>
      </c>
      <c r="O1836">
        <v>10</v>
      </c>
      <c r="P1836">
        <v>301</v>
      </c>
      <c r="Q1836">
        <v>31</v>
      </c>
      <c r="R1836">
        <v>93</v>
      </c>
      <c r="S1836">
        <v>4</v>
      </c>
      <c r="T1836">
        <v>7</v>
      </c>
      <c r="U1836">
        <v>22</v>
      </c>
      <c r="V1836">
        <v>1</v>
      </c>
      <c r="W1836">
        <v>1</v>
      </c>
      <c r="X1836">
        <v>112</v>
      </c>
      <c r="Y1836">
        <v>4</v>
      </c>
      <c r="Z1836">
        <v>0</v>
      </c>
      <c r="AA1836">
        <v>1</v>
      </c>
      <c r="AB1836">
        <v>16</v>
      </c>
      <c r="AD1836">
        <v>0</v>
      </c>
      <c r="AE1836">
        <v>0</v>
      </c>
      <c r="AF1836">
        <v>0</v>
      </c>
      <c r="AG1836">
        <v>0</v>
      </c>
      <c r="AI1836">
        <v>0</v>
      </c>
      <c r="AJ1836">
        <v>9</v>
      </c>
      <c r="AK1836">
        <v>301</v>
      </c>
      <c r="AL1836">
        <v>301</v>
      </c>
      <c r="AM1836">
        <v>502</v>
      </c>
      <c r="AN1836">
        <v>44</v>
      </c>
      <c r="AP1836">
        <v>1</v>
      </c>
      <c r="AR1836" t="s">
        <v>1925</v>
      </c>
      <c r="AS1836" s="1">
        <v>44354.112500000003</v>
      </c>
      <c r="AT1836" s="1">
        <v>44354.116319444445</v>
      </c>
      <c r="AU1836" s="1">
        <v>44354.117314814815</v>
      </c>
      <c r="AV1836" t="s">
        <v>71</v>
      </c>
      <c r="AW1836" t="s">
        <v>72</v>
      </c>
      <c r="AX1836" t="s">
        <v>73</v>
      </c>
    </row>
    <row r="1837" spans="1:50" x14ac:dyDescent="0.3">
      <c r="A1837" t="str">
        <f>"202341B0000"</f>
        <v>202341B0000</v>
      </c>
      <c r="B1837" t="str">
        <f>"202341B00002"</f>
        <v>202341B00002</v>
      </c>
      <c r="C1837" t="str">
        <f t="shared" si="88"/>
        <v>20</v>
      </c>
      <c r="D1837" t="s">
        <v>67</v>
      </c>
      <c r="E1837" t="str">
        <f t="shared" si="89"/>
        <v>008</v>
      </c>
      <c r="F1837" t="s">
        <v>1759</v>
      </c>
      <c r="G1837" t="str">
        <f>"2341"</f>
        <v>2341</v>
      </c>
      <c r="H1837" t="str">
        <f>"0000"</f>
        <v>0000</v>
      </c>
      <c r="I1837" t="s">
        <v>69</v>
      </c>
      <c r="J1837">
        <v>0</v>
      </c>
      <c r="K1837">
        <v>1</v>
      </c>
      <c r="L1837">
        <v>2</v>
      </c>
      <c r="M1837">
        <v>229</v>
      </c>
      <c r="N1837">
        <v>290</v>
      </c>
      <c r="O1837">
        <v>11</v>
      </c>
      <c r="P1837">
        <v>290</v>
      </c>
      <c r="Q1837">
        <v>20</v>
      </c>
      <c r="R1837">
        <v>57</v>
      </c>
      <c r="S1837">
        <v>10</v>
      </c>
      <c r="T1837">
        <v>10</v>
      </c>
      <c r="U1837">
        <v>27</v>
      </c>
      <c r="V1837">
        <v>2</v>
      </c>
      <c r="W1837">
        <v>1</v>
      </c>
      <c r="X1837">
        <v>114</v>
      </c>
      <c r="Y1837">
        <v>9</v>
      </c>
      <c r="Z1837">
        <v>2</v>
      </c>
      <c r="AA1837">
        <v>1</v>
      </c>
      <c r="AB1837">
        <v>19</v>
      </c>
      <c r="AD1837">
        <v>1</v>
      </c>
      <c r="AE1837">
        <v>0</v>
      </c>
      <c r="AF1837">
        <v>1</v>
      </c>
      <c r="AG1837">
        <v>0</v>
      </c>
      <c r="AI1837">
        <v>0</v>
      </c>
      <c r="AJ1837">
        <v>16</v>
      </c>
      <c r="AK1837">
        <v>290</v>
      </c>
      <c r="AL1837">
        <v>290</v>
      </c>
      <c r="AM1837">
        <v>475</v>
      </c>
      <c r="AN1837">
        <v>44</v>
      </c>
      <c r="AP1837">
        <v>1</v>
      </c>
      <c r="AR1837" t="s">
        <v>1926</v>
      </c>
      <c r="AS1837" s="1">
        <v>44354.109722222223</v>
      </c>
      <c r="AT1837" s="1">
        <v>44354.112569444442</v>
      </c>
      <c r="AU1837" s="1">
        <v>44354.113182870373</v>
      </c>
      <c r="AV1837" t="s">
        <v>71</v>
      </c>
      <c r="AW1837" t="s">
        <v>72</v>
      </c>
      <c r="AX1837" t="s">
        <v>73</v>
      </c>
    </row>
    <row r="1838" spans="1:50" x14ac:dyDescent="0.3">
      <c r="A1838" t="str">
        <f>"202341C0100"</f>
        <v>202341C0100</v>
      </c>
      <c r="B1838" t="str">
        <f>"202341C01002"</f>
        <v>202341C01002</v>
      </c>
      <c r="C1838" t="str">
        <f t="shared" si="88"/>
        <v>20</v>
      </c>
      <c r="D1838" t="s">
        <v>67</v>
      </c>
      <c r="E1838" t="str">
        <f t="shared" si="89"/>
        <v>008</v>
      </c>
      <c r="F1838" t="s">
        <v>1759</v>
      </c>
      <c r="G1838" t="str">
        <f>"2341"</f>
        <v>2341</v>
      </c>
      <c r="H1838" t="str">
        <f>"0001"</f>
        <v>0001</v>
      </c>
      <c r="I1838" t="s">
        <v>75</v>
      </c>
      <c r="J1838">
        <v>0</v>
      </c>
      <c r="K1838">
        <v>1</v>
      </c>
      <c r="L1838">
        <v>2</v>
      </c>
      <c r="M1838">
        <v>210</v>
      </c>
      <c r="N1838">
        <v>309</v>
      </c>
      <c r="O1838">
        <v>11</v>
      </c>
      <c r="P1838">
        <v>309</v>
      </c>
      <c r="Q1838">
        <v>29</v>
      </c>
      <c r="R1838">
        <v>67</v>
      </c>
      <c r="S1838">
        <v>12</v>
      </c>
      <c r="T1838">
        <v>13</v>
      </c>
      <c r="U1838">
        <v>38</v>
      </c>
      <c r="V1838">
        <v>0</v>
      </c>
      <c r="W1838">
        <v>1</v>
      </c>
      <c r="X1838">
        <v>109</v>
      </c>
      <c r="Y1838">
        <v>6</v>
      </c>
      <c r="Z1838">
        <v>0</v>
      </c>
      <c r="AA1838">
        <v>3</v>
      </c>
      <c r="AB1838">
        <v>13</v>
      </c>
      <c r="AD1838">
        <v>0</v>
      </c>
      <c r="AE1838">
        <v>0</v>
      </c>
      <c r="AF1838">
        <v>0</v>
      </c>
      <c r="AG1838">
        <v>0</v>
      </c>
      <c r="AI1838">
        <v>0</v>
      </c>
      <c r="AJ1838">
        <v>18</v>
      </c>
      <c r="AK1838">
        <v>309</v>
      </c>
      <c r="AL1838">
        <v>309</v>
      </c>
      <c r="AM1838">
        <v>475</v>
      </c>
      <c r="AN1838">
        <v>44</v>
      </c>
      <c r="AP1838">
        <v>1</v>
      </c>
      <c r="AR1838" t="s">
        <v>1927</v>
      </c>
      <c r="AS1838" s="1">
        <v>44354.109722222223</v>
      </c>
      <c r="AT1838" s="1">
        <v>44354.113171296296</v>
      </c>
      <c r="AU1838" s="1">
        <v>44354.113738425927</v>
      </c>
      <c r="AV1838" t="s">
        <v>71</v>
      </c>
      <c r="AW1838" t="s">
        <v>72</v>
      </c>
      <c r="AX1838" t="s">
        <v>73</v>
      </c>
    </row>
    <row r="1839" spans="1:50" x14ac:dyDescent="0.3">
      <c r="A1839" t="str">
        <f>"202342B0000"</f>
        <v>202342B0000</v>
      </c>
      <c r="B1839" t="str">
        <f>"202342B00002"</f>
        <v>202342B00002</v>
      </c>
      <c r="C1839" t="str">
        <f t="shared" si="88"/>
        <v>20</v>
      </c>
      <c r="D1839" t="s">
        <v>67</v>
      </c>
      <c r="E1839" t="str">
        <f t="shared" si="89"/>
        <v>008</v>
      </c>
      <c r="F1839" t="s">
        <v>1759</v>
      </c>
      <c r="G1839" t="str">
        <f>"2342"</f>
        <v>2342</v>
      </c>
      <c r="H1839" t="str">
        <f>"0000"</f>
        <v>0000</v>
      </c>
      <c r="I1839" t="s">
        <v>69</v>
      </c>
      <c r="J1839">
        <v>0</v>
      </c>
      <c r="K1839">
        <v>1</v>
      </c>
      <c r="L1839">
        <v>2</v>
      </c>
      <c r="M1839">
        <v>217</v>
      </c>
      <c r="N1839">
        <v>210</v>
      </c>
      <c r="O1839">
        <v>4</v>
      </c>
      <c r="P1839">
        <v>210</v>
      </c>
      <c r="Q1839">
        <v>10</v>
      </c>
      <c r="R1839">
        <v>26</v>
      </c>
      <c r="S1839">
        <v>5</v>
      </c>
      <c r="T1839">
        <v>41</v>
      </c>
      <c r="U1839">
        <v>59</v>
      </c>
      <c r="V1839">
        <v>0</v>
      </c>
      <c r="W1839">
        <v>3</v>
      </c>
      <c r="X1839">
        <v>42</v>
      </c>
      <c r="Y1839">
        <v>7</v>
      </c>
      <c r="Z1839">
        <v>2</v>
      </c>
      <c r="AA1839">
        <v>1</v>
      </c>
      <c r="AB1839">
        <v>3</v>
      </c>
      <c r="AD1839">
        <v>0</v>
      </c>
      <c r="AE1839">
        <v>0</v>
      </c>
      <c r="AF1839">
        <v>0</v>
      </c>
      <c r="AG1839">
        <v>1</v>
      </c>
      <c r="AI1839">
        <v>0</v>
      </c>
      <c r="AJ1839">
        <v>10</v>
      </c>
      <c r="AK1839">
        <v>210</v>
      </c>
      <c r="AL1839">
        <v>210</v>
      </c>
      <c r="AM1839">
        <v>383</v>
      </c>
      <c r="AN1839">
        <v>44</v>
      </c>
      <c r="AP1839">
        <v>1</v>
      </c>
      <c r="AR1839" t="s">
        <v>1928</v>
      </c>
      <c r="AS1839" s="1">
        <v>44354.179166666669</v>
      </c>
      <c r="AT1839" s="1">
        <v>44354.181898148148</v>
      </c>
      <c r="AU1839" s="1">
        <v>44354.182372685187</v>
      </c>
      <c r="AV1839" t="s">
        <v>71</v>
      </c>
      <c r="AW1839" t="s">
        <v>72</v>
      </c>
      <c r="AX1839" t="s">
        <v>73</v>
      </c>
    </row>
    <row r="1840" spans="1:50" x14ac:dyDescent="0.3">
      <c r="A1840" t="str">
        <f>"202343B0000"</f>
        <v>202343B0000</v>
      </c>
      <c r="B1840" t="str">
        <f>"202343B00002"</f>
        <v>202343B00002</v>
      </c>
      <c r="C1840" t="str">
        <f t="shared" si="88"/>
        <v>20</v>
      </c>
      <c r="D1840" t="s">
        <v>67</v>
      </c>
      <c r="E1840" t="str">
        <f t="shared" si="89"/>
        <v>008</v>
      </c>
      <c r="F1840" t="s">
        <v>1759</v>
      </c>
      <c r="G1840" t="str">
        <f>"2343"</f>
        <v>2343</v>
      </c>
      <c r="H1840" t="str">
        <f>"0000"</f>
        <v>0000</v>
      </c>
      <c r="I1840" t="s">
        <v>69</v>
      </c>
      <c r="J1840">
        <v>0</v>
      </c>
      <c r="K1840">
        <v>1</v>
      </c>
      <c r="L1840">
        <v>2</v>
      </c>
      <c r="M1840">
        <v>163</v>
      </c>
      <c r="N1840">
        <v>119</v>
      </c>
      <c r="O1840">
        <v>9</v>
      </c>
      <c r="P1840">
        <v>119</v>
      </c>
      <c r="Q1840">
        <v>4</v>
      </c>
      <c r="R1840">
        <v>9</v>
      </c>
      <c r="S1840">
        <v>3</v>
      </c>
      <c r="T1840">
        <v>7</v>
      </c>
      <c r="U1840">
        <v>6</v>
      </c>
      <c r="V1840">
        <v>0</v>
      </c>
      <c r="W1840">
        <v>0</v>
      </c>
      <c r="X1840">
        <v>44</v>
      </c>
      <c r="Y1840">
        <v>1</v>
      </c>
      <c r="Z1840">
        <v>1</v>
      </c>
      <c r="AA1840">
        <v>8</v>
      </c>
      <c r="AB1840">
        <v>29</v>
      </c>
      <c r="AD1840">
        <v>0</v>
      </c>
      <c r="AE1840">
        <v>0</v>
      </c>
      <c r="AF1840">
        <v>0</v>
      </c>
      <c r="AG1840">
        <v>0</v>
      </c>
      <c r="AI1840">
        <v>0</v>
      </c>
      <c r="AJ1840">
        <v>7</v>
      </c>
      <c r="AK1840">
        <v>119</v>
      </c>
      <c r="AL1840">
        <v>119</v>
      </c>
      <c r="AM1840">
        <v>238</v>
      </c>
      <c r="AN1840">
        <v>44</v>
      </c>
      <c r="AP1840">
        <v>1</v>
      </c>
      <c r="AR1840" t="s">
        <v>1929</v>
      </c>
      <c r="AS1840" s="1">
        <v>44354.173611111109</v>
      </c>
      <c r="AT1840" s="1">
        <v>44354.175844907404</v>
      </c>
      <c r="AU1840" s="1">
        <v>44354.17627314815</v>
      </c>
      <c r="AV1840" t="s">
        <v>71</v>
      </c>
      <c r="AW1840" t="s">
        <v>72</v>
      </c>
      <c r="AX1840" t="s">
        <v>73</v>
      </c>
    </row>
    <row r="1841" spans="1:50" x14ac:dyDescent="0.3">
      <c r="A1841" t="str">
        <f>"202343E0100"</f>
        <v>202343E0100</v>
      </c>
      <c r="B1841" t="str">
        <f>"202343E01002"</f>
        <v>202343E01002</v>
      </c>
      <c r="C1841" t="str">
        <f t="shared" si="88"/>
        <v>20</v>
      </c>
      <c r="D1841" t="s">
        <v>67</v>
      </c>
      <c r="E1841" t="str">
        <f t="shared" si="89"/>
        <v>008</v>
      </c>
      <c r="F1841" t="s">
        <v>1759</v>
      </c>
      <c r="G1841" t="str">
        <f>"2343"</f>
        <v>2343</v>
      </c>
      <c r="H1841" t="str">
        <f>"0001"</f>
        <v>0001</v>
      </c>
      <c r="I1841" t="s">
        <v>109</v>
      </c>
      <c r="J1841">
        <v>0</v>
      </c>
      <c r="K1841">
        <v>1</v>
      </c>
      <c r="L1841">
        <v>2</v>
      </c>
      <c r="M1841">
        <v>126</v>
      </c>
      <c r="N1841">
        <v>153</v>
      </c>
      <c r="O1841">
        <v>7</v>
      </c>
      <c r="P1841">
        <v>153</v>
      </c>
      <c r="Q1841">
        <v>23</v>
      </c>
      <c r="R1841">
        <v>30</v>
      </c>
      <c r="S1841">
        <v>0</v>
      </c>
      <c r="T1841">
        <v>17</v>
      </c>
      <c r="U1841">
        <v>12</v>
      </c>
      <c r="V1841">
        <v>2</v>
      </c>
      <c r="W1841">
        <v>1</v>
      </c>
      <c r="X1841">
        <v>30</v>
      </c>
      <c r="Y1841">
        <v>1</v>
      </c>
      <c r="Z1841">
        <v>16</v>
      </c>
      <c r="AA1841">
        <v>7</v>
      </c>
      <c r="AB1841">
        <v>5</v>
      </c>
      <c r="AD1841">
        <v>0</v>
      </c>
      <c r="AE1841">
        <v>0</v>
      </c>
      <c r="AF1841">
        <v>0</v>
      </c>
      <c r="AG1841">
        <v>0</v>
      </c>
      <c r="AI1841">
        <v>0</v>
      </c>
      <c r="AJ1841">
        <v>9</v>
      </c>
      <c r="AK1841">
        <v>153</v>
      </c>
      <c r="AL1841">
        <v>153</v>
      </c>
      <c r="AM1841">
        <v>234</v>
      </c>
      <c r="AN1841">
        <v>44</v>
      </c>
      <c r="AP1841">
        <v>1</v>
      </c>
      <c r="AR1841" t="s">
        <v>1930</v>
      </c>
      <c r="AS1841" s="1">
        <v>44354.176388888889</v>
      </c>
      <c r="AT1841" s="1">
        <v>44354.178784722222</v>
      </c>
      <c r="AU1841" s="1">
        <v>44354.179560185185</v>
      </c>
      <c r="AV1841" t="s">
        <v>71</v>
      </c>
      <c r="AW1841" t="s">
        <v>72</v>
      </c>
      <c r="AX1841" t="s">
        <v>73</v>
      </c>
    </row>
    <row r="1842" spans="1:50" x14ac:dyDescent="0.3">
      <c r="A1842" t="str">
        <f>"202344B0000"</f>
        <v>202344B0000</v>
      </c>
      <c r="B1842" t="str">
        <f>"202344B00002"</f>
        <v>202344B00002</v>
      </c>
      <c r="C1842" t="str">
        <f t="shared" si="88"/>
        <v>20</v>
      </c>
      <c r="D1842" t="s">
        <v>67</v>
      </c>
      <c r="E1842" t="str">
        <f t="shared" si="89"/>
        <v>008</v>
      </c>
      <c r="F1842" t="s">
        <v>1759</v>
      </c>
      <c r="G1842" t="str">
        <f>"2344"</f>
        <v>2344</v>
      </c>
      <c r="H1842" t="str">
        <f>"0000"</f>
        <v>0000</v>
      </c>
      <c r="I1842" t="s">
        <v>69</v>
      </c>
      <c r="J1842">
        <v>0</v>
      </c>
      <c r="K1842">
        <v>1</v>
      </c>
      <c r="L1842">
        <v>2</v>
      </c>
      <c r="M1842">
        <v>391</v>
      </c>
      <c r="N1842">
        <v>287</v>
      </c>
      <c r="O1842">
        <v>11</v>
      </c>
      <c r="P1842">
        <v>287</v>
      </c>
      <c r="Q1842">
        <v>13</v>
      </c>
      <c r="R1842">
        <v>21</v>
      </c>
      <c r="S1842">
        <v>10</v>
      </c>
      <c r="T1842">
        <v>9</v>
      </c>
      <c r="U1842">
        <v>14</v>
      </c>
      <c r="V1842">
        <v>1</v>
      </c>
      <c r="W1842">
        <v>3</v>
      </c>
      <c r="X1842">
        <v>138</v>
      </c>
      <c r="Y1842">
        <v>20</v>
      </c>
      <c r="Z1842">
        <v>5</v>
      </c>
      <c r="AA1842">
        <v>22</v>
      </c>
      <c r="AB1842">
        <v>9</v>
      </c>
      <c r="AD1842">
        <v>3</v>
      </c>
      <c r="AE1842">
        <v>0</v>
      </c>
      <c r="AF1842">
        <v>0</v>
      </c>
      <c r="AG1842">
        <v>0</v>
      </c>
      <c r="AI1842">
        <v>0</v>
      </c>
      <c r="AJ1842">
        <v>18</v>
      </c>
      <c r="AK1842">
        <v>287</v>
      </c>
      <c r="AL1842">
        <v>286</v>
      </c>
      <c r="AM1842">
        <v>634</v>
      </c>
      <c r="AN1842">
        <v>44</v>
      </c>
      <c r="AP1842">
        <v>1</v>
      </c>
      <c r="AR1842" t="s">
        <v>1931</v>
      </c>
      <c r="AS1842" s="1">
        <v>44354.240972222222</v>
      </c>
      <c r="AT1842" s="1">
        <v>44354.243495370371</v>
      </c>
      <c r="AU1842" s="1">
        <v>44354.244317129633</v>
      </c>
      <c r="AV1842" t="s">
        <v>71</v>
      </c>
      <c r="AW1842" t="s">
        <v>72</v>
      </c>
      <c r="AX1842" t="s">
        <v>73</v>
      </c>
    </row>
    <row r="1843" spans="1:50" x14ac:dyDescent="0.3">
      <c r="A1843" t="str">
        <f>"202345B0000"</f>
        <v>202345B0000</v>
      </c>
      <c r="B1843" t="str">
        <f>"202345B00002"</f>
        <v>202345B00002</v>
      </c>
      <c r="C1843" t="str">
        <f t="shared" si="88"/>
        <v>20</v>
      </c>
      <c r="D1843" t="s">
        <v>67</v>
      </c>
      <c r="E1843" t="str">
        <f t="shared" si="89"/>
        <v>008</v>
      </c>
      <c r="F1843" t="s">
        <v>1759</v>
      </c>
      <c r="G1843" t="str">
        <f>"2345"</f>
        <v>2345</v>
      </c>
      <c r="H1843" t="str">
        <f>"0000"</f>
        <v>0000</v>
      </c>
      <c r="I1843" t="s">
        <v>69</v>
      </c>
      <c r="J1843">
        <v>0</v>
      </c>
      <c r="K1843">
        <v>1</v>
      </c>
      <c r="L1843">
        <v>2</v>
      </c>
      <c r="M1843">
        <v>371</v>
      </c>
      <c r="N1843">
        <v>318</v>
      </c>
      <c r="O1843">
        <v>15</v>
      </c>
      <c r="P1843">
        <v>318</v>
      </c>
      <c r="Q1843">
        <v>8</v>
      </c>
      <c r="R1843">
        <v>26</v>
      </c>
      <c r="S1843">
        <v>7</v>
      </c>
      <c r="T1843">
        <v>33</v>
      </c>
      <c r="U1843">
        <v>57</v>
      </c>
      <c r="V1843">
        <v>1</v>
      </c>
      <c r="W1843">
        <v>3</v>
      </c>
      <c r="X1843">
        <v>111</v>
      </c>
      <c r="Y1843">
        <v>19</v>
      </c>
      <c r="Z1843">
        <v>4</v>
      </c>
      <c r="AA1843">
        <v>19</v>
      </c>
      <c r="AB1843">
        <v>13</v>
      </c>
      <c r="AD1843">
        <v>0</v>
      </c>
      <c r="AE1843">
        <v>0</v>
      </c>
      <c r="AF1843">
        <v>1</v>
      </c>
      <c r="AG1843">
        <v>0</v>
      </c>
      <c r="AI1843">
        <v>0</v>
      </c>
      <c r="AJ1843">
        <v>16</v>
      </c>
      <c r="AK1843">
        <v>318</v>
      </c>
      <c r="AL1843">
        <v>318</v>
      </c>
      <c r="AM1843">
        <v>645</v>
      </c>
      <c r="AN1843">
        <v>44</v>
      </c>
      <c r="AP1843">
        <v>1</v>
      </c>
      <c r="AR1843" t="s">
        <v>1932</v>
      </c>
      <c r="AS1843" s="1">
        <v>44353.91810185185</v>
      </c>
      <c r="AT1843" s="1">
        <v>44353.920092592591</v>
      </c>
      <c r="AU1843" s="1">
        <v>44353.92082175926</v>
      </c>
      <c r="AV1843" t="s">
        <v>269</v>
      </c>
      <c r="AW1843" t="s">
        <v>270</v>
      </c>
      <c r="AX1843" t="s">
        <v>73</v>
      </c>
    </row>
    <row r="1844" spans="1:50" x14ac:dyDescent="0.3">
      <c r="A1844" t="str">
        <f>"202345E0100"</f>
        <v>202345E0100</v>
      </c>
      <c r="B1844" t="str">
        <f>"202345E01002"</f>
        <v>202345E01002</v>
      </c>
      <c r="C1844" t="str">
        <f t="shared" si="88"/>
        <v>20</v>
      </c>
      <c r="D1844" t="s">
        <v>67</v>
      </c>
      <c r="E1844" t="str">
        <f t="shared" si="89"/>
        <v>008</v>
      </c>
      <c r="F1844" t="s">
        <v>1759</v>
      </c>
      <c r="G1844" t="str">
        <f>"2345"</f>
        <v>2345</v>
      </c>
      <c r="H1844" t="str">
        <f>"0001"</f>
        <v>0001</v>
      </c>
      <c r="I1844" t="s">
        <v>109</v>
      </c>
      <c r="J1844">
        <v>0</v>
      </c>
      <c r="K1844">
        <v>1</v>
      </c>
      <c r="L1844">
        <v>2</v>
      </c>
      <c r="M1844">
        <v>130</v>
      </c>
      <c r="N1844">
        <v>89</v>
      </c>
      <c r="O1844">
        <v>4</v>
      </c>
      <c r="P1844">
        <v>89</v>
      </c>
      <c r="Q1844">
        <v>0</v>
      </c>
      <c r="R1844">
        <v>11</v>
      </c>
      <c r="S1844">
        <v>4</v>
      </c>
      <c r="T1844">
        <v>12</v>
      </c>
      <c r="U1844">
        <v>17</v>
      </c>
      <c r="V1844">
        <v>0</v>
      </c>
      <c r="W1844">
        <v>2</v>
      </c>
      <c r="X1844">
        <v>26</v>
      </c>
      <c r="Y1844">
        <v>1</v>
      </c>
      <c r="Z1844">
        <v>2</v>
      </c>
      <c r="AA1844">
        <v>4</v>
      </c>
      <c r="AB1844">
        <v>5</v>
      </c>
      <c r="AD1844" t="s">
        <v>77</v>
      </c>
      <c r="AE1844" t="s">
        <v>77</v>
      </c>
      <c r="AF1844" t="s">
        <v>77</v>
      </c>
      <c r="AG1844" t="s">
        <v>77</v>
      </c>
      <c r="AI1844" t="s">
        <v>77</v>
      </c>
      <c r="AJ1844">
        <v>5</v>
      </c>
      <c r="AK1844">
        <v>89</v>
      </c>
      <c r="AL1844">
        <v>89</v>
      </c>
      <c r="AM1844">
        <v>175</v>
      </c>
      <c r="AN1844">
        <v>44</v>
      </c>
      <c r="AO1844" t="s">
        <v>78</v>
      </c>
      <c r="AP1844">
        <v>1</v>
      </c>
      <c r="AR1844" t="s">
        <v>1933</v>
      </c>
      <c r="AS1844" s="1">
        <v>44353.839942129627</v>
      </c>
      <c r="AT1844" s="1">
        <v>44353.908842592595</v>
      </c>
      <c r="AU1844" s="1">
        <v>44353.909513888888</v>
      </c>
      <c r="AV1844" t="s">
        <v>269</v>
      </c>
      <c r="AW1844" t="s">
        <v>270</v>
      </c>
      <c r="AX1844" t="s">
        <v>73</v>
      </c>
    </row>
    <row r="1845" spans="1:50" x14ac:dyDescent="0.3">
      <c r="A1845" t="str">
        <f>"202346B0000"</f>
        <v>202346B0000</v>
      </c>
      <c r="B1845" t="str">
        <f>"202346B00002"</f>
        <v>202346B00002</v>
      </c>
      <c r="C1845" t="str">
        <f t="shared" si="88"/>
        <v>20</v>
      </c>
      <c r="D1845" t="s">
        <v>67</v>
      </c>
      <c r="E1845" t="str">
        <f t="shared" si="89"/>
        <v>008</v>
      </c>
      <c r="F1845" t="s">
        <v>1759</v>
      </c>
      <c r="G1845" t="str">
        <f>"2346"</f>
        <v>2346</v>
      </c>
      <c r="H1845" t="str">
        <f>"0000"</f>
        <v>0000</v>
      </c>
      <c r="I1845" t="s">
        <v>69</v>
      </c>
      <c r="J1845">
        <v>0</v>
      </c>
      <c r="K1845">
        <v>1</v>
      </c>
      <c r="L1845">
        <v>2</v>
      </c>
      <c r="M1845">
        <v>418</v>
      </c>
      <c r="N1845">
        <v>273</v>
      </c>
      <c r="O1845">
        <v>5</v>
      </c>
      <c r="P1845">
        <v>273</v>
      </c>
      <c r="Q1845">
        <v>3</v>
      </c>
      <c r="R1845">
        <v>26</v>
      </c>
      <c r="S1845">
        <v>13</v>
      </c>
      <c r="T1845">
        <v>31</v>
      </c>
      <c r="U1845">
        <v>62</v>
      </c>
      <c r="V1845">
        <v>2</v>
      </c>
      <c r="W1845">
        <v>3</v>
      </c>
      <c r="X1845">
        <v>88</v>
      </c>
      <c r="Y1845">
        <v>19</v>
      </c>
      <c r="Z1845">
        <v>3</v>
      </c>
      <c r="AA1845">
        <v>8</v>
      </c>
      <c r="AB1845">
        <v>2</v>
      </c>
      <c r="AD1845">
        <v>0</v>
      </c>
      <c r="AE1845">
        <v>0</v>
      </c>
      <c r="AF1845">
        <v>0</v>
      </c>
      <c r="AG1845">
        <v>0</v>
      </c>
      <c r="AI1845">
        <v>0</v>
      </c>
      <c r="AJ1845">
        <v>13</v>
      </c>
      <c r="AK1845">
        <v>273</v>
      </c>
      <c r="AL1845">
        <v>273</v>
      </c>
      <c r="AM1845">
        <v>648</v>
      </c>
      <c r="AN1845">
        <v>44</v>
      </c>
      <c r="AP1845">
        <v>1</v>
      </c>
      <c r="AR1845" t="s">
        <v>1934</v>
      </c>
      <c r="AS1845" s="1">
        <v>44353.972997685189</v>
      </c>
      <c r="AT1845" s="1">
        <v>44353.97451388889</v>
      </c>
      <c r="AU1845" s="1">
        <v>44353.975092592591</v>
      </c>
      <c r="AV1845" t="s">
        <v>269</v>
      </c>
      <c r="AW1845" t="s">
        <v>270</v>
      </c>
      <c r="AX1845" t="s">
        <v>73</v>
      </c>
    </row>
    <row r="1846" spans="1:50" x14ac:dyDescent="0.3">
      <c r="A1846" t="str">
        <f>"202346C0100"</f>
        <v>202346C0100</v>
      </c>
      <c r="B1846" t="str">
        <f>"202346C01002"</f>
        <v>202346C01002</v>
      </c>
      <c r="C1846" t="str">
        <f t="shared" si="88"/>
        <v>20</v>
      </c>
      <c r="D1846" t="s">
        <v>67</v>
      </c>
      <c r="E1846" t="str">
        <f t="shared" si="89"/>
        <v>008</v>
      </c>
      <c r="F1846" t="s">
        <v>1759</v>
      </c>
      <c r="G1846" t="str">
        <f>"2346"</f>
        <v>2346</v>
      </c>
      <c r="H1846" t="str">
        <f>"0001"</f>
        <v>0001</v>
      </c>
      <c r="I1846" t="s">
        <v>75</v>
      </c>
      <c r="J1846">
        <v>0</v>
      </c>
      <c r="K1846">
        <v>1</v>
      </c>
      <c r="L1846">
        <v>2</v>
      </c>
      <c r="M1846">
        <v>460</v>
      </c>
      <c r="N1846">
        <v>231</v>
      </c>
      <c r="O1846">
        <v>8</v>
      </c>
      <c r="P1846">
        <v>231</v>
      </c>
      <c r="Q1846">
        <v>1</v>
      </c>
      <c r="R1846">
        <v>24</v>
      </c>
      <c r="S1846">
        <v>10</v>
      </c>
      <c r="T1846">
        <v>23</v>
      </c>
      <c r="U1846">
        <v>43</v>
      </c>
      <c r="V1846">
        <v>1</v>
      </c>
      <c r="W1846">
        <v>2</v>
      </c>
      <c r="X1846">
        <v>77</v>
      </c>
      <c r="Y1846">
        <v>17</v>
      </c>
      <c r="Z1846">
        <v>3</v>
      </c>
      <c r="AA1846">
        <v>7</v>
      </c>
      <c r="AB1846">
        <v>0</v>
      </c>
      <c r="AD1846">
        <v>0</v>
      </c>
      <c r="AE1846">
        <v>0</v>
      </c>
      <c r="AF1846">
        <v>0</v>
      </c>
      <c r="AG1846">
        <v>0</v>
      </c>
      <c r="AI1846">
        <v>0</v>
      </c>
      <c r="AJ1846">
        <v>23</v>
      </c>
      <c r="AK1846">
        <v>231</v>
      </c>
      <c r="AL1846">
        <v>231</v>
      </c>
      <c r="AM1846">
        <v>647</v>
      </c>
      <c r="AN1846">
        <v>44</v>
      </c>
      <c r="AP1846">
        <v>1</v>
      </c>
      <c r="AR1846" t="s">
        <v>1935</v>
      </c>
      <c r="AS1846" s="1">
        <v>44353.983831018515</v>
      </c>
      <c r="AT1846" s="1">
        <v>44353.985300925924</v>
      </c>
      <c r="AU1846" s="1">
        <v>44353.986516203702</v>
      </c>
      <c r="AV1846" t="s">
        <v>269</v>
      </c>
      <c r="AW1846" t="s">
        <v>270</v>
      </c>
      <c r="AX1846" t="s">
        <v>73</v>
      </c>
    </row>
    <row r="1847" spans="1:50" x14ac:dyDescent="0.3">
      <c r="A1847" t="str">
        <f>"202346C0200"</f>
        <v>202346C0200</v>
      </c>
      <c r="B1847" t="str">
        <f>"202346C02002"</f>
        <v>202346C02002</v>
      </c>
      <c r="C1847" t="str">
        <f t="shared" si="88"/>
        <v>20</v>
      </c>
      <c r="D1847" t="s">
        <v>67</v>
      </c>
      <c r="E1847" t="str">
        <f t="shared" si="89"/>
        <v>008</v>
      </c>
      <c r="F1847" t="s">
        <v>1759</v>
      </c>
      <c r="G1847" t="str">
        <f>"2346"</f>
        <v>2346</v>
      </c>
      <c r="H1847" t="str">
        <f>"0002"</f>
        <v>0002</v>
      </c>
      <c r="I1847" t="s">
        <v>75</v>
      </c>
      <c r="J1847">
        <v>0</v>
      </c>
      <c r="K1847">
        <v>1</v>
      </c>
      <c r="L1847">
        <v>2</v>
      </c>
      <c r="M1847">
        <v>447</v>
      </c>
      <c r="N1847">
        <v>244</v>
      </c>
      <c r="O1847">
        <v>5</v>
      </c>
      <c r="P1847">
        <v>244</v>
      </c>
      <c r="Q1847">
        <v>2</v>
      </c>
      <c r="R1847">
        <v>19</v>
      </c>
      <c r="S1847">
        <v>13</v>
      </c>
      <c r="T1847">
        <v>25</v>
      </c>
      <c r="U1847">
        <v>51</v>
      </c>
      <c r="V1847">
        <v>5</v>
      </c>
      <c r="W1847">
        <v>3</v>
      </c>
      <c r="X1847">
        <v>83</v>
      </c>
      <c r="Y1847">
        <v>16</v>
      </c>
      <c r="Z1847">
        <v>1</v>
      </c>
      <c r="AA1847">
        <v>6</v>
      </c>
      <c r="AB1847">
        <v>2</v>
      </c>
      <c r="AD1847">
        <v>0</v>
      </c>
      <c r="AE1847">
        <v>0</v>
      </c>
      <c r="AF1847">
        <v>1</v>
      </c>
      <c r="AG1847">
        <v>0</v>
      </c>
      <c r="AI1847">
        <v>0</v>
      </c>
      <c r="AJ1847">
        <v>17</v>
      </c>
      <c r="AK1847">
        <v>244</v>
      </c>
      <c r="AL1847">
        <v>244</v>
      </c>
      <c r="AM1847">
        <v>647</v>
      </c>
      <c r="AN1847">
        <v>44</v>
      </c>
      <c r="AP1847">
        <v>1</v>
      </c>
      <c r="AR1847" t="s">
        <v>1936</v>
      </c>
      <c r="AS1847" s="1">
        <v>44353.980393518519</v>
      </c>
      <c r="AT1847" s="1">
        <v>44353.981504629628</v>
      </c>
      <c r="AU1847" s="1">
        <v>44353.982175925928</v>
      </c>
      <c r="AV1847" t="s">
        <v>269</v>
      </c>
      <c r="AW1847" t="s">
        <v>270</v>
      </c>
      <c r="AX1847" t="s">
        <v>73</v>
      </c>
    </row>
    <row r="1848" spans="1:50" x14ac:dyDescent="0.3">
      <c r="A1848" t="str">
        <f>"202347B0000"</f>
        <v>202347B0000</v>
      </c>
      <c r="B1848" t="str">
        <f>"202347B00002"</f>
        <v>202347B00002</v>
      </c>
      <c r="C1848" t="str">
        <f t="shared" si="88"/>
        <v>20</v>
      </c>
      <c r="D1848" t="s">
        <v>67</v>
      </c>
      <c r="E1848" t="str">
        <f t="shared" si="89"/>
        <v>008</v>
      </c>
      <c r="F1848" t="s">
        <v>1759</v>
      </c>
      <c r="G1848" t="str">
        <f>"2347"</f>
        <v>2347</v>
      </c>
      <c r="H1848" t="str">
        <f>"0000"</f>
        <v>0000</v>
      </c>
      <c r="I1848" t="s">
        <v>69</v>
      </c>
      <c r="J1848">
        <v>0</v>
      </c>
      <c r="K1848">
        <v>1</v>
      </c>
      <c r="L1848">
        <v>2</v>
      </c>
      <c r="M1848">
        <v>197</v>
      </c>
      <c r="N1848">
        <v>131</v>
      </c>
      <c r="O1848">
        <v>6</v>
      </c>
      <c r="P1848">
        <v>131</v>
      </c>
      <c r="Q1848">
        <v>4</v>
      </c>
      <c r="R1848">
        <v>10</v>
      </c>
      <c r="S1848">
        <v>2</v>
      </c>
      <c r="T1848">
        <v>36</v>
      </c>
      <c r="U1848">
        <v>26</v>
      </c>
      <c r="V1848">
        <v>0</v>
      </c>
      <c r="W1848">
        <v>0</v>
      </c>
      <c r="X1848">
        <v>30</v>
      </c>
      <c r="Y1848">
        <v>3</v>
      </c>
      <c r="Z1848">
        <v>1</v>
      </c>
      <c r="AA1848">
        <v>2</v>
      </c>
      <c r="AB1848">
        <v>4</v>
      </c>
      <c r="AD1848">
        <v>0</v>
      </c>
      <c r="AE1848">
        <v>0</v>
      </c>
      <c r="AF1848">
        <v>0</v>
      </c>
      <c r="AG1848">
        <v>1</v>
      </c>
      <c r="AI1848">
        <v>0</v>
      </c>
      <c r="AJ1848">
        <v>12</v>
      </c>
      <c r="AK1848">
        <v>131</v>
      </c>
      <c r="AL1848">
        <v>131</v>
      </c>
      <c r="AM1848">
        <v>284</v>
      </c>
      <c r="AN1848">
        <v>44</v>
      </c>
      <c r="AP1848">
        <v>1</v>
      </c>
      <c r="AR1848" t="s">
        <v>1937</v>
      </c>
      <c r="AS1848" s="1">
        <v>44354.17291666667</v>
      </c>
      <c r="AT1848" s="1">
        <v>44354.175011574072</v>
      </c>
      <c r="AU1848" s="1">
        <v>44354.17560185185</v>
      </c>
      <c r="AV1848" t="s">
        <v>71</v>
      </c>
      <c r="AW1848" t="s">
        <v>72</v>
      </c>
      <c r="AX1848" t="s">
        <v>73</v>
      </c>
    </row>
    <row r="1849" spans="1:50" x14ac:dyDescent="0.3">
      <c r="A1849" t="str">
        <f>"202348B0000"</f>
        <v>202348B0000</v>
      </c>
      <c r="B1849" t="str">
        <f>"202348B00002"</f>
        <v>202348B00002</v>
      </c>
      <c r="C1849" t="str">
        <f t="shared" si="88"/>
        <v>20</v>
      </c>
      <c r="D1849" t="s">
        <v>67</v>
      </c>
      <c r="E1849" t="str">
        <f t="shared" si="89"/>
        <v>008</v>
      </c>
      <c r="F1849" t="s">
        <v>1759</v>
      </c>
      <c r="G1849" t="str">
        <f>"2348"</f>
        <v>2348</v>
      </c>
      <c r="H1849" t="str">
        <f>"0000"</f>
        <v>0000</v>
      </c>
      <c r="I1849" t="s">
        <v>69</v>
      </c>
      <c r="J1849">
        <v>0</v>
      </c>
      <c r="K1849">
        <v>1</v>
      </c>
      <c r="L1849">
        <v>2</v>
      </c>
      <c r="M1849">
        <v>451</v>
      </c>
      <c r="N1849">
        <v>236</v>
      </c>
      <c r="O1849">
        <v>9</v>
      </c>
      <c r="P1849">
        <v>236</v>
      </c>
      <c r="Q1849">
        <v>4</v>
      </c>
      <c r="R1849">
        <v>16</v>
      </c>
      <c r="S1849">
        <v>5</v>
      </c>
      <c r="T1849">
        <v>12</v>
      </c>
      <c r="U1849">
        <v>57</v>
      </c>
      <c r="V1849">
        <v>1</v>
      </c>
      <c r="W1849">
        <v>1</v>
      </c>
      <c r="X1849">
        <v>112</v>
      </c>
      <c r="Y1849">
        <v>11</v>
      </c>
      <c r="Z1849">
        <v>5</v>
      </c>
      <c r="AA1849">
        <v>3</v>
      </c>
      <c r="AB1849">
        <v>4</v>
      </c>
      <c r="AD1849">
        <v>0</v>
      </c>
      <c r="AE1849">
        <v>0</v>
      </c>
      <c r="AF1849">
        <v>0</v>
      </c>
      <c r="AG1849">
        <v>0</v>
      </c>
      <c r="AI1849">
        <v>0</v>
      </c>
      <c r="AJ1849">
        <v>5</v>
      </c>
      <c r="AK1849">
        <v>236</v>
      </c>
      <c r="AL1849">
        <v>236</v>
      </c>
      <c r="AM1849">
        <v>643</v>
      </c>
      <c r="AN1849">
        <v>44</v>
      </c>
      <c r="AP1849">
        <v>1</v>
      </c>
      <c r="AR1849" s="2" t="s">
        <v>1938</v>
      </c>
      <c r="AS1849" s="1">
        <v>44354.06759259259</v>
      </c>
      <c r="AT1849" s="1">
        <v>44354.072500000002</v>
      </c>
      <c r="AU1849" s="1">
        <v>44354.073009259257</v>
      </c>
      <c r="AV1849" t="s">
        <v>269</v>
      </c>
      <c r="AW1849" t="s">
        <v>270</v>
      </c>
      <c r="AX1849" t="s">
        <v>73</v>
      </c>
    </row>
    <row r="1850" spans="1:50" x14ac:dyDescent="0.3">
      <c r="A1850" t="str">
        <f>"202349B0000"</f>
        <v>202349B0000</v>
      </c>
      <c r="B1850" t="str">
        <f>"202349B00002"</f>
        <v>202349B00002</v>
      </c>
      <c r="C1850" t="str">
        <f t="shared" si="88"/>
        <v>20</v>
      </c>
      <c r="D1850" t="s">
        <v>67</v>
      </c>
      <c r="E1850" t="str">
        <f t="shared" si="89"/>
        <v>008</v>
      </c>
      <c r="F1850" t="s">
        <v>1759</v>
      </c>
      <c r="G1850" t="str">
        <f>"2349"</f>
        <v>2349</v>
      </c>
      <c r="H1850" t="str">
        <f>"0000"</f>
        <v>0000</v>
      </c>
      <c r="I1850" t="s">
        <v>69</v>
      </c>
      <c r="J1850">
        <v>0</v>
      </c>
      <c r="K1850">
        <v>1</v>
      </c>
      <c r="L1850">
        <v>2</v>
      </c>
      <c r="M1850">
        <v>127</v>
      </c>
      <c r="N1850">
        <v>110</v>
      </c>
      <c r="O1850">
        <v>3</v>
      </c>
      <c r="P1850">
        <v>110</v>
      </c>
      <c r="Q1850">
        <v>5</v>
      </c>
      <c r="R1850">
        <v>8</v>
      </c>
      <c r="S1850">
        <v>1</v>
      </c>
      <c r="T1850">
        <v>39</v>
      </c>
      <c r="U1850">
        <v>9</v>
      </c>
      <c r="V1850">
        <v>1</v>
      </c>
      <c r="W1850">
        <v>0</v>
      </c>
      <c r="X1850">
        <v>36</v>
      </c>
      <c r="Y1850">
        <v>1</v>
      </c>
      <c r="Z1850">
        <v>0</v>
      </c>
      <c r="AA1850">
        <v>1</v>
      </c>
      <c r="AB1850">
        <v>1</v>
      </c>
      <c r="AD1850">
        <v>1</v>
      </c>
      <c r="AE1850">
        <v>0</v>
      </c>
      <c r="AF1850">
        <v>0</v>
      </c>
      <c r="AG1850">
        <v>0</v>
      </c>
      <c r="AI1850">
        <v>0</v>
      </c>
      <c r="AJ1850">
        <v>7</v>
      </c>
      <c r="AK1850">
        <v>110</v>
      </c>
      <c r="AL1850">
        <v>110</v>
      </c>
      <c r="AM1850">
        <v>193</v>
      </c>
      <c r="AN1850">
        <v>44</v>
      </c>
      <c r="AP1850">
        <v>1</v>
      </c>
      <c r="AR1850" t="s">
        <v>1939</v>
      </c>
      <c r="AS1850" s="1">
        <v>44354.177777777775</v>
      </c>
      <c r="AT1850" s="1">
        <v>44354.179282407407</v>
      </c>
      <c r="AU1850" s="1">
        <v>44354.179699074077</v>
      </c>
      <c r="AV1850" t="s">
        <v>71</v>
      </c>
      <c r="AW1850" t="s">
        <v>72</v>
      </c>
      <c r="AX1850" t="s">
        <v>73</v>
      </c>
    </row>
    <row r="1851" spans="1:50" x14ac:dyDescent="0.3">
      <c r="A1851" t="str">
        <f>"202350B0000"</f>
        <v>202350B0000</v>
      </c>
      <c r="B1851" t="str">
        <f>"202350B00002"</f>
        <v>202350B00002</v>
      </c>
      <c r="C1851" t="str">
        <f t="shared" si="88"/>
        <v>20</v>
      </c>
      <c r="D1851" t="s">
        <v>67</v>
      </c>
      <c r="E1851" t="str">
        <f t="shared" si="89"/>
        <v>008</v>
      </c>
      <c r="F1851" t="s">
        <v>1759</v>
      </c>
      <c r="G1851" t="str">
        <f>"2350"</f>
        <v>2350</v>
      </c>
      <c r="H1851" t="str">
        <f>"0000"</f>
        <v>0000</v>
      </c>
      <c r="I1851" t="s">
        <v>69</v>
      </c>
      <c r="J1851">
        <v>0</v>
      </c>
      <c r="K1851">
        <v>1</v>
      </c>
      <c r="L1851">
        <v>2</v>
      </c>
      <c r="M1851">
        <v>277</v>
      </c>
      <c r="N1851">
        <v>182</v>
      </c>
      <c r="O1851">
        <v>8</v>
      </c>
      <c r="P1851">
        <v>182</v>
      </c>
      <c r="Q1851">
        <v>3</v>
      </c>
      <c r="R1851">
        <v>29</v>
      </c>
      <c r="S1851">
        <v>9</v>
      </c>
      <c r="T1851">
        <v>31</v>
      </c>
      <c r="U1851">
        <v>18</v>
      </c>
      <c r="V1851">
        <v>2</v>
      </c>
      <c r="W1851">
        <v>1</v>
      </c>
      <c r="X1851">
        <v>57</v>
      </c>
      <c r="Y1851">
        <v>5</v>
      </c>
      <c r="Z1851">
        <v>3</v>
      </c>
      <c r="AA1851">
        <v>6</v>
      </c>
      <c r="AB1851">
        <v>2</v>
      </c>
      <c r="AD1851" t="s">
        <v>77</v>
      </c>
      <c r="AE1851">
        <v>2</v>
      </c>
      <c r="AF1851" t="s">
        <v>77</v>
      </c>
      <c r="AG1851" t="s">
        <v>77</v>
      </c>
      <c r="AI1851" t="s">
        <v>77</v>
      </c>
      <c r="AJ1851" t="s">
        <v>77</v>
      </c>
      <c r="AK1851" t="s">
        <v>77</v>
      </c>
      <c r="AL1851">
        <v>168</v>
      </c>
      <c r="AM1851">
        <v>415</v>
      </c>
      <c r="AN1851">
        <v>44</v>
      </c>
      <c r="AO1851" t="s">
        <v>78</v>
      </c>
      <c r="AP1851">
        <v>1</v>
      </c>
      <c r="AR1851" t="s">
        <v>1940</v>
      </c>
      <c r="AS1851" s="1">
        <v>44354.347222222219</v>
      </c>
      <c r="AT1851" s="1">
        <v>44354.349907407406</v>
      </c>
      <c r="AU1851" s="1">
        <v>44354.350219907406</v>
      </c>
      <c r="AV1851" t="s">
        <v>71</v>
      </c>
      <c r="AW1851" t="s">
        <v>72</v>
      </c>
      <c r="AX1851" t="s">
        <v>73</v>
      </c>
    </row>
    <row r="1852" spans="1:50" x14ac:dyDescent="0.3">
      <c r="A1852" t="str">
        <f>"202350E0100"</f>
        <v>202350E0100</v>
      </c>
      <c r="B1852" t="str">
        <f>"202350E01002"</f>
        <v>202350E01002</v>
      </c>
      <c r="C1852" t="str">
        <f t="shared" si="88"/>
        <v>20</v>
      </c>
      <c r="D1852" t="s">
        <v>67</v>
      </c>
      <c r="E1852" t="str">
        <f t="shared" si="89"/>
        <v>008</v>
      </c>
      <c r="F1852" t="s">
        <v>1759</v>
      </c>
      <c r="G1852" t="str">
        <f>"2350"</f>
        <v>2350</v>
      </c>
      <c r="H1852" t="str">
        <f>"0001"</f>
        <v>0001</v>
      </c>
      <c r="I1852" t="s">
        <v>109</v>
      </c>
      <c r="J1852">
        <v>0</v>
      </c>
      <c r="K1852">
        <v>1</v>
      </c>
      <c r="L1852">
        <v>2</v>
      </c>
      <c r="M1852">
        <v>146</v>
      </c>
      <c r="N1852">
        <v>50</v>
      </c>
      <c r="O1852">
        <v>6</v>
      </c>
      <c r="P1852">
        <v>50</v>
      </c>
      <c r="Q1852">
        <v>0</v>
      </c>
      <c r="R1852">
        <v>11</v>
      </c>
      <c r="S1852">
        <v>1</v>
      </c>
      <c r="T1852">
        <v>21</v>
      </c>
      <c r="U1852">
        <v>3</v>
      </c>
      <c r="V1852">
        <v>0</v>
      </c>
      <c r="W1852">
        <v>0</v>
      </c>
      <c r="X1852">
        <v>11</v>
      </c>
      <c r="Y1852">
        <v>2</v>
      </c>
      <c r="Z1852">
        <v>0</v>
      </c>
      <c r="AA1852">
        <v>0</v>
      </c>
      <c r="AB1852">
        <v>1</v>
      </c>
      <c r="AD1852">
        <v>0</v>
      </c>
      <c r="AE1852">
        <v>0</v>
      </c>
      <c r="AF1852">
        <v>0</v>
      </c>
      <c r="AG1852">
        <v>0</v>
      </c>
      <c r="AI1852">
        <v>0</v>
      </c>
      <c r="AJ1852">
        <v>0</v>
      </c>
      <c r="AK1852">
        <v>50</v>
      </c>
      <c r="AL1852">
        <v>50</v>
      </c>
      <c r="AM1852">
        <v>152</v>
      </c>
      <c r="AN1852">
        <v>44</v>
      </c>
      <c r="AP1852">
        <v>1</v>
      </c>
      <c r="AR1852" t="s">
        <v>1941</v>
      </c>
      <c r="AS1852" s="1">
        <v>44354.274305555555</v>
      </c>
      <c r="AT1852" s="1">
        <v>44354.278090277781</v>
      </c>
      <c r="AU1852" s="1">
        <v>44354.278541666667</v>
      </c>
      <c r="AV1852" t="s">
        <v>71</v>
      </c>
      <c r="AW1852" t="s">
        <v>72</v>
      </c>
      <c r="AX1852" t="s">
        <v>73</v>
      </c>
    </row>
    <row r="1853" spans="1:50" x14ac:dyDescent="0.3">
      <c r="A1853" t="str">
        <f>"202351B0000"</f>
        <v>202351B0000</v>
      </c>
      <c r="B1853" t="str">
        <f>"202351B00002"</f>
        <v>202351B00002</v>
      </c>
      <c r="C1853" t="str">
        <f t="shared" si="88"/>
        <v>20</v>
      </c>
      <c r="D1853" t="s">
        <v>67</v>
      </c>
      <c r="E1853" t="str">
        <f t="shared" si="89"/>
        <v>008</v>
      </c>
      <c r="F1853" t="s">
        <v>1759</v>
      </c>
      <c r="G1853" t="str">
        <f>"2351"</f>
        <v>2351</v>
      </c>
      <c r="H1853" t="str">
        <f>"0000"</f>
        <v>0000</v>
      </c>
      <c r="I1853" t="s">
        <v>69</v>
      </c>
      <c r="J1853">
        <v>0</v>
      </c>
      <c r="K1853">
        <v>1</v>
      </c>
      <c r="L1853">
        <v>2</v>
      </c>
      <c r="M1853">
        <v>422</v>
      </c>
      <c r="N1853">
        <v>204</v>
      </c>
      <c r="O1853">
        <v>6</v>
      </c>
      <c r="P1853">
        <v>204</v>
      </c>
      <c r="Q1853">
        <v>1</v>
      </c>
      <c r="R1853">
        <v>13</v>
      </c>
      <c r="S1853">
        <v>7</v>
      </c>
      <c r="T1853">
        <v>41</v>
      </c>
      <c r="U1853">
        <v>4</v>
      </c>
      <c r="V1853">
        <v>3</v>
      </c>
      <c r="W1853">
        <v>1</v>
      </c>
      <c r="X1853">
        <v>90</v>
      </c>
      <c r="Y1853">
        <v>1</v>
      </c>
      <c r="Z1853">
        <v>6</v>
      </c>
      <c r="AA1853">
        <v>6</v>
      </c>
      <c r="AB1853">
        <v>12</v>
      </c>
      <c r="AD1853">
        <v>0</v>
      </c>
      <c r="AE1853">
        <v>0</v>
      </c>
      <c r="AF1853">
        <v>0</v>
      </c>
      <c r="AG1853">
        <v>0</v>
      </c>
      <c r="AI1853">
        <v>0</v>
      </c>
      <c r="AJ1853">
        <v>19</v>
      </c>
      <c r="AK1853">
        <v>204</v>
      </c>
      <c r="AL1853">
        <v>204</v>
      </c>
      <c r="AM1853">
        <v>582</v>
      </c>
      <c r="AN1853">
        <v>44</v>
      </c>
      <c r="AP1853">
        <v>1</v>
      </c>
      <c r="AR1853" t="s">
        <v>1942</v>
      </c>
      <c r="AS1853" s="1">
        <v>44354.348611111112</v>
      </c>
      <c r="AT1853" s="1">
        <v>44354.350844907407</v>
      </c>
      <c r="AU1853" s="1">
        <v>44354.35361111111</v>
      </c>
      <c r="AV1853" t="s">
        <v>71</v>
      </c>
      <c r="AW1853" t="s">
        <v>72</v>
      </c>
      <c r="AX1853" t="s">
        <v>73</v>
      </c>
    </row>
    <row r="1854" spans="1:50" x14ac:dyDescent="0.3">
      <c r="A1854" t="str">
        <f>"202367B0000"</f>
        <v>202367B0000</v>
      </c>
      <c r="B1854" t="str">
        <f>"202367B00002"</f>
        <v>202367B00002</v>
      </c>
      <c r="C1854" t="str">
        <f t="shared" si="88"/>
        <v>20</v>
      </c>
      <c r="D1854" t="s">
        <v>67</v>
      </c>
      <c r="E1854" t="str">
        <f t="shared" si="89"/>
        <v>008</v>
      </c>
      <c r="F1854" t="s">
        <v>1759</v>
      </c>
      <c r="G1854" t="str">
        <f t="shared" ref="G1854:G1859" si="90">"2367"</f>
        <v>2367</v>
      </c>
      <c r="H1854" t="str">
        <f>"0000"</f>
        <v>0000</v>
      </c>
      <c r="I1854" t="s">
        <v>69</v>
      </c>
      <c r="J1854">
        <v>0</v>
      </c>
      <c r="K1854">
        <v>1</v>
      </c>
      <c r="L1854">
        <v>2</v>
      </c>
      <c r="M1854">
        <v>276</v>
      </c>
      <c r="N1854">
        <v>435</v>
      </c>
      <c r="O1854">
        <v>13</v>
      </c>
      <c r="P1854">
        <v>435</v>
      </c>
      <c r="Q1854">
        <v>13</v>
      </c>
      <c r="R1854">
        <v>49</v>
      </c>
      <c r="S1854">
        <v>7</v>
      </c>
      <c r="T1854">
        <v>20</v>
      </c>
      <c r="U1854">
        <v>101</v>
      </c>
      <c r="V1854">
        <v>4</v>
      </c>
      <c r="W1854">
        <v>8</v>
      </c>
      <c r="X1854">
        <v>155</v>
      </c>
      <c r="Y1854">
        <v>6</v>
      </c>
      <c r="Z1854">
        <v>45</v>
      </c>
      <c r="AA1854">
        <v>1</v>
      </c>
      <c r="AB1854">
        <v>12</v>
      </c>
      <c r="AD1854">
        <v>2</v>
      </c>
      <c r="AE1854">
        <v>0</v>
      </c>
      <c r="AF1854">
        <v>0</v>
      </c>
      <c r="AG1854">
        <v>0</v>
      </c>
      <c r="AI1854">
        <v>1</v>
      </c>
      <c r="AJ1854">
        <v>11</v>
      </c>
      <c r="AK1854">
        <v>435</v>
      </c>
      <c r="AL1854">
        <v>435</v>
      </c>
      <c r="AM1854">
        <v>664</v>
      </c>
      <c r="AN1854">
        <v>46</v>
      </c>
      <c r="AP1854">
        <v>1</v>
      </c>
      <c r="AR1854" t="s">
        <v>1943</v>
      </c>
      <c r="AS1854" s="1">
        <v>44354.016967592594</v>
      </c>
      <c r="AT1854" s="1">
        <v>44354.025000000001</v>
      </c>
      <c r="AU1854" s="1">
        <v>44354.025821759256</v>
      </c>
      <c r="AV1854" t="s">
        <v>269</v>
      </c>
      <c r="AW1854" t="s">
        <v>270</v>
      </c>
      <c r="AX1854" t="s">
        <v>73</v>
      </c>
    </row>
    <row r="1855" spans="1:50" x14ac:dyDescent="0.3">
      <c r="A1855" t="str">
        <f>"202367C0100"</f>
        <v>202367C0100</v>
      </c>
      <c r="B1855" t="str">
        <f>"202367C01002"</f>
        <v>202367C01002</v>
      </c>
      <c r="C1855" t="str">
        <f t="shared" si="88"/>
        <v>20</v>
      </c>
      <c r="D1855" t="s">
        <v>67</v>
      </c>
      <c r="E1855" t="str">
        <f t="shared" si="89"/>
        <v>008</v>
      </c>
      <c r="F1855" t="s">
        <v>1759</v>
      </c>
      <c r="G1855" t="str">
        <f t="shared" si="90"/>
        <v>2367</v>
      </c>
      <c r="H1855" t="str">
        <f>"0001"</f>
        <v>0001</v>
      </c>
      <c r="I1855" t="s">
        <v>75</v>
      </c>
      <c r="J1855">
        <v>0</v>
      </c>
      <c r="K1855">
        <v>1</v>
      </c>
      <c r="L1855">
        <v>2</v>
      </c>
      <c r="M1855">
        <v>283</v>
      </c>
      <c r="N1855" t="s">
        <v>99</v>
      </c>
      <c r="O1855">
        <v>15</v>
      </c>
      <c r="P1855">
        <v>426</v>
      </c>
      <c r="Q1855">
        <v>4</v>
      </c>
      <c r="R1855">
        <v>67</v>
      </c>
      <c r="S1855">
        <v>5</v>
      </c>
      <c r="T1855">
        <v>39</v>
      </c>
      <c r="U1855">
        <v>68</v>
      </c>
      <c r="V1855">
        <v>3</v>
      </c>
      <c r="W1855">
        <v>8</v>
      </c>
      <c r="X1855">
        <v>158</v>
      </c>
      <c r="Y1855">
        <v>5</v>
      </c>
      <c r="Z1855">
        <v>25</v>
      </c>
      <c r="AA1855">
        <v>3</v>
      </c>
      <c r="AB1855">
        <v>11</v>
      </c>
      <c r="AD1855">
        <v>3</v>
      </c>
      <c r="AE1855">
        <v>1</v>
      </c>
      <c r="AF1855">
        <v>0</v>
      </c>
      <c r="AG1855">
        <v>0</v>
      </c>
      <c r="AI1855">
        <v>0</v>
      </c>
      <c r="AJ1855">
        <v>26</v>
      </c>
      <c r="AK1855">
        <v>426</v>
      </c>
      <c r="AL1855">
        <v>426</v>
      </c>
      <c r="AM1855">
        <v>663</v>
      </c>
      <c r="AN1855">
        <v>46</v>
      </c>
      <c r="AP1855">
        <v>1</v>
      </c>
      <c r="AR1855" t="s">
        <v>1944</v>
      </c>
      <c r="AS1855" s="1">
        <v>44353.982986111114</v>
      </c>
      <c r="AT1855" s="1">
        <v>44353.985081018516</v>
      </c>
      <c r="AU1855" s="1">
        <v>44353.985694444447</v>
      </c>
      <c r="AV1855" t="s">
        <v>269</v>
      </c>
      <c r="AW1855" t="s">
        <v>270</v>
      </c>
      <c r="AX1855" t="s">
        <v>73</v>
      </c>
    </row>
    <row r="1856" spans="1:50" x14ac:dyDescent="0.3">
      <c r="A1856" t="str">
        <f>"202367C0200"</f>
        <v>202367C0200</v>
      </c>
      <c r="B1856" t="str">
        <f>"202367C02002"</f>
        <v>202367C02002</v>
      </c>
      <c r="C1856" t="str">
        <f t="shared" si="88"/>
        <v>20</v>
      </c>
      <c r="D1856" t="s">
        <v>67</v>
      </c>
      <c r="E1856" t="str">
        <f t="shared" si="89"/>
        <v>008</v>
      </c>
      <c r="F1856" t="s">
        <v>1759</v>
      </c>
      <c r="G1856" t="str">
        <f t="shared" si="90"/>
        <v>2367</v>
      </c>
      <c r="H1856" t="str">
        <f>"0002"</f>
        <v>0002</v>
      </c>
      <c r="I1856" t="s">
        <v>75</v>
      </c>
      <c r="J1856">
        <v>0</v>
      </c>
      <c r="K1856">
        <v>1</v>
      </c>
      <c r="L1856">
        <v>2</v>
      </c>
      <c r="M1856">
        <v>287</v>
      </c>
      <c r="N1856">
        <v>423</v>
      </c>
      <c r="O1856">
        <v>11</v>
      </c>
      <c r="P1856">
        <v>423</v>
      </c>
      <c r="Q1856">
        <v>6</v>
      </c>
      <c r="R1856">
        <v>44</v>
      </c>
      <c r="S1856">
        <v>6</v>
      </c>
      <c r="T1856">
        <v>29</v>
      </c>
      <c r="U1856">
        <v>96</v>
      </c>
      <c r="V1856">
        <v>1</v>
      </c>
      <c r="W1856">
        <v>9</v>
      </c>
      <c r="X1856">
        <v>172</v>
      </c>
      <c r="Y1856">
        <v>9</v>
      </c>
      <c r="Z1856">
        <v>29</v>
      </c>
      <c r="AA1856">
        <v>3</v>
      </c>
      <c r="AB1856">
        <v>10</v>
      </c>
      <c r="AD1856">
        <v>1</v>
      </c>
      <c r="AE1856">
        <v>0</v>
      </c>
      <c r="AF1856">
        <v>0</v>
      </c>
      <c r="AG1856">
        <v>1</v>
      </c>
      <c r="AI1856">
        <v>0</v>
      </c>
      <c r="AJ1856">
        <v>7</v>
      </c>
      <c r="AK1856">
        <v>423</v>
      </c>
      <c r="AL1856">
        <v>423</v>
      </c>
      <c r="AM1856">
        <v>663</v>
      </c>
      <c r="AN1856">
        <v>46</v>
      </c>
      <c r="AP1856">
        <v>1</v>
      </c>
      <c r="AR1856" t="s">
        <v>1945</v>
      </c>
      <c r="AS1856" s="1">
        <v>44354.019270833334</v>
      </c>
      <c r="AT1856" s="1">
        <v>44354.027222222219</v>
      </c>
      <c r="AU1856" s="1">
        <v>44354.027673611112</v>
      </c>
      <c r="AV1856" t="s">
        <v>269</v>
      </c>
      <c r="AW1856" t="s">
        <v>270</v>
      </c>
      <c r="AX1856" t="s">
        <v>73</v>
      </c>
    </row>
    <row r="1857" spans="1:50" x14ac:dyDescent="0.3">
      <c r="A1857" t="str">
        <f>"202367C0300"</f>
        <v>202367C0300</v>
      </c>
      <c r="B1857" t="str">
        <f>"202367C03002"</f>
        <v>202367C03002</v>
      </c>
      <c r="C1857" t="str">
        <f t="shared" si="88"/>
        <v>20</v>
      </c>
      <c r="D1857" t="s">
        <v>67</v>
      </c>
      <c r="E1857" t="str">
        <f t="shared" si="89"/>
        <v>008</v>
      </c>
      <c r="F1857" t="s">
        <v>1759</v>
      </c>
      <c r="G1857" t="str">
        <f t="shared" si="90"/>
        <v>2367</v>
      </c>
      <c r="H1857" t="str">
        <f>"0003"</f>
        <v>0003</v>
      </c>
      <c r="I1857" t="s">
        <v>75</v>
      </c>
      <c r="J1857">
        <v>0</v>
      </c>
      <c r="K1857">
        <v>1</v>
      </c>
      <c r="L1857">
        <v>2</v>
      </c>
      <c r="M1857">
        <v>285</v>
      </c>
      <c r="N1857">
        <v>424</v>
      </c>
      <c r="O1857">
        <v>8</v>
      </c>
      <c r="P1857">
        <v>424</v>
      </c>
      <c r="Q1857">
        <v>1</v>
      </c>
      <c r="R1857">
        <v>59</v>
      </c>
      <c r="S1857">
        <v>11</v>
      </c>
      <c r="T1857">
        <v>24</v>
      </c>
      <c r="U1857">
        <v>83</v>
      </c>
      <c r="V1857">
        <v>4</v>
      </c>
      <c r="W1857">
        <v>10</v>
      </c>
      <c r="X1857">
        <v>160</v>
      </c>
      <c r="Y1857">
        <v>8</v>
      </c>
      <c r="Z1857">
        <v>28</v>
      </c>
      <c r="AA1857">
        <v>3</v>
      </c>
      <c r="AB1857">
        <v>16</v>
      </c>
      <c r="AD1857">
        <v>0</v>
      </c>
      <c r="AE1857">
        <v>0</v>
      </c>
      <c r="AF1857">
        <v>0</v>
      </c>
      <c r="AG1857">
        <v>0</v>
      </c>
      <c r="AI1857">
        <v>0</v>
      </c>
      <c r="AJ1857">
        <v>16</v>
      </c>
      <c r="AK1857">
        <v>424</v>
      </c>
      <c r="AL1857">
        <v>423</v>
      </c>
      <c r="AM1857">
        <v>663</v>
      </c>
      <c r="AN1857">
        <v>46</v>
      </c>
      <c r="AP1857">
        <v>1</v>
      </c>
      <c r="AR1857" t="s">
        <v>1946</v>
      </c>
      <c r="AS1857" s="1">
        <v>44353.944363425922</v>
      </c>
      <c r="AT1857" s="1">
        <v>44353.946956018517</v>
      </c>
      <c r="AU1857" s="1">
        <v>44353.94767361111</v>
      </c>
      <c r="AV1857" t="s">
        <v>269</v>
      </c>
      <c r="AW1857" t="s">
        <v>270</v>
      </c>
      <c r="AX1857" t="s">
        <v>73</v>
      </c>
    </row>
    <row r="1858" spans="1:50" x14ac:dyDescent="0.3">
      <c r="A1858" t="str">
        <f>"202367C0400"</f>
        <v>202367C0400</v>
      </c>
      <c r="B1858" t="str">
        <f>"202367C04002"</f>
        <v>202367C04002</v>
      </c>
      <c r="C1858" t="str">
        <f t="shared" si="88"/>
        <v>20</v>
      </c>
      <c r="D1858" t="s">
        <v>67</v>
      </c>
      <c r="E1858" t="str">
        <f t="shared" si="89"/>
        <v>008</v>
      </c>
      <c r="F1858" t="s">
        <v>1759</v>
      </c>
      <c r="G1858" t="str">
        <f t="shared" si="90"/>
        <v>2367</v>
      </c>
      <c r="H1858" t="str">
        <f>"0004"</f>
        <v>0004</v>
      </c>
      <c r="I1858" t="s">
        <v>75</v>
      </c>
      <c r="J1858">
        <v>0</v>
      </c>
      <c r="K1858">
        <v>1</v>
      </c>
      <c r="L1858">
        <v>2</v>
      </c>
      <c r="M1858">
        <v>297</v>
      </c>
      <c r="N1858">
        <v>412</v>
      </c>
      <c r="O1858">
        <v>13</v>
      </c>
      <c r="P1858">
        <v>412</v>
      </c>
      <c r="Q1858">
        <v>14</v>
      </c>
      <c r="R1858">
        <v>58</v>
      </c>
      <c r="S1858">
        <v>6</v>
      </c>
      <c r="T1858">
        <v>19</v>
      </c>
      <c r="U1858">
        <v>74</v>
      </c>
      <c r="V1858">
        <v>5</v>
      </c>
      <c r="W1858">
        <v>13</v>
      </c>
      <c r="X1858">
        <v>157</v>
      </c>
      <c r="Y1858">
        <v>8</v>
      </c>
      <c r="Z1858">
        <v>31</v>
      </c>
      <c r="AA1858">
        <v>1</v>
      </c>
      <c r="AB1858">
        <v>13</v>
      </c>
      <c r="AD1858" t="s">
        <v>77</v>
      </c>
      <c r="AE1858" t="s">
        <v>77</v>
      </c>
      <c r="AF1858" t="s">
        <v>77</v>
      </c>
      <c r="AG1858" t="s">
        <v>77</v>
      </c>
      <c r="AI1858" t="s">
        <v>77</v>
      </c>
      <c r="AJ1858">
        <v>13</v>
      </c>
      <c r="AK1858">
        <v>412</v>
      </c>
      <c r="AL1858">
        <v>412</v>
      </c>
      <c r="AM1858">
        <v>663</v>
      </c>
      <c r="AN1858">
        <v>46</v>
      </c>
      <c r="AO1858" t="s">
        <v>78</v>
      </c>
      <c r="AP1858">
        <v>1</v>
      </c>
      <c r="AR1858" t="s">
        <v>1947</v>
      </c>
      <c r="AS1858" s="1">
        <v>44354.001111111109</v>
      </c>
      <c r="AT1858" s="1">
        <v>44354.005208333336</v>
      </c>
      <c r="AU1858" s="1">
        <v>44354.005810185183</v>
      </c>
      <c r="AV1858" t="s">
        <v>269</v>
      </c>
      <c r="AW1858" t="s">
        <v>270</v>
      </c>
      <c r="AX1858" t="s">
        <v>73</v>
      </c>
    </row>
    <row r="1859" spans="1:50" x14ac:dyDescent="0.3">
      <c r="A1859" t="str">
        <f>"202367E0100"</f>
        <v>202367E0100</v>
      </c>
      <c r="B1859" t="str">
        <f>"202367E01002"</f>
        <v>202367E01002</v>
      </c>
      <c r="C1859" t="str">
        <f t="shared" si="88"/>
        <v>20</v>
      </c>
      <c r="D1859" t="s">
        <v>67</v>
      </c>
      <c r="E1859" t="str">
        <f t="shared" si="89"/>
        <v>008</v>
      </c>
      <c r="F1859" t="s">
        <v>1759</v>
      </c>
      <c r="G1859" t="str">
        <f t="shared" si="90"/>
        <v>2367</v>
      </c>
      <c r="H1859" t="str">
        <f>"0001"</f>
        <v>0001</v>
      </c>
      <c r="I1859" t="s">
        <v>109</v>
      </c>
      <c r="J1859">
        <v>0</v>
      </c>
      <c r="K1859">
        <v>1</v>
      </c>
      <c r="L1859">
        <v>2</v>
      </c>
      <c r="M1859">
        <v>291</v>
      </c>
      <c r="N1859">
        <v>410</v>
      </c>
      <c r="O1859">
        <v>11</v>
      </c>
      <c r="P1859">
        <v>410</v>
      </c>
      <c r="Q1859">
        <v>6</v>
      </c>
      <c r="R1859">
        <v>79</v>
      </c>
      <c r="S1859">
        <v>11</v>
      </c>
      <c r="T1859">
        <v>18</v>
      </c>
      <c r="U1859">
        <v>55</v>
      </c>
      <c r="V1859">
        <v>3</v>
      </c>
      <c r="W1859">
        <v>10</v>
      </c>
      <c r="X1859">
        <v>150</v>
      </c>
      <c r="Y1859">
        <v>18</v>
      </c>
      <c r="Z1859">
        <v>29</v>
      </c>
      <c r="AA1859">
        <v>3</v>
      </c>
      <c r="AB1859">
        <v>8</v>
      </c>
      <c r="AD1859">
        <v>1</v>
      </c>
      <c r="AE1859">
        <v>0</v>
      </c>
      <c r="AF1859">
        <v>0</v>
      </c>
      <c r="AG1859">
        <v>1</v>
      </c>
      <c r="AI1859">
        <v>0</v>
      </c>
      <c r="AJ1859">
        <v>18</v>
      </c>
      <c r="AK1859">
        <v>410</v>
      </c>
      <c r="AL1859">
        <v>410</v>
      </c>
      <c r="AM1859">
        <v>655</v>
      </c>
      <c r="AN1859">
        <v>46</v>
      </c>
      <c r="AP1859">
        <v>1</v>
      </c>
      <c r="AR1859" t="s">
        <v>1948</v>
      </c>
      <c r="AS1859" s="1">
        <v>44354.018750000003</v>
      </c>
      <c r="AT1859" s="1">
        <v>44354.027407407404</v>
      </c>
      <c r="AU1859" s="1">
        <v>44354.028298611112</v>
      </c>
      <c r="AV1859" t="s">
        <v>71</v>
      </c>
      <c r="AW1859" t="s">
        <v>72</v>
      </c>
      <c r="AX1859" t="s">
        <v>73</v>
      </c>
    </row>
    <row r="1860" spans="1:50" x14ac:dyDescent="0.3">
      <c r="A1860" t="str">
        <f>"202368B0000"</f>
        <v>202368B0000</v>
      </c>
      <c r="B1860" t="str">
        <f>"202368B00002"</f>
        <v>202368B00002</v>
      </c>
      <c r="C1860" t="str">
        <f t="shared" si="88"/>
        <v>20</v>
      </c>
      <c r="D1860" t="s">
        <v>67</v>
      </c>
      <c r="E1860" t="str">
        <f t="shared" si="89"/>
        <v>008</v>
      </c>
      <c r="F1860" t="s">
        <v>1759</v>
      </c>
      <c r="G1860" t="str">
        <f>"2368"</f>
        <v>2368</v>
      </c>
      <c r="H1860" t="str">
        <f>"0000"</f>
        <v>0000</v>
      </c>
      <c r="I1860" t="s">
        <v>69</v>
      </c>
      <c r="J1860">
        <v>0</v>
      </c>
      <c r="K1860">
        <v>1</v>
      </c>
      <c r="L1860">
        <v>2</v>
      </c>
      <c r="M1860">
        <v>277</v>
      </c>
      <c r="N1860">
        <v>411</v>
      </c>
      <c r="O1860">
        <v>6</v>
      </c>
      <c r="P1860">
        <v>411</v>
      </c>
      <c r="Q1860">
        <v>15</v>
      </c>
      <c r="R1860">
        <v>66</v>
      </c>
      <c r="S1860">
        <v>4</v>
      </c>
      <c r="T1860">
        <v>15</v>
      </c>
      <c r="U1860">
        <v>55</v>
      </c>
      <c r="V1860">
        <v>4</v>
      </c>
      <c r="W1860">
        <v>10</v>
      </c>
      <c r="X1860">
        <v>163</v>
      </c>
      <c r="Y1860">
        <v>3</v>
      </c>
      <c r="Z1860">
        <v>30</v>
      </c>
      <c r="AA1860">
        <v>7</v>
      </c>
      <c r="AB1860">
        <v>13</v>
      </c>
      <c r="AD1860">
        <v>4</v>
      </c>
      <c r="AE1860">
        <v>0</v>
      </c>
      <c r="AF1860">
        <v>0</v>
      </c>
      <c r="AG1860">
        <v>0</v>
      </c>
      <c r="AI1860">
        <v>0</v>
      </c>
      <c r="AJ1860">
        <v>22</v>
      </c>
      <c r="AK1860">
        <v>411</v>
      </c>
      <c r="AL1860">
        <v>411</v>
      </c>
      <c r="AM1860">
        <v>642</v>
      </c>
      <c r="AN1860">
        <v>46</v>
      </c>
      <c r="AP1860">
        <v>1</v>
      </c>
      <c r="AR1860" t="s">
        <v>1949</v>
      </c>
      <c r="AS1860" s="1">
        <v>44353.995682870373</v>
      </c>
      <c r="AT1860" s="1">
        <v>44354.00099537037</v>
      </c>
      <c r="AU1860" s="1">
        <v>44354.00172453704</v>
      </c>
      <c r="AV1860" t="s">
        <v>269</v>
      </c>
      <c r="AW1860" t="s">
        <v>270</v>
      </c>
      <c r="AX1860" t="s">
        <v>73</v>
      </c>
    </row>
    <row r="1861" spans="1:50" x14ac:dyDescent="0.3">
      <c r="A1861" t="str">
        <f>"202368C0100"</f>
        <v>202368C0100</v>
      </c>
      <c r="B1861" t="str">
        <f>"202368C01002"</f>
        <v>202368C01002</v>
      </c>
      <c r="C1861" t="str">
        <f t="shared" si="88"/>
        <v>20</v>
      </c>
      <c r="D1861" t="s">
        <v>67</v>
      </c>
      <c r="E1861" t="str">
        <f t="shared" si="89"/>
        <v>008</v>
      </c>
      <c r="F1861" t="s">
        <v>1759</v>
      </c>
      <c r="G1861" t="str">
        <f>"2368"</f>
        <v>2368</v>
      </c>
      <c r="H1861" t="str">
        <f>"0001"</f>
        <v>0001</v>
      </c>
      <c r="I1861" t="s">
        <v>75</v>
      </c>
      <c r="J1861">
        <v>0</v>
      </c>
      <c r="K1861">
        <v>1</v>
      </c>
      <c r="L1861">
        <v>2</v>
      </c>
      <c r="M1861">
        <v>296</v>
      </c>
      <c r="N1861">
        <v>392</v>
      </c>
      <c r="O1861">
        <v>6</v>
      </c>
      <c r="P1861">
        <v>392</v>
      </c>
      <c r="Q1861">
        <v>12</v>
      </c>
      <c r="R1861">
        <v>56</v>
      </c>
      <c r="S1861">
        <v>7</v>
      </c>
      <c r="T1861">
        <v>24</v>
      </c>
      <c r="U1861">
        <v>70</v>
      </c>
      <c r="V1861" t="s">
        <v>99</v>
      </c>
      <c r="W1861">
        <v>8</v>
      </c>
      <c r="X1861">
        <v>153</v>
      </c>
      <c r="Y1861">
        <v>3</v>
      </c>
      <c r="Z1861">
        <v>30</v>
      </c>
      <c r="AA1861">
        <v>1</v>
      </c>
      <c r="AB1861">
        <v>6</v>
      </c>
      <c r="AD1861">
        <v>1</v>
      </c>
      <c r="AE1861" t="s">
        <v>77</v>
      </c>
      <c r="AF1861" t="s">
        <v>77</v>
      </c>
      <c r="AG1861">
        <v>1</v>
      </c>
      <c r="AI1861" t="s">
        <v>77</v>
      </c>
      <c r="AJ1861">
        <v>12</v>
      </c>
      <c r="AK1861">
        <v>392</v>
      </c>
      <c r="AL1861">
        <v>384</v>
      </c>
      <c r="AM1861">
        <v>642</v>
      </c>
      <c r="AN1861">
        <v>46</v>
      </c>
      <c r="AO1861" t="s">
        <v>78</v>
      </c>
      <c r="AP1861">
        <v>1</v>
      </c>
      <c r="AR1861" t="s">
        <v>1950</v>
      </c>
      <c r="AS1861" s="1">
        <v>44353.972766203704</v>
      </c>
      <c r="AT1861" s="1">
        <v>44353.974930555552</v>
      </c>
      <c r="AU1861" s="1">
        <v>44353.975844907407</v>
      </c>
      <c r="AV1861" t="s">
        <v>269</v>
      </c>
      <c r="AW1861" t="s">
        <v>270</v>
      </c>
      <c r="AX1861" t="s">
        <v>73</v>
      </c>
    </row>
    <row r="1862" spans="1:50" x14ac:dyDescent="0.3">
      <c r="A1862" t="str">
        <f>"202368C0200"</f>
        <v>202368C0200</v>
      </c>
      <c r="B1862" t="str">
        <f>"202368C02002"</f>
        <v>202368C02002</v>
      </c>
      <c r="C1862" t="str">
        <f t="shared" si="88"/>
        <v>20</v>
      </c>
      <c r="D1862" t="s">
        <v>67</v>
      </c>
      <c r="E1862" t="str">
        <f t="shared" si="89"/>
        <v>008</v>
      </c>
      <c r="F1862" t="s">
        <v>1759</v>
      </c>
      <c r="G1862" t="str">
        <f>"2368"</f>
        <v>2368</v>
      </c>
      <c r="H1862" t="str">
        <f>"0002"</f>
        <v>0002</v>
      </c>
      <c r="I1862" t="s">
        <v>75</v>
      </c>
      <c r="J1862">
        <v>0</v>
      </c>
      <c r="K1862">
        <v>1</v>
      </c>
      <c r="L1862">
        <v>2</v>
      </c>
      <c r="M1862">
        <v>284</v>
      </c>
      <c r="N1862">
        <v>404</v>
      </c>
      <c r="O1862">
        <v>6</v>
      </c>
      <c r="P1862">
        <v>404</v>
      </c>
      <c r="Q1862">
        <v>4</v>
      </c>
      <c r="R1862">
        <v>65</v>
      </c>
      <c r="S1862">
        <v>5</v>
      </c>
      <c r="T1862">
        <v>18</v>
      </c>
      <c r="U1862">
        <v>76</v>
      </c>
      <c r="V1862">
        <v>4</v>
      </c>
      <c r="W1862">
        <v>8</v>
      </c>
      <c r="X1862">
        <v>152</v>
      </c>
      <c r="Y1862">
        <v>2</v>
      </c>
      <c r="Z1862">
        <v>30</v>
      </c>
      <c r="AA1862">
        <v>2</v>
      </c>
      <c r="AB1862">
        <v>27</v>
      </c>
      <c r="AD1862" t="s">
        <v>77</v>
      </c>
      <c r="AE1862" t="s">
        <v>77</v>
      </c>
      <c r="AF1862" t="s">
        <v>77</v>
      </c>
      <c r="AG1862" t="s">
        <v>77</v>
      </c>
      <c r="AI1862" t="s">
        <v>77</v>
      </c>
      <c r="AJ1862" t="s">
        <v>77</v>
      </c>
      <c r="AK1862" t="s">
        <v>77</v>
      </c>
      <c r="AL1862">
        <v>393</v>
      </c>
      <c r="AM1862">
        <v>642</v>
      </c>
      <c r="AN1862">
        <v>46</v>
      </c>
      <c r="AO1862" t="s">
        <v>78</v>
      </c>
      <c r="AP1862">
        <v>1</v>
      </c>
      <c r="AR1862" t="s">
        <v>1951</v>
      </c>
      <c r="AS1862" s="1">
        <v>44353.959201388891</v>
      </c>
      <c r="AT1862" s="1">
        <v>44353.960925925923</v>
      </c>
      <c r="AU1862" s="1">
        <v>44353.961562500001</v>
      </c>
      <c r="AV1862" t="s">
        <v>269</v>
      </c>
      <c r="AW1862" t="s">
        <v>270</v>
      </c>
      <c r="AX1862" t="s">
        <v>73</v>
      </c>
    </row>
    <row r="1863" spans="1:50" x14ac:dyDescent="0.3">
      <c r="A1863" t="str">
        <f>"202368S0100"</f>
        <v>202368S0100</v>
      </c>
      <c r="B1863" t="str">
        <f>"202368S01002EMR"</f>
        <v>202368S01002EMR</v>
      </c>
      <c r="C1863" t="str">
        <f t="shared" ref="C1863:C1926" si="91">"20"</f>
        <v>20</v>
      </c>
      <c r="D1863" t="s">
        <v>67</v>
      </c>
      <c r="E1863" t="str">
        <f t="shared" ref="E1863:E1913" si="92">"008"</f>
        <v>008</v>
      </c>
      <c r="F1863" t="s">
        <v>1759</v>
      </c>
      <c r="G1863" t="str">
        <f>"2368"</f>
        <v>2368</v>
      </c>
      <c r="H1863" t="str">
        <f>"0001"</f>
        <v>0001</v>
      </c>
      <c r="I1863" t="s">
        <v>85</v>
      </c>
      <c r="J1863">
        <v>0</v>
      </c>
      <c r="K1863">
        <v>1</v>
      </c>
      <c r="L1863" t="s">
        <v>86</v>
      </c>
      <c r="M1863">
        <v>666</v>
      </c>
      <c r="N1863">
        <v>212</v>
      </c>
      <c r="O1863">
        <v>0</v>
      </c>
      <c r="P1863">
        <v>334</v>
      </c>
      <c r="Q1863">
        <v>6</v>
      </c>
      <c r="R1863">
        <v>20</v>
      </c>
      <c r="S1863">
        <v>3</v>
      </c>
      <c r="T1863">
        <v>9</v>
      </c>
      <c r="U1863">
        <v>68</v>
      </c>
      <c r="V1863">
        <v>2</v>
      </c>
      <c r="W1863">
        <v>5</v>
      </c>
      <c r="X1863">
        <v>74</v>
      </c>
      <c r="Y1863">
        <v>2</v>
      </c>
      <c r="Z1863">
        <v>8</v>
      </c>
      <c r="AA1863">
        <v>5</v>
      </c>
      <c r="AB1863">
        <v>3</v>
      </c>
      <c r="AD1863">
        <v>0</v>
      </c>
      <c r="AE1863">
        <v>0</v>
      </c>
      <c r="AF1863">
        <v>0</v>
      </c>
      <c r="AG1863">
        <v>0</v>
      </c>
      <c r="AI1863">
        <v>0</v>
      </c>
      <c r="AJ1863">
        <v>7</v>
      </c>
      <c r="AK1863">
        <v>212</v>
      </c>
      <c r="AL1863">
        <v>212</v>
      </c>
      <c r="AM1863">
        <v>0</v>
      </c>
      <c r="AN1863">
        <v>46</v>
      </c>
      <c r="AP1863">
        <v>1</v>
      </c>
      <c r="AR1863" t="s">
        <v>1952</v>
      </c>
      <c r="AS1863" s="1">
        <v>44354.569444444445</v>
      </c>
      <c r="AT1863" s="1">
        <v>44354.573483796295</v>
      </c>
      <c r="AU1863" s="1">
        <v>44354.575706018521</v>
      </c>
      <c r="AV1863" t="s">
        <v>71</v>
      </c>
      <c r="AW1863" t="s">
        <v>72</v>
      </c>
      <c r="AX1863" t="s">
        <v>73</v>
      </c>
    </row>
    <row r="1864" spans="1:50" x14ac:dyDescent="0.3">
      <c r="A1864" t="str">
        <f>"202368S0200"</f>
        <v>202368S0200</v>
      </c>
      <c r="B1864" t="str">
        <f>"202368S02002EMR"</f>
        <v>202368S02002EMR</v>
      </c>
      <c r="C1864" t="str">
        <f t="shared" si="91"/>
        <v>20</v>
      </c>
      <c r="D1864" t="s">
        <v>67</v>
      </c>
      <c r="E1864" t="str">
        <f t="shared" si="92"/>
        <v>008</v>
      </c>
      <c r="F1864" t="s">
        <v>1759</v>
      </c>
      <c r="G1864" t="str">
        <f>"2368"</f>
        <v>2368</v>
      </c>
      <c r="H1864" t="str">
        <f>"0002"</f>
        <v>0002</v>
      </c>
      <c r="I1864" t="s">
        <v>85</v>
      </c>
      <c r="J1864">
        <v>0</v>
      </c>
      <c r="K1864">
        <v>1</v>
      </c>
      <c r="L1864" t="s">
        <v>86</v>
      </c>
      <c r="M1864">
        <v>680</v>
      </c>
      <c r="N1864">
        <v>201</v>
      </c>
      <c r="O1864">
        <v>0</v>
      </c>
      <c r="P1864">
        <v>201</v>
      </c>
      <c r="Q1864">
        <v>4</v>
      </c>
      <c r="R1864">
        <v>17</v>
      </c>
      <c r="S1864">
        <v>4</v>
      </c>
      <c r="T1864">
        <v>9</v>
      </c>
      <c r="U1864">
        <v>74</v>
      </c>
      <c r="V1864">
        <v>3</v>
      </c>
      <c r="W1864">
        <v>1</v>
      </c>
      <c r="X1864">
        <v>68</v>
      </c>
      <c r="Y1864">
        <v>1</v>
      </c>
      <c r="Z1864">
        <v>7</v>
      </c>
      <c r="AA1864">
        <v>2</v>
      </c>
      <c r="AB1864">
        <v>4</v>
      </c>
      <c r="AD1864" t="s">
        <v>77</v>
      </c>
      <c r="AE1864" t="s">
        <v>77</v>
      </c>
      <c r="AF1864" t="s">
        <v>77</v>
      </c>
      <c r="AG1864" t="s">
        <v>77</v>
      </c>
      <c r="AI1864" t="s">
        <v>77</v>
      </c>
      <c r="AJ1864">
        <v>7</v>
      </c>
      <c r="AK1864">
        <v>201</v>
      </c>
      <c r="AL1864">
        <v>201</v>
      </c>
      <c r="AM1864">
        <v>0</v>
      </c>
      <c r="AN1864">
        <v>46</v>
      </c>
      <c r="AO1864" t="s">
        <v>78</v>
      </c>
      <c r="AP1864">
        <v>1</v>
      </c>
      <c r="AR1864" t="s">
        <v>1953</v>
      </c>
      <c r="AS1864" s="1">
        <v>44354.59652777778</v>
      </c>
      <c r="AT1864" s="1">
        <v>44354.600613425922</v>
      </c>
      <c r="AU1864" s="1">
        <v>44354.60125</v>
      </c>
      <c r="AV1864" t="s">
        <v>71</v>
      </c>
      <c r="AW1864" t="s">
        <v>72</v>
      </c>
      <c r="AX1864" t="s">
        <v>73</v>
      </c>
    </row>
    <row r="1865" spans="1:50" x14ac:dyDescent="0.3">
      <c r="A1865" t="str">
        <f>"202369B0000"</f>
        <v>202369B0000</v>
      </c>
      <c r="B1865" t="str">
        <f>"202369B00002"</f>
        <v>202369B00002</v>
      </c>
      <c r="C1865" t="str">
        <f t="shared" si="91"/>
        <v>20</v>
      </c>
      <c r="D1865" t="s">
        <v>67</v>
      </c>
      <c r="E1865" t="str">
        <f t="shared" si="92"/>
        <v>008</v>
      </c>
      <c r="F1865" t="s">
        <v>1759</v>
      </c>
      <c r="G1865" t="str">
        <f>"2369"</f>
        <v>2369</v>
      </c>
      <c r="H1865" t="str">
        <f>"0000"</f>
        <v>0000</v>
      </c>
      <c r="I1865" t="s">
        <v>69</v>
      </c>
      <c r="J1865">
        <v>0</v>
      </c>
      <c r="K1865">
        <v>1</v>
      </c>
      <c r="L1865">
        <v>2</v>
      </c>
      <c r="M1865">
        <v>217</v>
      </c>
      <c r="N1865">
        <v>341</v>
      </c>
      <c r="O1865">
        <v>9</v>
      </c>
      <c r="P1865">
        <v>341</v>
      </c>
      <c r="Q1865">
        <v>8</v>
      </c>
      <c r="R1865">
        <v>56</v>
      </c>
      <c r="S1865">
        <v>4</v>
      </c>
      <c r="T1865">
        <v>23</v>
      </c>
      <c r="U1865">
        <v>65</v>
      </c>
      <c r="V1865">
        <v>4</v>
      </c>
      <c r="W1865">
        <v>16</v>
      </c>
      <c r="X1865">
        <v>111</v>
      </c>
      <c r="Y1865">
        <v>4</v>
      </c>
      <c r="Z1865">
        <v>20</v>
      </c>
      <c r="AA1865">
        <v>7</v>
      </c>
      <c r="AB1865">
        <v>8</v>
      </c>
      <c r="AD1865">
        <v>2</v>
      </c>
      <c r="AE1865">
        <v>1</v>
      </c>
      <c r="AF1865">
        <v>0</v>
      </c>
      <c r="AG1865">
        <v>0</v>
      </c>
      <c r="AI1865">
        <v>0</v>
      </c>
      <c r="AJ1865">
        <v>12</v>
      </c>
      <c r="AK1865">
        <v>341</v>
      </c>
      <c r="AL1865">
        <v>341</v>
      </c>
      <c r="AM1865">
        <v>512</v>
      </c>
      <c r="AN1865">
        <v>46</v>
      </c>
      <c r="AP1865">
        <v>1</v>
      </c>
      <c r="AR1865" t="s">
        <v>1954</v>
      </c>
      <c r="AS1865" s="1">
        <v>44354.065972222219</v>
      </c>
      <c r="AT1865" s="1">
        <v>44354.072187500002</v>
      </c>
      <c r="AU1865" s="1">
        <v>44354.072939814818</v>
      </c>
      <c r="AV1865" t="s">
        <v>71</v>
      </c>
      <c r="AW1865" t="s">
        <v>72</v>
      </c>
      <c r="AX1865" t="s">
        <v>73</v>
      </c>
    </row>
    <row r="1866" spans="1:50" x14ac:dyDescent="0.3">
      <c r="A1866" t="str">
        <f>"202369C0100"</f>
        <v>202369C0100</v>
      </c>
      <c r="B1866" t="str">
        <f>"202369C01002"</f>
        <v>202369C01002</v>
      </c>
      <c r="C1866" t="str">
        <f t="shared" si="91"/>
        <v>20</v>
      </c>
      <c r="D1866" t="s">
        <v>67</v>
      </c>
      <c r="E1866" t="str">
        <f t="shared" si="92"/>
        <v>008</v>
      </c>
      <c r="F1866" t="s">
        <v>1759</v>
      </c>
      <c r="G1866" t="str">
        <f>"2369"</f>
        <v>2369</v>
      </c>
      <c r="H1866" t="str">
        <f>"0001"</f>
        <v>0001</v>
      </c>
      <c r="I1866" t="s">
        <v>75</v>
      </c>
      <c r="J1866">
        <v>0</v>
      </c>
      <c r="K1866">
        <v>1</v>
      </c>
      <c r="L1866">
        <v>2</v>
      </c>
      <c r="M1866">
        <v>223</v>
      </c>
      <c r="N1866">
        <v>335</v>
      </c>
      <c r="O1866">
        <v>15</v>
      </c>
      <c r="P1866">
        <v>335</v>
      </c>
      <c r="Q1866">
        <v>66</v>
      </c>
      <c r="R1866">
        <v>59</v>
      </c>
      <c r="S1866">
        <v>2</v>
      </c>
      <c r="T1866">
        <v>20</v>
      </c>
      <c r="U1866">
        <v>68</v>
      </c>
      <c r="V1866">
        <v>4</v>
      </c>
      <c r="W1866">
        <v>13</v>
      </c>
      <c r="X1866">
        <v>125</v>
      </c>
      <c r="Y1866">
        <v>4</v>
      </c>
      <c r="Z1866">
        <v>16</v>
      </c>
      <c r="AA1866">
        <v>0</v>
      </c>
      <c r="AB1866">
        <v>11</v>
      </c>
      <c r="AD1866">
        <v>0</v>
      </c>
      <c r="AE1866">
        <v>0</v>
      </c>
      <c r="AF1866">
        <v>0</v>
      </c>
      <c r="AG1866">
        <v>0</v>
      </c>
      <c r="AI1866">
        <v>0</v>
      </c>
      <c r="AJ1866">
        <v>0</v>
      </c>
      <c r="AK1866">
        <v>0</v>
      </c>
      <c r="AL1866">
        <v>388</v>
      </c>
      <c r="AM1866">
        <v>512</v>
      </c>
      <c r="AN1866">
        <v>46</v>
      </c>
      <c r="AP1866">
        <v>1</v>
      </c>
      <c r="AR1866" t="s">
        <v>1955</v>
      </c>
      <c r="AS1866" s="1">
        <v>44354.064583333333</v>
      </c>
      <c r="AT1866" s="1">
        <v>44354.072939814818</v>
      </c>
      <c r="AU1866" s="1">
        <v>44354.073958333334</v>
      </c>
      <c r="AV1866" t="s">
        <v>71</v>
      </c>
      <c r="AW1866" t="s">
        <v>72</v>
      </c>
      <c r="AX1866" t="s">
        <v>73</v>
      </c>
    </row>
    <row r="1867" spans="1:50" x14ac:dyDescent="0.3">
      <c r="A1867" t="str">
        <f>"202369C0200"</f>
        <v>202369C0200</v>
      </c>
      <c r="B1867" t="str">
        <f>"202369C02002"</f>
        <v>202369C02002</v>
      </c>
      <c r="C1867" t="str">
        <f t="shared" si="91"/>
        <v>20</v>
      </c>
      <c r="D1867" t="s">
        <v>67</v>
      </c>
      <c r="E1867" t="str">
        <f t="shared" si="92"/>
        <v>008</v>
      </c>
      <c r="F1867" t="s">
        <v>1759</v>
      </c>
      <c r="G1867" t="str">
        <f>"2369"</f>
        <v>2369</v>
      </c>
      <c r="H1867" t="str">
        <f>"0002"</f>
        <v>0002</v>
      </c>
      <c r="I1867" t="s">
        <v>75</v>
      </c>
      <c r="J1867">
        <v>0</v>
      </c>
      <c r="K1867">
        <v>1</v>
      </c>
      <c r="L1867">
        <v>2</v>
      </c>
      <c r="M1867">
        <v>236</v>
      </c>
      <c r="N1867">
        <v>321</v>
      </c>
      <c r="O1867">
        <v>11</v>
      </c>
      <c r="P1867">
        <v>321</v>
      </c>
      <c r="Q1867">
        <v>10</v>
      </c>
      <c r="R1867">
        <v>42</v>
      </c>
      <c r="S1867">
        <v>3</v>
      </c>
      <c r="T1867">
        <v>20</v>
      </c>
      <c r="U1867">
        <v>49</v>
      </c>
      <c r="V1867">
        <v>3</v>
      </c>
      <c r="W1867">
        <v>17</v>
      </c>
      <c r="X1867">
        <v>122</v>
      </c>
      <c r="Y1867">
        <v>9</v>
      </c>
      <c r="Z1867">
        <v>23</v>
      </c>
      <c r="AA1867">
        <v>4</v>
      </c>
      <c r="AB1867">
        <v>6</v>
      </c>
      <c r="AD1867">
        <v>2</v>
      </c>
      <c r="AE1867">
        <v>0</v>
      </c>
      <c r="AF1867">
        <v>0</v>
      </c>
      <c r="AG1867">
        <v>0</v>
      </c>
      <c r="AI1867">
        <v>0</v>
      </c>
      <c r="AJ1867">
        <v>11</v>
      </c>
      <c r="AK1867">
        <v>321</v>
      </c>
      <c r="AL1867">
        <v>321</v>
      </c>
      <c r="AM1867">
        <v>511</v>
      </c>
      <c r="AN1867">
        <v>46</v>
      </c>
      <c r="AP1867">
        <v>1</v>
      </c>
      <c r="AR1867" t="s">
        <v>1956</v>
      </c>
      <c r="AS1867" s="1">
        <v>44354.064583333333</v>
      </c>
      <c r="AT1867" s="1">
        <v>44354.0700462963</v>
      </c>
      <c r="AU1867" s="1">
        <v>44354.070856481485</v>
      </c>
      <c r="AV1867" t="s">
        <v>71</v>
      </c>
      <c r="AW1867" t="s">
        <v>72</v>
      </c>
      <c r="AX1867" t="s">
        <v>73</v>
      </c>
    </row>
    <row r="1868" spans="1:50" x14ac:dyDescent="0.3">
      <c r="A1868" t="str">
        <f>"202370B0000"</f>
        <v>202370B0000</v>
      </c>
      <c r="B1868" t="str">
        <f>"202370B00002"</f>
        <v>202370B00002</v>
      </c>
      <c r="C1868" t="str">
        <f t="shared" si="91"/>
        <v>20</v>
      </c>
      <c r="D1868" t="s">
        <v>67</v>
      </c>
      <c r="E1868" t="str">
        <f t="shared" si="92"/>
        <v>008</v>
      </c>
      <c r="F1868" t="s">
        <v>1759</v>
      </c>
      <c r="G1868" t="str">
        <f>"2370"</f>
        <v>2370</v>
      </c>
      <c r="H1868" t="str">
        <f>"0000"</f>
        <v>0000</v>
      </c>
      <c r="I1868" t="s">
        <v>69</v>
      </c>
      <c r="J1868">
        <v>0</v>
      </c>
      <c r="K1868">
        <v>1</v>
      </c>
      <c r="L1868">
        <v>2</v>
      </c>
      <c r="M1868">
        <v>207</v>
      </c>
      <c r="N1868">
        <v>373</v>
      </c>
      <c r="O1868">
        <v>11</v>
      </c>
      <c r="P1868">
        <v>373</v>
      </c>
      <c r="Q1868">
        <v>10</v>
      </c>
      <c r="R1868">
        <v>79</v>
      </c>
      <c r="S1868">
        <v>7</v>
      </c>
      <c r="T1868">
        <v>26</v>
      </c>
      <c r="U1868">
        <v>67</v>
      </c>
      <c r="V1868">
        <v>7</v>
      </c>
      <c r="W1868">
        <v>8</v>
      </c>
      <c r="X1868">
        <v>131</v>
      </c>
      <c r="Y1868">
        <v>5</v>
      </c>
      <c r="Z1868">
        <v>9</v>
      </c>
      <c r="AA1868">
        <v>1</v>
      </c>
      <c r="AB1868">
        <v>12</v>
      </c>
      <c r="AD1868">
        <v>0</v>
      </c>
      <c r="AE1868">
        <v>0</v>
      </c>
      <c r="AF1868">
        <v>0</v>
      </c>
      <c r="AG1868">
        <v>0</v>
      </c>
      <c r="AI1868">
        <v>0</v>
      </c>
      <c r="AJ1868">
        <v>11</v>
      </c>
      <c r="AK1868">
        <v>373</v>
      </c>
      <c r="AL1868">
        <v>373</v>
      </c>
      <c r="AM1868">
        <v>534</v>
      </c>
      <c r="AN1868">
        <v>46</v>
      </c>
      <c r="AP1868">
        <v>1</v>
      </c>
      <c r="AR1868" t="s">
        <v>1957</v>
      </c>
      <c r="AS1868" s="1">
        <v>44354.571527777778</v>
      </c>
      <c r="AT1868" s="1">
        <v>44354.573958333334</v>
      </c>
      <c r="AU1868" s="1">
        <v>44354.574583333335</v>
      </c>
      <c r="AV1868" t="s">
        <v>71</v>
      </c>
      <c r="AW1868" t="s">
        <v>72</v>
      </c>
      <c r="AX1868" t="s">
        <v>73</v>
      </c>
    </row>
    <row r="1869" spans="1:50" x14ac:dyDescent="0.3">
      <c r="A1869" t="str">
        <f>"202370C0100"</f>
        <v>202370C0100</v>
      </c>
      <c r="B1869" t="str">
        <f>"202370C01002"</f>
        <v>202370C01002</v>
      </c>
      <c r="C1869" t="str">
        <f t="shared" si="91"/>
        <v>20</v>
      </c>
      <c r="D1869" t="s">
        <v>67</v>
      </c>
      <c r="E1869" t="str">
        <f t="shared" si="92"/>
        <v>008</v>
      </c>
      <c r="F1869" t="s">
        <v>1759</v>
      </c>
      <c r="G1869" t="str">
        <f>"2370"</f>
        <v>2370</v>
      </c>
      <c r="H1869" t="str">
        <f>"0001"</f>
        <v>0001</v>
      </c>
      <c r="I1869" t="s">
        <v>75</v>
      </c>
      <c r="J1869">
        <v>0</v>
      </c>
      <c r="K1869">
        <v>1</v>
      </c>
      <c r="L1869">
        <v>2</v>
      </c>
      <c r="M1869">
        <v>237</v>
      </c>
      <c r="N1869">
        <v>343</v>
      </c>
      <c r="O1869">
        <v>11</v>
      </c>
      <c r="P1869">
        <v>343</v>
      </c>
      <c r="Q1869">
        <v>8</v>
      </c>
      <c r="R1869">
        <v>46</v>
      </c>
      <c r="S1869">
        <v>8</v>
      </c>
      <c r="T1869">
        <v>25</v>
      </c>
      <c r="U1869">
        <v>73</v>
      </c>
      <c r="V1869">
        <v>7</v>
      </c>
      <c r="W1869">
        <v>6</v>
      </c>
      <c r="X1869">
        <v>112</v>
      </c>
      <c r="Y1869">
        <v>3</v>
      </c>
      <c r="Z1869">
        <v>26</v>
      </c>
      <c r="AA1869">
        <v>2</v>
      </c>
      <c r="AB1869">
        <v>15</v>
      </c>
      <c r="AD1869">
        <v>1</v>
      </c>
      <c r="AE1869">
        <v>1</v>
      </c>
      <c r="AF1869">
        <v>0</v>
      </c>
      <c r="AG1869">
        <v>0</v>
      </c>
      <c r="AI1869">
        <v>1</v>
      </c>
      <c r="AJ1869">
        <v>9</v>
      </c>
      <c r="AK1869">
        <v>343</v>
      </c>
      <c r="AL1869">
        <v>343</v>
      </c>
      <c r="AM1869">
        <v>534</v>
      </c>
      <c r="AN1869">
        <v>46</v>
      </c>
      <c r="AP1869">
        <v>1</v>
      </c>
      <c r="AR1869" t="s">
        <v>1958</v>
      </c>
      <c r="AS1869" s="1">
        <v>44353.969444444447</v>
      </c>
      <c r="AT1869" s="1">
        <v>44353.972245370373</v>
      </c>
      <c r="AU1869" s="1">
        <v>44353.972731481481</v>
      </c>
      <c r="AV1869" t="s">
        <v>71</v>
      </c>
      <c r="AW1869" t="s">
        <v>72</v>
      </c>
      <c r="AX1869" t="s">
        <v>73</v>
      </c>
    </row>
    <row r="1870" spans="1:50" x14ac:dyDescent="0.3">
      <c r="A1870" t="str">
        <f>"202371B0000"</f>
        <v>202371B0000</v>
      </c>
      <c r="B1870" t="str">
        <f>"202371B00002"</f>
        <v>202371B00002</v>
      </c>
      <c r="C1870" t="str">
        <f t="shared" si="91"/>
        <v>20</v>
      </c>
      <c r="D1870" t="s">
        <v>67</v>
      </c>
      <c r="E1870" t="str">
        <f t="shared" si="92"/>
        <v>008</v>
      </c>
      <c r="F1870" t="s">
        <v>1759</v>
      </c>
      <c r="G1870" t="str">
        <f>"2371"</f>
        <v>2371</v>
      </c>
      <c r="H1870" t="str">
        <f>"0000"</f>
        <v>0000</v>
      </c>
      <c r="I1870" t="s">
        <v>69</v>
      </c>
      <c r="J1870">
        <v>0</v>
      </c>
      <c r="K1870">
        <v>1</v>
      </c>
      <c r="L1870">
        <v>2</v>
      </c>
      <c r="M1870">
        <v>236</v>
      </c>
      <c r="N1870">
        <v>384</v>
      </c>
      <c r="O1870">
        <v>12</v>
      </c>
      <c r="P1870">
        <v>384</v>
      </c>
      <c r="Q1870">
        <v>6</v>
      </c>
      <c r="R1870">
        <v>51</v>
      </c>
      <c r="S1870">
        <v>5</v>
      </c>
      <c r="T1870">
        <v>30</v>
      </c>
      <c r="U1870">
        <v>77</v>
      </c>
      <c r="V1870">
        <v>4</v>
      </c>
      <c r="W1870">
        <v>4</v>
      </c>
      <c r="X1870">
        <v>145</v>
      </c>
      <c r="Y1870">
        <v>3</v>
      </c>
      <c r="Z1870">
        <v>27</v>
      </c>
      <c r="AA1870">
        <v>4</v>
      </c>
      <c r="AB1870">
        <v>11</v>
      </c>
      <c r="AD1870">
        <v>1</v>
      </c>
      <c r="AE1870">
        <v>1</v>
      </c>
      <c r="AF1870">
        <v>0</v>
      </c>
      <c r="AG1870">
        <v>0</v>
      </c>
      <c r="AI1870">
        <v>0</v>
      </c>
      <c r="AJ1870">
        <v>15</v>
      </c>
      <c r="AK1870">
        <v>384</v>
      </c>
      <c r="AL1870">
        <v>384</v>
      </c>
      <c r="AM1870">
        <v>574</v>
      </c>
      <c r="AN1870">
        <v>46</v>
      </c>
      <c r="AP1870">
        <v>1</v>
      </c>
      <c r="AR1870" t="s">
        <v>1959</v>
      </c>
      <c r="AS1870" s="1">
        <v>44354.076388888891</v>
      </c>
      <c r="AT1870" s="1">
        <v>44354.083252314813</v>
      </c>
      <c r="AU1870" s="1">
        <v>44354.083738425928</v>
      </c>
      <c r="AV1870" t="s">
        <v>71</v>
      </c>
      <c r="AW1870" t="s">
        <v>72</v>
      </c>
      <c r="AX1870" t="s">
        <v>73</v>
      </c>
    </row>
    <row r="1871" spans="1:50" x14ac:dyDescent="0.3">
      <c r="A1871" t="str">
        <f>"202371C0100"</f>
        <v>202371C0100</v>
      </c>
      <c r="B1871" t="str">
        <f>"202371C01002"</f>
        <v>202371C01002</v>
      </c>
      <c r="C1871" t="str">
        <f t="shared" si="91"/>
        <v>20</v>
      </c>
      <c r="D1871" t="s">
        <v>67</v>
      </c>
      <c r="E1871" t="str">
        <f t="shared" si="92"/>
        <v>008</v>
      </c>
      <c r="F1871" t="s">
        <v>1759</v>
      </c>
      <c r="G1871" t="str">
        <f>"2371"</f>
        <v>2371</v>
      </c>
      <c r="H1871" t="str">
        <f>"0001"</f>
        <v>0001</v>
      </c>
      <c r="I1871" t="s">
        <v>75</v>
      </c>
      <c r="J1871">
        <v>0</v>
      </c>
      <c r="K1871">
        <v>1</v>
      </c>
      <c r="L1871">
        <v>2</v>
      </c>
      <c r="M1871">
        <v>222</v>
      </c>
      <c r="N1871">
        <v>398</v>
      </c>
      <c r="O1871">
        <v>12</v>
      </c>
      <c r="P1871">
        <v>398</v>
      </c>
      <c r="Q1871">
        <v>6</v>
      </c>
      <c r="R1871">
        <v>55</v>
      </c>
      <c r="S1871">
        <v>11</v>
      </c>
      <c r="T1871">
        <v>23</v>
      </c>
      <c r="U1871">
        <v>100</v>
      </c>
      <c r="V1871">
        <v>4</v>
      </c>
      <c r="W1871">
        <v>7</v>
      </c>
      <c r="X1871">
        <v>128</v>
      </c>
      <c r="Y1871">
        <v>4</v>
      </c>
      <c r="Z1871">
        <v>22</v>
      </c>
      <c r="AA1871">
        <v>4</v>
      </c>
      <c r="AB1871">
        <v>16</v>
      </c>
      <c r="AD1871">
        <v>0</v>
      </c>
      <c r="AE1871">
        <v>0</v>
      </c>
      <c r="AF1871">
        <v>0</v>
      </c>
      <c r="AG1871">
        <v>1</v>
      </c>
      <c r="AI1871">
        <v>0</v>
      </c>
      <c r="AJ1871">
        <v>17</v>
      </c>
      <c r="AK1871">
        <v>398</v>
      </c>
      <c r="AL1871">
        <v>398</v>
      </c>
      <c r="AM1871">
        <v>574</v>
      </c>
      <c r="AN1871">
        <v>46</v>
      </c>
      <c r="AP1871">
        <v>1</v>
      </c>
      <c r="AR1871" t="s">
        <v>1960</v>
      </c>
      <c r="AS1871" s="1">
        <v>44353.999305555553</v>
      </c>
      <c r="AT1871" s="1">
        <v>44354.009027777778</v>
      </c>
      <c r="AU1871" s="1">
        <v>44354.009375000001</v>
      </c>
      <c r="AV1871" t="s">
        <v>71</v>
      </c>
      <c r="AW1871" t="s">
        <v>72</v>
      </c>
      <c r="AX1871" t="s">
        <v>73</v>
      </c>
    </row>
    <row r="1872" spans="1:50" x14ac:dyDescent="0.3">
      <c r="A1872" t="str">
        <f>"202371C0200"</f>
        <v>202371C0200</v>
      </c>
      <c r="B1872" t="str">
        <f>"202371C02002"</f>
        <v>202371C02002</v>
      </c>
      <c r="C1872" t="str">
        <f t="shared" si="91"/>
        <v>20</v>
      </c>
      <c r="D1872" t="s">
        <v>67</v>
      </c>
      <c r="E1872" t="str">
        <f t="shared" si="92"/>
        <v>008</v>
      </c>
      <c r="F1872" t="s">
        <v>1759</v>
      </c>
      <c r="G1872" t="str">
        <f>"2371"</f>
        <v>2371</v>
      </c>
      <c r="H1872" t="str">
        <f>"0002"</f>
        <v>0002</v>
      </c>
      <c r="I1872" t="s">
        <v>75</v>
      </c>
      <c r="J1872">
        <v>0</v>
      </c>
      <c r="K1872">
        <v>1</v>
      </c>
      <c r="L1872">
        <v>2</v>
      </c>
      <c r="M1872">
        <v>231</v>
      </c>
      <c r="N1872">
        <v>388</v>
      </c>
      <c r="O1872">
        <v>12</v>
      </c>
      <c r="P1872">
        <v>388</v>
      </c>
      <c r="Q1872">
        <v>7</v>
      </c>
      <c r="R1872">
        <v>49</v>
      </c>
      <c r="S1872">
        <v>10</v>
      </c>
      <c r="T1872">
        <v>19</v>
      </c>
      <c r="U1872">
        <v>102</v>
      </c>
      <c r="V1872">
        <v>5</v>
      </c>
      <c r="W1872">
        <v>6</v>
      </c>
      <c r="X1872">
        <v>128</v>
      </c>
      <c r="Y1872">
        <v>3</v>
      </c>
      <c r="Z1872">
        <v>25</v>
      </c>
      <c r="AA1872">
        <v>3</v>
      </c>
      <c r="AB1872">
        <v>17</v>
      </c>
      <c r="AD1872">
        <v>2</v>
      </c>
      <c r="AE1872">
        <v>0</v>
      </c>
      <c r="AF1872">
        <v>0</v>
      </c>
      <c r="AG1872">
        <v>0</v>
      </c>
      <c r="AI1872">
        <v>0</v>
      </c>
      <c r="AJ1872">
        <v>12</v>
      </c>
      <c r="AK1872">
        <v>388</v>
      </c>
      <c r="AL1872">
        <v>388</v>
      </c>
      <c r="AM1872">
        <v>573</v>
      </c>
      <c r="AN1872">
        <v>46</v>
      </c>
      <c r="AP1872">
        <v>1</v>
      </c>
      <c r="AR1872" t="s">
        <v>1961</v>
      </c>
      <c r="AS1872" s="1">
        <v>44354.076388888891</v>
      </c>
      <c r="AT1872" s="1">
        <v>44354.084120370368</v>
      </c>
      <c r="AU1872" s="1">
        <v>44354.084803240738</v>
      </c>
      <c r="AV1872" t="s">
        <v>71</v>
      </c>
      <c r="AW1872" t="s">
        <v>72</v>
      </c>
      <c r="AX1872" t="s">
        <v>73</v>
      </c>
    </row>
    <row r="1873" spans="1:50" x14ac:dyDescent="0.3">
      <c r="A1873" t="str">
        <f>"202372B0000"</f>
        <v>202372B0000</v>
      </c>
      <c r="B1873" t="str">
        <f>"202372B00002"</f>
        <v>202372B00002</v>
      </c>
      <c r="C1873" t="str">
        <f t="shared" si="91"/>
        <v>20</v>
      </c>
      <c r="D1873" t="s">
        <v>67</v>
      </c>
      <c r="E1873" t="str">
        <f t="shared" si="92"/>
        <v>008</v>
      </c>
      <c r="F1873" t="s">
        <v>1759</v>
      </c>
      <c r="G1873" t="str">
        <f>"2372"</f>
        <v>2372</v>
      </c>
      <c r="H1873" t="str">
        <f>"0000"</f>
        <v>0000</v>
      </c>
      <c r="I1873" t="s">
        <v>69</v>
      </c>
      <c r="J1873">
        <v>0</v>
      </c>
      <c r="K1873">
        <v>1</v>
      </c>
      <c r="L1873">
        <v>2</v>
      </c>
      <c r="M1873" t="s">
        <v>80</v>
      </c>
      <c r="N1873" t="s">
        <v>80</v>
      </c>
      <c r="O1873" t="s">
        <v>80</v>
      </c>
      <c r="P1873" t="s">
        <v>80</v>
      </c>
      <c r="Q1873" t="s">
        <v>77</v>
      </c>
      <c r="R1873" t="s">
        <v>77</v>
      </c>
      <c r="S1873" t="s">
        <v>77</v>
      </c>
      <c r="T1873" t="s">
        <v>77</v>
      </c>
      <c r="U1873" t="s">
        <v>77</v>
      </c>
      <c r="V1873" t="s">
        <v>77</v>
      </c>
      <c r="W1873" t="s">
        <v>77</v>
      </c>
      <c r="X1873" t="s">
        <v>77</v>
      </c>
      <c r="Y1873" t="s">
        <v>77</v>
      </c>
      <c r="Z1873" t="s">
        <v>77</v>
      </c>
      <c r="AA1873" t="s">
        <v>77</v>
      </c>
      <c r="AB1873" t="s">
        <v>77</v>
      </c>
      <c r="AD1873" t="s">
        <v>77</v>
      </c>
      <c r="AE1873" t="s">
        <v>77</v>
      </c>
      <c r="AF1873" t="s">
        <v>77</v>
      </c>
      <c r="AG1873" t="s">
        <v>77</v>
      </c>
      <c r="AI1873" t="s">
        <v>77</v>
      </c>
      <c r="AJ1873" t="s">
        <v>77</v>
      </c>
      <c r="AM1873">
        <v>693</v>
      </c>
      <c r="AN1873">
        <v>46</v>
      </c>
      <c r="AO1873" t="s">
        <v>392</v>
      </c>
      <c r="AP1873">
        <v>0</v>
      </c>
      <c r="AR1873" t="s">
        <v>1962</v>
      </c>
      <c r="AS1873" s="1">
        <v>44353.965451388889</v>
      </c>
      <c r="AT1873" s="1">
        <v>44353.966944444444</v>
      </c>
      <c r="AU1873" s="1">
        <v>44353.996539351851</v>
      </c>
      <c r="AV1873" t="s">
        <v>269</v>
      </c>
      <c r="AW1873" t="s">
        <v>270</v>
      </c>
      <c r="AX1873" t="s">
        <v>73</v>
      </c>
    </row>
    <row r="1874" spans="1:50" x14ac:dyDescent="0.3">
      <c r="A1874" t="str">
        <f>"202372C0100"</f>
        <v>202372C0100</v>
      </c>
      <c r="B1874" t="str">
        <f>"202372C01002"</f>
        <v>202372C01002</v>
      </c>
      <c r="C1874" t="str">
        <f t="shared" si="91"/>
        <v>20</v>
      </c>
      <c r="D1874" t="s">
        <v>67</v>
      </c>
      <c r="E1874" t="str">
        <f t="shared" si="92"/>
        <v>008</v>
      </c>
      <c r="F1874" t="s">
        <v>1759</v>
      </c>
      <c r="G1874" t="str">
        <f>"2372"</f>
        <v>2372</v>
      </c>
      <c r="H1874" t="str">
        <f>"0001"</f>
        <v>0001</v>
      </c>
      <c r="I1874" t="s">
        <v>75</v>
      </c>
      <c r="J1874">
        <v>0</v>
      </c>
      <c r="K1874">
        <v>1</v>
      </c>
      <c r="L1874">
        <v>2</v>
      </c>
      <c r="M1874">
        <v>269</v>
      </c>
      <c r="N1874">
        <v>470</v>
      </c>
      <c r="O1874">
        <v>14</v>
      </c>
      <c r="P1874">
        <v>470</v>
      </c>
      <c r="Q1874">
        <v>8</v>
      </c>
      <c r="R1874">
        <v>73</v>
      </c>
      <c r="S1874">
        <v>10</v>
      </c>
      <c r="T1874">
        <v>12</v>
      </c>
      <c r="U1874">
        <v>93</v>
      </c>
      <c r="V1874">
        <v>7</v>
      </c>
      <c r="W1874">
        <v>10</v>
      </c>
      <c r="X1874">
        <v>191</v>
      </c>
      <c r="Y1874">
        <v>6</v>
      </c>
      <c r="Z1874">
        <v>25</v>
      </c>
      <c r="AA1874">
        <v>2</v>
      </c>
      <c r="AB1874">
        <v>16</v>
      </c>
      <c r="AD1874">
        <v>1</v>
      </c>
      <c r="AE1874">
        <v>0</v>
      </c>
      <c r="AF1874">
        <v>0</v>
      </c>
      <c r="AG1874">
        <v>0</v>
      </c>
      <c r="AI1874">
        <v>0</v>
      </c>
      <c r="AJ1874">
        <v>16</v>
      </c>
      <c r="AK1874">
        <v>470</v>
      </c>
      <c r="AL1874">
        <v>470</v>
      </c>
      <c r="AM1874">
        <v>693</v>
      </c>
      <c r="AN1874">
        <v>46</v>
      </c>
      <c r="AP1874">
        <v>1</v>
      </c>
      <c r="AR1874" t="s">
        <v>1963</v>
      </c>
      <c r="AS1874" s="1">
        <v>44354.007118055553</v>
      </c>
      <c r="AT1874" s="1">
        <v>44354.012476851851</v>
      </c>
      <c r="AU1874" s="1">
        <v>44354.013043981482</v>
      </c>
      <c r="AV1874" t="s">
        <v>269</v>
      </c>
      <c r="AW1874" t="s">
        <v>270</v>
      </c>
      <c r="AX1874" t="s">
        <v>73</v>
      </c>
    </row>
    <row r="1875" spans="1:50" x14ac:dyDescent="0.3">
      <c r="A1875" t="str">
        <f>"202373B0000"</f>
        <v>202373B0000</v>
      </c>
      <c r="B1875" t="str">
        <f>"202373B00002"</f>
        <v>202373B00002</v>
      </c>
      <c r="C1875" t="str">
        <f t="shared" si="91"/>
        <v>20</v>
      </c>
      <c r="D1875" t="s">
        <v>67</v>
      </c>
      <c r="E1875" t="str">
        <f t="shared" si="92"/>
        <v>008</v>
      </c>
      <c r="F1875" t="s">
        <v>1759</v>
      </c>
      <c r="G1875" t="str">
        <f t="shared" ref="G1875:G1881" si="93">"2373"</f>
        <v>2373</v>
      </c>
      <c r="H1875" t="str">
        <f>"0000"</f>
        <v>0000</v>
      </c>
      <c r="I1875" t="s">
        <v>69</v>
      </c>
      <c r="J1875">
        <v>0</v>
      </c>
      <c r="K1875">
        <v>1</v>
      </c>
      <c r="L1875">
        <v>2</v>
      </c>
      <c r="M1875">
        <v>291</v>
      </c>
      <c r="N1875">
        <v>409</v>
      </c>
      <c r="O1875">
        <v>9</v>
      </c>
      <c r="P1875">
        <v>410</v>
      </c>
      <c r="Q1875">
        <v>4</v>
      </c>
      <c r="R1875">
        <v>52</v>
      </c>
      <c r="S1875">
        <v>4</v>
      </c>
      <c r="T1875">
        <v>13</v>
      </c>
      <c r="U1875">
        <v>113</v>
      </c>
      <c r="V1875">
        <v>3</v>
      </c>
      <c r="W1875">
        <v>6</v>
      </c>
      <c r="X1875">
        <v>149</v>
      </c>
      <c r="Y1875">
        <v>4</v>
      </c>
      <c r="Z1875">
        <v>24</v>
      </c>
      <c r="AA1875">
        <v>4</v>
      </c>
      <c r="AB1875">
        <v>23</v>
      </c>
      <c r="AD1875">
        <v>0</v>
      </c>
      <c r="AE1875">
        <v>1</v>
      </c>
      <c r="AF1875">
        <v>0</v>
      </c>
      <c r="AG1875">
        <v>1</v>
      </c>
      <c r="AI1875">
        <v>0</v>
      </c>
      <c r="AJ1875">
        <v>9</v>
      </c>
      <c r="AK1875">
        <v>410</v>
      </c>
      <c r="AL1875">
        <v>410</v>
      </c>
      <c r="AM1875">
        <v>655</v>
      </c>
      <c r="AN1875">
        <v>46</v>
      </c>
      <c r="AP1875">
        <v>1</v>
      </c>
      <c r="AR1875" t="s">
        <v>1964</v>
      </c>
      <c r="AS1875" s="1">
        <v>44353.96912037037</v>
      </c>
      <c r="AT1875" s="1">
        <v>44353.970636574071</v>
      </c>
      <c r="AU1875" s="1">
        <v>44353.971168981479</v>
      </c>
      <c r="AV1875" t="s">
        <v>269</v>
      </c>
      <c r="AW1875" t="s">
        <v>270</v>
      </c>
      <c r="AX1875" t="s">
        <v>73</v>
      </c>
    </row>
    <row r="1876" spans="1:50" x14ac:dyDescent="0.3">
      <c r="A1876" t="str">
        <f>"202373C0100"</f>
        <v>202373C0100</v>
      </c>
      <c r="B1876" t="str">
        <f>"202373C01002"</f>
        <v>202373C01002</v>
      </c>
      <c r="C1876" t="str">
        <f t="shared" si="91"/>
        <v>20</v>
      </c>
      <c r="D1876" t="s">
        <v>67</v>
      </c>
      <c r="E1876" t="str">
        <f t="shared" si="92"/>
        <v>008</v>
      </c>
      <c r="F1876" t="s">
        <v>1759</v>
      </c>
      <c r="G1876" t="str">
        <f t="shared" si="93"/>
        <v>2373</v>
      </c>
      <c r="H1876" t="str">
        <f>"0001"</f>
        <v>0001</v>
      </c>
      <c r="I1876" t="s">
        <v>75</v>
      </c>
      <c r="J1876">
        <v>0</v>
      </c>
      <c r="K1876">
        <v>1</v>
      </c>
      <c r="L1876">
        <v>2</v>
      </c>
      <c r="M1876">
        <v>312</v>
      </c>
      <c r="N1876">
        <v>390</v>
      </c>
      <c r="O1876">
        <v>10</v>
      </c>
      <c r="P1876">
        <v>390</v>
      </c>
      <c r="Q1876">
        <v>9</v>
      </c>
      <c r="R1876">
        <v>37</v>
      </c>
      <c r="S1876">
        <v>9</v>
      </c>
      <c r="T1876">
        <v>17</v>
      </c>
      <c r="U1876">
        <v>92</v>
      </c>
      <c r="V1876">
        <v>8</v>
      </c>
      <c r="W1876">
        <v>9</v>
      </c>
      <c r="X1876">
        <v>146</v>
      </c>
      <c r="Y1876">
        <v>2</v>
      </c>
      <c r="Z1876">
        <v>35</v>
      </c>
      <c r="AA1876">
        <v>3</v>
      </c>
      <c r="AB1876">
        <v>12</v>
      </c>
      <c r="AD1876">
        <v>0</v>
      </c>
      <c r="AE1876">
        <v>0</v>
      </c>
      <c r="AF1876">
        <v>0</v>
      </c>
      <c r="AG1876">
        <v>0</v>
      </c>
      <c r="AI1876">
        <v>0</v>
      </c>
      <c r="AJ1876">
        <v>11</v>
      </c>
      <c r="AK1876">
        <v>390</v>
      </c>
      <c r="AL1876">
        <v>390</v>
      </c>
      <c r="AM1876">
        <v>656</v>
      </c>
      <c r="AN1876">
        <v>46</v>
      </c>
      <c r="AP1876">
        <v>1</v>
      </c>
      <c r="AR1876" t="s">
        <v>1965</v>
      </c>
      <c r="AS1876" s="1">
        <v>44353.913078703707</v>
      </c>
      <c r="AT1876" s="1">
        <v>44353.915300925924</v>
      </c>
      <c r="AU1876" s="1">
        <v>44353.915937500002</v>
      </c>
      <c r="AV1876" t="s">
        <v>269</v>
      </c>
      <c r="AW1876" t="s">
        <v>270</v>
      </c>
      <c r="AX1876" t="s">
        <v>73</v>
      </c>
    </row>
    <row r="1877" spans="1:50" x14ac:dyDescent="0.3">
      <c r="A1877" t="str">
        <f>"202373C0200"</f>
        <v>202373C0200</v>
      </c>
      <c r="B1877" t="str">
        <f>"202373C02002"</f>
        <v>202373C02002</v>
      </c>
      <c r="C1877" t="str">
        <f t="shared" si="91"/>
        <v>20</v>
      </c>
      <c r="D1877" t="s">
        <v>67</v>
      </c>
      <c r="E1877" t="str">
        <f t="shared" si="92"/>
        <v>008</v>
      </c>
      <c r="F1877" t="s">
        <v>1759</v>
      </c>
      <c r="G1877" t="str">
        <f t="shared" si="93"/>
        <v>2373</v>
      </c>
      <c r="H1877" t="str">
        <f>"0002"</f>
        <v>0002</v>
      </c>
      <c r="I1877" t="s">
        <v>75</v>
      </c>
      <c r="J1877">
        <v>0</v>
      </c>
      <c r="K1877">
        <v>1</v>
      </c>
      <c r="L1877">
        <v>2</v>
      </c>
      <c r="M1877">
        <v>317</v>
      </c>
      <c r="N1877">
        <v>385</v>
      </c>
      <c r="O1877">
        <v>15</v>
      </c>
      <c r="P1877">
        <v>385</v>
      </c>
      <c r="Q1877">
        <v>7</v>
      </c>
      <c r="R1877">
        <v>26</v>
      </c>
      <c r="S1877">
        <v>5</v>
      </c>
      <c r="T1877">
        <v>22</v>
      </c>
      <c r="U1877">
        <v>97</v>
      </c>
      <c r="V1877">
        <v>0</v>
      </c>
      <c r="W1877">
        <v>6</v>
      </c>
      <c r="X1877">
        <v>164</v>
      </c>
      <c r="Y1877">
        <v>3</v>
      </c>
      <c r="Z1877">
        <v>25</v>
      </c>
      <c r="AA1877">
        <v>1</v>
      </c>
      <c r="AB1877">
        <v>20</v>
      </c>
      <c r="AD1877">
        <v>0</v>
      </c>
      <c r="AE1877">
        <v>0</v>
      </c>
      <c r="AF1877">
        <v>0</v>
      </c>
      <c r="AG1877">
        <v>0</v>
      </c>
      <c r="AI1877">
        <v>0</v>
      </c>
      <c r="AJ1877">
        <v>0</v>
      </c>
      <c r="AK1877">
        <v>0</v>
      </c>
      <c r="AL1877">
        <v>376</v>
      </c>
      <c r="AM1877">
        <v>656</v>
      </c>
      <c r="AN1877">
        <v>46</v>
      </c>
      <c r="AP1877">
        <v>1</v>
      </c>
      <c r="AR1877" t="s">
        <v>1966</v>
      </c>
      <c r="AS1877" s="1">
        <v>44353.921319444446</v>
      </c>
      <c r="AT1877" s="1">
        <v>44353.923356481479</v>
      </c>
      <c r="AU1877" s="1">
        <v>44353.924560185187</v>
      </c>
      <c r="AV1877" t="s">
        <v>269</v>
      </c>
      <c r="AW1877" t="s">
        <v>270</v>
      </c>
      <c r="AX1877" t="s">
        <v>73</v>
      </c>
    </row>
    <row r="1878" spans="1:50" x14ac:dyDescent="0.3">
      <c r="A1878" t="str">
        <f>"202373C0300"</f>
        <v>202373C0300</v>
      </c>
      <c r="B1878" t="str">
        <f>"202373C03002"</f>
        <v>202373C03002</v>
      </c>
      <c r="C1878" t="str">
        <f t="shared" si="91"/>
        <v>20</v>
      </c>
      <c r="D1878" t="s">
        <v>67</v>
      </c>
      <c r="E1878" t="str">
        <f t="shared" si="92"/>
        <v>008</v>
      </c>
      <c r="F1878" t="s">
        <v>1759</v>
      </c>
      <c r="G1878" t="str">
        <f t="shared" si="93"/>
        <v>2373</v>
      </c>
      <c r="H1878" t="str">
        <f>"0003"</f>
        <v>0003</v>
      </c>
      <c r="I1878" t="s">
        <v>75</v>
      </c>
      <c r="J1878">
        <v>0</v>
      </c>
      <c r="K1878">
        <v>1</v>
      </c>
      <c r="L1878">
        <v>2</v>
      </c>
      <c r="M1878">
        <v>280</v>
      </c>
      <c r="N1878">
        <v>421</v>
      </c>
      <c r="O1878">
        <v>17</v>
      </c>
      <c r="P1878" t="s">
        <v>80</v>
      </c>
      <c r="Q1878">
        <v>6</v>
      </c>
      <c r="R1878">
        <v>30</v>
      </c>
      <c r="S1878">
        <v>4</v>
      </c>
      <c r="T1878">
        <v>18</v>
      </c>
      <c r="U1878">
        <v>95</v>
      </c>
      <c r="V1878">
        <v>4</v>
      </c>
      <c r="W1878">
        <v>9</v>
      </c>
      <c r="X1878">
        <v>184</v>
      </c>
      <c r="Y1878">
        <v>2</v>
      </c>
      <c r="Z1878">
        <v>20</v>
      </c>
      <c r="AA1878">
        <v>4</v>
      </c>
      <c r="AB1878">
        <v>26</v>
      </c>
      <c r="AD1878">
        <v>2</v>
      </c>
      <c r="AE1878">
        <v>0</v>
      </c>
      <c r="AF1878">
        <v>0</v>
      </c>
      <c r="AG1878">
        <v>1</v>
      </c>
      <c r="AI1878">
        <v>1</v>
      </c>
      <c r="AJ1878">
        <v>10</v>
      </c>
      <c r="AK1878">
        <v>422</v>
      </c>
      <c r="AL1878">
        <v>416</v>
      </c>
      <c r="AM1878">
        <v>656</v>
      </c>
      <c r="AN1878">
        <v>46</v>
      </c>
      <c r="AP1878">
        <v>1</v>
      </c>
      <c r="AR1878" t="s">
        <v>1967</v>
      </c>
      <c r="AS1878" s="1">
        <v>44353.963599537034</v>
      </c>
      <c r="AT1878" s="1">
        <v>44353.964930555558</v>
      </c>
      <c r="AU1878" s="1">
        <v>44353.966562499998</v>
      </c>
      <c r="AV1878" t="s">
        <v>269</v>
      </c>
      <c r="AW1878" t="s">
        <v>270</v>
      </c>
      <c r="AX1878" t="s">
        <v>73</v>
      </c>
    </row>
    <row r="1879" spans="1:50" x14ac:dyDescent="0.3">
      <c r="A1879" t="str">
        <f>"202373C0400"</f>
        <v>202373C0400</v>
      </c>
      <c r="B1879" t="str">
        <f>"202373C04002"</f>
        <v>202373C04002</v>
      </c>
      <c r="C1879" t="str">
        <f t="shared" si="91"/>
        <v>20</v>
      </c>
      <c r="D1879" t="s">
        <v>67</v>
      </c>
      <c r="E1879" t="str">
        <f t="shared" si="92"/>
        <v>008</v>
      </c>
      <c r="F1879" t="s">
        <v>1759</v>
      </c>
      <c r="G1879" t="str">
        <f t="shared" si="93"/>
        <v>2373</v>
      </c>
      <c r="H1879" t="str">
        <f>"0004"</f>
        <v>0004</v>
      </c>
      <c r="I1879" t="s">
        <v>75</v>
      </c>
      <c r="J1879">
        <v>0</v>
      </c>
      <c r="K1879">
        <v>1</v>
      </c>
      <c r="L1879">
        <v>2</v>
      </c>
      <c r="M1879">
        <v>322</v>
      </c>
      <c r="N1879">
        <v>380</v>
      </c>
      <c r="O1879">
        <v>13</v>
      </c>
      <c r="P1879">
        <v>380</v>
      </c>
      <c r="Q1879">
        <v>6</v>
      </c>
      <c r="R1879">
        <v>36</v>
      </c>
      <c r="S1879">
        <v>7</v>
      </c>
      <c r="T1879">
        <v>18</v>
      </c>
      <c r="U1879">
        <v>97</v>
      </c>
      <c r="V1879">
        <v>4</v>
      </c>
      <c r="W1879">
        <v>6</v>
      </c>
      <c r="X1879">
        <v>140</v>
      </c>
      <c r="Y1879">
        <v>6</v>
      </c>
      <c r="Z1879">
        <v>28</v>
      </c>
      <c r="AA1879">
        <v>2</v>
      </c>
      <c r="AB1879">
        <v>17</v>
      </c>
      <c r="AD1879">
        <v>0</v>
      </c>
      <c r="AE1879">
        <v>0</v>
      </c>
      <c r="AF1879">
        <v>0</v>
      </c>
      <c r="AG1879">
        <v>0</v>
      </c>
      <c r="AI1879">
        <v>0</v>
      </c>
      <c r="AJ1879">
        <v>13</v>
      </c>
      <c r="AK1879">
        <v>380</v>
      </c>
      <c r="AL1879">
        <v>380</v>
      </c>
      <c r="AM1879">
        <v>656</v>
      </c>
      <c r="AN1879">
        <v>46</v>
      </c>
      <c r="AP1879">
        <v>1</v>
      </c>
      <c r="AR1879" t="s">
        <v>1968</v>
      </c>
      <c r="AS1879" s="1">
        <v>44353.942152777781</v>
      </c>
      <c r="AT1879" s="1">
        <v>44353.944050925929</v>
      </c>
      <c r="AU1879" s="1">
        <v>44353.944606481484</v>
      </c>
      <c r="AV1879" t="s">
        <v>269</v>
      </c>
      <c r="AW1879" t="s">
        <v>270</v>
      </c>
      <c r="AX1879" t="s">
        <v>73</v>
      </c>
    </row>
    <row r="1880" spans="1:50" x14ac:dyDescent="0.3">
      <c r="A1880" t="str">
        <f>"202373C0500"</f>
        <v>202373C0500</v>
      </c>
      <c r="B1880" t="str">
        <f>"202373C05002"</f>
        <v>202373C05002</v>
      </c>
      <c r="C1880" t="str">
        <f t="shared" si="91"/>
        <v>20</v>
      </c>
      <c r="D1880" t="s">
        <v>67</v>
      </c>
      <c r="E1880" t="str">
        <f t="shared" si="92"/>
        <v>008</v>
      </c>
      <c r="F1880" t="s">
        <v>1759</v>
      </c>
      <c r="G1880" t="str">
        <f t="shared" si="93"/>
        <v>2373</v>
      </c>
      <c r="H1880" t="str">
        <f>"0005"</f>
        <v>0005</v>
      </c>
      <c r="I1880" t="s">
        <v>75</v>
      </c>
      <c r="J1880">
        <v>0</v>
      </c>
      <c r="K1880">
        <v>1</v>
      </c>
      <c r="L1880">
        <v>2</v>
      </c>
      <c r="M1880">
        <v>315</v>
      </c>
      <c r="N1880">
        <v>387</v>
      </c>
      <c r="O1880">
        <v>2</v>
      </c>
      <c r="P1880">
        <v>387</v>
      </c>
      <c r="Q1880">
        <v>5</v>
      </c>
      <c r="R1880">
        <v>29</v>
      </c>
      <c r="S1880">
        <v>5</v>
      </c>
      <c r="T1880">
        <v>25</v>
      </c>
      <c r="U1880">
        <v>106</v>
      </c>
      <c r="V1880">
        <v>4</v>
      </c>
      <c r="W1880">
        <v>5</v>
      </c>
      <c r="X1880">
        <v>145</v>
      </c>
      <c r="Y1880">
        <v>4</v>
      </c>
      <c r="Z1880">
        <v>30</v>
      </c>
      <c r="AA1880">
        <v>5</v>
      </c>
      <c r="AB1880">
        <v>13</v>
      </c>
      <c r="AD1880">
        <v>2</v>
      </c>
      <c r="AE1880">
        <v>0</v>
      </c>
      <c r="AF1880">
        <v>0</v>
      </c>
      <c r="AG1880">
        <v>0</v>
      </c>
      <c r="AI1880">
        <v>0</v>
      </c>
      <c r="AJ1880">
        <v>9</v>
      </c>
      <c r="AK1880">
        <v>387</v>
      </c>
      <c r="AL1880">
        <v>387</v>
      </c>
      <c r="AM1880">
        <v>656</v>
      </c>
      <c r="AN1880">
        <v>46</v>
      </c>
      <c r="AP1880">
        <v>1</v>
      </c>
      <c r="AR1880" t="s">
        <v>1969</v>
      </c>
      <c r="AS1880" s="1">
        <v>44353.987013888887</v>
      </c>
      <c r="AT1880" s="1">
        <v>44353.988796296297</v>
      </c>
      <c r="AU1880" s="1">
        <v>44353.989398148151</v>
      </c>
      <c r="AV1880" t="s">
        <v>269</v>
      </c>
      <c r="AW1880" t="s">
        <v>270</v>
      </c>
      <c r="AX1880" t="s">
        <v>73</v>
      </c>
    </row>
    <row r="1881" spans="1:50" x14ac:dyDescent="0.3">
      <c r="A1881" t="str">
        <f>"202373E0100"</f>
        <v>202373E0100</v>
      </c>
      <c r="B1881" t="str">
        <f>"202373E01002"</f>
        <v>202373E01002</v>
      </c>
      <c r="C1881" t="str">
        <f t="shared" si="91"/>
        <v>20</v>
      </c>
      <c r="D1881" t="s">
        <v>67</v>
      </c>
      <c r="E1881" t="str">
        <f t="shared" si="92"/>
        <v>008</v>
      </c>
      <c r="F1881" t="s">
        <v>1759</v>
      </c>
      <c r="G1881" t="str">
        <f t="shared" si="93"/>
        <v>2373</v>
      </c>
      <c r="H1881" t="str">
        <f>"0001"</f>
        <v>0001</v>
      </c>
      <c r="I1881" t="s">
        <v>109</v>
      </c>
      <c r="J1881">
        <v>0</v>
      </c>
      <c r="K1881">
        <v>1</v>
      </c>
      <c r="L1881">
        <v>2</v>
      </c>
      <c r="M1881">
        <v>329</v>
      </c>
      <c r="N1881">
        <v>417</v>
      </c>
      <c r="O1881">
        <v>13</v>
      </c>
      <c r="P1881">
        <v>417</v>
      </c>
      <c r="Q1881">
        <v>3</v>
      </c>
      <c r="R1881">
        <v>39</v>
      </c>
      <c r="S1881">
        <v>4</v>
      </c>
      <c r="T1881">
        <v>7</v>
      </c>
      <c r="U1881">
        <v>119</v>
      </c>
      <c r="V1881">
        <v>5</v>
      </c>
      <c r="W1881">
        <v>3</v>
      </c>
      <c r="X1881">
        <v>147</v>
      </c>
      <c r="Y1881">
        <v>11</v>
      </c>
      <c r="Z1881">
        <v>29</v>
      </c>
      <c r="AA1881">
        <v>2</v>
      </c>
      <c r="AB1881">
        <v>30</v>
      </c>
      <c r="AD1881">
        <v>1</v>
      </c>
      <c r="AE1881">
        <v>0</v>
      </c>
      <c r="AF1881">
        <v>0</v>
      </c>
      <c r="AG1881">
        <v>0</v>
      </c>
      <c r="AI1881">
        <v>0</v>
      </c>
      <c r="AJ1881">
        <v>17</v>
      </c>
      <c r="AK1881">
        <v>417</v>
      </c>
      <c r="AL1881">
        <v>417</v>
      </c>
      <c r="AM1881">
        <v>700</v>
      </c>
      <c r="AN1881">
        <v>46</v>
      </c>
      <c r="AP1881">
        <v>1</v>
      </c>
      <c r="AR1881" t="s">
        <v>1970</v>
      </c>
      <c r="AS1881" s="1">
        <v>44354.069444444445</v>
      </c>
      <c r="AT1881" s="1">
        <v>44354.077141203707</v>
      </c>
      <c r="AU1881" s="1">
        <v>44354.077743055554</v>
      </c>
      <c r="AV1881" t="s">
        <v>71</v>
      </c>
      <c r="AW1881" t="s">
        <v>72</v>
      </c>
      <c r="AX1881" t="s">
        <v>73</v>
      </c>
    </row>
    <row r="1882" spans="1:50" x14ac:dyDescent="0.3">
      <c r="A1882" t="str">
        <f>"202374B0000"</f>
        <v>202374B0000</v>
      </c>
      <c r="B1882" t="str">
        <f>"202374B00002"</f>
        <v>202374B00002</v>
      </c>
      <c r="C1882" t="str">
        <f t="shared" si="91"/>
        <v>20</v>
      </c>
      <c r="D1882" t="s">
        <v>67</v>
      </c>
      <c r="E1882" t="str">
        <f t="shared" si="92"/>
        <v>008</v>
      </c>
      <c r="F1882" t="s">
        <v>1759</v>
      </c>
      <c r="G1882" t="str">
        <f>"2374"</f>
        <v>2374</v>
      </c>
      <c r="H1882" t="str">
        <f>"0000"</f>
        <v>0000</v>
      </c>
      <c r="I1882" t="s">
        <v>69</v>
      </c>
      <c r="J1882">
        <v>0</v>
      </c>
      <c r="K1882">
        <v>1</v>
      </c>
      <c r="L1882">
        <v>2</v>
      </c>
      <c r="M1882">
        <v>271</v>
      </c>
      <c r="N1882">
        <v>407</v>
      </c>
      <c r="O1882">
        <v>10</v>
      </c>
      <c r="P1882">
        <v>407</v>
      </c>
      <c r="Q1882">
        <v>6</v>
      </c>
      <c r="R1882">
        <v>53</v>
      </c>
      <c r="S1882">
        <v>4</v>
      </c>
      <c r="T1882">
        <v>17</v>
      </c>
      <c r="U1882">
        <v>80</v>
      </c>
      <c r="V1882">
        <v>4</v>
      </c>
      <c r="W1882">
        <v>14</v>
      </c>
      <c r="X1882">
        <v>168</v>
      </c>
      <c r="Y1882">
        <v>3</v>
      </c>
      <c r="Z1882">
        <v>34</v>
      </c>
      <c r="AA1882">
        <v>2</v>
      </c>
      <c r="AB1882">
        <v>12</v>
      </c>
      <c r="AD1882">
        <v>2</v>
      </c>
      <c r="AE1882">
        <v>1</v>
      </c>
      <c r="AF1882">
        <v>0</v>
      </c>
      <c r="AG1882">
        <v>0</v>
      </c>
      <c r="AI1882">
        <v>0</v>
      </c>
      <c r="AJ1882">
        <v>7</v>
      </c>
      <c r="AK1882">
        <v>407</v>
      </c>
      <c r="AL1882">
        <v>407</v>
      </c>
      <c r="AM1882">
        <v>632</v>
      </c>
      <c r="AN1882">
        <v>46</v>
      </c>
      <c r="AP1882">
        <v>1</v>
      </c>
      <c r="AR1882" t="s">
        <v>1971</v>
      </c>
      <c r="AS1882" s="1">
        <v>44354.004641203705</v>
      </c>
      <c r="AT1882" s="1">
        <v>44354.009733796294</v>
      </c>
      <c r="AU1882" s="1">
        <v>44354.01054398148</v>
      </c>
      <c r="AV1882" t="s">
        <v>269</v>
      </c>
      <c r="AW1882" t="s">
        <v>270</v>
      </c>
      <c r="AX1882" t="s">
        <v>73</v>
      </c>
    </row>
    <row r="1883" spans="1:50" x14ac:dyDescent="0.3">
      <c r="A1883" t="str">
        <f>"202374C0100"</f>
        <v>202374C0100</v>
      </c>
      <c r="B1883" t="str">
        <f>"202374C01002"</f>
        <v>202374C01002</v>
      </c>
      <c r="C1883" t="str">
        <f t="shared" si="91"/>
        <v>20</v>
      </c>
      <c r="D1883" t="s">
        <v>67</v>
      </c>
      <c r="E1883" t="str">
        <f t="shared" si="92"/>
        <v>008</v>
      </c>
      <c r="F1883" t="s">
        <v>1759</v>
      </c>
      <c r="G1883" t="str">
        <f>"2374"</f>
        <v>2374</v>
      </c>
      <c r="H1883" t="str">
        <f>"0001"</f>
        <v>0001</v>
      </c>
      <c r="I1883" t="s">
        <v>75</v>
      </c>
      <c r="J1883">
        <v>0</v>
      </c>
      <c r="K1883">
        <v>1</v>
      </c>
      <c r="L1883">
        <v>2</v>
      </c>
      <c r="M1883">
        <v>264</v>
      </c>
      <c r="N1883">
        <v>415</v>
      </c>
      <c r="O1883">
        <v>10</v>
      </c>
      <c r="P1883">
        <v>416</v>
      </c>
      <c r="Q1883">
        <v>8</v>
      </c>
      <c r="R1883">
        <v>46</v>
      </c>
      <c r="S1883">
        <v>9</v>
      </c>
      <c r="T1883">
        <v>26</v>
      </c>
      <c r="U1883">
        <v>85</v>
      </c>
      <c r="V1883">
        <v>9</v>
      </c>
      <c r="W1883">
        <v>8</v>
      </c>
      <c r="X1883">
        <v>155</v>
      </c>
      <c r="Y1883">
        <v>6</v>
      </c>
      <c r="Z1883">
        <v>39</v>
      </c>
      <c r="AA1883">
        <v>2</v>
      </c>
      <c r="AB1883">
        <v>10</v>
      </c>
      <c r="AD1883">
        <v>1</v>
      </c>
      <c r="AE1883">
        <v>0</v>
      </c>
      <c r="AF1883">
        <v>0</v>
      </c>
      <c r="AG1883">
        <v>0</v>
      </c>
      <c r="AI1883">
        <v>0</v>
      </c>
      <c r="AJ1883">
        <v>12</v>
      </c>
      <c r="AK1883">
        <v>416</v>
      </c>
      <c r="AL1883">
        <v>416</v>
      </c>
      <c r="AM1883">
        <v>633</v>
      </c>
      <c r="AN1883">
        <v>46</v>
      </c>
      <c r="AP1883">
        <v>1</v>
      </c>
      <c r="AR1883" t="s">
        <v>1972</v>
      </c>
      <c r="AS1883" s="1">
        <v>44354.012824074074</v>
      </c>
      <c r="AT1883" s="1">
        <v>44354.019965277781</v>
      </c>
      <c r="AU1883" s="1">
        <v>44354.020775462966</v>
      </c>
      <c r="AV1883" t="s">
        <v>269</v>
      </c>
      <c r="AW1883" t="s">
        <v>270</v>
      </c>
      <c r="AX1883" t="s">
        <v>73</v>
      </c>
    </row>
    <row r="1884" spans="1:50" x14ac:dyDescent="0.3">
      <c r="A1884" t="str">
        <f>"202374C0200"</f>
        <v>202374C0200</v>
      </c>
      <c r="B1884" t="str">
        <f>"202374C02002"</f>
        <v>202374C02002</v>
      </c>
      <c r="C1884" t="str">
        <f t="shared" si="91"/>
        <v>20</v>
      </c>
      <c r="D1884" t="s">
        <v>67</v>
      </c>
      <c r="E1884" t="str">
        <f t="shared" si="92"/>
        <v>008</v>
      </c>
      <c r="F1884" t="s">
        <v>1759</v>
      </c>
      <c r="G1884" t="str">
        <f>"2374"</f>
        <v>2374</v>
      </c>
      <c r="H1884" t="str">
        <f>"0002"</f>
        <v>0002</v>
      </c>
      <c r="I1884" t="s">
        <v>75</v>
      </c>
      <c r="J1884">
        <v>0</v>
      </c>
      <c r="K1884">
        <v>1</v>
      </c>
      <c r="L1884">
        <v>2</v>
      </c>
      <c r="M1884">
        <v>292</v>
      </c>
      <c r="N1884">
        <v>387</v>
      </c>
      <c r="O1884">
        <v>8</v>
      </c>
      <c r="P1884">
        <v>386</v>
      </c>
      <c r="Q1884">
        <v>4</v>
      </c>
      <c r="R1884">
        <v>40</v>
      </c>
      <c r="S1884">
        <v>5</v>
      </c>
      <c r="T1884">
        <v>18</v>
      </c>
      <c r="U1884">
        <v>88</v>
      </c>
      <c r="V1884">
        <v>3</v>
      </c>
      <c r="W1884">
        <v>3</v>
      </c>
      <c r="X1884">
        <v>166</v>
      </c>
      <c r="Y1884">
        <v>3</v>
      </c>
      <c r="Z1884">
        <v>22</v>
      </c>
      <c r="AA1884">
        <v>6</v>
      </c>
      <c r="AB1884">
        <v>12</v>
      </c>
      <c r="AD1884">
        <v>4</v>
      </c>
      <c r="AE1884">
        <v>1</v>
      </c>
      <c r="AF1884">
        <v>0</v>
      </c>
      <c r="AG1884">
        <v>0</v>
      </c>
      <c r="AI1884">
        <v>0</v>
      </c>
      <c r="AJ1884">
        <v>11</v>
      </c>
      <c r="AK1884">
        <v>386</v>
      </c>
      <c r="AL1884">
        <v>386</v>
      </c>
      <c r="AM1884">
        <v>633</v>
      </c>
      <c r="AN1884">
        <v>46</v>
      </c>
      <c r="AP1884">
        <v>1</v>
      </c>
      <c r="AR1884" t="s">
        <v>1973</v>
      </c>
      <c r="AS1884" s="1">
        <v>44354.125694444447</v>
      </c>
      <c r="AT1884" s="1">
        <v>44354.128055555557</v>
      </c>
      <c r="AU1884" s="1">
        <v>44354.128576388888</v>
      </c>
      <c r="AV1884" t="s">
        <v>71</v>
      </c>
      <c r="AW1884" t="s">
        <v>72</v>
      </c>
      <c r="AX1884" t="s">
        <v>73</v>
      </c>
    </row>
    <row r="1885" spans="1:50" x14ac:dyDescent="0.3">
      <c r="A1885" t="str">
        <f>"202374C0300"</f>
        <v>202374C0300</v>
      </c>
      <c r="B1885" t="str">
        <f>"202374C03002"</f>
        <v>202374C03002</v>
      </c>
      <c r="C1885" t="str">
        <f t="shared" si="91"/>
        <v>20</v>
      </c>
      <c r="D1885" t="s">
        <v>67</v>
      </c>
      <c r="E1885" t="str">
        <f t="shared" si="92"/>
        <v>008</v>
      </c>
      <c r="F1885" t="s">
        <v>1759</v>
      </c>
      <c r="G1885" t="str">
        <f>"2374"</f>
        <v>2374</v>
      </c>
      <c r="H1885" t="str">
        <f>"0003"</f>
        <v>0003</v>
      </c>
      <c r="I1885" t="s">
        <v>75</v>
      </c>
      <c r="J1885">
        <v>0</v>
      </c>
      <c r="K1885">
        <v>1</v>
      </c>
      <c r="L1885">
        <v>2</v>
      </c>
      <c r="M1885">
        <v>311</v>
      </c>
      <c r="N1885">
        <v>368</v>
      </c>
      <c r="O1885">
        <v>9</v>
      </c>
      <c r="P1885">
        <v>368</v>
      </c>
      <c r="Q1885">
        <v>10</v>
      </c>
      <c r="R1885">
        <v>41</v>
      </c>
      <c r="S1885">
        <v>2</v>
      </c>
      <c r="T1885">
        <v>18</v>
      </c>
      <c r="U1885">
        <v>73</v>
      </c>
      <c r="V1885">
        <v>5</v>
      </c>
      <c r="W1885">
        <v>8</v>
      </c>
      <c r="X1885">
        <v>147</v>
      </c>
      <c r="Y1885">
        <v>6</v>
      </c>
      <c r="Z1885">
        <v>30</v>
      </c>
      <c r="AA1885">
        <v>4</v>
      </c>
      <c r="AB1885">
        <v>16</v>
      </c>
      <c r="AD1885">
        <v>0</v>
      </c>
      <c r="AE1885">
        <v>0</v>
      </c>
      <c r="AF1885">
        <v>0</v>
      </c>
      <c r="AG1885">
        <v>1</v>
      </c>
      <c r="AI1885">
        <v>1</v>
      </c>
      <c r="AJ1885">
        <v>6</v>
      </c>
      <c r="AK1885">
        <v>368</v>
      </c>
      <c r="AL1885">
        <v>368</v>
      </c>
      <c r="AM1885">
        <v>633</v>
      </c>
      <c r="AN1885">
        <v>46</v>
      </c>
      <c r="AP1885">
        <v>1</v>
      </c>
      <c r="AR1885" t="s">
        <v>1974</v>
      </c>
      <c r="AS1885" s="1">
        <v>44354.113888888889</v>
      </c>
      <c r="AT1885" s="1">
        <v>44354.116979166669</v>
      </c>
      <c r="AU1885" s="1">
        <v>44354.1172337963</v>
      </c>
      <c r="AV1885" t="s">
        <v>71</v>
      </c>
      <c r="AW1885" t="s">
        <v>72</v>
      </c>
      <c r="AX1885" t="s">
        <v>73</v>
      </c>
    </row>
    <row r="1886" spans="1:50" x14ac:dyDescent="0.3">
      <c r="A1886" t="str">
        <f>"202374C0400"</f>
        <v>202374C0400</v>
      </c>
      <c r="B1886" t="str">
        <f>"202374C04002"</f>
        <v>202374C04002</v>
      </c>
      <c r="C1886" t="str">
        <f t="shared" si="91"/>
        <v>20</v>
      </c>
      <c r="D1886" t="s">
        <v>67</v>
      </c>
      <c r="E1886" t="str">
        <f t="shared" si="92"/>
        <v>008</v>
      </c>
      <c r="F1886" t="s">
        <v>1759</v>
      </c>
      <c r="G1886" t="str">
        <f>"2374"</f>
        <v>2374</v>
      </c>
      <c r="H1886" t="str">
        <f>"0004"</f>
        <v>0004</v>
      </c>
      <c r="I1886" t="s">
        <v>75</v>
      </c>
      <c r="J1886">
        <v>0</v>
      </c>
      <c r="K1886">
        <v>1</v>
      </c>
      <c r="L1886">
        <v>2</v>
      </c>
      <c r="M1886">
        <v>312</v>
      </c>
      <c r="N1886">
        <v>366</v>
      </c>
      <c r="O1886">
        <v>12</v>
      </c>
      <c r="P1886">
        <v>365</v>
      </c>
      <c r="Q1886">
        <v>9</v>
      </c>
      <c r="R1886">
        <v>39</v>
      </c>
      <c r="S1886">
        <v>5</v>
      </c>
      <c r="T1886">
        <v>16</v>
      </c>
      <c r="U1886">
        <v>79</v>
      </c>
      <c r="V1886">
        <v>2</v>
      </c>
      <c r="W1886">
        <v>8</v>
      </c>
      <c r="X1886">
        <v>135</v>
      </c>
      <c r="Y1886">
        <v>5</v>
      </c>
      <c r="Z1886">
        <v>33</v>
      </c>
      <c r="AA1886">
        <v>5</v>
      </c>
      <c r="AB1886">
        <v>14</v>
      </c>
      <c r="AD1886">
        <v>1</v>
      </c>
      <c r="AE1886">
        <v>0</v>
      </c>
      <c r="AF1886">
        <v>0</v>
      </c>
      <c r="AG1886">
        <v>0</v>
      </c>
      <c r="AI1886">
        <v>0</v>
      </c>
      <c r="AJ1886">
        <v>14</v>
      </c>
      <c r="AK1886">
        <v>365</v>
      </c>
      <c r="AL1886">
        <v>365</v>
      </c>
      <c r="AM1886">
        <v>633</v>
      </c>
      <c r="AN1886">
        <v>46</v>
      </c>
      <c r="AP1886">
        <v>1</v>
      </c>
      <c r="AR1886" t="s">
        <v>1975</v>
      </c>
      <c r="AS1886" s="1">
        <v>44354.127083333333</v>
      </c>
      <c r="AT1886" s="1">
        <v>44354.129479166666</v>
      </c>
      <c r="AU1886" s="1">
        <v>44354.129907407405</v>
      </c>
      <c r="AV1886" t="s">
        <v>71</v>
      </c>
      <c r="AW1886" t="s">
        <v>72</v>
      </c>
      <c r="AX1886" t="s">
        <v>73</v>
      </c>
    </row>
    <row r="1887" spans="1:50" x14ac:dyDescent="0.3">
      <c r="A1887" t="str">
        <f>"202375B0000"</f>
        <v>202375B0000</v>
      </c>
      <c r="B1887" t="str">
        <f>"202375B00002"</f>
        <v>202375B00002</v>
      </c>
      <c r="C1887" t="str">
        <f t="shared" si="91"/>
        <v>20</v>
      </c>
      <c r="D1887" t="s">
        <v>67</v>
      </c>
      <c r="E1887" t="str">
        <f t="shared" si="92"/>
        <v>008</v>
      </c>
      <c r="F1887" t="s">
        <v>1759</v>
      </c>
      <c r="G1887" t="str">
        <f>"2375"</f>
        <v>2375</v>
      </c>
      <c r="H1887" t="str">
        <f>"0000"</f>
        <v>0000</v>
      </c>
      <c r="I1887" t="s">
        <v>69</v>
      </c>
      <c r="J1887">
        <v>0</v>
      </c>
      <c r="K1887">
        <v>1</v>
      </c>
      <c r="L1887">
        <v>2</v>
      </c>
      <c r="M1887">
        <v>288</v>
      </c>
      <c r="N1887">
        <v>367</v>
      </c>
      <c r="O1887">
        <v>9</v>
      </c>
      <c r="P1887" t="s">
        <v>99</v>
      </c>
      <c r="Q1887">
        <v>5</v>
      </c>
      <c r="R1887">
        <v>62</v>
      </c>
      <c r="S1887">
        <v>8</v>
      </c>
      <c r="T1887">
        <v>16</v>
      </c>
      <c r="U1887">
        <v>68</v>
      </c>
      <c r="V1887">
        <v>6</v>
      </c>
      <c r="W1887">
        <v>10</v>
      </c>
      <c r="X1887">
        <v>134</v>
      </c>
      <c r="Y1887">
        <v>3</v>
      </c>
      <c r="Z1887">
        <v>22</v>
      </c>
      <c r="AA1887">
        <v>4</v>
      </c>
      <c r="AB1887">
        <v>11</v>
      </c>
      <c r="AD1887">
        <v>1</v>
      </c>
      <c r="AE1887">
        <v>0</v>
      </c>
      <c r="AF1887">
        <v>0</v>
      </c>
      <c r="AG1887">
        <v>1</v>
      </c>
      <c r="AI1887">
        <v>1</v>
      </c>
      <c r="AJ1887">
        <v>16</v>
      </c>
      <c r="AK1887">
        <v>366</v>
      </c>
      <c r="AL1887">
        <v>368</v>
      </c>
      <c r="AM1887">
        <v>610</v>
      </c>
      <c r="AN1887">
        <v>46</v>
      </c>
      <c r="AP1887">
        <v>1</v>
      </c>
      <c r="AR1887" t="s">
        <v>1976</v>
      </c>
      <c r="AS1887" s="1">
        <v>44354.022222222222</v>
      </c>
      <c r="AT1887" s="1">
        <v>44354.030740740738</v>
      </c>
      <c r="AU1887" s="1">
        <v>44354.031550925924</v>
      </c>
      <c r="AV1887" t="s">
        <v>71</v>
      </c>
      <c r="AW1887" t="s">
        <v>72</v>
      </c>
      <c r="AX1887" t="s">
        <v>73</v>
      </c>
    </row>
    <row r="1888" spans="1:50" x14ac:dyDescent="0.3">
      <c r="A1888" t="str">
        <f>"202375C0100"</f>
        <v>202375C0100</v>
      </c>
      <c r="B1888" t="str">
        <f>"202375C01002"</f>
        <v>202375C01002</v>
      </c>
      <c r="C1888" t="str">
        <f t="shared" si="91"/>
        <v>20</v>
      </c>
      <c r="D1888" t="s">
        <v>67</v>
      </c>
      <c r="E1888" t="str">
        <f t="shared" si="92"/>
        <v>008</v>
      </c>
      <c r="F1888" t="s">
        <v>1759</v>
      </c>
      <c r="G1888" t="str">
        <f>"2375"</f>
        <v>2375</v>
      </c>
      <c r="H1888" t="str">
        <f>"0001"</f>
        <v>0001</v>
      </c>
      <c r="I1888" t="s">
        <v>75</v>
      </c>
      <c r="J1888">
        <v>0</v>
      </c>
      <c r="K1888">
        <v>1</v>
      </c>
      <c r="L1888">
        <v>2</v>
      </c>
      <c r="M1888">
        <v>272</v>
      </c>
      <c r="N1888">
        <v>384</v>
      </c>
      <c r="O1888">
        <v>12</v>
      </c>
      <c r="P1888">
        <v>384</v>
      </c>
      <c r="Q1888">
        <v>6</v>
      </c>
      <c r="R1888">
        <v>61</v>
      </c>
      <c r="S1888">
        <v>5</v>
      </c>
      <c r="T1888">
        <v>19</v>
      </c>
      <c r="U1888">
        <v>75</v>
      </c>
      <c r="V1888">
        <v>7</v>
      </c>
      <c r="W1888">
        <v>11</v>
      </c>
      <c r="X1888">
        <v>148</v>
      </c>
      <c r="Y1888">
        <v>4</v>
      </c>
      <c r="Z1888">
        <v>21</v>
      </c>
      <c r="AA1888">
        <v>1</v>
      </c>
      <c r="AB1888">
        <v>17</v>
      </c>
      <c r="AD1888">
        <v>0</v>
      </c>
      <c r="AE1888">
        <v>0</v>
      </c>
      <c r="AF1888">
        <v>0</v>
      </c>
      <c r="AG1888">
        <v>0</v>
      </c>
      <c r="AI1888">
        <v>0</v>
      </c>
      <c r="AJ1888">
        <v>9</v>
      </c>
      <c r="AK1888">
        <v>384</v>
      </c>
      <c r="AL1888">
        <v>384</v>
      </c>
      <c r="AM1888">
        <v>610</v>
      </c>
      <c r="AN1888">
        <v>46</v>
      </c>
      <c r="AP1888">
        <v>1</v>
      </c>
      <c r="AR1888" t="s">
        <v>1977</v>
      </c>
      <c r="AS1888" s="1">
        <v>44354.039583333331</v>
      </c>
      <c r="AT1888" s="1">
        <v>44354.049791666665</v>
      </c>
      <c r="AU1888" s="1">
        <v>44354.050370370373</v>
      </c>
      <c r="AV1888" t="s">
        <v>71</v>
      </c>
      <c r="AW1888" t="s">
        <v>72</v>
      </c>
      <c r="AX1888" t="s">
        <v>73</v>
      </c>
    </row>
    <row r="1889" spans="1:50" x14ac:dyDescent="0.3">
      <c r="A1889" t="str">
        <f>"202375C0200"</f>
        <v>202375C0200</v>
      </c>
      <c r="B1889" t="str">
        <f>"202375C02002"</f>
        <v>202375C02002</v>
      </c>
      <c r="C1889" t="str">
        <f t="shared" si="91"/>
        <v>20</v>
      </c>
      <c r="D1889" t="s">
        <v>67</v>
      </c>
      <c r="E1889" t="str">
        <f t="shared" si="92"/>
        <v>008</v>
      </c>
      <c r="F1889" t="s">
        <v>1759</v>
      </c>
      <c r="G1889" t="str">
        <f>"2375"</f>
        <v>2375</v>
      </c>
      <c r="H1889" t="str">
        <f>"0002"</f>
        <v>0002</v>
      </c>
      <c r="I1889" t="s">
        <v>75</v>
      </c>
      <c r="J1889">
        <v>0</v>
      </c>
      <c r="K1889">
        <v>1</v>
      </c>
      <c r="L1889">
        <v>2</v>
      </c>
      <c r="M1889">
        <v>277</v>
      </c>
      <c r="N1889">
        <v>379</v>
      </c>
      <c r="O1889">
        <v>12</v>
      </c>
      <c r="P1889" t="s">
        <v>80</v>
      </c>
      <c r="Q1889">
        <v>6</v>
      </c>
      <c r="R1889">
        <v>59</v>
      </c>
      <c r="S1889">
        <v>4</v>
      </c>
      <c r="T1889">
        <v>14</v>
      </c>
      <c r="U1889">
        <v>73</v>
      </c>
      <c r="V1889">
        <v>8</v>
      </c>
      <c r="W1889">
        <v>10</v>
      </c>
      <c r="X1889">
        <v>138</v>
      </c>
      <c r="Y1889">
        <v>4</v>
      </c>
      <c r="Z1889">
        <v>39</v>
      </c>
      <c r="AA1889">
        <v>0</v>
      </c>
      <c r="AB1889">
        <v>11</v>
      </c>
      <c r="AD1889">
        <v>2</v>
      </c>
      <c r="AE1889">
        <v>0</v>
      </c>
      <c r="AF1889">
        <v>0</v>
      </c>
      <c r="AG1889">
        <v>0</v>
      </c>
      <c r="AI1889">
        <v>0</v>
      </c>
      <c r="AJ1889">
        <v>11</v>
      </c>
      <c r="AK1889">
        <v>379</v>
      </c>
      <c r="AL1889">
        <v>379</v>
      </c>
      <c r="AM1889">
        <v>610</v>
      </c>
      <c r="AN1889">
        <v>46</v>
      </c>
      <c r="AP1889">
        <v>1</v>
      </c>
      <c r="AR1889" t="s">
        <v>1978</v>
      </c>
      <c r="AS1889" s="1">
        <v>44354.015972222223</v>
      </c>
      <c r="AT1889" s="1">
        <v>44354.024375000001</v>
      </c>
      <c r="AU1889" s="1">
        <v>44354.025439814817</v>
      </c>
      <c r="AV1889" t="s">
        <v>71</v>
      </c>
      <c r="AW1889" t="s">
        <v>72</v>
      </c>
      <c r="AX1889" t="s">
        <v>73</v>
      </c>
    </row>
    <row r="1890" spans="1:50" x14ac:dyDescent="0.3">
      <c r="A1890" t="str">
        <f>"202375C0300"</f>
        <v>202375C0300</v>
      </c>
      <c r="B1890" t="str">
        <f>"202375C03002"</f>
        <v>202375C03002</v>
      </c>
      <c r="C1890" t="str">
        <f t="shared" si="91"/>
        <v>20</v>
      </c>
      <c r="D1890" t="s">
        <v>67</v>
      </c>
      <c r="E1890" t="str">
        <f t="shared" si="92"/>
        <v>008</v>
      </c>
      <c r="F1890" t="s">
        <v>1759</v>
      </c>
      <c r="G1890" t="str">
        <f>"2375"</f>
        <v>2375</v>
      </c>
      <c r="H1890" t="str">
        <f>"0003"</f>
        <v>0003</v>
      </c>
      <c r="I1890" t="s">
        <v>75</v>
      </c>
      <c r="J1890">
        <v>0</v>
      </c>
      <c r="K1890">
        <v>1</v>
      </c>
      <c r="L1890">
        <v>2</v>
      </c>
      <c r="M1890">
        <v>287</v>
      </c>
      <c r="N1890">
        <v>369</v>
      </c>
      <c r="O1890">
        <v>11</v>
      </c>
      <c r="P1890">
        <v>369</v>
      </c>
      <c r="Q1890">
        <v>10</v>
      </c>
      <c r="R1890">
        <v>50</v>
      </c>
      <c r="S1890">
        <v>8</v>
      </c>
      <c r="T1890">
        <v>11</v>
      </c>
      <c r="U1890">
        <v>94</v>
      </c>
      <c r="V1890">
        <v>4</v>
      </c>
      <c r="W1890">
        <v>6</v>
      </c>
      <c r="X1890">
        <v>117</v>
      </c>
      <c r="Y1890">
        <v>8</v>
      </c>
      <c r="Z1890">
        <v>27</v>
      </c>
      <c r="AA1890">
        <v>1</v>
      </c>
      <c r="AB1890">
        <v>15</v>
      </c>
      <c r="AD1890">
        <v>1</v>
      </c>
      <c r="AE1890">
        <v>0</v>
      </c>
      <c r="AF1890">
        <v>0</v>
      </c>
      <c r="AG1890">
        <v>0</v>
      </c>
      <c r="AI1890">
        <v>0</v>
      </c>
      <c r="AJ1890">
        <v>17</v>
      </c>
      <c r="AK1890">
        <v>369</v>
      </c>
      <c r="AL1890">
        <v>369</v>
      </c>
      <c r="AM1890">
        <v>610</v>
      </c>
      <c r="AN1890">
        <v>46</v>
      </c>
      <c r="AP1890">
        <v>1</v>
      </c>
      <c r="AR1890" t="s">
        <v>1979</v>
      </c>
      <c r="AS1890" s="1">
        <v>44354.022222222222</v>
      </c>
      <c r="AT1890" s="1">
        <v>44354.029826388891</v>
      </c>
      <c r="AU1890" s="1">
        <v>44354.030462962961</v>
      </c>
      <c r="AV1890" t="s">
        <v>71</v>
      </c>
      <c r="AW1890" t="s">
        <v>72</v>
      </c>
      <c r="AX1890" t="s">
        <v>73</v>
      </c>
    </row>
    <row r="1891" spans="1:50" x14ac:dyDescent="0.3">
      <c r="A1891" t="str">
        <f>"202375C0400"</f>
        <v>202375C0400</v>
      </c>
      <c r="B1891" t="str">
        <f>"202375C04002"</f>
        <v>202375C04002</v>
      </c>
      <c r="C1891" t="str">
        <f t="shared" si="91"/>
        <v>20</v>
      </c>
      <c r="D1891" t="s">
        <v>67</v>
      </c>
      <c r="E1891" t="str">
        <f t="shared" si="92"/>
        <v>008</v>
      </c>
      <c r="F1891" t="s">
        <v>1759</v>
      </c>
      <c r="G1891" t="str">
        <f>"2375"</f>
        <v>2375</v>
      </c>
      <c r="H1891" t="str">
        <f>"0004"</f>
        <v>0004</v>
      </c>
      <c r="I1891" t="s">
        <v>75</v>
      </c>
      <c r="J1891">
        <v>0</v>
      </c>
      <c r="K1891">
        <v>1</v>
      </c>
      <c r="L1891">
        <v>2</v>
      </c>
      <c r="M1891">
        <v>289</v>
      </c>
      <c r="N1891">
        <v>366</v>
      </c>
      <c r="O1891">
        <v>15</v>
      </c>
      <c r="P1891">
        <v>366</v>
      </c>
      <c r="Q1891">
        <v>13</v>
      </c>
      <c r="R1891">
        <v>53</v>
      </c>
      <c r="S1891">
        <v>5</v>
      </c>
      <c r="T1891">
        <v>13</v>
      </c>
      <c r="U1891">
        <v>64</v>
      </c>
      <c r="V1891">
        <v>7</v>
      </c>
      <c r="W1891">
        <v>11</v>
      </c>
      <c r="X1891">
        <v>139</v>
      </c>
      <c r="Y1891">
        <v>2</v>
      </c>
      <c r="Z1891">
        <v>33</v>
      </c>
      <c r="AA1891">
        <v>3</v>
      </c>
      <c r="AB1891">
        <v>16</v>
      </c>
      <c r="AD1891">
        <v>0</v>
      </c>
      <c r="AE1891">
        <v>0</v>
      </c>
      <c r="AF1891">
        <v>0</v>
      </c>
      <c r="AG1891">
        <v>0</v>
      </c>
      <c r="AI1891">
        <v>0</v>
      </c>
      <c r="AJ1891">
        <v>7</v>
      </c>
      <c r="AK1891">
        <v>366</v>
      </c>
      <c r="AL1891">
        <v>366</v>
      </c>
      <c r="AM1891">
        <v>609</v>
      </c>
      <c r="AN1891">
        <v>46</v>
      </c>
      <c r="AP1891">
        <v>1</v>
      </c>
      <c r="AR1891" t="s">
        <v>1980</v>
      </c>
      <c r="AS1891" s="1">
        <v>44354.03402777778</v>
      </c>
      <c r="AT1891" s="1">
        <v>44354.041342592594</v>
      </c>
      <c r="AU1891" s="1">
        <v>44354.042199074072</v>
      </c>
      <c r="AV1891" t="s">
        <v>71</v>
      </c>
      <c r="AW1891" t="s">
        <v>72</v>
      </c>
      <c r="AX1891" t="s">
        <v>73</v>
      </c>
    </row>
    <row r="1892" spans="1:50" x14ac:dyDescent="0.3">
      <c r="A1892" t="str">
        <f>"202376B0000"</f>
        <v>202376B0000</v>
      </c>
      <c r="B1892" t="str">
        <f>"202376B00002"</f>
        <v>202376B00002</v>
      </c>
      <c r="C1892" t="str">
        <f t="shared" si="91"/>
        <v>20</v>
      </c>
      <c r="D1892" t="s">
        <v>67</v>
      </c>
      <c r="E1892" t="str">
        <f t="shared" si="92"/>
        <v>008</v>
      </c>
      <c r="F1892" t="s">
        <v>1759</v>
      </c>
      <c r="G1892" t="str">
        <f>"2376"</f>
        <v>2376</v>
      </c>
      <c r="H1892" t="str">
        <f>"0000"</f>
        <v>0000</v>
      </c>
      <c r="I1892" t="s">
        <v>69</v>
      </c>
      <c r="J1892">
        <v>0</v>
      </c>
      <c r="K1892">
        <v>1</v>
      </c>
      <c r="L1892">
        <v>2</v>
      </c>
      <c r="M1892">
        <v>226</v>
      </c>
      <c r="N1892">
        <v>305</v>
      </c>
      <c r="O1892">
        <v>7</v>
      </c>
      <c r="P1892">
        <v>305</v>
      </c>
      <c r="Q1892">
        <v>4</v>
      </c>
      <c r="R1892">
        <v>49</v>
      </c>
      <c r="S1892">
        <v>3</v>
      </c>
      <c r="T1892">
        <v>18</v>
      </c>
      <c r="U1892">
        <v>41</v>
      </c>
      <c r="V1892">
        <v>3</v>
      </c>
      <c r="W1892">
        <v>22</v>
      </c>
      <c r="X1892">
        <v>90</v>
      </c>
      <c r="Y1892">
        <v>7</v>
      </c>
      <c r="Z1892">
        <v>40</v>
      </c>
      <c r="AA1892">
        <v>1</v>
      </c>
      <c r="AB1892">
        <v>12</v>
      </c>
      <c r="AD1892">
        <v>0</v>
      </c>
      <c r="AE1892">
        <v>0</v>
      </c>
      <c r="AF1892">
        <v>0</v>
      </c>
      <c r="AG1892">
        <v>0</v>
      </c>
      <c r="AI1892">
        <v>0</v>
      </c>
      <c r="AJ1892">
        <v>15</v>
      </c>
      <c r="AK1892">
        <v>305</v>
      </c>
      <c r="AL1892">
        <v>305</v>
      </c>
      <c r="AM1892">
        <v>485</v>
      </c>
      <c r="AN1892">
        <v>46</v>
      </c>
      <c r="AP1892">
        <v>1</v>
      </c>
      <c r="AR1892" t="s">
        <v>1981</v>
      </c>
      <c r="AS1892" s="1">
        <v>44354.129166666666</v>
      </c>
      <c r="AT1892" s="1">
        <v>44354.131319444445</v>
      </c>
      <c r="AU1892" s="1">
        <v>44354.131678240738</v>
      </c>
      <c r="AV1892" t="s">
        <v>71</v>
      </c>
      <c r="AW1892" t="s">
        <v>72</v>
      </c>
      <c r="AX1892" t="s">
        <v>73</v>
      </c>
    </row>
    <row r="1893" spans="1:50" x14ac:dyDescent="0.3">
      <c r="A1893" t="str">
        <f>"202376C0100"</f>
        <v>202376C0100</v>
      </c>
      <c r="B1893" t="str">
        <f>"202376C01002"</f>
        <v>202376C01002</v>
      </c>
      <c r="C1893" t="str">
        <f t="shared" si="91"/>
        <v>20</v>
      </c>
      <c r="D1893" t="s">
        <v>67</v>
      </c>
      <c r="E1893" t="str">
        <f t="shared" si="92"/>
        <v>008</v>
      </c>
      <c r="F1893" t="s">
        <v>1759</v>
      </c>
      <c r="G1893" t="str">
        <f>"2376"</f>
        <v>2376</v>
      </c>
      <c r="H1893" t="str">
        <f>"0001"</f>
        <v>0001</v>
      </c>
      <c r="I1893" t="s">
        <v>75</v>
      </c>
      <c r="J1893">
        <v>0</v>
      </c>
      <c r="K1893">
        <v>1</v>
      </c>
      <c r="L1893">
        <v>2</v>
      </c>
      <c r="M1893">
        <v>245</v>
      </c>
      <c r="N1893">
        <v>285</v>
      </c>
      <c r="O1893">
        <v>9</v>
      </c>
      <c r="P1893">
        <v>285</v>
      </c>
      <c r="Q1893">
        <v>2</v>
      </c>
      <c r="R1893">
        <v>28</v>
      </c>
      <c r="S1893">
        <v>11</v>
      </c>
      <c r="T1893">
        <v>16</v>
      </c>
      <c r="U1893">
        <v>47</v>
      </c>
      <c r="V1893">
        <v>5</v>
      </c>
      <c r="W1893">
        <v>9</v>
      </c>
      <c r="X1893">
        <v>82</v>
      </c>
      <c r="Y1893">
        <v>1</v>
      </c>
      <c r="Z1893">
        <v>42</v>
      </c>
      <c r="AA1893">
        <v>0</v>
      </c>
      <c r="AB1893">
        <v>25</v>
      </c>
      <c r="AD1893">
        <v>0</v>
      </c>
      <c r="AE1893">
        <v>0</v>
      </c>
      <c r="AF1893">
        <v>0</v>
      </c>
      <c r="AG1893">
        <v>1</v>
      </c>
      <c r="AI1893">
        <v>0</v>
      </c>
      <c r="AJ1893">
        <v>16</v>
      </c>
      <c r="AK1893">
        <v>285</v>
      </c>
      <c r="AL1893">
        <v>285</v>
      </c>
      <c r="AM1893">
        <v>484</v>
      </c>
      <c r="AN1893">
        <v>46</v>
      </c>
      <c r="AP1893">
        <v>1</v>
      </c>
      <c r="AR1893" t="s">
        <v>1982</v>
      </c>
      <c r="AS1893" s="1">
        <v>44354.04378472222</v>
      </c>
      <c r="AT1893" s="1">
        <v>44354.051793981482</v>
      </c>
      <c r="AU1893" s="1">
        <v>44354.052210648151</v>
      </c>
      <c r="AV1893" t="s">
        <v>269</v>
      </c>
      <c r="AW1893" t="s">
        <v>270</v>
      </c>
      <c r="AX1893" t="s">
        <v>73</v>
      </c>
    </row>
    <row r="1894" spans="1:50" x14ac:dyDescent="0.3">
      <c r="A1894" t="str">
        <f>"202376E0100"</f>
        <v>202376E0100</v>
      </c>
      <c r="B1894" t="str">
        <f>"202376E01002"</f>
        <v>202376E01002</v>
      </c>
      <c r="C1894" t="str">
        <f t="shared" si="91"/>
        <v>20</v>
      </c>
      <c r="D1894" t="s">
        <v>67</v>
      </c>
      <c r="E1894" t="str">
        <f t="shared" si="92"/>
        <v>008</v>
      </c>
      <c r="F1894" t="s">
        <v>1759</v>
      </c>
      <c r="G1894" t="str">
        <f>"2376"</f>
        <v>2376</v>
      </c>
      <c r="H1894" t="str">
        <f>"0001"</f>
        <v>0001</v>
      </c>
      <c r="I1894" t="s">
        <v>109</v>
      </c>
      <c r="J1894">
        <v>0</v>
      </c>
      <c r="K1894">
        <v>1</v>
      </c>
      <c r="L1894">
        <v>2</v>
      </c>
      <c r="M1894">
        <v>192</v>
      </c>
      <c r="N1894">
        <v>290</v>
      </c>
      <c r="O1894">
        <v>8</v>
      </c>
      <c r="P1894" t="s">
        <v>80</v>
      </c>
      <c r="Q1894">
        <v>12</v>
      </c>
      <c r="R1894">
        <v>73</v>
      </c>
      <c r="S1894">
        <v>7</v>
      </c>
      <c r="T1894">
        <v>17</v>
      </c>
      <c r="U1894">
        <v>43</v>
      </c>
      <c r="V1894">
        <v>4</v>
      </c>
      <c r="W1894">
        <v>3</v>
      </c>
      <c r="X1894">
        <v>71</v>
      </c>
      <c r="Y1894">
        <v>4</v>
      </c>
      <c r="Z1894">
        <v>34</v>
      </c>
      <c r="AA1894">
        <v>3</v>
      </c>
      <c r="AB1894">
        <v>6</v>
      </c>
      <c r="AD1894" t="s">
        <v>77</v>
      </c>
      <c r="AE1894" t="s">
        <v>77</v>
      </c>
      <c r="AF1894" t="s">
        <v>77</v>
      </c>
      <c r="AG1894" t="s">
        <v>77</v>
      </c>
      <c r="AI1894" t="s">
        <v>77</v>
      </c>
      <c r="AJ1894">
        <v>13</v>
      </c>
      <c r="AK1894">
        <v>290</v>
      </c>
      <c r="AL1894">
        <v>290</v>
      </c>
      <c r="AM1894">
        <v>436</v>
      </c>
      <c r="AN1894">
        <v>46</v>
      </c>
      <c r="AO1894" t="s">
        <v>78</v>
      </c>
      <c r="AP1894">
        <v>1</v>
      </c>
      <c r="AR1894" t="s">
        <v>1983</v>
      </c>
      <c r="AS1894" s="1">
        <v>44353.935312499998</v>
      </c>
      <c r="AT1894" s="1">
        <v>44353.993344907409</v>
      </c>
      <c r="AU1894" s="1">
        <v>44353.993854166663</v>
      </c>
      <c r="AV1894" t="s">
        <v>269</v>
      </c>
      <c r="AW1894" t="s">
        <v>270</v>
      </c>
      <c r="AX1894" t="s">
        <v>73</v>
      </c>
    </row>
    <row r="1895" spans="1:50" x14ac:dyDescent="0.3">
      <c r="A1895" t="str">
        <f>"202376E0101"</f>
        <v>202376E0101</v>
      </c>
      <c r="B1895" t="str">
        <f>"202376E01012"</f>
        <v>202376E01012</v>
      </c>
      <c r="C1895" t="str">
        <f t="shared" si="91"/>
        <v>20</v>
      </c>
      <c r="D1895" t="s">
        <v>67</v>
      </c>
      <c r="E1895" t="str">
        <f t="shared" si="92"/>
        <v>008</v>
      </c>
      <c r="F1895" t="s">
        <v>1759</v>
      </c>
      <c r="G1895" t="str">
        <f>"2376"</f>
        <v>2376</v>
      </c>
      <c r="H1895" t="str">
        <f>"0001"</f>
        <v>0001</v>
      </c>
      <c r="I1895" t="s">
        <v>109</v>
      </c>
      <c r="J1895">
        <v>1</v>
      </c>
      <c r="K1895">
        <v>1</v>
      </c>
      <c r="L1895">
        <v>2</v>
      </c>
      <c r="M1895">
        <v>229</v>
      </c>
      <c r="N1895">
        <v>253</v>
      </c>
      <c r="O1895">
        <v>14</v>
      </c>
      <c r="P1895" t="s">
        <v>80</v>
      </c>
      <c r="Q1895">
        <v>8</v>
      </c>
      <c r="R1895">
        <v>51</v>
      </c>
      <c r="S1895">
        <v>12</v>
      </c>
      <c r="T1895">
        <v>21</v>
      </c>
      <c r="U1895">
        <v>38</v>
      </c>
      <c r="V1895">
        <v>4</v>
      </c>
      <c r="W1895">
        <v>4</v>
      </c>
      <c r="X1895">
        <v>54</v>
      </c>
      <c r="Y1895">
        <v>3</v>
      </c>
      <c r="Z1895">
        <v>32</v>
      </c>
      <c r="AA1895">
        <v>0</v>
      </c>
      <c r="AB1895">
        <v>10</v>
      </c>
      <c r="AD1895">
        <v>2</v>
      </c>
      <c r="AE1895" t="s">
        <v>77</v>
      </c>
      <c r="AF1895" t="s">
        <v>77</v>
      </c>
      <c r="AG1895" t="s">
        <v>77</v>
      </c>
      <c r="AI1895" t="s">
        <v>77</v>
      </c>
      <c r="AJ1895">
        <v>13</v>
      </c>
      <c r="AK1895">
        <v>248</v>
      </c>
      <c r="AL1895">
        <v>252</v>
      </c>
      <c r="AM1895">
        <v>436</v>
      </c>
      <c r="AN1895">
        <v>46</v>
      </c>
      <c r="AO1895" t="s">
        <v>78</v>
      </c>
      <c r="AP1895">
        <v>1</v>
      </c>
      <c r="AR1895" t="s">
        <v>1984</v>
      </c>
      <c r="AS1895" s="1">
        <v>44354.072916666664</v>
      </c>
      <c r="AT1895" s="1">
        <v>44354.083124999997</v>
      </c>
      <c r="AU1895" s="1">
        <v>44354.083923611113</v>
      </c>
      <c r="AV1895" t="s">
        <v>71</v>
      </c>
      <c r="AW1895" t="s">
        <v>72</v>
      </c>
      <c r="AX1895" t="s">
        <v>73</v>
      </c>
    </row>
    <row r="1896" spans="1:50" x14ac:dyDescent="0.3">
      <c r="A1896" t="str">
        <f>"202377B0000"</f>
        <v>202377B0000</v>
      </c>
      <c r="B1896" t="str">
        <f>"202377B00002"</f>
        <v>202377B00002</v>
      </c>
      <c r="C1896" t="str">
        <f t="shared" si="91"/>
        <v>20</v>
      </c>
      <c r="D1896" t="s">
        <v>67</v>
      </c>
      <c r="E1896" t="str">
        <f t="shared" si="92"/>
        <v>008</v>
      </c>
      <c r="F1896" t="s">
        <v>1759</v>
      </c>
      <c r="G1896" t="str">
        <f>"2377"</f>
        <v>2377</v>
      </c>
      <c r="H1896" t="str">
        <f>"0000"</f>
        <v>0000</v>
      </c>
      <c r="I1896" t="s">
        <v>69</v>
      </c>
      <c r="J1896">
        <v>0</v>
      </c>
      <c r="K1896">
        <v>1</v>
      </c>
      <c r="L1896">
        <v>2</v>
      </c>
      <c r="M1896">
        <v>227</v>
      </c>
      <c r="N1896">
        <v>339</v>
      </c>
      <c r="O1896">
        <v>5</v>
      </c>
      <c r="P1896">
        <v>339</v>
      </c>
      <c r="Q1896">
        <v>77</v>
      </c>
      <c r="R1896">
        <v>33</v>
      </c>
      <c r="S1896">
        <v>5</v>
      </c>
      <c r="T1896">
        <v>21</v>
      </c>
      <c r="U1896">
        <v>53</v>
      </c>
      <c r="V1896">
        <v>1</v>
      </c>
      <c r="W1896">
        <v>10</v>
      </c>
      <c r="X1896">
        <v>129</v>
      </c>
      <c r="Y1896">
        <v>9</v>
      </c>
      <c r="Z1896">
        <v>34</v>
      </c>
      <c r="AA1896">
        <v>1</v>
      </c>
      <c r="AB1896">
        <v>24</v>
      </c>
      <c r="AD1896">
        <v>0</v>
      </c>
      <c r="AE1896">
        <v>0</v>
      </c>
      <c r="AF1896">
        <v>0</v>
      </c>
      <c r="AG1896">
        <v>0</v>
      </c>
      <c r="AI1896">
        <v>0</v>
      </c>
      <c r="AJ1896">
        <v>13</v>
      </c>
      <c r="AK1896">
        <v>339</v>
      </c>
      <c r="AL1896">
        <v>410</v>
      </c>
      <c r="AM1896">
        <v>520</v>
      </c>
      <c r="AN1896">
        <v>46</v>
      </c>
      <c r="AP1896">
        <v>1</v>
      </c>
      <c r="AR1896" t="s">
        <v>1985</v>
      </c>
      <c r="AS1896" s="1">
        <v>44353.906643518516</v>
      </c>
      <c r="AT1896" s="1">
        <v>44353.969027777777</v>
      </c>
      <c r="AU1896" s="1">
        <v>44353.969756944447</v>
      </c>
      <c r="AV1896" t="s">
        <v>269</v>
      </c>
      <c r="AW1896" t="s">
        <v>270</v>
      </c>
      <c r="AX1896" t="s">
        <v>73</v>
      </c>
    </row>
    <row r="1897" spans="1:50" x14ac:dyDescent="0.3">
      <c r="A1897" t="str">
        <f>"202378B0000"</f>
        <v>202378B0000</v>
      </c>
      <c r="B1897" t="str">
        <f>"202378B00002"</f>
        <v>202378B00002</v>
      </c>
      <c r="C1897" t="str">
        <f t="shared" si="91"/>
        <v>20</v>
      </c>
      <c r="D1897" t="s">
        <v>67</v>
      </c>
      <c r="E1897" t="str">
        <f t="shared" si="92"/>
        <v>008</v>
      </c>
      <c r="F1897" t="s">
        <v>1759</v>
      </c>
      <c r="G1897" t="str">
        <f>"2378"</f>
        <v>2378</v>
      </c>
      <c r="H1897" t="str">
        <f>"0000"</f>
        <v>0000</v>
      </c>
      <c r="I1897" t="s">
        <v>69</v>
      </c>
      <c r="J1897">
        <v>0</v>
      </c>
      <c r="K1897">
        <v>1</v>
      </c>
      <c r="L1897">
        <v>2</v>
      </c>
      <c r="M1897">
        <v>87</v>
      </c>
      <c r="N1897">
        <v>105</v>
      </c>
      <c r="O1897">
        <v>6</v>
      </c>
      <c r="P1897">
        <v>105</v>
      </c>
      <c r="Q1897">
        <v>5</v>
      </c>
      <c r="R1897">
        <v>5</v>
      </c>
      <c r="S1897">
        <v>7</v>
      </c>
      <c r="T1897">
        <v>16</v>
      </c>
      <c r="U1897">
        <v>25</v>
      </c>
      <c r="V1897">
        <v>0</v>
      </c>
      <c r="W1897">
        <v>5</v>
      </c>
      <c r="X1897">
        <v>14</v>
      </c>
      <c r="Y1897">
        <v>2</v>
      </c>
      <c r="Z1897">
        <v>9</v>
      </c>
      <c r="AA1897">
        <v>0</v>
      </c>
      <c r="AB1897">
        <v>14</v>
      </c>
      <c r="AD1897">
        <v>0</v>
      </c>
      <c r="AE1897">
        <v>0</v>
      </c>
      <c r="AF1897">
        <v>0</v>
      </c>
      <c r="AG1897">
        <v>0</v>
      </c>
      <c r="AI1897">
        <v>0</v>
      </c>
      <c r="AJ1897">
        <v>3</v>
      </c>
      <c r="AK1897">
        <v>105</v>
      </c>
      <c r="AL1897">
        <v>105</v>
      </c>
      <c r="AM1897">
        <v>146</v>
      </c>
      <c r="AN1897">
        <v>46</v>
      </c>
      <c r="AP1897">
        <v>1</v>
      </c>
      <c r="AR1897" t="s">
        <v>1986</v>
      </c>
      <c r="AS1897" s="1">
        <v>44353.869328703702</v>
      </c>
      <c r="AT1897" s="1">
        <v>44354.048310185186</v>
      </c>
      <c r="AU1897" s="1">
        <v>44354.048715277779</v>
      </c>
      <c r="AV1897" t="s">
        <v>269</v>
      </c>
      <c r="AW1897" t="s">
        <v>270</v>
      </c>
      <c r="AX1897" t="s">
        <v>73</v>
      </c>
    </row>
    <row r="1898" spans="1:50" x14ac:dyDescent="0.3">
      <c r="A1898" t="str">
        <f>"202379B0000"</f>
        <v>202379B0000</v>
      </c>
      <c r="B1898" t="str">
        <f>"202379B00002"</f>
        <v>202379B00002</v>
      </c>
      <c r="C1898" t="str">
        <f t="shared" si="91"/>
        <v>20</v>
      </c>
      <c r="D1898" t="s">
        <v>67</v>
      </c>
      <c r="E1898" t="str">
        <f t="shared" si="92"/>
        <v>008</v>
      </c>
      <c r="F1898" t="s">
        <v>1759</v>
      </c>
      <c r="G1898" t="str">
        <f>"2379"</f>
        <v>2379</v>
      </c>
      <c r="H1898" t="str">
        <f>"0000"</f>
        <v>0000</v>
      </c>
      <c r="I1898" t="s">
        <v>69</v>
      </c>
      <c r="J1898">
        <v>0</v>
      </c>
      <c r="K1898">
        <v>1</v>
      </c>
      <c r="L1898">
        <v>2</v>
      </c>
      <c r="M1898">
        <v>141</v>
      </c>
      <c r="N1898">
        <v>299</v>
      </c>
      <c r="O1898">
        <v>15</v>
      </c>
      <c r="P1898">
        <v>299</v>
      </c>
      <c r="Q1898">
        <v>11</v>
      </c>
      <c r="R1898">
        <v>81</v>
      </c>
      <c r="S1898">
        <v>4</v>
      </c>
      <c r="T1898">
        <v>58</v>
      </c>
      <c r="U1898">
        <v>27</v>
      </c>
      <c r="V1898">
        <v>2</v>
      </c>
      <c r="W1898">
        <v>2</v>
      </c>
      <c r="X1898">
        <v>69</v>
      </c>
      <c r="Y1898">
        <v>6</v>
      </c>
      <c r="Z1898">
        <v>10</v>
      </c>
      <c r="AA1898">
        <v>0</v>
      </c>
      <c r="AB1898">
        <v>7</v>
      </c>
      <c r="AD1898">
        <v>5</v>
      </c>
      <c r="AE1898">
        <v>1</v>
      </c>
      <c r="AF1898">
        <v>0</v>
      </c>
      <c r="AG1898">
        <v>0</v>
      </c>
      <c r="AI1898">
        <v>0</v>
      </c>
      <c r="AJ1898">
        <v>16</v>
      </c>
      <c r="AK1898">
        <v>299</v>
      </c>
      <c r="AL1898">
        <v>299</v>
      </c>
      <c r="AM1898">
        <v>394</v>
      </c>
      <c r="AN1898">
        <v>46</v>
      </c>
      <c r="AP1898">
        <v>1</v>
      </c>
      <c r="AR1898" t="s">
        <v>1987</v>
      </c>
      <c r="AS1898" s="1">
        <v>44354.125694444447</v>
      </c>
      <c r="AT1898" s="1">
        <v>44354.128240740742</v>
      </c>
      <c r="AU1898" s="1">
        <v>44354.128981481481</v>
      </c>
      <c r="AV1898" t="s">
        <v>71</v>
      </c>
      <c r="AW1898" t="s">
        <v>72</v>
      </c>
      <c r="AX1898" t="s">
        <v>73</v>
      </c>
    </row>
    <row r="1899" spans="1:50" x14ac:dyDescent="0.3">
      <c r="A1899" t="str">
        <f>"202379E0100"</f>
        <v>202379E0100</v>
      </c>
      <c r="B1899" t="str">
        <f>"202379E01002"</f>
        <v>202379E01002</v>
      </c>
      <c r="C1899" t="str">
        <f t="shared" si="91"/>
        <v>20</v>
      </c>
      <c r="D1899" t="s">
        <v>67</v>
      </c>
      <c r="E1899" t="str">
        <f t="shared" si="92"/>
        <v>008</v>
      </c>
      <c r="F1899" t="s">
        <v>1759</v>
      </c>
      <c r="G1899" t="str">
        <f>"2379"</f>
        <v>2379</v>
      </c>
      <c r="H1899" t="str">
        <f>"0001"</f>
        <v>0001</v>
      </c>
      <c r="I1899" t="s">
        <v>109</v>
      </c>
      <c r="J1899">
        <v>0</v>
      </c>
      <c r="K1899">
        <v>1</v>
      </c>
      <c r="L1899">
        <v>2</v>
      </c>
      <c r="M1899">
        <v>141</v>
      </c>
      <c r="N1899">
        <v>168</v>
      </c>
      <c r="O1899">
        <v>16</v>
      </c>
      <c r="P1899">
        <v>168</v>
      </c>
      <c r="Q1899">
        <v>3</v>
      </c>
      <c r="R1899">
        <v>10</v>
      </c>
      <c r="S1899">
        <v>3</v>
      </c>
      <c r="T1899">
        <v>10</v>
      </c>
      <c r="U1899">
        <v>54</v>
      </c>
      <c r="V1899">
        <v>2</v>
      </c>
      <c r="W1899">
        <v>2</v>
      </c>
      <c r="X1899">
        <v>58</v>
      </c>
      <c r="Y1899">
        <v>1</v>
      </c>
      <c r="Z1899">
        <v>8</v>
      </c>
      <c r="AA1899">
        <v>1</v>
      </c>
      <c r="AB1899">
        <v>8</v>
      </c>
      <c r="AD1899">
        <v>0</v>
      </c>
      <c r="AE1899">
        <v>0</v>
      </c>
      <c r="AF1899">
        <v>0</v>
      </c>
      <c r="AG1899">
        <v>0</v>
      </c>
      <c r="AI1899">
        <v>0</v>
      </c>
      <c r="AJ1899">
        <v>8</v>
      </c>
      <c r="AK1899">
        <v>168</v>
      </c>
      <c r="AL1899">
        <v>168</v>
      </c>
      <c r="AM1899">
        <v>263</v>
      </c>
      <c r="AN1899">
        <v>46</v>
      </c>
      <c r="AP1899">
        <v>1</v>
      </c>
      <c r="AR1899" t="s">
        <v>1988</v>
      </c>
      <c r="AS1899" s="1">
        <v>44354.124305555553</v>
      </c>
      <c r="AT1899" s="1">
        <v>44354.126377314817</v>
      </c>
      <c r="AU1899" s="1">
        <v>44354.126793981479</v>
      </c>
      <c r="AV1899" t="s">
        <v>71</v>
      </c>
      <c r="AW1899" t="s">
        <v>72</v>
      </c>
      <c r="AX1899" t="s">
        <v>73</v>
      </c>
    </row>
    <row r="1900" spans="1:50" x14ac:dyDescent="0.3">
      <c r="A1900" t="str">
        <f>"202380B0000"</f>
        <v>202380B0000</v>
      </c>
      <c r="B1900" t="str">
        <f>"202380B00002"</f>
        <v>202380B00002</v>
      </c>
      <c r="C1900" t="str">
        <f t="shared" si="91"/>
        <v>20</v>
      </c>
      <c r="D1900" t="s">
        <v>67</v>
      </c>
      <c r="E1900" t="str">
        <f t="shared" si="92"/>
        <v>008</v>
      </c>
      <c r="F1900" t="s">
        <v>1759</v>
      </c>
      <c r="G1900" t="str">
        <f>"2380"</f>
        <v>2380</v>
      </c>
      <c r="H1900" t="str">
        <f>"0000"</f>
        <v>0000</v>
      </c>
      <c r="I1900" t="s">
        <v>69</v>
      </c>
      <c r="J1900">
        <v>0</v>
      </c>
      <c r="K1900">
        <v>1</v>
      </c>
      <c r="L1900">
        <v>2</v>
      </c>
      <c r="M1900">
        <v>176</v>
      </c>
      <c r="N1900">
        <v>254</v>
      </c>
      <c r="O1900">
        <v>8</v>
      </c>
      <c r="P1900">
        <v>254</v>
      </c>
      <c r="Q1900">
        <v>5</v>
      </c>
      <c r="R1900">
        <v>55</v>
      </c>
      <c r="S1900">
        <v>4</v>
      </c>
      <c r="T1900">
        <v>23</v>
      </c>
      <c r="U1900">
        <v>48</v>
      </c>
      <c r="V1900">
        <v>5</v>
      </c>
      <c r="W1900">
        <v>1</v>
      </c>
      <c r="X1900">
        <v>39</v>
      </c>
      <c r="Y1900">
        <v>6</v>
      </c>
      <c r="Z1900">
        <v>37</v>
      </c>
      <c r="AA1900">
        <v>3</v>
      </c>
      <c r="AB1900">
        <v>15</v>
      </c>
      <c r="AD1900">
        <v>2</v>
      </c>
      <c r="AE1900">
        <v>0</v>
      </c>
      <c r="AF1900">
        <v>0</v>
      </c>
      <c r="AG1900">
        <v>0</v>
      </c>
      <c r="AI1900">
        <v>0</v>
      </c>
      <c r="AJ1900">
        <v>11</v>
      </c>
      <c r="AK1900">
        <v>254</v>
      </c>
      <c r="AL1900">
        <v>254</v>
      </c>
      <c r="AM1900">
        <v>384</v>
      </c>
      <c r="AN1900">
        <v>46</v>
      </c>
      <c r="AP1900">
        <v>1</v>
      </c>
      <c r="AR1900" t="s">
        <v>1989</v>
      </c>
      <c r="AS1900" s="1">
        <v>44353.882951388892</v>
      </c>
      <c r="AT1900" s="1">
        <v>44354.002175925925</v>
      </c>
      <c r="AU1900" s="1">
        <v>44354.002939814818</v>
      </c>
      <c r="AV1900" t="s">
        <v>269</v>
      </c>
      <c r="AW1900" t="s">
        <v>270</v>
      </c>
      <c r="AX1900" t="s">
        <v>73</v>
      </c>
    </row>
    <row r="1901" spans="1:50" x14ac:dyDescent="0.3">
      <c r="A1901" t="str">
        <f>"202380C0100"</f>
        <v>202380C0100</v>
      </c>
      <c r="B1901" t="str">
        <f>"202380C01002"</f>
        <v>202380C01002</v>
      </c>
      <c r="C1901" t="str">
        <f t="shared" si="91"/>
        <v>20</v>
      </c>
      <c r="D1901" t="s">
        <v>67</v>
      </c>
      <c r="E1901" t="str">
        <f t="shared" si="92"/>
        <v>008</v>
      </c>
      <c r="F1901" t="s">
        <v>1759</v>
      </c>
      <c r="G1901" t="str">
        <f>"2380"</f>
        <v>2380</v>
      </c>
      <c r="H1901" t="str">
        <f>"0001"</f>
        <v>0001</v>
      </c>
      <c r="I1901" t="s">
        <v>75</v>
      </c>
      <c r="J1901">
        <v>0</v>
      </c>
      <c r="K1901">
        <v>1</v>
      </c>
      <c r="L1901">
        <v>2</v>
      </c>
      <c r="M1901">
        <v>191</v>
      </c>
      <c r="N1901">
        <v>239</v>
      </c>
      <c r="O1901">
        <v>6</v>
      </c>
      <c r="P1901">
        <v>239</v>
      </c>
      <c r="Q1901">
        <v>5</v>
      </c>
      <c r="R1901">
        <v>68</v>
      </c>
      <c r="S1901">
        <v>5</v>
      </c>
      <c r="T1901">
        <v>14</v>
      </c>
      <c r="U1901">
        <v>42</v>
      </c>
      <c r="V1901">
        <v>3</v>
      </c>
      <c r="W1901">
        <v>2</v>
      </c>
      <c r="X1901">
        <v>36</v>
      </c>
      <c r="Y1901">
        <v>5</v>
      </c>
      <c r="Z1901">
        <v>37</v>
      </c>
      <c r="AA1901">
        <v>1</v>
      </c>
      <c r="AB1901">
        <v>11</v>
      </c>
      <c r="AD1901">
        <v>0</v>
      </c>
      <c r="AE1901">
        <v>0</v>
      </c>
      <c r="AF1901">
        <v>0</v>
      </c>
      <c r="AG1901">
        <v>0</v>
      </c>
      <c r="AI1901">
        <v>0</v>
      </c>
      <c r="AJ1901">
        <v>10</v>
      </c>
      <c r="AK1901">
        <v>239</v>
      </c>
      <c r="AL1901">
        <v>239</v>
      </c>
      <c r="AM1901">
        <v>384</v>
      </c>
      <c r="AN1901">
        <v>46</v>
      </c>
      <c r="AP1901">
        <v>1</v>
      </c>
      <c r="AR1901" t="s">
        <v>1990</v>
      </c>
      <c r="AS1901" s="1">
        <v>44353.891643518517</v>
      </c>
      <c r="AT1901" s="1">
        <v>44354.002650462964</v>
      </c>
      <c r="AU1901" s="1">
        <v>44354.002962962964</v>
      </c>
      <c r="AV1901" t="s">
        <v>269</v>
      </c>
      <c r="AW1901" t="s">
        <v>270</v>
      </c>
      <c r="AX1901" t="s">
        <v>73</v>
      </c>
    </row>
    <row r="1902" spans="1:50" x14ac:dyDescent="0.3">
      <c r="A1902" t="str">
        <f>"202380E0100"</f>
        <v>202380E0100</v>
      </c>
      <c r="B1902" t="str">
        <f>"202380E01002"</f>
        <v>202380E01002</v>
      </c>
      <c r="C1902" t="str">
        <f t="shared" si="91"/>
        <v>20</v>
      </c>
      <c r="D1902" t="s">
        <v>67</v>
      </c>
      <c r="E1902" t="str">
        <f t="shared" si="92"/>
        <v>008</v>
      </c>
      <c r="F1902" t="s">
        <v>1759</v>
      </c>
      <c r="G1902" t="str">
        <f>"2380"</f>
        <v>2380</v>
      </c>
      <c r="H1902" t="str">
        <f>"0001"</f>
        <v>0001</v>
      </c>
      <c r="I1902" t="s">
        <v>109</v>
      </c>
      <c r="J1902">
        <v>0</v>
      </c>
      <c r="K1902">
        <v>1</v>
      </c>
      <c r="L1902">
        <v>2</v>
      </c>
      <c r="M1902">
        <v>242</v>
      </c>
      <c r="N1902">
        <v>369</v>
      </c>
      <c r="O1902">
        <v>14</v>
      </c>
      <c r="P1902" t="s">
        <v>80</v>
      </c>
      <c r="Q1902">
        <v>27</v>
      </c>
      <c r="R1902">
        <v>150</v>
      </c>
      <c r="S1902">
        <v>24</v>
      </c>
      <c r="T1902">
        <v>14</v>
      </c>
      <c r="U1902">
        <v>36</v>
      </c>
      <c r="V1902">
        <v>2</v>
      </c>
      <c r="W1902">
        <v>12</v>
      </c>
      <c r="X1902">
        <v>37</v>
      </c>
      <c r="Y1902">
        <v>4</v>
      </c>
      <c r="Z1902">
        <v>20</v>
      </c>
      <c r="AA1902">
        <v>3</v>
      </c>
      <c r="AB1902">
        <v>29</v>
      </c>
      <c r="AD1902">
        <v>5</v>
      </c>
      <c r="AE1902">
        <v>1</v>
      </c>
      <c r="AF1902">
        <v>0</v>
      </c>
      <c r="AG1902">
        <v>0</v>
      </c>
      <c r="AI1902">
        <v>0</v>
      </c>
      <c r="AJ1902">
        <v>5</v>
      </c>
      <c r="AK1902">
        <v>369</v>
      </c>
      <c r="AL1902">
        <v>369</v>
      </c>
      <c r="AM1902">
        <v>565</v>
      </c>
      <c r="AN1902">
        <v>46</v>
      </c>
      <c r="AP1902">
        <v>1</v>
      </c>
      <c r="AR1902" t="s">
        <v>1991</v>
      </c>
      <c r="AS1902" s="1">
        <v>44354.130555555559</v>
      </c>
      <c r="AT1902" s="1">
        <v>44354.132939814815</v>
      </c>
      <c r="AU1902" s="1">
        <v>44354.133738425924</v>
      </c>
      <c r="AV1902" t="s">
        <v>71</v>
      </c>
      <c r="AW1902" t="s">
        <v>72</v>
      </c>
      <c r="AX1902" t="s">
        <v>73</v>
      </c>
    </row>
    <row r="1903" spans="1:50" x14ac:dyDescent="0.3">
      <c r="A1903" t="str">
        <f>"202381B0000"</f>
        <v>202381B0000</v>
      </c>
      <c r="B1903" t="str">
        <f>"202381B00002"</f>
        <v>202381B00002</v>
      </c>
      <c r="C1903" t="str">
        <f t="shared" si="91"/>
        <v>20</v>
      </c>
      <c r="D1903" t="s">
        <v>67</v>
      </c>
      <c r="E1903" t="str">
        <f t="shared" si="92"/>
        <v>008</v>
      </c>
      <c r="F1903" t="s">
        <v>1759</v>
      </c>
      <c r="G1903" t="str">
        <f>"2381"</f>
        <v>2381</v>
      </c>
      <c r="H1903" t="str">
        <f>"0000"</f>
        <v>0000</v>
      </c>
      <c r="I1903" t="s">
        <v>69</v>
      </c>
      <c r="J1903">
        <v>0</v>
      </c>
      <c r="K1903">
        <v>1</v>
      </c>
      <c r="L1903">
        <v>2</v>
      </c>
      <c r="M1903">
        <v>284</v>
      </c>
      <c r="N1903">
        <v>372</v>
      </c>
      <c r="O1903">
        <v>1</v>
      </c>
      <c r="P1903">
        <v>372</v>
      </c>
      <c r="Q1903">
        <v>2</v>
      </c>
      <c r="R1903">
        <v>25</v>
      </c>
      <c r="S1903">
        <v>8</v>
      </c>
      <c r="T1903">
        <v>15</v>
      </c>
      <c r="U1903">
        <v>148</v>
      </c>
      <c r="V1903">
        <v>3</v>
      </c>
      <c r="W1903">
        <v>3</v>
      </c>
      <c r="X1903">
        <v>95</v>
      </c>
      <c r="Y1903">
        <v>4</v>
      </c>
      <c r="Z1903">
        <v>48</v>
      </c>
      <c r="AA1903">
        <v>0</v>
      </c>
      <c r="AB1903">
        <v>10</v>
      </c>
      <c r="AD1903">
        <v>0</v>
      </c>
      <c r="AE1903">
        <v>0</v>
      </c>
      <c r="AF1903">
        <v>0</v>
      </c>
      <c r="AG1903">
        <v>0</v>
      </c>
      <c r="AI1903">
        <v>0</v>
      </c>
      <c r="AJ1903">
        <v>11</v>
      </c>
      <c r="AK1903">
        <v>372</v>
      </c>
      <c r="AL1903">
        <v>372</v>
      </c>
      <c r="AM1903">
        <v>610</v>
      </c>
      <c r="AN1903">
        <v>46</v>
      </c>
      <c r="AP1903">
        <v>1</v>
      </c>
      <c r="AR1903" t="s">
        <v>1992</v>
      </c>
      <c r="AS1903" s="1">
        <v>44354.114583333336</v>
      </c>
      <c r="AT1903" s="1">
        <v>44354.117928240739</v>
      </c>
      <c r="AU1903" s="1">
        <v>44354.118611111109</v>
      </c>
      <c r="AV1903" t="s">
        <v>71</v>
      </c>
      <c r="AW1903" t="s">
        <v>72</v>
      </c>
      <c r="AX1903" t="s">
        <v>73</v>
      </c>
    </row>
    <row r="1904" spans="1:50" x14ac:dyDescent="0.3">
      <c r="A1904" t="str">
        <f>"202381C0100"</f>
        <v>202381C0100</v>
      </c>
      <c r="B1904" t="str">
        <f>"202381C01002"</f>
        <v>202381C01002</v>
      </c>
      <c r="C1904" t="str">
        <f t="shared" si="91"/>
        <v>20</v>
      </c>
      <c r="D1904" t="s">
        <v>67</v>
      </c>
      <c r="E1904" t="str">
        <f t="shared" si="92"/>
        <v>008</v>
      </c>
      <c r="F1904" t="s">
        <v>1759</v>
      </c>
      <c r="G1904" t="str">
        <f>"2381"</f>
        <v>2381</v>
      </c>
      <c r="H1904" t="str">
        <f>"0001"</f>
        <v>0001</v>
      </c>
      <c r="I1904" t="s">
        <v>75</v>
      </c>
      <c r="J1904">
        <v>0</v>
      </c>
      <c r="K1904">
        <v>1</v>
      </c>
      <c r="L1904">
        <v>2</v>
      </c>
      <c r="M1904">
        <v>278</v>
      </c>
      <c r="N1904">
        <v>377</v>
      </c>
      <c r="O1904">
        <v>7</v>
      </c>
      <c r="P1904">
        <v>377</v>
      </c>
      <c r="Q1904">
        <v>5</v>
      </c>
      <c r="R1904">
        <v>35</v>
      </c>
      <c r="S1904">
        <v>10</v>
      </c>
      <c r="T1904">
        <v>12</v>
      </c>
      <c r="U1904">
        <v>131</v>
      </c>
      <c r="V1904">
        <v>7</v>
      </c>
      <c r="W1904">
        <v>5</v>
      </c>
      <c r="X1904">
        <v>93</v>
      </c>
      <c r="Y1904">
        <v>4</v>
      </c>
      <c r="Z1904">
        <v>42</v>
      </c>
      <c r="AA1904">
        <v>5</v>
      </c>
      <c r="AB1904">
        <v>17</v>
      </c>
      <c r="AD1904">
        <v>0</v>
      </c>
      <c r="AE1904">
        <v>0</v>
      </c>
      <c r="AF1904">
        <v>0</v>
      </c>
      <c r="AG1904">
        <v>0</v>
      </c>
      <c r="AI1904">
        <v>0</v>
      </c>
      <c r="AJ1904">
        <v>10</v>
      </c>
      <c r="AK1904">
        <v>377</v>
      </c>
      <c r="AL1904">
        <v>376</v>
      </c>
      <c r="AM1904">
        <v>609</v>
      </c>
      <c r="AN1904">
        <v>46</v>
      </c>
      <c r="AP1904">
        <v>1</v>
      </c>
      <c r="AR1904" s="2" t="s">
        <v>1993</v>
      </c>
      <c r="AS1904" s="1">
        <v>44354.118055555555</v>
      </c>
      <c r="AT1904" s="1">
        <v>44354.120844907404</v>
      </c>
      <c r="AU1904" s="1">
        <v>44354.121516203704</v>
      </c>
      <c r="AV1904" t="s">
        <v>71</v>
      </c>
      <c r="AW1904" t="s">
        <v>72</v>
      </c>
      <c r="AX1904" t="s">
        <v>73</v>
      </c>
    </row>
    <row r="1905" spans="1:50" x14ac:dyDescent="0.3">
      <c r="A1905" t="str">
        <f>"202382B0000"</f>
        <v>202382B0000</v>
      </c>
      <c r="B1905" t="str">
        <f>"202382B00002"</f>
        <v>202382B00002</v>
      </c>
      <c r="C1905" t="str">
        <f t="shared" si="91"/>
        <v>20</v>
      </c>
      <c r="D1905" t="s">
        <v>67</v>
      </c>
      <c r="E1905" t="str">
        <f t="shared" si="92"/>
        <v>008</v>
      </c>
      <c r="F1905" t="s">
        <v>1759</v>
      </c>
      <c r="G1905" t="str">
        <f>"2382"</f>
        <v>2382</v>
      </c>
      <c r="H1905" t="str">
        <f>"0000"</f>
        <v>0000</v>
      </c>
      <c r="I1905" t="s">
        <v>69</v>
      </c>
      <c r="J1905">
        <v>0</v>
      </c>
      <c r="K1905">
        <v>1</v>
      </c>
      <c r="L1905">
        <v>2</v>
      </c>
      <c r="M1905">
        <v>223</v>
      </c>
      <c r="N1905">
        <v>275</v>
      </c>
      <c r="O1905">
        <v>2</v>
      </c>
      <c r="P1905">
        <v>275</v>
      </c>
      <c r="Q1905">
        <v>3</v>
      </c>
      <c r="R1905">
        <v>17</v>
      </c>
      <c r="S1905">
        <v>3</v>
      </c>
      <c r="T1905">
        <v>8</v>
      </c>
      <c r="U1905">
        <v>112</v>
      </c>
      <c r="V1905">
        <v>5</v>
      </c>
      <c r="W1905">
        <v>6</v>
      </c>
      <c r="X1905">
        <v>68</v>
      </c>
      <c r="Y1905">
        <v>1</v>
      </c>
      <c r="Z1905">
        <v>23</v>
      </c>
      <c r="AA1905">
        <v>3</v>
      </c>
      <c r="AB1905">
        <v>16</v>
      </c>
      <c r="AD1905" t="s">
        <v>77</v>
      </c>
      <c r="AE1905" t="s">
        <v>77</v>
      </c>
      <c r="AF1905" t="s">
        <v>77</v>
      </c>
      <c r="AG1905" t="s">
        <v>77</v>
      </c>
      <c r="AI1905" t="s">
        <v>77</v>
      </c>
      <c r="AJ1905">
        <v>10</v>
      </c>
      <c r="AK1905">
        <v>10</v>
      </c>
      <c r="AL1905">
        <v>275</v>
      </c>
      <c r="AM1905">
        <v>452</v>
      </c>
      <c r="AN1905">
        <v>46</v>
      </c>
      <c r="AO1905" t="s">
        <v>78</v>
      </c>
      <c r="AP1905">
        <v>1</v>
      </c>
      <c r="AR1905" t="s">
        <v>1994</v>
      </c>
      <c r="AS1905" s="1">
        <v>44354.572222222225</v>
      </c>
      <c r="AT1905" s="1">
        <v>44354.573831018519</v>
      </c>
      <c r="AU1905" s="1">
        <v>44354.574212962965</v>
      </c>
      <c r="AV1905" t="s">
        <v>71</v>
      </c>
      <c r="AW1905" t="s">
        <v>72</v>
      </c>
      <c r="AX1905" t="s">
        <v>73</v>
      </c>
    </row>
    <row r="1906" spans="1:50" x14ac:dyDescent="0.3">
      <c r="A1906" t="str">
        <f>"202382C0100"</f>
        <v>202382C0100</v>
      </c>
      <c r="B1906" t="str">
        <f>"202382C01002"</f>
        <v>202382C01002</v>
      </c>
      <c r="C1906" t="str">
        <f t="shared" si="91"/>
        <v>20</v>
      </c>
      <c r="D1906" t="s">
        <v>67</v>
      </c>
      <c r="E1906" t="str">
        <f t="shared" si="92"/>
        <v>008</v>
      </c>
      <c r="F1906" t="s">
        <v>1759</v>
      </c>
      <c r="G1906" t="str">
        <f>"2382"</f>
        <v>2382</v>
      </c>
      <c r="H1906" t="str">
        <f>"0001"</f>
        <v>0001</v>
      </c>
      <c r="I1906" t="s">
        <v>75</v>
      </c>
      <c r="J1906">
        <v>0</v>
      </c>
      <c r="K1906">
        <v>1</v>
      </c>
      <c r="L1906">
        <v>2</v>
      </c>
      <c r="M1906">
        <v>221</v>
      </c>
      <c r="N1906">
        <v>276</v>
      </c>
      <c r="O1906">
        <v>6</v>
      </c>
      <c r="P1906">
        <v>276</v>
      </c>
      <c r="Q1906">
        <v>6</v>
      </c>
      <c r="R1906">
        <v>18</v>
      </c>
      <c r="S1906">
        <v>2</v>
      </c>
      <c r="T1906">
        <v>8</v>
      </c>
      <c r="U1906">
        <v>112</v>
      </c>
      <c r="V1906">
        <v>3</v>
      </c>
      <c r="W1906">
        <v>7</v>
      </c>
      <c r="X1906">
        <v>56</v>
      </c>
      <c r="Y1906">
        <v>4</v>
      </c>
      <c r="Z1906">
        <v>29</v>
      </c>
      <c r="AA1906">
        <v>2</v>
      </c>
      <c r="AB1906">
        <v>16</v>
      </c>
      <c r="AD1906">
        <v>1</v>
      </c>
      <c r="AE1906" t="s">
        <v>77</v>
      </c>
      <c r="AF1906" t="s">
        <v>77</v>
      </c>
      <c r="AG1906" t="s">
        <v>77</v>
      </c>
      <c r="AI1906" t="s">
        <v>77</v>
      </c>
      <c r="AJ1906">
        <v>12</v>
      </c>
      <c r="AK1906">
        <v>276</v>
      </c>
      <c r="AL1906">
        <v>276</v>
      </c>
      <c r="AM1906">
        <v>451</v>
      </c>
      <c r="AN1906">
        <v>46</v>
      </c>
      <c r="AO1906" t="s">
        <v>78</v>
      </c>
      <c r="AP1906">
        <v>1</v>
      </c>
      <c r="AR1906" t="s">
        <v>1995</v>
      </c>
      <c r="AS1906" s="1">
        <v>44354.572916666664</v>
      </c>
      <c r="AT1906" s="1">
        <v>44354.574305555558</v>
      </c>
      <c r="AU1906" s="1">
        <v>44354.574872685182</v>
      </c>
      <c r="AV1906" t="s">
        <v>71</v>
      </c>
      <c r="AW1906" t="s">
        <v>72</v>
      </c>
      <c r="AX1906" t="s">
        <v>73</v>
      </c>
    </row>
    <row r="1907" spans="1:50" x14ac:dyDescent="0.3">
      <c r="A1907" t="str">
        <f>"202382E0100"</f>
        <v>202382E0100</v>
      </c>
      <c r="B1907" t="str">
        <f>"202382E01002"</f>
        <v>202382E01002</v>
      </c>
      <c r="C1907" t="str">
        <f t="shared" si="91"/>
        <v>20</v>
      </c>
      <c r="D1907" t="s">
        <v>67</v>
      </c>
      <c r="E1907" t="str">
        <f t="shared" si="92"/>
        <v>008</v>
      </c>
      <c r="F1907" t="s">
        <v>1759</v>
      </c>
      <c r="G1907" t="str">
        <f>"2382"</f>
        <v>2382</v>
      </c>
      <c r="H1907" t="str">
        <f>"0001"</f>
        <v>0001</v>
      </c>
      <c r="I1907" t="s">
        <v>109</v>
      </c>
      <c r="J1907">
        <v>0</v>
      </c>
      <c r="K1907">
        <v>1</v>
      </c>
      <c r="L1907">
        <v>2</v>
      </c>
      <c r="M1907">
        <v>205</v>
      </c>
      <c r="N1907">
        <v>239</v>
      </c>
      <c r="O1907">
        <v>9</v>
      </c>
      <c r="P1907">
        <v>239</v>
      </c>
      <c r="Q1907">
        <v>3</v>
      </c>
      <c r="R1907">
        <v>5</v>
      </c>
      <c r="S1907">
        <v>4</v>
      </c>
      <c r="T1907">
        <v>9</v>
      </c>
      <c r="U1907">
        <v>54</v>
      </c>
      <c r="V1907">
        <v>1</v>
      </c>
      <c r="W1907">
        <v>1</v>
      </c>
      <c r="X1907">
        <v>63</v>
      </c>
      <c r="Y1907">
        <v>3</v>
      </c>
      <c r="Z1907">
        <v>52</v>
      </c>
      <c r="AA1907">
        <v>0</v>
      </c>
      <c r="AB1907">
        <v>27</v>
      </c>
      <c r="AD1907">
        <v>0</v>
      </c>
      <c r="AE1907">
        <v>0</v>
      </c>
      <c r="AF1907">
        <v>0</v>
      </c>
      <c r="AG1907">
        <v>0</v>
      </c>
      <c r="AI1907">
        <v>0</v>
      </c>
      <c r="AJ1907">
        <v>17</v>
      </c>
      <c r="AK1907">
        <v>239</v>
      </c>
      <c r="AL1907">
        <v>239</v>
      </c>
      <c r="AM1907">
        <v>398</v>
      </c>
      <c r="AN1907">
        <v>46</v>
      </c>
      <c r="AP1907">
        <v>1</v>
      </c>
      <c r="AR1907" t="s">
        <v>1996</v>
      </c>
      <c r="AS1907" s="1">
        <v>44353.924814814818</v>
      </c>
      <c r="AT1907" s="1">
        <v>44353.926296296297</v>
      </c>
      <c r="AU1907" s="1">
        <v>44353.926782407405</v>
      </c>
      <c r="AV1907" t="s">
        <v>269</v>
      </c>
      <c r="AW1907" t="s">
        <v>270</v>
      </c>
      <c r="AX1907" t="s">
        <v>73</v>
      </c>
    </row>
    <row r="1908" spans="1:50" x14ac:dyDescent="0.3">
      <c r="A1908" t="str">
        <f>"202382E0200"</f>
        <v>202382E0200</v>
      </c>
      <c r="B1908" t="str">
        <f>"202382E02002"</f>
        <v>202382E02002</v>
      </c>
      <c r="C1908" t="str">
        <f t="shared" si="91"/>
        <v>20</v>
      </c>
      <c r="D1908" t="s">
        <v>67</v>
      </c>
      <c r="E1908" t="str">
        <f t="shared" si="92"/>
        <v>008</v>
      </c>
      <c r="F1908" t="s">
        <v>1759</v>
      </c>
      <c r="G1908" t="str">
        <f>"2382"</f>
        <v>2382</v>
      </c>
      <c r="H1908" t="str">
        <f>"0002"</f>
        <v>0002</v>
      </c>
      <c r="I1908" t="s">
        <v>109</v>
      </c>
      <c r="J1908">
        <v>0</v>
      </c>
      <c r="K1908">
        <v>1</v>
      </c>
      <c r="L1908">
        <v>2</v>
      </c>
      <c r="M1908">
        <v>224</v>
      </c>
      <c r="N1908">
        <v>182</v>
      </c>
      <c r="O1908">
        <v>11</v>
      </c>
      <c r="P1908">
        <v>182</v>
      </c>
      <c r="Q1908">
        <v>0</v>
      </c>
      <c r="R1908">
        <v>5</v>
      </c>
      <c r="S1908">
        <v>2</v>
      </c>
      <c r="T1908">
        <v>8</v>
      </c>
      <c r="U1908">
        <v>86</v>
      </c>
      <c r="V1908">
        <v>1</v>
      </c>
      <c r="W1908">
        <v>0</v>
      </c>
      <c r="X1908">
        <v>37</v>
      </c>
      <c r="Y1908">
        <v>0</v>
      </c>
      <c r="Z1908">
        <v>12</v>
      </c>
      <c r="AA1908">
        <v>0</v>
      </c>
      <c r="AB1908">
        <v>24</v>
      </c>
      <c r="AD1908">
        <v>0</v>
      </c>
      <c r="AE1908">
        <v>0</v>
      </c>
      <c r="AF1908">
        <v>0</v>
      </c>
      <c r="AG1908">
        <v>0</v>
      </c>
      <c r="AI1908">
        <v>0</v>
      </c>
      <c r="AJ1908">
        <v>7</v>
      </c>
      <c r="AK1908">
        <v>182</v>
      </c>
      <c r="AL1908">
        <v>182</v>
      </c>
      <c r="AM1908">
        <v>360</v>
      </c>
      <c r="AN1908">
        <v>46</v>
      </c>
      <c r="AP1908">
        <v>1</v>
      </c>
      <c r="AR1908" t="s">
        <v>1997</v>
      </c>
      <c r="AS1908" s="1">
        <v>44353.878252314818</v>
      </c>
      <c r="AT1908" s="1">
        <v>44353.880648148152</v>
      </c>
      <c r="AU1908" s="1">
        <v>44353.881620370368</v>
      </c>
      <c r="AV1908" t="s">
        <v>269</v>
      </c>
      <c r="AW1908" t="s">
        <v>270</v>
      </c>
      <c r="AX1908" t="s">
        <v>73</v>
      </c>
    </row>
    <row r="1909" spans="1:50" x14ac:dyDescent="0.3">
      <c r="A1909" t="str">
        <f>"202383B0000"</f>
        <v>202383B0000</v>
      </c>
      <c r="B1909" t="str">
        <f>"202383B00002"</f>
        <v>202383B00002</v>
      </c>
      <c r="C1909" t="str">
        <f t="shared" si="91"/>
        <v>20</v>
      </c>
      <c r="D1909" t="s">
        <v>67</v>
      </c>
      <c r="E1909" t="str">
        <f t="shared" si="92"/>
        <v>008</v>
      </c>
      <c r="F1909" t="s">
        <v>1759</v>
      </c>
      <c r="G1909" t="str">
        <f>"2383"</f>
        <v>2383</v>
      </c>
      <c r="H1909" t="str">
        <f>"0000"</f>
        <v>0000</v>
      </c>
      <c r="I1909" t="s">
        <v>69</v>
      </c>
      <c r="J1909">
        <v>0</v>
      </c>
      <c r="K1909">
        <v>1</v>
      </c>
      <c r="L1909">
        <v>2</v>
      </c>
      <c r="M1909">
        <v>347</v>
      </c>
      <c r="N1909">
        <v>268</v>
      </c>
      <c r="O1909">
        <v>8</v>
      </c>
      <c r="P1909">
        <v>260</v>
      </c>
      <c r="Q1909">
        <v>1</v>
      </c>
      <c r="R1909">
        <v>6</v>
      </c>
      <c r="S1909">
        <v>4</v>
      </c>
      <c r="T1909">
        <v>7</v>
      </c>
      <c r="U1909">
        <v>53</v>
      </c>
      <c r="V1909">
        <v>6</v>
      </c>
      <c r="W1909">
        <v>3</v>
      </c>
      <c r="X1909">
        <v>81</v>
      </c>
      <c r="Y1909">
        <v>2</v>
      </c>
      <c r="Z1909">
        <v>63</v>
      </c>
      <c r="AA1909">
        <v>4</v>
      </c>
      <c r="AB1909">
        <v>16</v>
      </c>
      <c r="AD1909">
        <v>0</v>
      </c>
      <c r="AE1909">
        <v>0</v>
      </c>
      <c r="AF1909">
        <v>0</v>
      </c>
      <c r="AG1909">
        <v>0</v>
      </c>
      <c r="AI1909">
        <v>0</v>
      </c>
      <c r="AJ1909">
        <v>14</v>
      </c>
      <c r="AK1909">
        <v>260</v>
      </c>
      <c r="AL1909">
        <v>260</v>
      </c>
      <c r="AM1909">
        <v>561</v>
      </c>
      <c r="AN1909">
        <v>46</v>
      </c>
      <c r="AP1909">
        <v>1</v>
      </c>
      <c r="AR1909" t="s">
        <v>1998</v>
      </c>
      <c r="AS1909" s="1">
        <v>44353.900925925926</v>
      </c>
      <c r="AT1909" s="1">
        <v>44353.903854166667</v>
      </c>
      <c r="AU1909" s="1">
        <v>44353.905266203707</v>
      </c>
      <c r="AV1909" t="s">
        <v>269</v>
      </c>
      <c r="AW1909" t="s">
        <v>270</v>
      </c>
      <c r="AX1909" t="s">
        <v>73</v>
      </c>
    </row>
    <row r="1910" spans="1:50" x14ac:dyDescent="0.3">
      <c r="A1910" t="str">
        <f>"202383C0100"</f>
        <v>202383C0100</v>
      </c>
      <c r="B1910" t="str">
        <f>"202383C01002"</f>
        <v>202383C01002</v>
      </c>
      <c r="C1910" t="str">
        <f t="shared" si="91"/>
        <v>20</v>
      </c>
      <c r="D1910" t="s">
        <v>67</v>
      </c>
      <c r="E1910" t="str">
        <f t="shared" si="92"/>
        <v>008</v>
      </c>
      <c r="F1910" t="s">
        <v>1759</v>
      </c>
      <c r="G1910" t="str">
        <f>"2383"</f>
        <v>2383</v>
      </c>
      <c r="H1910" t="str">
        <f>"0001"</f>
        <v>0001</v>
      </c>
      <c r="I1910" t="s">
        <v>75</v>
      </c>
      <c r="J1910">
        <v>0</v>
      </c>
      <c r="K1910">
        <v>1</v>
      </c>
      <c r="L1910">
        <v>2</v>
      </c>
      <c r="M1910">
        <v>305</v>
      </c>
      <c r="N1910">
        <v>301</v>
      </c>
      <c r="O1910">
        <v>6</v>
      </c>
      <c r="P1910">
        <v>301</v>
      </c>
      <c r="Q1910">
        <v>0</v>
      </c>
      <c r="R1910">
        <v>5</v>
      </c>
      <c r="S1910">
        <v>3</v>
      </c>
      <c r="T1910">
        <v>5</v>
      </c>
      <c r="U1910">
        <v>68</v>
      </c>
      <c r="V1910">
        <v>5</v>
      </c>
      <c r="W1910">
        <v>4</v>
      </c>
      <c r="X1910">
        <v>98</v>
      </c>
      <c r="Y1910">
        <v>1</v>
      </c>
      <c r="Z1910">
        <v>61</v>
      </c>
      <c r="AA1910">
        <v>6</v>
      </c>
      <c r="AB1910">
        <v>32</v>
      </c>
      <c r="AD1910">
        <v>0</v>
      </c>
      <c r="AE1910">
        <v>0</v>
      </c>
      <c r="AF1910">
        <v>0</v>
      </c>
      <c r="AG1910">
        <v>0</v>
      </c>
      <c r="AI1910">
        <v>0</v>
      </c>
      <c r="AJ1910">
        <v>13</v>
      </c>
      <c r="AK1910">
        <v>301</v>
      </c>
      <c r="AL1910">
        <v>301</v>
      </c>
      <c r="AM1910">
        <v>560</v>
      </c>
      <c r="AN1910">
        <v>46</v>
      </c>
      <c r="AP1910">
        <v>1</v>
      </c>
      <c r="AR1910" t="s">
        <v>1999</v>
      </c>
      <c r="AS1910" s="1">
        <v>44353.889976851853</v>
      </c>
      <c r="AT1910" s="1">
        <v>44353.903715277775</v>
      </c>
      <c r="AU1910" s="1">
        <v>44353.904641203706</v>
      </c>
      <c r="AV1910" t="s">
        <v>269</v>
      </c>
      <c r="AW1910" t="s">
        <v>270</v>
      </c>
      <c r="AX1910" t="s">
        <v>73</v>
      </c>
    </row>
    <row r="1911" spans="1:50" x14ac:dyDescent="0.3">
      <c r="A1911" t="str">
        <f>"202384B0000"</f>
        <v>202384B0000</v>
      </c>
      <c r="B1911" t="str">
        <f>"202384B00002"</f>
        <v>202384B00002</v>
      </c>
      <c r="C1911" t="str">
        <f t="shared" si="91"/>
        <v>20</v>
      </c>
      <c r="D1911" t="s">
        <v>67</v>
      </c>
      <c r="E1911" t="str">
        <f t="shared" si="92"/>
        <v>008</v>
      </c>
      <c r="F1911" t="s">
        <v>1759</v>
      </c>
      <c r="G1911" t="str">
        <f>"2384"</f>
        <v>2384</v>
      </c>
      <c r="H1911" t="str">
        <f>"0000"</f>
        <v>0000</v>
      </c>
      <c r="I1911" t="s">
        <v>69</v>
      </c>
      <c r="J1911">
        <v>0</v>
      </c>
      <c r="K1911">
        <v>1</v>
      </c>
      <c r="L1911">
        <v>2</v>
      </c>
      <c r="M1911">
        <v>79</v>
      </c>
      <c r="N1911">
        <v>103</v>
      </c>
      <c r="O1911">
        <v>11</v>
      </c>
      <c r="P1911">
        <v>103</v>
      </c>
      <c r="Q1911">
        <v>1</v>
      </c>
      <c r="R1911">
        <v>9</v>
      </c>
      <c r="S1911">
        <v>0</v>
      </c>
      <c r="T1911">
        <v>3</v>
      </c>
      <c r="U1911">
        <v>8</v>
      </c>
      <c r="V1911">
        <v>1</v>
      </c>
      <c r="W1911">
        <v>8</v>
      </c>
      <c r="X1911">
        <v>44</v>
      </c>
      <c r="Y1911">
        <v>0</v>
      </c>
      <c r="Z1911">
        <v>27</v>
      </c>
      <c r="AA1911">
        <v>0</v>
      </c>
      <c r="AB1911">
        <v>2</v>
      </c>
      <c r="AD1911">
        <v>0</v>
      </c>
      <c r="AE1911">
        <v>0</v>
      </c>
      <c r="AF1911">
        <v>0</v>
      </c>
      <c r="AG1911">
        <v>0</v>
      </c>
      <c r="AI1911">
        <v>0</v>
      </c>
      <c r="AJ1911">
        <v>0</v>
      </c>
      <c r="AK1911">
        <v>103</v>
      </c>
      <c r="AL1911">
        <v>103</v>
      </c>
      <c r="AM1911">
        <v>136</v>
      </c>
      <c r="AN1911">
        <v>46</v>
      </c>
      <c r="AP1911">
        <v>1</v>
      </c>
      <c r="AR1911" t="s">
        <v>2000</v>
      </c>
      <c r="AS1911" s="1">
        <v>44353.840416666666</v>
      </c>
      <c r="AT1911" s="1">
        <v>44354.049872685187</v>
      </c>
      <c r="AU1911" s="1">
        <v>44354.050717592596</v>
      </c>
      <c r="AV1911" t="s">
        <v>269</v>
      </c>
      <c r="AW1911" t="s">
        <v>270</v>
      </c>
      <c r="AX1911" t="s">
        <v>73</v>
      </c>
    </row>
    <row r="1912" spans="1:50" x14ac:dyDescent="0.3">
      <c r="A1912" t="str">
        <f>"202385B0000"</f>
        <v>202385B0000</v>
      </c>
      <c r="B1912" t="str">
        <f>"202385B00002"</f>
        <v>202385B00002</v>
      </c>
      <c r="C1912" t="str">
        <f t="shared" si="91"/>
        <v>20</v>
      </c>
      <c r="D1912" t="s">
        <v>67</v>
      </c>
      <c r="E1912" t="str">
        <f t="shared" si="92"/>
        <v>008</v>
      </c>
      <c r="F1912" t="s">
        <v>1759</v>
      </c>
      <c r="G1912" t="str">
        <f>"2385"</f>
        <v>2385</v>
      </c>
      <c r="H1912" t="str">
        <f>"0000"</f>
        <v>0000</v>
      </c>
      <c r="I1912" t="s">
        <v>69</v>
      </c>
      <c r="J1912">
        <v>0</v>
      </c>
      <c r="K1912">
        <v>1</v>
      </c>
      <c r="L1912">
        <v>2</v>
      </c>
      <c r="M1912">
        <v>151</v>
      </c>
      <c r="N1912">
        <v>165</v>
      </c>
      <c r="O1912">
        <v>2</v>
      </c>
      <c r="P1912">
        <v>165</v>
      </c>
      <c r="Q1912">
        <v>0</v>
      </c>
      <c r="R1912">
        <v>1</v>
      </c>
      <c r="S1912">
        <v>1</v>
      </c>
      <c r="T1912">
        <v>4</v>
      </c>
      <c r="U1912">
        <v>130</v>
      </c>
      <c r="V1912">
        <v>1</v>
      </c>
      <c r="W1912">
        <v>2</v>
      </c>
      <c r="X1912">
        <v>5</v>
      </c>
      <c r="Y1912">
        <v>0</v>
      </c>
      <c r="Z1912">
        <v>7</v>
      </c>
      <c r="AA1912">
        <v>0</v>
      </c>
      <c r="AB1912">
        <v>8</v>
      </c>
      <c r="AD1912">
        <v>0</v>
      </c>
      <c r="AE1912">
        <v>0</v>
      </c>
      <c r="AF1912">
        <v>0</v>
      </c>
      <c r="AG1912">
        <v>0</v>
      </c>
      <c r="AI1912">
        <v>0</v>
      </c>
      <c r="AJ1912">
        <v>6</v>
      </c>
      <c r="AK1912">
        <v>165</v>
      </c>
      <c r="AL1912">
        <v>165</v>
      </c>
      <c r="AM1912">
        <v>270</v>
      </c>
      <c r="AN1912">
        <v>46</v>
      </c>
      <c r="AP1912">
        <v>1</v>
      </c>
      <c r="AR1912" t="s">
        <v>2001</v>
      </c>
      <c r="AS1912" s="1">
        <v>44353.854398148149</v>
      </c>
      <c r="AT1912" s="1">
        <v>44354.043344907404</v>
      </c>
      <c r="AU1912" s="1">
        <v>44354.043969907405</v>
      </c>
      <c r="AV1912" t="s">
        <v>269</v>
      </c>
      <c r="AW1912" t="s">
        <v>270</v>
      </c>
      <c r="AX1912" t="s">
        <v>73</v>
      </c>
    </row>
    <row r="1913" spans="1:50" x14ac:dyDescent="0.3">
      <c r="A1913" t="str">
        <f>"202452B0000"</f>
        <v>202452B0000</v>
      </c>
      <c r="B1913" t="str">
        <f>"202452B00002"</f>
        <v>202452B00002</v>
      </c>
      <c r="C1913" t="str">
        <f t="shared" si="91"/>
        <v>20</v>
      </c>
      <c r="D1913" t="s">
        <v>67</v>
      </c>
      <c r="E1913" t="str">
        <f t="shared" si="92"/>
        <v>008</v>
      </c>
      <c r="F1913" t="s">
        <v>1759</v>
      </c>
      <c r="G1913" t="str">
        <f>"2452"</f>
        <v>2452</v>
      </c>
      <c r="H1913" t="str">
        <f>"0000"</f>
        <v>0000</v>
      </c>
      <c r="I1913" t="s">
        <v>69</v>
      </c>
      <c r="J1913">
        <v>0</v>
      </c>
      <c r="K1913">
        <v>1</v>
      </c>
      <c r="L1913">
        <v>2</v>
      </c>
      <c r="M1913">
        <v>174</v>
      </c>
      <c r="N1913">
        <v>177</v>
      </c>
      <c r="O1913">
        <v>18</v>
      </c>
      <c r="P1913">
        <v>177</v>
      </c>
      <c r="Q1913">
        <v>3</v>
      </c>
      <c r="R1913">
        <v>21</v>
      </c>
      <c r="S1913">
        <v>2</v>
      </c>
      <c r="T1913">
        <v>10</v>
      </c>
      <c r="U1913">
        <v>19</v>
      </c>
      <c r="V1913">
        <v>3</v>
      </c>
      <c r="W1913">
        <v>3</v>
      </c>
      <c r="X1913">
        <v>62</v>
      </c>
      <c r="Y1913">
        <v>1</v>
      </c>
      <c r="Z1913">
        <v>31</v>
      </c>
      <c r="AA1913">
        <v>1</v>
      </c>
      <c r="AB1913">
        <v>15</v>
      </c>
      <c r="AD1913">
        <v>0</v>
      </c>
      <c r="AE1913">
        <v>0</v>
      </c>
      <c r="AF1913">
        <v>0</v>
      </c>
      <c r="AG1913">
        <v>0</v>
      </c>
      <c r="AI1913">
        <v>0</v>
      </c>
      <c r="AJ1913">
        <v>6</v>
      </c>
      <c r="AK1913">
        <v>177</v>
      </c>
      <c r="AL1913">
        <v>177</v>
      </c>
      <c r="AM1913">
        <v>305</v>
      </c>
      <c r="AN1913">
        <v>46</v>
      </c>
      <c r="AP1913">
        <v>1</v>
      </c>
      <c r="AR1913" t="s">
        <v>2002</v>
      </c>
      <c r="AS1913" s="1">
        <v>44353.93204861111</v>
      </c>
      <c r="AT1913" s="1">
        <v>44353.957604166666</v>
      </c>
      <c r="AU1913" s="1">
        <v>44353.958182870374</v>
      </c>
      <c r="AV1913" t="s">
        <v>269</v>
      </c>
      <c r="AW1913" t="s">
        <v>270</v>
      </c>
      <c r="AX1913" t="s">
        <v>73</v>
      </c>
    </row>
    <row r="1914" spans="1:50" x14ac:dyDescent="0.3">
      <c r="A1914" t="str">
        <f>"200001B0000"</f>
        <v>200001B0000</v>
      </c>
      <c r="B1914" t="str">
        <f>"200001B00002"</f>
        <v>200001B00002</v>
      </c>
      <c r="C1914" t="str">
        <f t="shared" si="91"/>
        <v>20</v>
      </c>
      <c r="D1914" t="s">
        <v>67</v>
      </c>
      <c r="E1914" t="str">
        <f t="shared" ref="E1914:E1977" si="94">"009"</f>
        <v>009</v>
      </c>
      <c r="F1914" t="s">
        <v>2003</v>
      </c>
      <c r="G1914" t="str">
        <f>"0001"</f>
        <v>0001</v>
      </c>
      <c r="H1914" t="str">
        <f>"0000"</f>
        <v>0000</v>
      </c>
      <c r="I1914" t="s">
        <v>69</v>
      </c>
      <c r="J1914">
        <v>0</v>
      </c>
      <c r="K1914">
        <v>1</v>
      </c>
      <c r="L1914">
        <v>2</v>
      </c>
      <c r="M1914">
        <v>244</v>
      </c>
      <c r="N1914">
        <v>180</v>
      </c>
      <c r="O1914">
        <v>0</v>
      </c>
      <c r="P1914">
        <v>180</v>
      </c>
      <c r="Q1914">
        <v>2</v>
      </c>
      <c r="R1914">
        <v>5</v>
      </c>
      <c r="S1914">
        <v>4</v>
      </c>
      <c r="T1914">
        <v>10</v>
      </c>
      <c r="U1914">
        <v>5</v>
      </c>
      <c r="V1914">
        <v>4</v>
      </c>
      <c r="W1914">
        <v>1</v>
      </c>
      <c r="X1914">
        <v>110</v>
      </c>
      <c r="Y1914">
        <v>2</v>
      </c>
      <c r="Z1914">
        <v>8</v>
      </c>
      <c r="AA1914">
        <v>2</v>
      </c>
      <c r="AB1914">
        <v>18</v>
      </c>
      <c r="AD1914">
        <v>0</v>
      </c>
      <c r="AE1914">
        <v>0</v>
      </c>
      <c r="AF1914">
        <v>0</v>
      </c>
      <c r="AG1914">
        <v>0</v>
      </c>
      <c r="AI1914">
        <v>0</v>
      </c>
      <c r="AJ1914">
        <v>9</v>
      </c>
      <c r="AK1914">
        <v>180</v>
      </c>
      <c r="AL1914">
        <v>180</v>
      </c>
      <c r="AM1914">
        <v>380</v>
      </c>
      <c r="AN1914">
        <v>44</v>
      </c>
      <c r="AP1914">
        <v>1</v>
      </c>
      <c r="AR1914" t="s">
        <v>2004</v>
      </c>
      <c r="AS1914" s="1">
        <v>44353.839247685188</v>
      </c>
      <c r="AT1914" s="1">
        <v>44354.00267361111</v>
      </c>
      <c r="AU1914" s="1">
        <v>44354.00341435185</v>
      </c>
      <c r="AV1914" t="s">
        <v>269</v>
      </c>
      <c r="AW1914" t="s">
        <v>270</v>
      </c>
      <c r="AX1914" t="s">
        <v>73</v>
      </c>
    </row>
    <row r="1915" spans="1:50" x14ac:dyDescent="0.3">
      <c r="A1915" t="str">
        <f>"200001C0100"</f>
        <v>200001C0100</v>
      </c>
      <c r="B1915" t="str">
        <f>"200001C01002"</f>
        <v>200001C01002</v>
      </c>
      <c r="C1915" t="str">
        <f t="shared" si="91"/>
        <v>20</v>
      </c>
      <c r="D1915" t="s">
        <v>67</v>
      </c>
      <c r="E1915" t="str">
        <f t="shared" si="94"/>
        <v>009</v>
      </c>
      <c r="F1915" t="s">
        <v>2003</v>
      </c>
      <c r="G1915" t="str">
        <f>"0001"</f>
        <v>0001</v>
      </c>
      <c r="H1915" t="str">
        <f>"0001"</f>
        <v>0001</v>
      </c>
      <c r="I1915" t="s">
        <v>75</v>
      </c>
      <c r="J1915">
        <v>0</v>
      </c>
      <c r="K1915">
        <v>1</v>
      </c>
      <c r="L1915">
        <v>2</v>
      </c>
      <c r="M1915">
        <v>244</v>
      </c>
      <c r="N1915">
        <v>180</v>
      </c>
      <c r="O1915">
        <v>0</v>
      </c>
      <c r="P1915">
        <v>180</v>
      </c>
      <c r="Q1915">
        <v>5</v>
      </c>
      <c r="R1915">
        <v>4</v>
      </c>
      <c r="S1915">
        <v>5</v>
      </c>
      <c r="T1915">
        <v>8</v>
      </c>
      <c r="U1915">
        <v>6</v>
      </c>
      <c r="V1915">
        <v>2</v>
      </c>
      <c r="W1915">
        <v>2</v>
      </c>
      <c r="X1915">
        <v>117</v>
      </c>
      <c r="Y1915">
        <v>0</v>
      </c>
      <c r="Z1915">
        <v>4</v>
      </c>
      <c r="AA1915">
        <v>0</v>
      </c>
      <c r="AB1915">
        <v>18</v>
      </c>
      <c r="AD1915">
        <v>0</v>
      </c>
      <c r="AE1915">
        <v>0</v>
      </c>
      <c r="AF1915">
        <v>0</v>
      </c>
      <c r="AG1915">
        <v>0</v>
      </c>
      <c r="AI1915">
        <v>0</v>
      </c>
      <c r="AJ1915">
        <v>9</v>
      </c>
      <c r="AK1915">
        <v>180</v>
      </c>
      <c r="AL1915">
        <v>180</v>
      </c>
      <c r="AM1915">
        <v>380</v>
      </c>
      <c r="AN1915">
        <v>44</v>
      </c>
      <c r="AP1915">
        <v>1</v>
      </c>
      <c r="AR1915" t="s">
        <v>2005</v>
      </c>
      <c r="AS1915" s="1">
        <v>44353.841122685182</v>
      </c>
      <c r="AT1915" s="1">
        <v>44354.002395833333</v>
      </c>
      <c r="AU1915" s="1">
        <v>44354.002835648149</v>
      </c>
      <c r="AV1915" t="s">
        <v>269</v>
      </c>
      <c r="AW1915" t="s">
        <v>270</v>
      </c>
      <c r="AX1915" t="s">
        <v>73</v>
      </c>
    </row>
    <row r="1916" spans="1:50" x14ac:dyDescent="0.3">
      <c r="A1916" t="str">
        <f>"200193B0000"</f>
        <v>200193B0000</v>
      </c>
      <c r="B1916" t="str">
        <f>"200193B00002"</f>
        <v>200193B00002</v>
      </c>
      <c r="C1916" t="str">
        <f t="shared" si="91"/>
        <v>20</v>
      </c>
      <c r="D1916" t="s">
        <v>67</v>
      </c>
      <c r="E1916" t="str">
        <f t="shared" si="94"/>
        <v>009</v>
      </c>
      <c r="F1916" t="s">
        <v>2003</v>
      </c>
      <c r="G1916" t="str">
        <f>"0193"</f>
        <v>0193</v>
      </c>
      <c r="H1916" t="str">
        <f>"0000"</f>
        <v>0000</v>
      </c>
      <c r="I1916" t="s">
        <v>69</v>
      </c>
      <c r="J1916">
        <v>0</v>
      </c>
      <c r="K1916">
        <v>1</v>
      </c>
      <c r="L1916">
        <v>2</v>
      </c>
      <c r="M1916">
        <v>221</v>
      </c>
      <c r="N1916">
        <v>249</v>
      </c>
      <c r="O1916">
        <v>2</v>
      </c>
      <c r="P1916">
        <v>249</v>
      </c>
      <c r="Q1916">
        <v>8</v>
      </c>
      <c r="R1916">
        <v>30</v>
      </c>
      <c r="S1916">
        <v>4</v>
      </c>
      <c r="T1916">
        <v>3</v>
      </c>
      <c r="U1916">
        <v>4</v>
      </c>
      <c r="V1916">
        <v>3</v>
      </c>
      <c r="W1916">
        <v>3</v>
      </c>
      <c r="X1916">
        <v>167</v>
      </c>
      <c r="Y1916">
        <v>0</v>
      </c>
      <c r="Z1916">
        <v>4</v>
      </c>
      <c r="AA1916">
        <v>1</v>
      </c>
      <c r="AB1916">
        <v>8</v>
      </c>
      <c r="AD1916">
        <v>1</v>
      </c>
      <c r="AE1916">
        <v>0</v>
      </c>
      <c r="AF1916">
        <v>0</v>
      </c>
      <c r="AG1916">
        <v>0</v>
      </c>
      <c r="AI1916">
        <v>1</v>
      </c>
      <c r="AJ1916">
        <v>12</v>
      </c>
      <c r="AK1916">
        <v>249</v>
      </c>
      <c r="AL1916">
        <v>249</v>
      </c>
      <c r="AM1916">
        <v>426</v>
      </c>
      <c r="AN1916">
        <v>44</v>
      </c>
      <c r="AP1916">
        <v>1</v>
      </c>
      <c r="AR1916" t="s">
        <v>2006</v>
      </c>
      <c r="AS1916" s="1">
        <v>44353.915277777778</v>
      </c>
      <c r="AT1916" s="1">
        <v>44353.91815972222</v>
      </c>
      <c r="AU1916" s="1">
        <v>44353.918657407405</v>
      </c>
      <c r="AV1916" t="s">
        <v>71</v>
      </c>
      <c r="AW1916" t="s">
        <v>72</v>
      </c>
      <c r="AX1916" t="s">
        <v>73</v>
      </c>
    </row>
    <row r="1917" spans="1:50" x14ac:dyDescent="0.3">
      <c r="A1917" t="str">
        <f>"200276B0000"</f>
        <v>200276B0000</v>
      </c>
      <c r="B1917" t="str">
        <f>"200276B00002"</f>
        <v>200276B00002</v>
      </c>
      <c r="C1917" t="str">
        <f t="shared" si="91"/>
        <v>20</v>
      </c>
      <c r="D1917" t="s">
        <v>67</v>
      </c>
      <c r="E1917" t="str">
        <f t="shared" si="94"/>
        <v>009</v>
      </c>
      <c r="F1917" t="s">
        <v>2003</v>
      </c>
      <c r="G1917" t="str">
        <f>"0276"</f>
        <v>0276</v>
      </c>
      <c r="H1917" t="str">
        <f>"0000"</f>
        <v>0000</v>
      </c>
      <c r="I1917" t="s">
        <v>69</v>
      </c>
      <c r="J1917">
        <v>0</v>
      </c>
      <c r="K1917">
        <v>1</v>
      </c>
      <c r="L1917">
        <v>2</v>
      </c>
      <c r="M1917">
        <v>364</v>
      </c>
      <c r="N1917">
        <v>249</v>
      </c>
      <c r="O1917">
        <v>0</v>
      </c>
      <c r="P1917">
        <v>249</v>
      </c>
      <c r="Q1917">
        <v>4</v>
      </c>
      <c r="R1917">
        <v>49</v>
      </c>
      <c r="S1917">
        <v>5</v>
      </c>
      <c r="T1917">
        <v>2</v>
      </c>
      <c r="U1917">
        <v>15</v>
      </c>
      <c r="V1917">
        <v>3</v>
      </c>
      <c r="W1917">
        <v>1</v>
      </c>
      <c r="X1917">
        <v>143</v>
      </c>
      <c r="Y1917">
        <v>1</v>
      </c>
      <c r="Z1917">
        <v>0</v>
      </c>
      <c r="AA1917">
        <v>2</v>
      </c>
      <c r="AB1917">
        <v>11</v>
      </c>
      <c r="AD1917">
        <v>5</v>
      </c>
      <c r="AE1917" t="s">
        <v>77</v>
      </c>
      <c r="AF1917" t="s">
        <v>77</v>
      </c>
      <c r="AG1917" t="s">
        <v>77</v>
      </c>
      <c r="AI1917" t="s">
        <v>77</v>
      </c>
      <c r="AJ1917">
        <v>8</v>
      </c>
      <c r="AK1917" t="s">
        <v>77</v>
      </c>
      <c r="AL1917">
        <v>249</v>
      </c>
      <c r="AM1917">
        <v>569</v>
      </c>
      <c r="AN1917">
        <v>44</v>
      </c>
      <c r="AO1917" t="s">
        <v>78</v>
      </c>
      <c r="AP1917">
        <v>1</v>
      </c>
      <c r="AR1917" t="s">
        <v>2007</v>
      </c>
      <c r="AS1917" s="1">
        <v>44353.916666666664</v>
      </c>
      <c r="AT1917" s="1">
        <v>44353.919178240743</v>
      </c>
      <c r="AU1917" s="1">
        <v>44353.919872685183</v>
      </c>
      <c r="AV1917" t="s">
        <v>71</v>
      </c>
      <c r="AW1917" t="s">
        <v>72</v>
      </c>
      <c r="AX1917" t="s">
        <v>73</v>
      </c>
    </row>
    <row r="1918" spans="1:50" x14ac:dyDescent="0.3">
      <c r="A1918" t="str">
        <f>"200276C0100"</f>
        <v>200276C0100</v>
      </c>
      <c r="B1918" t="str">
        <f>"200276C01002"</f>
        <v>200276C01002</v>
      </c>
      <c r="C1918" t="str">
        <f t="shared" si="91"/>
        <v>20</v>
      </c>
      <c r="D1918" t="s">
        <v>67</v>
      </c>
      <c r="E1918" t="str">
        <f t="shared" si="94"/>
        <v>009</v>
      </c>
      <c r="F1918" t="s">
        <v>2003</v>
      </c>
      <c r="G1918" t="str">
        <f>"0276"</f>
        <v>0276</v>
      </c>
      <c r="H1918" t="str">
        <f>"0001"</f>
        <v>0001</v>
      </c>
      <c r="I1918" t="s">
        <v>75</v>
      </c>
      <c r="J1918">
        <v>0</v>
      </c>
      <c r="K1918">
        <v>1</v>
      </c>
      <c r="L1918">
        <v>2</v>
      </c>
      <c r="M1918">
        <v>322</v>
      </c>
      <c r="N1918">
        <v>291</v>
      </c>
      <c r="O1918">
        <v>0</v>
      </c>
      <c r="P1918">
        <v>291</v>
      </c>
      <c r="Q1918">
        <v>7</v>
      </c>
      <c r="R1918">
        <v>64</v>
      </c>
      <c r="S1918">
        <v>3</v>
      </c>
      <c r="T1918">
        <v>3</v>
      </c>
      <c r="U1918">
        <v>16</v>
      </c>
      <c r="V1918">
        <v>3</v>
      </c>
      <c r="W1918">
        <v>3</v>
      </c>
      <c r="X1918">
        <v>163</v>
      </c>
      <c r="Y1918">
        <v>0</v>
      </c>
      <c r="Z1918">
        <v>5</v>
      </c>
      <c r="AA1918">
        <v>0</v>
      </c>
      <c r="AB1918">
        <v>10</v>
      </c>
      <c r="AD1918">
        <v>7</v>
      </c>
      <c r="AE1918">
        <v>0</v>
      </c>
      <c r="AF1918">
        <v>0</v>
      </c>
      <c r="AG1918">
        <v>0</v>
      </c>
      <c r="AI1918">
        <v>0</v>
      </c>
      <c r="AJ1918">
        <v>7</v>
      </c>
      <c r="AK1918">
        <v>291</v>
      </c>
      <c r="AL1918">
        <v>291</v>
      </c>
      <c r="AM1918">
        <v>569</v>
      </c>
      <c r="AN1918">
        <v>44</v>
      </c>
      <c r="AP1918">
        <v>1</v>
      </c>
      <c r="AR1918" t="s">
        <v>2008</v>
      </c>
      <c r="AS1918" s="1">
        <v>44353.913888888892</v>
      </c>
      <c r="AT1918" s="1">
        <v>44353.916747685187</v>
      </c>
      <c r="AU1918" s="1">
        <v>44353.917199074072</v>
      </c>
      <c r="AV1918" t="s">
        <v>71</v>
      </c>
      <c r="AW1918" t="s">
        <v>72</v>
      </c>
      <c r="AX1918" t="s">
        <v>73</v>
      </c>
    </row>
    <row r="1919" spans="1:50" x14ac:dyDescent="0.3">
      <c r="A1919" t="str">
        <f>"200276S0100"</f>
        <v>200276S0100</v>
      </c>
      <c r="B1919" t="str">
        <f>"200276S01002EMR"</f>
        <v>200276S01002EMR</v>
      </c>
      <c r="C1919" t="str">
        <f t="shared" si="91"/>
        <v>20</v>
      </c>
      <c r="D1919" t="s">
        <v>67</v>
      </c>
      <c r="E1919" t="str">
        <f t="shared" si="94"/>
        <v>009</v>
      </c>
      <c r="F1919" t="s">
        <v>2003</v>
      </c>
      <c r="G1919" t="str">
        <f>"0276"</f>
        <v>0276</v>
      </c>
      <c r="H1919" t="str">
        <f>"0001"</f>
        <v>0001</v>
      </c>
      <c r="I1919" t="s">
        <v>85</v>
      </c>
      <c r="J1919">
        <v>0</v>
      </c>
      <c r="K1919">
        <v>1</v>
      </c>
      <c r="L1919" t="s">
        <v>86</v>
      </c>
      <c r="AM1919">
        <v>0</v>
      </c>
      <c r="AN1919">
        <v>44</v>
      </c>
      <c r="AO1919" t="s">
        <v>143</v>
      </c>
      <c r="AP1919">
        <v>0</v>
      </c>
      <c r="AR1919" t="s">
        <v>2009</v>
      </c>
      <c r="AS1919" s="1">
        <v>44354.71597222222</v>
      </c>
      <c r="AT1919" s="1">
        <v>44354.720289351855</v>
      </c>
      <c r="AU1919" s="1">
        <v>44354.720289351855</v>
      </c>
      <c r="AV1919" t="s">
        <v>71</v>
      </c>
      <c r="AW1919" t="s">
        <v>72</v>
      </c>
      <c r="AX1919" t="s">
        <v>73</v>
      </c>
    </row>
    <row r="1920" spans="1:50" x14ac:dyDescent="0.3">
      <c r="A1920" t="str">
        <f>"200277B0000"</f>
        <v>200277B0000</v>
      </c>
      <c r="B1920" t="str">
        <f>"200277B00002"</f>
        <v>200277B00002</v>
      </c>
      <c r="C1920" t="str">
        <f t="shared" si="91"/>
        <v>20</v>
      </c>
      <c r="D1920" t="s">
        <v>67</v>
      </c>
      <c r="E1920" t="str">
        <f t="shared" si="94"/>
        <v>009</v>
      </c>
      <c r="F1920" t="s">
        <v>2003</v>
      </c>
      <c r="G1920" t="str">
        <f>"0277"</f>
        <v>0277</v>
      </c>
      <c r="H1920" t="str">
        <f>"0000"</f>
        <v>0000</v>
      </c>
      <c r="I1920" t="s">
        <v>69</v>
      </c>
      <c r="J1920">
        <v>0</v>
      </c>
      <c r="K1920">
        <v>1</v>
      </c>
      <c r="L1920">
        <v>2</v>
      </c>
      <c r="M1920">
        <v>354</v>
      </c>
      <c r="N1920">
        <v>289</v>
      </c>
      <c r="O1920">
        <v>1</v>
      </c>
      <c r="P1920">
        <v>289</v>
      </c>
      <c r="Q1920">
        <v>8</v>
      </c>
      <c r="R1920">
        <v>56</v>
      </c>
      <c r="S1920">
        <v>6</v>
      </c>
      <c r="T1920">
        <v>2</v>
      </c>
      <c r="U1920">
        <v>6</v>
      </c>
      <c r="V1920">
        <v>1</v>
      </c>
      <c r="W1920">
        <v>2</v>
      </c>
      <c r="X1920">
        <v>177</v>
      </c>
      <c r="Y1920">
        <v>1</v>
      </c>
      <c r="Z1920">
        <v>8</v>
      </c>
      <c r="AA1920">
        <v>1</v>
      </c>
      <c r="AB1920">
        <v>7</v>
      </c>
      <c r="AD1920">
        <v>2</v>
      </c>
      <c r="AE1920">
        <v>1</v>
      </c>
      <c r="AF1920">
        <v>0</v>
      </c>
      <c r="AG1920">
        <v>0</v>
      </c>
      <c r="AI1920">
        <v>0</v>
      </c>
      <c r="AJ1920">
        <v>11</v>
      </c>
      <c r="AK1920">
        <v>289</v>
      </c>
      <c r="AL1920">
        <v>289</v>
      </c>
      <c r="AM1920">
        <v>599</v>
      </c>
      <c r="AN1920">
        <v>44</v>
      </c>
      <c r="AP1920">
        <v>1</v>
      </c>
      <c r="AR1920" t="s">
        <v>2010</v>
      </c>
      <c r="AS1920" s="1">
        <v>44353.949305555558</v>
      </c>
      <c r="AT1920" s="1">
        <v>44353.952685185184</v>
      </c>
      <c r="AU1920" s="1">
        <v>44353.953067129631</v>
      </c>
      <c r="AV1920" t="s">
        <v>71</v>
      </c>
      <c r="AW1920" t="s">
        <v>72</v>
      </c>
      <c r="AX1920" t="s">
        <v>73</v>
      </c>
    </row>
    <row r="1921" spans="1:50" x14ac:dyDescent="0.3">
      <c r="A1921" t="str">
        <f>"200277C0100"</f>
        <v>200277C0100</v>
      </c>
      <c r="B1921" t="str">
        <f>"200277C01002"</f>
        <v>200277C01002</v>
      </c>
      <c r="C1921" t="str">
        <f t="shared" si="91"/>
        <v>20</v>
      </c>
      <c r="D1921" t="s">
        <v>67</v>
      </c>
      <c r="E1921" t="str">
        <f t="shared" si="94"/>
        <v>009</v>
      </c>
      <c r="F1921" t="s">
        <v>2003</v>
      </c>
      <c r="G1921" t="str">
        <f>"0277"</f>
        <v>0277</v>
      </c>
      <c r="H1921" t="str">
        <f>"0001"</f>
        <v>0001</v>
      </c>
      <c r="I1921" t="s">
        <v>75</v>
      </c>
      <c r="J1921">
        <v>0</v>
      </c>
      <c r="K1921">
        <v>1</v>
      </c>
      <c r="L1921">
        <v>2</v>
      </c>
      <c r="M1921">
        <v>348</v>
      </c>
      <c r="N1921">
        <v>294</v>
      </c>
      <c r="O1921">
        <v>0</v>
      </c>
      <c r="P1921">
        <v>294</v>
      </c>
      <c r="Q1921">
        <v>4</v>
      </c>
      <c r="R1921">
        <v>47</v>
      </c>
      <c r="S1921">
        <v>2</v>
      </c>
      <c r="T1921">
        <v>5</v>
      </c>
      <c r="U1921">
        <v>15</v>
      </c>
      <c r="V1921">
        <v>4</v>
      </c>
      <c r="W1921">
        <v>2</v>
      </c>
      <c r="X1921">
        <v>193</v>
      </c>
      <c r="Y1921">
        <v>2</v>
      </c>
      <c r="Z1921">
        <v>1</v>
      </c>
      <c r="AA1921">
        <v>2</v>
      </c>
      <c r="AB1921">
        <v>4</v>
      </c>
      <c r="AD1921">
        <v>1</v>
      </c>
      <c r="AE1921">
        <v>1</v>
      </c>
      <c r="AF1921">
        <v>0</v>
      </c>
      <c r="AG1921">
        <v>0</v>
      </c>
      <c r="AI1921">
        <v>0</v>
      </c>
      <c r="AJ1921">
        <v>11</v>
      </c>
      <c r="AK1921">
        <v>294</v>
      </c>
      <c r="AL1921">
        <v>294</v>
      </c>
      <c r="AM1921">
        <v>598</v>
      </c>
      <c r="AN1921">
        <v>44</v>
      </c>
      <c r="AP1921">
        <v>1</v>
      </c>
      <c r="AR1921" t="s">
        <v>2011</v>
      </c>
      <c r="AS1921" s="1">
        <v>44353.75</v>
      </c>
      <c r="AT1921" s="1">
        <v>44353.957013888888</v>
      </c>
      <c r="AU1921" s="1">
        <v>44353.957592592589</v>
      </c>
      <c r="AV1921" t="s">
        <v>71</v>
      </c>
      <c r="AW1921" t="s">
        <v>72</v>
      </c>
      <c r="AX1921" t="s">
        <v>73</v>
      </c>
    </row>
    <row r="1922" spans="1:50" x14ac:dyDescent="0.3">
      <c r="A1922" t="str">
        <f>"200277E0100"</f>
        <v>200277E0100</v>
      </c>
      <c r="B1922" t="str">
        <f>"200277E01002"</f>
        <v>200277E01002</v>
      </c>
      <c r="C1922" t="str">
        <f t="shared" si="91"/>
        <v>20</v>
      </c>
      <c r="D1922" t="s">
        <v>67</v>
      </c>
      <c r="E1922" t="str">
        <f t="shared" si="94"/>
        <v>009</v>
      </c>
      <c r="F1922" t="s">
        <v>2003</v>
      </c>
      <c r="G1922" t="str">
        <f>"0277"</f>
        <v>0277</v>
      </c>
      <c r="H1922" t="str">
        <f>"0001"</f>
        <v>0001</v>
      </c>
      <c r="I1922" t="s">
        <v>109</v>
      </c>
      <c r="J1922">
        <v>0</v>
      </c>
      <c r="K1922">
        <v>1</v>
      </c>
      <c r="L1922">
        <v>2</v>
      </c>
      <c r="M1922">
        <v>115</v>
      </c>
      <c r="N1922">
        <v>76</v>
      </c>
      <c r="O1922">
        <v>0</v>
      </c>
      <c r="P1922">
        <v>76</v>
      </c>
      <c r="Q1922">
        <v>1</v>
      </c>
      <c r="R1922">
        <v>11</v>
      </c>
      <c r="S1922">
        <v>1</v>
      </c>
      <c r="T1922">
        <v>3</v>
      </c>
      <c r="U1922">
        <v>0</v>
      </c>
      <c r="V1922">
        <v>5</v>
      </c>
      <c r="W1922">
        <v>1</v>
      </c>
      <c r="X1922">
        <v>52</v>
      </c>
      <c r="Y1922">
        <v>0</v>
      </c>
      <c r="Z1922">
        <v>0</v>
      </c>
      <c r="AA1922">
        <v>1</v>
      </c>
      <c r="AB1922" t="s">
        <v>77</v>
      </c>
      <c r="AD1922">
        <v>0</v>
      </c>
      <c r="AE1922">
        <v>0</v>
      </c>
      <c r="AF1922">
        <v>0</v>
      </c>
      <c r="AG1922">
        <v>0</v>
      </c>
      <c r="AI1922">
        <v>0</v>
      </c>
      <c r="AJ1922">
        <v>1</v>
      </c>
      <c r="AK1922">
        <v>76</v>
      </c>
      <c r="AL1922">
        <v>76</v>
      </c>
      <c r="AM1922">
        <v>147</v>
      </c>
      <c r="AN1922">
        <v>44</v>
      </c>
      <c r="AO1922" t="s">
        <v>78</v>
      </c>
      <c r="AP1922">
        <v>1</v>
      </c>
      <c r="AR1922" t="s">
        <v>2012</v>
      </c>
      <c r="AS1922" s="1">
        <v>44353.918749999997</v>
      </c>
      <c r="AT1922" s="1">
        <v>44353.922199074077</v>
      </c>
      <c r="AU1922" s="1">
        <v>44353.922673611109</v>
      </c>
      <c r="AV1922" t="s">
        <v>71</v>
      </c>
      <c r="AW1922" t="s">
        <v>72</v>
      </c>
      <c r="AX1922" t="s">
        <v>73</v>
      </c>
    </row>
    <row r="1923" spans="1:50" x14ac:dyDescent="0.3">
      <c r="A1923" t="str">
        <f>"200278B0000"</f>
        <v>200278B0000</v>
      </c>
      <c r="B1923" t="str">
        <f>"200278B00002"</f>
        <v>200278B00002</v>
      </c>
      <c r="C1923" t="str">
        <f t="shared" si="91"/>
        <v>20</v>
      </c>
      <c r="D1923" t="s">
        <v>67</v>
      </c>
      <c r="E1923" t="str">
        <f t="shared" si="94"/>
        <v>009</v>
      </c>
      <c r="F1923" t="s">
        <v>2003</v>
      </c>
      <c r="G1923" t="str">
        <f>"0278"</f>
        <v>0278</v>
      </c>
      <c r="H1923" t="str">
        <f>"0000"</f>
        <v>0000</v>
      </c>
      <c r="I1923" t="s">
        <v>69</v>
      </c>
      <c r="J1923">
        <v>0</v>
      </c>
      <c r="K1923">
        <v>1</v>
      </c>
      <c r="L1923">
        <v>2</v>
      </c>
      <c r="M1923">
        <v>337</v>
      </c>
      <c r="N1923">
        <v>218</v>
      </c>
      <c r="O1923">
        <v>1</v>
      </c>
      <c r="P1923">
        <v>218</v>
      </c>
      <c r="Q1923">
        <v>7</v>
      </c>
      <c r="R1923">
        <v>41</v>
      </c>
      <c r="S1923">
        <v>1</v>
      </c>
      <c r="T1923">
        <v>2</v>
      </c>
      <c r="U1923">
        <v>3</v>
      </c>
      <c r="V1923">
        <v>0</v>
      </c>
      <c r="W1923">
        <v>1</v>
      </c>
      <c r="X1923">
        <v>146</v>
      </c>
      <c r="Y1923">
        <v>2</v>
      </c>
      <c r="Z1923">
        <v>3</v>
      </c>
      <c r="AA1923">
        <v>4</v>
      </c>
      <c r="AB1923">
        <v>1</v>
      </c>
      <c r="AD1923">
        <v>0</v>
      </c>
      <c r="AE1923">
        <v>0</v>
      </c>
      <c r="AF1923">
        <v>1</v>
      </c>
      <c r="AG1923">
        <v>0</v>
      </c>
      <c r="AI1923">
        <v>0</v>
      </c>
      <c r="AJ1923">
        <v>6</v>
      </c>
      <c r="AK1923">
        <v>218</v>
      </c>
      <c r="AL1923">
        <v>218</v>
      </c>
      <c r="AM1923">
        <v>511</v>
      </c>
      <c r="AN1923">
        <v>44</v>
      </c>
      <c r="AP1923">
        <v>1</v>
      </c>
      <c r="AR1923" t="s">
        <v>2013</v>
      </c>
      <c r="AS1923" s="1">
        <v>44354.234722222223</v>
      </c>
      <c r="AT1923" s="1">
        <v>44354.238761574074</v>
      </c>
      <c r="AU1923" s="1">
        <v>44354.23914351852</v>
      </c>
      <c r="AV1923" t="s">
        <v>71</v>
      </c>
      <c r="AW1923" t="s">
        <v>72</v>
      </c>
      <c r="AX1923" t="s">
        <v>73</v>
      </c>
    </row>
    <row r="1924" spans="1:50" x14ac:dyDescent="0.3">
      <c r="A1924" t="str">
        <f>"200278E0100"</f>
        <v>200278E0100</v>
      </c>
      <c r="B1924" t="str">
        <f>"200278E01002"</f>
        <v>200278E01002</v>
      </c>
      <c r="C1924" t="str">
        <f t="shared" si="91"/>
        <v>20</v>
      </c>
      <c r="D1924" t="s">
        <v>67</v>
      </c>
      <c r="E1924" t="str">
        <f t="shared" si="94"/>
        <v>009</v>
      </c>
      <c r="F1924" t="s">
        <v>2003</v>
      </c>
      <c r="G1924" t="str">
        <f>"0278"</f>
        <v>0278</v>
      </c>
      <c r="H1924" t="str">
        <f>"0001"</f>
        <v>0001</v>
      </c>
      <c r="I1924" t="s">
        <v>109</v>
      </c>
      <c r="J1924">
        <v>0</v>
      </c>
      <c r="K1924">
        <v>1</v>
      </c>
      <c r="L1924">
        <v>2</v>
      </c>
      <c r="M1924">
        <v>289</v>
      </c>
      <c r="N1924">
        <v>235</v>
      </c>
      <c r="O1924">
        <v>0</v>
      </c>
      <c r="P1924">
        <v>235</v>
      </c>
      <c r="Q1924">
        <v>3</v>
      </c>
      <c r="R1924">
        <v>58</v>
      </c>
      <c r="S1924">
        <v>0</v>
      </c>
      <c r="T1924">
        <v>4</v>
      </c>
      <c r="U1924">
        <v>3</v>
      </c>
      <c r="V1924">
        <v>4</v>
      </c>
      <c r="W1924">
        <v>0</v>
      </c>
      <c r="X1924">
        <v>155</v>
      </c>
      <c r="Y1924">
        <v>1</v>
      </c>
      <c r="Z1924">
        <v>2</v>
      </c>
      <c r="AA1924">
        <v>2</v>
      </c>
      <c r="AB1924">
        <v>0</v>
      </c>
      <c r="AD1924">
        <v>0</v>
      </c>
      <c r="AE1924">
        <v>0</v>
      </c>
      <c r="AF1924">
        <v>0</v>
      </c>
      <c r="AG1924">
        <v>0</v>
      </c>
      <c r="AI1924">
        <v>0</v>
      </c>
      <c r="AJ1924">
        <v>3</v>
      </c>
      <c r="AK1924">
        <v>235</v>
      </c>
      <c r="AL1924">
        <v>235</v>
      </c>
      <c r="AM1924">
        <v>480</v>
      </c>
      <c r="AN1924">
        <v>44</v>
      </c>
      <c r="AP1924">
        <v>1</v>
      </c>
      <c r="AR1924" t="s">
        <v>2014</v>
      </c>
      <c r="AS1924" s="1">
        <v>44354.23541666667</v>
      </c>
      <c r="AT1924" s="1">
        <v>44354.239074074074</v>
      </c>
      <c r="AU1924" s="1">
        <v>44354.239479166667</v>
      </c>
      <c r="AV1924" t="s">
        <v>71</v>
      </c>
      <c r="AW1924" t="s">
        <v>72</v>
      </c>
      <c r="AX1924" t="s">
        <v>73</v>
      </c>
    </row>
    <row r="1925" spans="1:50" x14ac:dyDescent="0.3">
      <c r="A1925" t="str">
        <f>"200279B0000"</f>
        <v>200279B0000</v>
      </c>
      <c r="B1925" t="str">
        <f>"200279B00002"</f>
        <v>200279B00002</v>
      </c>
      <c r="C1925" t="str">
        <f t="shared" si="91"/>
        <v>20</v>
      </c>
      <c r="D1925" t="s">
        <v>67</v>
      </c>
      <c r="E1925" t="str">
        <f t="shared" si="94"/>
        <v>009</v>
      </c>
      <c r="F1925" t="s">
        <v>2003</v>
      </c>
      <c r="G1925" t="str">
        <f>"0279"</f>
        <v>0279</v>
      </c>
      <c r="H1925" t="str">
        <f>"0000"</f>
        <v>0000</v>
      </c>
      <c r="I1925" t="s">
        <v>69</v>
      </c>
      <c r="J1925">
        <v>0</v>
      </c>
      <c r="K1925">
        <v>1</v>
      </c>
      <c r="L1925">
        <v>2</v>
      </c>
      <c r="M1925">
        <v>175</v>
      </c>
      <c r="N1925">
        <v>0</v>
      </c>
      <c r="O1925">
        <v>0</v>
      </c>
      <c r="P1925">
        <v>100</v>
      </c>
      <c r="Q1925">
        <v>1</v>
      </c>
      <c r="R1925">
        <v>29</v>
      </c>
      <c r="S1925">
        <v>3</v>
      </c>
      <c r="T1925">
        <v>1</v>
      </c>
      <c r="U1925">
        <v>5</v>
      </c>
      <c r="V1925">
        <v>0</v>
      </c>
      <c r="W1925">
        <v>4</v>
      </c>
      <c r="X1925">
        <v>36</v>
      </c>
      <c r="Y1925">
        <v>1</v>
      </c>
      <c r="Z1925">
        <v>4</v>
      </c>
      <c r="AA1925">
        <v>1</v>
      </c>
      <c r="AB1925">
        <v>1</v>
      </c>
      <c r="AD1925">
        <v>0</v>
      </c>
      <c r="AE1925">
        <v>0</v>
      </c>
      <c r="AF1925">
        <v>0</v>
      </c>
      <c r="AG1925">
        <v>0</v>
      </c>
      <c r="AI1925">
        <v>0</v>
      </c>
      <c r="AJ1925">
        <v>0</v>
      </c>
      <c r="AK1925">
        <v>0</v>
      </c>
      <c r="AL1925">
        <v>86</v>
      </c>
      <c r="AM1925">
        <v>231</v>
      </c>
      <c r="AN1925">
        <v>44</v>
      </c>
      <c r="AP1925">
        <v>1</v>
      </c>
      <c r="AR1925" t="s">
        <v>2015</v>
      </c>
      <c r="AS1925" s="1">
        <v>44354.113888888889</v>
      </c>
      <c r="AT1925" s="1">
        <v>44354.117858796293</v>
      </c>
      <c r="AU1925" s="1">
        <v>44354.118171296293</v>
      </c>
      <c r="AV1925" t="s">
        <v>71</v>
      </c>
      <c r="AW1925" t="s">
        <v>72</v>
      </c>
      <c r="AX1925" t="s">
        <v>73</v>
      </c>
    </row>
    <row r="1926" spans="1:50" x14ac:dyDescent="0.3">
      <c r="A1926" t="str">
        <f>"200279E0100"</f>
        <v>200279E0100</v>
      </c>
      <c r="B1926" t="str">
        <f>"200279E01002"</f>
        <v>200279E01002</v>
      </c>
      <c r="C1926" t="str">
        <f t="shared" si="91"/>
        <v>20</v>
      </c>
      <c r="D1926" t="s">
        <v>67</v>
      </c>
      <c r="E1926" t="str">
        <f t="shared" si="94"/>
        <v>009</v>
      </c>
      <c r="F1926" t="s">
        <v>2003</v>
      </c>
      <c r="G1926" t="str">
        <f>"0279"</f>
        <v>0279</v>
      </c>
      <c r="H1926" t="str">
        <f>"0001"</f>
        <v>0001</v>
      </c>
      <c r="I1926" t="s">
        <v>109</v>
      </c>
      <c r="J1926">
        <v>0</v>
      </c>
      <c r="K1926">
        <v>1</v>
      </c>
      <c r="L1926">
        <v>2</v>
      </c>
      <c r="M1926">
        <v>144</v>
      </c>
      <c r="N1926">
        <v>114</v>
      </c>
      <c r="O1926" t="s">
        <v>80</v>
      </c>
      <c r="P1926">
        <v>114</v>
      </c>
      <c r="Q1926">
        <v>2</v>
      </c>
      <c r="R1926">
        <v>23</v>
      </c>
      <c r="S1926">
        <v>1</v>
      </c>
      <c r="T1926">
        <v>3</v>
      </c>
      <c r="U1926">
        <v>2</v>
      </c>
      <c r="V1926">
        <v>5</v>
      </c>
      <c r="W1926">
        <v>2</v>
      </c>
      <c r="X1926">
        <v>65</v>
      </c>
      <c r="Y1926">
        <v>0</v>
      </c>
      <c r="Z1926">
        <v>2</v>
      </c>
      <c r="AA1926">
        <v>0</v>
      </c>
      <c r="AB1926">
        <v>0</v>
      </c>
      <c r="AD1926">
        <v>1</v>
      </c>
      <c r="AE1926">
        <v>0</v>
      </c>
      <c r="AF1926">
        <v>0</v>
      </c>
      <c r="AG1926">
        <v>0</v>
      </c>
      <c r="AI1926" t="s">
        <v>77</v>
      </c>
      <c r="AJ1926">
        <v>8</v>
      </c>
      <c r="AK1926">
        <v>114</v>
      </c>
      <c r="AL1926">
        <v>114</v>
      </c>
      <c r="AM1926">
        <v>214</v>
      </c>
      <c r="AN1926">
        <v>44</v>
      </c>
      <c r="AO1926" t="s">
        <v>78</v>
      </c>
      <c r="AP1926">
        <v>1</v>
      </c>
      <c r="AR1926" t="s">
        <v>2016</v>
      </c>
      <c r="AS1926" s="1">
        <v>44354.112500000003</v>
      </c>
      <c r="AT1926" s="1">
        <v>44354.116296296299</v>
      </c>
      <c r="AU1926" s="1">
        <v>44354.116956018515</v>
      </c>
      <c r="AV1926" t="s">
        <v>71</v>
      </c>
      <c r="AW1926" t="s">
        <v>72</v>
      </c>
      <c r="AX1926" t="s">
        <v>73</v>
      </c>
    </row>
    <row r="1927" spans="1:50" x14ac:dyDescent="0.3">
      <c r="A1927" t="str">
        <f>"200280B0000"</f>
        <v>200280B0000</v>
      </c>
      <c r="B1927" t="str">
        <f>"200280B00002"</f>
        <v>200280B00002</v>
      </c>
      <c r="C1927" t="str">
        <f t="shared" ref="C1927:C1990" si="95">"20"</f>
        <v>20</v>
      </c>
      <c r="D1927" t="s">
        <v>67</v>
      </c>
      <c r="E1927" t="str">
        <f t="shared" si="94"/>
        <v>009</v>
      </c>
      <c r="F1927" t="s">
        <v>2003</v>
      </c>
      <c r="G1927" t="str">
        <f>"0280"</f>
        <v>0280</v>
      </c>
      <c r="H1927" t="str">
        <f>"0000"</f>
        <v>0000</v>
      </c>
      <c r="I1927" t="s">
        <v>69</v>
      </c>
      <c r="J1927">
        <v>0</v>
      </c>
      <c r="K1927">
        <v>1</v>
      </c>
      <c r="L1927">
        <v>2</v>
      </c>
      <c r="M1927">
        <v>209</v>
      </c>
      <c r="N1927">
        <v>183</v>
      </c>
      <c r="O1927">
        <v>0</v>
      </c>
      <c r="P1927">
        <v>183</v>
      </c>
      <c r="Q1927">
        <v>5</v>
      </c>
      <c r="R1927">
        <v>15</v>
      </c>
      <c r="S1927">
        <v>8</v>
      </c>
      <c r="T1927">
        <v>7</v>
      </c>
      <c r="U1927">
        <v>6</v>
      </c>
      <c r="V1927">
        <v>6</v>
      </c>
      <c r="W1927">
        <v>8</v>
      </c>
      <c r="X1927">
        <v>112</v>
      </c>
      <c r="Y1927">
        <v>0</v>
      </c>
      <c r="Z1927">
        <v>3</v>
      </c>
      <c r="AA1927">
        <v>2</v>
      </c>
      <c r="AB1927">
        <v>3</v>
      </c>
      <c r="AD1927">
        <v>0</v>
      </c>
      <c r="AE1927">
        <v>0</v>
      </c>
      <c r="AF1927">
        <v>0</v>
      </c>
      <c r="AG1927">
        <v>0</v>
      </c>
      <c r="AI1927">
        <v>0</v>
      </c>
      <c r="AJ1927">
        <v>8</v>
      </c>
      <c r="AK1927">
        <v>183</v>
      </c>
      <c r="AL1927">
        <v>183</v>
      </c>
      <c r="AM1927">
        <v>348</v>
      </c>
      <c r="AN1927">
        <v>44</v>
      </c>
      <c r="AP1927">
        <v>1</v>
      </c>
      <c r="AR1927" t="s">
        <v>2017</v>
      </c>
      <c r="AS1927" s="1">
        <v>44354.161111111112</v>
      </c>
      <c r="AT1927" s="1">
        <v>44354.163298611114</v>
      </c>
      <c r="AU1927" s="1">
        <v>44354.163888888892</v>
      </c>
      <c r="AV1927" t="s">
        <v>71</v>
      </c>
      <c r="AW1927" t="s">
        <v>72</v>
      </c>
      <c r="AX1927" t="s">
        <v>73</v>
      </c>
    </row>
    <row r="1928" spans="1:50" x14ac:dyDescent="0.3">
      <c r="A1928" t="str">
        <f>"200281B0000"</f>
        <v>200281B0000</v>
      </c>
      <c r="B1928" t="str">
        <f>"200281B00002"</f>
        <v>200281B00002</v>
      </c>
      <c r="C1928" t="str">
        <f t="shared" si="95"/>
        <v>20</v>
      </c>
      <c r="D1928" t="s">
        <v>67</v>
      </c>
      <c r="E1928" t="str">
        <f t="shared" si="94"/>
        <v>009</v>
      </c>
      <c r="F1928" t="s">
        <v>2003</v>
      </c>
      <c r="G1928" t="str">
        <f>"0281"</f>
        <v>0281</v>
      </c>
      <c r="H1928" t="str">
        <f>"0000"</f>
        <v>0000</v>
      </c>
      <c r="I1928" t="s">
        <v>69</v>
      </c>
      <c r="J1928">
        <v>0</v>
      </c>
      <c r="K1928">
        <v>1</v>
      </c>
      <c r="L1928">
        <v>2</v>
      </c>
      <c r="M1928">
        <v>441</v>
      </c>
      <c r="N1928">
        <v>330</v>
      </c>
      <c r="O1928">
        <v>0</v>
      </c>
      <c r="P1928">
        <v>330</v>
      </c>
      <c r="Q1928">
        <v>5</v>
      </c>
      <c r="R1928">
        <v>61</v>
      </c>
      <c r="S1928">
        <v>11</v>
      </c>
      <c r="T1928">
        <v>4</v>
      </c>
      <c r="U1928">
        <v>7</v>
      </c>
      <c r="V1928">
        <v>5</v>
      </c>
      <c r="W1928">
        <v>5</v>
      </c>
      <c r="X1928">
        <v>214</v>
      </c>
      <c r="Y1928">
        <v>2</v>
      </c>
      <c r="Z1928">
        <v>8</v>
      </c>
      <c r="AA1928">
        <v>1</v>
      </c>
      <c r="AB1928">
        <v>1</v>
      </c>
      <c r="AD1928" t="s">
        <v>77</v>
      </c>
      <c r="AE1928" t="s">
        <v>77</v>
      </c>
      <c r="AF1928" t="s">
        <v>77</v>
      </c>
      <c r="AG1928" t="s">
        <v>77</v>
      </c>
      <c r="AI1928" t="s">
        <v>77</v>
      </c>
      <c r="AJ1928" t="s">
        <v>77</v>
      </c>
      <c r="AK1928" t="s">
        <v>77</v>
      </c>
      <c r="AL1928">
        <v>324</v>
      </c>
      <c r="AM1928">
        <v>727</v>
      </c>
      <c r="AN1928">
        <v>44</v>
      </c>
      <c r="AO1928" t="s">
        <v>78</v>
      </c>
      <c r="AP1928">
        <v>1</v>
      </c>
      <c r="AR1928" t="s">
        <v>2018</v>
      </c>
      <c r="AS1928" s="1">
        <v>44354.161111111112</v>
      </c>
      <c r="AT1928" s="1">
        <v>44354.166608796295</v>
      </c>
      <c r="AU1928" s="1">
        <v>44354.167326388888</v>
      </c>
      <c r="AV1928" t="s">
        <v>71</v>
      </c>
      <c r="AW1928" t="s">
        <v>72</v>
      </c>
      <c r="AX1928" t="s">
        <v>73</v>
      </c>
    </row>
    <row r="1929" spans="1:50" x14ac:dyDescent="0.3">
      <c r="A1929" t="str">
        <f>"200282B0000"</f>
        <v>200282B0000</v>
      </c>
      <c r="B1929" t="str">
        <f>"200282B00002"</f>
        <v>200282B00002</v>
      </c>
      <c r="C1929" t="str">
        <f t="shared" si="95"/>
        <v>20</v>
      </c>
      <c r="D1929" t="s">
        <v>67</v>
      </c>
      <c r="E1929" t="str">
        <f t="shared" si="94"/>
        <v>009</v>
      </c>
      <c r="F1929" t="s">
        <v>2003</v>
      </c>
      <c r="G1929" t="str">
        <f>"0282"</f>
        <v>0282</v>
      </c>
      <c r="H1929" t="str">
        <f>"0000"</f>
        <v>0000</v>
      </c>
      <c r="I1929" t="s">
        <v>69</v>
      </c>
      <c r="J1929">
        <v>0</v>
      </c>
      <c r="K1929">
        <v>1</v>
      </c>
      <c r="L1929">
        <v>2</v>
      </c>
      <c r="M1929">
        <v>270</v>
      </c>
      <c r="N1929">
        <v>119</v>
      </c>
      <c r="O1929">
        <v>0</v>
      </c>
      <c r="P1929">
        <v>119</v>
      </c>
      <c r="Q1929">
        <v>5</v>
      </c>
      <c r="R1929">
        <v>14</v>
      </c>
      <c r="S1929">
        <v>4</v>
      </c>
      <c r="T1929">
        <v>4</v>
      </c>
      <c r="U1929">
        <v>1</v>
      </c>
      <c r="V1929">
        <v>5</v>
      </c>
      <c r="W1929">
        <v>1</v>
      </c>
      <c r="X1929">
        <v>74</v>
      </c>
      <c r="Y1929">
        <v>1</v>
      </c>
      <c r="Z1929">
        <v>3</v>
      </c>
      <c r="AA1929">
        <v>0</v>
      </c>
      <c r="AB1929">
        <v>3</v>
      </c>
      <c r="AD1929">
        <v>0</v>
      </c>
      <c r="AE1929">
        <v>0</v>
      </c>
      <c r="AF1929">
        <v>0</v>
      </c>
      <c r="AG1929">
        <v>1</v>
      </c>
      <c r="AI1929">
        <v>0</v>
      </c>
      <c r="AJ1929">
        <v>3</v>
      </c>
      <c r="AK1929">
        <v>119</v>
      </c>
      <c r="AL1929">
        <v>119</v>
      </c>
      <c r="AM1929">
        <v>345</v>
      </c>
      <c r="AN1929">
        <v>44</v>
      </c>
      <c r="AP1929">
        <v>1</v>
      </c>
      <c r="AR1929" t="s">
        <v>2019</v>
      </c>
      <c r="AS1929" s="1">
        <v>44354.161805555559</v>
      </c>
      <c r="AT1929" s="1">
        <v>44354.16615740741</v>
      </c>
      <c r="AU1929" s="1">
        <v>44354.166851851849</v>
      </c>
      <c r="AV1929" t="s">
        <v>71</v>
      </c>
      <c r="AW1929" t="s">
        <v>72</v>
      </c>
      <c r="AX1929" t="s">
        <v>73</v>
      </c>
    </row>
    <row r="1930" spans="1:50" x14ac:dyDescent="0.3">
      <c r="A1930" t="str">
        <f>"200282E0100"</f>
        <v>200282E0100</v>
      </c>
      <c r="B1930" t="str">
        <f>"200282E01002"</f>
        <v>200282E01002</v>
      </c>
      <c r="C1930" t="str">
        <f t="shared" si="95"/>
        <v>20</v>
      </c>
      <c r="D1930" t="s">
        <v>67</v>
      </c>
      <c r="E1930" t="str">
        <f t="shared" si="94"/>
        <v>009</v>
      </c>
      <c r="F1930" t="s">
        <v>2003</v>
      </c>
      <c r="G1930" t="str">
        <f>"0282"</f>
        <v>0282</v>
      </c>
      <c r="H1930" t="str">
        <f>"0001"</f>
        <v>0001</v>
      </c>
      <c r="I1930" t="s">
        <v>109</v>
      </c>
      <c r="J1930">
        <v>0</v>
      </c>
      <c r="K1930">
        <v>1</v>
      </c>
      <c r="L1930">
        <v>2</v>
      </c>
      <c r="M1930">
        <v>157</v>
      </c>
      <c r="N1930">
        <v>220</v>
      </c>
      <c r="O1930">
        <v>2</v>
      </c>
      <c r="P1930">
        <v>220</v>
      </c>
      <c r="Q1930">
        <v>3</v>
      </c>
      <c r="R1930">
        <v>5</v>
      </c>
      <c r="S1930">
        <v>0</v>
      </c>
      <c r="T1930">
        <v>23</v>
      </c>
      <c r="U1930">
        <v>3</v>
      </c>
      <c r="V1930">
        <v>1</v>
      </c>
      <c r="W1930">
        <v>8</v>
      </c>
      <c r="X1930">
        <v>169</v>
      </c>
      <c r="Y1930">
        <v>0</v>
      </c>
      <c r="Z1930">
        <v>3</v>
      </c>
      <c r="AA1930">
        <v>2</v>
      </c>
      <c r="AB1930">
        <v>0</v>
      </c>
      <c r="AD1930">
        <v>0</v>
      </c>
      <c r="AE1930">
        <v>0</v>
      </c>
      <c r="AF1930">
        <v>0</v>
      </c>
      <c r="AG1930">
        <v>0</v>
      </c>
      <c r="AI1930">
        <v>0</v>
      </c>
      <c r="AJ1930">
        <v>3</v>
      </c>
      <c r="AK1930">
        <v>220</v>
      </c>
      <c r="AL1930">
        <v>220</v>
      </c>
      <c r="AM1930">
        <v>333</v>
      </c>
      <c r="AN1930">
        <v>44</v>
      </c>
      <c r="AP1930">
        <v>1</v>
      </c>
      <c r="AR1930" t="s">
        <v>2020</v>
      </c>
      <c r="AS1930" s="1">
        <v>44354.131944444445</v>
      </c>
      <c r="AT1930" s="1">
        <v>44354.134270833332</v>
      </c>
      <c r="AU1930" s="1">
        <v>44354.134965277779</v>
      </c>
      <c r="AV1930" t="s">
        <v>71</v>
      </c>
      <c r="AW1930" t="s">
        <v>72</v>
      </c>
      <c r="AX1930" t="s">
        <v>73</v>
      </c>
    </row>
    <row r="1931" spans="1:50" x14ac:dyDescent="0.3">
      <c r="A1931" t="str">
        <f>"200365B0000"</f>
        <v>200365B0000</v>
      </c>
      <c r="B1931" t="str">
        <f>"200365B00002"</f>
        <v>200365B00002</v>
      </c>
      <c r="C1931" t="str">
        <f t="shared" si="95"/>
        <v>20</v>
      </c>
      <c r="D1931" t="s">
        <v>67</v>
      </c>
      <c r="E1931" t="str">
        <f t="shared" si="94"/>
        <v>009</v>
      </c>
      <c r="F1931" t="s">
        <v>2003</v>
      </c>
      <c r="G1931" t="str">
        <f>"0365"</f>
        <v>0365</v>
      </c>
      <c r="H1931" t="str">
        <f>"0000"</f>
        <v>0000</v>
      </c>
      <c r="I1931" t="s">
        <v>69</v>
      </c>
      <c r="J1931">
        <v>0</v>
      </c>
      <c r="K1931">
        <v>1</v>
      </c>
      <c r="L1931">
        <v>2</v>
      </c>
      <c r="M1931">
        <v>449</v>
      </c>
      <c r="N1931">
        <v>274</v>
      </c>
      <c r="O1931">
        <v>2</v>
      </c>
      <c r="P1931">
        <v>274</v>
      </c>
      <c r="Q1931">
        <v>5</v>
      </c>
      <c r="R1931">
        <v>49</v>
      </c>
      <c r="S1931">
        <v>1</v>
      </c>
      <c r="T1931">
        <v>6</v>
      </c>
      <c r="U1931">
        <v>10</v>
      </c>
      <c r="V1931">
        <v>6</v>
      </c>
      <c r="W1931">
        <v>19</v>
      </c>
      <c r="X1931">
        <v>136</v>
      </c>
      <c r="Y1931">
        <v>15</v>
      </c>
      <c r="Z1931">
        <v>4</v>
      </c>
      <c r="AA1931">
        <v>0</v>
      </c>
      <c r="AB1931">
        <v>0</v>
      </c>
      <c r="AD1931">
        <v>2</v>
      </c>
      <c r="AE1931">
        <v>2</v>
      </c>
      <c r="AF1931" t="s">
        <v>77</v>
      </c>
      <c r="AG1931" t="s">
        <v>77</v>
      </c>
      <c r="AI1931" t="s">
        <v>77</v>
      </c>
      <c r="AJ1931" t="s">
        <v>77</v>
      </c>
      <c r="AK1931">
        <v>274</v>
      </c>
      <c r="AL1931">
        <v>255</v>
      </c>
      <c r="AM1931">
        <v>679</v>
      </c>
      <c r="AN1931">
        <v>44</v>
      </c>
      <c r="AO1931" t="s">
        <v>78</v>
      </c>
      <c r="AP1931">
        <v>1</v>
      </c>
      <c r="AR1931" t="s">
        <v>2021</v>
      </c>
      <c r="AS1931" s="1">
        <v>44354.105555555558</v>
      </c>
      <c r="AT1931" s="1">
        <v>44354.111226851855</v>
      </c>
      <c r="AU1931" s="1">
        <v>44354.112650462965</v>
      </c>
      <c r="AV1931" t="s">
        <v>71</v>
      </c>
      <c r="AW1931" t="s">
        <v>72</v>
      </c>
      <c r="AX1931" t="s">
        <v>73</v>
      </c>
    </row>
    <row r="1932" spans="1:50" x14ac:dyDescent="0.3">
      <c r="A1932" t="str">
        <f>"200365C0100"</f>
        <v>200365C0100</v>
      </c>
      <c r="B1932" t="str">
        <f>"200365C01002"</f>
        <v>200365C01002</v>
      </c>
      <c r="C1932" t="str">
        <f t="shared" si="95"/>
        <v>20</v>
      </c>
      <c r="D1932" t="s">
        <v>67</v>
      </c>
      <c r="E1932" t="str">
        <f t="shared" si="94"/>
        <v>009</v>
      </c>
      <c r="F1932" t="s">
        <v>2003</v>
      </c>
      <c r="G1932" t="str">
        <f>"0365"</f>
        <v>0365</v>
      </c>
      <c r="H1932" t="str">
        <f>"0001"</f>
        <v>0001</v>
      </c>
      <c r="I1932" t="s">
        <v>75</v>
      </c>
      <c r="J1932">
        <v>0</v>
      </c>
      <c r="K1932">
        <v>1</v>
      </c>
      <c r="L1932">
        <v>2</v>
      </c>
      <c r="M1932">
        <v>442</v>
      </c>
      <c r="N1932">
        <v>280</v>
      </c>
      <c r="O1932">
        <v>1</v>
      </c>
      <c r="P1932">
        <v>280</v>
      </c>
      <c r="Q1932">
        <v>7</v>
      </c>
      <c r="R1932">
        <v>48</v>
      </c>
      <c r="S1932">
        <v>1</v>
      </c>
      <c r="T1932">
        <v>4</v>
      </c>
      <c r="U1932">
        <v>10</v>
      </c>
      <c r="V1932">
        <v>1</v>
      </c>
      <c r="W1932">
        <v>7</v>
      </c>
      <c r="X1932">
        <v>174</v>
      </c>
      <c r="Y1932">
        <v>10</v>
      </c>
      <c r="Z1932">
        <v>1</v>
      </c>
      <c r="AA1932">
        <v>1</v>
      </c>
      <c r="AB1932">
        <v>8</v>
      </c>
      <c r="AD1932">
        <v>1</v>
      </c>
      <c r="AE1932">
        <v>0</v>
      </c>
      <c r="AF1932">
        <v>0</v>
      </c>
      <c r="AG1932">
        <v>0</v>
      </c>
      <c r="AI1932">
        <v>0</v>
      </c>
      <c r="AJ1932">
        <v>7</v>
      </c>
      <c r="AK1932">
        <v>280</v>
      </c>
      <c r="AL1932">
        <v>280</v>
      </c>
      <c r="AM1932">
        <v>678</v>
      </c>
      <c r="AN1932">
        <v>44</v>
      </c>
      <c r="AP1932">
        <v>1</v>
      </c>
      <c r="AR1932" t="s">
        <v>2022</v>
      </c>
      <c r="AS1932" s="1">
        <v>44354.104861111111</v>
      </c>
      <c r="AT1932" s="1">
        <v>44354.107418981483</v>
      </c>
      <c r="AU1932" s="1">
        <v>44354.107847222222</v>
      </c>
      <c r="AV1932" t="s">
        <v>71</v>
      </c>
      <c r="AW1932" t="s">
        <v>72</v>
      </c>
      <c r="AX1932" t="s">
        <v>73</v>
      </c>
    </row>
    <row r="1933" spans="1:50" x14ac:dyDescent="0.3">
      <c r="A1933" t="str">
        <f>"200366B0000"</f>
        <v>200366B0000</v>
      </c>
      <c r="B1933" t="str">
        <f>"200366B00002"</f>
        <v>200366B00002</v>
      </c>
      <c r="C1933" t="str">
        <f t="shared" si="95"/>
        <v>20</v>
      </c>
      <c r="D1933" t="s">
        <v>67</v>
      </c>
      <c r="E1933" t="str">
        <f t="shared" si="94"/>
        <v>009</v>
      </c>
      <c r="F1933" t="s">
        <v>2003</v>
      </c>
      <c r="G1933" t="str">
        <f>"0366"</f>
        <v>0366</v>
      </c>
      <c r="H1933" t="str">
        <f>"0000"</f>
        <v>0000</v>
      </c>
      <c r="I1933" t="s">
        <v>69</v>
      </c>
      <c r="J1933">
        <v>0</v>
      </c>
      <c r="K1933">
        <v>1</v>
      </c>
      <c r="L1933">
        <v>2</v>
      </c>
      <c r="M1933">
        <v>429</v>
      </c>
      <c r="N1933">
        <v>237</v>
      </c>
      <c r="O1933">
        <v>0</v>
      </c>
      <c r="P1933">
        <v>237</v>
      </c>
      <c r="Q1933">
        <v>4</v>
      </c>
      <c r="R1933">
        <v>47</v>
      </c>
      <c r="S1933">
        <v>0</v>
      </c>
      <c r="T1933">
        <v>2</v>
      </c>
      <c r="U1933">
        <v>1</v>
      </c>
      <c r="V1933">
        <v>2</v>
      </c>
      <c r="W1933">
        <v>5</v>
      </c>
      <c r="X1933">
        <v>139</v>
      </c>
      <c r="Y1933">
        <v>15</v>
      </c>
      <c r="Z1933">
        <v>1</v>
      </c>
      <c r="AA1933">
        <v>0</v>
      </c>
      <c r="AB1933">
        <v>13</v>
      </c>
      <c r="AD1933">
        <v>1</v>
      </c>
      <c r="AE1933">
        <v>0</v>
      </c>
      <c r="AF1933">
        <v>0</v>
      </c>
      <c r="AG1933">
        <v>0</v>
      </c>
      <c r="AI1933">
        <v>0</v>
      </c>
      <c r="AJ1933">
        <v>7</v>
      </c>
      <c r="AK1933">
        <v>237</v>
      </c>
      <c r="AL1933">
        <v>237</v>
      </c>
      <c r="AM1933">
        <v>622</v>
      </c>
      <c r="AN1933">
        <v>44</v>
      </c>
      <c r="AP1933">
        <v>1</v>
      </c>
      <c r="AR1933" t="s">
        <v>2023</v>
      </c>
      <c r="AS1933" s="1">
        <v>44354.089583333334</v>
      </c>
      <c r="AT1933" s="1">
        <v>44354.095833333333</v>
      </c>
      <c r="AU1933" s="1">
        <v>44354.096342592595</v>
      </c>
      <c r="AV1933" t="s">
        <v>71</v>
      </c>
      <c r="AW1933" t="s">
        <v>72</v>
      </c>
      <c r="AX1933" t="s">
        <v>73</v>
      </c>
    </row>
    <row r="1934" spans="1:50" x14ac:dyDescent="0.3">
      <c r="A1934" t="str">
        <f>"200366C0100"</f>
        <v>200366C0100</v>
      </c>
      <c r="B1934" t="str">
        <f>"200366C01002"</f>
        <v>200366C01002</v>
      </c>
      <c r="C1934" t="str">
        <f t="shared" si="95"/>
        <v>20</v>
      </c>
      <c r="D1934" t="s">
        <v>67</v>
      </c>
      <c r="E1934" t="str">
        <f t="shared" si="94"/>
        <v>009</v>
      </c>
      <c r="F1934" t="s">
        <v>2003</v>
      </c>
      <c r="G1934" t="str">
        <f>"0366"</f>
        <v>0366</v>
      </c>
      <c r="H1934" t="str">
        <f>"0001"</f>
        <v>0001</v>
      </c>
      <c r="I1934" t="s">
        <v>75</v>
      </c>
      <c r="J1934">
        <v>0</v>
      </c>
      <c r="K1934">
        <v>1</v>
      </c>
      <c r="L1934">
        <v>2</v>
      </c>
      <c r="M1934">
        <v>426</v>
      </c>
      <c r="N1934">
        <v>240</v>
      </c>
      <c r="O1934">
        <v>0</v>
      </c>
      <c r="P1934">
        <v>240</v>
      </c>
      <c r="Q1934">
        <v>11</v>
      </c>
      <c r="R1934">
        <v>37</v>
      </c>
      <c r="S1934">
        <v>4</v>
      </c>
      <c r="T1934">
        <v>3</v>
      </c>
      <c r="U1934">
        <v>8</v>
      </c>
      <c r="V1934">
        <v>4</v>
      </c>
      <c r="W1934">
        <v>4</v>
      </c>
      <c r="X1934">
        <v>135</v>
      </c>
      <c r="Y1934">
        <v>9</v>
      </c>
      <c r="Z1934">
        <v>2</v>
      </c>
      <c r="AA1934">
        <v>5</v>
      </c>
      <c r="AB1934">
        <v>10</v>
      </c>
      <c r="AD1934">
        <v>0</v>
      </c>
      <c r="AE1934">
        <v>0</v>
      </c>
      <c r="AF1934">
        <v>0</v>
      </c>
      <c r="AG1934">
        <v>0</v>
      </c>
      <c r="AI1934">
        <v>0</v>
      </c>
      <c r="AJ1934">
        <v>8</v>
      </c>
      <c r="AK1934">
        <v>240</v>
      </c>
      <c r="AL1934">
        <v>240</v>
      </c>
      <c r="AM1934">
        <v>622</v>
      </c>
      <c r="AN1934">
        <v>44</v>
      </c>
      <c r="AP1934">
        <v>1</v>
      </c>
      <c r="AR1934" t="s">
        <v>2024</v>
      </c>
      <c r="AS1934" s="1">
        <v>44354.086805555555</v>
      </c>
      <c r="AT1934" s="1">
        <v>44354.093912037039</v>
      </c>
      <c r="AU1934" s="1">
        <v>44354.094351851854</v>
      </c>
      <c r="AV1934" t="s">
        <v>71</v>
      </c>
      <c r="AW1934" t="s">
        <v>72</v>
      </c>
      <c r="AX1934" t="s">
        <v>73</v>
      </c>
    </row>
    <row r="1935" spans="1:50" x14ac:dyDescent="0.3">
      <c r="A1935" t="str">
        <f>"200366C0200"</f>
        <v>200366C0200</v>
      </c>
      <c r="B1935" t="str">
        <f>"200366C02002"</f>
        <v>200366C02002</v>
      </c>
      <c r="C1935" t="str">
        <f t="shared" si="95"/>
        <v>20</v>
      </c>
      <c r="D1935" t="s">
        <v>67</v>
      </c>
      <c r="E1935" t="str">
        <f t="shared" si="94"/>
        <v>009</v>
      </c>
      <c r="F1935" t="s">
        <v>2003</v>
      </c>
      <c r="G1935" t="str">
        <f>"0366"</f>
        <v>0366</v>
      </c>
      <c r="H1935" t="str">
        <f>"0002"</f>
        <v>0002</v>
      </c>
      <c r="I1935" t="s">
        <v>75</v>
      </c>
      <c r="J1935">
        <v>0</v>
      </c>
      <c r="K1935">
        <v>1</v>
      </c>
      <c r="L1935">
        <v>2</v>
      </c>
      <c r="M1935">
        <v>423</v>
      </c>
      <c r="N1935">
        <v>243</v>
      </c>
      <c r="O1935">
        <v>0</v>
      </c>
      <c r="P1935">
        <v>243</v>
      </c>
      <c r="Q1935">
        <v>8</v>
      </c>
      <c r="R1935">
        <v>50</v>
      </c>
      <c r="S1935">
        <v>3</v>
      </c>
      <c r="T1935">
        <v>3</v>
      </c>
      <c r="U1935">
        <v>6</v>
      </c>
      <c r="V1935">
        <v>3</v>
      </c>
      <c r="W1935">
        <v>4</v>
      </c>
      <c r="X1935">
        <v>148</v>
      </c>
      <c r="Y1935">
        <v>5</v>
      </c>
      <c r="Z1935">
        <v>2</v>
      </c>
      <c r="AA1935">
        <v>1</v>
      </c>
      <c r="AB1935">
        <v>3</v>
      </c>
      <c r="AD1935">
        <v>0</v>
      </c>
      <c r="AE1935">
        <v>0</v>
      </c>
      <c r="AF1935">
        <v>0</v>
      </c>
      <c r="AG1935">
        <v>0</v>
      </c>
      <c r="AI1935">
        <v>0</v>
      </c>
      <c r="AJ1935">
        <v>7</v>
      </c>
      <c r="AK1935">
        <v>243</v>
      </c>
      <c r="AL1935">
        <v>243</v>
      </c>
      <c r="AM1935">
        <v>622</v>
      </c>
      <c r="AN1935">
        <v>44</v>
      </c>
      <c r="AP1935">
        <v>1</v>
      </c>
      <c r="AR1935" t="s">
        <v>2025</v>
      </c>
      <c r="AS1935" s="1">
        <v>44354.661111111112</v>
      </c>
      <c r="AT1935" s="1">
        <v>44354.662719907406</v>
      </c>
      <c r="AU1935" s="1">
        <v>44354.663194444445</v>
      </c>
      <c r="AV1935" t="s">
        <v>71</v>
      </c>
      <c r="AW1935" t="s">
        <v>72</v>
      </c>
      <c r="AX1935" t="s">
        <v>73</v>
      </c>
    </row>
    <row r="1936" spans="1:50" x14ac:dyDescent="0.3">
      <c r="A1936" t="str">
        <f>"200366C0300"</f>
        <v>200366C0300</v>
      </c>
      <c r="B1936" t="str">
        <f>"200366C03002"</f>
        <v>200366C03002</v>
      </c>
      <c r="C1936" t="str">
        <f t="shared" si="95"/>
        <v>20</v>
      </c>
      <c r="D1936" t="s">
        <v>67</v>
      </c>
      <c r="E1936" t="str">
        <f t="shared" si="94"/>
        <v>009</v>
      </c>
      <c r="F1936" t="s">
        <v>2003</v>
      </c>
      <c r="G1936" t="str">
        <f>"0366"</f>
        <v>0366</v>
      </c>
      <c r="H1936" t="str">
        <f>"0003"</f>
        <v>0003</v>
      </c>
      <c r="I1936" t="s">
        <v>75</v>
      </c>
      <c r="J1936">
        <v>0</v>
      </c>
      <c r="K1936">
        <v>1</v>
      </c>
      <c r="L1936">
        <v>2</v>
      </c>
      <c r="M1936">
        <v>433</v>
      </c>
      <c r="N1936">
        <v>232</v>
      </c>
      <c r="O1936">
        <v>1</v>
      </c>
      <c r="P1936">
        <v>233</v>
      </c>
      <c r="Q1936">
        <v>17</v>
      </c>
      <c r="R1936">
        <v>47</v>
      </c>
      <c r="S1936">
        <v>4</v>
      </c>
      <c r="T1936">
        <v>4</v>
      </c>
      <c r="U1936">
        <v>8</v>
      </c>
      <c r="V1936">
        <v>5</v>
      </c>
      <c r="W1936">
        <v>6</v>
      </c>
      <c r="X1936">
        <v>9</v>
      </c>
      <c r="Y1936">
        <v>2</v>
      </c>
      <c r="Z1936">
        <v>1</v>
      </c>
      <c r="AA1936">
        <v>4</v>
      </c>
      <c r="AB1936">
        <v>8</v>
      </c>
      <c r="AD1936">
        <v>0</v>
      </c>
      <c r="AE1936">
        <v>1</v>
      </c>
      <c r="AF1936">
        <v>0</v>
      </c>
      <c r="AG1936">
        <v>0</v>
      </c>
      <c r="AI1936">
        <v>0</v>
      </c>
      <c r="AJ1936">
        <v>7</v>
      </c>
      <c r="AK1936">
        <v>233</v>
      </c>
      <c r="AL1936">
        <v>123</v>
      </c>
      <c r="AM1936">
        <v>622</v>
      </c>
      <c r="AN1936">
        <v>44</v>
      </c>
      <c r="AP1936">
        <v>1</v>
      </c>
      <c r="AR1936" t="s">
        <v>2026</v>
      </c>
      <c r="AS1936" s="1">
        <v>44354.092361111114</v>
      </c>
      <c r="AT1936" s="1">
        <v>44354.097662037035</v>
      </c>
      <c r="AU1936" s="1">
        <v>44354.099236111113</v>
      </c>
      <c r="AV1936" t="s">
        <v>71</v>
      </c>
      <c r="AW1936" t="s">
        <v>72</v>
      </c>
      <c r="AX1936" t="s">
        <v>73</v>
      </c>
    </row>
    <row r="1937" spans="1:50" x14ac:dyDescent="0.3">
      <c r="A1937" t="str">
        <f>"200366C0400"</f>
        <v>200366C0400</v>
      </c>
      <c r="B1937" t="str">
        <f>"200366C04002"</f>
        <v>200366C04002</v>
      </c>
      <c r="C1937" t="str">
        <f t="shared" si="95"/>
        <v>20</v>
      </c>
      <c r="D1937" t="s">
        <v>67</v>
      </c>
      <c r="E1937" t="str">
        <f t="shared" si="94"/>
        <v>009</v>
      </c>
      <c r="F1937" t="s">
        <v>2003</v>
      </c>
      <c r="G1937" t="str">
        <f>"0366"</f>
        <v>0366</v>
      </c>
      <c r="H1937" t="str">
        <f>"0004"</f>
        <v>0004</v>
      </c>
      <c r="I1937" t="s">
        <v>75</v>
      </c>
      <c r="J1937">
        <v>0</v>
      </c>
      <c r="K1937">
        <v>1</v>
      </c>
      <c r="L1937">
        <v>2</v>
      </c>
      <c r="M1937">
        <v>400</v>
      </c>
      <c r="N1937">
        <v>265</v>
      </c>
      <c r="O1937">
        <v>2</v>
      </c>
      <c r="P1937">
        <v>265</v>
      </c>
      <c r="Q1937">
        <v>11</v>
      </c>
      <c r="R1937">
        <v>52</v>
      </c>
      <c r="S1937">
        <v>2</v>
      </c>
      <c r="T1937">
        <v>2</v>
      </c>
      <c r="U1937">
        <v>7</v>
      </c>
      <c r="V1937">
        <v>5</v>
      </c>
      <c r="W1937">
        <v>4</v>
      </c>
      <c r="X1937">
        <v>148</v>
      </c>
      <c r="Y1937">
        <v>13</v>
      </c>
      <c r="Z1937">
        <v>3</v>
      </c>
      <c r="AA1937">
        <v>2</v>
      </c>
      <c r="AB1937">
        <v>9</v>
      </c>
      <c r="AD1937">
        <v>1</v>
      </c>
      <c r="AE1937">
        <v>0</v>
      </c>
      <c r="AF1937">
        <v>0</v>
      </c>
      <c r="AG1937">
        <v>0</v>
      </c>
      <c r="AI1937">
        <v>0</v>
      </c>
      <c r="AJ1937">
        <v>6</v>
      </c>
      <c r="AK1937">
        <v>265</v>
      </c>
      <c r="AL1937">
        <v>265</v>
      </c>
      <c r="AM1937">
        <v>621</v>
      </c>
      <c r="AN1937">
        <v>44</v>
      </c>
      <c r="AP1937">
        <v>1</v>
      </c>
      <c r="AR1937" t="s">
        <v>2027</v>
      </c>
      <c r="AS1937" s="1">
        <v>44354.093055555553</v>
      </c>
      <c r="AT1937" s="1">
        <v>44354.098067129627</v>
      </c>
      <c r="AU1937" s="1">
        <v>44354.099085648151</v>
      </c>
      <c r="AV1937" t="s">
        <v>71</v>
      </c>
      <c r="AW1937" t="s">
        <v>72</v>
      </c>
      <c r="AX1937" t="s">
        <v>73</v>
      </c>
    </row>
    <row r="1938" spans="1:50" x14ac:dyDescent="0.3">
      <c r="A1938" t="str">
        <f>"200367B0000"</f>
        <v>200367B0000</v>
      </c>
      <c r="B1938" t="str">
        <f>"200367B00002"</f>
        <v>200367B00002</v>
      </c>
      <c r="C1938" t="str">
        <f t="shared" si="95"/>
        <v>20</v>
      </c>
      <c r="D1938" t="s">
        <v>67</v>
      </c>
      <c r="E1938" t="str">
        <f t="shared" si="94"/>
        <v>009</v>
      </c>
      <c r="F1938" t="s">
        <v>2003</v>
      </c>
      <c r="G1938" t="str">
        <f>"0367"</f>
        <v>0367</v>
      </c>
      <c r="H1938" t="str">
        <f>"0000"</f>
        <v>0000</v>
      </c>
      <c r="I1938" t="s">
        <v>69</v>
      </c>
      <c r="J1938">
        <v>0</v>
      </c>
      <c r="K1938">
        <v>1</v>
      </c>
      <c r="L1938">
        <v>2</v>
      </c>
      <c r="M1938">
        <v>406</v>
      </c>
      <c r="N1938">
        <v>261</v>
      </c>
      <c r="O1938">
        <v>8</v>
      </c>
      <c r="P1938">
        <v>261</v>
      </c>
      <c r="Q1938">
        <v>6</v>
      </c>
      <c r="R1938">
        <v>25</v>
      </c>
      <c r="S1938">
        <v>4</v>
      </c>
      <c r="T1938">
        <v>7</v>
      </c>
      <c r="U1938">
        <v>57</v>
      </c>
      <c r="V1938">
        <v>3</v>
      </c>
      <c r="W1938">
        <v>7</v>
      </c>
      <c r="X1938">
        <v>126</v>
      </c>
      <c r="Y1938">
        <v>3</v>
      </c>
      <c r="Z1938">
        <v>9</v>
      </c>
      <c r="AA1938">
        <v>1</v>
      </c>
      <c r="AB1938">
        <v>2</v>
      </c>
      <c r="AD1938">
        <v>0</v>
      </c>
      <c r="AE1938">
        <v>0</v>
      </c>
      <c r="AF1938">
        <v>0</v>
      </c>
      <c r="AG1938">
        <v>0</v>
      </c>
      <c r="AI1938">
        <v>0</v>
      </c>
      <c r="AJ1938">
        <v>11</v>
      </c>
      <c r="AK1938">
        <v>261</v>
      </c>
      <c r="AL1938">
        <v>261</v>
      </c>
      <c r="AM1938">
        <v>623</v>
      </c>
      <c r="AN1938">
        <v>44</v>
      </c>
      <c r="AP1938">
        <v>1</v>
      </c>
      <c r="AR1938" t="s">
        <v>2028</v>
      </c>
      <c r="AS1938" s="1">
        <v>44354.080555555556</v>
      </c>
      <c r="AT1938" s="1">
        <v>44354.093587962961</v>
      </c>
      <c r="AU1938" s="1">
        <v>44354.094178240739</v>
      </c>
      <c r="AV1938" t="s">
        <v>71</v>
      </c>
      <c r="AW1938" t="s">
        <v>72</v>
      </c>
      <c r="AX1938" t="s">
        <v>73</v>
      </c>
    </row>
    <row r="1939" spans="1:50" x14ac:dyDescent="0.3">
      <c r="A1939" t="str">
        <f>"200368B0000"</f>
        <v>200368B0000</v>
      </c>
      <c r="B1939" t="str">
        <f>"200368B00002"</f>
        <v>200368B00002</v>
      </c>
      <c r="C1939" t="str">
        <f t="shared" si="95"/>
        <v>20</v>
      </c>
      <c r="D1939" t="s">
        <v>67</v>
      </c>
      <c r="E1939" t="str">
        <f t="shared" si="94"/>
        <v>009</v>
      </c>
      <c r="F1939" t="s">
        <v>2003</v>
      </c>
      <c r="G1939" t="str">
        <f>"0368"</f>
        <v>0368</v>
      </c>
      <c r="H1939" t="str">
        <f>"0000"</f>
        <v>0000</v>
      </c>
      <c r="I1939" t="s">
        <v>69</v>
      </c>
      <c r="J1939">
        <v>0</v>
      </c>
      <c r="K1939">
        <v>1</v>
      </c>
      <c r="L1939">
        <v>2</v>
      </c>
      <c r="M1939">
        <v>424</v>
      </c>
      <c r="N1939">
        <v>204</v>
      </c>
      <c r="O1939">
        <v>2</v>
      </c>
      <c r="P1939">
        <v>204</v>
      </c>
      <c r="Q1939">
        <v>7</v>
      </c>
      <c r="R1939">
        <v>48</v>
      </c>
      <c r="S1939">
        <v>5</v>
      </c>
      <c r="T1939">
        <v>3</v>
      </c>
      <c r="U1939">
        <v>7</v>
      </c>
      <c r="V1939">
        <v>3</v>
      </c>
      <c r="W1939">
        <v>2</v>
      </c>
      <c r="X1939">
        <v>118</v>
      </c>
      <c r="Y1939">
        <v>3</v>
      </c>
      <c r="Z1939">
        <v>0</v>
      </c>
      <c r="AA1939">
        <v>1</v>
      </c>
      <c r="AB1939">
        <v>1</v>
      </c>
      <c r="AD1939">
        <v>1</v>
      </c>
      <c r="AE1939">
        <v>0</v>
      </c>
      <c r="AF1939">
        <v>0</v>
      </c>
      <c r="AG1939">
        <v>0</v>
      </c>
      <c r="AI1939">
        <v>0</v>
      </c>
      <c r="AJ1939">
        <v>5</v>
      </c>
      <c r="AK1939">
        <v>204</v>
      </c>
      <c r="AL1939">
        <v>204</v>
      </c>
      <c r="AM1939">
        <v>584</v>
      </c>
      <c r="AN1939">
        <v>44</v>
      </c>
      <c r="AP1939">
        <v>1</v>
      </c>
      <c r="AR1939" t="s">
        <v>2029</v>
      </c>
      <c r="AS1939" s="1">
        <v>44354.097916666666</v>
      </c>
      <c r="AT1939" s="1">
        <v>44354.100601851853</v>
      </c>
      <c r="AU1939" s="1">
        <v>44354.101388888892</v>
      </c>
      <c r="AV1939" t="s">
        <v>71</v>
      </c>
      <c r="AW1939" t="s">
        <v>72</v>
      </c>
      <c r="AX1939" t="s">
        <v>73</v>
      </c>
    </row>
    <row r="1940" spans="1:50" x14ac:dyDescent="0.3">
      <c r="A1940" t="str">
        <f>"200458B0000"</f>
        <v>200458B0000</v>
      </c>
      <c r="B1940" t="str">
        <f>"200458B00002"</f>
        <v>200458B00002</v>
      </c>
      <c r="C1940" t="str">
        <f t="shared" si="95"/>
        <v>20</v>
      </c>
      <c r="D1940" t="s">
        <v>67</v>
      </c>
      <c r="E1940" t="str">
        <f t="shared" si="94"/>
        <v>009</v>
      </c>
      <c r="F1940" t="s">
        <v>2003</v>
      </c>
      <c r="G1940" t="str">
        <f>"0458"</f>
        <v>0458</v>
      </c>
      <c r="H1940" t="str">
        <f>"0000"</f>
        <v>0000</v>
      </c>
      <c r="I1940" t="s">
        <v>69</v>
      </c>
      <c r="J1940">
        <v>0</v>
      </c>
      <c r="K1940">
        <v>1</v>
      </c>
      <c r="L1940">
        <v>2</v>
      </c>
      <c r="M1940">
        <v>212</v>
      </c>
      <c r="N1940">
        <v>221</v>
      </c>
      <c r="O1940">
        <v>0</v>
      </c>
      <c r="P1940">
        <v>221</v>
      </c>
      <c r="Q1940">
        <v>9</v>
      </c>
      <c r="R1940">
        <v>57</v>
      </c>
      <c r="S1940">
        <v>11</v>
      </c>
      <c r="T1940">
        <v>4</v>
      </c>
      <c r="U1940">
        <v>2</v>
      </c>
      <c r="V1940">
        <v>6</v>
      </c>
      <c r="W1940">
        <v>5</v>
      </c>
      <c r="X1940">
        <v>111</v>
      </c>
      <c r="Y1940">
        <v>0</v>
      </c>
      <c r="Z1940">
        <v>2</v>
      </c>
      <c r="AA1940">
        <v>1</v>
      </c>
      <c r="AB1940">
        <v>0</v>
      </c>
      <c r="AD1940">
        <v>5</v>
      </c>
      <c r="AE1940">
        <v>1</v>
      </c>
      <c r="AF1940">
        <v>0</v>
      </c>
      <c r="AG1940">
        <v>0</v>
      </c>
      <c r="AI1940">
        <v>0</v>
      </c>
      <c r="AJ1940">
        <v>7</v>
      </c>
      <c r="AK1940">
        <v>221</v>
      </c>
      <c r="AL1940">
        <v>221</v>
      </c>
      <c r="AM1940">
        <v>392</v>
      </c>
      <c r="AN1940">
        <v>44</v>
      </c>
      <c r="AP1940">
        <v>1</v>
      </c>
      <c r="AR1940" s="2" t="s">
        <v>2030</v>
      </c>
      <c r="AS1940" s="1">
        <v>44354.167361111111</v>
      </c>
      <c r="AT1940" s="1">
        <v>44354.170243055552</v>
      </c>
      <c r="AU1940" s="1">
        <v>44354.170694444445</v>
      </c>
      <c r="AV1940" t="s">
        <v>71</v>
      </c>
      <c r="AW1940" t="s">
        <v>72</v>
      </c>
      <c r="AX1940" t="s">
        <v>73</v>
      </c>
    </row>
    <row r="1941" spans="1:50" x14ac:dyDescent="0.3">
      <c r="A1941" t="str">
        <f>"200469B0000"</f>
        <v>200469B0000</v>
      </c>
      <c r="B1941" t="str">
        <f>"200469B00002"</f>
        <v>200469B00002</v>
      </c>
      <c r="C1941" t="str">
        <f t="shared" si="95"/>
        <v>20</v>
      </c>
      <c r="D1941" t="s">
        <v>67</v>
      </c>
      <c r="E1941" t="str">
        <f t="shared" si="94"/>
        <v>009</v>
      </c>
      <c r="F1941" t="s">
        <v>2003</v>
      </c>
      <c r="G1941" t="str">
        <f>"0469"</f>
        <v>0469</v>
      </c>
      <c r="H1941" t="str">
        <f>"0000"</f>
        <v>0000</v>
      </c>
      <c r="I1941" t="s">
        <v>69</v>
      </c>
      <c r="J1941">
        <v>0</v>
      </c>
      <c r="K1941">
        <v>1</v>
      </c>
      <c r="L1941">
        <v>2</v>
      </c>
      <c r="M1941">
        <v>397</v>
      </c>
      <c r="N1941">
        <v>144</v>
      </c>
      <c r="O1941">
        <v>1</v>
      </c>
      <c r="P1941">
        <v>144</v>
      </c>
      <c r="Q1941">
        <v>5</v>
      </c>
      <c r="R1941">
        <v>5</v>
      </c>
      <c r="S1941">
        <v>2</v>
      </c>
      <c r="T1941">
        <v>1</v>
      </c>
      <c r="U1941">
        <v>4</v>
      </c>
      <c r="V1941">
        <v>0</v>
      </c>
      <c r="W1941">
        <v>2</v>
      </c>
      <c r="X1941">
        <v>117</v>
      </c>
      <c r="Y1941">
        <v>0</v>
      </c>
      <c r="Z1941">
        <v>1</v>
      </c>
      <c r="AA1941">
        <v>1</v>
      </c>
      <c r="AB1941">
        <v>1</v>
      </c>
      <c r="AD1941">
        <v>0</v>
      </c>
      <c r="AE1941">
        <v>0</v>
      </c>
      <c r="AF1941">
        <v>0</v>
      </c>
      <c r="AG1941">
        <v>0</v>
      </c>
      <c r="AI1941">
        <v>0</v>
      </c>
      <c r="AJ1941">
        <v>5</v>
      </c>
      <c r="AK1941">
        <v>144</v>
      </c>
      <c r="AL1941">
        <v>144</v>
      </c>
      <c r="AM1941">
        <v>497</v>
      </c>
      <c r="AN1941">
        <v>44</v>
      </c>
      <c r="AP1941">
        <v>1</v>
      </c>
      <c r="AR1941" t="s">
        <v>2031</v>
      </c>
      <c r="AS1941" s="1">
        <v>44353.973611111112</v>
      </c>
      <c r="AT1941" s="1">
        <v>44353.976365740738</v>
      </c>
      <c r="AU1941" s="1">
        <v>44353.976898148147</v>
      </c>
      <c r="AV1941" t="s">
        <v>71</v>
      </c>
      <c r="AW1941" t="s">
        <v>72</v>
      </c>
      <c r="AX1941" t="s">
        <v>73</v>
      </c>
    </row>
    <row r="1942" spans="1:50" x14ac:dyDescent="0.3">
      <c r="A1942" t="str">
        <f>"200469C0100"</f>
        <v>200469C0100</v>
      </c>
      <c r="B1942" t="str">
        <f>"200469C01002"</f>
        <v>200469C01002</v>
      </c>
      <c r="C1942" t="str">
        <f t="shared" si="95"/>
        <v>20</v>
      </c>
      <c r="D1942" t="s">
        <v>67</v>
      </c>
      <c r="E1942" t="str">
        <f t="shared" si="94"/>
        <v>009</v>
      </c>
      <c r="F1942" t="s">
        <v>2003</v>
      </c>
      <c r="G1942" t="str">
        <f>"0469"</f>
        <v>0469</v>
      </c>
      <c r="H1942" t="str">
        <f>"0001"</f>
        <v>0001</v>
      </c>
      <c r="I1942" t="s">
        <v>75</v>
      </c>
      <c r="J1942">
        <v>0</v>
      </c>
      <c r="K1942">
        <v>1</v>
      </c>
      <c r="L1942">
        <v>2</v>
      </c>
      <c r="M1942">
        <v>403</v>
      </c>
      <c r="N1942">
        <v>137</v>
      </c>
      <c r="O1942">
        <v>0</v>
      </c>
      <c r="P1942">
        <v>137</v>
      </c>
      <c r="Q1942">
        <v>6</v>
      </c>
      <c r="R1942">
        <v>4</v>
      </c>
      <c r="S1942">
        <v>1</v>
      </c>
      <c r="T1942">
        <v>3</v>
      </c>
      <c r="U1942">
        <v>5</v>
      </c>
      <c r="V1942">
        <v>1</v>
      </c>
      <c r="W1942">
        <v>2</v>
      </c>
      <c r="X1942">
        <v>108</v>
      </c>
      <c r="Y1942">
        <v>1</v>
      </c>
      <c r="Z1942">
        <v>1</v>
      </c>
      <c r="AA1942">
        <v>1</v>
      </c>
      <c r="AB1942">
        <v>0</v>
      </c>
      <c r="AD1942">
        <v>0</v>
      </c>
      <c r="AE1942">
        <v>0</v>
      </c>
      <c r="AF1942">
        <v>0</v>
      </c>
      <c r="AG1942">
        <v>0</v>
      </c>
      <c r="AI1942">
        <v>0</v>
      </c>
      <c r="AJ1942">
        <v>4</v>
      </c>
      <c r="AK1942">
        <v>137</v>
      </c>
      <c r="AL1942">
        <v>137</v>
      </c>
      <c r="AM1942">
        <v>496</v>
      </c>
      <c r="AN1942">
        <v>44</v>
      </c>
      <c r="AP1942">
        <v>1</v>
      </c>
      <c r="AR1942" t="s">
        <v>2032</v>
      </c>
      <c r="AS1942" s="1">
        <v>44353.978472222225</v>
      </c>
      <c r="AT1942" s="1">
        <v>44353.981458333335</v>
      </c>
      <c r="AU1942" s="1">
        <v>44353.981712962966</v>
      </c>
      <c r="AV1942" t="s">
        <v>71</v>
      </c>
      <c r="AW1942" t="s">
        <v>72</v>
      </c>
      <c r="AX1942" t="s">
        <v>73</v>
      </c>
    </row>
    <row r="1943" spans="1:50" x14ac:dyDescent="0.3">
      <c r="A1943" t="str">
        <f>"200469E0100"</f>
        <v>200469E0100</v>
      </c>
      <c r="B1943" t="str">
        <f>"200469E01002"</f>
        <v>200469E01002</v>
      </c>
      <c r="C1943" t="str">
        <f t="shared" si="95"/>
        <v>20</v>
      </c>
      <c r="D1943" t="s">
        <v>67</v>
      </c>
      <c r="E1943" t="str">
        <f t="shared" si="94"/>
        <v>009</v>
      </c>
      <c r="F1943" t="s">
        <v>2003</v>
      </c>
      <c r="G1943" t="str">
        <f>"0469"</f>
        <v>0469</v>
      </c>
      <c r="H1943" t="str">
        <f>"0001"</f>
        <v>0001</v>
      </c>
      <c r="I1943" t="s">
        <v>109</v>
      </c>
      <c r="J1943">
        <v>0</v>
      </c>
      <c r="K1943">
        <v>1</v>
      </c>
      <c r="L1943">
        <v>2</v>
      </c>
      <c r="M1943">
        <v>193</v>
      </c>
      <c r="N1943">
        <v>79</v>
      </c>
      <c r="O1943">
        <v>0</v>
      </c>
      <c r="P1943">
        <v>79</v>
      </c>
      <c r="Q1943">
        <v>2</v>
      </c>
      <c r="R1943">
        <v>1</v>
      </c>
      <c r="S1943">
        <v>1</v>
      </c>
      <c r="T1943">
        <v>0</v>
      </c>
      <c r="U1943">
        <v>2</v>
      </c>
      <c r="V1943">
        <v>2</v>
      </c>
      <c r="W1943">
        <v>2</v>
      </c>
      <c r="X1943">
        <v>65</v>
      </c>
      <c r="Y1943">
        <v>1</v>
      </c>
      <c r="Z1943">
        <v>0</v>
      </c>
      <c r="AA1943">
        <v>0</v>
      </c>
      <c r="AB1943">
        <v>1</v>
      </c>
      <c r="AD1943">
        <v>0</v>
      </c>
      <c r="AE1943">
        <v>0</v>
      </c>
      <c r="AF1943">
        <v>0</v>
      </c>
      <c r="AG1943">
        <v>0</v>
      </c>
      <c r="AI1943">
        <v>0</v>
      </c>
      <c r="AJ1943">
        <v>2</v>
      </c>
      <c r="AK1943">
        <v>79</v>
      </c>
      <c r="AL1943">
        <v>79</v>
      </c>
      <c r="AM1943">
        <v>228</v>
      </c>
      <c r="AN1943">
        <v>44</v>
      </c>
      <c r="AP1943">
        <v>1</v>
      </c>
      <c r="AR1943" t="s">
        <v>2033</v>
      </c>
      <c r="AS1943" s="1">
        <v>44353.979166666664</v>
      </c>
      <c r="AT1943" s="1">
        <v>44353.981712962966</v>
      </c>
      <c r="AU1943" s="1">
        <v>44353.982245370367</v>
      </c>
      <c r="AV1943" t="s">
        <v>71</v>
      </c>
      <c r="AW1943" t="s">
        <v>72</v>
      </c>
      <c r="AX1943" t="s">
        <v>73</v>
      </c>
    </row>
    <row r="1944" spans="1:50" x14ac:dyDescent="0.3">
      <c r="A1944" t="str">
        <f>"200666B0000"</f>
        <v>200666B0000</v>
      </c>
      <c r="B1944" t="str">
        <f>"200666B00002"</f>
        <v>200666B00002</v>
      </c>
      <c r="C1944" t="str">
        <f t="shared" si="95"/>
        <v>20</v>
      </c>
      <c r="D1944" t="s">
        <v>67</v>
      </c>
      <c r="E1944" t="str">
        <f t="shared" si="94"/>
        <v>009</v>
      </c>
      <c r="F1944" t="s">
        <v>2003</v>
      </c>
      <c r="G1944" t="str">
        <f>"0666"</f>
        <v>0666</v>
      </c>
      <c r="H1944" t="str">
        <f>"0000"</f>
        <v>0000</v>
      </c>
      <c r="I1944" t="s">
        <v>69</v>
      </c>
      <c r="J1944">
        <v>0</v>
      </c>
      <c r="K1944">
        <v>1</v>
      </c>
      <c r="L1944">
        <v>2</v>
      </c>
      <c r="M1944">
        <v>372</v>
      </c>
      <c r="N1944">
        <v>237</v>
      </c>
      <c r="O1944">
        <v>0</v>
      </c>
      <c r="P1944">
        <v>237</v>
      </c>
      <c r="Q1944">
        <v>14</v>
      </c>
      <c r="R1944">
        <v>39</v>
      </c>
      <c r="S1944">
        <v>1</v>
      </c>
      <c r="T1944">
        <v>6</v>
      </c>
      <c r="U1944">
        <v>7</v>
      </c>
      <c r="V1944">
        <v>8</v>
      </c>
      <c r="W1944">
        <v>1</v>
      </c>
      <c r="X1944">
        <v>134</v>
      </c>
      <c r="Y1944">
        <v>3</v>
      </c>
      <c r="Z1944">
        <v>6</v>
      </c>
      <c r="AA1944">
        <v>0</v>
      </c>
      <c r="AB1944">
        <v>3</v>
      </c>
      <c r="AD1944">
        <v>1</v>
      </c>
      <c r="AE1944">
        <v>0</v>
      </c>
      <c r="AF1944">
        <v>1</v>
      </c>
      <c r="AG1944">
        <v>0</v>
      </c>
      <c r="AI1944">
        <v>0</v>
      </c>
      <c r="AJ1944">
        <v>13</v>
      </c>
      <c r="AK1944">
        <v>237</v>
      </c>
      <c r="AL1944">
        <v>237</v>
      </c>
      <c r="AM1944">
        <v>565</v>
      </c>
      <c r="AN1944">
        <v>44</v>
      </c>
      <c r="AP1944">
        <v>1</v>
      </c>
      <c r="AR1944" t="s">
        <v>2034</v>
      </c>
      <c r="AS1944" s="1">
        <v>44354.035416666666</v>
      </c>
      <c r="AT1944" s="1">
        <v>44354.043020833335</v>
      </c>
      <c r="AU1944" s="1">
        <v>44354.043888888889</v>
      </c>
      <c r="AV1944" t="s">
        <v>71</v>
      </c>
      <c r="AW1944" t="s">
        <v>72</v>
      </c>
      <c r="AX1944" t="s">
        <v>73</v>
      </c>
    </row>
    <row r="1945" spans="1:50" x14ac:dyDescent="0.3">
      <c r="A1945" t="str">
        <f>"200666C0100"</f>
        <v>200666C0100</v>
      </c>
      <c r="B1945" t="str">
        <f>"200666C01002"</f>
        <v>200666C01002</v>
      </c>
      <c r="C1945" t="str">
        <f t="shared" si="95"/>
        <v>20</v>
      </c>
      <c r="D1945" t="s">
        <v>67</v>
      </c>
      <c r="E1945" t="str">
        <f t="shared" si="94"/>
        <v>009</v>
      </c>
      <c r="F1945" t="s">
        <v>2003</v>
      </c>
      <c r="G1945" t="str">
        <f>"0666"</f>
        <v>0666</v>
      </c>
      <c r="H1945" t="str">
        <f>"0001"</f>
        <v>0001</v>
      </c>
      <c r="I1945" t="s">
        <v>75</v>
      </c>
      <c r="J1945">
        <v>0</v>
      </c>
      <c r="K1945">
        <v>1</v>
      </c>
      <c r="L1945">
        <v>2</v>
      </c>
      <c r="M1945">
        <v>384</v>
      </c>
      <c r="N1945">
        <v>225</v>
      </c>
      <c r="O1945">
        <v>0</v>
      </c>
      <c r="P1945">
        <v>225</v>
      </c>
      <c r="Q1945">
        <v>8</v>
      </c>
      <c r="R1945">
        <v>38</v>
      </c>
      <c r="S1945">
        <v>4</v>
      </c>
      <c r="T1945">
        <v>3</v>
      </c>
      <c r="U1945">
        <v>7</v>
      </c>
      <c r="V1945">
        <v>3</v>
      </c>
      <c r="W1945">
        <v>1</v>
      </c>
      <c r="X1945">
        <v>141</v>
      </c>
      <c r="Y1945">
        <v>3</v>
      </c>
      <c r="Z1945">
        <v>3</v>
      </c>
      <c r="AA1945">
        <v>0</v>
      </c>
      <c r="AB1945">
        <v>7</v>
      </c>
      <c r="AD1945">
        <v>0</v>
      </c>
      <c r="AE1945">
        <v>0</v>
      </c>
      <c r="AF1945">
        <v>0</v>
      </c>
      <c r="AG1945">
        <v>0</v>
      </c>
      <c r="AI1945">
        <v>0</v>
      </c>
      <c r="AJ1945">
        <v>0</v>
      </c>
      <c r="AK1945" t="s">
        <v>99</v>
      </c>
      <c r="AL1945">
        <v>218</v>
      </c>
      <c r="AM1945">
        <v>565</v>
      </c>
      <c r="AN1945">
        <v>44</v>
      </c>
      <c r="AP1945">
        <v>1</v>
      </c>
      <c r="AR1945" t="s">
        <v>2035</v>
      </c>
      <c r="AS1945" s="1">
        <v>44354.040972222225</v>
      </c>
      <c r="AT1945" s="1">
        <v>44354.051759259259</v>
      </c>
      <c r="AU1945" s="1">
        <v>44354.052094907405</v>
      </c>
      <c r="AV1945" t="s">
        <v>71</v>
      </c>
      <c r="AW1945" t="s">
        <v>72</v>
      </c>
      <c r="AX1945" t="s">
        <v>73</v>
      </c>
    </row>
    <row r="1946" spans="1:50" x14ac:dyDescent="0.3">
      <c r="A1946" t="str">
        <f>"200666C0200"</f>
        <v>200666C0200</v>
      </c>
      <c r="B1946" t="str">
        <f>"200666C02002"</f>
        <v>200666C02002</v>
      </c>
      <c r="C1946" t="str">
        <f t="shared" si="95"/>
        <v>20</v>
      </c>
      <c r="D1946" t="s">
        <v>67</v>
      </c>
      <c r="E1946" t="str">
        <f t="shared" si="94"/>
        <v>009</v>
      </c>
      <c r="F1946" t="s">
        <v>2003</v>
      </c>
      <c r="G1946" t="str">
        <f>"0666"</f>
        <v>0666</v>
      </c>
      <c r="H1946" t="str">
        <f>"0002"</f>
        <v>0002</v>
      </c>
      <c r="I1946" t="s">
        <v>75</v>
      </c>
      <c r="J1946">
        <v>0</v>
      </c>
      <c r="K1946">
        <v>1</v>
      </c>
      <c r="L1946">
        <v>2</v>
      </c>
      <c r="M1946">
        <v>384</v>
      </c>
      <c r="N1946">
        <v>224</v>
      </c>
      <c r="O1946">
        <v>2</v>
      </c>
      <c r="P1946">
        <v>224</v>
      </c>
      <c r="Q1946">
        <v>12</v>
      </c>
      <c r="R1946">
        <v>29</v>
      </c>
      <c r="S1946">
        <v>4</v>
      </c>
      <c r="T1946">
        <v>6</v>
      </c>
      <c r="U1946">
        <v>3</v>
      </c>
      <c r="V1946">
        <v>6</v>
      </c>
      <c r="W1946">
        <v>1</v>
      </c>
      <c r="X1946">
        <v>144</v>
      </c>
      <c r="Y1946">
        <v>4</v>
      </c>
      <c r="Z1946">
        <v>2</v>
      </c>
      <c r="AA1946">
        <v>2</v>
      </c>
      <c r="AB1946">
        <v>4</v>
      </c>
      <c r="AD1946">
        <v>2</v>
      </c>
      <c r="AE1946">
        <v>2</v>
      </c>
      <c r="AF1946">
        <v>0</v>
      </c>
      <c r="AG1946">
        <v>0</v>
      </c>
      <c r="AI1946">
        <v>0</v>
      </c>
      <c r="AJ1946">
        <v>3</v>
      </c>
      <c r="AK1946">
        <v>224</v>
      </c>
      <c r="AL1946">
        <v>224</v>
      </c>
      <c r="AM1946">
        <v>564</v>
      </c>
      <c r="AN1946">
        <v>44</v>
      </c>
      <c r="AP1946">
        <v>1</v>
      </c>
      <c r="AR1946" t="s">
        <v>2036</v>
      </c>
      <c r="AS1946" s="1">
        <v>44354.066666666666</v>
      </c>
      <c r="AT1946" s="1">
        <v>44354.072511574072</v>
      </c>
      <c r="AU1946" s="1">
        <v>44354.072939814818</v>
      </c>
      <c r="AV1946" t="s">
        <v>71</v>
      </c>
      <c r="AW1946" t="s">
        <v>72</v>
      </c>
      <c r="AX1946" t="s">
        <v>73</v>
      </c>
    </row>
    <row r="1947" spans="1:50" x14ac:dyDescent="0.3">
      <c r="A1947" t="str">
        <f>"200667B0000"</f>
        <v>200667B0000</v>
      </c>
      <c r="B1947" t="str">
        <f>"200667B00002"</f>
        <v>200667B00002</v>
      </c>
      <c r="C1947" t="str">
        <f t="shared" si="95"/>
        <v>20</v>
      </c>
      <c r="D1947" t="s">
        <v>67</v>
      </c>
      <c r="E1947" t="str">
        <f t="shared" si="94"/>
        <v>009</v>
      </c>
      <c r="F1947" t="s">
        <v>2003</v>
      </c>
      <c r="G1947" t="str">
        <f>"0667"</f>
        <v>0667</v>
      </c>
      <c r="H1947" t="str">
        <f>"0000"</f>
        <v>0000</v>
      </c>
      <c r="I1947" t="s">
        <v>69</v>
      </c>
      <c r="J1947">
        <v>0</v>
      </c>
      <c r="K1947">
        <v>1</v>
      </c>
      <c r="L1947">
        <v>2</v>
      </c>
      <c r="M1947">
        <v>405</v>
      </c>
      <c r="N1947">
        <v>275</v>
      </c>
      <c r="O1947">
        <v>0</v>
      </c>
      <c r="P1947">
        <v>275</v>
      </c>
      <c r="Q1947">
        <v>9</v>
      </c>
      <c r="R1947">
        <v>83</v>
      </c>
      <c r="S1947">
        <v>1</v>
      </c>
      <c r="T1947">
        <v>8</v>
      </c>
      <c r="U1947">
        <v>7</v>
      </c>
      <c r="V1947">
        <v>5</v>
      </c>
      <c r="W1947">
        <v>1</v>
      </c>
      <c r="X1947">
        <v>145</v>
      </c>
      <c r="Y1947">
        <v>2</v>
      </c>
      <c r="Z1947">
        <v>3</v>
      </c>
      <c r="AA1947">
        <v>2</v>
      </c>
      <c r="AB1947">
        <v>0</v>
      </c>
      <c r="AD1947">
        <v>0</v>
      </c>
      <c r="AE1947">
        <v>0</v>
      </c>
      <c r="AF1947">
        <v>0</v>
      </c>
      <c r="AG1947">
        <v>0</v>
      </c>
      <c r="AI1947">
        <v>0</v>
      </c>
      <c r="AJ1947">
        <v>9</v>
      </c>
      <c r="AK1947">
        <v>275</v>
      </c>
      <c r="AL1947">
        <v>275</v>
      </c>
      <c r="AM1947">
        <v>635</v>
      </c>
      <c r="AN1947">
        <v>44</v>
      </c>
      <c r="AP1947">
        <v>1</v>
      </c>
      <c r="AR1947" t="s">
        <v>2037</v>
      </c>
      <c r="AS1947" s="1">
        <v>44354.033333333333</v>
      </c>
      <c r="AT1947" s="1">
        <v>44354.041597222225</v>
      </c>
      <c r="AU1947" s="1">
        <v>44354.042395833334</v>
      </c>
      <c r="AV1947" t="s">
        <v>71</v>
      </c>
      <c r="AW1947" t="s">
        <v>72</v>
      </c>
      <c r="AX1947" t="s">
        <v>73</v>
      </c>
    </row>
    <row r="1948" spans="1:50" x14ac:dyDescent="0.3">
      <c r="A1948" t="str">
        <f>"200667C0100"</f>
        <v>200667C0100</v>
      </c>
      <c r="B1948" t="str">
        <f>"200667C01002"</f>
        <v>200667C01002</v>
      </c>
      <c r="C1948" t="str">
        <f t="shared" si="95"/>
        <v>20</v>
      </c>
      <c r="D1948" t="s">
        <v>67</v>
      </c>
      <c r="E1948" t="str">
        <f t="shared" si="94"/>
        <v>009</v>
      </c>
      <c r="F1948" t="s">
        <v>2003</v>
      </c>
      <c r="G1948" t="str">
        <f>"0667"</f>
        <v>0667</v>
      </c>
      <c r="H1948" t="str">
        <f>"0001"</f>
        <v>0001</v>
      </c>
      <c r="I1948" t="s">
        <v>75</v>
      </c>
      <c r="J1948">
        <v>0</v>
      </c>
      <c r="K1948">
        <v>1</v>
      </c>
      <c r="L1948">
        <v>2</v>
      </c>
      <c r="M1948">
        <v>483</v>
      </c>
      <c r="N1948">
        <v>195</v>
      </c>
      <c r="O1948">
        <v>0</v>
      </c>
      <c r="P1948">
        <v>195</v>
      </c>
      <c r="Q1948">
        <v>8</v>
      </c>
      <c r="R1948">
        <v>41</v>
      </c>
      <c r="S1948">
        <v>3</v>
      </c>
      <c r="T1948">
        <v>4</v>
      </c>
      <c r="U1948">
        <v>1</v>
      </c>
      <c r="V1948">
        <v>4</v>
      </c>
      <c r="W1948">
        <v>3</v>
      </c>
      <c r="X1948">
        <v>112</v>
      </c>
      <c r="Y1948">
        <v>2</v>
      </c>
      <c r="Z1948">
        <v>4</v>
      </c>
      <c r="AA1948">
        <v>2</v>
      </c>
      <c r="AB1948">
        <v>1</v>
      </c>
      <c r="AD1948">
        <v>0</v>
      </c>
      <c r="AE1948">
        <v>0</v>
      </c>
      <c r="AF1948">
        <v>0</v>
      </c>
      <c r="AG1948">
        <v>0</v>
      </c>
      <c r="AI1948">
        <v>0</v>
      </c>
      <c r="AJ1948">
        <v>9</v>
      </c>
      <c r="AK1948">
        <v>194</v>
      </c>
      <c r="AL1948">
        <v>194</v>
      </c>
      <c r="AM1948">
        <v>634</v>
      </c>
      <c r="AN1948">
        <v>44</v>
      </c>
      <c r="AP1948">
        <v>1</v>
      </c>
      <c r="AR1948" t="s">
        <v>2038</v>
      </c>
      <c r="AS1948" s="1">
        <v>44354.034722222219</v>
      </c>
      <c r="AT1948" s="1">
        <v>44354.042118055557</v>
      </c>
      <c r="AU1948" s="1">
        <v>44354.042939814812</v>
      </c>
      <c r="AV1948" t="s">
        <v>71</v>
      </c>
      <c r="AW1948" t="s">
        <v>72</v>
      </c>
      <c r="AX1948" t="s">
        <v>73</v>
      </c>
    </row>
    <row r="1949" spans="1:50" x14ac:dyDescent="0.3">
      <c r="A1949" t="str">
        <f>"200757B0000"</f>
        <v>200757B0000</v>
      </c>
      <c r="B1949" t="str">
        <f>"200757B00002"</f>
        <v>200757B00002</v>
      </c>
      <c r="C1949" t="str">
        <f t="shared" si="95"/>
        <v>20</v>
      </c>
      <c r="D1949" t="s">
        <v>67</v>
      </c>
      <c r="E1949" t="str">
        <f t="shared" si="94"/>
        <v>009</v>
      </c>
      <c r="F1949" t="s">
        <v>2003</v>
      </c>
      <c r="G1949" t="str">
        <f>"0757"</f>
        <v>0757</v>
      </c>
      <c r="H1949" t="str">
        <f>"0000"</f>
        <v>0000</v>
      </c>
      <c r="I1949" t="s">
        <v>69</v>
      </c>
      <c r="J1949">
        <v>0</v>
      </c>
      <c r="K1949">
        <v>1</v>
      </c>
      <c r="L1949">
        <v>2</v>
      </c>
      <c r="M1949">
        <v>400</v>
      </c>
      <c r="N1949">
        <v>156</v>
      </c>
      <c r="O1949">
        <v>0</v>
      </c>
      <c r="P1949">
        <v>156</v>
      </c>
      <c r="Q1949">
        <v>0</v>
      </c>
      <c r="R1949">
        <v>5</v>
      </c>
      <c r="S1949">
        <v>0</v>
      </c>
      <c r="T1949">
        <v>0</v>
      </c>
      <c r="U1949">
        <v>0</v>
      </c>
      <c r="V1949">
        <v>1</v>
      </c>
      <c r="W1949">
        <v>0</v>
      </c>
      <c r="X1949">
        <v>143</v>
      </c>
      <c r="Y1949">
        <v>1</v>
      </c>
      <c r="Z1949">
        <v>3</v>
      </c>
      <c r="AA1949">
        <v>0</v>
      </c>
      <c r="AB1949">
        <v>0</v>
      </c>
      <c r="AD1949">
        <v>0</v>
      </c>
      <c r="AE1949">
        <v>0</v>
      </c>
      <c r="AF1949">
        <v>0</v>
      </c>
      <c r="AG1949">
        <v>0</v>
      </c>
      <c r="AI1949">
        <v>0</v>
      </c>
      <c r="AJ1949">
        <v>3</v>
      </c>
      <c r="AK1949">
        <v>156</v>
      </c>
      <c r="AL1949">
        <v>156</v>
      </c>
      <c r="AM1949">
        <v>512</v>
      </c>
      <c r="AN1949">
        <v>44</v>
      </c>
      <c r="AP1949">
        <v>1</v>
      </c>
      <c r="AR1949" t="s">
        <v>2039</v>
      </c>
      <c r="AS1949" s="1">
        <v>44353.999305555553</v>
      </c>
      <c r="AT1949" s="1">
        <v>44354.024016203701</v>
      </c>
      <c r="AU1949" s="1">
        <v>44354.024444444447</v>
      </c>
      <c r="AV1949" t="s">
        <v>71</v>
      </c>
      <c r="AW1949" t="s">
        <v>72</v>
      </c>
      <c r="AX1949" t="s">
        <v>73</v>
      </c>
    </row>
    <row r="1950" spans="1:50" x14ac:dyDescent="0.3">
      <c r="A1950" t="str">
        <f>"200757E0100"</f>
        <v>200757E0100</v>
      </c>
      <c r="B1950" t="str">
        <f>"200757E01002"</f>
        <v>200757E01002</v>
      </c>
      <c r="C1950" t="str">
        <f t="shared" si="95"/>
        <v>20</v>
      </c>
      <c r="D1950" t="s">
        <v>67</v>
      </c>
      <c r="E1950" t="str">
        <f t="shared" si="94"/>
        <v>009</v>
      </c>
      <c r="F1950" t="s">
        <v>2003</v>
      </c>
      <c r="G1950" t="str">
        <f>"0757"</f>
        <v>0757</v>
      </c>
      <c r="H1950" t="str">
        <f>"0001"</f>
        <v>0001</v>
      </c>
      <c r="I1950" t="s">
        <v>109</v>
      </c>
      <c r="J1950">
        <v>0</v>
      </c>
      <c r="K1950">
        <v>1</v>
      </c>
      <c r="L1950">
        <v>2</v>
      </c>
      <c r="M1950">
        <v>142</v>
      </c>
      <c r="N1950">
        <v>59</v>
      </c>
      <c r="O1950">
        <v>0</v>
      </c>
      <c r="P1950">
        <v>59</v>
      </c>
      <c r="Q1950">
        <v>0</v>
      </c>
      <c r="R1950">
        <v>3</v>
      </c>
      <c r="S1950">
        <v>1</v>
      </c>
      <c r="T1950">
        <v>1</v>
      </c>
      <c r="U1950">
        <v>3</v>
      </c>
      <c r="V1950">
        <v>2</v>
      </c>
      <c r="W1950">
        <v>3</v>
      </c>
      <c r="X1950">
        <v>41</v>
      </c>
      <c r="Y1950">
        <v>0</v>
      </c>
      <c r="Z1950">
        <v>1</v>
      </c>
      <c r="AA1950">
        <v>0</v>
      </c>
      <c r="AB1950">
        <v>0</v>
      </c>
      <c r="AD1950">
        <v>0</v>
      </c>
      <c r="AE1950">
        <v>0</v>
      </c>
      <c r="AF1950">
        <v>0</v>
      </c>
      <c r="AG1950">
        <v>0</v>
      </c>
      <c r="AI1950">
        <v>0</v>
      </c>
      <c r="AJ1950">
        <v>4</v>
      </c>
      <c r="AK1950">
        <v>59</v>
      </c>
      <c r="AL1950">
        <v>59</v>
      </c>
      <c r="AM1950">
        <v>157</v>
      </c>
      <c r="AN1950">
        <v>44</v>
      </c>
      <c r="AP1950">
        <v>1</v>
      </c>
      <c r="AR1950" t="s">
        <v>2040</v>
      </c>
      <c r="AS1950" s="1">
        <v>44354.005555555559</v>
      </c>
      <c r="AT1950" s="1">
        <v>44354.011678240742</v>
      </c>
      <c r="AU1950" s="1">
        <v>44354.012349537035</v>
      </c>
      <c r="AV1950" t="s">
        <v>71</v>
      </c>
      <c r="AW1950" t="s">
        <v>72</v>
      </c>
      <c r="AX1950" t="s">
        <v>73</v>
      </c>
    </row>
    <row r="1951" spans="1:50" x14ac:dyDescent="0.3">
      <c r="A1951" t="str">
        <f>"200758B0000"</f>
        <v>200758B0000</v>
      </c>
      <c r="B1951" t="str">
        <f>"200758B00002"</f>
        <v>200758B00002</v>
      </c>
      <c r="C1951" t="str">
        <f t="shared" si="95"/>
        <v>20</v>
      </c>
      <c r="D1951" t="s">
        <v>67</v>
      </c>
      <c r="E1951" t="str">
        <f t="shared" si="94"/>
        <v>009</v>
      </c>
      <c r="F1951" t="s">
        <v>2003</v>
      </c>
      <c r="G1951" t="str">
        <f>"0758"</f>
        <v>0758</v>
      </c>
      <c r="H1951" t="str">
        <f t="shared" ref="H1951:H1957" si="96">"0000"</f>
        <v>0000</v>
      </c>
      <c r="I1951" t="s">
        <v>69</v>
      </c>
      <c r="J1951">
        <v>0</v>
      </c>
      <c r="K1951">
        <v>1</v>
      </c>
      <c r="L1951">
        <v>2</v>
      </c>
      <c r="M1951">
        <v>501</v>
      </c>
      <c r="N1951">
        <v>174</v>
      </c>
      <c r="O1951">
        <v>0</v>
      </c>
      <c r="P1951">
        <v>174</v>
      </c>
      <c r="Q1951">
        <v>5</v>
      </c>
      <c r="R1951">
        <v>15</v>
      </c>
      <c r="S1951">
        <v>7</v>
      </c>
      <c r="T1951">
        <v>3</v>
      </c>
      <c r="U1951">
        <v>2</v>
      </c>
      <c r="V1951">
        <v>1</v>
      </c>
      <c r="W1951">
        <v>5</v>
      </c>
      <c r="X1951">
        <v>122</v>
      </c>
      <c r="Y1951">
        <v>3</v>
      </c>
      <c r="Z1951">
        <v>5</v>
      </c>
      <c r="AA1951">
        <v>0</v>
      </c>
      <c r="AB1951">
        <v>0</v>
      </c>
      <c r="AD1951">
        <v>0</v>
      </c>
      <c r="AE1951">
        <v>0</v>
      </c>
      <c r="AF1951">
        <v>0</v>
      </c>
      <c r="AG1951">
        <v>0</v>
      </c>
      <c r="AI1951">
        <v>0</v>
      </c>
      <c r="AJ1951">
        <v>6</v>
      </c>
      <c r="AK1951">
        <v>174</v>
      </c>
      <c r="AL1951">
        <v>174</v>
      </c>
      <c r="AM1951">
        <v>631</v>
      </c>
      <c r="AN1951">
        <v>44</v>
      </c>
      <c r="AP1951">
        <v>1</v>
      </c>
      <c r="AR1951" t="s">
        <v>2041</v>
      </c>
      <c r="AS1951" s="1">
        <v>44353.8125</v>
      </c>
      <c r="AT1951" s="1">
        <v>44354.02579861111</v>
      </c>
      <c r="AU1951" s="1">
        <v>44354.026250000003</v>
      </c>
      <c r="AV1951" t="s">
        <v>71</v>
      </c>
      <c r="AW1951" t="s">
        <v>72</v>
      </c>
      <c r="AX1951" t="s">
        <v>73</v>
      </c>
    </row>
    <row r="1952" spans="1:50" x14ac:dyDescent="0.3">
      <c r="A1952" t="str">
        <f>"200762B0000"</f>
        <v>200762B0000</v>
      </c>
      <c r="B1952" t="str">
        <f>"200762B00002"</f>
        <v>200762B00002</v>
      </c>
      <c r="C1952" t="str">
        <f t="shared" si="95"/>
        <v>20</v>
      </c>
      <c r="D1952" t="s">
        <v>67</v>
      </c>
      <c r="E1952" t="str">
        <f t="shared" si="94"/>
        <v>009</v>
      </c>
      <c r="F1952" t="s">
        <v>2003</v>
      </c>
      <c r="G1952" t="str">
        <f>"0762"</f>
        <v>0762</v>
      </c>
      <c r="H1952" t="str">
        <f t="shared" si="96"/>
        <v>0000</v>
      </c>
      <c r="I1952" t="s">
        <v>69</v>
      </c>
      <c r="J1952">
        <v>0</v>
      </c>
      <c r="K1952">
        <v>1</v>
      </c>
      <c r="L1952">
        <v>2</v>
      </c>
      <c r="M1952">
        <v>162</v>
      </c>
      <c r="N1952">
        <v>208</v>
      </c>
      <c r="O1952">
        <v>2</v>
      </c>
      <c r="P1952">
        <v>208</v>
      </c>
      <c r="Q1952">
        <v>1</v>
      </c>
      <c r="R1952">
        <v>6</v>
      </c>
      <c r="S1952">
        <v>2</v>
      </c>
      <c r="T1952">
        <v>0</v>
      </c>
      <c r="U1952">
        <v>7</v>
      </c>
      <c r="V1952">
        <v>0</v>
      </c>
      <c r="W1952">
        <v>4</v>
      </c>
      <c r="X1952">
        <v>178</v>
      </c>
      <c r="Y1952">
        <v>2</v>
      </c>
      <c r="Z1952">
        <v>5</v>
      </c>
      <c r="AA1952">
        <v>1</v>
      </c>
      <c r="AB1952">
        <v>0</v>
      </c>
      <c r="AD1952">
        <v>0</v>
      </c>
      <c r="AE1952">
        <v>0</v>
      </c>
      <c r="AF1952">
        <v>0</v>
      </c>
      <c r="AG1952">
        <v>0</v>
      </c>
      <c r="AI1952">
        <v>0</v>
      </c>
      <c r="AJ1952">
        <v>2</v>
      </c>
      <c r="AK1952">
        <v>208</v>
      </c>
      <c r="AL1952">
        <v>208</v>
      </c>
      <c r="AM1952">
        <v>326</v>
      </c>
      <c r="AN1952">
        <v>44</v>
      </c>
      <c r="AP1952">
        <v>1</v>
      </c>
      <c r="AR1952" t="s">
        <v>2042</v>
      </c>
      <c r="AS1952" s="1">
        <v>44354.14166666667</v>
      </c>
      <c r="AT1952" s="1">
        <v>44354.145092592589</v>
      </c>
      <c r="AU1952" s="1">
        <v>44354.145972222221</v>
      </c>
      <c r="AV1952" t="s">
        <v>71</v>
      </c>
      <c r="AW1952" t="s">
        <v>72</v>
      </c>
      <c r="AX1952" t="s">
        <v>73</v>
      </c>
    </row>
    <row r="1953" spans="1:50" x14ac:dyDescent="0.3">
      <c r="A1953" t="str">
        <f>"200795B0000"</f>
        <v>200795B0000</v>
      </c>
      <c r="B1953" t="str">
        <f>"200795B00002"</f>
        <v>200795B00002</v>
      </c>
      <c r="C1953" t="str">
        <f t="shared" si="95"/>
        <v>20</v>
      </c>
      <c r="D1953" t="s">
        <v>67</v>
      </c>
      <c r="E1953" t="str">
        <f t="shared" si="94"/>
        <v>009</v>
      </c>
      <c r="F1953" t="s">
        <v>2003</v>
      </c>
      <c r="G1953" t="str">
        <f>"0795"</f>
        <v>0795</v>
      </c>
      <c r="H1953" t="str">
        <f t="shared" si="96"/>
        <v>0000</v>
      </c>
      <c r="I1953" t="s">
        <v>69</v>
      </c>
      <c r="J1953">
        <v>0</v>
      </c>
      <c r="K1953">
        <v>1</v>
      </c>
      <c r="L1953">
        <v>2</v>
      </c>
      <c r="M1953">
        <v>171</v>
      </c>
      <c r="N1953">
        <v>86</v>
      </c>
      <c r="O1953" t="s">
        <v>80</v>
      </c>
      <c r="P1953">
        <v>86</v>
      </c>
      <c r="Q1953" t="s">
        <v>77</v>
      </c>
      <c r="R1953">
        <v>7</v>
      </c>
      <c r="S1953">
        <v>1</v>
      </c>
      <c r="T1953">
        <v>2</v>
      </c>
      <c r="U1953">
        <v>1</v>
      </c>
      <c r="V1953">
        <v>1</v>
      </c>
      <c r="W1953" t="s">
        <v>77</v>
      </c>
      <c r="X1953">
        <v>69</v>
      </c>
      <c r="Y1953">
        <v>1</v>
      </c>
      <c r="Z1953" t="s">
        <v>77</v>
      </c>
      <c r="AA1953">
        <v>1</v>
      </c>
      <c r="AB1953" t="s">
        <v>77</v>
      </c>
      <c r="AD1953" t="s">
        <v>77</v>
      </c>
      <c r="AE1953" t="s">
        <v>77</v>
      </c>
      <c r="AF1953" t="s">
        <v>77</v>
      </c>
      <c r="AG1953" t="s">
        <v>77</v>
      </c>
      <c r="AI1953" t="s">
        <v>77</v>
      </c>
      <c r="AJ1953">
        <v>3</v>
      </c>
      <c r="AK1953">
        <v>86</v>
      </c>
      <c r="AL1953">
        <v>86</v>
      </c>
      <c r="AM1953">
        <v>213</v>
      </c>
      <c r="AN1953">
        <v>44</v>
      </c>
      <c r="AO1953" t="s">
        <v>78</v>
      </c>
      <c r="AP1953">
        <v>1</v>
      </c>
      <c r="AR1953" t="s">
        <v>2043</v>
      </c>
      <c r="AS1953" s="1">
        <v>44354.004861111112</v>
      </c>
      <c r="AT1953" s="1">
        <v>44354.011354166665</v>
      </c>
      <c r="AU1953" s="1">
        <v>44354.011944444443</v>
      </c>
      <c r="AV1953" t="s">
        <v>71</v>
      </c>
      <c r="AW1953" t="s">
        <v>72</v>
      </c>
      <c r="AX1953" t="s">
        <v>73</v>
      </c>
    </row>
    <row r="1954" spans="1:50" x14ac:dyDescent="0.3">
      <c r="A1954" t="str">
        <f>"200796B0000"</f>
        <v>200796B0000</v>
      </c>
      <c r="B1954" t="str">
        <f>"200796B00002"</f>
        <v>200796B00002</v>
      </c>
      <c r="C1954" t="str">
        <f t="shared" si="95"/>
        <v>20</v>
      </c>
      <c r="D1954" t="s">
        <v>67</v>
      </c>
      <c r="E1954" t="str">
        <f t="shared" si="94"/>
        <v>009</v>
      </c>
      <c r="F1954" t="s">
        <v>2003</v>
      </c>
      <c r="G1954" t="str">
        <f>"0796"</f>
        <v>0796</v>
      </c>
      <c r="H1954" t="str">
        <f t="shared" si="96"/>
        <v>0000</v>
      </c>
      <c r="I1954" t="s">
        <v>69</v>
      </c>
      <c r="J1954">
        <v>0</v>
      </c>
      <c r="K1954">
        <v>1</v>
      </c>
      <c r="L1954">
        <v>2</v>
      </c>
      <c r="M1954">
        <v>126</v>
      </c>
      <c r="N1954">
        <v>69</v>
      </c>
      <c r="O1954">
        <v>2</v>
      </c>
      <c r="P1954">
        <v>69</v>
      </c>
      <c r="Q1954" t="s">
        <v>77</v>
      </c>
      <c r="R1954">
        <v>2</v>
      </c>
      <c r="S1954" t="s">
        <v>77</v>
      </c>
      <c r="T1954" t="s">
        <v>77</v>
      </c>
      <c r="U1954">
        <v>6</v>
      </c>
      <c r="V1954" t="s">
        <v>77</v>
      </c>
      <c r="W1954" t="s">
        <v>77</v>
      </c>
      <c r="X1954">
        <v>56</v>
      </c>
      <c r="Y1954" t="s">
        <v>77</v>
      </c>
      <c r="Z1954">
        <v>2</v>
      </c>
      <c r="AA1954">
        <v>1</v>
      </c>
      <c r="AB1954" t="s">
        <v>77</v>
      </c>
      <c r="AD1954" t="s">
        <v>77</v>
      </c>
      <c r="AE1954" t="s">
        <v>77</v>
      </c>
      <c r="AF1954" t="s">
        <v>77</v>
      </c>
      <c r="AG1954" t="s">
        <v>77</v>
      </c>
      <c r="AI1954" t="s">
        <v>77</v>
      </c>
      <c r="AJ1954" t="s">
        <v>77</v>
      </c>
      <c r="AK1954" t="s">
        <v>77</v>
      </c>
      <c r="AL1954">
        <v>67</v>
      </c>
      <c r="AM1954">
        <v>152</v>
      </c>
      <c r="AN1954">
        <v>44</v>
      </c>
      <c r="AO1954" t="s">
        <v>78</v>
      </c>
      <c r="AP1954">
        <v>1</v>
      </c>
      <c r="AR1954" t="s">
        <v>2044</v>
      </c>
      <c r="AS1954" s="1">
        <v>44354.625694444447</v>
      </c>
      <c r="AT1954" s="1">
        <v>44354.628784722219</v>
      </c>
      <c r="AU1954" s="1">
        <v>44354.629444444443</v>
      </c>
      <c r="AV1954" t="s">
        <v>71</v>
      </c>
      <c r="AW1954" t="s">
        <v>72</v>
      </c>
      <c r="AX1954" t="s">
        <v>73</v>
      </c>
    </row>
    <row r="1955" spans="1:50" x14ac:dyDescent="0.3">
      <c r="A1955" t="str">
        <f>"200797B0000"</f>
        <v>200797B0000</v>
      </c>
      <c r="B1955" t="str">
        <f>"200797B00002"</f>
        <v>200797B00002</v>
      </c>
      <c r="C1955" t="str">
        <f t="shared" si="95"/>
        <v>20</v>
      </c>
      <c r="D1955" t="s">
        <v>67</v>
      </c>
      <c r="E1955" t="str">
        <f t="shared" si="94"/>
        <v>009</v>
      </c>
      <c r="F1955" t="s">
        <v>2003</v>
      </c>
      <c r="G1955" t="str">
        <f>"0797"</f>
        <v>0797</v>
      </c>
      <c r="H1955" t="str">
        <f t="shared" si="96"/>
        <v>0000</v>
      </c>
      <c r="I1955" t="s">
        <v>69</v>
      </c>
      <c r="J1955">
        <v>0</v>
      </c>
      <c r="K1955">
        <v>1</v>
      </c>
      <c r="L1955">
        <v>2</v>
      </c>
      <c r="M1955">
        <v>115</v>
      </c>
      <c r="N1955">
        <v>101</v>
      </c>
      <c r="O1955">
        <v>0</v>
      </c>
      <c r="P1955">
        <v>101</v>
      </c>
      <c r="Q1955">
        <v>0</v>
      </c>
      <c r="R1955">
        <v>0</v>
      </c>
      <c r="S1955">
        <v>3</v>
      </c>
      <c r="T1955">
        <v>0</v>
      </c>
      <c r="U1955">
        <v>3</v>
      </c>
      <c r="V1955">
        <v>0</v>
      </c>
      <c r="W1955">
        <v>2</v>
      </c>
      <c r="X1955">
        <v>90</v>
      </c>
      <c r="Y1955">
        <v>0</v>
      </c>
      <c r="Z1955">
        <v>3</v>
      </c>
      <c r="AA1955">
        <v>0</v>
      </c>
      <c r="AB1955">
        <v>0</v>
      </c>
      <c r="AD1955">
        <v>0</v>
      </c>
      <c r="AE1955">
        <v>0</v>
      </c>
      <c r="AF1955">
        <v>0</v>
      </c>
      <c r="AG1955">
        <v>0</v>
      </c>
      <c r="AI1955">
        <v>0</v>
      </c>
      <c r="AJ1955">
        <v>0</v>
      </c>
      <c r="AK1955">
        <v>101</v>
      </c>
      <c r="AL1955">
        <v>101</v>
      </c>
      <c r="AM1955">
        <v>172</v>
      </c>
      <c r="AN1955">
        <v>44</v>
      </c>
      <c r="AP1955">
        <v>1</v>
      </c>
      <c r="AR1955" t="s">
        <v>2045</v>
      </c>
      <c r="AS1955" s="1">
        <v>44353.999305555553</v>
      </c>
      <c r="AT1955" s="1">
        <v>44354.006574074076</v>
      </c>
      <c r="AU1955" s="1">
        <v>44354.007071759261</v>
      </c>
      <c r="AV1955" t="s">
        <v>71</v>
      </c>
      <c r="AW1955" t="s">
        <v>72</v>
      </c>
      <c r="AX1955" t="s">
        <v>73</v>
      </c>
    </row>
    <row r="1956" spans="1:50" x14ac:dyDescent="0.3">
      <c r="A1956" t="str">
        <f>"200811B0000"</f>
        <v>200811B0000</v>
      </c>
      <c r="B1956" t="str">
        <f>"200811B00002"</f>
        <v>200811B00002</v>
      </c>
      <c r="C1956" t="str">
        <f t="shared" si="95"/>
        <v>20</v>
      </c>
      <c r="D1956" t="s">
        <v>67</v>
      </c>
      <c r="E1956" t="str">
        <f t="shared" si="94"/>
        <v>009</v>
      </c>
      <c r="F1956" t="s">
        <v>2003</v>
      </c>
      <c r="G1956" t="str">
        <f>"0811"</f>
        <v>0811</v>
      </c>
      <c r="H1956" t="str">
        <f t="shared" si="96"/>
        <v>0000</v>
      </c>
      <c r="I1956" t="s">
        <v>69</v>
      </c>
      <c r="J1956">
        <v>0</v>
      </c>
      <c r="K1956">
        <v>1</v>
      </c>
      <c r="L1956">
        <v>2</v>
      </c>
      <c r="M1956">
        <v>255</v>
      </c>
      <c r="N1956">
        <v>68</v>
      </c>
      <c r="O1956">
        <v>2</v>
      </c>
      <c r="P1956">
        <v>68</v>
      </c>
      <c r="Q1956">
        <v>0</v>
      </c>
      <c r="R1956">
        <v>4</v>
      </c>
      <c r="S1956">
        <v>6</v>
      </c>
      <c r="T1956">
        <v>3</v>
      </c>
      <c r="U1956">
        <v>4</v>
      </c>
      <c r="V1956">
        <v>1</v>
      </c>
      <c r="W1956">
        <v>1</v>
      </c>
      <c r="X1956">
        <v>41</v>
      </c>
      <c r="Y1956">
        <v>0</v>
      </c>
      <c r="Z1956">
        <v>1</v>
      </c>
      <c r="AA1956">
        <v>1</v>
      </c>
      <c r="AB1956">
        <v>0</v>
      </c>
      <c r="AD1956">
        <v>1</v>
      </c>
      <c r="AE1956">
        <v>0</v>
      </c>
      <c r="AF1956">
        <v>0</v>
      </c>
      <c r="AG1956">
        <v>0</v>
      </c>
      <c r="AI1956">
        <v>0</v>
      </c>
      <c r="AJ1956">
        <v>5</v>
      </c>
      <c r="AK1956">
        <v>68</v>
      </c>
      <c r="AL1956">
        <v>68</v>
      </c>
      <c r="AM1956">
        <v>279</v>
      </c>
      <c r="AN1956">
        <v>44</v>
      </c>
      <c r="AP1956">
        <v>1</v>
      </c>
      <c r="AR1956" t="s">
        <v>2046</v>
      </c>
      <c r="AS1956" s="1">
        <v>44354.661805555559</v>
      </c>
      <c r="AT1956" s="1">
        <v>44354.664826388886</v>
      </c>
      <c r="AU1956" s="1">
        <v>44354.665312500001</v>
      </c>
      <c r="AV1956" t="s">
        <v>71</v>
      </c>
      <c r="AW1956" t="s">
        <v>72</v>
      </c>
      <c r="AX1956" t="s">
        <v>73</v>
      </c>
    </row>
    <row r="1957" spans="1:50" x14ac:dyDescent="0.3">
      <c r="A1957" t="str">
        <f>"200836B0000"</f>
        <v>200836B0000</v>
      </c>
      <c r="B1957" t="str">
        <f>"200836B00002"</f>
        <v>200836B00002</v>
      </c>
      <c r="C1957" t="str">
        <f t="shared" si="95"/>
        <v>20</v>
      </c>
      <c r="D1957" t="s">
        <v>67</v>
      </c>
      <c r="E1957" t="str">
        <f t="shared" si="94"/>
        <v>009</v>
      </c>
      <c r="F1957" t="s">
        <v>2003</v>
      </c>
      <c r="G1957" t="str">
        <f>"0836"</f>
        <v>0836</v>
      </c>
      <c r="H1957" t="str">
        <f t="shared" si="96"/>
        <v>0000</v>
      </c>
      <c r="I1957" t="s">
        <v>69</v>
      </c>
      <c r="J1957">
        <v>0</v>
      </c>
      <c r="K1957">
        <v>1</v>
      </c>
      <c r="L1957">
        <v>2</v>
      </c>
      <c r="M1957">
        <v>243</v>
      </c>
      <c r="N1957">
        <v>325</v>
      </c>
      <c r="O1957" t="s">
        <v>80</v>
      </c>
      <c r="P1957">
        <v>325</v>
      </c>
      <c r="Q1957">
        <v>6</v>
      </c>
      <c r="R1957">
        <v>16</v>
      </c>
      <c r="S1957">
        <v>12</v>
      </c>
      <c r="T1957">
        <v>2</v>
      </c>
      <c r="U1957">
        <v>13</v>
      </c>
      <c r="V1957">
        <v>6</v>
      </c>
      <c r="W1957">
        <v>2</v>
      </c>
      <c r="X1957">
        <v>230</v>
      </c>
      <c r="Y1957">
        <v>1</v>
      </c>
      <c r="Z1957">
        <v>4</v>
      </c>
      <c r="AA1957">
        <v>4</v>
      </c>
      <c r="AB1957">
        <v>6</v>
      </c>
      <c r="AD1957" t="s">
        <v>77</v>
      </c>
      <c r="AE1957" t="s">
        <v>77</v>
      </c>
      <c r="AF1957" t="s">
        <v>77</v>
      </c>
      <c r="AG1957" t="s">
        <v>77</v>
      </c>
      <c r="AI1957" t="s">
        <v>77</v>
      </c>
      <c r="AJ1957">
        <v>23</v>
      </c>
      <c r="AK1957">
        <v>325</v>
      </c>
      <c r="AL1957">
        <v>325</v>
      </c>
      <c r="AM1957">
        <v>524</v>
      </c>
      <c r="AN1957">
        <v>44</v>
      </c>
      <c r="AO1957" t="s">
        <v>78</v>
      </c>
      <c r="AP1957">
        <v>1</v>
      </c>
      <c r="AR1957" t="s">
        <v>2047</v>
      </c>
      <c r="AS1957" s="1">
        <v>44354.101388888892</v>
      </c>
      <c r="AT1957" s="1">
        <v>44354.103692129633</v>
      </c>
      <c r="AU1957" s="1">
        <v>44354.104131944441</v>
      </c>
      <c r="AV1957" t="s">
        <v>71</v>
      </c>
      <c r="AW1957" t="s">
        <v>72</v>
      </c>
      <c r="AX1957" t="s">
        <v>73</v>
      </c>
    </row>
    <row r="1958" spans="1:50" x14ac:dyDescent="0.3">
      <c r="A1958" t="str">
        <f>"200836C0100"</f>
        <v>200836C0100</v>
      </c>
      <c r="B1958" t="str">
        <f>"200836C01002"</f>
        <v>200836C01002</v>
      </c>
      <c r="C1958" t="str">
        <f t="shared" si="95"/>
        <v>20</v>
      </c>
      <c r="D1958" t="s">
        <v>67</v>
      </c>
      <c r="E1958" t="str">
        <f t="shared" si="94"/>
        <v>009</v>
      </c>
      <c r="F1958" t="s">
        <v>2003</v>
      </c>
      <c r="G1958" t="str">
        <f>"0836"</f>
        <v>0836</v>
      </c>
      <c r="H1958" t="str">
        <f>"0001"</f>
        <v>0001</v>
      </c>
      <c r="I1958" t="s">
        <v>75</v>
      </c>
      <c r="J1958">
        <v>0</v>
      </c>
      <c r="K1958">
        <v>1</v>
      </c>
      <c r="L1958">
        <v>2</v>
      </c>
      <c r="M1958" t="s">
        <v>80</v>
      </c>
      <c r="N1958" t="s">
        <v>80</v>
      </c>
      <c r="O1958" t="s">
        <v>80</v>
      </c>
      <c r="P1958" t="s">
        <v>80</v>
      </c>
      <c r="Q1958">
        <v>7</v>
      </c>
      <c r="R1958">
        <v>13</v>
      </c>
      <c r="S1958">
        <v>3</v>
      </c>
      <c r="T1958">
        <v>5</v>
      </c>
      <c r="U1958">
        <v>18</v>
      </c>
      <c r="V1958">
        <v>1</v>
      </c>
      <c r="W1958">
        <v>2</v>
      </c>
      <c r="X1958">
        <v>226</v>
      </c>
      <c r="Y1958">
        <v>3</v>
      </c>
      <c r="Z1958">
        <v>6</v>
      </c>
      <c r="AA1958">
        <v>1</v>
      </c>
      <c r="AB1958">
        <v>1</v>
      </c>
      <c r="AD1958">
        <v>1</v>
      </c>
      <c r="AE1958" t="s">
        <v>77</v>
      </c>
      <c r="AF1958">
        <v>1</v>
      </c>
      <c r="AG1958" t="s">
        <v>77</v>
      </c>
      <c r="AI1958" t="s">
        <v>77</v>
      </c>
      <c r="AJ1958">
        <v>29</v>
      </c>
      <c r="AK1958" t="s">
        <v>77</v>
      </c>
      <c r="AL1958">
        <v>317</v>
      </c>
      <c r="AM1958">
        <v>524</v>
      </c>
      <c r="AN1958">
        <v>44</v>
      </c>
      <c r="AO1958" t="s">
        <v>78</v>
      </c>
      <c r="AP1958">
        <v>1</v>
      </c>
      <c r="AR1958" t="s">
        <v>2048</v>
      </c>
      <c r="AS1958" s="1">
        <v>44354.102083333331</v>
      </c>
      <c r="AT1958" s="1">
        <v>44354.104664351849</v>
      </c>
      <c r="AU1958" s="1">
        <v>44354.105196759258</v>
      </c>
      <c r="AV1958" t="s">
        <v>71</v>
      </c>
      <c r="AW1958" t="s">
        <v>72</v>
      </c>
      <c r="AX1958" t="s">
        <v>73</v>
      </c>
    </row>
    <row r="1959" spans="1:50" x14ac:dyDescent="0.3">
      <c r="A1959" t="str">
        <f>"200874B0000"</f>
        <v>200874B0000</v>
      </c>
      <c r="B1959" t="str">
        <f>"200874B00002"</f>
        <v>200874B00002</v>
      </c>
      <c r="C1959" t="str">
        <f t="shared" si="95"/>
        <v>20</v>
      </c>
      <c r="D1959" t="s">
        <v>67</v>
      </c>
      <c r="E1959" t="str">
        <f t="shared" si="94"/>
        <v>009</v>
      </c>
      <c r="F1959" t="s">
        <v>2003</v>
      </c>
      <c r="G1959" t="str">
        <f>"0874"</f>
        <v>0874</v>
      </c>
      <c r="H1959" t="str">
        <f>"0000"</f>
        <v>0000</v>
      </c>
      <c r="I1959" t="s">
        <v>69</v>
      </c>
      <c r="J1959">
        <v>0</v>
      </c>
      <c r="K1959">
        <v>1</v>
      </c>
      <c r="L1959">
        <v>2</v>
      </c>
      <c r="M1959">
        <v>242</v>
      </c>
      <c r="N1959">
        <v>165</v>
      </c>
      <c r="O1959">
        <v>0</v>
      </c>
      <c r="P1959">
        <v>165</v>
      </c>
      <c r="Q1959">
        <v>6</v>
      </c>
      <c r="R1959">
        <v>2</v>
      </c>
      <c r="S1959">
        <v>0</v>
      </c>
      <c r="T1959">
        <v>1</v>
      </c>
      <c r="U1959">
        <v>6</v>
      </c>
      <c r="V1959">
        <v>0</v>
      </c>
      <c r="W1959">
        <v>3</v>
      </c>
      <c r="X1959">
        <v>139</v>
      </c>
      <c r="Y1959">
        <v>1</v>
      </c>
      <c r="Z1959">
        <v>3</v>
      </c>
      <c r="AA1959">
        <v>2</v>
      </c>
      <c r="AB1959">
        <v>0</v>
      </c>
      <c r="AD1959">
        <v>0</v>
      </c>
      <c r="AE1959">
        <v>0</v>
      </c>
      <c r="AF1959">
        <v>0</v>
      </c>
      <c r="AG1959">
        <v>0</v>
      </c>
      <c r="AI1959">
        <v>0</v>
      </c>
      <c r="AJ1959">
        <v>2</v>
      </c>
      <c r="AK1959">
        <v>165</v>
      </c>
      <c r="AL1959">
        <v>165</v>
      </c>
      <c r="AM1959">
        <v>363</v>
      </c>
      <c r="AN1959">
        <v>44</v>
      </c>
      <c r="AP1959">
        <v>1</v>
      </c>
      <c r="AR1959" t="s">
        <v>2049</v>
      </c>
      <c r="AS1959" s="1">
        <v>44354.134722222225</v>
      </c>
      <c r="AT1959" s="1">
        <v>44354.138159722221</v>
      </c>
      <c r="AU1959" s="1">
        <v>44354.138645833336</v>
      </c>
      <c r="AV1959" t="s">
        <v>71</v>
      </c>
      <c r="AW1959" t="s">
        <v>72</v>
      </c>
      <c r="AX1959" t="s">
        <v>73</v>
      </c>
    </row>
    <row r="1960" spans="1:50" x14ac:dyDescent="0.3">
      <c r="A1960" t="str">
        <f>"200893B0000"</f>
        <v>200893B0000</v>
      </c>
      <c r="B1960" t="str">
        <f>"200893B00002"</f>
        <v>200893B00002</v>
      </c>
      <c r="C1960" t="str">
        <f t="shared" si="95"/>
        <v>20</v>
      </c>
      <c r="D1960" t="s">
        <v>67</v>
      </c>
      <c r="E1960" t="str">
        <f t="shared" si="94"/>
        <v>009</v>
      </c>
      <c r="F1960" t="s">
        <v>2003</v>
      </c>
      <c r="G1960" t="str">
        <f>"0893"</f>
        <v>0893</v>
      </c>
      <c r="H1960" t="str">
        <f>"0000"</f>
        <v>0000</v>
      </c>
      <c r="I1960" t="s">
        <v>69</v>
      </c>
      <c r="J1960">
        <v>0</v>
      </c>
      <c r="K1960">
        <v>1</v>
      </c>
      <c r="L1960">
        <v>2</v>
      </c>
      <c r="M1960">
        <v>490</v>
      </c>
      <c r="N1960">
        <v>273</v>
      </c>
      <c r="O1960">
        <v>0</v>
      </c>
      <c r="P1960">
        <v>273</v>
      </c>
      <c r="Q1960">
        <v>26</v>
      </c>
      <c r="R1960">
        <v>60</v>
      </c>
      <c r="S1960">
        <v>2</v>
      </c>
      <c r="T1960">
        <v>3</v>
      </c>
      <c r="U1960">
        <v>7</v>
      </c>
      <c r="V1960">
        <v>6</v>
      </c>
      <c r="W1960">
        <v>1</v>
      </c>
      <c r="X1960">
        <v>138</v>
      </c>
      <c r="Y1960">
        <v>2</v>
      </c>
      <c r="Z1960">
        <v>8</v>
      </c>
      <c r="AA1960">
        <v>4</v>
      </c>
      <c r="AB1960">
        <v>3</v>
      </c>
      <c r="AD1960">
        <v>3</v>
      </c>
      <c r="AE1960">
        <v>1</v>
      </c>
      <c r="AF1960">
        <v>0</v>
      </c>
      <c r="AG1960">
        <v>0</v>
      </c>
      <c r="AI1960">
        <v>0</v>
      </c>
      <c r="AJ1960">
        <v>9</v>
      </c>
      <c r="AK1960">
        <v>273</v>
      </c>
      <c r="AL1960">
        <v>273</v>
      </c>
      <c r="AM1960">
        <v>719</v>
      </c>
      <c r="AN1960">
        <v>44</v>
      </c>
      <c r="AP1960">
        <v>1</v>
      </c>
      <c r="AR1960" t="s">
        <v>2050</v>
      </c>
      <c r="AS1960" s="1">
        <v>44354.635416666664</v>
      </c>
      <c r="AT1960" s="1">
        <v>44354.63790509259</v>
      </c>
      <c r="AU1960" s="1">
        <v>44354.63857638889</v>
      </c>
      <c r="AV1960" t="s">
        <v>71</v>
      </c>
      <c r="AW1960" t="s">
        <v>72</v>
      </c>
      <c r="AX1960" t="s">
        <v>73</v>
      </c>
    </row>
    <row r="1961" spans="1:50" x14ac:dyDescent="0.3">
      <c r="A1961" t="str">
        <f>"200893C0100"</f>
        <v>200893C0100</v>
      </c>
      <c r="B1961" t="str">
        <f>"200893C01002"</f>
        <v>200893C01002</v>
      </c>
      <c r="C1961" t="str">
        <f t="shared" si="95"/>
        <v>20</v>
      </c>
      <c r="D1961" t="s">
        <v>67</v>
      </c>
      <c r="E1961" t="str">
        <f t="shared" si="94"/>
        <v>009</v>
      </c>
      <c r="F1961" t="s">
        <v>2003</v>
      </c>
      <c r="G1961" t="str">
        <f>"0893"</f>
        <v>0893</v>
      </c>
      <c r="H1961" t="str">
        <f>"0001"</f>
        <v>0001</v>
      </c>
      <c r="I1961" t="s">
        <v>75</v>
      </c>
      <c r="J1961">
        <v>0</v>
      </c>
      <c r="K1961">
        <v>1</v>
      </c>
      <c r="L1961">
        <v>2</v>
      </c>
      <c r="M1961">
        <v>506</v>
      </c>
      <c r="N1961">
        <v>257</v>
      </c>
      <c r="O1961">
        <v>1</v>
      </c>
      <c r="P1961">
        <v>257</v>
      </c>
      <c r="Q1961">
        <v>19</v>
      </c>
      <c r="R1961">
        <v>56</v>
      </c>
      <c r="S1961">
        <v>11</v>
      </c>
      <c r="T1961">
        <v>12</v>
      </c>
      <c r="U1961">
        <v>13</v>
      </c>
      <c r="V1961">
        <v>4</v>
      </c>
      <c r="W1961">
        <v>1</v>
      </c>
      <c r="X1961">
        <v>116</v>
      </c>
      <c r="Y1961">
        <v>0</v>
      </c>
      <c r="Z1961">
        <v>8</v>
      </c>
      <c r="AA1961">
        <v>1</v>
      </c>
      <c r="AB1961">
        <v>4</v>
      </c>
      <c r="AD1961">
        <v>2</v>
      </c>
      <c r="AE1961">
        <v>0</v>
      </c>
      <c r="AF1961">
        <v>0</v>
      </c>
      <c r="AG1961">
        <v>1</v>
      </c>
      <c r="AI1961">
        <v>0</v>
      </c>
      <c r="AJ1961">
        <v>9</v>
      </c>
      <c r="AK1961">
        <v>257</v>
      </c>
      <c r="AL1961">
        <v>257</v>
      </c>
      <c r="AM1961">
        <v>719</v>
      </c>
      <c r="AN1961">
        <v>44</v>
      </c>
      <c r="AP1961">
        <v>1</v>
      </c>
      <c r="AR1961" t="s">
        <v>2051</v>
      </c>
      <c r="AS1961" s="1">
        <v>44354.152777777781</v>
      </c>
      <c r="AT1961" s="1">
        <v>44354.156585648147</v>
      </c>
      <c r="AU1961" s="1">
        <v>44354.157256944447</v>
      </c>
      <c r="AV1961" t="s">
        <v>71</v>
      </c>
      <c r="AW1961" t="s">
        <v>72</v>
      </c>
      <c r="AX1961" t="s">
        <v>73</v>
      </c>
    </row>
    <row r="1962" spans="1:50" x14ac:dyDescent="0.3">
      <c r="A1962" t="str">
        <f>"200893C0200"</f>
        <v>200893C0200</v>
      </c>
      <c r="B1962" t="str">
        <f>"200893C02002"</f>
        <v>200893C02002</v>
      </c>
      <c r="C1962" t="str">
        <f t="shared" si="95"/>
        <v>20</v>
      </c>
      <c r="D1962" t="s">
        <v>67</v>
      </c>
      <c r="E1962" t="str">
        <f t="shared" si="94"/>
        <v>009</v>
      </c>
      <c r="F1962" t="s">
        <v>2003</v>
      </c>
      <c r="G1962" t="str">
        <f>"0893"</f>
        <v>0893</v>
      </c>
      <c r="H1962" t="str">
        <f>"0002"</f>
        <v>0002</v>
      </c>
      <c r="I1962" t="s">
        <v>75</v>
      </c>
      <c r="J1962">
        <v>0</v>
      </c>
      <c r="K1962">
        <v>1</v>
      </c>
      <c r="L1962">
        <v>2</v>
      </c>
      <c r="M1962">
        <v>502</v>
      </c>
      <c r="N1962">
        <v>261</v>
      </c>
      <c r="O1962">
        <v>0</v>
      </c>
      <c r="P1962">
        <v>261</v>
      </c>
      <c r="Q1962">
        <v>20</v>
      </c>
      <c r="R1962">
        <v>53</v>
      </c>
      <c r="S1962">
        <v>1</v>
      </c>
      <c r="T1962">
        <v>6</v>
      </c>
      <c r="U1962">
        <v>14</v>
      </c>
      <c r="V1962">
        <v>5</v>
      </c>
      <c r="W1962">
        <v>1</v>
      </c>
      <c r="X1962">
        <v>134</v>
      </c>
      <c r="Y1962">
        <v>1</v>
      </c>
      <c r="Z1962">
        <v>11</v>
      </c>
      <c r="AA1962">
        <v>0</v>
      </c>
      <c r="AB1962">
        <v>4</v>
      </c>
      <c r="AD1962">
        <v>1</v>
      </c>
      <c r="AE1962">
        <v>0</v>
      </c>
      <c r="AF1962">
        <v>0</v>
      </c>
      <c r="AG1962">
        <v>0</v>
      </c>
      <c r="AI1962">
        <v>0</v>
      </c>
      <c r="AJ1962">
        <v>10</v>
      </c>
      <c r="AK1962">
        <v>261</v>
      </c>
      <c r="AL1962">
        <v>261</v>
      </c>
      <c r="AM1962">
        <v>719</v>
      </c>
      <c r="AN1962">
        <v>44</v>
      </c>
      <c r="AP1962">
        <v>1</v>
      </c>
      <c r="AR1962" t="s">
        <v>2052</v>
      </c>
      <c r="AS1962" s="1">
        <v>44354.011111111111</v>
      </c>
      <c r="AT1962" s="1">
        <v>44354.020636574074</v>
      </c>
      <c r="AU1962" s="1">
        <v>44354.021423611113</v>
      </c>
      <c r="AV1962" t="s">
        <v>71</v>
      </c>
      <c r="AW1962" t="s">
        <v>72</v>
      </c>
      <c r="AX1962" t="s">
        <v>73</v>
      </c>
    </row>
    <row r="1963" spans="1:50" x14ac:dyDescent="0.3">
      <c r="A1963" t="str">
        <f>"200893C0300"</f>
        <v>200893C0300</v>
      </c>
      <c r="B1963" t="str">
        <f>"200893C03002"</f>
        <v>200893C03002</v>
      </c>
      <c r="C1963" t="str">
        <f t="shared" si="95"/>
        <v>20</v>
      </c>
      <c r="D1963" t="s">
        <v>67</v>
      </c>
      <c r="E1963" t="str">
        <f t="shared" si="94"/>
        <v>009</v>
      </c>
      <c r="F1963" t="s">
        <v>2003</v>
      </c>
      <c r="G1963" t="str">
        <f>"0893"</f>
        <v>0893</v>
      </c>
      <c r="H1963" t="str">
        <f>"0003"</f>
        <v>0003</v>
      </c>
      <c r="I1963" t="s">
        <v>75</v>
      </c>
      <c r="J1963">
        <v>0</v>
      </c>
      <c r="K1963">
        <v>1</v>
      </c>
      <c r="L1963">
        <v>2</v>
      </c>
      <c r="M1963">
        <v>536</v>
      </c>
      <c r="N1963">
        <v>227</v>
      </c>
      <c r="O1963">
        <v>0</v>
      </c>
      <c r="P1963">
        <v>227</v>
      </c>
      <c r="Q1963">
        <v>16</v>
      </c>
      <c r="R1963">
        <v>46</v>
      </c>
      <c r="S1963">
        <v>4</v>
      </c>
      <c r="T1963">
        <v>4</v>
      </c>
      <c r="U1963">
        <v>11</v>
      </c>
      <c r="V1963">
        <v>8</v>
      </c>
      <c r="W1963">
        <v>3</v>
      </c>
      <c r="X1963">
        <v>111</v>
      </c>
      <c r="Y1963">
        <v>2</v>
      </c>
      <c r="Z1963">
        <v>9</v>
      </c>
      <c r="AA1963">
        <v>3</v>
      </c>
      <c r="AB1963">
        <v>4</v>
      </c>
      <c r="AD1963">
        <v>1</v>
      </c>
      <c r="AE1963">
        <v>0</v>
      </c>
      <c r="AF1963">
        <v>0</v>
      </c>
      <c r="AG1963">
        <v>0</v>
      </c>
      <c r="AI1963">
        <v>0</v>
      </c>
      <c r="AJ1963">
        <v>5</v>
      </c>
      <c r="AK1963">
        <v>227</v>
      </c>
      <c r="AL1963">
        <v>227</v>
      </c>
      <c r="AM1963">
        <v>719</v>
      </c>
      <c r="AN1963">
        <v>44</v>
      </c>
      <c r="AP1963">
        <v>1</v>
      </c>
      <c r="AR1963" t="s">
        <v>2053</v>
      </c>
      <c r="AS1963" s="1">
        <v>44354.011111111111</v>
      </c>
      <c r="AT1963" s="1">
        <v>44354.018946759257</v>
      </c>
      <c r="AU1963" s="1">
        <v>44354.019305555557</v>
      </c>
      <c r="AV1963" t="s">
        <v>71</v>
      </c>
      <c r="AW1963" t="s">
        <v>72</v>
      </c>
      <c r="AX1963" t="s">
        <v>73</v>
      </c>
    </row>
    <row r="1964" spans="1:50" x14ac:dyDescent="0.3">
      <c r="A1964" t="str">
        <f>"200914B0000"</f>
        <v>200914B0000</v>
      </c>
      <c r="B1964" t="str">
        <f>"200914B00002"</f>
        <v>200914B00002</v>
      </c>
      <c r="C1964" t="str">
        <f t="shared" si="95"/>
        <v>20</v>
      </c>
      <c r="D1964" t="s">
        <v>67</v>
      </c>
      <c r="E1964" t="str">
        <f t="shared" si="94"/>
        <v>009</v>
      </c>
      <c r="F1964" t="s">
        <v>2003</v>
      </c>
      <c r="G1964" t="str">
        <f>"0914"</f>
        <v>0914</v>
      </c>
      <c r="H1964" t="str">
        <f>"0000"</f>
        <v>0000</v>
      </c>
      <c r="I1964" t="s">
        <v>69</v>
      </c>
      <c r="J1964">
        <v>0</v>
      </c>
      <c r="K1964">
        <v>1</v>
      </c>
      <c r="L1964">
        <v>2</v>
      </c>
      <c r="M1964">
        <v>398</v>
      </c>
      <c r="N1964">
        <v>287</v>
      </c>
      <c r="O1964">
        <v>4</v>
      </c>
      <c r="P1964">
        <v>287</v>
      </c>
      <c r="Q1964">
        <v>5</v>
      </c>
      <c r="R1964">
        <v>28</v>
      </c>
      <c r="S1964">
        <v>5</v>
      </c>
      <c r="T1964">
        <v>1</v>
      </c>
      <c r="U1964">
        <v>43</v>
      </c>
      <c r="V1964">
        <v>1</v>
      </c>
      <c r="W1964">
        <v>1</v>
      </c>
      <c r="X1964">
        <v>187</v>
      </c>
      <c r="Y1964">
        <v>1</v>
      </c>
      <c r="Z1964">
        <v>2</v>
      </c>
      <c r="AA1964">
        <v>2</v>
      </c>
      <c r="AB1964">
        <v>3</v>
      </c>
      <c r="AD1964">
        <v>1</v>
      </c>
      <c r="AE1964">
        <v>0</v>
      </c>
      <c r="AF1964">
        <v>0</v>
      </c>
      <c r="AG1964">
        <v>0</v>
      </c>
      <c r="AI1964">
        <v>0</v>
      </c>
      <c r="AJ1964">
        <v>7</v>
      </c>
      <c r="AK1964">
        <v>287</v>
      </c>
      <c r="AL1964">
        <v>287</v>
      </c>
      <c r="AM1964">
        <v>641</v>
      </c>
      <c r="AN1964">
        <v>44</v>
      </c>
      <c r="AP1964">
        <v>1</v>
      </c>
      <c r="AR1964" t="s">
        <v>2054</v>
      </c>
      <c r="AS1964" s="1">
        <v>44354.118055555555</v>
      </c>
      <c r="AT1964" s="1">
        <v>44354.120752314811</v>
      </c>
      <c r="AU1964" s="1">
        <v>44354.121550925927</v>
      </c>
      <c r="AV1964" t="s">
        <v>71</v>
      </c>
      <c r="AW1964" t="s">
        <v>72</v>
      </c>
      <c r="AX1964" t="s">
        <v>73</v>
      </c>
    </row>
    <row r="1965" spans="1:50" x14ac:dyDescent="0.3">
      <c r="A1965" t="str">
        <f>"200914C0100"</f>
        <v>200914C0100</v>
      </c>
      <c r="B1965" t="str">
        <f>"200914C01002"</f>
        <v>200914C01002</v>
      </c>
      <c r="C1965" t="str">
        <f t="shared" si="95"/>
        <v>20</v>
      </c>
      <c r="D1965" t="s">
        <v>67</v>
      </c>
      <c r="E1965" t="str">
        <f t="shared" si="94"/>
        <v>009</v>
      </c>
      <c r="F1965" t="s">
        <v>2003</v>
      </c>
      <c r="G1965" t="str">
        <f>"0914"</f>
        <v>0914</v>
      </c>
      <c r="H1965" t="str">
        <f>"0001"</f>
        <v>0001</v>
      </c>
      <c r="I1965" t="s">
        <v>75</v>
      </c>
      <c r="J1965">
        <v>0</v>
      </c>
      <c r="K1965">
        <v>1</v>
      </c>
      <c r="L1965">
        <v>2</v>
      </c>
      <c r="M1965">
        <v>474</v>
      </c>
      <c r="N1965">
        <v>241</v>
      </c>
      <c r="O1965">
        <v>5</v>
      </c>
      <c r="P1965">
        <v>241</v>
      </c>
      <c r="Q1965">
        <v>0</v>
      </c>
      <c r="R1965">
        <v>39</v>
      </c>
      <c r="S1965">
        <v>4</v>
      </c>
      <c r="T1965">
        <v>3</v>
      </c>
      <c r="U1965">
        <v>33</v>
      </c>
      <c r="V1965">
        <v>0</v>
      </c>
      <c r="W1965">
        <v>1</v>
      </c>
      <c r="X1965">
        <v>143</v>
      </c>
      <c r="Y1965">
        <v>0</v>
      </c>
      <c r="Z1965">
        <v>2</v>
      </c>
      <c r="AA1965">
        <v>1</v>
      </c>
      <c r="AB1965">
        <v>3</v>
      </c>
      <c r="AD1965">
        <v>2</v>
      </c>
      <c r="AE1965">
        <v>0</v>
      </c>
      <c r="AF1965">
        <v>0</v>
      </c>
      <c r="AG1965">
        <v>0</v>
      </c>
      <c r="AI1965">
        <v>0</v>
      </c>
      <c r="AJ1965">
        <v>9</v>
      </c>
      <c r="AK1965">
        <v>241</v>
      </c>
      <c r="AL1965">
        <v>240</v>
      </c>
      <c r="AM1965">
        <v>640</v>
      </c>
      <c r="AN1965">
        <v>44</v>
      </c>
      <c r="AP1965">
        <v>1</v>
      </c>
      <c r="AR1965" t="s">
        <v>2055</v>
      </c>
      <c r="AS1965" s="1">
        <v>44354.118750000001</v>
      </c>
      <c r="AT1965" s="1">
        <v>44354.122118055559</v>
      </c>
      <c r="AU1965" s="1">
        <v>44354.12300925926</v>
      </c>
      <c r="AV1965" t="s">
        <v>71</v>
      </c>
      <c r="AW1965" t="s">
        <v>72</v>
      </c>
      <c r="AX1965" t="s">
        <v>73</v>
      </c>
    </row>
    <row r="1966" spans="1:50" x14ac:dyDescent="0.3">
      <c r="A1966" t="str">
        <f>"200914E0100"</f>
        <v>200914E0100</v>
      </c>
      <c r="B1966" t="str">
        <f>"200914E01002"</f>
        <v>200914E01002</v>
      </c>
      <c r="C1966" t="str">
        <f t="shared" si="95"/>
        <v>20</v>
      </c>
      <c r="D1966" t="s">
        <v>67</v>
      </c>
      <c r="E1966" t="str">
        <f t="shared" si="94"/>
        <v>009</v>
      </c>
      <c r="F1966" t="s">
        <v>2003</v>
      </c>
      <c r="G1966" t="str">
        <f>"0914"</f>
        <v>0914</v>
      </c>
      <c r="H1966" t="str">
        <f>"0001"</f>
        <v>0001</v>
      </c>
      <c r="I1966" t="s">
        <v>109</v>
      </c>
      <c r="J1966">
        <v>0</v>
      </c>
      <c r="K1966">
        <v>1</v>
      </c>
      <c r="L1966">
        <v>2</v>
      </c>
      <c r="AM1966">
        <v>284</v>
      </c>
      <c r="AN1966">
        <v>44</v>
      </c>
      <c r="AO1966" t="s">
        <v>2056</v>
      </c>
      <c r="AP1966">
        <v>0</v>
      </c>
      <c r="AR1966" t="s">
        <v>2057</v>
      </c>
      <c r="AS1966" s="1">
        <v>44354.439583333333</v>
      </c>
      <c r="AT1966" s="1">
        <v>44354.455335648148</v>
      </c>
      <c r="AU1966" s="1">
        <v>44354.455335648148</v>
      </c>
      <c r="AV1966" t="s">
        <v>71</v>
      </c>
      <c r="AW1966" t="s">
        <v>72</v>
      </c>
      <c r="AX1966" t="s">
        <v>73</v>
      </c>
    </row>
    <row r="1967" spans="1:50" x14ac:dyDescent="0.3">
      <c r="A1967" t="str">
        <f>"200914S0100"</f>
        <v>200914S0100</v>
      </c>
      <c r="B1967" t="str">
        <f>"200914S01002EMR"</f>
        <v>200914S01002EMR</v>
      </c>
      <c r="C1967" t="str">
        <f t="shared" si="95"/>
        <v>20</v>
      </c>
      <c r="D1967" t="s">
        <v>67</v>
      </c>
      <c r="E1967" t="str">
        <f t="shared" si="94"/>
        <v>009</v>
      </c>
      <c r="F1967" t="s">
        <v>2003</v>
      </c>
      <c r="G1967" t="str">
        <f>"0914"</f>
        <v>0914</v>
      </c>
      <c r="H1967" t="str">
        <f>"0001"</f>
        <v>0001</v>
      </c>
      <c r="I1967" t="s">
        <v>85</v>
      </c>
      <c r="J1967">
        <v>0</v>
      </c>
      <c r="K1967">
        <v>1</v>
      </c>
      <c r="L1967" t="s">
        <v>86</v>
      </c>
      <c r="M1967">
        <v>781</v>
      </c>
      <c r="N1967">
        <v>159</v>
      </c>
      <c r="O1967">
        <v>0</v>
      </c>
      <c r="P1967">
        <v>159</v>
      </c>
      <c r="Q1967">
        <v>2</v>
      </c>
      <c r="R1967">
        <v>10</v>
      </c>
      <c r="S1967">
        <v>1</v>
      </c>
      <c r="T1967">
        <v>0</v>
      </c>
      <c r="U1967">
        <v>11</v>
      </c>
      <c r="V1967">
        <v>0</v>
      </c>
      <c r="W1967">
        <v>3</v>
      </c>
      <c r="X1967">
        <v>122</v>
      </c>
      <c r="Y1967">
        <v>0</v>
      </c>
      <c r="Z1967">
        <v>3</v>
      </c>
      <c r="AA1967">
        <v>4</v>
      </c>
      <c r="AB1967">
        <v>1</v>
      </c>
      <c r="AD1967">
        <v>1</v>
      </c>
      <c r="AE1967" t="s">
        <v>77</v>
      </c>
      <c r="AF1967" t="s">
        <v>77</v>
      </c>
      <c r="AG1967" t="s">
        <v>77</v>
      </c>
      <c r="AI1967" t="s">
        <v>77</v>
      </c>
      <c r="AJ1967">
        <v>1</v>
      </c>
      <c r="AK1967">
        <v>159</v>
      </c>
      <c r="AL1967">
        <v>159</v>
      </c>
      <c r="AM1967">
        <v>0</v>
      </c>
      <c r="AN1967">
        <v>44</v>
      </c>
      <c r="AO1967" t="s">
        <v>78</v>
      </c>
      <c r="AP1967">
        <v>1</v>
      </c>
      <c r="AR1967" t="s">
        <v>2058</v>
      </c>
      <c r="AS1967" s="1">
        <v>44354.119444444441</v>
      </c>
      <c r="AT1967" s="1">
        <v>44354.129386574074</v>
      </c>
      <c r="AU1967" s="1">
        <v>44354.130023148151</v>
      </c>
      <c r="AV1967" t="s">
        <v>71</v>
      </c>
      <c r="AW1967" t="s">
        <v>72</v>
      </c>
      <c r="AX1967" t="s">
        <v>73</v>
      </c>
    </row>
    <row r="1968" spans="1:50" x14ac:dyDescent="0.3">
      <c r="A1968" t="str">
        <f>"200915B0000"</f>
        <v>200915B0000</v>
      </c>
      <c r="B1968" t="str">
        <f>"200915B00002"</f>
        <v>200915B00002</v>
      </c>
      <c r="C1968" t="str">
        <f t="shared" si="95"/>
        <v>20</v>
      </c>
      <c r="D1968" t="s">
        <v>67</v>
      </c>
      <c r="E1968" t="str">
        <f t="shared" si="94"/>
        <v>009</v>
      </c>
      <c r="F1968" t="s">
        <v>2003</v>
      </c>
      <c r="G1968" t="str">
        <f>"0915"</f>
        <v>0915</v>
      </c>
      <c r="H1968" t="str">
        <f>"0000"</f>
        <v>0000</v>
      </c>
      <c r="I1968" t="s">
        <v>69</v>
      </c>
      <c r="J1968">
        <v>0</v>
      </c>
      <c r="K1968">
        <v>1</v>
      </c>
      <c r="L1968">
        <v>2</v>
      </c>
      <c r="M1968">
        <v>336</v>
      </c>
      <c r="N1968">
        <v>142</v>
      </c>
      <c r="O1968">
        <v>4</v>
      </c>
      <c r="P1968">
        <v>142</v>
      </c>
      <c r="Q1968">
        <v>0</v>
      </c>
      <c r="R1968">
        <v>8</v>
      </c>
      <c r="S1968">
        <v>0</v>
      </c>
      <c r="T1968">
        <v>0</v>
      </c>
      <c r="U1968">
        <v>3</v>
      </c>
      <c r="V1968">
        <v>2</v>
      </c>
      <c r="W1968">
        <v>2</v>
      </c>
      <c r="X1968">
        <v>119</v>
      </c>
      <c r="Y1968">
        <v>1</v>
      </c>
      <c r="Z1968">
        <v>0</v>
      </c>
      <c r="AA1968">
        <v>1</v>
      </c>
      <c r="AB1968">
        <v>1</v>
      </c>
      <c r="AD1968">
        <v>0</v>
      </c>
      <c r="AE1968">
        <v>0</v>
      </c>
      <c r="AF1968">
        <v>0</v>
      </c>
      <c r="AG1968">
        <v>0</v>
      </c>
      <c r="AI1968">
        <v>0</v>
      </c>
      <c r="AJ1968">
        <v>5</v>
      </c>
      <c r="AK1968">
        <v>142</v>
      </c>
      <c r="AL1968">
        <v>142</v>
      </c>
      <c r="AM1968">
        <v>434</v>
      </c>
      <c r="AN1968">
        <v>44</v>
      </c>
      <c r="AP1968">
        <v>1</v>
      </c>
      <c r="AR1968" t="s">
        <v>2059</v>
      </c>
      <c r="AS1968" s="1">
        <v>44354.257638888892</v>
      </c>
      <c r="AT1968" s="1">
        <v>44354.262303240743</v>
      </c>
      <c r="AU1968" s="1">
        <v>44354.262789351851</v>
      </c>
      <c r="AV1968" t="s">
        <v>71</v>
      </c>
      <c r="AW1968" t="s">
        <v>72</v>
      </c>
      <c r="AX1968" t="s">
        <v>73</v>
      </c>
    </row>
    <row r="1969" spans="1:50" x14ac:dyDescent="0.3">
      <c r="A1969" t="str">
        <f>"200915E0100"</f>
        <v>200915E0100</v>
      </c>
      <c r="B1969" t="str">
        <f>"200915E01002"</f>
        <v>200915E01002</v>
      </c>
      <c r="C1969" t="str">
        <f t="shared" si="95"/>
        <v>20</v>
      </c>
      <c r="D1969" t="s">
        <v>67</v>
      </c>
      <c r="E1969" t="str">
        <f t="shared" si="94"/>
        <v>009</v>
      </c>
      <c r="F1969" t="s">
        <v>2003</v>
      </c>
      <c r="G1969" t="str">
        <f>"0915"</f>
        <v>0915</v>
      </c>
      <c r="H1969" t="str">
        <f>"0001"</f>
        <v>0001</v>
      </c>
      <c r="I1969" t="s">
        <v>109</v>
      </c>
      <c r="J1969">
        <v>0</v>
      </c>
      <c r="K1969">
        <v>1</v>
      </c>
      <c r="L1969">
        <v>2</v>
      </c>
      <c r="M1969">
        <v>326</v>
      </c>
      <c r="N1969">
        <v>70</v>
      </c>
      <c r="O1969">
        <v>0</v>
      </c>
      <c r="P1969">
        <v>70</v>
      </c>
      <c r="Q1969">
        <v>0</v>
      </c>
      <c r="R1969">
        <v>8</v>
      </c>
      <c r="S1969">
        <v>0</v>
      </c>
      <c r="T1969">
        <v>0</v>
      </c>
      <c r="U1969">
        <v>6</v>
      </c>
      <c r="V1969">
        <v>1</v>
      </c>
      <c r="W1969">
        <v>0</v>
      </c>
      <c r="X1969">
        <v>49</v>
      </c>
      <c r="Y1969">
        <v>1</v>
      </c>
      <c r="Z1969">
        <v>1</v>
      </c>
      <c r="AA1969">
        <v>0</v>
      </c>
      <c r="AB1969">
        <v>0</v>
      </c>
      <c r="AD1969">
        <v>0</v>
      </c>
      <c r="AE1969">
        <v>0</v>
      </c>
      <c r="AF1969">
        <v>0</v>
      </c>
      <c r="AG1969">
        <v>0</v>
      </c>
      <c r="AI1969">
        <v>0</v>
      </c>
      <c r="AJ1969">
        <v>4</v>
      </c>
      <c r="AK1969">
        <v>70</v>
      </c>
      <c r="AL1969">
        <v>70</v>
      </c>
      <c r="AM1969">
        <v>352</v>
      </c>
      <c r="AN1969">
        <v>44</v>
      </c>
      <c r="AP1969">
        <v>1</v>
      </c>
      <c r="AR1969" t="s">
        <v>2060</v>
      </c>
      <c r="AS1969" s="1">
        <v>44354.263888888891</v>
      </c>
      <c r="AT1969" s="1">
        <v>44354.267812500002</v>
      </c>
      <c r="AU1969" s="1">
        <v>44354.268171296295</v>
      </c>
      <c r="AV1969" t="s">
        <v>71</v>
      </c>
      <c r="AW1969" t="s">
        <v>72</v>
      </c>
      <c r="AX1969" t="s">
        <v>73</v>
      </c>
    </row>
    <row r="1970" spans="1:50" x14ac:dyDescent="0.3">
      <c r="A1970" t="str">
        <f>"200916B0000"</f>
        <v>200916B0000</v>
      </c>
      <c r="B1970" t="str">
        <f>"200916B00002"</f>
        <v>200916B00002</v>
      </c>
      <c r="C1970" t="str">
        <f t="shared" si="95"/>
        <v>20</v>
      </c>
      <c r="D1970" t="s">
        <v>67</v>
      </c>
      <c r="E1970" t="str">
        <f t="shared" si="94"/>
        <v>009</v>
      </c>
      <c r="F1970" t="s">
        <v>2003</v>
      </c>
      <c r="G1970" t="str">
        <f>"0916"</f>
        <v>0916</v>
      </c>
      <c r="H1970" t="str">
        <f>"0000"</f>
        <v>0000</v>
      </c>
      <c r="I1970" t="s">
        <v>69</v>
      </c>
      <c r="J1970">
        <v>0</v>
      </c>
      <c r="K1970">
        <v>1</v>
      </c>
      <c r="L1970">
        <v>2</v>
      </c>
      <c r="M1970">
        <v>216</v>
      </c>
      <c r="N1970">
        <v>224</v>
      </c>
      <c r="O1970">
        <v>3</v>
      </c>
      <c r="P1970">
        <v>1</v>
      </c>
      <c r="Q1970">
        <v>1</v>
      </c>
      <c r="R1970">
        <v>8</v>
      </c>
      <c r="S1970">
        <v>4</v>
      </c>
      <c r="T1970" t="s">
        <v>77</v>
      </c>
      <c r="U1970">
        <v>3</v>
      </c>
      <c r="V1970">
        <v>5</v>
      </c>
      <c r="W1970">
        <v>2</v>
      </c>
      <c r="X1970">
        <v>182</v>
      </c>
      <c r="Y1970" t="s">
        <v>77</v>
      </c>
      <c r="Z1970">
        <v>4</v>
      </c>
      <c r="AA1970" t="s">
        <v>77</v>
      </c>
      <c r="AB1970">
        <v>2</v>
      </c>
      <c r="AD1970">
        <v>1</v>
      </c>
      <c r="AE1970" t="s">
        <v>77</v>
      </c>
      <c r="AF1970" t="s">
        <v>77</v>
      </c>
      <c r="AG1970" t="s">
        <v>77</v>
      </c>
      <c r="AI1970" t="s">
        <v>77</v>
      </c>
      <c r="AJ1970">
        <v>11</v>
      </c>
      <c r="AK1970">
        <v>223</v>
      </c>
      <c r="AL1970">
        <v>223</v>
      </c>
      <c r="AM1970">
        <v>396</v>
      </c>
      <c r="AN1970">
        <v>44</v>
      </c>
      <c r="AO1970" t="s">
        <v>78</v>
      </c>
      <c r="AP1970">
        <v>1</v>
      </c>
      <c r="AR1970" t="s">
        <v>2061</v>
      </c>
      <c r="AS1970" s="1">
        <v>44354.100694444445</v>
      </c>
      <c r="AT1970" s="1">
        <v>44354.102650462963</v>
      </c>
      <c r="AU1970" s="1">
        <v>44354.103344907409</v>
      </c>
      <c r="AV1970" t="s">
        <v>71</v>
      </c>
      <c r="AW1970" t="s">
        <v>72</v>
      </c>
      <c r="AX1970" t="s">
        <v>73</v>
      </c>
    </row>
    <row r="1971" spans="1:50" x14ac:dyDescent="0.3">
      <c r="A1971" t="str">
        <f>"200979B0000"</f>
        <v>200979B0000</v>
      </c>
      <c r="B1971" t="str">
        <f>"200979B00002"</f>
        <v>200979B00002</v>
      </c>
      <c r="C1971" t="str">
        <f t="shared" si="95"/>
        <v>20</v>
      </c>
      <c r="D1971" t="s">
        <v>67</v>
      </c>
      <c r="E1971" t="str">
        <f t="shared" si="94"/>
        <v>009</v>
      </c>
      <c r="F1971" t="s">
        <v>2003</v>
      </c>
      <c r="G1971" t="str">
        <f>"0979"</f>
        <v>0979</v>
      </c>
      <c r="H1971" t="str">
        <f>"0000"</f>
        <v>0000</v>
      </c>
      <c r="I1971" t="s">
        <v>69</v>
      </c>
      <c r="J1971">
        <v>0</v>
      </c>
      <c r="K1971">
        <v>1</v>
      </c>
      <c r="L1971">
        <v>2</v>
      </c>
      <c r="M1971">
        <v>320</v>
      </c>
      <c r="N1971">
        <v>296</v>
      </c>
      <c r="O1971">
        <v>0</v>
      </c>
      <c r="P1971">
        <v>296</v>
      </c>
      <c r="Q1971">
        <v>6</v>
      </c>
      <c r="R1971">
        <v>26</v>
      </c>
      <c r="S1971">
        <v>4</v>
      </c>
      <c r="T1971">
        <v>4</v>
      </c>
      <c r="U1971">
        <v>14</v>
      </c>
      <c r="V1971">
        <v>2</v>
      </c>
      <c r="W1971">
        <v>6</v>
      </c>
      <c r="X1971">
        <v>212</v>
      </c>
      <c r="Y1971">
        <v>1</v>
      </c>
      <c r="Z1971">
        <v>3</v>
      </c>
      <c r="AA1971">
        <v>1</v>
      </c>
      <c r="AB1971">
        <v>5</v>
      </c>
      <c r="AD1971">
        <v>0</v>
      </c>
      <c r="AE1971">
        <v>0</v>
      </c>
      <c r="AF1971">
        <v>0</v>
      </c>
      <c r="AG1971">
        <v>0</v>
      </c>
      <c r="AI1971">
        <v>0</v>
      </c>
      <c r="AJ1971">
        <v>12</v>
      </c>
      <c r="AK1971">
        <v>296</v>
      </c>
      <c r="AL1971">
        <v>296</v>
      </c>
      <c r="AM1971">
        <v>572</v>
      </c>
      <c r="AN1971">
        <v>44</v>
      </c>
      <c r="AP1971">
        <v>1</v>
      </c>
      <c r="AR1971" t="s">
        <v>2062</v>
      </c>
      <c r="AS1971" s="1">
        <v>44354.063888888886</v>
      </c>
      <c r="AT1971" s="1">
        <v>44354.069560185184</v>
      </c>
      <c r="AU1971" s="1">
        <v>44354.070219907408</v>
      </c>
      <c r="AV1971" t="s">
        <v>71</v>
      </c>
      <c r="AW1971" t="s">
        <v>72</v>
      </c>
      <c r="AX1971" t="s">
        <v>73</v>
      </c>
    </row>
    <row r="1972" spans="1:50" x14ac:dyDescent="0.3">
      <c r="A1972" t="str">
        <f>"200980B0000"</f>
        <v>200980B0000</v>
      </c>
      <c r="B1972" t="str">
        <f>"200980B00002"</f>
        <v>200980B00002</v>
      </c>
      <c r="C1972" t="str">
        <f t="shared" si="95"/>
        <v>20</v>
      </c>
      <c r="D1972" t="s">
        <v>67</v>
      </c>
      <c r="E1972" t="str">
        <f t="shared" si="94"/>
        <v>009</v>
      </c>
      <c r="F1972" t="s">
        <v>2003</v>
      </c>
      <c r="G1972" t="str">
        <f>"0980"</f>
        <v>0980</v>
      </c>
      <c r="H1972" t="str">
        <f>"0000"</f>
        <v>0000</v>
      </c>
      <c r="I1972" t="s">
        <v>69</v>
      </c>
      <c r="J1972">
        <v>0</v>
      </c>
      <c r="K1972">
        <v>1</v>
      </c>
      <c r="L1972">
        <v>2</v>
      </c>
      <c r="M1972">
        <v>341</v>
      </c>
      <c r="N1972">
        <v>262</v>
      </c>
      <c r="O1972">
        <v>0</v>
      </c>
      <c r="P1972" t="s">
        <v>80</v>
      </c>
      <c r="Q1972">
        <v>4</v>
      </c>
      <c r="R1972">
        <v>25</v>
      </c>
      <c r="S1972">
        <v>6</v>
      </c>
      <c r="T1972">
        <v>2</v>
      </c>
      <c r="U1972">
        <v>15</v>
      </c>
      <c r="V1972">
        <v>3</v>
      </c>
      <c r="W1972">
        <v>2</v>
      </c>
      <c r="X1972">
        <v>186</v>
      </c>
      <c r="Y1972">
        <v>1</v>
      </c>
      <c r="Z1972">
        <v>6</v>
      </c>
      <c r="AA1972">
        <v>1</v>
      </c>
      <c r="AB1972">
        <v>2</v>
      </c>
      <c r="AD1972">
        <v>1</v>
      </c>
      <c r="AE1972" t="s">
        <v>77</v>
      </c>
      <c r="AF1972" t="s">
        <v>77</v>
      </c>
      <c r="AG1972" t="s">
        <v>77</v>
      </c>
      <c r="AI1972" t="s">
        <v>77</v>
      </c>
      <c r="AJ1972">
        <v>8</v>
      </c>
      <c r="AK1972">
        <v>262</v>
      </c>
      <c r="AL1972">
        <v>262</v>
      </c>
      <c r="AM1972">
        <v>559</v>
      </c>
      <c r="AN1972">
        <v>44</v>
      </c>
      <c r="AO1972" t="s">
        <v>78</v>
      </c>
      <c r="AP1972">
        <v>1</v>
      </c>
      <c r="AR1972" t="s">
        <v>2063</v>
      </c>
      <c r="AS1972" s="1">
        <v>44354.073611111111</v>
      </c>
      <c r="AT1972" s="1">
        <v>44354.081828703704</v>
      </c>
      <c r="AU1972" s="1">
        <v>44354.08221064815</v>
      </c>
      <c r="AV1972" t="s">
        <v>71</v>
      </c>
      <c r="AW1972" t="s">
        <v>72</v>
      </c>
      <c r="AX1972" t="s">
        <v>73</v>
      </c>
    </row>
    <row r="1973" spans="1:50" x14ac:dyDescent="0.3">
      <c r="A1973" t="str">
        <f>"200981B0000"</f>
        <v>200981B0000</v>
      </c>
      <c r="B1973" t="str">
        <f>"200981B00002"</f>
        <v>200981B00002</v>
      </c>
      <c r="C1973" t="str">
        <f t="shared" si="95"/>
        <v>20</v>
      </c>
      <c r="D1973" t="s">
        <v>67</v>
      </c>
      <c r="E1973" t="str">
        <f t="shared" si="94"/>
        <v>009</v>
      </c>
      <c r="F1973" t="s">
        <v>2003</v>
      </c>
      <c r="G1973" t="str">
        <f>"0981"</f>
        <v>0981</v>
      </c>
      <c r="H1973" t="str">
        <f>"0000"</f>
        <v>0000</v>
      </c>
      <c r="I1973" t="s">
        <v>69</v>
      </c>
      <c r="J1973">
        <v>0</v>
      </c>
      <c r="K1973">
        <v>1</v>
      </c>
      <c r="L1973">
        <v>2</v>
      </c>
      <c r="M1973">
        <v>406</v>
      </c>
      <c r="N1973">
        <v>279</v>
      </c>
      <c r="O1973">
        <v>0</v>
      </c>
      <c r="P1973">
        <v>279</v>
      </c>
      <c r="Q1973">
        <v>3</v>
      </c>
      <c r="R1973">
        <v>2</v>
      </c>
      <c r="S1973">
        <v>7</v>
      </c>
      <c r="T1973">
        <v>6</v>
      </c>
      <c r="U1973">
        <v>5</v>
      </c>
      <c r="V1973">
        <v>2</v>
      </c>
      <c r="W1973">
        <v>4</v>
      </c>
      <c r="X1973">
        <v>234</v>
      </c>
      <c r="Y1973">
        <v>0</v>
      </c>
      <c r="Z1973">
        <v>5</v>
      </c>
      <c r="AA1973">
        <v>3</v>
      </c>
      <c r="AB1973">
        <v>2</v>
      </c>
      <c r="AD1973">
        <v>0</v>
      </c>
      <c r="AE1973">
        <v>0</v>
      </c>
      <c r="AF1973">
        <v>0</v>
      </c>
      <c r="AG1973">
        <v>0</v>
      </c>
      <c r="AI1973">
        <v>0</v>
      </c>
      <c r="AJ1973">
        <v>6</v>
      </c>
      <c r="AK1973">
        <v>279</v>
      </c>
      <c r="AL1973">
        <v>279</v>
      </c>
      <c r="AM1973">
        <v>641</v>
      </c>
      <c r="AN1973">
        <v>44</v>
      </c>
      <c r="AP1973">
        <v>1</v>
      </c>
      <c r="AR1973" t="s">
        <v>2064</v>
      </c>
      <c r="AS1973" s="1">
        <v>44354.09375</v>
      </c>
      <c r="AT1973" s="1">
        <v>44354.098611111112</v>
      </c>
      <c r="AU1973" s="1">
        <v>44354.099166666667</v>
      </c>
      <c r="AV1973" t="s">
        <v>71</v>
      </c>
      <c r="AW1973" t="s">
        <v>72</v>
      </c>
      <c r="AX1973" t="s">
        <v>73</v>
      </c>
    </row>
    <row r="1974" spans="1:50" x14ac:dyDescent="0.3">
      <c r="A1974" t="str">
        <f>"200981C0100"</f>
        <v>200981C0100</v>
      </c>
      <c r="B1974" t="str">
        <f>"200981C01002"</f>
        <v>200981C01002</v>
      </c>
      <c r="C1974" t="str">
        <f t="shared" si="95"/>
        <v>20</v>
      </c>
      <c r="D1974" t="s">
        <v>67</v>
      </c>
      <c r="E1974" t="str">
        <f t="shared" si="94"/>
        <v>009</v>
      </c>
      <c r="F1974" t="s">
        <v>2003</v>
      </c>
      <c r="G1974" t="str">
        <f>"0981"</f>
        <v>0981</v>
      </c>
      <c r="H1974" t="str">
        <f>"0001"</f>
        <v>0001</v>
      </c>
      <c r="I1974" t="s">
        <v>75</v>
      </c>
      <c r="J1974">
        <v>0</v>
      </c>
      <c r="K1974">
        <v>1</v>
      </c>
      <c r="L1974">
        <v>2</v>
      </c>
      <c r="M1974">
        <v>416</v>
      </c>
      <c r="N1974">
        <v>269</v>
      </c>
      <c r="O1974">
        <v>0</v>
      </c>
      <c r="P1974">
        <v>269</v>
      </c>
      <c r="Q1974">
        <v>3</v>
      </c>
      <c r="R1974">
        <v>9</v>
      </c>
      <c r="S1974">
        <v>7</v>
      </c>
      <c r="T1974">
        <v>4</v>
      </c>
      <c r="U1974">
        <v>7</v>
      </c>
      <c r="V1974">
        <v>5</v>
      </c>
      <c r="W1974">
        <v>11</v>
      </c>
      <c r="X1974">
        <v>203</v>
      </c>
      <c r="Y1974">
        <v>3</v>
      </c>
      <c r="Z1974">
        <v>9</v>
      </c>
      <c r="AA1974">
        <v>3</v>
      </c>
      <c r="AB1974">
        <v>2</v>
      </c>
      <c r="AD1974">
        <v>0</v>
      </c>
      <c r="AE1974">
        <v>0</v>
      </c>
      <c r="AF1974">
        <v>0</v>
      </c>
      <c r="AG1974">
        <v>0</v>
      </c>
      <c r="AI1974">
        <v>0</v>
      </c>
      <c r="AJ1974">
        <v>3</v>
      </c>
      <c r="AK1974">
        <v>269</v>
      </c>
      <c r="AL1974">
        <v>269</v>
      </c>
      <c r="AM1974">
        <v>641</v>
      </c>
      <c r="AN1974">
        <v>44</v>
      </c>
      <c r="AP1974">
        <v>1</v>
      </c>
      <c r="AR1974" t="s">
        <v>2065</v>
      </c>
      <c r="AS1974" s="1">
        <v>44354.095833333333</v>
      </c>
      <c r="AT1974" s="1">
        <v>44354.099479166667</v>
      </c>
      <c r="AU1974" s="1">
        <v>44354.100104166668</v>
      </c>
      <c r="AV1974" t="s">
        <v>71</v>
      </c>
      <c r="AW1974" t="s">
        <v>72</v>
      </c>
      <c r="AX1974" t="s">
        <v>73</v>
      </c>
    </row>
    <row r="1975" spans="1:50" x14ac:dyDescent="0.3">
      <c r="A1975" t="str">
        <f>"200999B0000"</f>
        <v>200999B0000</v>
      </c>
      <c r="B1975" t="str">
        <f>"200999B00002"</f>
        <v>200999B00002</v>
      </c>
      <c r="C1975" t="str">
        <f t="shared" si="95"/>
        <v>20</v>
      </c>
      <c r="D1975" t="s">
        <v>67</v>
      </c>
      <c r="E1975" t="str">
        <f t="shared" si="94"/>
        <v>009</v>
      </c>
      <c r="F1975" t="s">
        <v>2003</v>
      </c>
      <c r="G1975" t="str">
        <f>"0999"</f>
        <v>0999</v>
      </c>
      <c r="H1975" t="str">
        <f>"0000"</f>
        <v>0000</v>
      </c>
      <c r="I1975" t="s">
        <v>69</v>
      </c>
      <c r="J1975">
        <v>0</v>
      </c>
      <c r="K1975">
        <v>1</v>
      </c>
      <c r="L1975">
        <v>2</v>
      </c>
      <c r="M1975">
        <v>317</v>
      </c>
      <c r="N1975">
        <v>136</v>
      </c>
      <c r="O1975">
        <v>0</v>
      </c>
      <c r="P1975">
        <v>136</v>
      </c>
      <c r="Q1975">
        <v>5</v>
      </c>
      <c r="R1975">
        <v>34</v>
      </c>
      <c r="S1975">
        <v>0</v>
      </c>
      <c r="T1975">
        <v>2</v>
      </c>
      <c r="U1975">
        <v>1</v>
      </c>
      <c r="V1975">
        <v>0</v>
      </c>
      <c r="W1975">
        <v>1</v>
      </c>
      <c r="X1975">
        <v>84</v>
      </c>
      <c r="Y1975">
        <v>0</v>
      </c>
      <c r="Z1975">
        <v>2</v>
      </c>
      <c r="AA1975">
        <v>0</v>
      </c>
      <c r="AB1975">
        <v>2</v>
      </c>
      <c r="AD1975">
        <v>0</v>
      </c>
      <c r="AE1975">
        <v>1</v>
      </c>
      <c r="AF1975">
        <v>0</v>
      </c>
      <c r="AG1975">
        <v>0</v>
      </c>
      <c r="AI1975">
        <v>0</v>
      </c>
      <c r="AJ1975">
        <v>4</v>
      </c>
      <c r="AK1975">
        <v>136</v>
      </c>
      <c r="AL1975">
        <v>136</v>
      </c>
      <c r="AM1975">
        <v>409</v>
      </c>
      <c r="AN1975">
        <v>44</v>
      </c>
      <c r="AP1975">
        <v>1</v>
      </c>
      <c r="AR1975" t="s">
        <v>2066</v>
      </c>
      <c r="AS1975" s="1">
        <v>44354.029861111114</v>
      </c>
      <c r="AT1975" s="1">
        <v>44354.038576388892</v>
      </c>
      <c r="AU1975" s="1">
        <v>44354.039282407408</v>
      </c>
      <c r="AV1975" t="s">
        <v>71</v>
      </c>
      <c r="AW1975" t="s">
        <v>72</v>
      </c>
      <c r="AX1975" t="s">
        <v>73</v>
      </c>
    </row>
    <row r="1976" spans="1:50" x14ac:dyDescent="0.3">
      <c r="A1976" t="str">
        <f>"200999C0100"</f>
        <v>200999C0100</v>
      </c>
      <c r="B1976" t="str">
        <f>"200999C01002"</f>
        <v>200999C01002</v>
      </c>
      <c r="C1976" t="str">
        <f t="shared" si="95"/>
        <v>20</v>
      </c>
      <c r="D1976" t="s">
        <v>67</v>
      </c>
      <c r="E1976" t="str">
        <f t="shared" si="94"/>
        <v>009</v>
      </c>
      <c r="F1976" t="s">
        <v>2003</v>
      </c>
      <c r="G1976" t="str">
        <f>"0999"</f>
        <v>0999</v>
      </c>
      <c r="H1976" t="str">
        <f>"0001"</f>
        <v>0001</v>
      </c>
      <c r="I1976" t="s">
        <v>75</v>
      </c>
      <c r="J1976">
        <v>0</v>
      </c>
      <c r="K1976">
        <v>1</v>
      </c>
      <c r="L1976">
        <v>2</v>
      </c>
      <c r="M1976">
        <v>312</v>
      </c>
      <c r="N1976">
        <v>140</v>
      </c>
      <c r="O1976">
        <v>0</v>
      </c>
      <c r="P1976">
        <v>140</v>
      </c>
      <c r="Q1976">
        <v>1</v>
      </c>
      <c r="R1976">
        <v>31</v>
      </c>
      <c r="S1976">
        <v>3</v>
      </c>
      <c r="T1976">
        <v>2</v>
      </c>
      <c r="U1976">
        <v>2</v>
      </c>
      <c r="V1976">
        <v>0</v>
      </c>
      <c r="W1976">
        <v>3</v>
      </c>
      <c r="X1976">
        <v>84</v>
      </c>
      <c r="Y1976">
        <v>7</v>
      </c>
      <c r="Z1976">
        <v>2</v>
      </c>
      <c r="AA1976">
        <v>0</v>
      </c>
      <c r="AB1976">
        <v>1</v>
      </c>
      <c r="AD1976">
        <v>0</v>
      </c>
      <c r="AE1976">
        <v>0</v>
      </c>
      <c r="AF1976">
        <v>0</v>
      </c>
      <c r="AG1976">
        <v>0</v>
      </c>
      <c r="AI1976">
        <v>0</v>
      </c>
      <c r="AJ1976">
        <v>4</v>
      </c>
      <c r="AK1976">
        <v>140</v>
      </c>
      <c r="AL1976">
        <v>140</v>
      </c>
      <c r="AM1976">
        <v>408</v>
      </c>
      <c r="AN1976">
        <v>44</v>
      </c>
      <c r="AP1976">
        <v>1</v>
      </c>
      <c r="AR1976" t="s">
        <v>2067</v>
      </c>
      <c r="AS1976" s="1">
        <v>44354.030555555553</v>
      </c>
      <c r="AT1976" s="1">
        <v>44354.039004629631</v>
      </c>
      <c r="AU1976" s="1">
        <v>44354.039675925924</v>
      </c>
      <c r="AV1976" t="s">
        <v>71</v>
      </c>
      <c r="AW1976" t="s">
        <v>72</v>
      </c>
      <c r="AX1976" t="s">
        <v>73</v>
      </c>
    </row>
    <row r="1977" spans="1:50" x14ac:dyDescent="0.3">
      <c r="A1977" t="str">
        <f>"201000B0000"</f>
        <v>201000B0000</v>
      </c>
      <c r="B1977" t="str">
        <f>"201000B00002"</f>
        <v>201000B00002</v>
      </c>
      <c r="C1977" t="str">
        <f t="shared" si="95"/>
        <v>20</v>
      </c>
      <c r="D1977" t="s">
        <v>67</v>
      </c>
      <c r="E1977" t="str">
        <f t="shared" si="94"/>
        <v>009</v>
      </c>
      <c r="F1977" t="s">
        <v>2003</v>
      </c>
      <c r="G1977" t="str">
        <f>"1000"</f>
        <v>1000</v>
      </c>
      <c r="H1977" t="str">
        <f>"0000"</f>
        <v>0000</v>
      </c>
      <c r="I1977" t="s">
        <v>69</v>
      </c>
      <c r="J1977">
        <v>0</v>
      </c>
      <c r="K1977">
        <v>1</v>
      </c>
      <c r="L1977">
        <v>2</v>
      </c>
      <c r="M1977">
        <v>270</v>
      </c>
      <c r="N1977">
        <v>213</v>
      </c>
      <c r="O1977">
        <v>5</v>
      </c>
      <c r="P1977">
        <v>213</v>
      </c>
      <c r="Q1977">
        <v>6</v>
      </c>
      <c r="R1977">
        <v>44</v>
      </c>
      <c r="S1977">
        <v>1</v>
      </c>
      <c r="T1977">
        <v>10</v>
      </c>
      <c r="U1977">
        <v>8</v>
      </c>
      <c r="V1977">
        <v>5</v>
      </c>
      <c r="W1977">
        <v>0</v>
      </c>
      <c r="X1977">
        <v>124</v>
      </c>
      <c r="Y1977">
        <v>1</v>
      </c>
      <c r="Z1977">
        <v>2</v>
      </c>
      <c r="AA1977">
        <v>0</v>
      </c>
      <c r="AB1977">
        <v>5</v>
      </c>
      <c r="AD1977">
        <v>3</v>
      </c>
      <c r="AE1977">
        <v>0</v>
      </c>
      <c r="AF1977">
        <v>0</v>
      </c>
      <c r="AG1977">
        <v>0</v>
      </c>
      <c r="AI1977">
        <v>0</v>
      </c>
      <c r="AJ1977">
        <v>4</v>
      </c>
      <c r="AK1977">
        <v>213</v>
      </c>
      <c r="AL1977">
        <v>213</v>
      </c>
      <c r="AM1977">
        <v>439</v>
      </c>
      <c r="AN1977">
        <v>44</v>
      </c>
      <c r="AP1977">
        <v>1</v>
      </c>
      <c r="AR1977" t="s">
        <v>2068</v>
      </c>
      <c r="AS1977" s="1">
        <v>44354.181250000001</v>
      </c>
      <c r="AT1977" s="1">
        <v>44354.184189814812</v>
      </c>
      <c r="AU1977" s="1">
        <v>44354.184479166666</v>
      </c>
      <c r="AV1977" t="s">
        <v>71</v>
      </c>
      <c r="AW1977" t="s">
        <v>72</v>
      </c>
      <c r="AX1977" t="s">
        <v>73</v>
      </c>
    </row>
    <row r="1978" spans="1:50" x14ac:dyDescent="0.3">
      <c r="A1978" t="str">
        <f>"201000C0100"</f>
        <v>201000C0100</v>
      </c>
      <c r="B1978" t="str">
        <f>"201000C01002"</f>
        <v>201000C01002</v>
      </c>
      <c r="C1978" t="str">
        <f t="shared" si="95"/>
        <v>20</v>
      </c>
      <c r="D1978" t="s">
        <v>67</v>
      </c>
      <c r="E1978" t="str">
        <f t="shared" ref="E1978:E2041" si="97">"009"</f>
        <v>009</v>
      </c>
      <c r="F1978" t="s">
        <v>2003</v>
      </c>
      <c r="G1978" t="str">
        <f>"1000"</f>
        <v>1000</v>
      </c>
      <c r="H1978" t="str">
        <f>"0001"</f>
        <v>0001</v>
      </c>
      <c r="I1978" t="s">
        <v>75</v>
      </c>
      <c r="J1978">
        <v>0</v>
      </c>
      <c r="K1978">
        <v>1</v>
      </c>
      <c r="L1978">
        <v>2</v>
      </c>
      <c r="M1978">
        <v>299</v>
      </c>
      <c r="N1978">
        <v>184</v>
      </c>
      <c r="O1978">
        <v>3</v>
      </c>
      <c r="P1978">
        <v>184</v>
      </c>
      <c r="Q1978">
        <v>4</v>
      </c>
      <c r="R1978">
        <v>23</v>
      </c>
      <c r="S1978">
        <v>1</v>
      </c>
      <c r="T1978">
        <v>5</v>
      </c>
      <c r="U1978">
        <v>11</v>
      </c>
      <c r="V1978">
        <v>1</v>
      </c>
      <c r="W1978">
        <v>4</v>
      </c>
      <c r="X1978">
        <v>116</v>
      </c>
      <c r="Y1978">
        <v>3</v>
      </c>
      <c r="Z1978">
        <v>2</v>
      </c>
      <c r="AA1978">
        <v>5</v>
      </c>
      <c r="AB1978">
        <v>1</v>
      </c>
      <c r="AD1978">
        <v>1</v>
      </c>
      <c r="AE1978">
        <v>0</v>
      </c>
      <c r="AF1978">
        <v>0</v>
      </c>
      <c r="AG1978">
        <v>0</v>
      </c>
      <c r="AI1978">
        <v>0</v>
      </c>
      <c r="AJ1978">
        <v>7</v>
      </c>
      <c r="AK1978">
        <v>184</v>
      </c>
      <c r="AL1978">
        <v>184</v>
      </c>
      <c r="AM1978">
        <v>439</v>
      </c>
      <c r="AN1978">
        <v>44</v>
      </c>
      <c r="AP1978">
        <v>1</v>
      </c>
      <c r="AR1978" t="s">
        <v>2069</v>
      </c>
      <c r="AS1978" s="1">
        <v>44354.181944444441</v>
      </c>
      <c r="AT1978" s="1">
        <v>44354.184479166666</v>
      </c>
      <c r="AU1978" s="1">
        <v>44354.185011574074</v>
      </c>
      <c r="AV1978" t="s">
        <v>71</v>
      </c>
      <c r="AW1978" t="s">
        <v>72</v>
      </c>
      <c r="AX1978" t="s">
        <v>73</v>
      </c>
    </row>
    <row r="1979" spans="1:50" x14ac:dyDescent="0.3">
      <c r="A1979" t="str">
        <f>"201001B0000"</f>
        <v>201001B0000</v>
      </c>
      <c r="B1979" t="str">
        <f>"201001B00002"</f>
        <v>201001B00002</v>
      </c>
      <c r="C1979" t="str">
        <f t="shared" si="95"/>
        <v>20</v>
      </c>
      <c r="D1979" t="s">
        <v>67</v>
      </c>
      <c r="E1979" t="str">
        <f t="shared" si="97"/>
        <v>009</v>
      </c>
      <c r="F1979" t="s">
        <v>2003</v>
      </c>
      <c r="G1979" t="str">
        <f>"1001"</f>
        <v>1001</v>
      </c>
      <c r="H1979" t="str">
        <f>"0000"</f>
        <v>0000</v>
      </c>
      <c r="I1979" t="s">
        <v>69</v>
      </c>
      <c r="J1979">
        <v>0</v>
      </c>
      <c r="K1979">
        <v>1</v>
      </c>
      <c r="L1979">
        <v>2</v>
      </c>
      <c r="M1979">
        <v>512</v>
      </c>
      <c r="N1979">
        <v>253</v>
      </c>
      <c r="O1979">
        <v>0</v>
      </c>
      <c r="P1979">
        <v>253</v>
      </c>
      <c r="Q1979">
        <v>11</v>
      </c>
      <c r="R1979">
        <v>45</v>
      </c>
      <c r="S1979">
        <v>2</v>
      </c>
      <c r="T1979">
        <v>8</v>
      </c>
      <c r="U1979">
        <v>8</v>
      </c>
      <c r="V1979">
        <v>5</v>
      </c>
      <c r="W1979">
        <v>1</v>
      </c>
      <c r="X1979">
        <v>144</v>
      </c>
      <c r="Y1979">
        <v>8</v>
      </c>
      <c r="Z1979">
        <v>4</v>
      </c>
      <c r="AA1979">
        <v>0</v>
      </c>
      <c r="AB1979">
        <v>3</v>
      </c>
      <c r="AD1979">
        <v>2</v>
      </c>
      <c r="AE1979">
        <v>1</v>
      </c>
      <c r="AF1979">
        <v>0</v>
      </c>
      <c r="AG1979">
        <v>0</v>
      </c>
      <c r="AI1979">
        <v>0</v>
      </c>
      <c r="AJ1979">
        <v>11</v>
      </c>
      <c r="AK1979">
        <v>253</v>
      </c>
      <c r="AL1979">
        <v>253</v>
      </c>
      <c r="AM1979">
        <v>721</v>
      </c>
      <c r="AN1979">
        <v>44</v>
      </c>
      <c r="AP1979">
        <v>1</v>
      </c>
      <c r="AR1979" t="s">
        <v>2070</v>
      </c>
      <c r="AS1979" s="1">
        <v>44353.75</v>
      </c>
      <c r="AT1979" s="1">
        <v>44354.040358796294</v>
      </c>
      <c r="AU1979" s="1">
        <v>44354.040995370371</v>
      </c>
      <c r="AV1979" t="s">
        <v>71</v>
      </c>
      <c r="AW1979" t="s">
        <v>72</v>
      </c>
      <c r="AX1979" t="s">
        <v>73</v>
      </c>
    </row>
    <row r="1980" spans="1:50" x14ac:dyDescent="0.3">
      <c r="A1980" t="str">
        <f>"201001C0100"</f>
        <v>201001C0100</v>
      </c>
      <c r="B1980" t="str">
        <f>"201001C01002"</f>
        <v>201001C01002</v>
      </c>
      <c r="C1980" t="str">
        <f t="shared" si="95"/>
        <v>20</v>
      </c>
      <c r="D1980" t="s">
        <v>67</v>
      </c>
      <c r="E1980" t="str">
        <f t="shared" si="97"/>
        <v>009</v>
      </c>
      <c r="F1980" t="s">
        <v>2003</v>
      </c>
      <c r="G1980" t="str">
        <f>"1001"</f>
        <v>1001</v>
      </c>
      <c r="H1980" t="str">
        <f>"0001"</f>
        <v>0001</v>
      </c>
      <c r="I1980" t="s">
        <v>75</v>
      </c>
      <c r="J1980">
        <v>0</v>
      </c>
      <c r="K1980">
        <v>1</v>
      </c>
      <c r="L1980">
        <v>2</v>
      </c>
      <c r="M1980">
        <v>494</v>
      </c>
      <c r="N1980">
        <v>264</v>
      </c>
      <c r="O1980">
        <v>0</v>
      </c>
      <c r="P1980">
        <v>274</v>
      </c>
      <c r="Q1980">
        <v>11</v>
      </c>
      <c r="R1980">
        <v>62</v>
      </c>
      <c r="S1980">
        <v>4</v>
      </c>
      <c r="T1980">
        <v>4</v>
      </c>
      <c r="U1980">
        <v>5</v>
      </c>
      <c r="V1980">
        <v>2</v>
      </c>
      <c r="W1980">
        <v>2</v>
      </c>
      <c r="X1980">
        <v>150</v>
      </c>
      <c r="Y1980">
        <v>10</v>
      </c>
      <c r="Z1980">
        <v>4</v>
      </c>
      <c r="AA1980">
        <v>2</v>
      </c>
      <c r="AB1980">
        <v>4</v>
      </c>
      <c r="AD1980">
        <v>2</v>
      </c>
      <c r="AE1980">
        <v>0</v>
      </c>
      <c r="AF1980">
        <v>0</v>
      </c>
      <c r="AG1980">
        <v>1</v>
      </c>
      <c r="AI1980">
        <v>0</v>
      </c>
      <c r="AJ1980">
        <v>11</v>
      </c>
      <c r="AK1980">
        <v>264</v>
      </c>
      <c r="AL1980">
        <v>274</v>
      </c>
      <c r="AM1980">
        <v>721</v>
      </c>
      <c r="AN1980">
        <v>44</v>
      </c>
      <c r="AP1980">
        <v>1</v>
      </c>
      <c r="AR1980" t="s">
        <v>2071</v>
      </c>
      <c r="AS1980" s="1">
        <v>44353.753472222219</v>
      </c>
      <c r="AT1980" s="1">
        <v>44354.046249999999</v>
      </c>
      <c r="AU1980" s="1">
        <v>44354.063009259262</v>
      </c>
      <c r="AV1980" t="s">
        <v>71</v>
      </c>
      <c r="AW1980" t="s">
        <v>72</v>
      </c>
      <c r="AX1980" t="s">
        <v>73</v>
      </c>
    </row>
    <row r="1981" spans="1:50" x14ac:dyDescent="0.3">
      <c r="A1981" t="str">
        <f>"201001C0200"</f>
        <v>201001C0200</v>
      </c>
      <c r="B1981" t="str">
        <f>"201001C02002"</f>
        <v>201001C02002</v>
      </c>
      <c r="C1981" t="str">
        <f t="shared" si="95"/>
        <v>20</v>
      </c>
      <c r="D1981" t="s">
        <v>67</v>
      </c>
      <c r="E1981" t="str">
        <f t="shared" si="97"/>
        <v>009</v>
      </c>
      <c r="F1981" t="s">
        <v>2003</v>
      </c>
      <c r="G1981" t="str">
        <f>"1001"</f>
        <v>1001</v>
      </c>
      <c r="H1981" t="str">
        <f>"0002"</f>
        <v>0002</v>
      </c>
      <c r="I1981" t="s">
        <v>75</v>
      </c>
      <c r="J1981">
        <v>0</v>
      </c>
      <c r="K1981">
        <v>1</v>
      </c>
      <c r="L1981">
        <v>2</v>
      </c>
      <c r="M1981">
        <v>471</v>
      </c>
      <c r="N1981">
        <v>294</v>
      </c>
      <c r="O1981">
        <v>0</v>
      </c>
      <c r="P1981">
        <v>294</v>
      </c>
      <c r="Q1981">
        <v>9</v>
      </c>
      <c r="R1981">
        <v>54</v>
      </c>
      <c r="S1981">
        <v>6</v>
      </c>
      <c r="T1981">
        <v>8</v>
      </c>
      <c r="U1981">
        <v>6</v>
      </c>
      <c r="V1981">
        <v>5</v>
      </c>
      <c r="W1981">
        <v>1</v>
      </c>
      <c r="X1981">
        <v>177</v>
      </c>
      <c r="Y1981">
        <v>9</v>
      </c>
      <c r="Z1981">
        <v>3</v>
      </c>
      <c r="AA1981">
        <v>3</v>
      </c>
      <c r="AB1981">
        <v>4</v>
      </c>
      <c r="AD1981">
        <v>3</v>
      </c>
      <c r="AE1981">
        <v>1</v>
      </c>
      <c r="AF1981">
        <v>0</v>
      </c>
      <c r="AG1981">
        <v>0</v>
      </c>
      <c r="AI1981">
        <v>0</v>
      </c>
      <c r="AJ1981">
        <v>5</v>
      </c>
      <c r="AK1981">
        <v>294</v>
      </c>
      <c r="AL1981">
        <v>294</v>
      </c>
      <c r="AM1981">
        <v>721</v>
      </c>
      <c r="AN1981">
        <v>44</v>
      </c>
      <c r="AP1981">
        <v>1</v>
      </c>
      <c r="AR1981" t="s">
        <v>2072</v>
      </c>
      <c r="AS1981" s="1">
        <v>44354.065972222219</v>
      </c>
      <c r="AT1981" s="1">
        <v>44354.071261574078</v>
      </c>
      <c r="AU1981" s="1">
        <v>44354.071851851855</v>
      </c>
      <c r="AV1981" t="s">
        <v>71</v>
      </c>
      <c r="AW1981" t="s">
        <v>72</v>
      </c>
      <c r="AX1981" t="s">
        <v>73</v>
      </c>
    </row>
    <row r="1982" spans="1:50" x14ac:dyDescent="0.3">
      <c r="A1982" t="str">
        <f>"201001C0300"</f>
        <v>201001C0300</v>
      </c>
      <c r="B1982" t="str">
        <f>"201001C03002"</f>
        <v>201001C03002</v>
      </c>
      <c r="C1982" t="str">
        <f t="shared" si="95"/>
        <v>20</v>
      </c>
      <c r="D1982" t="s">
        <v>67</v>
      </c>
      <c r="E1982" t="str">
        <f t="shared" si="97"/>
        <v>009</v>
      </c>
      <c r="F1982" t="s">
        <v>2003</v>
      </c>
      <c r="G1982" t="str">
        <f>"1001"</f>
        <v>1001</v>
      </c>
      <c r="H1982" t="str">
        <f>"0003"</f>
        <v>0003</v>
      </c>
      <c r="I1982" t="s">
        <v>75</v>
      </c>
      <c r="J1982">
        <v>0</v>
      </c>
      <c r="K1982">
        <v>1</v>
      </c>
      <c r="L1982">
        <v>2</v>
      </c>
      <c r="M1982">
        <v>509</v>
      </c>
      <c r="N1982">
        <v>255</v>
      </c>
      <c r="O1982">
        <v>0</v>
      </c>
      <c r="P1982">
        <v>255</v>
      </c>
      <c r="Q1982">
        <v>14</v>
      </c>
      <c r="R1982">
        <v>37</v>
      </c>
      <c r="S1982">
        <v>1</v>
      </c>
      <c r="T1982">
        <v>8</v>
      </c>
      <c r="U1982">
        <v>4</v>
      </c>
      <c r="V1982">
        <v>2</v>
      </c>
      <c r="W1982">
        <v>4</v>
      </c>
      <c r="X1982">
        <v>157</v>
      </c>
      <c r="Y1982">
        <v>8</v>
      </c>
      <c r="Z1982">
        <v>5</v>
      </c>
      <c r="AA1982">
        <v>3</v>
      </c>
      <c r="AB1982">
        <v>7</v>
      </c>
      <c r="AD1982">
        <v>0</v>
      </c>
      <c r="AE1982">
        <v>0</v>
      </c>
      <c r="AF1982">
        <v>0</v>
      </c>
      <c r="AG1982">
        <v>0</v>
      </c>
      <c r="AI1982">
        <v>0</v>
      </c>
      <c r="AJ1982">
        <v>5</v>
      </c>
      <c r="AK1982">
        <v>255</v>
      </c>
      <c r="AL1982">
        <v>255</v>
      </c>
      <c r="AM1982">
        <v>720</v>
      </c>
      <c r="AN1982">
        <v>44</v>
      </c>
      <c r="AP1982">
        <v>1</v>
      </c>
      <c r="AR1982" t="s">
        <v>2073</v>
      </c>
      <c r="AS1982" s="1">
        <v>44354.049305555556</v>
      </c>
      <c r="AT1982" s="1">
        <v>44354.056342592594</v>
      </c>
      <c r="AU1982" s="1">
        <v>44354.056631944448</v>
      </c>
      <c r="AV1982" t="s">
        <v>71</v>
      </c>
      <c r="AW1982" t="s">
        <v>72</v>
      </c>
      <c r="AX1982" t="s">
        <v>73</v>
      </c>
    </row>
    <row r="1983" spans="1:50" x14ac:dyDescent="0.3">
      <c r="A1983" t="str">
        <f>"201084B0000"</f>
        <v>201084B0000</v>
      </c>
      <c r="B1983" t="str">
        <f>"201084B00002"</f>
        <v>201084B00002</v>
      </c>
      <c r="C1983" t="str">
        <f t="shared" si="95"/>
        <v>20</v>
      </c>
      <c r="D1983" t="s">
        <v>67</v>
      </c>
      <c r="E1983" t="str">
        <f t="shared" si="97"/>
        <v>009</v>
      </c>
      <c r="F1983" t="s">
        <v>2003</v>
      </c>
      <c r="G1983" t="str">
        <f>"1084"</f>
        <v>1084</v>
      </c>
      <c r="H1983" t="str">
        <f>"0000"</f>
        <v>0000</v>
      </c>
      <c r="I1983" t="s">
        <v>69</v>
      </c>
      <c r="J1983">
        <v>0</v>
      </c>
      <c r="K1983">
        <v>1</v>
      </c>
      <c r="L1983">
        <v>2</v>
      </c>
      <c r="M1983">
        <v>230</v>
      </c>
      <c r="N1983">
        <v>399</v>
      </c>
      <c r="O1983">
        <v>13</v>
      </c>
      <c r="P1983">
        <v>399</v>
      </c>
      <c r="Q1983">
        <v>20</v>
      </c>
      <c r="R1983">
        <v>41</v>
      </c>
      <c r="S1983">
        <v>3</v>
      </c>
      <c r="T1983">
        <v>30</v>
      </c>
      <c r="U1983">
        <v>33</v>
      </c>
      <c r="V1983">
        <v>11</v>
      </c>
      <c r="W1983">
        <v>19</v>
      </c>
      <c r="X1983">
        <v>170</v>
      </c>
      <c r="Y1983">
        <v>20</v>
      </c>
      <c r="Z1983">
        <v>17</v>
      </c>
      <c r="AA1983">
        <v>1</v>
      </c>
      <c r="AB1983">
        <v>22</v>
      </c>
      <c r="AD1983">
        <v>2</v>
      </c>
      <c r="AE1983">
        <v>1</v>
      </c>
      <c r="AF1983">
        <v>0</v>
      </c>
      <c r="AG1983">
        <v>0</v>
      </c>
      <c r="AI1983">
        <v>0</v>
      </c>
      <c r="AJ1983">
        <v>9</v>
      </c>
      <c r="AK1983">
        <v>399</v>
      </c>
      <c r="AL1983">
        <v>399</v>
      </c>
      <c r="AM1983">
        <v>585</v>
      </c>
      <c r="AN1983">
        <v>44</v>
      </c>
      <c r="AP1983">
        <v>1</v>
      </c>
      <c r="AR1983" t="s">
        <v>2074</v>
      </c>
      <c r="AS1983" s="1">
        <v>44354.508333333331</v>
      </c>
      <c r="AT1983" s="1">
        <v>44354.511342592596</v>
      </c>
      <c r="AU1983" s="1">
        <v>44354.512407407405</v>
      </c>
      <c r="AV1983" t="s">
        <v>71</v>
      </c>
      <c r="AW1983" t="s">
        <v>72</v>
      </c>
      <c r="AX1983" t="s">
        <v>73</v>
      </c>
    </row>
    <row r="1984" spans="1:50" x14ac:dyDescent="0.3">
      <c r="A1984" t="str">
        <f>"201084C0100"</f>
        <v>201084C0100</v>
      </c>
      <c r="B1984" t="str">
        <f>"201084C01002"</f>
        <v>201084C01002</v>
      </c>
      <c r="C1984" t="str">
        <f t="shared" si="95"/>
        <v>20</v>
      </c>
      <c r="D1984" t="s">
        <v>67</v>
      </c>
      <c r="E1984" t="str">
        <f t="shared" si="97"/>
        <v>009</v>
      </c>
      <c r="F1984" t="s">
        <v>2003</v>
      </c>
      <c r="G1984" t="str">
        <f>"1084"</f>
        <v>1084</v>
      </c>
      <c r="H1984" t="str">
        <f>"0001"</f>
        <v>0001</v>
      </c>
      <c r="I1984" t="s">
        <v>75</v>
      </c>
      <c r="J1984">
        <v>0</v>
      </c>
      <c r="K1984">
        <v>1</v>
      </c>
      <c r="L1984">
        <v>2</v>
      </c>
      <c r="M1984">
        <v>402</v>
      </c>
      <c r="N1984">
        <v>427</v>
      </c>
      <c r="O1984">
        <v>6</v>
      </c>
      <c r="P1984">
        <v>428</v>
      </c>
      <c r="Q1984">
        <v>13</v>
      </c>
      <c r="R1984">
        <v>45</v>
      </c>
      <c r="S1984">
        <v>9</v>
      </c>
      <c r="T1984">
        <v>34</v>
      </c>
      <c r="U1984">
        <v>44</v>
      </c>
      <c r="V1984">
        <v>7</v>
      </c>
      <c r="W1984">
        <v>17</v>
      </c>
      <c r="X1984">
        <v>201</v>
      </c>
      <c r="Y1984">
        <v>19</v>
      </c>
      <c r="Z1984">
        <v>9</v>
      </c>
      <c r="AA1984">
        <v>0</v>
      </c>
      <c r="AB1984">
        <v>20</v>
      </c>
      <c r="AD1984">
        <v>2</v>
      </c>
      <c r="AE1984">
        <v>0</v>
      </c>
      <c r="AF1984">
        <v>0</v>
      </c>
      <c r="AG1984">
        <v>0</v>
      </c>
      <c r="AI1984">
        <v>0</v>
      </c>
      <c r="AJ1984">
        <v>8</v>
      </c>
      <c r="AK1984">
        <v>428</v>
      </c>
      <c r="AL1984">
        <v>428</v>
      </c>
      <c r="AM1984">
        <v>585</v>
      </c>
      <c r="AN1984">
        <v>44</v>
      </c>
      <c r="AP1984">
        <v>1</v>
      </c>
      <c r="AR1984" t="s">
        <v>2075</v>
      </c>
      <c r="AS1984" s="1">
        <v>44354.509027777778</v>
      </c>
      <c r="AT1984" s="1">
        <v>44354.51357638889</v>
      </c>
      <c r="AU1984" s="1">
        <v>44354.514386574076</v>
      </c>
      <c r="AV1984" t="s">
        <v>71</v>
      </c>
      <c r="AW1984" t="s">
        <v>72</v>
      </c>
      <c r="AX1984" t="s">
        <v>73</v>
      </c>
    </row>
    <row r="1985" spans="1:50" x14ac:dyDescent="0.3">
      <c r="A1985" t="str">
        <f>"201084C0200"</f>
        <v>201084C0200</v>
      </c>
      <c r="B1985" t="str">
        <f>"201084C02002"</f>
        <v>201084C02002</v>
      </c>
      <c r="C1985" t="str">
        <f t="shared" si="95"/>
        <v>20</v>
      </c>
      <c r="D1985" t="s">
        <v>67</v>
      </c>
      <c r="E1985" t="str">
        <f t="shared" si="97"/>
        <v>009</v>
      </c>
      <c r="F1985" t="s">
        <v>2003</v>
      </c>
      <c r="G1985" t="str">
        <f>"1084"</f>
        <v>1084</v>
      </c>
      <c r="H1985" t="str">
        <f>"0002"</f>
        <v>0002</v>
      </c>
      <c r="I1985" t="s">
        <v>75</v>
      </c>
      <c r="J1985">
        <v>0</v>
      </c>
      <c r="K1985">
        <v>1</v>
      </c>
      <c r="L1985">
        <v>2</v>
      </c>
      <c r="M1985">
        <v>230</v>
      </c>
      <c r="N1985">
        <v>399</v>
      </c>
      <c r="O1985">
        <v>7</v>
      </c>
      <c r="P1985">
        <v>399</v>
      </c>
      <c r="Q1985">
        <v>15</v>
      </c>
      <c r="R1985">
        <v>64</v>
      </c>
      <c r="S1985">
        <v>11</v>
      </c>
      <c r="T1985">
        <v>32</v>
      </c>
      <c r="U1985">
        <v>32</v>
      </c>
      <c r="V1985">
        <v>5</v>
      </c>
      <c r="W1985">
        <v>13</v>
      </c>
      <c r="X1985">
        <v>175</v>
      </c>
      <c r="Y1985">
        <v>26</v>
      </c>
      <c r="Z1985">
        <v>7</v>
      </c>
      <c r="AA1985">
        <v>0</v>
      </c>
      <c r="AB1985">
        <v>7</v>
      </c>
      <c r="AD1985">
        <v>3</v>
      </c>
      <c r="AE1985">
        <v>1</v>
      </c>
      <c r="AF1985">
        <v>0</v>
      </c>
      <c r="AG1985">
        <v>0</v>
      </c>
      <c r="AI1985">
        <v>0</v>
      </c>
      <c r="AJ1985">
        <v>8</v>
      </c>
      <c r="AK1985">
        <v>399</v>
      </c>
      <c r="AL1985">
        <v>399</v>
      </c>
      <c r="AM1985">
        <v>585</v>
      </c>
      <c r="AN1985">
        <v>44</v>
      </c>
      <c r="AP1985">
        <v>1</v>
      </c>
      <c r="AR1985" t="s">
        <v>2076</v>
      </c>
      <c r="AS1985" s="1">
        <v>44354.509722222225</v>
      </c>
      <c r="AT1985" s="1">
        <v>44354.512499999997</v>
      </c>
      <c r="AU1985" s="1">
        <v>44354.513402777775</v>
      </c>
      <c r="AV1985" t="s">
        <v>71</v>
      </c>
      <c r="AW1985" t="s">
        <v>72</v>
      </c>
      <c r="AX1985" t="s">
        <v>73</v>
      </c>
    </row>
    <row r="1986" spans="1:50" x14ac:dyDescent="0.3">
      <c r="A1986" t="str">
        <f>"201085B0000"</f>
        <v>201085B0000</v>
      </c>
      <c r="B1986" t="str">
        <f>"201085B00002"</f>
        <v>201085B00002</v>
      </c>
      <c r="C1986" t="str">
        <f t="shared" si="95"/>
        <v>20</v>
      </c>
      <c r="D1986" t="s">
        <v>67</v>
      </c>
      <c r="E1986" t="str">
        <f t="shared" si="97"/>
        <v>009</v>
      </c>
      <c r="F1986" t="s">
        <v>2003</v>
      </c>
      <c r="G1986" t="str">
        <f>"1085"</f>
        <v>1085</v>
      </c>
      <c r="H1986" t="str">
        <f>"0000"</f>
        <v>0000</v>
      </c>
      <c r="I1986" t="s">
        <v>69</v>
      </c>
      <c r="J1986">
        <v>0</v>
      </c>
      <c r="K1986">
        <v>1</v>
      </c>
      <c r="L1986">
        <v>2</v>
      </c>
      <c r="M1986">
        <v>301</v>
      </c>
      <c r="N1986">
        <v>489</v>
      </c>
      <c r="O1986">
        <v>3</v>
      </c>
      <c r="P1986">
        <v>489</v>
      </c>
      <c r="Q1986">
        <v>25</v>
      </c>
      <c r="R1986">
        <v>45</v>
      </c>
      <c r="S1986">
        <v>8</v>
      </c>
      <c r="T1986">
        <v>35</v>
      </c>
      <c r="U1986">
        <v>9</v>
      </c>
      <c r="V1986">
        <v>6</v>
      </c>
      <c r="W1986">
        <v>19</v>
      </c>
      <c r="X1986">
        <v>254</v>
      </c>
      <c r="Y1986">
        <v>35</v>
      </c>
      <c r="Z1986">
        <v>13</v>
      </c>
      <c r="AA1986">
        <v>1</v>
      </c>
      <c r="AB1986">
        <v>10</v>
      </c>
      <c r="AD1986">
        <v>1</v>
      </c>
      <c r="AE1986">
        <v>0</v>
      </c>
      <c r="AF1986">
        <v>0</v>
      </c>
      <c r="AG1986">
        <v>0</v>
      </c>
      <c r="AI1986" t="s">
        <v>77</v>
      </c>
      <c r="AJ1986">
        <v>28</v>
      </c>
      <c r="AK1986">
        <v>489</v>
      </c>
      <c r="AL1986">
        <v>489</v>
      </c>
      <c r="AM1986">
        <v>746</v>
      </c>
      <c r="AN1986">
        <v>44</v>
      </c>
      <c r="AO1986" t="s">
        <v>78</v>
      </c>
      <c r="AP1986">
        <v>1</v>
      </c>
      <c r="AR1986" t="s">
        <v>2077</v>
      </c>
      <c r="AS1986" s="1">
        <v>44354.507638888892</v>
      </c>
      <c r="AT1986" s="1">
        <v>44354.510972222219</v>
      </c>
      <c r="AU1986" s="1">
        <v>44354.511377314811</v>
      </c>
      <c r="AV1986" t="s">
        <v>71</v>
      </c>
      <c r="AW1986" t="s">
        <v>72</v>
      </c>
      <c r="AX1986" t="s">
        <v>73</v>
      </c>
    </row>
    <row r="1987" spans="1:50" x14ac:dyDescent="0.3">
      <c r="A1987" t="str">
        <f>"201085C0100"</f>
        <v>201085C0100</v>
      </c>
      <c r="B1987" t="str">
        <f>"201085C01002"</f>
        <v>201085C01002</v>
      </c>
      <c r="C1987" t="str">
        <f t="shared" si="95"/>
        <v>20</v>
      </c>
      <c r="D1987" t="s">
        <v>67</v>
      </c>
      <c r="E1987" t="str">
        <f t="shared" si="97"/>
        <v>009</v>
      </c>
      <c r="F1987" t="s">
        <v>2003</v>
      </c>
      <c r="G1987" t="str">
        <f>"1085"</f>
        <v>1085</v>
      </c>
      <c r="H1987" t="str">
        <f>"0001"</f>
        <v>0001</v>
      </c>
      <c r="I1987" t="s">
        <v>75</v>
      </c>
      <c r="J1987">
        <v>0</v>
      </c>
      <c r="K1987">
        <v>1</v>
      </c>
      <c r="L1987">
        <v>2</v>
      </c>
      <c r="M1987">
        <v>266</v>
      </c>
      <c r="N1987">
        <v>524</v>
      </c>
      <c r="O1987">
        <v>3</v>
      </c>
      <c r="P1987">
        <v>524</v>
      </c>
      <c r="Q1987">
        <v>26</v>
      </c>
      <c r="R1987">
        <v>67</v>
      </c>
      <c r="S1987">
        <v>15</v>
      </c>
      <c r="T1987">
        <v>39</v>
      </c>
      <c r="U1987">
        <v>15</v>
      </c>
      <c r="V1987">
        <v>14</v>
      </c>
      <c r="W1987">
        <v>12</v>
      </c>
      <c r="X1987">
        <v>232</v>
      </c>
      <c r="Y1987">
        <v>39</v>
      </c>
      <c r="Z1987">
        <v>19</v>
      </c>
      <c r="AA1987">
        <v>3</v>
      </c>
      <c r="AB1987">
        <v>9</v>
      </c>
      <c r="AD1987">
        <v>7</v>
      </c>
      <c r="AE1987">
        <v>1</v>
      </c>
      <c r="AF1987">
        <v>0</v>
      </c>
      <c r="AG1987">
        <v>1</v>
      </c>
      <c r="AI1987">
        <v>0</v>
      </c>
      <c r="AJ1987">
        <v>25</v>
      </c>
      <c r="AK1987">
        <v>524</v>
      </c>
      <c r="AL1987">
        <v>524</v>
      </c>
      <c r="AM1987">
        <v>746</v>
      </c>
      <c r="AN1987">
        <v>44</v>
      </c>
      <c r="AP1987">
        <v>1</v>
      </c>
      <c r="AR1987" t="s">
        <v>2078</v>
      </c>
      <c r="AS1987" s="1">
        <v>44354.510416666664</v>
      </c>
      <c r="AT1987" s="1">
        <v>44354.513090277775</v>
      </c>
      <c r="AU1987" s="1">
        <v>44354.513842592591</v>
      </c>
      <c r="AV1987" t="s">
        <v>71</v>
      </c>
      <c r="AW1987" t="s">
        <v>72</v>
      </c>
      <c r="AX1987" t="s">
        <v>73</v>
      </c>
    </row>
    <row r="1988" spans="1:50" x14ac:dyDescent="0.3">
      <c r="A1988" t="str">
        <f>"201086B0000"</f>
        <v>201086B0000</v>
      </c>
      <c r="B1988" t="str">
        <f>"201086B00002"</f>
        <v>201086B00002</v>
      </c>
      <c r="C1988" t="str">
        <f t="shared" si="95"/>
        <v>20</v>
      </c>
      <c r="D1988" t="s">
        <v>67</v>
      </c>
      <c r="E1988" t="str">
        <f t="shared" si="97"/>
        <v>009</v>
      </c>
      <c r="F1988" t="s">
        <v>2003</v>
      </c>
      <c r="G1988" t="str">
        <f>"1086"</f>
        <v>1086</v>
      </c>
      <c r="H1988" t="str">
        <f>"0000"</f>
        <v>0000</v>
      </c>
      <c r="I1988" t="s">
        <v>69</v>
      </c>
      <c r="J1988">
        <v>0</v>
      </c>
      <c r="K1988">
        <v>1</v>
      </c>
      <c r="L1988">
        <v>2</v>
      </c>
      <c r="M1988">
        <v>236</v>
      </c>
      <c r="N1988">
        <v>415</v>
      </c>
      <c r="O1988">
        <v>13</v>
      </c>
      <c r="P1988">
        <v>415</v>
      </c>
      <c r="Q1988">
        <v>31</v>
      </c>
      <c r="R1988">
        <v>57</v>
      </c>
      <c r="S1988">
        <v>8</v>
      </c>
      <c r="T1988">
        <v>50</v>
      </c>
      <c r="U1988">
        <v>19</v>
      </c>
      <c r="V1988">
        <v>5</v>
      </c>
      <c r="W1988">
        <v>15</v>
      </c>
      <c r="X1988">
        <v>160</v>
      </c>
      <c r="Y1988">
        <v>28</v>
      </c>
      <c r="Z1988">
        <v>13</v>
      </c>
      <c r="AA1988">
        <v>3</v>
      </c>
      <c r="AB1988">
        <v>9</v>
      </c>
      <c r="AD1988">
        <v>4</v>
      </c>
      <c r="AE1988">
        <v>1</v>
      </c>
      <c r="AF1988">
        <v>0</v>
      </c>
      <c r="AG1988">
        <v>0</v>
      </c>
      <c r="AI1988">
        <v>0</v>
      </c>
      <c r="AJ1988">
        <v>12</v>
      </c>
      <c r="AK1988">
        <v>415</v>
      </c>
      <c r="AL1988">
        <v>415</v>
      </c>
      <c r="AM1988">
        <v>607</v>
      </c>
      <c r="AN1988">
        <v>44</v>
      </c>
      <c r="AP1988">
        <v>1</v>
      </c>
      <c r="AR1988" t="s">
        <v>2079</v>
      </c>
      <c r="AS1988" s="1">
        <v>44354.503472222219</v>
      </c>
      <c r="AT1988" s="1">
        <v>44354.506249999999</v>
      </c>
      <c r="AU1988" s="1">
        <v>44354.507199074076</v>
      </c>
      <c r="AV1988" t="s">
        <v>71</v>
      </c>
      <c r="AW1988" t="s">
        <v>72</v>
      </c>
      <c r="AX1988" t="s">
        <v>73</v>
      </c>
    </row>
    <row r="1989" spans="1:50" x14ac:dyDescent="0.3">
      <c r="A1989" t="str">
        <f>"201086C0100"</f>
        <v>201086C0100</v>
      </c>
      <c r="B1989" t="str">
        <f>"201086C01002"</f>
        <v>201086C01002</v>
      </c>
      <c r="C1989" t="str">
        <f t="shared" si="95"/>
        <v>20</v>
      </c>
      <c r="D1989" t="s">
        <v>67</v>
      </c>
      <c r="E1989" t="str">
        <f t="shared" si="97"/>
        <v>009</v>
      </c>
      <c r="F1989" t="s">
        <v>2003</v>
      </c>
      <c r="G1989" t="str">
        <f>"1086"</f>
        <v>1086</v>
      </c>
      <c r="H1989" t="str">
        <f>"0001"</f>
        <v>0001</v>
      </c>
      <c r="I1989" t="s">
        <v>75</v>
      </c>
      <c r="J1989">
        <v>0</v>
      </c>
      <c r="K1989">
        <v>1</v>
      </c>
      <c r="L1989">
        <v>2</v>
      </c>
      <c r="M1989">
        <v>231</v>
      </c>
      <c r="N1989">
        <v>418</v>
      </c>
      <c r="O1989">
        <v>8</v>
      </c>
      <c r="P1989">
        <v>418</v>
      </c>
      <c r="Q1989">
        <v>23</v>
      </c>
      <c r="R1989">
        <v>68</v>
      </c>
      <c r="S1989">
        <v>5</v>
      </c>
      <c r="T1989">
        <v>57</v>
      </c>
      <c r="U1989">
        <v>18</v>
      </c>
      <c r="V1989">
        <v>3</v>
      </c>
      <c r="W1989">
        <v>10</v>
      </c>
      <c r="X1989">
        <v>169</v>
      </c>
      <c r="Y1989">
        <v>19</v>
      </c>
      <c r="Z1989">
        <v>14</v>
      </c>
      <c r="AA1989">
        <v>4</v>
      </c>
      <c r="AB1989">
        <v>9</v>
      </c>
      <c r="AD1989">
        <v>1</v>
      </c>
      <c r="AE1989">
        <v>0</v>
      </c>
      <c r="AF1989">
        <v>0</v>
      </c>
      <c r="AG1989">
        <v>0</v>
      </c>
      <c r="AI1989">
        <v>0</v>
      </c>
      <c r="AJ1989">
        <v>18</v>
      </c>
      <c r="AK1989">
        <v>418</v>
      </c>
      <c r="AL1989">
        <v>418</v>
      </c>
      <c r="AM1989">
        <v>606</v>
      </c>
      <c r="AN1989">
        <v>44</v>
      </c>
      <c r="AP1989">
        <v>1</v>
      </c>
      <c r="AR1989" t="s">
        <v>2080</v>
      </c>
      <c r="AS1989" s="1">
        <v>44354.504166666666</v>
      </c>
      <c r="AT1989" s="1">
        <v>44354.507256944446</v>
      </c>
      <c r="AU1989" s="1">
        <v>44354.507557870369</v>
      </c>
      <c r="AV1989" t="s">
        <v>71</v>
      </c>
      <c r="AW1989" t="s">
        <v>72</v>
      </c>
      <c r="AX1989" t="s">
        <v>73</v>
      </c>
    </row>
    <row r="1990" spans="1:50" x14ac:dyDescent="0.3">
      <c r="A1990" t="str">
        <f>"201086E0100"</f>
        <v>201086E0100</v>
      </c>
      <c r="B1990" t="str">
        <f>"201086E01002"</f>
        <v>201086E01002</v>
      </c>
      <c r="C1990" t="str">
        <f t="shared" si="95"/>
        <v>20</v>
      </c>
      <c r="D1990" t="s">
        <v>67</v>
      </c>
      <c r="E1990" t="str">
        <f t="shared" si="97"/>
        <v>009</v>
      </c>
      <c r="F1990" t="s">
        <v>2003</v>
      </c>
      <c r="G1990" t="str">
        <f>"1086"</f>
        <v>1086</v>
      </c>
      <c r="H1990" t="str">
        <f>"0001"</f>
        <v>0001</v>
      </c>
      <c r="I1990" t="s">
        <v>109</v>
      </c>
      <c r="J1990">
        <v>0</v>
      </c>
      <c r="K1990">
        <v>1</v>
      </c>
      <c r="L1990">
        <v>2</v>
      </c>
      <c r="M1990">
        <v>107</v>
      </c>
      <c r="N1990">
        <v>181</v>
      </c>
      <c r="O1990">
        <v>4</v>
      </c>
      <c r="P1990">
        <v>181</v>
      </c>
      <c r="Q1990">
        <v>5</v>
      </c>
      <c r="R1990">
        <v>62</v>
      </c>
      <c r="S1990">
        <v>10</v>
      </c>
      <c r="T1990">
        <v>15</v>
      </c>
      <c r="U1990">
        <v>1</v>
      </c>
      <c r="V1990">
        <v>12</v>
      </c>
      <c r="W1990">
        <v>5</v>
      </c>
      <c r="X1990">
        <v>27</v>
      </c>
      <c r="Y1990">
        <v>21</v>
      </c>
      <c r="Z1990">
        <v>4</v>
      </c>
      <c r="AA1990">
        <v>1</v>
      </c>
      <c r="AB1990">
        <v>2</v>
      </c>
      <c r="AD1990">
        <v>4</v>
      </c>
      <c r="AE1990">
        <v>1</v>
      </c>
      <c r="AF1990">
        <v>0</v>
      </c>
      <c r="AG1990">
        <v>0</v>
      </c>
      <c r="AI1990">
        <v>0</v>
      </c>
      <c r="AJ1990">
        <v>11</v>
      </c>
      <c r="AK1990">
        <v>181</v>
      </c>
      <c r="AL1990">
        <v>181</v>
      </c>
      <c r="AM1990">
        <v>244</v>
      </c>
      <c r="AN1990">
        <v>44</v>
      </c>
      <c r="AP1990">
        <v>1</v>
      </c>
      <c r="AR1990" t="s">
        <v>2081</v>
      </c>
      <c r="AS1990" s="1">
        <v>44354.593055555553</v>
      </c>
      <c r="AT1990" s="1">
        <v>44354.596203703702</v>
      </c>
      <c r="AU1990" s="1">
        <v>44354.597025462965</v>
      </c>
      <c r="AV1990" t="s">
        <v>71</v>
      </c>
      <c r="AW1990" t="s">
        <v>72</v>
      </c>
      <c r="AX1990" t="s">
        <v>73</v>
      </c>
    </row>
    <row r="1991" spans="1:50" x14ac:dyDescent="0.3">
      <c r="A1991" t="str">
        <f>"201087B0000"</f>
        <v>201087B0000</v>
      </c>
      <c r="B1991" t="str">
        <f>"201087B00002"</f>
        <v>201087B00002</v>
      </c>
      <c r="C1991" t="str">
        <f t="shared" ref="C1991:C2054" si="98">"20"</f>
        <v>20</v>
      </c>
      <c r="D1991" t="s">
        <v>67</v>
      </c>
      <c r="E1991" t="str">
        <f t="shared" si="97"/>
        <v>009</v>
      </c>
      <c r="F1991" t="s">
        <v>2003</v>
      </c>
      <c r="G1991" t="str">
        <f>"1087"</f>
        <v>1087</v>
      </c>
      <c r="H1991" t="str">
        <f>"0000"</f>
        <v>0000</v>
      </c>
      <c r="I1991" t="s">
        <v>69</v>
      </c>
      <c r="J1991">
        <v>0</v>
      </c>
      <c r="K1991">
        <v>1</v>
      </c>
      <c r="L1991">
        <v>2</v>
      </c>
      <c r="M1991">
        <v>195</v>
      </c>
      <c r="N1991">
        <v>403</v>
      </c>
      <c r="O1991">
        <v>7</v>
      </c>
      <c r="P1991" t="s">
        <v>80</v>
      </c>
      <c r="Q1991">
        <v>21</v>
      </c>
      <c r="R1991">
        <v>66</v>
      </c>
      <c r="S1991">
        <v>9</v>
      </c>
      <c r="T1991">
        <v>64</v>
      </c>
      <c r="U1991">
        <v>6</v>
      </c>
      <c r="V1991">
        <v>8</v>
      </c>
      <c r="W1991">
        <v>17</v>
      </c>
      <c r="X1991">
        <v>144</v>
      </c>
      <c r="Y1991">
        <v>19</v>
      </c>
      <c r="Z1991">
        <v>14</v>
      </c>
      <c r="AA1991">
        <v>3</v>
      </c>
      <c r="AB1991">
        <v>11</v>
      </c>
      <c r="AD1991">
        <v>3</v>
      </c>
      <c r="AE1991">
        <v>1</v>
      </c>
      <c r="AF1991">
        <v>0</v>
      </c>
      <c r="AG1991">
        <v>0</v>
      </c>
      <c r="AI1991">
        <v>0</v>
      </c>
      <c r="AJ1991">
        <v>17</v>
      </c>
      <c r="AK1991">
        <v>403</v>
      </c>
      <c r="AL1991">
        <v>403</v>
      </c>
      <c r="AM1991">
        <v>554</v>
      </c>
      <c r="AN1991">
        <v>44</v>
      </c>
      <c r="AP1991">
        <v>1</v>
      </c>
      <c r="AR1991" t="s">
        <v>2082</v>
      </c>
      <c r="AS1991" s="1">
        <v>44354.504861111112</v>
      </c>
      <c r="AT1991" s="1">
        <v>44354.507986111108</v>
      </c>
      <c r="AU1991" s="1">
        <v>44354.509131944447</v>
      </c>
      <c r="AV1991" t="s">
        <v>71</v>
      </c>
      <c r="AW1991" t="s">
        <v>72</v>
      </c>
      <c r="AX1991" t="s">
        <v>73</v>
      </c>
    </row>
    <row r="1992" spans="1:50" x14ac:dyDescent="0.3">
      <c r="A1992" t="str">
        <f>"201087C0100"</f>
        <v>201087C0100</v>
      </c>
      <c r="B1992" t="str">
        <f>"201087C01002"</f>
        <v>201087C01002</v>
      </c>
      <c r="C1992" t="str">
        <f t="shared" si="98"/>
        <v>20</v>
      </c>
      <c r="D1992" t="s">
        <v>67</v>
      </c>
      <c r="E1992" t="str">
        <f t="shared" si="97"/>
        <v>009</v>
      </c>
      <c r="F1992" t="s">
        <v>2003</v>
      </c>
      <c r="G1992" t="str">
        <f>"1087"</f>
        <v>1087</v>
      </c>
      <c r="H1992" t="str">
        <f>"0001"</f>
        <v>0001</v>
      </c>
      <c r="I1992" t="s">
        <v>75</v>
      </c>
      <c r="J1992">
        <v>0</v>
      </c>
      <c r="K1992">
        <v>1</v>
      </c>
      <c r="L1992">
        <v>2</v>
      </c>
      <c r="M1992">
        <v>209</v>
      </c>
      <c r="N1992">
        <v>389</v>
      </c>
      <c r="O1992">
        <v>6</v>
      </c>
      <c r="P1992">
        <v>389</v>
      </c>
      <c r="Q1992">
        <v>19</v>
      </c>
      <c r="R1992">
        <v>56</v>
      </c>
      <c r="S1992">
        <v>5</v>
      </c>
      <c r="T1992">
        <v>48</v>
      </c>
      <c r="U1992">
        <v>10</v>
      </c>
      <c r="V1992">
        <v>11</v>
      </c>
      <c r="W1992">
        <v>13</v>
      </c>
      <c r="X1992">
        <v>166</v>
      </c>
      <c r="Y1992">
        <v>29</v>
      </c>
      <c r="Z1992">
        <v>7</v>
      </c>
      <c r="AA1992">
        <v>1</v>
      </c>
      <c r="AB1992">
        <v>7</v>
      </c>
      <c r="AD1992">
        <v>1</v>
      </c>
      <c r="AE1992">
        <v>1</v>
      </c>
      <c r="AF1992">
        <v>0</v>
      </c>
      <c r="AG1992">
        <v>0</v>
      </c>
      <c r="AI1992">
        <v>0</v>
      </c>
      <c r="AJ1992">
        <v>15</v>
      </c>
      <c r="AK1992">
        <v>389</v>
      </c>
      <c r="AL1992">
        <v>389</v>
      </c>
      <c r="AM1992">
        <v>554</v>
      </c>
      <c r="AN1992">
        <v>44</v>
      </c>
      <c r="AP1992">
        <v>1</v>
      </c>
      <c r="AR1992" t="s">
        <v>2083</v>
      </c>
      <c r="AS1992" s="1">
        <v>44354.505555555559</v>
      </c>
      <c r="AT1992" s="1">
        <v>44354.509386574071</v>
      </c>
      <c r="AU1992" s="1">
        <v>44354.51</v>
      </c>
      <c r="AV1992" t="s">
        <v>71</v>
      </c>
      <c r="AW1992" t="s">
        <v>72</v>
      </c>
      <c r="AX1992" t="s">
        <v>73</v>
      </c>
    </row>
    <row r="1993" spans="1:50" x14ac:dyDescent="0.3">
      <c r="A1993" t="str">
        <f>"201087C0200"</f>
        <v>201087C0200</v>
      </c>
      <c r="B1993" t="str">
        <f>"201087C02002"</f>
        <v>201087C02002</v>
      </c>
      <c r="C1993" t="str">
        <f t="shared" si="98"/>
        <v>20</v>
      </c>
      <c r="D1993" t="s">
        <v>67</v>
      </c>
      <c r="E1993" t="str">
        <f t="shared" si="97"/>
        <v>009</v>
      </c>
      <c r="F1993" t="s">
        <v>2003</v>
      </c>
      <c r="G1993" t="str">
        <f>"1087"</f>
        <v>1087</v>
      </c>
      <c r="H1993" t="str">
        <f>"0002"</f>
        <v>0002</v>
      </c>
      <c r="I1993" t="s">
        <v>75</v>
      </c>
      <c r="J1993">
        <v>0</v>
      </c>
      <c r="K1993">
        <v>1</v>
      </c>
      <c r="L1993">
        <v>2</v>
      </c>
      <c r="M1993">
        <v>201</v>
      </c>
      <c r="N1993">
        <v>397</v>
      </c>
      <c r="O1993">
        <v>6</v>
      </c>
      <c r="P1993" t="s">
        <v>80</v>
      </c>
      <c r="Q1993">
        <v>20</v>
      </c>
      <c r="R1993">
        <v>73</v>
      </c>
      <c r="S1993">
        <v>8</v>
      </c>
      <c r="T1993">
        <v>68</v>
      </c>
      <c r="U1993">
        <v>7</v>
      </c>
      <c r="V1993">
        <v>11</v>
      </c>
      <c r="W1993">
        <v>20</v>
      </c>
      <c r="X1993">
        <v>132</v>
      </c>
      <c r="Y1993">
        <v>29</v>
      </c>
      <c r="Z1993">
        <v>4</v>
      </c>
      <c r="AA1993">
        <v>2</v>
      </c>
      <c r="AB1993">
        <v>5</v>
      </c>
      <c r="AD1993">
        <v>2</v>
      </c>
      <c r="AE1993">
        <v>1</v>
      </c>
      <c r="AF1993">
        <v>0</v>
      </c>
      <c r="AG1993">
        <v>0</v>
      </c>
      <c r="AI1993">
        <v>0</v>
      </c>
      <c r="AJ1993">
        <v>15</v>
      </c>
      <c r="AK1993">
        <v>397</v>
      </c>
      <c r="AL1993">
        <v>397</v>
      </c>
      <c r="AM1993">
        <v>554</v>
      </c>
      <c r="AN1993">
        <v>44</v>
      </c>
      <c r="AP1993">
        <v>1</v>
      </c>
      <c r="AR1993" t="s">
        <v>2084</v>
      </c>
      <c r="AS1993" s="1">
        <v>44354.506249999999</v>
      </c>
      <c r="AT1993" s="1">
        <v>44354.509930555556</v>
      </c>
      <c r="AU1993" s="1">
        <v>44354.51054398148</v>
      </c>
      <c r="AV1993" t="s">
        <v>71</v>
      </c>
      <c r="AW1993" t="s">
        <v>72</v>
      </c>
      <c r="AX1993" t="s">
        <v>73</v>
      </c>
    </row>
    <row r="1994" spans="1:50" x14ac:dyDescent="0.3">
      <c r="A1994" t="str">
        <f>"201088B0000"</f>
        <v>201088B0000</v>
      </c>
      <c r="B1994" t="str">
        <f>"201088B00002"</f>
        <v>201088B00002</v>
      </c>
      <c r="C1994" t="str">
        <f t="shared" si="98"/>
        <v>20</v>
      </c>
      <c r="D1994" t="s">
        <v>67</v>
      </c>
      <c r="E1994" t="str">
        <f t="shared" si="97"/>
        <v>009</v>
      </c>
      <c r="F1994" t="s">
        <v>2003</v>
      </c>
      <c r="G1994" t="str">
        <f>"1088"</f>
        <v>1088</v>
      </c>
      <c r="H1994" t="str">
        <f>"0000"</f>
        <v>0000</v>
      </c>
      <c r="I1994" t="s">
        <v>69</v>
      </c>
      <c r="J1994">
        <v>0</v>
      </c>
      <c r="K1994">
        <v>1</v>
      </c>
      <c r="L1994">
        <v>2</v>
      </c>
      <c r="M1994">
        <v>261</v>
      </c>
      <c r="N1994">
        <v>383</v>
      </c>
      <c r="O1994">
        <v>2</v>
      </c>
      <c r="P1994">
        <v>383</v>
      </c>
      <c r="Q1994">
        <v>18</v>
      </c>
      <c r="R1994">
        <v>70</v>
      </c>
      <c r="S1994">
        <v>6</v>
      </c>
      <c r="T1994">
        <v>16</v>
      </c>
      <c r="U1994">
        <v>10</v>
      </c>
      <c r="V1994">
        <v>20</v>
      </c>
      <c r="W1994">
        <v>25</v>
      </c>
      <c r="X1994">
        <v>104</v>
      </c>
      <c r="Y1994">
        <v>66</v>
      </c>
      <c r="Z1994">
        <v>21</v>
      </c>
      <c r="AA1994">
        <v>2</v>
      </c>
      <c r="AB1994">
        <v>13</v>
      </c>
      <c r="AD1994" t="s">
        <v>77</v>
      </c>
      <c r="AE1994">
        <v>4</v>
      </c>
      <c r="AF1994" t="s">
        <v>77</v>
      </c>
      <c r="AG1994" t="s">
        <v>77</v>
      </c>
      <c r="AI1994" t="s">
        <v>77</v>
      </c>
      <c r="AJ1994">
        <v>8</v>
      </c>
      <c r="AK1994">
        <v>383</v>
      </c>
      <c r="AL1994">
        <v>383</v>
      </c>
      <c r="AM1994">
        <v>600</v>
      </c>
      <c r="AN1994">
        <v>44</v>
      </c>
      <c r="AO1994" t="s">
        <v>78</v>
      </c>
      <c r="AP1994">
        <v>1</v>
      </c>
      <c r="AR1994" t="s">
        <v>2085</v>
      </c>
      <c r="AS1994" s="1">
        <v>44354.5</v>
      </c>
      <c r="AT1994" s="1">
        <v>44354.50236111111</v>
      </c>
      <c r="AU1994" s="1">
        <v>44354.503217592595</v>
      </c>
      <c r="AV1994" t="s">
        <v>71</v>
      </c>
      <c r="AW1994" t="s">
        <v>72</v>
      </c>
      <c r="AX1994" t="s">
        <v>73</v>
      </c>
    </row>
    <row r="1995" spans="1:50" x14ac:dyDescent="0.3">
      <c r="A1995" t="str">
        <f>"201088C0100"</f>
        <v>201088C0100</v>
      </c>
      <c r="B1995" t="str">
        <f>"201088C01002"</f>
        <v>201088C01002</v>
      </c>
      <c r="C1995" t="str">
        <f t="shared" si="98"/>
        <v>20</v>
      </c>
      <c r="D1995" t="s">
        <v>67</v>
      </c>
      <c r="E1995" t="str">
        <f t="shared" si="97"/>
        <v>009</v>
      </c>
      <c r="F1995" t="s">
        <v>2003</v>
      </c>
      <c r="G1995" t="str">
        <f>"1088"</f>
        <v>1088</v>
      </c>
      <c r="H1995" t="str">
        <f>"0001"</f>
        <v>0001</v>
      </c>
      <c r="I1995" t="s">
        <v>75</v>
      </c>
      <c r="J1995">
        <v>0</v>
      </c>
      <c r="K1995">
        <v>1</v>
      </c>
      <c r="L1995">
        <v>2</v>
      </c>
      <c r="M1995">
        <v>266</v>
      </c>
      <c r="N1995">
        <v>377</v>
      </c>
      <c r="O1995">
        <v>0</v>
      </c>
      <c r="P1995">
        <v>377</v>
      </c>
      <c r="Q1995">
        <v>10</v>
      </c>
      <c r="R1995">
        <v>74</v>
      </c>
      <c r="S1995">
        <v>7</v>
      </c>
      <c r="T1995">
        <v>14</v>
      </c>
      <c r="U1995">
        <v>7</v>
      </c>
      <c r="V1995">
        <v>12</v>
      </c>
      <c r="W1995">
        <v>17</v>
      </c>
      <c r="X1995">
        <v>116</v>
      </c>
      <c r="Y1995">
        <v>69</v>
      </c>
      <c r="Z1995">
        <v>19</v>
      </c>
      <c r="AA1995">
        <v>1</v>
      </c>
      <c r="AB1995">
        <v>4</v>
      </c>
      <c r="AD1995">
        <v>8</v>
      </c>
      <c r="AE1995">
        <v>0</v>
      </c>
      <c r="AF1995">
        <v>0</v>
      </c>
      <c r="AG1995">
        <v>0</v>
      </c>
      <c r="AI1995">
        <v>0</v>
      </c>
      <c r="AJ1995">
        <v>19</v>
      </c>
      <c r="AK1995">
        <v>377</v>
      </c>
      <c r="AL1995">
        <v>377</v>
      </c>
      <c r="AM1995">
        <v>599</v>
      </c>
      <c r="AN1995">
        <v>44</v>
      </c>
      <c r="AP1995">
        <v>1</v>
      </c>
      <c r="AR1995" t="s">
        <v>2086</v>
      </c>
      <c r="AS1995" s="1">
        <v>44354.500694444447</v>
      </c>
      <c r="AT1995" s="1">
        <v>44354.504826388889</v>
      </c>
      <c r="AU1995" s="1">
        <v>44354.506319444445</v>
      </c>
      <c r="AV1995" t="s">
        <v>71</v>
      </c>
      <c r="AW1995" t="s">
        <v>72</v>
      </c>
      <c r="AX1995" t="s">
        <v>73</v>
      </c>
    </row>
    <row r="1996" spans="1:50" x14ac:dyDescent="0.3">
      <c r="A1996" t="str">
        <f>"201088E0100"</f>
        <v>201088E0100</v>
      </c>
      <c r="B1996" t="str">
        <f>"201088E01002"</f>
        <v>201088E01002</v>
      </c>
      <c r="C1996" t="str">
        <f t="shared" si="98"/>
        <v>20</v>
      </c>
      <c r="D1996" t="s">
        <v>67</v>
      </c>
      <c r="E1996" t="str">
        <f t="shared" si="97"/>
        <v>009</v>
      </c>
      <c r="F1996" t="s">
        <v>2003</v>
      </c>
      <c r="G1996" t="str">
        <f>"1088"</f>
        <v>1088</v>
      </c>
      <c r="H1996" t="str">
        <f>"0001"</f>
        <v>0001</v>
      </c>
      <c r="I1996" t="s">
        <v>109</v>
      </c>
      <c r="J1996">
        <v>0</v>
      </c>
      <c r="K1996">
        <v>1</v>
      </c>
      <c r="L1996">
        <v>2</v>
      </c>
      <c r="M1996">
        <v>92</v>
      </c>
      <c r="N1996">
        <v>120</v>
      </c>
      <c r="O1996">
        <v>3</v>
      </c>
      <c r="P1996">
        <v>120</v>
      </c>
      <c r="Q1996">
        <v>11</v>
      </c>
      <c r="R1996">
        <v>44</v>
      </c>
      <c r="S1996">
        <v>7</v>
      </c>
      <c r="T1996">
        <v>5</v>
      </c>
      <c r="U1996">
        <v>1</v>
      </c>
      <c r="V1996">
        <v>1</v>
      </c>
      <c r="W1996">
        <v>1</v>
      </c>
      <c r="X1996">
        <v>27</v>
      </c>
      <c r="Y1996">
        <v>7</v>
      </c>
      <c r="Z1996">
        <v>11</v>
      </c>
      <c r="AA1996">
        <v>0</v>
      </c>
      <c r="AB1996">
        <v>1</v>
      </c>
      <c r="AD1996">
        <v>0</v>
      </c>
      <c r="AE1996">
        <v>2</v>
      </c>
      <c r="AF1996">
        <v>0</v>
      </c>
      <c r="AG1996">
        <v>1</v>
      </c>
      <c r="AI1996">
        <v>0</v>
      </c>
      <c r="AJ1996">
        <v>1</v>
      </c>
      <c r="AK1996">
        <v>120</v>
      </c>
      <c r="AL1996">
        <v>120</v>
      </c>
      <c r="AM1996">
        <v>168</v>
      </c>
      <c r="AN1996">
        <v>44</v>
      </c>
      <c r="AP1996">
        <v>1</v>
      </c>
      <c r="AR1996" t="s">
        <v>2087</v>
      </c>
      <c r="AS1996" s="1">
        <v>44354.502083333333</v>
      </c>
      <c r="AT1996" s="1">
        <v>44354.504224537035</v>
      </c>
      <c r="AU1996" s="1">
        <v>44354.504699074074</v>
      </c>
      <c r="AV1996" t="s">
        <v>71</v>
      </c>
      <c r="AW1996" t="s">
        <v>72</v>
      </c>
      <c r="AX1996" t="s">
        <v>73</v>
      </c>
    </row>
    <row r="1997" spans="1:50" x14ac:dyDescent="0.3">
      <c r="A1997" t="str">
        <f>"201089B0000"</f>
        <v>201089B0000</v>
      </c>
      <c r="B1997" t="str">
        <f>"201089B00002"</f>
        <v>201089B00002</v>
      </c>
      <c r="C1997" t="str">
        <f t="shared" si="98"/>
        <v>20</v>
      </c>
      <c r="D1997" t="s">
        <v>67</v>
      </c>
      <c r="E1997" t="str">
        <f t="shared" si="97"/>
        <v>009</v>
      </c>
      <c r="F1997" t="s">
        <v>2003</v>
      </c>
      <c r="G1997" t="str">
        <f>"1089"</f>
        <v>1089</v>
      </c>
      <c r="H1997" t="str">
        <f>"0000"</f>
        <v>0000</v>
      </c>
      <c r="I1997" t="s">
        <v>69</v>
      </c>
      <c r="J1997">
        <v>0</v>
      </c>
      <c r="K1997">
        <v>1</v>
      </c>
      <c r="L1997">
        <v>2</v>
      </c>
      <c r="M1997">
        <v>278</v>
      </c>
      <c r="N1997">
        <v>439</v>
      </c>
      <c r="O1997">
        <v>3</v>
      </c>
      <c r="P1997">
        <v>439</v>
      </c>
      <c r="Q1997">
        <v>20</v>
      </c>
      <c r="R1997">
        <v>89</v>
      </c>
      <c r="S1997">
        <v>10</v>
      </c>
      <c r="T1997">
        <v>46</v>
      </c>
      <c r="U1997">
        <v>30</v>
      </c>
      <c r="V1997">
        <v>22</v>
      </c>
      <c r="W1997">
        <v>17</v>
      </c>
      <c r="X1997">
        <v>79</v>
      </c>
      <c r="Y1997">
        <v>64</v>
      </c>
      <c r="Z1997">
        <v>35</v>
      </c>
      <c r="AA1997">
        <v>2</v>
      </c>
      <c r="AB1997">
        <v>2</v>
      </c>
      <c r="AD1997">
        <v>2</v>
      </c>
      <c r="AE1997">
        <v>0</v>
      </c>
      <c r="AF1997">
        <v>0</v>
      </c>
      <c r="AG1997">
        <v>0</v>
      </c>
      <c r="AI1997">
        <v>0</v>
      </c>
      <c r="AJ1997">
        <v>21</v>
      </c>
      <c r="AK1997">
        <v>439</v>
      </c>
      <c r="AL1997">
        <v>439</v>
      </c>
      <c r="AM1997">
        <v>673</v>
      </c>
      <c r="AN1997">
        <v>44</v>
      </c>
      <c r="AP1997">
        <v>1</v>
      </c>
      <c r="AR1997" t="s">
        <v>2088</v>
      </c>
      <c r="AS1997" s="1">
        <v>44354.50277777778</v>
      </c>
      <c r="AT1997" s="1">
        <v>44354.505277777775</v>
      </c>
      <c r="AU1997" s="1">
        <v>44354.505879629629</v>
      </c>
      <c r="AV1997" t="s">
        <v>71</v>
      </c>
      <c r="AW1997" t="s">
        <v>72</v>
      </c>
      <c r="AX1997" t="s">
        <v>73</v>
      </c>
    </row>
    <row r="1998" spans="1:50" x14ac:dyDescent="0.3">
      <c r="A1998" t="str">
        <f>"201089C0100"</f>
        <v>201089C0100</v>
      </c>
      <c r="B1998" t="str">
        <f>"201089C01002"</f>
        <v>201089C01002</v>
      </c>
      <c r="C1998" t="str">
        <f t="shared" si="98"/>
        <v>20</v>
      </c>
      <c r="D1998" t="s">
        <v>67</v>
      </c>
      <c r="E1998" t="str">
        <f t="shared" si="97"/>
        <v>009</v>
      </c>
      <c r="F1998" t="s">
        <v>2003</v>
      </c>
      <c r="G1998" t="str">
        <f>"1089"</f>
        <v>1089</v>
      </c>
      <c r="H1998" t="str">
        <f>"0001"</f>
        <v>0001</v>
      </c>
      <c r="I1998" t="s">
        <v>75</v>
      </c>
      <c r="J1998">
        <v>0</v>
      </c>
      <c r="K1998">
        <v>1</v>
      </c>
      <c r="L1998">
        <v>2</v>
      </c>
      <c r="M1998">
        <v>255</v>
      </c>
      <c r="N1998">
        <v>461</v>
      </c>
      <c r="O1998">
        <v>12</v>
      </c>
      <c r="P1998">
        <v>461</v>
      </c>
      <c r="Q1998">
        <v>28</v>
      </c>
      <c r="R1998">
        <v>85</v>
      </c>
      <c r="S1998">
        <v>10</v>
      </c>
      <c r="T1998">
        <v>38</v>
      </c>
      <c r="U1998">
        <v>42</v>
      </c>
      <c r="V1998">
        <v>19</v>
      </c>
      <c r="W1998">
        <v>24</v>
      </c>
      <c r="X1998">
        <v>89</v>
      </c>
      <c r="Y1998">
        <v>57</v>
      </c>
      <c r="Z1998">
        <v>39</v>
      </c>
      <c r="AA1998">
        <v>4</v>
      </c>
      <c r="AB1998">
        <v>2</v>
      </c>
      <c r="AD1998">
        <v>7</v>
      </c>
      <c r="AE1998">
        <v>0</v>
      </c>
      <c r="AF1998">
        <v>0</v>
      </c>
      <c r="AG1998">
        <v>1</v>
      </c>
      <c r="AI1998">
        <v>0</v>
      </c>
      <c r="AJ1998">
        <v>16</v>
      </c>
      <c r="AK1998">
        <v>461</v>
      </c>
      <c r="AL1998">
        <v>461</v>
      </c>
      <c r="AM1998">
        <v>672</v>
      </c>
      <c r="AN1998">
        <v>44</v>
      </c>
      <c r="AP1998">
        <v>1</v>
      </c>
      <c r="AR1998" t="s">
        <v>2089</v>
      </c>
      <c r="AS1998" s="1">
        <v>44354.511805555558</v>
      </c>
      <c r="AT1998" s="1">
        <v>44354.514085648145</v>
      </c>
      <c r="AU1998" s="1">
        <v>44354.514513888891</v>
      </c>
      <c r="AV1998" t="s">
        <v>71</v>
      </c>
      <c r="AW1998" t="s">
        <v>72</v>
      </c>
      <c r="AX1998" t="s">
        <v>73</v>
      </c>
    </row>
    <row r="1999" spans="1:50" x14ac:dyDescent="0.3">
      <c r="A1999" t="str">
        <f>"201090B0000"</f>
        <v>201090B0000</v>
      </c>
      <c r="B1999" t="str">
        <f>"201090B00002"</f>
        <v>201090B00002</v>
      </c>
      <c r="C1999" t="str">
        <f t="shared" si="98"/>
        <v>20</v>
      </c>
      <c r="D1999" t="s">
        <v>67</v>
      </c>
      <c r="E1999" t="str">
        <f t="shared" si="97"/>
        <v>009</v>
      </c>
      <c r="F1999" t="s">
        <v>2003</v>
      </c>
      <c r="G1999" t="str">
        <f>"1090"</f>
        <v>1090</v>
      </c>
      <c r="H1999" t="str">
        <f>"0000"</f>
        <v>0000</v>
      </c>
      <c r="I1999" t="s">
        <v>69</v>
      </c>
      <c r="J1999">
        <v>0</v>
      </c>
      <c r="K1999">
        <v>1</v>
      </c>
      <c r="L1999">
        <v>2</v>
      </c>
      <c r="M1999">
        <v>190</v>
      </c>
      <c r="N1999">
        <v>262</v>
      </c>
      <c r="O1999">
        <v>1</v>
      </c>
      <c r="P1999">
        <v>263</v>
      </c>
      <c r="Q1999">
        <v>16</v>
      </c>
      <c r="R1999">
        <v>66</v>
      </c>
      <c r="S1999">
        <v>8</v>
      </c>
      <c r="T1999">
        <v>35</v>
      </c>
      <c r="U1999">
        <v>12</v>
      </c>
      <c r="V1999">
        <v>1</v>
      </c>
      <c r="W1999">
        <v>7</v>
      </c>
      <c r="X1999">
        <v>81</v>
      </c>
      <c r="Y1999">
        <v>14</v>
      </c>
      <c r="Z1999">
        <v>3</v>
      </c>
      <c r="AA1999">
        <v>0</v>
      </c>
      <c r="AB1999">
        <v>1</v>
      </c>
      <c r="AD1999">
        <v>2</v>
      </c>
      <c r="AE1999">
        <v>0</v>
      </c>
      <c r="AF1999">
        <v>0</v>
      </c>
      <c r="AG1999">
        <v>0</v>
      </c>
      <c r="AI1999">
        <v>0</v>
      </c>
      <c r="AJ1999">
        <v>17</v>
      </c>
      <c r="AK1999">
        <v>263</v>
      </c>
      <c r="AL1999">
        <v>263</v>
      </c>
      <c r="AM1999">
        <v>409</v>
      </c>
      <c r="AN1999">
        <v>44</v>
      </c>
      <c r="AP1999">
        <v>1</v>
      </c>
      <c r="AR1999" t="s">
        <v>2090</v>
      </c>
      <c r="AS1999" s="1">
        <v>44354.576388888891</v>
      </c>
      <c r="AT1999" s="1">
        <v>44354.580138888887</v>
      </c>
      <c r="AU1999" s="1">
        <v>44354.581041666665</v>
      </c>
      <c r="AV1999" t="s">
        <v>71</v>
      </c>
      <c r="AW1999" t="s">
        <v>72</v>
      </c>
      <c r="AX1999" t="s">
        <v>73</v>
      </c>
    </row>
    <row r="2000" spans="1:50" x14ac:dyDescent="0.3">
      <c r="A2000" t="str">
        <f>"201090C0100"</f>
        <v>201090C0100</v>
      </c>
      <c r="B2000" t="str">
        <f>"201090C01002"</f>
        <v>201090C01002</v>
      </c>
      <c r="C2000" t="str">
        <f t="shared" si="98"/>
        <v>20</v>
      </c>
      <c r="D2000" t="s">
        <v>67</v>
      </c>
      <c r="E2000" t="str">
        <f t="shared" si="97"/>
        <v>009</v>
      </c>
      <c r="F2000" t="s">
        <v>2003</v>
      </c>
      <c r="G2000" t="str">
        <f>"1090"</f>
        <v>1090</v>
      </c>
      <c r="H2000" t="str">
        <f>"0001"</f>
        <v>0001</v>
      </c>
      <c r="I2000" t="s">
        <v>75</v>
      </c>
      <c r="J2000">
        <v>0</v>
      </c>
      <c r="K2000">
        <v>1</v>
      </c>
      <c r="L2000">
        <v>2</v>
      </c>
      <c r="M2000">
        <v>188</v>
      </c>
      <c r="N2000">
        <v>265</v>
      </c>
      <c r="O2000">
        <v>2</v>
      </c>
      <c r="P2000">
        <v>265</v>
      </c>
      <c r="Q2000">
        <v>18</v>
      </c>
      <c r="R2000">
        <v>78</v>
      </c>
      <c r="S2000">
        <v>4</v>
      </c>
      <c r="T2000">
        <v>38</v>
      </c>
      <c r="U2000">
        <v>12</v>
      </c>
      <c r="V2000">
        <v>5</v>
      </c>
      <c r="W2000">
        <v>6</v>
      </c>
      <c r="X2000">
        <v>77</v>
      </c>
      <c r="Y2000">
        <v>10</v>
      </c>
      <c r="Z2000">
        <v>3</v>
      </c>
      <c r="AA2000">
        <v>1</v>
      </c>
      <c r="AB2000">
        <v>1</v>
      </c>
      <c r="AD2000">
        <v>1</v>
      </c>
      <c r="AE2000">
        <v>0</v>
      </c>
      <c r="AF2000">
        <v>0</v>
      </c>
      <c r="AG2000">
        <v>0</v>
      </c>
      <c r="AI2000">
        <v>0</v>
      </c>
      <c r="AJ2000">
        <v>11</v>
      </c>
      <c r="AK2000">
        <v>265</v>
      </c>
      <c r="AL2000">
        <v>265</v>
      </c>
      <c r="AM2000">
        <v>409</v>
      </c>
      <c r="AN2000">
        <v>44</v>
      </c>
      <c r="AP2000">
        <v>1</v>
      </c>
      <c r="AR2000" t="s">
        <v>2091</v>
      </c>
      <c r="AS2000" s="1">
        <v>44354.57708333333</v>
      </c>
      <c r="AT2000" s="1">
        <v>44354.579687500001</v>
      </c>
      <c r="AU2000" s="1">
        <v>44354.580254629633</v>
      </c>
      <c r="AV2000" t="s">
        <v>71</v>
      </c>
      <c r="AW2000" t="s">
        <v>72</v>
      </c>
      <c r="AX2000" t="s">
        <v>73</v>
      </c>
    </row>
    <row r="2001" spans="1:50" x14ac:dyDescent="0.3">
      <c r="A2001" t="str">
        <f>"201090E0100"</f>
        <v>201090E0100</v>
      </c>
      <c r="B2001" t="str">
        <f>"201090E01002"</f>
        <v>201090E01002</v>
      </c>
      <c r="C2001" t="str">
        <f t="shared" si="98"/>
        <v>20</v>
      </c>
      <c r="D2001" t="s">
        <v>67</v>
      </c>
      <c r="E2001" t="str">
        <f t="shared" si="97"/>
        <v>009</v>
      </c>
      <c r="F2001" t="s">
        <v>2003</v>
      </c>
      <c r="G2001" t="str">
        <f>"1090"</f>
        <v>1090</v>
      </c>
      <c r="H2001" t="str">
        <f>"0001"</f>
        <v>0001</v>
      </c>
      <c r="I2001" t="s">
        <v>109</v>
      </c>
      <c r="J2001">
        <v>0</v>
      </c>
      <c r="K2001">
        <v>1</v>
      </c>
      <c r="L2001">
        <v>2</v>
      </c>
      <c r="M2001">
        <v>235</v>
      </c>
      <c r="N2001">
        <v>368</v>
      </c>
      <c r="O2001">
        <v>2</v>
      </c>
      <c r="P2001">
        <v>368</v>
      </c>
      <c r="Q2001">
        <v>20</v>
      </c>
      <c r="R2001">
        <v>94</v>
      </c>
      <c r="S2001">
        <v>4</v>
      </c>
      <c r="T2001">
        <v>68</v>
      </c>
      <c r="U2001">
        <v>28</v>
      </c>
      <c r="V2001">
        <v>1</v>
      </c>
      <c r="W2001">
        <v>9</v>
      </c>
      <c r="X2001">
        <v>103</v>
      </c>
      <c r="Y2001">
        <v>15</v>
      </c>
      <c r="Z2001">
        <v>2</v>
      </c>
      <c r="AA2001">
        <v>0</v>
      </c>
      <c r="AB2001">
        <v>14</v>
      </c>
      <c r="AD2001">
        <v>2</v>
      </c>
      <c r="AE2001">
        <v>0</v>
      </c>
      <c r="AF2001">
        <v>0</v>
      </c>
      <c r="AG2001">
        <v>0</v>
      </c>
      <c r="AI2001">
        <v>0</v>
      </c>
      <c r="AJ2001">
        <v>8</v>
      </c>
      <c r="AK2001">
        <v>368</v>
      </c>
      <c r="AL2001">
        <v>368</v>
      </c>
      <c r="AM2001">
        <v>559</v>
      </c>
      <c r="AN2001">
        <v>44</v>
      </c>
      <c r="AP2001">
        <v>1</v>
      </c>
      <c r="AR2001" t="s">
        <v>2092</v>
      </c>
      <c r="AS2001" s="1">
        <v>44354.577777777777</v>
      </c>
      <c r="AT2001" s="1">
        <v>44354.582905092589</v>
      </c>
      <c r="AU2001" s="1">
        <v>44354.583587962959</v>
      </c>
      <c r="AV2001" t="s">
        <v>71</v>
      </c>
      <c r="AW2001" t="s">
        <v>72</v>
      </c>
      <c r="AX2001" t="s">
        <v>73</v>
      </c>
    </row>
    <row r="2002" spans="1:50" x14ac:dyDescent="0.3">
      <c r="A2002" t="str">
        <f>"201091B0000"</f>
        <v>201091B0000</v>
      </c>
      <c r="B2002" t="str">
        <f>"201091B00002"</f>
        <v>201091B00002</v>
      </c>
      <c r="C2002" t="str">
        <f t="shared" si="98"/>
        <v>20</v>
      </c>
      <c r="D2002" t="s">
        <v>67</v>
      </c>
      <c r="E2002" t="str">
        <f t="shared" si="97"/>
        <v>009</v>
      </c>
      <c r="F2002" t="s">
        <v>2003</v>
      </c>
      <c r="G2002" t="str">
        <f>"1091"</f>
        <v>1091</v>
      </c>
      <c r="H2002" t="str">
        <f>"0000"</f>
        <v>0000</v>
      </c>
      <c r="I2002" t="s">
        <v>69</v>
      </c>
      <c r="J2002">
        <v>0</v>
      </c>
      <c r="K2002">
        <v>1</v>
      </c>
      <c r="L2002">
        <v>2</v>
      </c>
      <c r="M2002">
        <v>217</v>
      </c>
      <c r="N2002">
        <v>364</v>
      </c>
      <c r="O2002">
        <v>4</v>
      </c>
      <c r="P2002">
        <v>364</v>
      </c>
      <c r="Q2002">
        <v>5</v>
      </c>
      <c r="R2002">
        <v>54</v>
      </c>
      <c r="S2002">
        <v>6</v>
      </c>
      <c r="T2002">
        <v>38</v>
      </c>
      <c r="U2002">
        <v>28</v>
      </c>
      <c r="V2002">
        <v>18</v>
      </c>
      <c r="W2002">
        <v>5</v>
      </c>
      <c r="X2002">
        <v>146</v>
      </c>
      <c r="Y2002">
        <v>31</v>
      </c>
      <c r="Z2002">
        <v>13</v>
      </c>
      <c r="AA2002">
        <v>0</v>
      </c>
      <c r="AB2002">
        <v>4</v>
      </c>
      <c r="AD2002">
        <v>1</v>
      </c>
      <c r="AE2002">
        <v>0</v>
      </c>
      <c r="AF2002">
        <v>0</v>
      </c>
      <c r="AG2002">
        <v>0</v>
      </c>
      <c r="AI2002">
        <v>0</v>
      </c>
      <c r="AJ2002">
        <v>15</v>
      </c>
      <c r="AK2002">
        <v>364</v>
      </c>
      <c r="AL2002">
        <v>364</v>
      </c>
      <c r="AM2002">
        <v>537</v>
      </c>
      <c r="AN2002">
        <v>44</v>
      </c>
      <c r="AP2002">
        <v>1</v>
      </c>
      <c r="AR2002" t="s">
        <v>2093</v>
      </c>
      <c r="AS2002" s="1">
        <v>44354.590277777781</v>
      </c>
      <c r="AT2002" s="1">
        <v>44354.593738425923</v>
      </c>
      <c r="AU2002" s="1">
        <v>44354.594814814816</v>
      </c>
      <c r="AV2002" t="s">
        <v>71</v>
      </c>
      <c r="AW2002" t="s">
        <v>72</v>
      </c>
      <c r="AX2002" t="s">
        <v>73</v>
      </c>
    </row>
    <row r="2003" spans="1:50" x14ac:dyDescent="0.3">
      <c r="A2003" t="str">
        <f>"201091C0100"</f>
        <v>201091C0100</v>
      </c>
      <c r="B2003" t="str">
        <f>"201091C01002"</f>
        <v>201091C01002</v>
      </c>
      <c r="C2003" t="str">
        <f t="shared" si="98"/>
        <v>20</v>
      </c>
      <c r="D2003" t="s">
        <v>67</v>
      </c>
      <c r="E2003" t="str">
        <f t="shared" si="97"/>
        <v>009</v>
      </c>
      <c r="F2003" t="s">
        <v>2003</v>
      </c>
      <c r="G2003" t="str">
        <f>"1091"</f>
        <v>1091</v>
      </c>
      <c r="H2003" t="str">
        <f>"0001"</f>
        <v>0001</v>
      </c>
      <c r="I2003" t="s">
        <v>75</v>
      </c>
      <c r="J2003">
        <v>0</v>
      </c>
      <c r="K2003">
        <v>1</v>
      </c>
      <c r="L2003">
        <v>2</v>
      </c>
      <c r="M2003">
        <v>194</v>
      </c>
      <c r="N2003">
        <v>386</v>
      </c>
      <c r="O2003">
        <v>3</v>
      </c>
      <c r="P2003">
        <v>386</v>
      </c>
      <c r="Q2003">
        <v>12</v>
      </c>
      <c r="R2003">
        <v>50</v>
      </c>
      <c r="S2003">
        <v>4</v>
      </c>
      <c r="T2003">
        <v>42</v>
      </c>
      <c r="U2003">
        <v>48</v>
      </c>
      <c r="V2003">
        <v>14</v>
      </c>
      <c r="W2003">
        <v>7</v>
      </c>
      <c r="X2003">
        <v>144</v>
      </c>
      <c r="Y2003">
        <v>29</v>
      </c>
      <c r="Z2003">
        <v>9</v>
      </c>
      <c r="AA2003">
        <v>3</v>
      </c>
      <c r="AB2003">
        <v>7</v>
      </c>
      <c r="AD2003">
        <v>5</v>
      </c>
      <c r="AE2003">
        <v>0</v>
      </c>
      <c r="AF2003">
        <v>0</v>
      </c>
      <c r="AG2003">
        <v>1</v>
      </c>
      <c r="AI2003">
        <v>0</v>
      </c>
      <c r="AJ2003">
        <v>11</v>
      </c>
      <c r="AK2003">
        <v>386</v>
      </c>
      <c r="AL2003">
        <v>386</v>
      </c>
      <c r="AM2003">
        <v>536</v>
      </c>
      <c r="AN2003">
        <v>44</v>
      </c>
      <c r="AP2003">
        <v>1</v>
      </c>
      <c r="AR2003" t="s">
        <v>2094</v>
      </c>
      <c r="AS2003" s="1">
        <v>44354.586111111108</v>
      </c>
      <c r="AT2003" s="1">
        <v>44354.588796296295</v>
      </c>
      <c r="AU2003" s="1">
        <v>44354.589467592596</v>
      </c>
      <c r="AV2003" t="s">
        <v>71</v>
      </c>
      <c r="AW2003" t="s">
        <v>72</v>
      </c>
      <c r="AX2003" t="s">
        <v>73</v>
      </c>
    </row>
    <row r="2004" spans="1:50" x14ac:dyDescent="0.3">
      <c r="A2004" t="str">
        <f>"201091E0100"</f>
        <v>201091E0100</v>
      </c>
      <c r="B2004" t="str">
        <f>"201091E01002"</f>
        <v>201091E01002</v>
      </c>
      <c r="C2004" t="str">
        <f t="shared" si="98"/>
        <v>20</v>
      </c>
      <c r="D2004" t="s">
        <v>67</v>
      </c>
      <c r="E2004" t="str">
        <f t="shared" si="97"/>
        <v>009</v>
      </c>
      <c r="F2004" t="s">
        <v>2003</v>
      </c>
      <c r="G2004" t="str">
        <f>"1091"</f>
        <v>1091</v>
      </c>
      <c r="H2004" t="str">
        <f>"0001"</f>
        <v>0001</v>
      </c>
      <c r="I2004" t="s">
        <v>109</v>
      </c>
      <c r="J2004">
        <v>0</v>
      </c>
      <c r="K2004">
        <v>1</v>
      </c>
      <c r="L2004">
        <v>2</v>
      </c>
      <c r="M2004">
        <v>168</v>
      </c>
      <c r="N2004">
        <v>271</v>
      </c>
      <c r="O2004">
        <v>3</v>
      </c>
      <c r="P2004">
        <v>271</v>
      </c>
      <c r="Q2004">
        <v>6</v>
      </c>
      <c r="R2004">
        <v>36</v>
      </c>
      <c r="S2004">
        <v>4</v>
      </c>
      <c r="T2004">
        <v>32</v>
      </c>
      <c r="U2004">
        <v>9</v>
      </c>
      <c r="V2004">
        <v>9</v>
      </c>
      <c r="W2004">
        <v>11</v>
      </c>
      <c r="X2004">
        <v>103</v>
      </c>
      <c r="Y2004">
        <v>19</v>
      </c>
      <c r="Z2004">
        <v>3</v>
      </c>
      <c r="AA2004">
        <v>4</v>
      </c>
      <c r="AB2004">
        <v>13</v>
      </c>
      <c r="AD2004">
        <v>5</v>
      </c>
      <c r="AE2004">
        <v>0</v>
      </c>
      <c r="AF2004">
        <v>1</v>
      </c>
      <c r="AG2004">
        <v>0</v>
      </c>
      <c r="AI2004">
        <v>0</v>
      </c>
      <c r="AJ2004">
        <v>16</v>
      </c>
      <c r="AK2004">
        <v>271</v>
      </c>
      <c r="AL2004">
        <v>271</v>
      </c>
      <c r="AM2004">
        <v>395</v>
      </c>
      <c r="AN2004">
        <v>44</v>
      </c>
      <c r="AP2004">
        <v>1</v>
      </c>
      <c r="AR2004" t="s">
        <v>2095</v>
      </c>
      <c r="AS2004" s="1">
        <v>44354.588194444441</v>
      </c>
      <c r="AT2004" s="1">
        <v>44354.591273148151</v>
      </c>
      <c r="AU2004" s="1">
        <v>44354.591990740744</v>
      </c>
      <c r="AV2004" t="s">
        <v>71</v>
      </c>
      <c r="AW2004" t="s">
        <v>72</v>
      </c>
      <c r="AX2004" t="s">
        <v>73</v>
      </c>
    </row>
    <row r="2005" spans="1:50" x14ac:dyDescent="0.3">
      <c r="A2005" t="str">
        <f>"201092B0000"</f>
        <v>201092B0000</v>
      </c>
      <c r="B2005" t="str">
        <f>"201092B00002"</f>
        <v>201092B00002</v>
      </c>
      <c r="C2005" t="str">
        <f t="shared" si="98"/>
        <v>20</v>
      </c>
      <c r="D2005" t="s">
        <v>67</v>
      </c>
      <c r="E2005" t="str">
        <f t="shared" si="97"/>
        <v>009</v>
      </c>
      <c r="F2005" t="s">
        <v>2003</v>
      </c>
      <c r="G2005" t="str">
        <f>"1092"</f>
        <v>1092</v>
      </c>
      <c r="H2005" t="str">
        <f>"0000"</f>
        <v>0000</v>
      </c>
      <c r="I2005" t="s">
        <v>69</v>
      </c>
      <c r="J2005">
        <v>0</v>
      </c>
      <c r="K2005">
        <v>1</v>
      </c>
      <c r="L2005">
        <v>2</v>
      </c>
      <c r="M2005">
        <v>141</v>
      </c>
      <c r="N2005">
        <v>198</v>
      </c>
      <c r="O2005">
        <v>0</v>
      </c>
      <c r="P2005">
        <v>202</v>
      </c>
      <c r="Q2005">
        <v>6</v>
      </c>
      <c r="R2005">
        <v>24</v>
      </c>
      <c r="S2005">
        <v>2</v>
      </c>
      <c r="T2005">
        <v>32</v>
      </c>
      <c r="U2005">
        <v>51</v>
      </c>
      <c r="V2005">
        <v>12</v>
      </c>
      <c r="W2005">
        <v>2</v>
      </c>
      <c r="X2005">
        <v>43</v>
      </c>
      <c r="Y2005">
        <v>16</v>
      </c>
      <c r="Z2005">
        <v>2</v>
      </c>
      <c r="AA2005">
        <v>1</v>
      </c>
      <c r="AB2005">
        <v>2</v>
      </c>
      <c r="AD2005">
        <v>5</v>
      </c>
      <c r="AE2005">
        <v>0</v>
      </c>
      <c r="AF2005">
        <v>0</v>
      </c>
      <c r="AG2005">
        <v>0</v>
      </c>
      <c r="AI2005">
        <v>0</v>
      </c>
      <c r="AJ2005">
        <v>4</v>
      </c>
      <c r="AK2005">
        <v>202</v>
      </c>
      <c r="AL2005">
        <v>202</v>
      </c>
      <c r="AM2005">
        <v>299</v>
      </c>
      <c r="AN2005">
        <v>44</v>
      </c>
      <c r="AP2005">
        <v>1</v>
      </c>
      <c r="AR2005" t="s">
        <v>2096</v>
      </c>
      <c r="AS2005" s="1">
        <v>44354.588888888888</v>
      </c>
      <c r="AT2005" s="1">
        <v>44354.591516203705</v>
      </c>
      <c r="AU2005" s="1">
        <v>44354.592638888891</v>
      </c>
      <c r="AV2005" t="s">
        <v>71</v>
      </c>
      <c r="AW2005" t="s">
        <v>72</v>
      </c>
      <c r="AX2005" t="s">
        <v>73</v>
      </c>
    </row>
    <row r="2006" spans="1:50" x14ac:dyDescent="0.3">
      <c r="A2006" t="str">
        <f>"201092E0100"</f>
        <v>201092E0100</v>
      </c>
      <c r="B2006" t="str">
        <f>"201092E01002"</f>
        <v>201092E01002</v>
      </c>
      <c r="C2006" t="str">
        <f t="shared" si="98"/>
        <v>20</v>
      </c>
      <c r="D2006" t="s">
        <v>67</v>
      </c>
      <c r="E2006" t="str">
        <f t="shared" si="97"/>
        <v>009</v>
      </c>
      <c r="F2006" t="s">
        <v>2003</v>
      </c>
      <c r="G2006" t="str">
        <f>"1092"</f>
        <v>1092</v>
      </c>
      <c r="H2006" t="str">
        <f>"0001"</f>
        <v>0001</v>
      </c>
      <c r="I2006" t="s">
        <v>109</v>
      </c>
      <c r="J2006">
        <v>0</v>
      </c>
      <c r="K2006">
        <v>1</v>
      </c>
      <c r="L2006">
        <v>2</v>
      </c>
      <c r="M2006">
        <v>106</v>
      </c>
      <c r="N2006">
        <v>151</v>
      </c>
      <c r="O2006">
        <v>6</v>
      </c>
      <c r="P2006">
        <v>151</v>
      </c>
      <c r="Q2006">
        <v>4</v>
      </c>
      <c r="R2006">
        <v>50</v>
      </c>
      <c r="S2006">
        <v>9</v>
      </c>
      <c r="T2006">
        <v>5</v>
      </c>
      <c r="U2006">
        <v>21</v>
      </c>
      <c r="V2006">
        <v>5</v>
      </c>
      <c r="W2006">
        <v>6</v>
      </c>
      <c r="X2006">
        <v>17</v>
      </c>
      <c r="Y2006">
        <v>12</v>
      </c>
      <c r="Z2006">
        <v>4</v>
      </c>
      <c r="AA2006">
        <v>1</v>
      </c>
      <c r="AB2006">
        <v>1</v>
      </c>
      <c r="AD2006">
        <v>2</v>
      </c>
      <c r="AE2006">
        <v>1</v>
      </c>
      <c r="AF2006">
        <v>0</v>
      </c>
      <c r="AG2006">
        <v>0</v>
      </c>
      <c r="AI2006">
        <v>0</v>
      </c>
      <c r="AJ2006">
        <v>13</v>
      </c>
      <c r="AK2006">
        <v>151</v>
      </c>
      <c r="AL2006">
        <v>151</v>
      </c>
      <c r="AM2006">
        <v>386</v>
      </c>
      <c r="AN2006">
        <v>44</v>
      </c>
      <c r="AP2006">
        <v>1</v>
      </c>
      <c r="AR2006" t="s">
        <v>2097</v>
      </c>
      <c r="AS2006" s="1">
        <v>44354.680555555555</v>
      </c>
      <c r="AT2006" s="1">
        <v>44354.688125000001</v>
      </c>
      <c r="AU2006" s="1">
        <v>44354.689074074071</v>
      </c>
      <c r="AV2006" t="s">
        <v>71</v>
      </c>
      <c r="AW2006" t="s">
        <v>72</v>
      </c>
      <c r="AX2006" t="s">
        <v>347</v>
      </c>
    </row>
    <row r="2007" spans="1:50" x14ac:dyDescent="0.3">
      <c r="A2007" t="str">
        <f>"201092E0200"</f>
        <v>201092E0200</v>
      </c>
      <c r="B2007" t="str">
        <f>"201092E02002"</f>
        <v>201092E02002</v>
      </c>
      <c r="C2007" t="str">
        <f t="shared" si="98"/>
        <v>20</v>
      </c>
      <c r="D2007" t="s">
        <v>67</v>
      </c>
      <c r="E2007" t="str">
        <f t="shared" si="97"/>
        <v>009</v>
      </c>
      <c r="F2007" t="s">
        <v>2003</v>
      </c>
      <c r="G2007" t="str">
        <f>"1092"</f>
        <v>1092</v>
      </c>
      <c r="H2007" t="str">
        <f>"0002"</f>
        <v>0002</v>
      </c>
      <c r="I2007" t="s">
        <v>109</v>
      </c>
      <c r="J2007">
        <v>0</v>
      </c>
      <c r="K2007">
        <v>1</v>
      </c>
      <c r="L2007">
        <v>2</v>
      </c>
      <c r="AM2007">
        <v>213</v>
      </c>
      <c r="AN2007">
        <v>44</v>
      </c>
      <c r="AO2007" t="s">
        <v>143</v>
      </c>
      <c r="AP2007">
        <v>0</v>
      </c>
      <c r="AR2007" t="s">
        <v>2098</v>
      </c>
      <c r="AS2007" s="1">
        <v>44354.71597222222</v>
      </c>
      <c r="AT2007" s="1">
        <v>44354.719652777778</v>
      </c>
      <c r="AU2007" s="1">
        <v>44354.719652777778</v>
      </c>
      <c r="AV2007" t="s">
        <v>71</v>
      </c>
      <c r="AW2007" t="s">
        <v>72</v>
      </c>
      <c r="AX2007" t="s">
        <v>73</v>
      </c>
    </row>
    <row r="2008" spans="1:50" x14ac:dyDescent="0.3">
      <c r="A2008" t="str">
        <f>"201093B0000"</f>
        <v>201093B0000</v>
      </c>
      <c r="B2008" t="str">
        <f>"201093B00002"</f>
        <v>201093B00002</v>
      </c>
      <c r="C2008" t="str">
        <f t="shared" si="98"/>
        <v>20</v>
      </c>
      <c r="D2008" t="s">
        <v>67</v>
      </c>
      <c r="E2008" t="str">
        <f t="shared" si="97"/>
        <v>009</v>
      </c>
      <c r="F2008" t="s">
        <v>2003</v>
      </c>
      <c r="G2008" t="str">
        <f>"1093"</f>
        <v>1093</v>
      </c>
      <c r="H2008" t="str">
        <f>"0000"</f>
        <v>0000</v>
      </c>
      <c r="I2008" t="s">
        <v>69</v>
      </c>
      <c r="J2008">
        <v>0</v>
      </c>
      <c r="K2008">
        <v>1</v>
      </c>
      <c r="L2008">
        <v>2</v>
      </c>
      <c r="M2008" t="s">
        <v>80</v>
      </c>
      <c r="N2008" t="s">
        <v>80</v>
      </c>
      <c r="O2008" t="s">
        <v>80</v>
      </c>
      <c r="P2008" t="s">
        <v>80</v>
      </c>
      <c r="Q2008">
        <v>15</v>
      </c>
      <c r="R2008">
        <v>128</v>
      </c>
      <c r="S2008">
        <v>5</v>
      </c>
      <c r="T2008">
        <v>24</v>
      </c>
      <c r="U2008">
        <v>16</v>
      </c>
      <c r="V2008">
        <v>26</v>
      </c>
      <c r="W2008">
        <v>16</v>
      </c>
      <c r="X2008">
        <v>58</v>
      </c>
      <c r="Y2008">
        <v>17</v>
      </c>
      <c r="Z2008">
        <v>6</v>
      </c>
      <c r="AA2008">
        <v>0</v>
      </c>
      <c r="AB2008">
        <v>5</v>
      </c>
      <c r="AD2008">
        <v>2</v>
      </c>
      <c r="AE2008">
        <v>2</v>
      </c>
      <c r="AF2008">
        <v>0</v>
      </c>
      <c r="AG2008">
        <v>1</v>
      </c>
      <c r="AI2008" t="s">
        <v>77</v>
      </c>
      <c r="AJ2008" t="s">
        <v>77</v>
      </c>
      <c r="AK2008" t="s">
        <v>77</v>
      </c>
      <c r="AL2008">
        <v>321</v>
      </c>
      <c r="AM2008">
        <v>630</v>
      </c>
      <c r="AN2008">
        <v>44</v>
      </c>
      <c r="AO2008" t="s">
        <v>78</v>
      </c>
      <c r="AP2008">
        <v>1</v>
      </c>
      <c r="AR2008" t="s">
        <v>2099</v>
      </c>
      <c r="AS2008" s="1">
        <v>44354.591666666667</v>
      </c>
      <c r="AT2008" s="1">
        <v>44354.594606481478</v>
      </c>
      <c r="AU2008" s="1">
        <v>44354.597604166665</v>
      </c>
      <c r="AV2008" t="s">
        <v>71</v>
      </c>
      <c r="AW2008" t="s">
        <v>72</v>
      </c>
      <c r="AX2008" t="s">
        <v>73</v>
      </c>
    </row>
    <row r="2009" spans="1:50" x14ac:dyDescent="0.3">
      <c r="A2009" t="str">
        <f>"201093E0100"</f>
        <v>201093E0100</v>
      </c>
      <c r="B2009" t="str">
        <f>"201093E01002"</f>
        <v>201093E01002</v>
      </c>
      <c r="C2009" t="str">
        <f t="shared" si="98"/>
        <v>20</v>
      </c>
      <c r="D2009" t="s">
        <v>67</v>
      </c>
      <c r="E2009" t="str">
        <f t="shared" si="97"/>
        <v>009</v>
      </c>
      <c r="F2009" t="s">
        <v>2003</v>
      </c>
      <c r="G2009" t="str">
        <f>"1093"</f>
        <v>1093</v>
      </c>
      <c r="H2009" t="str">
        <f>"0001"</f>
        <v>0001</v>
      </c>
      <c r="I2009" t="s">
        <v>109</v>
      </c>
      <c r="J2009">
        <v>0</v>
      </c>
      <c r="K2009">
        <v>1</v>
      </c>
      <c r="L2009">
        <v>2</v>
      </c>
      <c r="M2009">
        <v>94</v>
      </c>
      <c r="N2009">
        <v>117</v>
      </c>
      <c r="O2009">
        <v>4</v>
      </c>
      <c r="P2009">
        <v>117</v>
      </c>
      <c r="Q2009">
        <v>8</v>
      </c>
      <c r="R2009">
        <v>32</v>
      </c>
      <c r="S2009">
        <v>1</v>
      </c>
      <c r="T2009">
        <v>22</v>
      </c>
      <c r="U2009">
        <v>9</v>
      </c>
      <c r="V2009">
        <v>4</v>
      </c>
      <c r="W2009">
        <v>8</v>
      </c>
      <c r="X2009">
        <v>6</v>
      </c>
      <c r="Y2009">
        <v>8</v>
      </c>
      <c r="Z2009">
        <v>5</v>
      </c>
      <c r="AA2009">
        <v>3</v>
      </c>
      <c r="AB2009">
        <v>0</v>
      </c>
      <c r="AD2009">
        <v>0</v>
      </c>
      <c r="AE2009">
        <v>1</v>
      </c>
      <c r="AF2009">
        <v>0</v>
      </c>
      <c r="AG2009">
        <v>0</v>
      </c>
      <c r="AI2009">
        <v>4</v>
      </c>
      <c r="AJ2009">
        <v>6</v>
      </c>
      <c r="AK2009">
        <v>117</v>
      </c>
      <c r="AL2009">
        <v>117</v>
      </c>
      <c r="AM2009">
        <v>167</v>
      </c>
      <c r="AN2009">
        <v>44</v>
      </c>
      <c r="AP2009">
        <v>1</v>
      </c>
      <c r="AR2009" t="s">
        <v>2100</v>
      </c>
      <c r="AS2009" s="1">
        <v>44354.364583333336</v>
      </c>
      <c r="AT2009" s="1">
        <v>44354.367094907408</v>
      </c>
      <c r="AU2009" s="1">
        <v>44354.367650462962</v>
      </c>
      <c r="AV2009" t="s">
        <v>71</v>
      </c>
      <c r="AW2009" t="s">
        <v>72</v>
      </c>
      <c r="AX2009" t="s">
        <v>73</v>
      </c>
    </row>
    <row r="2010" spans="1:50" x14ac:dyDescent="0.3">
      <c r="A2010" t="str">
        <f>"201094B0000"</f>
        <v>201094B0000</v>
      </c>
      <c r="B2010" t="str">
        <f>"201094B00002"</f>
        <v>201094B00002</v>
      </c>
      <c r="C2010" t="str">
        <f t="shared" si="98"/>
        <v>20</v>
      </c>
      <c r="D2010" t="s">
        <v>67</v>
      </c>
      <c r="E2010" t="str">
        <f t="shared" si="97"/>
        <v>009</v>
      </c>
      <c r="F2010" t="s">
        <v>2003</v>
      </c>
      <c r="G2010" t="str">
        <f>"1094"</f>
        <v>1094</v>
      </c>
      <c r="H2010" t="str">
        <f>"0000"</f>
        <v>0000</v>
      </c>
      <c r="I2010" t="s">
        <v>69</v>
      </c>
      <c r="J2010">
        <v>0</v>
      </c>
      <c r="K2010">
        <v>1</v>
      </c>
      <c r="L2010">
        <v>2</v>
      </c>
      <c r="M2010">
        <v>161</v>
      </c>
      <c r="N2010">
        <v>411</v>
      </c>
      <c r="O2010">
        <v>0</v>
      </c>
      <c r="P2010">
        <v>411</v>
      </c>
      <c r="Q2010">
        <v>7</v>
      </c>
      <c r="R2010">
        <v>52</v>
      </c>
      <c r="S2010">
        <v>4</v>
      </c>
      <c r="T2010">
        <v>33</v>
      </c>
      <c r="U2010">
        <v>36</v>
      </c>
      <c r="V2010">
        <v>5</v>
      </c>
      <c r="W2010">
        <v>10</v>
      </c>
      <c r="X2010">
        <v>169</v>
      </c>
      <c r="Y2010">
        <v>36</v>
      </c>
      <c r="Z2010">
        <v>33</v>
      </c>
      <c r="AA2010">
        <v>5</v>
      </c>
      <c r="AB2010">
        <v>4</v>
      </c>
      <c r="AD2010">
        <v>0</v>
      </c>
      <c r="AE2010">
        <v>0</v>
      </c>
      <c r="AF2010">
        <v>0</v>
      </c>
      <c r="AG2010">
        <v>0</v>
      </c>
      <c r="AI2010">
        <v>0</v>
      </c>
      <c r="AJ2010">
        <v>7</v>
      </c>
      <c r="AK2010">
        <v>411</v>
      </c>
      <c r="AL2010">
        <v>401</v>
      </c>
      <c r="AM2010">
        <v>528</v>
      </c>
      <c r="AN2010">
        <v>44</v>
      </c>
      <c r="AP2010">
        <v>1</v>
      </c>
      <c r="AR2010" t="s">
        <v>2101</v>
      </c>
      <c r="AS2010" s="1">
        <v>44354.566666666666</v>
      </c>
      <c r="AT2010" s="1">
        <v>44354.570173611108</v>
      </c>
      <c r="AU2010" s="1">
        <v>44354.571180555555</v>
      </c>
      <c r="AV2010" t="s">
        <v>71</v>
      </c>
      <c r="AW2010" t="s">
        <v>72</v>
      </c>
      <c r="AX2010" t="s">
        <v>73</v>
      </c>
    </row>
    <row r="2011" spans="1:50" x14ac:dyDescent="0.3">
      <c r="A2011" t="str">
        <f>"201094C0100"</f>
        <v>201094C0100</v>
      </c>
      <c r="B2011" t="str">
        <f>"201094C01002"</f>
        <v>201094C01002</v>
      </c>
      <c r="C2011" t="str">
        <f t="shared" si="98"/>
        <v>20</v>
      </c>
      <c r="D2011" t="s">
        <v>67</v>
      </c>
      <c r="E2011" t="str">
        <f t="shared" si="97"/>
        <v>009</v>
      </c>
      <c r="F2011" t="s">
        <v>2003</v>
      </c>
      <c r="G2011" t="str">
        <f>"1094"</f>
        <v>1094</v>
      </c>
      <c r="H2011" t="str">
        <f>"0001"</f>
        <v>0001</v>
      </c>
      <c r="I2011" t="s">
        <v>75</v>
      </c>
      <c r="J2011">
        <v>0</v>
      </c>
      <c r="K2011">
        <v>1</v>
      </c>
      <c r="L2011">
        <v>2</v>
      </c>
      <c r="M2011">
        <v>183</v>
      </c>
      <c r="N2011">
        <v>389</v>
      </c>
      <c r="O2011">
        <v>3</v>
      </c>
      <c r="P2011">
        <v>389</v>
      </c>
      <c r="Q2011">
        <v>16</v>
      </c>
      <c r="R2011">
        <v>51</v>
      </c>
      <c r="S2011">
        <v>6</v>
      </c>
      <c r="T2011">
        <v>37</v>
      </c>
      <c r="U2011">
        <v>19</v>
      </c>
      <c r="V2011">
        <v>1</v>
      </c>
      <c r="W2011">
        <v>6</v>
      </c>
      <c r="X2011">
        <v>173</v>
      </c>
      <c r="Y2011">
        <v>33</v>
      </c>
      <c r="Z2011">
        <v>17</v>
      </c>
      <c r="AA2011">
        <v>5</v>
      </c>
      <c r="AB2011">
        <v>8</v>
      </c>
      <c r="AD2011">
        <v>2</v>
      </c>
      <c r="AE2011">
        <v>0</v>
      </c>
      <c r="AF2011">
        <v>0</v>
      </c>
      <c r="AG2011">
        <v>0</v>
      </c>
      <c r="AI2011">
        <v>0</v>
      </c>
      <c r="AJ2011">
        <v>15</v>
      </c>
      <c r="AK2011">
        <v>389</v>
      </c>
      <c r="AL2011">
        <v>389</v>
      </c>
      <c r="AM2011">
        <v>528</v>
      </c>
      <c r="AN2011">
        <v>44</v>
      </c>
      <c r="AP2011">
        <v>1</v>
      </c>
      <c r="AR2011" t="s">
        <v>2102</v>
      </c>
      <c r="AS2011" s="1">
        <v>44354.574305555558</v>
      </c>
      <c r="AT2011" s="1">
        <v>44354.577962962961</v>
      </c>
      <c r="AU2011" s="1">
        <v>44354.578692129631</v>
      </c>
      <c r="AV2011" t="s">
        <v>71</v>
      </c>
      <c r="AW2011" t="s">
        <v>72</v>
      </c>
      <c r="AX2011" t="s">
        <v>73</v>
      </c>
    </row>
    <row r="2012" spans="1:50" x14ac:dyDescent="0.3">
      <c r="A2012" t="str">
        <f>"201095B0000"</f>
        <v>201095B0000</v>
      </c>
      <c r="B2012" t="str">
        <f>"201095B00002"</f>
        <v>201095B00002</v>
      </c>
      <c r="C2012" t="str">
        <f t="shared" si="98"/>
        <v>20</v>
      </c>
      <c r="D2012" t="s">
        <v>67</v>
      </c>
      <c r="E2012" t="str">
        <f t="shared" si="97"/>
        <v>009</v>
      </c>
      <c r="F2012" t="s">
        <v>2003</v>
      </c>
      <c r="G2012" t="str">
        <f>"1095"</f>
        <v>1095</v>
      </c>
      <c r="H2012" t="str">
        <f>"0000"</f>
        <v>0000</v>
      </c>
      <c r="I2012" t="s">
        <v>69</v>
      </c>
      <c r="J2012">
        <v>0</v>
      </c>
      <c r="K2012">
        <v>1</v>
      </c>
      <c r="L2012">
        <v>2</v>
      </c>
      <c r="M2012">
        <v>240</v>
      </c>
      <c r="N2012">
        <v>414</v>
      </c>
      <c r="O2012">
        <v>0</v>
      </c>
      <c r="P2012">
        <v>414</v>
      </c>
      <c r="Q2012">
        <v>12</v>
      </c>
      <c r="R2012">
        <v>62</v>
      </c>
      <c r="S2012">
        <v>10</v>
      </c>
      <c r="T2012">
        <v>38</v>
      </c>
      <c r="U2012">
        <v>54</v>
      </c>
      <c r="V2012">
        <v>3</v>
      </c>
      <c r="W2012">
        <v>9</v>
      </c>
      <c r="X2012">
        <v>158</v>
      </c>
      <c r="Y2012">
        <v>27</v>
      </c>
      <c r="Z2012">
        <v>6</v>
      </c>
      <c r="AA2012">
        <v>1</v>
      </c>
      <c r="AB2012">
        <v>10</v>
      </c>
      <c r="AD2012">
        <v>2</v>
      </c>
      <c r="AE2012">
        <v>0</v>
      </c>
      <c r="AF2012">
        <v>0</v>
      </c>
      <c r="AG2012">
        <v>0</v>
      </c>
      <c r="AI2012">
        <v>0</v>
      </c>
      <c r="AJ2012">
        <v>22</v>
      </c>
      <c r="AK2012">
        <v>414</v>
      </c>
      <c r="AL2012">
        <v>414</v>
      </c>
      <c r="AM2012">
        <v>610</v>
      </c>
      <c r="AN2012">
        <v>44</v>
      </c>
      <c r="AP2012">
        <v>1</v>
      </c>
      <c r="AR2012" t="s">
        <v>2103</v>
      </c>
      <c r="AS2012" s="1">
        <v>44354.572222222225</v>
      </c>
      <c r="AT2012" s="1">
        <v>44354.574965277781</v>
      </c>
      <c r="AU2012" s="1">
        <v>44354.575775462959</v>
      </c>
      <c r="AV2012" t="s">
        <v>71</v>
      </c>
      <c r="AW2012" t="s">
        <v>72</v>
      </c>
      <c r="AX2012" t="s">
        <v>73</v>
      </c>
    </row>
    <row r="2013" spans="1:50" x14ac:dyDescent="0.3">
      <c r="A2013" t="str">
        <f>"201095E0100"</f>
        <v>201095E0100</v>
      </c>
      <c r="B2013" t="str">
        <f>"201095E01002"</f>
        <v>201095E01002</v>
      </c>
      <c r="C2013" t="str">
        <f t="shared" si="98"/>
        <v>20</v>
      </c>
      <c r="D2013" t="s">
        <v>67</v>
      </c>
      <c r="E2013" t="str">
        <f t="shared" si="97"/>
        <v>009</v>
      </c>
      <c r="F2013" t="s">
        <v>2003</v>
      </c>
      <c r="G2013" t="str">
        <f>"1095"</f>
        <v>1095</v>
      </c>
      <c r="H2013" t="str">
        <f>"0001"</f>
        <v>0001</v>
      </c>
      <c r="I2013" t="s">
        <v>109</v>
      </c>
      <c r="J2013">
        <v>0</v>
      </c>
      <c r="K2013">
        <v>1</v>
      </c>
      <c r="L2013">
        <v>2</v>
      </c>
      <c r="AM2013">
        <v>359</v>
      </c>
      <c r="AN2013">
        <v>44</v>
      </c>
      <c r="AO2013" t="s">
        <v>143</v>
      </c>
      <c r="AP2013">
        <v>0</v>
      </c>
      <c r="AR2013" t="s">
        <v>2104</v>
      </c>
      <c r="AS2013" s="1">
        <v>44354.71597222222</v>
      </c>
      <c r="AT2013" s="1">
        <v>44354.719085648147</v>
      </c>
      <c r="AU2013" s="1">
        <v>44354.719085648147</v>
      </c>
      <c r="AV2013" t="s">
        <v>71</v>
      </c>
      <c r="AW2013" t="s">
        <v>72</v>
      </c>
      <c r="AX2013" t="s">
        <v>73</v>
      </c>
    </row>
    <row r="2014" spans="1:50" x14ac:dyDescent="0.3">
      <c r="A2014" t="str">
        <f>"201095E0200"</f>
        <v>201095E0200</v>
      </c>
      <c r="B2014" t="str">
        <f>"201095E02002"</f>
        <v>201095E02002</v>
      </c>
      <c r="C2014" t="str">
        <f t="shared" si="98"/>
        <v>20</v>
      </c>
      <c r="D2014" t="s">
        <v>67</v>
      </c>
      <c r="E2014" t="str">
        <f t="shared" si="97"/>
        <v>009</v>
      </c>
      <c r="F2014" t="s">
        <v>2003</v>
      </c>
      <c r="G2014" t="str">
        <f>"1095"</f>
        <v>1095</v>
      </c>
      <c r="H2014" t="str">
        <f>"0002"</f>
        <v>0002</v>
      </c>
      <c r="I2014" t="s">
        <v>109</v>
      </c>
      <c r="J2014">
        <v>0</v>
      </c>
      <c r="K2014">
        <v>1</v>
      </c>
      <c r="L2014">
        <v>2</v>
      </c>
      <c r="M2014">
        <v>143</v>
      </c>
      <c r="N2014">
        <v>200</v>
      </c>
      <c r="O2014">
        <v>3</v>
      </c>
      <c r="P2014">
        <v>200</v>
      </c>
      <c r="Q2014">
        <v>4</v>
      </c>
      <c r="R2014">
        <v>3</v>
      </c>
      <c r="S2014">
        <v>0</v>
      </c>
      <c r="T2014">
        <v>11</v>
      </c>
      <c r="U2014">
        <v>4</v>
      </c>
      <c r="V2014">
        <v>2</v>
      </c>
      <c r="W2014">
        <v>8</v>
      </c>
      <c r="X2014">
        <v>113</v>
      </c>
      <c r="Y2014">
        <v>26</v>
      </c>
      <c r="Z2014">
        <v>2</v>
      </c>
      <c r="AA2014">
        <v>0</v>
      </c>
      <c r="AB2014">
        <v>22</v>
      </c>
      <c r="AD2014">
        <v>0</v>
      </c>
      <c r="AE2014">
        <v>0</v>
      </c>
      <c r="AF2014">
        <v>0</v>
      </c>
      <c r="AG2014">
        <v>0</v>
      </c>
      <c r="AI2014">
        <v>0</v>
      </c>
      <c r="AJ2014">
        <v>5</v>
      </c>
      <c r="AK2014">
        <v>200</v>
      </c>
      <c r="AL2014">
        <v>200</v>
      </c>
      <c r="AM2014">
        <v>299</v>
      </c>
      <c r="AN2014">
        <v>44</v>
      </c>
      <c r="AP2014">
        <v>1</v>
      </c>
      <c r="AR2014" t="s">
        <v>2105</v>
      </c>
      <c r="AS2014" s="1">
        <v>44354.572916666664</v>
      </c>
      <c r="AT2014" s="1">
        <v>44354.576099537036</v>
      </c>
      <c r="AU2014" s="1">
        <v>44354.576585648145</v>
      </c>
      <c r="AV2014" t="s">
        <v>71</v>
      </c>
      <c r="AW2014" t="s">
        <v>72</v>
      </c>
      <c r="AX2014" t="s">
        <v>73</v>
      </c>
    </row>
    <row r="2015" spans="1:50" x14ac:dyDescent="0.3">
      <c r="A2015" t="str">
        <f>"201096B0000"</f>
        <v>201096B0000</v>
      </c>
      <c r="B2015" t="str">
        <f>"201096B00002"</f>
        <v>201096B00002</v>
      </c>
      <c r="C2015" t="str">
        <f t="shared" si="98"/>
        <v>20</v>
      </c>
      <c r="D2015" t="s">
        <v>67</v>
      </c>
      <c r="E2015" t="str">
        <f t="shared" si="97"/>
        <v>009</v>
      </c>
      <c r="F2015" t="s">
        <v>2003</v>
      </c>
      <c r="G2015" t="str">
        <f>"1096"</f>
        <v>1096</v>
      </c>
      <c r="H2015" t="str">
        <f>"0000"</f>
        <v>0000</v>
      </c>
      <c r="I2015" t="s">
        <v>69</v>
      </c>
      <c r="J2015">
        <v>0</v>
      </c>
      <c r="K2015">
        <v>1</v>
      </c>
      <c r="L2015">
        <v>2</v>
      </c>
      <c r="M2015">
        <v>199</v>
      </c>
      <c r="N2015">
        <v>462</v>
      </c>
      <c r="O2015">
        <v>11</v>
      </c>
      <c r="P2015">
        <v>462</v>
      </c>
      <c r="Q2015">
        <v>12</v>
      </c>
      <c r="R2015">
        <v>88</v>
      </c>
      <c r="S2015">
        <v>12</v>
      </c>
      <c r="T2015">
        <v>132</v>
      </c>
      <c r="U2015">
        <v>3</v>
      </c>
      <c r="V2015">
        <v>10</v>
      </c>
      <c r="W2015">
        <v>14</v>
      </c>
      <c r="X2015">
        <v>122</v>
      </c>
      <c r="Y2015">
        <v>43</v>
      </c>
      <c r="Z2015">
        <v>7</v>
      </c>
      <c r="AA2015">
        <v>1</v>
      </c>
      <c r="AB2015">
        <v>2</v>
      </c>
      <c r="AD2015">
        <v>4</v>
      </c>
      <c r="AE2015">
        <v>0</v>
      </c>
      <c r="AF2015">
        <v>0</v>
      </c>
      <c r="AG2015">
        <v>0</v>
      </c>
      <c r="AI2015">
        <v>0</v>
      </c>
      <c r="AJ2015">
        <v>12</v>
      </c>
      <c r="AK2015">
        <v>462</v>
      </c>
      <c r="AL2015">
        <v>462</v>
      </c>
      <c r="AM2015">
        <v>618</v>
      </c>
      <c r="AN2015">
        <v>44</v>
      </c>
      <c r="AP2015">
        <v>1</v>
      </c>
      <c r="AR2015" t="s">
        <v>2106</v>
      </c>
      <c r="AS2015" s="1">
        <v>44354.586805555555</v>
      </c>
      <c r="AT2015" s="1">
        <v>44354.591331018521</v>
      </c>
      <c r="AU2015" s="1">
        <v>44354.592152777775</v>
      </c>
      <c r="AV2015" t="s">
        <v>71</v>
      </c>
      <c r="AW2015" t="s">
        <v>72</v>
      </c>
      <c r="AX2015" t="s">
        <v>73</v>
      </c>
    </row>
    <row r="2016" spans="1:50" x14ac:dyDescent="0.3">
      <c r="A2016" t="str">
        <f>"201097B0000"</f>
        <v>201097B0000</v>
      </c>
      <c r="B2016" t="str">
        <f>"201097B00002"</f>
        <v>201097B00002</v>
      </c>
      <c r="C2016" t="str">
        <f t="shared" si="98"/>
        <v>20</v>
      </c>
      <c r="D2016" t="s">
        <v>67</v>
      </c>
      <c r="E2016" t="str">
        <f t="shared" si="97"/>
        <v>009</v>
      </c>
      <c r="F2016" t="s">
        <v>2003</v>
      </c>
      <c r="G2016" t="str">
        <f>"1097"</f>
        <v>1097</v>
      </c>
      <c r="H2016" t="str">
        <f>"0000"</f>
        <v>0000</v>
      </c>
      <c r="I2016" t="s">
        <v>69</v>
      </c>
      <c r="J2016">
        <v>0</v>
      </c>
      <c r="K2016">
        <v>1</v>
      </c>
      <c r="L2016">
        <v>2</v>
      </c>
      <c r="M2016">
        <v>184</v>
      </c>
      <c r="N2016">
        <v>394</v>
      </c>
      <c r="O2016">
        <v>10</v>
      </c>
      <c r="P2016">
        <v>394</v>
      </c>
      <c r="Q2016">
        <v>3</v>
      </c>
      <c r="R2016">
        <v>45</v>
      </c>
      <c r="S2016">
        <v>22</v>
      </c>
      <c r="T2016">
        <v>23</v>
      </c>
      <c r="U2016">
        <v>39</v>
      </c>
      <c r="V2016">
        <v>37</v>
      </c>
      <c r="W2016">
        <v>44</v>
      </c>
      <c r="X2016">
        <v>92</v>
      </c>
      <c r="Y2016">
        <v>27</v>
      </c>
      <c r="Z2016">
        <v>44</v>
      </c>
      <c r="AA2016">
        <v>3</v>
      </c>
      <c r="AB2016">
        <v>2</v>
      </c>
      <c r="AD2016">
        <v>1</v>
      </c>
      <c r="AE2016">
        <v>0</v>
      </c>
      <c r="AF2016">
        <v>0</v>
      </c>
      <c r="AG2016">
        <v>0</v>
      </c>
      <c r="AI2016">
        <v>0</v>
      </c>
      <c r="AJ2016">
        <v>12</v>
      </c>
      <c r="AK2016">
        <v>394</v>
      </c>
      <c r="AL2016">
        <v>394</v>
      </c>
      <c r="AM2016">
        <v>534</v>
      </c>
      <c r="AN2016">
        <v>44</v>
      </c>
      <c r="AP2016">
        <v>1</v>
      </c>
      <c r="AR2016" t="s">
        <v>2107</v>
      </c>
      <c r="AS2016" s="1">
        <v>44354.580555555556</v>
      </c>
      <c r="AT2016" s="1">
        <v>44354.582499999997</v>
      </c>
      <c r="AU2016" s="1">
        <v>44354.583310185182</v>
      </c>
      <c r="AV2016" t="s">
        <v>71</v>
      </c>
      <c r="AW2016" t="s">
        <v>72</v>
      </c>
      <c r="AX2016" t="s">
        <v>73</v>
      </c>
    </row>
    <row r="2017" spans="1:50" x14ac:dyDescent="0.3">
      <c r="A2017" t="str">
        <f>"201098B0000"</f>
        <v>201098B0000</v>
      </c>
      <c r="B2017" t="str">
        <f>"201098B00002"</f>
        <v>201098B00002</v>
      </c>
      <c r="C2017" t="str">
        <f t="shared" si="98"/>
        <v>20</v>
      </c>
      <c r="D2017" t="s">
        <v>67</v>
      </c>
      <c r="E2017" t="str">
        <f t="shared" si="97"/>
        <v>009</v>
      </c>
      <c r="F2017" t="s">
        <v>2003</v>
      </c>
      <c r="G2017" t="str">
        <f>"1098"</f>
        <v>1098</v>
      </c>
      <c r="H2017" t="str">
        <f>"0000"</f>
        <v>0000</v>
      </c>
      <c r="I2017" t="s">
        <v>69</v>
      </c>
      <c r="J2017">
        <v>0</v>
      </c>
      <c r="K2017">
        <v>1</v>
      </c>
      <c r="L2017">
        <v>2</v>
      </c>
      <c r="M2017">
        <v>227</v>
      </c>
      <c r="N2017">
        <v>433</v>
      </c>
      <c r="O2017">
        <v>10</v>
      </c>
      <c r="P2017">
        <v>433</v>
      </c>
      <c r="Q2017">
        <v>8</v>
      </c>
      <c r="R2017">
        <v>58</v>
      </c>
      <c r="S2017">
        <v>7</v>
      </c>
      <c r="T2017">
        <v>37</v>
      </c>
      <c r="U2017">
        <v>21</v>
      </c>
      <c r="V2017">
        <v>8</v>
      </c>
      <c r="W2017">
        <v>71</v>
      </c>
      <c r="X2017">
        <v>153</v>
      </c>
      <c r="Y2017">
        <v>14</v>
      </c>
      <c r="Z2017">
        <v>26</v>
      </c>
      <c r="AA2017">
        <v>2</v>
      </c>
      <c r="AB2017">
        <v>13</v>
      </c>
      <c r="AD2017">
        <v>3</v>
      </c>
      <c r="AE2017">
        <v>1</v>
      </c>
      <c r="AF2017">
        <v>0</v>
      </c>
      <c r="AG2017">
        <v>0</v>
      </c>
      <c r="AI2017">
        <v>0</v>
      </c>
      <c r="AJ2017">
        <v>11</v>
      </c>
      <c r="AK2017">
        <v>433</v>
      </c>
      <c r="AL2017">
        <v>433</v>
      </c>
      <c r="AM2017">
        <v>616</v>
      </c>
      <c r="AN2017">
        <v>44</v>
      </c>
      <c r="AP2017">
        <v>1</v>
      </c>
      <c r="AR2017" t="s">
        <v>2108</v>
      </c>
      <c r="AS2017" s="1">
        <v>44354.574999999997</v>
      </c>
      <c r="AT2017" s="1">
        <v>44354.578356481485</v>
      </c>
      <c r="AU2017" s="1">
        <v>44354.579143518517</v>
      </c>
      <c r="AV2017" t="s">
        <v>71</v>
      </c>
      <c r="AW2017" t="s">
        <v>72</v>
      </c>
      <c r="AX2017" t="s">
        <v>73</v>
      </c>
    </row>
    <row r="2018" spans="1:50" x14ac:dyDescent="0.3">
      <c r="A2018" t="str">
        <f>"201106B0000"</f>
        <v>201106B0000</v>
      </c>
      <c r="B2018" t="str">
        <f>"201106B00002"</f>
        <v>201106B00002</v>
      </c>
      <c r="C2018" t="str">
        <f t="shared" si="98"/>
        <v>20</v>
      </c>
      <c r="D2018" t="s">
        <v>67</v>
      </c>
      <c r="E2018" t="str">
        <f t="shared" si="97"/>
        <v>009</v>
      </c>
      <c r="F2018" t="s">
        <v>2003</v>
      </c>
      <c r="G2018" t="str">
        <f>"1106"</f>
        <v>1106</v>
      </c>
      <c r="H2018" t="str">
        <f>"0000"</f>
        <v>0000</v>
      </c>
      <c r="I2018" t="s">
        <v>69</v>
      </c>
      <c r="J2018">
        <v>0</v>
      </c>
      <c r="K2018">
        <v>1</v>
      </c>
      <c r="L2018">
        <v>2</v>
      </c>
      <c r="M2018">
        <v>148</v>
      </c>
      <c r="N2018">
        <v>130</v>
      </c>
      <c r="O2018">
        <v>0</v>
      </c>
      <c r="P2018">
        <v>130</v>
      </c>
      <c r="Q2018">
        <v>3</v>
      </c>
      <c r="R2018">
        <v>37</v>
      </c>
      <c r="S2018">
        <v>3</v>
      </c>
      <c r="T2018">
        <v>0</v>
      </c>
      <c r="U2018">
        <v>3</v>
      </c>
      <c r="V2018">
        <v>1</v>
      </c>
      <c r="W2018">
        <v>1</v>
      </c>
      <c r="X2018">
        <v>74</v>
      </c>
      <c r="Y2018">
        <v>0</v>
      </c>
      <c r="Z2018">
        <v>2</v>
      </c>
      <c r="AA2018">
        <v>0</v>
      </c>
      <c r="AB2018">
        <v>1</v>
      </c>
      <c r="AD2018">
        <v>0</v>
      </c>
      <c r="AE2018">
        <v>0</v>
      </c>
      <c r="AF2018">
        <v>0</v>
      </c>
      <c r="AG2018">
        <v>0</v>
      </c>
      <c r="AI2018">
        <v>0</v>
      </c>
      <c r="AJ2018">
        <v>5</v>
      </c>
      <c r="AK2018">
        <v>130</v>
      </c>
      <c r="AL2018">
        <v>130</v>
      </c>
      <c r="AM2018">
        <v>234</v>
      </c>
      <c r="AN2018">
        <v>44</v>
      </c>
      <c r="AP2018">
        <v>1</v>
      </c>
      <c r="AR2018" t="s">
        <v>2109</v>
      </c>
      <c r="AS2018" s="1">
        <v>44354.006249999999</v>
      </c>
      <c r="AT2018" s="1">
        <v>44354.012395833335</v>
      </c>
      <c r="AU2018" s="1">
        <v>44354.013020833336</v>
      </c>
      <c r="AV2018" t="s">
        <v>71</v>
      </c>
      <c r="AW2018" t="s">
        <v>72</v>
      </c>
      <c r="AX2018" t="s">
        <v>73</v>
      </c>
    </row>
    <row r="2019" spans="1:50" x14ac:dyDescent="0.3">
      <c r="A2019" t="str">
        <f>"201131B0000"</f>
        <v>201131B0000</v>
      </c>
      <c r="B2019" t="str">
        <f>"201131B00002"</f>
        <v>201131B00002</v>
      </c>
      <c r="C2019" t="str">
        <f t="shared" si="98"/>
        <v>20</v>
      </c>
      <c r="D2019" t="s">
        <v>67</v>
      </c>
      <c r="E2019" t="str">
        <f t="shared" si="97"/>
        <v>009</v>
      </c>
      <c r="F2019" t="s">
        <v>2003</v>
      </c>
      <c r="G2019" t="str">
        <f>"1131"</f>
        <v>1131</v>
      </c>
      <c r="H2019" t="str">
        <f>"0000"</f>
        <v>0000</v>
      </c>
      <c r="I2019" t="s">
        <v>69</v>
      </c>
      <c r="J2019">
        <v>0</v>
      </c>
      <c r="K2019">
        <v>1</v>
      </c>
      <c r="L2019">
        <v>2</v>
      </c>
      <c r="M2019">
        <v>255</v>
      </c>
      <c r="N2019">
        <v>246</v>
      </c>
      <c r="O2019">
        <v>6</v>
      </c>
      <c r="P2019">
        <v>246</v>
      </c>
      <c r="Q2019">
        <v>15</v>
      </c>
      <c r="R2019">
        <v>42</v>
      </c>
      <c r="S2019">
        <v>3</v>
      </c>
      <c r="T2019">
        <v>25</v>
      </c>
      <c r="U2019">
        <v>13</v>
      </c>
      <c r="V2019">
        <v>2</v>
      </c>
      <c r="W2019">
        <v>0</v>
      </c>
      <c r="X2019">
        <v>93</v>
      </c>
      <c r="Y2019">
        <v>12</v>
      </c>
      <c r="Z2019">
        <v>4</v>
      </c>
      <c r="AA2019">
        <v>1</v>
      </c>
      <c r="AB2019">
        <v>7</v>
      </c>
      <c r="AD2019">
        <v>6</v>
      </c>
      <c r="AE2019">
        <v>2</v>
      </c>
      <c r="AF2019">
        <v>0</v>
      </c>
      <c r="AG2019">
        <v>0</v>
      </c>
      <c r="AI2019">
        <v>0</v>
      </c>
      <c r="AJ2019">
        <v>21</v>
      </c>
      <c r="AK2019">
        <v>246</v>
      </c>
      <c r="AL2019">
        <v>246</v>
      </c>
      <c r="AM2019">
        <v>457</v>
      </c>
      <c r="AN2019">
        <v>44</v>
      </c>
      <c r="AP2019">
        <v>1</v>
      </c>
      <c r="AR2019" t="s">
        <v>2110</v>
      </c>
      <c r="AS2019" s="1">
        <v>44354.664583333331</v>
      </c>
      <c r="AT2019" s="1">
        <v>44354.666585648149</v>
      </c>
      <c r="AU2019" s="1">
        <v>44354.667280092595</v>
      </c>
      <c r="AV2019" t="s">
        <v>71</v>
      </c>
      <c r="AW2019" t="s">
        <v>72</v>
      </c>
      <c r="AX2019" t="s">
        <v>73</v>
      </c>
    </row>
    <row r="2020" spans="1:50" x14ac:dyDescent="0.3">
      <c r="A2020" t="str">
        <f>"201131C0100"</f>
        <v>201131C0100</v>
      </c>
      <c r="B2020" t="str">
        <f>"201131C01002"</f>
        <v>201131C01002</v>
      </c>
      <c r="C2020" t="str">
        <f t="shared" si="98"/>
        <v>20</v>
      </c>
      <c r="D2020" t="s">
        <v>67</v>
      </c>
      <c r="E2020" t="str">
        <f t="shared" si="97"/>
        <v>009</v>
      </c>
      <c r="F2020" t="s">
        <v>2003</v>
      </c>
      <c r="G2020" t="str">
        <f>"1131"</f>
        <v>1131</v>
      </c>
      <c r="H2020" t="str">
        <f>"0001"</f>
        <v>0001</v>
      </c>
      <c r="I2020" t="s">
        <v>75</v>
      </c>
      <c r="J2020">
        <v>0</v>
      </c>
      <c r="K2020">
        <v>1</v>
      </c>
      <c r="L2020">
        <v>2</v>
      </c>
      <c r="M2020">
        <v>277</v>
      </c>
      <c r="N2020">
        <v>224</v>
      </c>
      <c r="O2020">
        <v>0</v>
      </c>
      <c r="P2020">
        <v>224</v>
      </c>
      <c r="Q2020">
        <v>13</v>
      </c>
      <c r="R2020">
        <v>34</v>
      </c>
      <c r="S2020">
        <v>3</v>
      </c>
      <c r="T2020">
        <v>24</v>
      </c>
      <c r="U2020">
        <v>6</v>
      </c>
      <c r="V2020">
        <v>0</v>
      </c>
      <c r="W2020">
        <v>0</v>
      </c>
      <c r="X2020">
        <v>108</v>
      </c>
      <c r="Y2020">
        <v>5</v>
      </c>
      <c r="Z2020">
        <v>6</v>
      </c>
      <c r="AA2020">
        <v>0</v>
      </c>
      <c r="AB2020">
        <v>7</v>
      </c>
      <c r="AD2020">
        <v>2</v>
      </c>
      <c r="AE2020">
        <v>1</v>
      </c>
      <c r="AF2020">
        <v>2</v>
      </c>
      <c r="AG2020">
        <v>0</v>
      </c>
      <c r="AI2020">
        <v>0</v>
      </c>
      <c r="AJ2020">
        <v>13</v>
      </c>
      <c r="AK2020">
        <v>224</v>
      </c>
      <c r="AL2020">
        <v>224</v>
      </c>
      <c r="AM2020">
        <v>457</v>
      </c>
      <c r="AN2020">
        <v>44</v>
      </c>
      <c r="AP2020">
        <v>1</v>
      </c>
      <c r="AR2020" t="s">
        <v>2111</v>
      </c>
      <c r="AS2020" s="1">
        <v>44354.069444444445</v>
      </c>
      <c r="AT2020" s="1">
        <v>44354.076249999998</v>
      </c>
      <c r="AU2020" s="1">
        <v>44354.077048611114</v>
      </c>
      <c r="AV2020" t="s">
        <v>71</v>
      </c>
      <c r="AW2020" t="s">
        <v>72</v>
      </c>
      <c r="AX2020" t="s">
        <v>73</v>
      </c>
    </row>
    <row r="2021" spans="1:50" x14ac:dyDescent="0.3">
      <c r="A2021" t="str">
        <f>"201132B0000"</f>
        <v>201132B0000</v>
      </c>
      <c r="B2021" t="str">
        <f>"201132B00002"</f>
        <v>201132B00002</v>
      </c>
      <c r="C2021" t="str">
        <f t="shared" si="98"/>
        <v>20</v>
      </c>
      <c r="D2021" t="s">
        <v>67</v>
      </c>
      <c r="E2021" t="str">
        <f t="shared" si="97"/>
        <v>009</v>
      </c>
      <c r="F2021" t="s">
        <v>2003</v>
      </c>
      <c r="G2021" t="str">
        <f>"1132"</f>
        <v>1132</v>
      </c>
      <c r="H2021" t="str">
        <f>"0000"</f>
        <v>0000</v>
      </c>
      <c r="I2021" t="s">
        <v>69</v>
      </c>
      <c r="J2021">
        <v>0</v>
      </c>
      <c r="K2021">
        <v>1</v>
      </c>
      <c r="L2021">
        <v>2</v>
      </c>
      <c r="M2021">
        <v>344</v>
      </c>
      <c r="N2021">
        <v>251</v>
      </c>
      <c r="O2021">
        <v>0</v>
      </c>
      <c r="P2021">
        <v>251</v>
      </c>
      <c r="Q2021">
        <v>17</v>
      </c>
      <c r="R2021">
        <v>49</v>
      </c>
      <c r="S2021">
        <v>4</v>
      </c>
      <c r="T2021">
        <v>20</v>
      </c>
      <c r="U2021">
        <v>7</v>
      </c>
      <c r="V2021">
        <v>2</v>
      </c>
      <c r="W2021">
        <v>0</v>
      </c>
      <c r="X2021">
        <v>125</v>
      </c>
      <c r="Y2021">
        <v>3</v>
      </c>
      <c r="Z2021">
        <v>2</v>
      </c>
      <c r="AA2021">
        <v>0</v>
      </c>
      <c r="AB2021">
        <v>7</v>
      </c>
      <c r="AD2021">
        <v>4</v>
      </c>
      <c r="AE2021">
        <v>2</v>
      </c>
      <c r="AF2021">
        <v>0</v>
      </c>
      <c r="AG2021">
        <v>1</v>
      </c>
      <c r="AI2021" t="s">
        <v>77</v>
      </c>
      <c r="AJ2021" t="s">
        <v>77</v>
      </c>
      <c r="AK2021">
        <v>251</v>
      </c>
      <c r="AL2021">
        <v>243</v>
      </c>
      <c r="AM2021">
        <v>551</v>
      </c>
      <c r="AN2021">
        <v>44</v>
      </c>
      <c r="AO2021" t="s">
        <v>78</v>
      </c>
      <c r="AP2021">
        <v>1</v>
      </c>
      <c r="AR2021" t="s">
        <v>2112</v>
      </c>
      <c r="AS2021" s="1">
        <v>44354.071527777778</v>
      </c>
      <c r="AT2021" s="1">
        <v>44354.079641203702</v>
      </c>
      <c r="AU2021" s="1">
        <v>44354.08079861111</v>
      </c>
      <c r="AV2021" t="s">
        <v>71</v>
      </c>
      <c r="AW2021" t="s">
        <v>72</v>
      </c>
      <c r="AX2021" t="s">
        <v>73</v>
      </c>
    </row>
    <row r="2022" spans="1:50" x14ac:dyDescent="0.3">
      <c r="A2022" t="str">
        <f>"201132C0100"</f>
        <v>201132C0100</v>
      </c>
      <c r="B2022" t="str">
        <f>"201132C01002"</f>
        <v>201132C01002</v>
      </c>
      <c r="C2022" t="str">
        <f t="shared" si="98"/>
        <v>20</v>
      </c>
      <c r="D2022" t="s">
        <v>67</v>
      </c>
      <c r="E2022" t="str">
        <f t="shared" si="97"/>
        <v>009</v>
      </c>
      <c r="F2022" t="s">
        <v>2003</v>
      </c>
      <c r="G2022" t="str">
        <f>"1132"</f>
        <v>1132</v>
      </c>
      <c r="H2022" t="str">
        <f>"0001"</f>
        <v>0001</v>
      </c>
      <c r="I2022" t="s">
        <v>75</v>
      </c>
      <c r="J2022">
        <v>0</v>
      </c>
      <c r="K2022">
        <v>1</v>
      </c>
      <c r="L2022">
        <v>2</v>
      </c>
      <c r="M2022">
        <v>369</v>
      </c>
      <c r="N2022">
        <v>226</v>
      </c>
      <c r="O2022">
        <v>0</v>
      </c>
      <c r="P2022">
        <v>226</v>
      </c>
      <c r="Q2022">
        <v>6</v>
      </c>
      <c r="R2022">
        <v>37</v>
      </c>
      <c r="S2022">
        <v>3</v>
      </c>
      <c r="T2022">
        <v>18</v>
      </c>
      <c r="U2022">
        <v>10</v>
      </c>
      <c r="V2022">
        <v>2</v>
      </c>
      <c r="W2022">
        <v>1</v>
      </c>
      <c r="X2022">
        <v>116</v>
      </c>
      <c r="Y2022">
        <v>7</v>
      </c>
      <c r="Z2022">
        <v>3</v>
      </c>
      <c r="AA2022">
        <v>1</v>
      </c>
      <c r="AB2022">
        <v>10</v>
      </c>
      <c r="AD2022">
        <v>1</v>
      </c>
      <c r="AE2022">
        <v>1</v>
      </c>
      <c r="AF2022">
        <v>0</v>
      </c>
      <c r="AG2022">
        <v>1</v>
      </c>
      <c r="AI2022">
        <v>0</v>
      </c>
      <c r="AJ2022">
        <v>9</v>
      </c>
      <c r="AK2022">
        <v>226</v>
      </c>
      <c r="AL2022">
        <v>226</v>
      </c>
      <c r="AM2022">
        <v>551</v>
      </c>
      <c r="AN2022">
        <v>44</v>
      </c>
      <c r="AP2022">
        <v>1</v>
      </c>
      <c r="AR2022" t="s">
        <v>2113</v>
      </c>
      <c r="AS2022" s="1">
        <v>44354.070138888892</v>
      </c>
      <c r="AT2022" s="1">
        <v>44354.078611111108</v>
      </c>
      <c r="AU2022" s="1">
        <v>44354.079444444447</v>
      </c>
      <c r="AV2022" t="s">
        <v>71</v>
      </c>
      <c r="AW2022" t="s">
        <v>72</v>
      </c>
      <c r="AX2022" t="s">
        <v>73</v>
      </c>
    </row>
    <row r="2023" spans="1:50" x14ac:dyDescent="0.3">
      <c r="A2023" t="str">
        <f>"201136B0000"</f>
        <v>201136B0000</v>
      </c>
      <c r="B2023" t="str">
        <f>"201136B00002"</f>
        <v>201136B00002</v>
      </c>
      <c r="C2023" t="str">
        <f t="shared" si="98"/>
        <v>20</v>
      </c>
      <c r="D2023" t="s">
        <v>67</v>
      </c>
      <c r="E2023" t="str">
        <f t="shared" si="97"/>
        <v>009</v>
      </c>
      <c r="F2023" t="s">
        <v>2003</v>
      </c>
      <c r="G2023" t="str">
        <f>"1136"</f>
        <v>1136</v>
      </c>
      <c r="H2023" t="str">
        <f>"0000"</f>
        <v>0000</v>
      </c>
      <c r="I2023" t="s">
        <v>69</v>
      </c>
      <c r="J2023">
        <v>0</v>
      </c>
      <c r="K2023">
        <v>1</v>
      </c>
      <c r="L2023">
        <v>2</v>
      </c>
      <c r="M2023">
        <v>193</v>
      </c>
      <c r="N2023">
        <v>187</v>
      </c>
      <c r="O2023">
        <v>0</v>
      </c>
      <c r="P2023">
        <v>187</v>
      </c>
      <c r="Q2023">
        <v>11</v>
      </c>
      <c r="R2023">
        <v>18</v>
      </c>
      <c r="S2023">
        <v>11</v>
      </c>
      <c r="T2023">
        <v>1</v>
      </c>
      <c r="U2023">
        <v>8</v>
      </c>
      <c r="V2023">
        <v>2</v>
      </c>
      <c r="W2023">
        <v>2</v>
      </c>
      <c r="X2023">
        <v>109</v>
      </c>
      <c r="Y2023">
        <v>0</v>
      </c>
      <c r="Z2023">
        <v>4</v>
      </c>
      <c r="AA2023">
        <v>1</v>
      </c>
      <c r="AB2023">
        <v>9</v>
      </c>
      <c r="AD2023">
        <v>1</v>
      </c>
      <c r="AE2023">
        <v>1</v>
      </c>
      <c r="AF2023">
        <v>0</v>
      </c>
      <c r="AG2023">
        <v>0</v>
      </c>
      <c r="AI2023">
        <v>0</v>
      </c>
      <c r="AJ2023">
        <v>9</v>
      </c>
      <c r="AK2023">
        <v>187</v>
      </c>
      <c r="AL2023">
        <v>187</v>
      </c>
      <c r="AM2023">
        <v>336</v>
      </c>
      <c r="AN2023">
        <v>44</v>
      </c>
      <c r="AP2023">
        <v>1</v>
      </c>
      <c r="AR2023" t="s">
        <v>2114</v>
      </c>
      <c r="AS2023" s="1">
        <v>44354.044444444444</v>
      </c>
      <c r="AT2023" s="1">
        <v>44354.052430555559</v>
      </c>
      <c r="AU2023" s="1">
        <v>44354.053020833337</v>
      </c>
      <c r="AV2023" t="s">
        <v>71</v>
      </c>
      <c r="AW2023" t="s">
        <v>72</v>
      </c>
      <c r="AX2023" t="s">
        <v>73</v>
      </c>
    </row>
    <row r="2024" spans="1:50" x14ac:dyDescent="0.3">
      <c r="A2024" t="str">
        <f>"201168B0000"</f>
        <v>201168B0000</v>
      </c>
      <c r="B2024" t="str">
        <f>"201168B00002"</f>
        <v>201168B00002</v>
      </c>
      <c r="C2024" t="str">
        <f t="shared" si="98"/>
        <v>20</v>
      </c>
      <c r="D2024" t="s">
        <v>67</v>
      </c>
      <c r="E2024" t="str">
        <f t="shared" si="97"/>
        <v>009</v>
      </c>
      <c r="F2024" t="s">
        <v>2003</v>
      </c>
      <c r="G2024" t="str">
        <f>"1168"</f>
        <v>1168</v>
      </c>
      <c r="H2024" t="str">
        <f>"0000"</f>
        <v>0000</v>
      </c>
      <c r="I2024" t="s">
        <v>69</v>
      </c>
      <c r="J2024">
        <v>0</v>
      </c>
      <c r="K2024">
        <v>1</v>
      </c>
      <c r="L2024">
        <v>2</v>
      </c>
      <c r="AM2024">
        <v>577</v>
      </c>
      <c r="AN2024">
        <v>44</v>
      </c>
      <c r="AO2024" t="s">
        <v>143</v>
      </c>
      <c r="AP2024">
        <v>0</v>
      </c>
      <c r="AR2024" t="s">
        <v>2115</v>
      </c>
      <c r="AS2024" s="1">
        <v>44354.71597222222</v>
      </c>
      <c r="AT2024" s="1">
        <v>44354.718252314815</v>
      </c>
      <c r="AU2024" s="1">
        <v>44354.718252314815</v>
      </c>
      <c r="AV2024" t="s">
        <v>71</v>
      </c>
      <c r="AW2024" t="s">
        <v>72</v>
      </c>
      <c r="AX2024" t="s">
        <v>73</v>
      </c>
    </row>
    <row r="2025" spans="1:50" x14ac:dyDescent="0.3">
      <c r="A2025" t="str">
        <f>"201169B0000"</f>
        <v>201169B0000</v>
      </c>
      <c r="B2025" t="str">
        <f>"201169B00002"</f>
        <v>201169B00002</v>
      </c>
      <c r="C2025" t="str">
        <f t="shared" si="98"/>
        <v>20</v>
      </c>
      <c r="D2025" t="s">
        <v>67</v>
      </c>
      <c r="E2025" t="str">
        <f t="shared" si="97"/>
        <v>009</v>
      </c>
      <c r="F2025" t="s">
        <v>2003</v>
      </c>
      <c r="G2025" t="str">
        <f>"1169"</f>
        <v>1169</v>
      </c>
      <c r="H2025" t="str">
        <f>"0000"</f>
        <v>0000</v>
      </c>
      <c r="I2025" t="s">
        <v>69</v>
      </c>
      <c r="J2025">
        <v>0</v>
      </c>
      <c r="K2025">
        <v>1</v>
      </c>
      <c r="L2025">
        <v>2</v>
      </c>
      <c r="M2025">
        <v>291</v>
      </c>
      <c r="N2025">
        <v>202</v>
      </c>
      <c r="O2025">
        <v>0</v>
      </c>
      <c r="P2025">
        <v>202</v>
      </c>
      <c r="Q2025">
        <v>3</v>
      </c>
      <c r="R2025">
        <v>17</v>
      </c>
      <c r="S2025">
        <v>15</v>
      </c>
      <c r="T2025">
        <v>6</v>
      </c>
      <c r="U2025">
        <v>18</v>
      </c>
      <c r="V2025">
        <v>2</v>
      </c>
      <c r="W2025">
        <v>0</v>
      </c>
      <c r="X2025">
        <v>115</v>
      </c>
      <c r="Y2025">
        <v>0</v>
      </c>
      <c r="Z2025">
        <v>4</v>
      </c>
      <c r="AA2025">
        <v>2</v>
      </c>
      <c r="AB2025">
        <v>0</v>
      </c>
      <c r="AD2025">
        <v>0</v>
      </c>
      <c r="AE2025">
        <v>0</v>
      </c>
      <c r="AF2025">
        <v>0</v>
      </c>
      <c r="AG2025">
        <v>0</v>
      </c>
      <c r="AI2025">
        <v>0</v>
      </c>
      <c r="AJ2025">
        <v>20</v>
      </c>
      <c r="AK2025">
        <v>202</v>
      </c>
      <c r="AL2025">
        <v>202</v>
      </c>
      <c r="AM2025">
        <v>449</v>
      </c>
      <c r="AN2025">
        <v>44</v>
      </c>
      <c r="AP2025">
        <v>1</v>
      </c>
      <c r="AR2025" t="s">
        <v>2116</v>
      </c>
      <c r="AS2025" s="1">
        <v>44354.128472222219</v>
      </c>
      <c r="AT2025" s="1">
        <v>44354.13113425926</v>
      </c>
      <c r="AU2025" s="1">
        <v>44354.131620370368</v>
      </c>
      <c r="AV2025" t="s">
        <v>71</v>
      </c>
      <c r="AW2025" t="s">
        <v>72</v>
      </c>
      <c r="AX2025" t="s">
        <v>73</v>
      </c>
    </row>
    <row r="2026" spans="1:50" x14ac:dyDescent="0.3">
      <c r="A2026" t="str">
        <f>"201169E0100"</f>
        <v>201169E0100</v>
      </c>
      <c r="B2026" t="str">
        <f>"201169E01002"</f>
        <v>201169E01002</v>
      </c>
      <c r="C2026" t="str">
        <f t="shared" si="98"/>
        <v>20</v>
      </c>
      <c r="D2026" t="s">
        <v>67</v>
      </c>
      <c r="E2026" t="str">
        <f t="shared" si="97"/>
        <v>009</v>
      </c>
      <c r="F2026" t="s">
        <v>2003</v>
      </c>
      <c r="G2026" t="str">
        <f>"1169"</f>
        <v>1169</v>
      </c>
      <c r="H2026" t="str">
        <f>"0001"</f>
        <v>0001</v>
      </c>
      <c r="I2026" t="s">
        <v>109</v>
      </c>
      <c r="J2026">
        <v>0</v>
      </c>
      <c r="K2026">
        <v>1</v>
      </c>
      <c r="L2026">
        <v>2</v>
      </c>
      <c r="M2026">
        <v>200</v>
      </c>
      <c r="N2026">
        <v>186</v>
      </c>
      <c r="O2026">
        <v>0</v>
      </c>
      <c r="P2026">
        <v>186</v>
      </c>
      <c r="Q2026">
        <v>6</v>
      </c>
      <c r="R2026">
        <v>27</v>
      </c>
      <c r="S2026">
        <v>4</v>
      </c>
      <c r="T2026">
        <v>4</v>
      </c>
      <c r="U2026">
        <v>5</v>
      </c>
      <c r="V2026">
        <v>5</v>
      </c>
      <c r="W2026">
        <v>4</v>
      </c>
      <c r="X2026">
        <v>117</v>
      </c>
      <c r="Y2026">
        <v>0</v>
      </c>
      <c r="Z2026">
        <v>3</v>
      </c>
      <c r="AA2026" t="s">
        <v>77</v>
      </c>
      <c r="AB2026">
        <v>1</v>
      </c>
      <c r="AD2026">
        <v>0</v>
      </c>
      <c r="AE2026">
        <v>0</v>
      </c>
      <c r="AF2026">
        <v>0</v>
      </c>
      <c r="AG2026">
        <v>0</v>
      </c>
      <c r="AI2026">
        <v>0</v>
      </c>
      <c r="AJ2026">
        <v>10</v>
      </c>
      <c r="AK2026">
        <v>0</v>
      </c>
      <c r="AL2026">
        <v>186</v>
      </c>
      <c r="AM2026">
        <v>384</v>
      </c>
      <c r="AN2026">
        <v>44</v>
      </c>
      <c r="AO2026" t="s">
        <v>78</v>
      </c>
      <c r="AP2026">
        <v>1</v>
      </c>
      <c r="AR2026" t="s">
        <v>2117</v>
      </c>
      <c r="AS2026" s="1">
        <v>44353.975694444445</v>
      </c>
      <c r="AT2026" s="1">
        <v>44353.978032407409</v>
      </c>
      <c r="AU2026" s="1">
        <v>44353.978912037041</v>
      </c>
      <c r="AV2026" t="s">
        <v>71</v>
      </c>
      <c r="AW2026" t="s">
        <v>72</v>
      </c>
      <c r="AX2026" t="s">
        <v>73</v>
      </c>
    </row>
    <row r="2027" spans="1:50" x14ac:dyDescent="0.3">
      <c r="A2027" t="str">
        <f>"201213B0000"</f>
        <v>201213B0000</v>
      </c>
      <c r="B2027" t="str">
        <f>"201213B00002"</f>
        <v>201213B00002</v>
      </c>
      <c r="C2027" t="str">
        <f t="shared" si="98"/>
        <v>20</v>
      </c>
      <c r="D2027" t="s">
        <v>67</v>
      </c>
      <c r="E2027" t="str">
        <f t="shared" si="97"/>
        <v>009</v>
      </c>
      <c r="F2027" t="s">
        <v>2003</v>
      </c>
      <c r="G2027" t="str">
        <f>"1213"</f>
        <v>1213</v>
      </c>
      <c r="H2027" t="str">
        <f>"0000"</f>
        <v>0000</v>
      </c>
      <c r="I2027" t="s">
        <v>69</v>
      </c>
      <c r="J2027">
        <v>0</v>
      </c>
      <c r="K2027">
        <v>1</v>
      </c>
      <c r="L2027">
        <v>2</v>
      </c>
      <c r="M2027">
        <v>294</v>
      </c>
      <c r="N2027">
        <v>202</v>
      </c>
      <c r="O2027">
        <v>0</v>
      </c>
      <c r="P2027">
        <v>202</v>
      </c>
      <c r="Q2027">
        <v>1</v>
      </c>
      <c r="R2027">
        <v>57</v>
      </c>
      <c r="S2027">
        <v>3</v>
      </c>
      <c r="T2027">
        <v>3</v>
      </c>
      <c r="U2027">
        <v>19</v>
      </c>
      <c r="V2027">
        <v>1</v>
      </c>
      <c r="W2027">
        <v>3</v>
      </c>
      <c r="X2027">
        <v>95</v>
      </c>
      <c r="Y2027">
        <v>0</v>
      </c>
      <c r="Z2027">
        <v>1</v>
      </c>
      <c r="AA2027">
        <v>1</v>
      </c>
      <c r="AB2027">
        <v>1</v>
      </c>
      <c r="AD2027">
        <v>1</v>
      </c>
      <c r="AE2027">
        <v>0</v>
      </c>
      <c r="AF2027">
        <v>1</v>
      </c>
      <c r="AG2027">
        <v>0</v>
      </c>
      <c r="AI2027">
        <v>0</v>
      </c>
      <c r="AJ2027">
        <v>15</v>
      </c>
      <c r="AK2027">
        <v>202</v>
      </c>
      <c r="AL2027">
        <v>202</v>
      </c>
      <c r="AM2027">
        <v>452</v>
      </c>
      <c r="AN2027">
        <v>44</v>
      </c>
      <c r="AP2027">
        <v>1</v>
      </c>
      <c r="AR2027" t="s">
        <v>2118</v>
      </c>
      <c r="AS2027" s="1">
        <v>44354.411111111112</v>
      </c>
      <c r="AT2027" s="1">
        <v>44354.412905092591</v>
      </c>
      <c r="AU2027" s="1">
        <v>44354.413437499999</v>
      </c>
      <c r="AV2027" t="s">
        <v>71</v>
      </c>
      <c r="AW2027" t="s">
        <v>72</v>
      </c>
      <c r="AX2027" t="s">
        <v>73</v>
      </c>
    </row>
    <row r="2028" spans="1:50" x14ac:dyDescent="0.3">
      <c r="A2028" t="str">
        <f>"201213C0100"</f>
        <v>201213C0100</v>
      </c>
      <c r="B2028" t="str">
        <f>"201213C01002"</f>
        <v>201213C01002</v>
      </c>
      <c r="C2028" t="str">
        <f t="shared" si="98"/>
        <v>20</v>
      </c>
      <c r="D2028" t="s">
        <v>67</v>
      </c>
      <c r="E2028" t="str">
        <f t="shared" si="97"/>
        <v>009</v>
      </c>
      <c r="F2028" t="s">
        <v>2003</v>
      </c>
      <c r="G2028" t="str">
        <f>"1213"</f>
        <v>1213</v>
      </c>
      <c r="H2028" t="str">
        <f>"0001"</f>
        <v>0001</v>
      </c>
      <c r="I2028" t="s">
        <v>75</v>
      </c>
      <c r="J2028">
        <v>0</v>
      </c>
      <c r="K2028">
        <v>1</v>
      </c>
      <c r="L2028">
        <v>2</v>
      </c>
      <c r="M2028">
        <v>251</v>
      </c>
      <c r="N2028">
        <v>243</v>
      </c>
      <c r="O2028">
        <v>0</v>
      </c>
      <c r="P2028">
        <v>243</v>
      </c>
      <c r="Q2028">
        <v>1</v>
      </c>
      <c r="R2028">
        <v>63</v>
      </c>
      <c r="S2028">
        <v>6</v>
      </c>
      <c r="T2028">
        <v>5</v>
      </c>
      <c r="U2028">
        <v>19</v>
      </c>
      <c r="V2028">
        <v>1</v>
      </c>
      <c r="W2028">
        <v>2</v>
      </c>
      <c r="X2028">
        <v>119</v>
      </c>
      <c r="Y2028">
        <v>0</v>
      </c>
      <c r="Z2028">
        <v>5</v>
      </c>
      <c r="AA2028">
        <v>0</v>
      </c>
      <c r="AB2028">
        <v>6</v>
      </c>
      <c r="AD2028">
        <v>1</v>
      </c>
      <c r="AE2028">
        <v>0</v>
      </c>
      <c r="AF2028">
        <v>0</v>
      </c>
      <c r="AG2028">
        <v>0</v>
      </c>
      <c r="AI2028">
        <v>0</v>
      </c>
      <c r="AJ2028">
        <v>15</v>
      </c>
      <c r="AK2028">
        <v>243</v>
      </c>
      <c r="AL2028">
        <v>243</v>
      </c>
      <c r="AM2028">
        <v>451</v>
      </c>
      <c r="AN2028">
        <v>44</v>
      </c>
      <c r="AP2028">
        <v>1</v>
      </c>
      <c r="AR2028" t="s">
        <v>2119</v>
      </c>
      <c r="AS2028" s="1">
        <v>44354.412499999999</v>
      </c>
      <c r="AT2028" s="1">
        <v>44354.414305555554</v>
      </c>
      <c r="AU2028" s="1">
        <v>44354.414965277778</v>
      </c>
      <c r="AV2028" t="s">
        <v>71</v>
      </c>
      <c r="AW2028" t="s">
        <v>72</v>
      </c>
      <c r="AX2028" t="s">
        <v>73</v>
      </c>
    </row>
    <row r="2029" spans="1:50" x14ac:dyDescent="0.3">
      <c r="A2029" t="str">
        <f>"201214B0000"</f>
        <v>201214B0000</v>
      </c>
      <c r="B2029" t="str">
        <f>"201214B00002"</f>
        <v>201214B00002</v>
      </c>
      <c r="C2029" t="str">
        <f t="shared" si="98"/>
        <v>20</v>
      </c>
      <c r="D2029" t="s">
        <v>67</v>
      </c>
      <c r="E2029" t="str">
        <f t="shared" si="97"/>
        <v>009</v>
      </c>
      <c r="F2029" t="s">
        <v>2003</v>
      </c>
      <c r="G2029" t="str">
        <f>"1214"</f>
        <v>1214</v>
      </c>
      <c r="H2029" t="str">
        <f>"0000"</f>
        <v>0000</v>
      </c>
      <c r="I2029" t="s">
        <v>69</v>
      </c>
      <c r="J2029">
        <v>0</v>
      </c>
      <c r="K2029">
        <v>1</v>
      </c>
      <c r="L2029">
        <v>2</v>
      </c>
      <c r="M2029">
        <v>213</v>
      </c>
      <c r="N2029">
        <v>284</v>
      </c>
      <c r="O2029">
        <v>0</v>
      </c>
      <c r="P2029">
        <v>284</v>
      </c>
      <c r="Q2029">
        <v>14</v>
      </c>
      <c r="R2029">
        <v>81</v>
      </c>
      <c r="S2029">
        <v>3</v>
      </c>
      <c r="T2029">
        <v>3</v>
      </c>
      <c r="U2029">
        <v>20</v>
      </c>
      <c r="V2029">
        <v>4</v>
      </c>
      <c r="W2029">
        <v>3</v>
      </c>
      <c r="X2029">
        <v>122</v>
      </c>
      <c r="Y2029">
        <v>1</v>
      </c>
      <c r="Z2029">
        <v>6</v>
      </c>
      <c r="AA2029">
        <v>8</v>
      </c>
      <c r="AB2029">
        <v>1</v>
      </c>
      <c r="AD2029">
        <v>0</v>
      </c>
      <c r="AE2029">
        <v>0</v>
      </c>
      <c r="AF2029">
        <v>0</v>
      </c>
      <c r="AG2029">
        <v>0</v>
      </c>
      <c r="AI2029">
        <v>0</v>
      </c>
      <c r="AJ2029">
        <v>18</v>
      </c>
      <c r="AK2029">
        <v>284</v>
      </c>
      <c r="AL2029">
        <v>284</v>
      </c>
      <c r="AM2029">
        <v>453</v>
      </c>
      <c r="AN2029">
        <v>44</v>
      </c>
      <c r="AP2029">
        <v>1</v>
      </c>
      <c r="AR2029" t="s">
        <v>2120</v>
      </c>
      <c r="AS2029" s="1">
        <v>44354.413194444445</v>
      </c>
      <c r="AT2029" s="1">
        <v>44354.415405092594</v>
      </c>
      <c r="AU2029" s="1">
        <v>44354.415972222225</v>
      </c>
      <c r="AV2029" t="s">
        <v>71</v>
      </c>
      <c r="AW2029" t="s">
        <v>72</v>
      </c>
      <c r="AX2029" t="s">
        <v>73</v>
      </c>
    </row>
    <row r="2030" spans="1:50" x14ac:dyDescent="0.3">
      <c r="A2030" t="str">
        <f>"201214E0100"</f>
        <v>201214E0100</v>
      </c>
      <c r="B2030" t="str">
        <f>"201214E01002"</f>
        <v>201214E01002</v>
      </c>
      <c r="C2030" t="str">
        <f t="shared" si="98"/>
        <v>20</v>
      </c>
      <c r="D2030" t="s">
        <v>67</v>
      </c>
      <c r="E2030" t="str">
        <f t="shared" si="97"/>
        <v>009</v>
      </c>
      <c r="F2030" t="s">
        <v>2003</v>
      </c>
      <c r="G2030" t="str">
        <f>"1214"</f>
        <v>1214</v>
      </c>
      <c r="H2030" t="str">
        <f>"0001"</f>
        <v>0001</v>
      </c>
      <c r="I2030" t="s">
        <v>109</v>
      </c>
      <c r="J2030">
        <v>0</v>
      </c>
      <c r="K2030">
        <v>1</v>
      </c>
      <c r="L2030">
        <v>2</v>
      </c>
      <c r="M2030">
        <v>237</v>
      </c>
      <c r="N2030">
        <v>304</v>
      </c>
      <c r="O2030">
        <v>0</v>
      </c>
      <c r="P2030">
        <v>304</v>
      </c>
      <c r="Q2030">
        <v>7</v>
      </c>
      <c r="R2030">
        <v>79</v>
      </c>
      <c r="S2030">
        <v>10</v>
      </c>
      <c r="T2030">
        <v>5</v>
      </c>
      <c r="U2030">
        <v>28</v>
      </c>
      <c r="V2030">
        <v>7</v>
      </c>
      <c r="W2030">
        <v>4</v>
      </c>
      <c r="X2030">
        <v>108</v>
      </c>
      <c r="Y2030">
        <v>3</v>
      </c>
      <c r="Z2030">
        <v>13</v>
      </c>
      <c r="AA2030">
        <v>9</v>
      </c>
      <c r="AB2030">
        <v>2</v>
      </c>
      <c r="AD2030">
        <v>0</v>
      </c>
      <c r="AE2030">
        <v>1</v>
      </c>
      <c r="AF2030">
        <v>0</v>
      </c>
      <c r="AG2030">
        <v>1</v>
      </c>
      <c r="AI2030">
        <v>0</v>
      </c>
      <c r="AJ2030">
        <v>27</v>
      </c>
      <c r="AK2030">
        <v>304</v>
      </c>
      <c r="AL2030">
        <v>304</v>
      </c>
      <c r="AM2030">
        <v>497</v>
      </c>
      <c r="AN2030">
        <v>44</v>
      </c>
      <c r="AP2030">
        <v>1</v>
      </c>
      <c r="AR2030" t="s">
        <v>2121</v>
      </c>
      <c r="AS2030" s="1">
        <v>44354.413888888892</v>
      </c>
      <c r="AT2030" s="1">
        <v>44354.41609953704</v>
      </c>
      <c r="AU2030" s="1">
        <v>44354.417002314818</v>
      </c>
      <c r="AV2030" t="s">
        <v>71</v>
      </c>
      <c r="AW2030" t="s">
        <v>72</v>
      </c>
      <c r="AX2030" t="s">
        <v>73</v>
      </c>
    </row>
    <row r="2031" spans="1:50" x14ac:dyDescent="0.3">
      <c r="A2031" t="str">
        <f>"201217B0000"</f>
        <v>201217B0000</v>
      </c>
      <c r="B2031" t="str">
        <f>"201217B00002"</f>
        <v>201217B00002</v>
      </c>
      <c r="C2031" t="str">
        <f t="shared" si="98"/>
        <v>20</v>
      </c>
      <c r="D2031" t="s">
        <v>67</v>
      </c>
      <c r="E2031" t="str">
        <f t="shared" si="97"/>
        <v>009</v>
      </c>
      <c r="F2031" t="s">
        <v>2003</v>
      </c>
      <c r="G2031" t="str">
        <f>"1217"</f>
        <v>1217</v>
      </c>
      <c r="H2031" t="str">
        <f>"0000"</f>
        <v>0000</v>
      </c>
      <c r="I2031" t="s">
        <v>69</v>
      </c>
      <c r="J2031">
        <v>0</v>
      </c>
      <c r="K2031">
        <v>1</v>
      </c>
      <c r="L2031">
        <v>2</v>
      </c>
      <c r="M2031">
        <v>265</v>
      </c>
      <c r="N2031">
        <v>275</v>
      </c>
      <c r="O2031">
        <v>0</v>
      </c>
      <c r="P2031">
        <v>275</v>
      </c>
      <c r="Q2031">
        <v>1</v>
      </c>
      <c r="R2031">
        <v>95</v>
      </c>
      <c r="S2031">
        <v>4</v>
      </c>
      <c r="T2031">
        <v>2</v>
      </c>
      <c r="U2031">
        <v>20</v>
      </c>
      <c r="V2031">
        <v>1</v>
      </c>
      <c r="W2031">
        <v>3</v>
      </c>
      <c r="X2031">
        <v>126</v>
      </c>
      <c r="Y2031">
        <v>0</v>
      </c>
      <c r="Z2031">
        <v>1</v>
      </c>
      <c r="AA2031">
        <v>3</v>
      </c>
      <c r="AB2031">
        <v>3</v>
      </c>
      <c r="AD2031">
        <v>0</v>
      </c>
      <c r="AE2031">
        <v>0</v>
      </c>
      <c r="AF2031">
        <v>0</v>
      </c>
      <c r="AG2031">
        <v>3</v>
      </c>
      <c r="AI2031">
        <v>0</v>
      </c>
      <c r="AJ2031">
        <v>16</v>
      </c>
      <c r="AK2031">
        <v>275</v>
      </c>
      <c r="AL2031">
        <v>278</v>
      </c>
      <c r="AM2031">
        <v>496</v>
      </c>
      <c r="AN2031">
        <v>44</v>
      </c>
      <c r="AP2031">
        <v>1</v>
      </c>
      <c r="AR2031" t="s">
        <v>2122</v>
      </c>
      <c r="AS2031" s="1">
        <v>44354.046527777777</v>
      </c>
      <c r="AT2031" s="1">
        <v>44354.053726851853</v>
      </c>
      <c r="AU2031" s="1">
        <v>44354.054178240738</v>
      </c>
      <c r="AV2031" t="s">
        <v>71</v>
      </c>
      <c r="AW2031" t="s">
        <v>72</v>
      </c>
      <c r="AX2031" t="s">
        <v>73</v>
      </c>
    </row>
    <row r="2032" spans="1:50" x14ac:dyDescent="0.3">
      <c r="A2032" t="str">
        <f>"201217C0100"</f>
        <v>201217C0100</v>
      </c>
      <c r="B2032" t="str">
        <f>"201217C01002"</f>
        <v>201217C01002</v>
      </c>
      <c r="C2032" t="str">
        <f t="shared" si="98"/>
        <v>20</v>
      </c>
      <c r="D2032" t="s">
        <v>67</v>
      </c>
      <c r="E2032" t="str">
        <f t="shared" si="97"/>
        <v>009</v>
      </c>
      <c r="F2032" t="s">
        <v>2003</v>
      </c>
      <c r="G2032" t="str">
        <f>"1217"</f>
        <v>1217</v>
      </c>
      <c r="H2032" t="str">
        <f>"0001"</f>
        <v>0001</v>
      </c>
      <c r="I2032" t="s">
        <v>75</v>
      </c>
      <c r="J2032">
        <v>0</v>
      </c>
      <c r="K2032">
        <v>1</v>
      </c>
      <c r="L2032">
        <v>2</v>
      </c>
      <c r="M2032">
        <v>260</v>
      </c>
      <c r="N2032">
        <v>279</v>
      </c>
      <c r="O2032">
        <v>0</v>
      </c>
      <c r="P2032">
        <v>279</v>
      </c>
      <c r="Q2032">
        <v>2</v>
      </c>
      <c r="R2032">
        <v>95</v>
      </c>
      <c r="S2032">
        <v>0</v>
      </c>
      <c r="T2032">
        <v>1</v>
      </c>
      <c r="U2032">
        <v>7</v>
      </c>
      <c r="V2032">
        <v>2</v>
      </c>
      <c r="W2032">
        <v>5</v>
      </c>
      <c r="X2032">
        <v>152</v>
      </c>
      <c r="Y2032">
        <v>1</v>
      </c>
      <c r="Z2032">
        <v>1</v>
      </c>
      <c r="AA2032">
        <v>1</v>
      </c>
      <c r="AB2032">
        <v>2</v>
      </c>
      <c r="AD2032">
        <v>0</v>
      </c>
      <c r="AE2032">
        <v>0</v>
      </c>
      <c r="AF2032">
        <v>0</v>
      </c>
      <c r="AG2032">
        <v>0</v>
      </c>
      <c r="AI2032">
        <v>0</v>
      </c>
      <c r="AJ2032">
        <v>10</v>
      </c>
      <c r="AK2032">
        <v>279</v>
      </c>
      <c r="AL2032">
        <v>279</v>
      </c>
      <c r="AM2032">
        <v>495</v>
      </c>
      <c r="AN2032">
        <v>44</v>
      </c>
      <c r="AP2032">
        <v>1</v>
      </c>
      <c r="AR2032" t="s">
        <v>2123</v>
      </c>
      <c r="AS2032" s="1">
        <v>44354.04791666667</v>
      </c>
      <c r="AT2032" s="1">
        <v>44354.055069444446</v>
      </c>
      <c r="AU2032" s="1">
        <v>44354.055625000001</v>
      </c>
      <c r="AV2032" t="s">
        <v>71</v>
      </c>
      <c r="AW2032" t="s">
        <v>72</v>
      </c>
      <c r="AX2032" t="s">
        <v>73</v>
      </c>
    </row>
    <row r="2033" spans="1:50" x14ac:dyDescent="0.3">
      <c r="A2033" t="str">
        <f>"201217E0100"</f>
        <v>201217E0100</v>
      </c>
      <c r="B2033" t="str">
        <f>"201217E01002"</f>
        <v>201217E01002</v>
      </c>
      <c r="C2033" t="str">
        <f t="shared" si="98"/>
        <v>20</v>
      </c>
      <c r="D2033" t="s">
        <v>67</v>
      </c>
      <c r="E2033" t="str">
        <f t="shared" si="97"/>
        <v>009</v>
      </c>
      <c r="F2033" t="s">
        <v>2003</v>
      </c>
      <c r="G2033" t="str">
        <f>"1217"</f>
        <v>1217</v>
      </c>
      <c r="H2033" t="str">
        <f>"0001"</f>
        <v>0001</v>
      </c>
      <c r="I2033" t="s">
        <v>109</v>
      </c>
      <c r="J2033">
        <v>0</v>
      </c>
      <c r="K2033">
        <v>1</v>
      </c>
      <c r="L2033">
        <v>2</v>
      </c>
      <c r="M2033">
        <v>65</v>
      </c>
      <c r="N2033">
        <v>200</v>
      </c>
      <c r="O2033">
        <v>0</v>
      </c>
      <c r="P2033">
        <v>200</v>
      </c>
      <c r="Q2033">
        <v>1</v>
      </c>
      <c r="R2033">
        <v>1</v>
      </c>
      <c r="S2033">
        <v>1</v>
      </c>
      <c r="T2033">
        <v>0</v>
      </c>
      <c r="U2033">
        <v>0</v>
      </c>
      <c r="V2033">
        <v>2</v>
      </c>
      <c r="W2033">
        <v>1</v>
      </c>
      <c r="X2033">
        <v>189</v>
      </c>
      <c r="Y2033">
        <v>0</v>
      </c>
      <c r="Z2033">
        <v>0</v>
      </c>
      <c r="AA2033">
        <v>1</v>
      </c>
      <c r="AB2033">
        <v>0</v>
      </c>
      <c r="AD2033">
        <v>0</v>
      </c>
      <c r="AE2033">
        <v>1</v>
      </c>
      <c r="AF2033">
        <v>0</v>
      </c>
      <c r="AG2033">
        <v>0</v>
      </c>
      <c r="AI2033">
        <v>0</v>
      </c>
      <c r="AJ2033">
        <v>3</v>
      </c>
      <c r="AK2033">
        <v>200</v>
      </c>
      <c r="AL2033">
        <v>200</v>
      </c>
      <c r="AM2033">
        <v>221</v>
      </c>
      <c r="AN2033">
        <v>44</v>
      </c>
      <c r="AP2033">
        <v>1</v>
      </c>
      <c r="AR2033" t="s">
        <v>2124</v>
      </c>
      <c r="AS2033" s="1">
        <v>44354.056250000001</v>
      </c>
      <c r="AT2033" s="1">
        <v>44354.062928240739</v>
      </c>
      <c r="AU2033" s="1">
        <v>44354.063437500001</v>
      </c>
      <c r="AV2033" t="s">
        <v>71</v>
      </c>
      <c r="AW2033" t="s">
        <v>72</v>
      </c>
      <c r="AX2033" t="s">
        <v>73</v>
      </c>
    </row>
    <row r="2034" spans="1:50" x14ac:dyDescent="0.3">
      <c r="A2034" t="str">
        <f>"201218B0000"</f>
        <v>201218B0000</v>
      </c>
      <c r="B2034" t="str">
        <f>"201218B00002"</f>
        <v>201218B00002</v>
      </c>
      <c r="C2034" t="str">
        <f t="shared" si="98"/>
        <v>20</v>
      </c>
      <c r="D2034" t="s">
        <v>67</v>
      </c>
      <c r="E2034" t="str">
        <f t="shared" si="97"/>
        <v>009</v>
      </c>
      <c r="F2034" t="s">
        <v>2003</v>
      </c>
      <c r="G2034" t="str">
        <f>"1218"</f>
        <v>1218</v>
      </c>
      <c r="H2034" t="str">
        <f>"0000"</f>
        <v>0000</v>
      </c>
      <c r="I2034" t="s">
        <v>69</v>
      </c>
      <c r="J2034">
        <v>0</v>
      </c>
      <c r="K2034">
        <v>1</v>
      </c>
      <c r="L2034">
        <v>2</v>
      </c>
      <c r="M2034">
        <v>238</v>
      </c>
      <c r="N2034">
        <v>170</v>
      </c>
      <c r="O2034">
        <v>0</v>
      </c>
      <c r="P2034">
        <v>170</v>
      </c>
      <c r="Q2034">
        <v>2</v>
      </c>
      <c r="R2034">
        <v>38</v>
      </c>
      <c r="S2034">
        <v>3</v>
      </c>
      <c r="T2034">
        <v>3</v>
      </c>
      <c r="U2034">
        <v>2</v>
      </c>
      <c r="V2034">
        <v>4</v>
      </c>
      <c r="W2034">
        <v>2</v>
      </c>
      <c r="X2034">
        <v>101</v>
      </c>
      <c r="Y2034">
        <v>0</v>
      </c>
      <c r="Z2034">
        <v>7</v>
      </c>
      <c r="AA2034">
        <v>1</v>
      </c>
      <c r="AB2034">
        <v>1</v>
      </c>
      <c r="AD2034">
        <v>0</v>
      </c>
      <c r="AE2034">
        <v>0</v>
      </c>
      <c r="AF2034">
        <v>0</v>
      </c>
      <c r="AG2034">
        <v>1</v>
      </c>
      <c r="AI2034">
        <v>0</v>
      </c>
      <c r="AJ2034">
        <v>5</v>
      </c>
      <c r="AK2034">
        <v>170</v>
      </c>
      <c r="AL2034">
        <v>170</v>
      </c>
      <c r="AM2034">
        <v>364</v>
      </c>
      <c r="AN2034">
        <v>44</v>
      </c>
      <c r="AP2034">
        <v>1</v>
      </c>
      <c r="AR2034" t="s">
        <v>2125</v>
      </c>
      <c r="AS2034" s="1">
        <v>44354.056944444441</v>
      </c>
      <c r="AT2034" s="1">
        <v>44354.06554398148</v>
      </c>
      <c r="AU2034" s="1">
        <v>44354.066643518519</v>
      </c>
      <c r="AV2034" t="s">
        <v>71</v>
      </c>
      <c r="AW2034" t="s">
        <v>72</v>
      </c>
      <c r="AX2034" t="s">
        <v>73</v>
      </c>
    </row>
    <row r="2035" spans="1:50" x14ac:dyDescent="0.3">
      <c r="A2035" t="str">
        <f>"201220B0000"</f>
        <v>201220B0000</v>
      </c>
      <c r="B2035" t="str">
        <f>"201220B00002"</f>
        <v>201220B00002</v>
      </c>
      <c r="C2035" t="str">
        <f t="shared" si="98"/>
        <v>20</v>
      </c>
      <c r="D2035" t="s">
        <v>67</v>
      </c>
      <c r="E2035" t="str">
        <f t="shared" si="97"/>
        <v>009</v>
      </c>
      <c r="F2035" t="s">
        <v>2003</v>
      </c>
      <c r="G2035" t="str">
        <f>"1220"</f>
        <v>1220</v>
      </c>
      <c r="H2035" t="str">
        <f>"0000"</f>
        <v>0000</v>
      </c>
      <c r="I2035" t="s">
        <v>69</v>
      </c>
      <c r="J2035">
        <v>0</v>
      </c>
      <c r="K2035">
        <v>1</v>
      </c>
      <c r="L2035">
        <v>2</v>
      </c>
      <c r="M2035">
        <v>350</v>
      </c>
      <c r="N2035">
        <v>123</v>
      </c>
      <c r="O2035">
        <v>0</v>
      </c>
      <c r="P2035">
        <v>123</v>
      </c>
      <c r="Q2035">
        <v>0</v>
      </c>
      <c r="R2035">
        <v>13</v>
      </c>
      <c r="S2035">
        <v>5</v>
      </c>
      <c r="T2035">
        <v>0</v>
      </c>
      <c r="U2035">
        <v>4</v>
      </c>
      <c r="V2035">
        <v>0</v>
      </c>
      <c r="W2035">
        <v>1</v>
      </c>
      <c r="X2035">
        <v>94</v>
      </c>
      <c r="Y2035">
        <v>0</v>
      </c>
      <c r="Z2035">
        <v>1</v>
      </c>
      <c r="AA2035">
        <v>0</v>
      </c>
      <c r="AB2035">
        <v>3</v>
      </c>
      <c r="AD2035">
        <v>0</v>
      </c>
      <c r="AE2035">
        <v>0</v>
      </c>
      <c r="AF2035">
        <v>0</v>
      </c>
      <c r="AG2035">
        <v>0</v>
      </c>
      <c r="AI2035">
        <v>0</v>
      </c>
      <c r="AJ2035">
        <v>2</v>
      </c>
      <c r="AK2035">
        <v>123</v>
      </c>
      <c r="AL2035">
        <v>123</v>
      </c>
      <c r="AM2035">
        <v>429</v>
      </c>
      <c r="AN2035">
        <v>44</v>
      </c>
      <c r="AP2035">
        <v>1</v>
      </c>
      <c r="AR2035" t="s">
        <v>2126</v>
      </c>
      <c r="AS2035" s="1">
        <v>44354.018750000003</v>
      </c>
      <c r="AT2035" s="1">
        <v>44354.027499999997</v>
      </c>
      <c r="AU2035" s="1">
        <v>44354.028043981481</v>
      </c>
      <c r="AV2035" t="s">
        <v>71</v>
      </c>
      <c r="AW2035" t="s">
        <v>72</v>
      </c>
      <c r="AX2035" t="s">
        <v>73</v>
      </c>
    </row>
    <row r="2036" spans="1:50" x14ac:dyDescent="0.3">
      <c r="A2036" t="str">
        <f>"201220C0100"</f>
        <v>201220C0100</v>
      </c>
      <c r="B2036" t="str">
        <f>"201220C01002"</f>
        <v>201220C01002</v>
      </c>
      <c r="C2036" t="str">
        <f t="shared" si="98"/>
        <v>20</v>
      </c>
      <c r="D2036" t="s">
        <v>67</v>
      </c>
      <c r="E2036" t="str">
        <f t="shared" si="97"/>
        <v>009</v>
      </c>
      <c r="F2036" t="s">
        <v>2003</v>
      </c>
      <c r="G2036" t="str">
        <f>"1220"</f>
        <v>1220</v>
      </c>
      <c r="H2036" t="str">
        <f>"0001"</f>
        <v>0001</v>
      </c>
      <c r="I2036" t="s">
        <v>75</v>
      </c>
      <c r="J2036">
        <v>0</v>
      </c>
      <c r="K2036">
        <v>1</v>
      </c>
      <c r="L2036">
        <v>2</v>
      </c>
      <c r="M2036">
        <v>342</v>
      </c>
      <c r="N2036">
        <v>130</v>
      </c>
      <c r="O2036">
        <v>0</v>
      </c>
      <c r="P2036">
        <v>130</v>
      </c>
      <c r="Q2036">
        <v>1</v>
      </c>
      <c r="R2036">
        <v>10</v>
      </c>
      <c r="S2036">
        <v>0</v>
      </c>
      <c r="T2036">
        <v>0</v>
      </c>
      <c r="U2036">
        <v>2</v>
      </c>
      <c r="V2036">
        <v>0</v>
      </c>
      <c r="W2036">
        <v>2</v>
      </c>
      <c r="X2036">
        <v>100</v>
      </c>
      <c r="Y2036">
        <v>1</v>
      </c>
      <c r="Z2036">
        <v>1</v>
      </c>
      <c r="AA2036">
        <v>0</v>
      </c>
      <c r="AB2036">
        <v>12</v>
      </c>
      <c r="AD2036">
        <v>0</v>
      </c>
      <c r="AE2036">
        <v>0</v>
      </c>
      <c r="AF2036">
        <v>0</v>
      </c>
      <c r="AG2036">
        <v>0</v>
      </c>
      <c r="AI2036">
        <v>0</v>
      </c>
      <c r="AJ2036">
        <v>1</v>
      </c>
      <c r="AK2036">
        <v>130</v>
      </c>
      <c r="AL2036">
        <v>130</v>
      </c>
      <c r="AM2036">
        <v>428</v>
      </c>
      <c r="AN2036">
        <v>44</v>
      </c>
      <c r="AP2036">
        <v>1</v>
      </c>
      <c r="AR2036" t="s">
        <v>2127</v>
      </c>
      <c r="AS2036" s="1">
        <v>44354.018750000003</v>
      </c>
      <c r="AT2036" s="1">
        <v>44354.027789351851</v>
      </c>
      <c r="AU2036" s="1">
        <v>44354.028564814813</v>
      </c>
      <c r="AV2036" t="s">
        <v>71</v>
      </c>
      <c r="AW2036" t="s">
        <v>72</v>
      </c>
      <c r="AX2036" t="s">
        <v>73</v>
      </c>
    </row>
    <row r="2037" spans="1:50" x14ac:dyDescent="0.3">
      <c r="A2037" t="str">
        <f>"201234B0000"</f>
        <v>201234B0000</v>
      </c>
      <c r="B2037" t="str">
        <f>"201234B00002"</f>
        <v>201234B00002</v>
      </c>
      <c r="C2037" t="str">
        <f t="shared" si="98"/>
        <v>20</v>
      </c>
      <c r="D2037" t="s">
        <v>67</v>
      </c>
      <c r="E2037" t="str">
        <f t="shared" si="97"/>
        <v>009</v>
      </c>
      <c r="F2037" t="s">
        <v>2003</v>
      </c>
      <c r="G2037" t="str">
        <f>"1234"</f>
        <v>1234</v>
      </c>
      <c r="H2037" t="str">
        <f>"0000"</f>
        <v>0000</v>
      </c>
      <c r="I2037" t="s">
        <v>69</v>
      </c>
      <c r="J2037">
        <v>0</v>
      </c>
      <c r="K2037">
        <v>1</v>
      </c>
      <c r="L2037">
        <v>2</v>
      </c>
      <c r="M2037">
        <v>327</v>
      </c>
      <c r="N2037">
        <v>134</v>
      </c>
      <c r="O2037">
        <v>0</v>
      </c>
      <c r="P2037" t="s">
        <v>80</v>
      </c>
      <c r="Q2037">
        <v>3</v>
      </c>
      <c r="R2037">
        <v>8</v>
      </c>
      <c r="S2037">
        <v>1</v>
      </c>
      <c r="T2037">
        <v>1</v>
      </c>
      <c r="U2037">
        <v>7</v>
      </c>
      <c r="V2037">
        <v>4</v>
      </c>
      <c r="W2037">
        <v>0</v>
      </c>
      <c r="X2037">
        <v>103</v>
      </c>
      <c r="Y2037">
        <v>0</v>
      </c>
      <c r="Z2037">
        <v>0</v>
      </c>
      <c r="AA2037">
        <v>2</v>
      </c>
      <c r="AB2037">
        <v>0</v>
      </c>
      <c r="AD2037" t="s">
        <v>77</v>
      </c>
      <c r="AE2037" t="s">
        <v>77</v>
      </c>
      <c r="AF2037" t="s">
        <v>77</v>
      </c>
      <c r="AG2037" t="s">
        <v>77</v>
      </c>
      <c r="AI2037" t="s">
        <v>77</v>
      </c>
      <c r="AJ2037">
        <v>5</v>
      </c>
      <c r="AK2037">
        <v>134</v>
      </c>
      <c r="AL2037">
        <v>134</v>
      </c>
      <c r="AM2037">
        <v>417</v>
      </c>
      <c r="AN2037">
        <v>44</v>
      </c>
      <c r="AO2037" t="s">
        <v>78</v>
      </c>
      <c r="AP2037">
        <v>1</v>
      </c>
      <c r="AR2037" t="s">
        <v>2128</v>
      </c>
      <c r="AS2037" s="1">
        <v>44353.994444444441</v>
      </c>
      <c r="AT2037" s="1">
        <v>44354.000925925924</v>
      </c>
      <c r="AU2037" s="1">
        <v>44354.001597222225</v>
      </c>
      <c r="AV2037" t="s">
        <v>71</v>
      </c>
      <c r="AW2037" t="s">
        <v>72</v>
      </c>
      <c r="AX2037" t="s">
        <v>73</v>
      </c>
    </row>
    <row r="2038" spans="1:50" x14ac:dyDescent="0.3">
      <c r="A2038" t="str">
        <f>"201234C0100"</f>
        <v>201234C0100</v>
      </c>
      <c r="B2038" t="str">
        <f>"201234C01002"</f>
        <v>201234C01002</v>
      </c>
      <c r="C2038" t="str">
        <f t="shared" si="98"/>
        <v>20</v>
      </c>
      <c r="D2038" t="s">
        <v>67</v>
      </c>
      <c r="E2038" t="str">
        <f t="shared" si="97"/>
        <v>009</v>
      </c>
      <c r="F2038" t="s">
        <v>2003</v>
      </c>
      <c r="G2038" t="str">
        <f>"1234"</f>
        <v>1234</v>
      </c>
      <c r="H2038" t="str">
        <f>"0001"</f>
        <v>0001</v>
      </c>
      <c r="I2038" t="s">
        <v>75</v>
      </c>
      <c r="J2038">
        <v>0</v>
      </c>
      <c r="K2038">
        <v>1</v>
      </c>
      <c r="L2038">
        <v>2</v>
      </c>
      <c r="M2038">
        <v>330</v>
      </c>
      <c r="N2038">
        <v>130</v>
      </c>
      <c r="O2038">
        <v>0</v>
      </c>
      <c r="P2038">
        <v>130</v>
      </c>
      <c r="Q2038">
        <v>3</v>
      </c>
      <c r="R2038">
        <v>3</v>
      </c>
      <c r="S2038">
        <v>3</v>
      </c>
      <c r="T2038">
        <v>0</v>
      </c>
      <c r="U2038">
        <v>2</v>
      </c>
      <c r="V2038">
        <v>1</v>
      </c>
      <c r="W2038">
        <v>3</v>
      </c>
      <c r="X2038">
        <v>105</v>
      </c>
      <c r="Y2038">
        <v>0</v>
      </c>
      <c r="Z2038">
        <v>3</v>
      </c>
      <c r="AA2038">
        <v>1</v>
      </c>
      <c r="AB2038">
        <v>1</v>
      </c>
      <c r="AD2038">
        <v>0</v>
      </c>
      <c r="AE2038">
        <v>0</v>
      </c>
      <c r="AF2038">
        <v>0</v>
      </c>
      <c r="AG2038">
        <v>0</v>
      </c>
      <c r="AI2038">
        <v>0</v>
      </c>
      <c r="AJ2038">
        <v>5</v>
      </c>
      <c r="AK2038">
        <v>130</v>
      </c>
      <c r="AL2038">
        <v>130</v>
      </c>
      <c r="AM2038">
        <v>416</v>
      </c>
      <c r="AN2038">
        <v>44</v>
      </c>
      <c r="AP2038">
        <v>1</v>
      </c>
      <c r="AR2038" t="s">
        <v>2129</v>
      </c>
      <c r="AS2038" s="1">
        <v>44353.993750000001</v>
      </c>
      <c r="AT2038" s="1">
        <v>44353.999618055554</v>
      </c>
      <c r="AU2038" s="1">
        <v>44354.000243055554</v>
      </c>
      <c r="AV2038" t="s">
        <v>71</v>
      </c>
      <c r="AW2038" t="s">
        <v>72</v>
      </c>
      <c r="AX2038" t="s">
        <v>73</v>
      </c>
    </row>
    <row r="2039" spans="1:50" x14ac:dyDescent="0.3">
      <c r="A2039" t="str">
        <f>"201235B0000"</f>
        <v>201235B0000</v>
      </c>
      <c r="B2039" t="str">
        <f>"201235B00002"</f>
        <v>201235B00002</v>
      </c>
      <c r="C2039" t="str">
        <f t="shared" si="98"/>
        <v>20</v>
      </c>
      <c r="D2039" t="s">
        <v>67</v>
      </c>
      <c r="E2039" t="str">
        <f t="shared" si="97"/>
        <v>009</v>
      </c>
      <c r="F2039" t="s">
        <v>2003</v>
      </c>
      <c r="G2039" t="str">
        <f>"1235"</f>
        <v>1235</v>
      </c>
      <c r="H2039" t="str">
        <f>"0000"</f>
        <v>0000</v>
      </c>
      <c r="I2039" t="s">
        <v>69</v>
      </c>
      <c r="J2039">
        <v>0</v>
      </c>
      <c r="K2039">
        <v>1</v>
      </c>
      <c r="L2039">
        <v>2</v>
      </c>
      <c r="M2039" t="s">
        <v>80</v>
      </c>
      <c r="N2039" t="s">
        <v>80</v>
      </c>
      <c r="O2039" t="s">
        <v>80</v>
      </c>
      <c r="P2039">
        <v>162</v>
      </c>
      <c r="Q2039">
        <v>5</v>
      </c>
      <c r="R2039">
        <v>17</v>
      </c>
      <c r="S2039">
        <v>2</v>
      </c>
      <c r="T2039">
        <v>5</v>
      </c>
      <c r="U2039">
        <v>0</v>
      </c>
      <c r="V2039">
        <v>4</v>
      </c>
      <c r="W2039">
        <v>1</v>
      </c>
      <c r="X2039">
        <v>47</v>
      </c>
      <c r="Y2039">
        <v>0</v>
      </c>
      <c r="Z2039">
        <v>2</v>
      </c>
      <c r="AA2039">
        <v>2</v>
      </c>
      <c r="AB2039">
        <v>1</v>
      </c>
      <c r="AD2039">
        <v>24</v>
      </c>
      <c r="AE2039">
        <v>22</v>
      </c>
      <c r="AF2039">
        <v>7</v>
      </c>
      <c r="AG2039">
        <v>19</v>
      </c>
      <c r="AI2039">
        <v>0</v>
      </c>
      <c r="AJ2039">
        <v>4</v>
      </c>
      <c r="AK2039">
        <v>162</v>
      </c>
      <c r="AL2039">
        <v>162</v>
      </c>
      <c r="AM2039">
        <v>237</v>
      </c>
      <c r="AN2039">
        <v>44</v>
      </c>
      <c r="AP2039">
        <v>1</v>
      </c>
      <c r="AR2039" t="s">
        <v>2130</v>
      </c>
      <c r="AS2039" s="1">
        <v>44353.992361111108</v>
      </c>
      <c r="AT2039" s="1">
        <v>44353.997685185182</v>
      </c>
      <c r="AU2039" s="1">
        <v>44353.998229166667</v>
      </c>
      <c r="AV2039" t="s">
        <v>71</v>
      </c>
      <c r="AW2039" t="s">
        <v>72</v>
      </c>
      <c r="AX2039" t="s">
        <v>73</v>
      </c>
    </row>
    <row r="2040" spans="1:50" x14ac:dyDescent="0.3">
      <c r="A2040" t="str">
        <f>"201236B0000"</f>
        <v>201236B0000</v>
      </c>
      <c r="B2040" t="str">
        <f>"201236B00002"</f>
        <v>201236B00002</v>
      </c>
      <c r="C2040" t="str">
        <f t="shared" si="98"/>
        <v>20</v>
      </c>
      <c r="D2040" t="s">
        <v>67</v>
      </c>
      <c r="E2040" t="str">
        <f t="shared" si="97"/>
        <v>009</v>
      </c>
      <c r="F2040" t="s">
        <v>2003</v>
      </c>
      <c r="G2040" t="str">
        <f>"1236"</f>
        <v>1236</v>
      </c>
      <c r="H2040" t="str">
        <f>"0000"</f>
        <v>0000</v>
      </c>
      <c r="I2040" t="s">
        <v>69</v>
      </c>
      <c r="J2040">
        <v>0</v>
      </c>
      <c r="K2040">
        <v>1</v>
      </c>
      <c r="L2040">
        <v>2</v>
      </c>
      <c r="M2040">
        <v>202</v>
      </c>
      <c r="N2040">
        <v>187</v>
      </c>
      <c r="O2040">
        <v>0</v>
      </c>
      <c r="P2040">
        <v>187</v>
      </c>
      <c r="Q2040">
        <v>0</v>
      </c>
      <c r="R2040">
        <v>20</v>
      </c>
      <c r="S2040">
        <v>1</v>
      </c>
      <c r="T2040">
        <v>2</v>
      </c>
      <c r="U2040">
        <v>3</v>
      </c>
      <c r="V2040">
        <v>1</v>
      </c>
      <c r="W2040">
        <v>5</v>
      </c>
      <c r="X2040">
        <v>142</v>
      </c>
      <c r="Y2040">
        <v>1</v>
      </c>
      <c r="Z2040">
        <v>0</v>
      </c>
      <c r="AA2040">
        <v>3</v>
      </c>
      <c r="AB2040">
        <v>1</v>
      </c>
      <c r="AD2040">
        <v>0</v>
      </c>
      <c r="AE2040">
        <v>1</v>
      </c>
      <c r="AF2040">
        <v>0</v>
      </c>
      <c r="AG2040">
        <v>0</v>
      </c>
      <c r="AI2040">
        <v>0</v>
      </c>
      <c r="AJ2040">
        <v>7</v>
      </c>
      <c r="AK2040">
        <v>187</v>
      </c>
      <c r="AL2040">
        <v>187</v>
      </c>
      <c r="AM2040">
        <v>345</v>
      </c>
      <c r="AN2040">
        <v>44</v>
      </c>
      <c r="AP2040">
        <v>1</v>
      </c>
      <c r="AR2040" t="s">
        <v>2131</v>
      </c>
      <c r="AS2040" s="1">
        <v>44354.263194444444</v>
      </c>
      <c r="AT2040" s="1">
        <v>44354.266435185185</v>
      </c>
      <c r="AU2040" s="1">
        <v>44354.266712962963</v>
      </c>
      <c r="AV2040" t="s">
        <v>71</v>
      </c>
      <c r="AW2040" t="s">
        <v>72</v>
      </c>
      <c r="AX2040" t="s">
        <v>73</v>
      </c>
    </row>
    <row r="2041" spans="1:50" x14ac:dyDescent="0.3">
      <c r="A2041" t="str">
        <f>"201296B0000"</f>
        <v>201296B0000</v>
      </c>
      <c r="B2041" t="str">
        <f>"201296B00002"</f>
        <v>201296B00002</v>
      </c>
      <c r="C2041" t="str">
        <f t="shared" si="98"/>
        <v>20</v>
      </c>
      <c r="D2041" t="s">
        <v>67</v>
      </c>
      <c r="E2041" t="str">
        <f t="shared" si="97"/>
        <v>009</v>
      </c>
      <c r="F2041" t="s">
        <v>2003</v>
      </c>
      <c r="G2041" t="str">
        <f>"1296"</f>
        <v>1296</v>
      </c>
      <c r="H2041" t="str">
        <f>"0000"</f>
        <v>0000</v>
      </c>
      <c r="I2041" t="s">
        <v>69</v>
      </c>
      <c r="J2041">
        <v>0</v>
      </c>
      <c r="K2041">
        <v>1</v>
      </c>
      <c r="L2041">
        <v>2</v>
      </c>
      <c r="M2041">
        <v>281</v>
      </c>
      <c r="N2041">
        <v>201</v>
      </c>
      <c r="O2041">
        <v>0</v>
      </c>
      <c r="P2041">
        <v>201</v>
      </c>
      <c r="Q2041">
        <v>1</v>
      </c>
      <c r="R2041">
        <v>9</v>
      </c>
      <c r="S2041">
        <v>3</v>
      </c>
      <c r="T2041">
        <v>4</v>
      </c>
      <c r="U2041">
        <v>7</v>
      </c>
      <c r="V2041">
        <v>2</v>
      </c>
      <c r="W2041">
        <v>2</v>
      </c>
      <c r="X2041">
        <v>149</v>
      </c>
      <c r="Y2041">
        <v>0</v>
      </c>
      <c r="Z2041">
        <v>2</v>
      </c>
      <c r="AA2041">
        <v>1</v>
      </c>
      <c r="AB2041">
        <v>1</v>
      </c>
      <c r="AD2041">
        <v>1</v>
      </c>
      <c r="AE2041">
        <v>0</v>
      </c>
      <c r="AF2041">
        <v>0</v>
      </c>
      <c r="AG2041">
        <v>0</v>
      </c>
      <c r="AI2041">
        <v>0</v>
      </c>
      <c r="AJ2041">
        <v>19</v>
      </c>
      <c r="AK2041">
        <v>201</v>
      </c>
      <c r="AL2041">
        <v>201</v>
      </c>
      <c r="AM2041">
        <v>438</v>
      </c>
      <c r="AN2041">
        <v>44</v>
      </c>
      <c r="AP2041">
        <v>1</v>
      </c>
      <c r="AR2041" t="s">
        <v>2132</v>
      </c>
      <c r="AS2041" s="1">
        <v>44354.135416666664</v>
      </c>
      <c r="AT2041" s="1">
        <v>44354.139548611114</v>
      </c>
      <c r="AU2041" s="1">
        <v>44354.140046296299</v>
      </c>
      <c r="AV2041" t="s">
        <v>71</v>
      </c>
      <c r="AW2041" t="s">
        <v>72</v>
      </c>
      <c r="AX2041" t="s">
        <v>73</v>
      </c>
    </row>
    <row r="2042" spans="1:50" x14ac:dyDescent="0.3">
      <c r="A2042" t="str">
        <f>"201318B0000"</f>
        <v>201318B0000</v>
      </c>
      <c r="B2042" t="str">
        <f>"201318B00002"</f>
        <v>201318B00002</v>
      </c>
      <c r="C2042" t="str">
        <f t="shared" si="98"/>
        <v>20</v>
      </c>
      <c r="D2042" t="s">
        <v>67</v>
      </c>
      <c r="E2042" t="str">
        <f t="shared" ref="E2042:E2105" si="99">"009"</f>
        <v>009</v>
      </c>
      <c r="F2042" t="s">
        <v>2003</v>
      </c>
      <c r="G2042" t="str">
        <f>"1318"</f>
        <v>1318</v>
      </c>
      <c r="H2042" t="str">
        <f>"0000"</f>
        <v>0000</v>
      </c>
      <c r="I2042" t="s">
        <v>69</v>
      </c>
      <c r="J2042">
        <v>0</v>
      </c>
      <c r="K2042">
        <v>1</v>
      </c>
      <c r="L2042">
        <v>2</v>
      </c>
      <c r="M2042">
        <v>432</v>
      </c>
      <c r="N2042">
        <v>197</v>
      </c>
      <c r="O2042">
        <v>0</v>
      </c>
      <c r="P2042">
        <v>197</v>
      </c>
      <c r="Q2042">
        <v>3</v>
      </c>
      <c r="R2042">
        <v>42</v>
      </c>
      <c r="S2042">
        <v>8</v>
      </c>
      <c r="T2042">
        <v>7</v>
      </c>
      <c r="U2042">
        <v>8</v>
      </c>
      <c r="V2042">
        <v>5</v>
      </c>
      <c r="W2042">
        <v>5</v>
      </c>
      <c r="X2042">
        <v>96</v>
      </c>
      <c r="Y2042">
        <v>0</v>
      </c>
      <c r="Z2042">
        <v>6</v>
      </c>
      <c r="AA2042">
        <v>2</v>
      </c>
      <c r="AB2042">
        <v>1</v>
      </c>
      <c r="AD2042">
        <v>0</v>
      </c>
      <c r="AE2042">
        <v>0</v>
      </c>
      <c r="AF2042">
        <v>0</v>
      </c>
      <c r="AG2042">
        <v>1</v>
      </c>
      <c r="AI2042">
        <v>0</v>
      </c>
      <c r="AJ2042">
        <v>13</v>
      </c>
      <c r="AK2042">
        <v>197</v>
      </c>
      <c r="AL2042">
        <v>197</v>
      </c>
      <c r="AM2042">
        <v>585</v>
      </c>
      <c r="AN2042">
        <v>44</v>
      </c>
      <c r="AP2042">
        <v>1</v>
      </c>
      <c r="AR2042" t="s">
        <v>2133</v>
      </c>
      <c r="AS2042" s="1">
        <v>44354.143750000003</v>
      </c>
      <c r="AT2042" s="1">
        <v>44354.146354166667</v>
      </c>
      <c r="AU2042" s="1">
        <v>44354.147453703707</v>
      </c>
      <c r="AV2042" t="s">
        <v>71</v>
      </c>
      <c r="AW2042" t="s">
        <v>72</v>
      </c>
      <c r="AX2042" t="s">
        <v>73</v>
      </c>
    </row>
    <row r="2043" spans="1:50" x14ac:dyDescent="0.3">
      <c r="A2043" t="str">
        <f>"201318E0100"</f>
        <v>201318E0100</v>
      </c>
      <c r="B2043" t="str">
        <f>"201318E01002"</f>
        <v>201318E01002</v>
      </c>
      <c r="C2043" t="str">
        <f t="shared" si="98"/>
        <v>20</v>
      </c>
      <c r="D2043" t="s">
        <v>67</v>
      </c>
      <c r="E2043" t="str">
        <f t="shared" si="99"/>
        <v>009</v>
      </c>
      <c r="F2043" t="s">
        <v>2003</v>
      </c>
      <c r="G2043" t="str">
        <f>"1318"</f>
        <v>1318</v>
      </c>
      <c r="H2043" t="str">
        <f>"0001"</f>
        <v>0001</v>
      </c>
      <c r="I2043" t="s">
        <v>109</v>
      </c>
      <c r="J2043">
        <v>0</v>
      </c>
      <c r="K2043">
        <v>1</v>
      </c>
      <c r="L2043">
        <v>2</v>
      </c>
      <c r="M2043">
        <v>130</v>
      </c>
      <c r="N2043" t="s">
        <v>80</v>
      </c>
      <c r="O2043" t="s">
        <v>80</v>
      </c>
      <c r="P2043">
        <v>136</v>
      </c>
      <c r="Q2043">
        <v>3</v>
      </c>
      <c r="R2043">
        <v>9</v>
      </c>
      <c r="S2043">
        <v>5</v>
      </c>
      <c r="T2043">
        <v>1</v>
      </c>
      <c r="U2043">
        <v>6</v>
      </c>
      <c r="V2043">
        <v>0</v>
      </c>
      <c r="W2043">
        <v>3</v>
      </c>
      <c r="X2043">
        <v>97</v>
      </c>
      <c r="Y2043">
        <v>0</v>
      </c>
      <c r="Z2043">
        <v>4</v>
      </c>
      <c r="AA2043">
        <v>2</v>
      </c>
      <c r="AB2043">
        <v>0</v>
      </c>
      <c r="AD2043">
        <v>0</v>
      </c>
      <c r="AE2043">
        <v>0</v>
      </c>
      <c r="AF2043">
        <v>0</v>
      </c>
      <c r="AG2043">
        <v>0</v>
      </c>
      <c r="AI2043">
        <v>0</v>
      </c>
      <c r="AJ2043">
        <v>5</v>
      </c>
      <c r="AK2043">
        <v>136</v>
      </c>
      <c r="AL2043">
        <v>135</v>
      </c>
      <c r="AM2043">
        <v>222</v>
      </c>
      <c r="AN2043">
        <v>44</v>
      </c>
      <c r="AP2043">
        <v>1</v>
      </c>
      <c r="AR2043" t="s">
        <v>2134</v>
      </c>
      <c r="AS2043" s="1">
        <v>44354.143055555556</v>
      </c>
      <c r="AT2043" s="1">
        <v>44354.14634259259</v>
      </c>
      <c r="AU2043" s="1">
        <v>44354.147106481483</v>
      </c>
      <c r="AV2043" t="s">
        <v>71</v>
      </c>
      <c r="AW2043" t="s">
        <v>72</v>
      </c>
      <c r="AX2043" t="s">
        <v>73</v>
      </c>
    </row>
    <row r="2044" spans="1:50" x14ac:dyDescent="0.3">
      <c r="A2044" t="str">
        <f>"201322B0000"</f>
        <v>201322B0000</v>
      </c>
      <c r="B2044" t="str">
        <f>"201322B00002"</f>
        <v>201322B00002</v>
      </c>
      <c r="C2044" t="str">
        <f t="shared" si="98"/>
        <v>20</v>
      </c>
      <c r="D2044" t="s">
        <v>67</v>
      </c>
      <c r="E2044" t="str">
        <f t="shared" si="99"/>
        <v>009</v>
      </c>
      <c r="F2044" t="s">
        <v>2003</v>
      </c>
      <c r="G2044" t="str">
        <f>"1322"</f>
        <v>1322</v>
      </c>
      <c r="H2044" t="str">
        <f>"0000"</f>
        <v>0000</v>
      </c>
      <c r="I2044" t="s">
        <v>69</v>
      </c>
      <c r="J2044">
        <v>0</v>
      </c>
      <c r="K2044">
        <v>1</v>
      </c>
      <c r="L2044">
        <v>2</v>
      </c>
      <c r="M2044">
        <v>432</v>
      </c>
      <c r="N2044">
        <v>262</v>
      </c>
      <c r="O2044">
        <v>0</v>
      </c>
      <c r="P2044">
        <v>262</v>
      </c>
      <c r="Q2044">
        <v>9</v>
      </c>
      <c r="R2044">
        <v>68</v>
      </c>
      <c r="S2044">
        <v>4</v>
      </c>
      <c r="T2044">
        <v>6</v>
      </c>
      <c r="U2044">
        <v>5</v>
      </c>
      <c r="V2044">
        <v>5</v>
      </c>
      <c r="W2044">
        <v>6</v>
      </c>
      <c r="X2044">
        <v>123</v>
      </c>
      <c r="Y2044">
        <v>6</v>
      </c>
      <c r="Z2044">
        <v>5</v>
      </c>
      <c r="AA2044">
        <v>4</v>
      </c>
      <c r="AB2044">
        <v>5</v>
      </c>
      <c r="AD2044">
        <v>1</v>
      </c>
      <c r="AE2044">
        <v>0</v>
      </c>
      <c r="AF2044">
        <v>0</v>
      </c>
      <c r="AG2044">
        <v>0</v>
      </c>
      <c r="AI2044">
        <v>0</v>
      </c>
      <c r="AJ2044">
        <v>16</v>
      </c>
      <c r="AK2044">
        <v>262</v>
      </c>
      <c r="AL2044">
        <v>263</v>
      </c>
      <c r="AM2044">
        <v>650</v>
      </c>
      <c r="AN2044">
        <v>44</v>
      </c>
      <c r="AP2044">
        <v>1</v>
      </c>
      <c r="AR2044" t="s">
        <v>2135</v>
      </c>
      <c r="AS2044" s="1">
        <v>44354.175000000003</v>
      </c>
      <c r="AT2044" s="1">
        <v>44354.17701388889</v>
      </c>
      <c r="AU2044" s="1">
        <v>44354.177939814814</v>
      </c>
      <c r="AV2044" t="s">
        <v>71</v>
      </c>
      <c r="AW2044" t="s">
        <v>72</v>
      </c>
      <c r="AX2044" t="s">
        <v>73</v>
      </c>
    </row>
    <row r="2045" spans="1:50" x14ac:dyDescent="0.3">
      <c r="A2045" t="str">
        <f>"201322C0100"</f>
        <v>201322C0100</v>
      </c>
      <c r="B2045" t="str">
        <f>"201322C01002"</f>
        <v>201322C01002</v>
      </c>
      <c r="C2045" t="str">
        <f t="shared" si="98"/>
        <v>20</v>
      </c>
      <c r="D2045" t="s">
        <v>67</v>
      </c>
      <c r="E2045" t="str">
        <f t="shared" si="99"/>
        <v>009</v>
      </c>
      <c r="F2045" t="s">
        <v>2003</v>
      </c>
      <c r="G2045" t="str">
        <f>"1322"</f>
        <v>1322</v>
      </c>
      <c r="H2045" t="str">
        <f>"0001"</f>
        <v>0001</v>
      </c>
      <c r="I2045" t="s">
        <v>75</v>
      </c>
      <c r="J2045">
        <v>0</v>
      </c>
      <c r="K2045">
        <v>1</v>
      </c>
      <c r="L2045">
        <v>2</v>
      </c>
      <c r="M2045">
        <v>439</v>
      </c>
      <c r="N2045">
        <v>255</v>
      </c>
      <c r="O2045">
        <v>0</v>
      </c>
      <c r="P2045">
        <v>255</v>
      </c>
      <c r="Q2045">
        <v>7</v>
      </c>
      <c r="R2045">
        <v>68</v>
      </c>
      <c r="S2045">
        <v>6</v>
      </c>
      <c r="T2045">
        <v>7</v>
      </c>
      <c r="U2045">
        <v>7</v>
      </c>
      <c r="V2045">
        <v>3</v>
      </c>
      <c r="W2045">
        <v>1</v>
      </c>
      <c r="X2045">
        <v>121</v>
      </c>
      <c r="Y2045">
        <v>7</v>
      </c>
      <c r="Z2045">
        <v>6</v>
      </c>
      <c r="AA2045">
        <v>5</v>
      </c>
      <c r="AB2045">
        <v>3</v>
      </c>
      <c r="AD2045">
        <v>3</v>
      </c>
      <c r="AE2045">
        <v>0</v>
      </c>
      <c r="AF2045">
        <v>0</v>
      </c>
      <c r="AG2045">
        <v>0</v>
      </c>
      <c r="AI2045">
        <v>0</v>
      </c>
      <c r="AJ2045">
        <v>11</v>
      </c>
      <c r="AK2045">
        <v>255</v>
      </c>
      <c r="AL2045">
        <v>255</v>
      </c>
      <c r="AM2045">
        <v>650</v>
      </c>
      <c r="AN2045">
        <v>44</v>
      </c>
      <c r="AP2045">
        <v>1</v>
      </c>
      <c r="AR2045" t="s">
        <v>2136</v>
      </c>
      <c r="AS2045" s="1">
        <v>44354.175694444442</v>
      </c>
      <c r="AT2045" s="1">
        <v>44354.178310185183</v>
      </c>
      <c r="AU2045" s="1">
        <v>44354.178912037038</v>
      </c>
      <c r="AV2045" t="s">
        <v>71</v>
      </c>
      <c r="AW2045" t="s">
        <v>72</v>
      </c>
      <c r="AX2045" t="s">
        <v>73</v>
      </c>
    </row>
    <row r="2046" spans="1:50" x14ac:dyDescent="0.3">
      <c r="A2046" t="str">
        <f>"201323B0000"</f>
        <v>201323B0000</v>
      </c>
      <c r="B2046" t="str">
        <f>"201323B00002"</f>
        <v>201323B00002</v>
      </c>
      <c r="C2046" t="str">
        <f t="shared" si="98"/>
        <v>20</v>
      </c>
      <c r="D2046" t="s">
        <v>67</v>
      </c>
      <c r="E2046" t="str">
        <f t="shared" si="99"/>
        <v>009</v>
      </c>
      <c r="F2046" t="s">
        <v>2003</v>
      </c>
      <c r="G2046" t="str">
        <f>"1323"</f>
        <v>1323</v>
      </c>
      <c r="H2046" t="str">
        <f t="shared" ref="H2046:H2053" si="100">"0000"</f>
        <v>0000</v>
      </c>
      <c r="I2046" t="s">
        <v>69</v>
      </c>
      <c r="J2046">
        <v>0</v>
      </c>
      <c r="K2046">
        <v>1</v>
      </c>
      <c r="L2046">
        <v>2</v>
      </c>
      <c r="M2046">
        <v>206</v>
      </c>
      <c r="N2046">
        <v>264</v>
      </c>
      <c r="O2046">
        <v>8</v>
      </c>
      <c r="P2046">
        <v>264</v>
      </c>
      <c r="Q2046">
        <v>4</v>
      </c>
      <c r="R2046">
        <v>14</v>
      </c>
      <c r="S2046">
        <v>8</v>
      </c>
      <c r="T2046">
        <v>1</v>
      </c>
      <c r="U2046">
        <v>7</v>
      </c>
      <c r="V2046">
        <v>0</v>
      </c>
      <c r="W2046">
        <v>0</v>
      </c>
      <c r="X2046">
        <v>210</v>
      </c>
      <c r="Y2046">
        <v>4</v>
      </c>
      <c r="Z2046">
        <v>12</v>
      </c>
      <c r="AA2046">
        <v>3</v>
      </c>
      <c r="AB2046">
        <v>0</v>
      </c>
      <c r="AD2046">
        <v>0</v>
      </c>
      <c r="AE2046">
        <v>0</v>
      </c>
      <c r="AF2046">
        <v>0</v>
      </c>
      <c r="AG2046">
        <v>0</v>
      </c>
      <c r="AI2046">
        <v>0</v>
      </c>
      <c r="AJ2046">
        <v>1</v>
      </c>
      <c r="AK2046">
        <v>264</v>
      </c>
      <c r="AL2046">
        <v>264</v>
      </c>
      <c r="AM2046">
        <v>426</v>
      </c>
      <c r="AN2046">
        <v>44</v>
      </c>
      <c r="AP2046">
        <v>1</v>
      </c>
      <c r="AR2046" t="s">
        <v>2137</v>
      </c>
      <c r="AS2046" s="1">
        <v>44354.176388888889</v>
      </c>
      <c r="AT2046" s="1">
        <v>44354.17864583333</v>
      </c>
      <c r="AU2046" s="1">
        <v>44354.1794212963</v>
      </c>
      <c r="AV2046" t="s">
        <v>71</v>
      </c>
      <c r="AW2046" t="s">
        <v>72</v>
      </c>
      <c r="AX2046" t="s">
        <v>73</v>
      </c>
    </row>
    <row r="2047" spans="1:50" x14ac:dyDescent="0.3">
      <c r="A2047" t="str">
        <f>"201333B0000"</f>
        <v>201333B0000</v>
      </c>
      <c r="B2047" t="str">
        <f>"201333B00002"</f>
        <v>201333B00002</v>
      </c>
      <c r="C2047" t="str">
        <f t="shared" si="98"/>
        <v>20</v>
      </c>
      <c r="D2047" t="s">
        <v>67</v>
      </c>
      <c r="E2047" t="str">
        <f t="shared" si="99"/>
        <v>009</v>
      </c>
      <c r="F2047" t="s">
        <v>2003</v>
      </c>
      <c r="G2047" t="str">
        <f>"1333"</f>
        <v>1333</v>
      </c>
      <c r="H2047" t="str">
        <f t="shared" si="100"/>
        <v>0000</v>
      </c>
      <c r="I2047" t="s">
        <v>69</v>
      </c>
      <c r="J2047">
        <v>0</v>
      </c>
      <c r="K2047">
        <v>1</v>
      </c>
      <c r="L2047">
        <v>2</v>
      </c>
      <c r="M2047">
        <v>132</v>
      </c>
      <c r="N2047">
        <v>99</v>
      </c>
      <c r="O2047">
        <v>0</v>
      </c>
      <c r="P2047">
        <v>99</v>
      </c>
      <c r="Q2047">
        <v>0</v>
      </c>
      <c r="R2047">
        <v>18</v>
      </c>
      <c r="S2047">
        <v>1</v>
      </c>
      <c r="T2047">
        <v>0</v>
      </c>
      <c r="U2047">
        <v>1</v>
      </c>
      <c r="V2047">
        <v>1</v>
      </c>
      <c r="W2047">
        <v>1</v>
      </c>
      <c r="X2047">
        <v>72</v>
      </c>
      <c r="Y2047">
        <v>0</v>
      </c>
      <c r="Z2047">
        <v>2</v>
      </c>
      <c r="AA2047">
        <v>0</v>
      </c>
      <c r="AB2047">
        <v>1</v>
      </c>
      <c r="AD2047">
        <v>0</v>
      </c>
      <c r="AE2047">
        <v>0</v>
      </c>
      <c r="AF2047">
        <v>0</v>
      </c>
      <c r="AG2047">
        <v>0</v>
      </c>
      <c r="AI2047">
        <v>0</v>
      </c>
      <c r="AJ2047">
        <v>2</v>
      </c>
      <c r="AK2047">
        <v>99</v>
      </c>
      <c r="AL2047">
        <v>99</v>
      </c>
      <c r="AM2047">
        <v>187</v>
      </c>
      <c r="AN2047">
        <v>44</v>
      </c>
      <c r="AP2047">
        <v>1</v>
      </c>
      <c r="AR2047" t="s">
        <v>2138</v>
      </c>
      <c r="AS2047" s="1">
        <v>44353.97152777778</v>
      </c>
      <c r="AT2047" s="1">
        <v>44353.97347222222</v>
      </c>
      <c r="AU2047" s="1">
        <v>44353.974166666667</v>
      </c>
      <c r="AV2047" t="s">
        <v>71</v>
      </c>
      <c r="AW2047" t="s">
        <v>72</v>
      </c>
      <c r="AX2047" t="s">
        <v>73</v>
      </c>
    </row>
    <row r="2048" spans="1:50" x14ac:dyDescent="0.3">
      <c r="A2048" t="str">
        <f>"201334B0000"</f>
        <v>201334B0000</v>
      </c>
      <c r="B2048" t="str">
        <f>"201334B00002"</f>
        <v>201334B00002</v>
      </c>
      <c r="C2048" t="str">
        <f t="shared" si="98"/>
        <v>20</v>
      </c>
      <c r="D2048" t="s">
        <v>67</v>
      </c>
      <c r="E2048" t="str">
        <f t="shared" si="99"/>
        <v>009</v>
      </c>
      <c r="F2048" t="s">
        <v>2003</v>
      </c>
      <c r="G2048" t="str">
        <f>"1334"</f>
        <v>1334</v>
      </c>
      <c r="H2048" t="str">
        <f t="shared" si="100"/>
        <v>0000</v>
      </c>
      <c r="I2048" t="s">
        <v>69</v>
      </c>
      <c r="J2048">
        <v>0</v>
      </c>
      <c r="K2048">
        <v>1</v>
      </c>
      <c r="L2048">
        <v>2</v>
      </c>
      <c r="M2048">
        <v>63</v>
      </c>
      <c r="N2048">
        <v>43</v>
      </c>
      <c r="O2048">
        <v>0</v>
      </c>
      <c r="P2048">
        <v>43</v>
      </c>
      <c r="Q2048">
        <v>0</v>
      </c>
      <c r="R2048">
        <v>13</v>
      </c>
      <c r="S2048">
        <v>1</v>
      </c>
      <c r="T2048">
        <v>0</v>
      </c>
      <c r="U2048">
        <v>0</v>
      </c>
      <c r="V2048">
        <v>0</v>
      </c>
      <c r="W2048">
        <v>0</v>
      </c>
      <c r="X2048">
        <v>23</v>
      </c>
      <c r="Y2048">
        <v>0</v>
      </c>
      <c r="Z2048">
        <v>0</v>
      </c>
      <c r="AA2048">
        <v>1</v>
      </c>
      <c r="AB2048">
        <v>1</v>
      </c>
      <c r="AD2048" t="s">
        <v>77</v>
      </c>
      <c r="AE2048" t="s">
        <v>77</v>
      </c>
      <c r="AF2048" t="s">
        <v>77</v>
      </c>
      <c r="AG2048" t="s">
        <v>77</v>
      </c>
      <c r="AI2048" t="s">
        <v>77</v>
      </c>
      <c r="AJ2048">
        <v>4</v>
      </c>
      <c r="AK2048">
        <v>43</v>
      </c>
      <c r="AL2048">
        <v>43</v>
      </c>
      <c r="AM2048">
        <v>62</v>
      </c>
      <c r="AN2048">
        <v>44</v>
      </c>
      <c r="AO2048" t="s">
        <v>78</v>
      </c>
      <c r="AP2048">
        <v>1</v>
      </c>
      <c r="AR2048" t="s">
        <v>2139</v>
      </c>
      <c r="AS2048" s="1">
        <v>44353.955555555556</v>
      </c>
      <c r="AT2048" s="1">
        <v>44353.958657407406</v>
      </c>
      <c r="AU2048" s="1">
        <v>44353.959155092591</v>
      </c>
      <c r="AV2048" t="s">
        <v>71</v>
      </c>
      <c r="AW2048" t="s">
        <v>72</v>
      </c>
      <c r="AX2048" t="s">
        <v>73</v>
      </c>
    </row>
    <row r="2049" spans="1:50" x14ac:dyDescent="0.3">
      <c r="A2049" t="str">
        <f>"201335B0000"</f>
        <v>201335B0000</v>
      </c>
      <c r="B2049" t="str">
        <f>"201335B00002"</f>
        <v>201335B00002</v>
      </c>
      <c r="C2049" t="str">
        <f t="shared" si="98"/>
        <v>20</v>
      </c>
      <c r="D2049" t="s">
        <v>67</v>
      </c>
      <c r="E2049" t="str">
        <f t="shared" si="99"/>
        <v>009</v>
      </c>
      <c r="F2049" t="s">
        <v>2003</v>
      </c>
      <c r="G2049" t="str">
        <f>"1335"</f>
        <v>1335</v>
      </c>
      <c r="H2049" t="str">
        <f t="shared" si="100"/>
        <v>0000</v>
      </c>
      <c r="I2049" t="s">
        <v>69</v>
      </c>
      <c r="J2049">
        <v>0</v>
      </c>
      <c r="K2049">
        <v>1</v>
      </c>
      <c r="L2049">
        <v>2</v>
      </c>
      <c r="M2049">
        <v>302</v>
      </c>
      <c r="N2049">
        <v>0</v>
      </c>
      <c r="O2049">
        <v>0</v>
      </c>
      <c r="P2049">
        <v>225</v>
      </c>
      <c r="Q2049">
        <v>2</v>
      </c>
      <c r="R2049">
        <v>70</v>
      </c>
      <c r="S2049">
        <v>6</v>
      </c>
      <c r="T2049">
        <v>1</v>
      </c>
      <c r="U2049">
        <v>9</v>
      </c>
      <c r="V2049">
        <v>7</v>
      </c>
      <c r="W2049">
        <v>0</v>
      </c>
      <c r="X2049">
        <v>113</v>
      </c>
      <c r="Y2049">
        <v>1</v>
      </c>
      <c r="Z2049">
        <v>3</v>
      </c>
      <c r="AA2049">
        <v>0</v>
      </c>
      <c r="AB2049">
        <v>2</v>
      </c>
      <c r="AD2049">
        <v>0</v>
      </c>
      <c r="AE2049">
        <v>0</v>
      </c>
      <c r="AF2049">
        <v>0</v>
      </c>
      <c r="AG2049">
        <v>0</v>
      </c>
      <c r="AI2049">
        <v>0</v>
      </c>
      <c r="AJ2049">
        <v>0</v>
      </c>
      <c r="AK2049">
        <v>0</v>
      </c>
      <c r="AL2049">
        <v>214</v>
      </c>
      <c r="AM2049">
        <v>483</v>
      </c>
      <c r="AN2049">
        <v>44</v>
      </c>
      <c r="AP2049">
        <v>1</v>
      </c>
      <c r="AR2049" t="s">
        <v>2140</v>
      </c>
      <c r="AS2049" s="1">
        <v>44353.956944444442</v>
      </c>
      <c r="AT2049" s="1">
        <v>44353.959687499999</v>
      </c>
      <c r="AU2049" s="1">
        <v>44353.960648148146</v>
      </c>
      <c r="AV2049" t="s">
        <v>71</v>
      </c>
      <c r="AW2049" t="s">
        <v>72</v>
      </c>
      <c r="AX2049" t="s">
        <v>73</v>
      </c>
    </row>
    <row r="2050" spans="1:50" x14ac:dyDescent="0.3">
      <c r="A2050" t="str">
        <f>"201352B0000"</f>
        <v>201352B0000</v>
      </c>
      <c r="B2050" t="str">
        <f>"201352B00002"</f>
        <v>201352B00002</v>
      </c>
      <c r="C2050" t="str">
        <f t="shared" si="98"/>
        <v>20</v>
      </c>
      <c r="D2050" t="s">
        <v>67</v>
      </c>
      <c r="E2050" t="str">
        <f t="shared" si="99"/>
        <v>009</v>
      </c>
      <c r="F2050" t="s">
        <v>2003</v>
      </c>
      <c r="G2050" t="str">
        <f>"1352"</f>
        <v>1352</v>
      </c>
      <c r="H2050" t="str">
        <f t="shared" si="100"/>
        <v>0000</v>
      </c>
      <c r="I2050" t="s">
        <v>69</v>
      </c>
      <c r="J2050">
        <v>0</v>
      </c>
      <c r="K2050">
        <v>1</v>
      </c>
      <c r="L2050">
        <v>2</v>
      </c>
      <c r="M2050">
        <v>144</v>
      </c>
      <c r="N2050">
        <v>111</v>
      </c>
      <c r="O2050">
        <v>9</v>
      </c>
      <c r="P2050">
        <v>111</v>
      </c>
      <c r="Q2050">
        <v>0</v>
      </c>
      <c r="R2050">
        <v>21</v>
      </c>
      <c r="S2050">
        <v>5</v>
      </c>
      <c r="T2050">
        <v>1</v>
      </c>
      <c r="U2050">
        <v>1</v>
      </c>
      <c r="V2050">
        <v>2</v>
      </c>
      <c r="W2050">
        <v>4</v>
      </c>
      <c r="X2050">
        <v>67</v>
      </c>
      <c r="Y2050">
        <v>5</v>
      </c>
      <c r="Z2050">
        <v>1</v>
      </c>
      <c r="AA2050">
        <v>1</v>
      </c>
      <c r="AB2050">
        <v>1</v>
      </c>
      <c r="AD2050">
        <v>0</v>
      </c>
      <c r="AE2050">
        <v>0</v>
      </c>
      <c r="AF2050">
        <v>0</v>
      </c>
      <c r="AG2050">
        <v>0</v>
      </c>
      <c r="AI2050">
        <v>0</v>
      </c>
      <c r="AJ2050">
        <v>2</v>
      </c>
      <c r="AK2050">
        <v>111</v>
      </c>
      <c r="AL2050">
        <v>111</v>
      </c>
      <c r="AM2050">
        <v>211</v>
      </c>
      <c r="AN2050">
        <v>44</v>
      </c>
      <c r="AP2050">
        <v>1</v>
      </c>
      <c r="AR2050" t="s">
        <v>2141</v>
      </c>
      <c r="AS2050" s="1">
        <v>44353.988194444442</v>
      </c>
      <c r="AT2050" s="1">
        <v>44353.99496527778</v>
      </c>
      <c r="AU2050" s="1">
        <v>44353.996087962965</v>
      </c>
      <c r="AV2050" t="s">
        <v>71</v>
      </c>
      <c r="AW2050" t="s">
        <v>72</v>
      </c>
      <c r="AX2050" t="s">
        <v>73</v>
      </c>
    </row>
    <row r="2051" spans="1:50" x14ac:dyDescent="0.3">
      <c r="A2051" t="str">
        <f>"201398B0000"</f>
        <v>201398B0000</v>
      </c>
      <c r="B2051" t="str">
        <f>"201398B00002"</f>
        <v>201398B00002</v>
      </c>
      <c r="C2051" t="str">
        <f t="shared" si="98"/>
        <v>20</v>
      </c>
      <c r="D2051" t="s">
        <v>67</v>
      </c>
      <c r="E2051" t="str">
        <f t="shared" si="99"/>
        <v>009</v>
      </c>
      <c r="F2051" t="s">
        <v>2003</v>
      </c>
      <c r="G2051" t="str">
        <f>"1398"</f>
        <v>1398</v>
      </c>
      <c r="H2051" t="str">
        <f t="shared" si="100"/>
        <v>0000</v>
      </c>
      <c r="I2051" t="s">
        <v>69</v>
      </c>
      <c r="J2051">
        <v>0</v>
      </c>
      <c r="K2051">
        <v>1</v>
      </c>
      <c r="L2051">
        <v>2</v>
      </c>
      <c r="M2051">
        <v>452</v>
      </c>
      <c r="N2051">
        <v>230</v>
      </c>
      <c r="O2051">
        <v>0</v>
      </c>
      <c r="P2051">
        <v>230</v>
      </c>
      <c r="Q2051">
        <v>6</v>
      </c>
      <c r="R2051">
        <v>12</v>
      </c>
      <c r="S2051">
        <v>16</v>
      </c>
      <c r="T2051">
        <v>3</v>
      </c>
      <c r="U2051">
        <v>14</v>
      </c>
      <c r="V2051">
        <v>2</v>
      </c>
      <c r="W2051">
        <v>3</v>
      </c>
      <c r="X2051">
        <v>162</v>
      </c>
      <c r="Y2051">
        <v>2</v>
      </c>
      <c r="Z2051">
        <v>1</v>
      </c>
      <c r="AA2051">
        <v>1</v>
      </c>
      <c r="AB2051">
        <v>1</v>
      </c>
      <c r="AD2051">
        <v>0</v>
      </c>
      <c r="AE2051">
        <v>0</v>
      </c>
      <c r="AF2051">
        <v>0</v>
      </c>
      <c r="AG2051">
        <v>0</v>
      </c>
      <c r="AI2051">
        <v>0</v>
      </c>
      <c r="AJ2051">
        <v>7</v>
      </c>
      <c r="AK2051">
        <v>230</v>
      </c>
      <c r="AL2051">
        <v>230</v>
      </c>
      <c r="AM2051">
        <v>638</v>
      </c>
      <c r="AN2051">
        <v>44</v>
      </c>
      <c r="AP2051">
        <v>1</v>
      </c>
      <c r="AR2051" t="s">
        <v>2142</v>
      </c>
      <c r="AS2051" s="1">
        <v>44353.977083333331</v>
      </c>
      <c r="AT2051" s="1">
        <v>44353.979560185187</v>
      </c>
      <c r="AU2051" s="1">
        <v>44353.98</v>
      </c>
      <c r="AV2051" t="s">
        <v>71</v>
      </c>
      <c r="AW2051" t="s">
        <v>72</v>
      </c>
      <c r="AX2051" t="s">
        <v>73</v>
      </c>
    </row>
    <row r="2052" spans="1:50" x14ac:dyDescent="0.3">
      <c r="A2052" t="str">
        <f>"201399B0000"</f>
        <v>201399B0000</v>
      </c>
      <c r="B2052" t="str">
        <f>"201399B00002"</f>
        <v>201399B00002</v>
      </c>
      <c r="C2052" t="str">
        <f t="shared" si="98"/>
        <v>20</v>
      </c>
      <c r="D2052" t="s">
        <v>67</v>
      </c>
      <c r="E2052" t="str">
        <f t="shared" si="99"/>
        <v>009</v>
      </c>
      <c r="F2052" t="s">
        <v>2003</v>
      </c>
      <c r="G2052" t="str">
        <f>"1399"</f>
        <v>1399</v>
      </c>
      <c r="H2052" t="str">
        <f t="shared" si="100"/>
        <v>0000</v>
      </c>
      <c r="I2052" t="s">
        <v>69</v>
      </c>
      <c r="J2052">
        <v>0</v>
      </c>
      <c r="K2052">
        <v>1</v>
      </c>
      <c r="L2052">
        <v>2</v>
      </c>
      <c r="M2052">
        <v>434</v>
      </c>
      <c r="N2052">
        <v>302</v>
      </c>
      <c r="O2052">
        <v>0</v>
      </c>
      <c r="P2052">
        <v>302</v>
      </c>
      <c r="Q2052">
        <v>7</v>
      </c>
      <c r="R2052">
        <v>15</v>
      </c>
      <c r="S2052">
        <v>8</v>
      </c>
      <c r="T2052">
        <v>2</v>
      </c>
      <c r="U2052">
        <v>36</v>
      </c>
      <c r="V2052">
        <v>2</v>
      </c>
      <c r="W2052">
        <v>5</v>
      </c>
      <c r="X2052">
        <v>213</v>
      </c>
      <c r="Y2052">
        <v>1</v>
      </c>
      <c r="Z2052">
        <v>1</v>
      </c>
      <c r="AA2052">
        <v>0</v>
      </c>
      <c r="AB2052">
        <v>3</v>
      </c>
      <c r="AD2052">
        <v>0</v>
      </c>
      <c r="AE2052">
        <v>0</v>
      </c>
      <c r="AF2052">
        <v>0</v>
      </c>
      <c r="AG2052">
        <v>1</v>
      </c>
      <c r="AI2052">
        <v>1</v>
      </c>
      <c r="AJ2052">
        <v>7</v>
      </c>
      <c r="AK2052">
        <v>302</v>
      </c>
      <c r="AL2052">
        <v>302</v>
      </c>
      <c r="AM2052">
        <v>692</v>
      </c>
      <c r="AN2052">
        <v>44</v>
      </c>
      <c r="AP2052">
        <v>1</v>
      </c>
      <c r="AR2052" t="s">
        <v>2143</v>
      </c>
      <c r="AS2052" s="1">
        <v>44353.976388888892</v>
      </c>
      <c r="AT2052" s="1">
        <v>44353.979004629633</v>
      </c>
      <c r="AU2052" s="1">
        <v>44353.97928240741</v>
      </c>
      <c r="AV2052" t="s">
        <v>71</v>
      </c>
      <c r="AW2052" t="s">
        <v>72</v>
      </c>
      <c r="AX2052" t="s">
        <v>73</v>
      </c>
    </row>
    <row r="2053" spans="1:50" x14ac:dyDescent="0.3">
      <c r="A2053" t="str">
        <f>"201400B0000"</f>
        <v>201400B0000</v>
      </c>
      <c r="B2053" t="str">
        <f>"201400B00002"</f>
        <v>201400B00002</v>
      </c>
      <c r="C2053" t="str">
        <f t="shared" si="98"/>
        <v>20</v>
      </c>
      <c r="D2053" t="s">
        <v>67</v>
      </c>
      <c r="E2053" t="str">
        <f t="shared" si="99"/>
        <v>009</v>
      </c>
      <c r="F2053" t="s">
        <v>2003</v>
      </c>
      <c r="G2053" t="str">
        <f>"1400"</f>
        <v>1400</v>
      </c>
      <c r="H2053" t="str">
        <f t="shared" si="100"/>
        <v>0000</v>
      </c>
      <c r="I2053" t="s">
        <v>69</v>
      </c>
      <c r="J2053">
        <v>0</v>
      </c>
      <c r="K2053">
        <v>1</v>
      </c>
      <c r="L2053">
        <v>2</v>
      </c>
      <c r="M2053">
        <v>156</v>
      </c>
      <c r="N2053">
        <v>59</v>
      </c>
      <c r="O2053">
        <v>4</v>
      </c>
      <c r="P2053">
        <v>59</v>
      </c>
      <c r="Q2053">
        <v>2</v>
      </c>
      <c r="R2053">
        <v>11</v>
      </c>
      <c r="S2053">
        <v>0</v>
      </c>
      <c r="T2053">
        <v>2</v>
      </c>
      <c r="U2053">
        <v>12</v>
      </c>
      <c r="V2053">
        <v>1</v>
      </c>
      <c r="W2053">
        <v>0</v>
      </c>
      <c r="X2053">
        <v>25</v>
      </c>
      <c r="Y2053">
        <v>0</v>
      </c>
      <c r="Z2053">
        <v>2</v>
      </c>
      <c r="AA2053">
        <v>0</v>
      </c>
      <c r="AB2053">
        <v>2</v>
      </c>
      <c r="AD2053">
        <v>0</v>
      </c>
      <c r="AE2053">
        <v>0</v>
      </c>
      <c r="AF2053">
        <v>0</v>
      </c>
      <c r="AG2053">
        <v>0</v>
      </c>
      <c r="AI2053">
        <v>0</v>
      </c>
      <c r="AJ2053">
        <v>2</v>
      </c>
      <c r="AK2053">
        <v>59</v>
      </c>
      <c r="AL2053">
        <v>59</v>
      </c>
      <c r="AM2053">
        <v>171</v>
      </c>
      <c r="AN2053">
        <v>44</v>
      </c>
      <c r="AP2053">
        <v>1</v>
      </c>
      <c r="AR2053" t="s">
        <v>2144</v>
      </c>
      <c r="AS2053" s="1">
        <v>44354.003472222219</v>
      </c>
      <c r="AT2053" s="1">
        <v>44354.010208333333</v>
      </c>
      <c r="AU2053" s="1">
        <v>44354.010787037034</v>
      </c>
      <c r="AV2053" t="s">
        <v>71</v>
      </c>
      <c r="AW2053" t="s">
        <v>72</v>
      </c>
      <c r="AX2053" t="s">
        <v>73</v>
      </c>
    </row>
    <row r="2054" spans="1:50" x14ac:dyDescent="0.3">
      <c r="A2054" t="str">
        <f>"201400E0100"</f>
        <v>201400E0100</v>
      </c>
      <c r="B2054" t="str">
        <f>"201400E01002"</f>
        <v>201400E01002</v>
      </c>
      <c r="C2054" t="str">
        <f t="shared" si="98"/>
        <v>20</v>
      </c>
      <c r="D2054" t="s">
        <v>67</v>
      </c>
      <c r="E2054" t="str">
        <f t="shared" si="99"/>
        <v>009</v>
      </c>
      <c r="F2054" t="s">
        <v>2003</v>
      </c>
      <c r="G2054" t="str">
        <f>"1400"</f>
        <v>1400</v>
      </c>
      <c r="H2054" t="str">
        <f>"0001"</f>
        <v>0001</v>
      </c>
      <c r="I2054" t="s">
        <v>109</v>
      </c>
      <c r="J2054">
        <v>0</v>
      </c>
      <c r="K2054">
        <v>1</v>
      </c>
      <c r="L2054">
        <v>2</v>
      </c>
      <c r="M2054">
        <v>83</v>
      </c>
      <c r="N2054">
        <v>128</v>
      </c>
      <c r="O2054">
        <v>1</v>
      </c>
      <c r="P2054">
        <v>128</v>
      </c>
      <c r="Q2054">
        <v>2</v>
      </c>
      <c r="R2054">
        <v>2</v>
      </c>
      <c r="S2054">
        <v>2</v>
      </c>
      <c r="T2054">
        <v>0</v>
      </c>
      <c r="U2054">
        <v>3</v>
      </c>
      <c r="V2054">
        <v>1</v>
      </c>
      <c r="W2054">
        <v>0</v>
      </c>
      <c r="X2054">
        <v>110</v>
      </c>
      <c r="Y2054">
        <v>1</v>
      </c>
      <c r="Z2054">
        <v>2</v>
      </c>
      <c r="AA2054">
        <v>2</v>
      </c>
      <c r="AB2054">
        <v>0</v>
      </c>
      <c r="AD2054">
        <v>0</v>
      </c>
      <c r="AE2054">
        <v>0</v>
      </c>
      <c r="AF2054">
        <v>0</v>
      </c>
      <c r="AG2054">
        <v>0</v>
      </c>
      <c r="AI2054">
        <v>0</v>
      </c>
      <c r="AJ2054">
        <v>3</v>
      </c>
      <c r="AK2054">
        <v>128</v>
      </c>
      <c r="AL2054">
        <v>128</v>
      </c>
      <c r="AM2054">
        <v>167</v>
      </c>
      <c r="AN2054">
        <v>44</v>
      </c>
      <c r="AP2054">
        <v>1</v>
      </c>
      <c r="AR2054" t="s">
        <v>2145</v>
      </c>
      <c r="AS2054" s="1">
        <v>44354.002083333333</v>
      </c>
      <c r="AT2054" s="1">
        <v>44354.009664351855</v>
      </c>
      <c r="AU2054" s="1">
        <v>44354.010069444441</v>
      </c>
      <c r="AV2054" t="s">
        <v>71</v>
      </c>
      <c r="AW2054" t="s">
        <v>72</v>
      </c>
      <c r="AX2054" t="s">
        <v>73</v>
      </c>
    </row>
    <row r="2055" spans="1:50" x14ac:dyDescent="0.3">
      <c r="A2055" t="str">
        <f>"201416B0000"</f>
        <v>201416B0000</v>
      </c>
      <c r="B2055" t="str">
        <f>"201416B00002"</f>
        <v>201416B00002</v>
      </c>
      <c r="C2055" t="str">
        <f t="shared" ref="C2055:C2118" si="101">"20"</f>
        <v>20</v>
      </c>
      <c r="D2055" t="s">
        <v>67</v>
      </c>
      <c r="E2055" t="str">
        <f t="shared" si="99"/>
        <v>009</v>
      </c>
      <c r="F2055" t="s">
        <v>2003</v>
      </c>
      <c r="G2055" t="str">
        <f>"1416"</f>
        <v>1416</v>
      </c>
      <c r="H2055" t="str">
        <f>"0000"</f>
        <v>0000</v>
      </c>
      <c r="I2055" t="s">
        <v>69</v>
      </c>
      <c r="J2055">
        <v>0</v>
      </c>
      <c r="K2055">
        <v>1</v>
      </c>
      <c r="L2055">
        <v>2</v>
      </c>
      <c r="M2055">
        <v>329</v>
      </c>
      <c r="N2055">
        <v>179</v>
      </c>
      <c r="O2055">
        <v>4</v>
      </c>
      <c r="P2055">
        <v>179</v>
      </c>
      <c r="Q2055">
        <v>4</v>
      </c>
      <c r="R2055">
        <v>22</v>
      </c>
      <c r="S2055">
        <v>0</v>
      </c>
      <c r="T2055">
        <v>1</v>
      </c>
      <c r="U2055">
        <v>4</v>
      </c>
      <c r="V2055">
        <v>2</v>
      </c>
      <c r="W2055">
        <v>10</v>
      </c>
      <c r="X2055">
        <v>125</v>
      </c>
      <c r="Y2055">
        <v>0</v>
      </c>
      <c r="Z2055">
        <v>4</v>
      </c>
      <c r="AA2055">
        <v>1</v>
      </c>
      <c r="AB2055">
        <v>0</v>
      </c>
      <c r="AD2055">
        <v>0</v>
      </c>
      <c r="AE2055">
        <v>0</v>
      </c>
      <c r="AF2055">
        <v>0</v>
      </c>
      <c r="AG2055">
        <v>0</v>
      </c>
      <c r="AI2055">
        <v>0</v>
      </c>
      <c r="AJ2055">
        <v>6</v>
      </c>
      <c r="AK2055">
        <v>179</v>
      </c>
      <c r="AL2055">
        <v>179</v>
      </c>
      <c r="AM2055">
        <v>464</v>
      </c>
      <c r="AN2055">
        <v>44</v>
      </c>
      <c r="AP2055">
        <v>1</v>
      </c>
      <c r="AR2055" t="s">
        <v>2146</v>
      </c>
      <c r="AS2055" s="1">
        <v>44354.132638888892</v>
      </c>
      <c r="AT2055" s="1">
        <v>44354.135208333333</v>
      </c>
      <c r="AU2055" s="1">
        <v>44354.135833333334</v>
      </c>
      <c r="AV2055" t="s">
        <v>71</v>
      </c>
      <c r="AW2055" t="s">
        <v>72</v>
      </c>
      <c r="AX2055" t="s">
        <v>73</v>
      </c>
    </row>
    <row r="2056" spans="1:50" x14ac:dyDescent="0.3">
      <c r="A2056" t="str">
        <f>"201437B0000"</f>
        <v>201437B0000</v>
      </c>
      <c r="B2056" t="str">
        <f>"201437B00002"</f>
        <v>201437B00002</v>
      </c>
      <c r="C2056" t="str">
        <f t="shared" si="101"/>
        <v>20</v>
      </c>
      <c r="D2056" t="s">
        <v>67</v>
      </c>
      <c r="E2056" t="str">
        <f t="shared" si="99"/>
        <v>009</v>
      </c>
      <c r="F2056" t="s">
        <v>2003</v>
      </c>
      <c r="G2056" t="str">
        <f>"1437"</f>
        <v>1437</v>
      </c>
      <c r="H2056" t="str">
        <f>"0000"</f>
        <v>0000</v>
      </c>
      <c r="I2056" t="s">
        <v>69</v>
      </c>
      <c r="J2056">
        <v>0</v>
      </c>
      <c r="K2056">
        <v>1</v>
      </c>
      <c r="L2056">
        <v>2</v>
      </c>
      <c r="M2056">
        <v>207</v>
      </c>
      <c r="N2056">
        <v>163</v>
      </c>
      <c r="O2056">
        <v>0</v>
      </c>
      <c r="P2056">
        <v>163</v>
      </c>
      <c r="Q2056">
        <v>2</v>
      </c>
      <c r="R2056">
        <v>10</v>
      </c>
      <c r="S2056">
        <v>3</v>
      </c>
      <c r="T2056">
        <v>0</v>
      </c>
      <c r="U2056">
        <v>7</v>
      </c>
      <c r="V2056">
        <v>1</v>
      </c>
      <c r="W2056">
        <v>5</v>
      </c>
      <c r="X2056">
        <v>126</v>
      </c>
      <c r="Y2056">
        <v>2</v>
      </c>
      <c r="Z2056">
        <v>3</v>
      </c>
      <c r="AA2056">
        <v>1</v>
      </c>
      <c r="AB2056">
        <v>0</v>
      </c>
      <c r="AD2056">
        <v>0</v>
      </c>
      <c r="AE2056">
        <v>0</v>
      </c>
      <c r="AF2056">
        <v>0</v>
      </c>
      <c r="AG2056">
        <v>0</v>
      </c>
      <c r="AI2056">
        <v>0</v>
      </c>
      <c r="AJ2056">
        <v>3</v>
      </c>
      <c r="AK2056">
        <v>163</v>
      </c>
      <c r="AL2056">
        <v>163</v>
      </c>
      <c r="AM2056">
        <v>326</v>
      </c>
      <c r="AN2056">
        <v>44</v>
      </c>
      <c r="AP2056">
        <v>1</v>
      </c>
      <c r="AR2056" t="s">
        <v>2147</v>
      </c>
      <c r="AS2056" s="1">
        <v>44353.998611111114</v>
      </c>
      <c r="AT2056" s="1">
        <v>44354.004189814812</v>
      </c>
      <c r="AU2056" s="1">
        <v>44354.004664351851</v>
      </c>
      <c r="AV2056" t="s">
        <v>71</v>
      </c>
      <c r="AW2056" t="s">
        <v>72</v>
      </c>
      <c r="AX2056" t="s">
        <v>73</v>
      </c>
    </row>
    <row r="2057" spans="1:50" x14ac:dyDescent="0.3">
      <c r="A2057" t="str">
        <f>"201437E0100"</f>
        <v>201437E0100</v>
      </c>
      <c r="B2057" t="str">
        <f>"201437E01002"</f>
        <v>201437E01002</v>
      </c>
      <c r="C2057" t="str">
        <f t="shared" si="101"/>
        <v>20</v>
      </c>
      <c r="D2057" t="s">
        <v>67</v>
      </c>
      <c r="E2057" t="str">
        <f t="shared" si="99"/>
        <v>009</v>
      </c>
      <c r="F2057" t="s">
        <v>2003</v>
      </c>
      <c r="G2057" t="str">
        <f>"1437"</f>
        <v>1437</v>
      </c>
      <c r="H2057" t="str">
        <f>"0001"</f>
        <v>0001</v>
      </c>
      <c r="I2057" t="s">
        <v>109</v>
      </c>
      <c r="J2057">
        <v>0</v>
      </c>
      <c r="K2057">
        <v>1</v>
      </c>
      <c r="L2057">
        <v>2</v>
      </c>
      <c r="M2057">
        <v>240</v>
      </c>
      <c r="N2057">
        <v>228</v>
      </c>
      <c r="O2057">
        <v>0</v>
      </c>
      <c r="P2057">
        <v>228</v>
      </c>
      <c r="Q2057">
        <v>4</v>
      </c>
      <c r="R2057">
        <v>56</v>
      </c>
      <c r="S2057">
        <v>77</v>
      </c>
      <c r="T2057">
        <v>3</v>
      </c>
      <c r="U2057">
        <v>16</v>
      </c>
      <c r="V2057">
        <v>1</v>
      </c>
      <c r="W2057">
        <v>2</v>
      </c>
      <c r="X2057">
        <v>51</v>
      </c>
      <c r="Y2057">
        <v>0</v>
      </c>
      <c r="Z2057">
        <v>6</v>
      </c>
      <c r="AA2057">
        <v>4</v>
      </c>
      <c r="AB2057">
        <v>1</v>
      </c>
      <c r="AD2057">
        <v>0</v>
      </c>
      <c r="AE2057">
        <v>0</v>
      </c>
      <c r="AF2057">
        <v>1</v>
      </c>
      <c r="AG2057">
        <v>0</v>
      </c>
      <c r="AI2057">
        <v>1</v>
      </c>
      <c r="AJ2057">
        <v>5</v>
      </c>
      <c r="AK2057">
        <v>228</v>
      </c>
      <c r="AL2057">
        <v>228</v>
      </c>
      <c r="AM2057">
        <v>424</v>
      </c>
      <c r="AN2057">
        <v>44</v>
      </c>
      <c r="AP2057">
        <v>1</v>
      </c>
      <c r="AR2057" t="s">
        <v>2148</v>
      </c>
      <c r="AS2057" s="1">
        <v>44353.999305555553</v>
      </c>
      <c r="AT2057" s="1">
        <v>44354.005509259259</v>
      </c>
      <c r="AU2057" s="1">
        <v>44354.006331018521</v>
      </c>
      <c r="AV2057" t="s">
        <v>71</v>
      </c>
      <c r="AW2057" t="s">
        <v>72</v>
      </c>
      <c r="AX2057" t="s">
        <v>73</v>
      </c>
    </row>
    <row r="2058" spans="1:50" x14ac:dyDescent="0.3">
      <c r="A2058" t="str">
        <f>"201448B0000"</f>
        <v>201448B0000</v>
      </c>
      <c r="B2058" t="str">
        <f>"201448B00002"</f>
        <v>201448B00002</v>
      </c>
      <c r="C2058" t="str">
        <f t="shared" si="101"/>
        <v>20</v>
      </c>
      <c r="D2058" t="s">
        <v>67</v>
      </c>
      <c r="E2058" t="str">
        <f t="shared" si="99"/>
        <v>009</v>
      </c>
      <c r="F2058" t="s">
        <v>2003</v>
      </c>
      <c r="G2058" t="str">
        <f>"1448"</f>
        <v>1448</v>
      </c>
      <c r="H2058" t="str">
        <f>"0000"</f>
        <v>0000</v>
      </c>
      <c r="I2058" t="s">
        <v>69</v>
      </c>
      <c r="J2058">
        <v>0</v>
      </c>
      <c r="K2058">
        <v>1</v>
      </c>
      <c r="L2058">
        <v>2</v>
      </c>
      <c r="M2058">
        <v>293</v>
      </c>
      <c r="N2058">
        <v>140</v>
      </c>
      <c r="O2058">
        <v>0</v>
      </c>
      <c r="P2058">
        <v>140</v>
      </c>
      <c r="Q2058">
        <v>1</v>
      </c>
      <c r="R2058">
        <v>6</v>
      </c>
      <c r="S2058">
        <v>4</v>
      </c>
      <c r="T2058">
        <v>1</v>
      </c>
      <c r="U2058">
        <v>3</v>
      </c>
      <c r="V2058">
        <v>3</v>
      </c>
      <c r="W2058">
        <v>1</v>
      </c>
      <c r="X2058">
        <v>109</v>
      </c>
      <c r="Y2058">
        <v>0</v>
      </c>
      <c r="Z2058">
        <v>4</v>
      </c>
      <c r="AA2058">
        <v>1</v>
      </c>
      <c r="AB2058">
        <v>0</v>
      </c>
      <c r="AD2058">
        <v>0</v>
      </c>
      <c r="AE2058">
        <v>1</v>
      </c>
      <c r="AF2058">
        <v>0</v>
      </c>
      <c r="AG2058">
        <v>0</v>
      </c>
      <c r="AI2058">
        <v>0</v>
      </c>
      <c r="AJ2058">
        <v>6</v>
      </c>
      <c r="AK2058">
        <v>140</v>
      </c>
      <c r="AL2058">
        <v>140</v>
      </c>
      <c r="AM2058">
        <v>389</v>
      </c>
      <c r="AN2058">
        <v>44</v>
      </c>
      <c r="AP2058">
        <v>1</v>
      </c>
      <c r="AR2058" t="s">
        <v>2149</v>
      </c>
      <c r="AS2058" s="1">
        <v>44354.136111111111</v>
      </c>
      <c r="AT2058" s="1">
        <v>44354.1405787037</v>
      </c>
      <c r="AU2058" s="1">
        <v>44354.141215277778</v>
      </c>
      <c r="AV2058" t="s">
        <v>71</v>
      </c>
      <c r="AW2058" t="s">
        <v>72</v>
      </c>
      <c r="AX2058" t="s">
        <v>73</v>
      </c>
    </row>
    <row r="2059" spans="1:50" x14ac:dyDescent="0.3">
      <c r="A2059" t="str">
        <f>"201448C0100"</f>
        <v>201448C0100</v>
      </c>
      <c r="B2059" t="str">
        <f>"201448C01002"</f>
        <v>201448C01002</v>
      </c>
      <c r="C2059" t="str">
        <f t="shared" si="101"/>
        <v>20</v>
      </c>
      <c r="D2059" t="s">
        <v>67</v>
      </c>
      <c r="E2059" t="str">
        <f t="shared" si="99"/>
        <v>009</v>
      </c>
      <c r="F2059" t="s">
        <v>2003</v>
      </c>
      <c r="G2059" t="str">
        <f>"1448"</f>
        <v>1448</v>
      </c>
      <c r="H2059" t="str">
        <f>"0001"</f>
        <v>0001</v>
      </c>
      <c r="I2059" t="s">
        <v>75</v>
      </c>
      <c r="J2059">
        <v>0</v>
      </c>
      <c r="K2059">
        <v>1</v>
      </c>
      <c r="L2059">
        <v>2</v>
      </c>
      <c r="M2059">
        <v>327</v>
      </c>
      <c r="N2059">
        <v>106</v>
      </c>
      <c r="O2059">
        <v>0</v>
      </c>
      <c r="P2059">
        <v>106</v>
      </c>
      <c r="Q2059">
        <v>0</v>
      </c>
      <c r="R2059">
        <v>8</v>
      </c>
      <c r="S2059">
        <v>3</v>
      </c>
      <c r="T2059">
        <v>0</v>
      </c>
      <c r="U2059">
        <v>2</v>
      </c>
      <c r="V2059">
        <v>2</v>
      </c>
      <c r="W2059">
        <v>2</v>
      </c>
      <c r="X2059">
        <v>86</v>
      </c>
      <c r="Y2059">
        <v>0</v>
      </c>
      <c r="Z2059">
        <v>1</v>
      </c>
      <c r="AA2059">
        <v>0</v>
      </c>
      <c r="AB2059">
        <v>0</v>
      </c>
      <c r="AD2059">
        <v>0</v>
      </c>
      <c r="AE2059">
        <v>0</v>
      </c>
      <c r="AF2059">
        <v>0</v>
      </c>
      <c r="AG2059">
        <v>0</v>
      </c>
      <c r="AI2059">
        <v>0</v>
      </c>
      <c r="AJ2059">
        <v>2</v>
      </c>
      <c r="AK2059">
        <v>106</v>
      </c>
      <c r="AL2059">
        <v>106</v>
      </c>
      <c r="AM2059">
        <v>389</v>
      </c>
      <c r="AN2059">
        <v>44</v>
      </c>
      <c r="AP2059">
        <v>1</v>
      </c>
      <c r="AR2059" t="s">
        <v>2150</v>
      </c>
      <c r="AS2059" s="1">
        <v>44354.140277777777</v>
      </c>
      <c r="AT2059" s="1">
        <v>44354.142939814818</v>
      </c>
      <c r="AU2059" s="1">
        <v>44354.143333333333</v>
      </c>
      <c r="AV2059" t="s">
        <v>71</v>
      </c>
      <c r="AW2059" t="s">
        <v>72</v>
      </c>
      <c r="AX2059" t="s">
        <v>73</v>
      </c>
    </row>
    <row r="2060" spans="1:50" x14ac:dyDescent="0.3">
      <c r="A2060" t="str">
        <f>"201458B0000"</f>
        <v>201458B0000</v>
      </c>
      <c r="B2060" t="str">
        <f>"201458B00002"</f>
        <v>201458B00002</v>
      </c>
      <c r="C2060" t="str">
        <f t="shared" si="101"/>
        <v>20</v>
      </c>
      <c r="D2060" t="s">
        <v>67</v>
      </c>
      <c r="E2060" t="str">
        <f t="shared" si="99"/>
        <v>009</v>
      </c>
      <c r="F2060" t="s">
        <v>2003</v>
      </c>
      <c r="G2060" t="str">
        <f>"1458"</f>
        <v>1458</v>
      </c>
      <c r="H2060" t="str">
        <f>"0000"</f>
        <v>0000</v>
      </c>
      <c r="I2060" t="s">
        <v>69</v>
      </c>
      <c r="J2060">
        <v>0</v>
      </c>
      <c r="K2060">
        <v>1</v>
      </c>
      <c r="L2060">
        <v>2</v>
      </c>
      <c r="M2060" t="s">
        <v>80</v>
      </c>
      <c r="N2060" t="s">
        <v>80</v>
      </c>
      <c r="O2060" t="s">
        <v>80</v>
      </c>
      <c r="P2060" t="s">
        <v>80</v>
      </c>
      <c r="Q2060" t="s">
        <v>77</v>
      </c>
      <c r="R2060" t="s">
        <v>77</v>
      </c>
      <c r="S2060" t="s">
        <v>77</v>
      </c>
      <c r="T2060" t="s">
        <v>77</v>
      </c>
      <c r="U2060" t="s">
        <v>77</v>
      </c>
      <c r="V2060" t="s">
        <v>77</v>
      </c>
      <c r="W2060" t="s">
        <v>77</v>
      </c>
      <c r="X2060" t="s">
        <v>77</v>
      </c>
      <c r="Y2060" t="s">
        <v>77</v>
      </c>
      <c r="Z2060" t="s">
        <v>77</v>
      </c>
      <c r="AA2060" t="s">
        <v>77</v>
      </c>
      <c r="AB2060" t="s">
        <v>77</v>
      </c>
      <c r="AD2060" t="s">
        <v>77</v>
      </c>
      <c r="AE2060" t="s">
        <v>77</v>
      </c>
      <c r="AF2060" t="s">
        <v>77</v>
      </c>
      <c r="AG2060" t="s">
        <v>77</v>
      </c>
      <c r="AI2060" t="s">
        <v>77</v>
      </c>
      <c r="AJ2060" t="s">
        <v>77</v>
      </c>
      <c r="AM2060">
        <v>418</v>
      </c>
      <c r="AN2060">
        <v>44</v>
      </c>
      <c r="AO2060" t="s">
        <v>392</v>
      </c>
      <c r="AP2060">
        <v>0</v>
      </c>
      <c r="AR2060" t="s">
        <v>2151</v>
      </c>
      <c r="AS2060" s="1">
        <v>44354.144444444442</v>
      </c>
      <c r="AT2060" s="1">
        <v>44354.148379629631</v>
      </c>
      <c r="AU2060" s="1">
        <v>44354.163321759261</v>
      </c>
      <c r="AV2060" t="s">
        <v>71</v>
      </c>
      <c r="AW2060" t="s">
        <v>72</v>
      </c>
      <c r="AX2060" t="s">
        <v>73</v>
      </c>
    </row>
    <row r="2061" spans="1:50" x14ac:dyDescent="0.3">
      <c r="A2061" t="str">
        <f>"201458C0100"</f>
        <v>201458C0100</v>
      </c>
      <c r="B2061" t="str">
        <f>"201458C01002"</f>
        <v>201458C01002</v>
      </c>
      <c r="C2061" t="str">
        <f t="shared" si="101"/>
        <v>20</v>
      </c>
      <c r="D2061" t="s">
        <v>67</v>
      </c>
      <c r="E2061" t="str">
        <f t="shared" si="99"/>
        <v>009</v>
      </c>
      <c r="F2061" t="s">
        <v>2003</v>
      </c>
      <c r="G2061" t="str">
        <f>"1458"</f>
        <v>1458</v>
      </c>
      <c r="H2061" t="str">
        <f>"0001"</f>
        <v>0001</v>
      </c>
      <c r="I2061" t="s">
        <v>75</v>
      </c>
      <c r="J2061">
        <v>0</v>
      </c>
      <c r="K2061">
        <v>1</v>
      </c>
      <c r="L2061">
        <v>2</v>
      </c>
      <c r="M2061">
        <v>279</v>
      </c>
      <c r="N2061" t="s">
        <v>80</v>
      </c>
      <c r="O2061">
        <v>182</v>
      </c>
      <c r="P2061" t="s">
        <v>80</v>
      </c>
      <c r="Q2061">
        <v>1</v>
      </c>
      <c r="R2061">
        <v>25</v>
      </c>
      <c r="S2061">
        <v>3</v>
      </c>
      <c r="T2061">
        <v>2</v>
      </c>
      <c r="U2061">
        <v>4</v>
      </c>
      <c r="V2061">
        <v>2</v>
      </c>
      <c r="W2061">
        <v>3</v>
      </c>
      <c r="X2061">
        <v>134</v>
      </c>
      <c r="Y2061" t="s">
        <v>77</v>
      </c>
      <c r="Z2061" t="s">
        <v>77</v>
      </c>
      <c r="AA2061">
        <v>1</v>
      </c>
      <c r="AB2061" t="s">
        <v>77</v>
      </c>
      <c r="AD2061">
        <v>1</v>
      </c>
      <c r="AE2061">
        <v>1</v>
      </c>
      <c r="AF2061" t="s">
        <v>77</v>
      </c>
      <c r="AG2061" t="s">
        <v>77</v>
      </c>
      <c r="AI2061" t="s">
        <v>77</v>
      </c>
      <c r="AJ2061">
        <v>6</v>
      </c>
      <c r="AK2061">
        <v>182</v>
      </c>
      <c r="AL2061">
        <v>183</v>
      </c>
      <c r="AM2061">
        <v>418</v>
      </c>
      <c r="AN2061">
        <v>44</v>
      </c>
      <c r="AO2061" t="s">
        <v>78</v>
      </c>
      <c r="AP2061">
        <v>1</v>
      </c>
      <c r="AR2061" t="s">
        <v>2152</v>
      </c>
      <c r="AS2061" s="1">
        <v>44354.145833333336</v>
      </c>
      <c r="AT2061" s="1">
        <v>44354.151493055557</v>
      </c>
      <c r="AU2061" s="1">
        <v>44354.151967592596</v>
      </c>
      <c r="AV2061" t="s">
        <v>71</v>
      </c>
      <c r="AW2061" t="s">
        <v>72</v>
      </c>
      <c r="AX2061" t="s">
        <v>73</v>
      </c>
    </row>
    <row r="2062" spans="1:50" x14ac:dyDescent="0.3">
      <c r="A2062" t="str">
        <f>"201601B0000"</f>
        <v>201601B0000</v>
      </c>
      <c r="B2062" t="str">
        <f>"201601B00002"</f>
        <v>201601B00002</v>
      </c>
      <c r="C2062" t="str">
        <f t="shared" si="101"/>
        <v>20</v>
      </c>
      <c r="D2062" t="s">
        <v>67</v>
      </c>
      <c r="E2062" t="str">
        <f t="shared" si="99"/>
        <v>009</v>
      </c>
      <c r="F2062" t="s">
        <v>2003</v>
      </c>
      <c r="G2062" t="str">
        <f>"1601"</f>
        <v>1601</v>
      </c>
      <c r="H2062" t="str">
        <f>"0000"</f>
        <v>0000</v>
      </c>
      <c r="I2062" t="s">
        <v>69</v>
      </c>
      <c r="J2062">
        <v>0</v>
      </c>
      <c r="K2062">
        <v>1</v>
      </c>
      <c r="L2062">
        <v>2</v>
      </c>
      <c r="M2062">
        <v>269</v>
      </c>
      <c r="N2062">
        <v>134</v>
      </c>
      <c r="O2062">
        <v>0</v>
      </c>
      <c r="P2062">
        <v>134</v>
      </c>
      <c r="Q2062">
        <v>4</v>
      </c>
      <c r="R2062">
        <v>36</v>
      </c>
      <c r="S2062">
        <v>4</v>
      </c>
      <c r="T2062">
        <v>3</v>
      </c>
      <c r="U2062">
        <v>0</v>
      </c>
      <c r="V2062">
        <v>3</v>
      </c>
      <c r="W2062">
        <v>0</v>
      </c>
      <c r="X2062">
        <v>67</v>
      </c>
      <c r="Y2062">
        <v>2</v>
      </c>
      <c r="Z2062">
        <v>2</v>
      </c>
      <c r="AA2062">
        <v>3</v>
      </c>
      <c r="AB2062">
        <v>1</v>
      </c>
      <c r="AD2062">
        <v>0</v>
      </c>
      <c r="AE2062">
        <v>0</v>
      </c>
      <c r="AF2062">
        <v>0</v>
      </c>
      <c r="AG2062">
        <v>0</v>
      </c>
      <c r="AI2062">
        <v>0</v>
      </c>
      <c r="AJ2062">
        <v>9</v>
      </c>
      <c r="AK2062">
        <v>134</v>
      </c>
      <c r="AL2062">
        <v>134</v>
      </c>
      <c r="AM2062">
        <v>359</v>
      </c>
      <c r="AN2062">
        <v>44</v>
      </c>
      <c r="AP2062">
        <v>1</v>
      </c>
      <c r="AR2062" t="s">
        <v>2153</v>
      </c>
      <c r="AS2062" s="1">
        <v>44354.163888888892</v>
      </c>
      <c r="AT2062" s="1">
        <v>44354.169710648152</v>
      </c>
      <c r="AU2062" s="1">
        <v>44354.170787037037</v>
      </c>
      <c r="AV2062" t="s">
        <v>71</v>
      </c>
      <c r="AW2062" t="s">
        <v>72</v>
      </c>
      <c r="AX2062" t="s">
        <v>73</v>
      </c>
    </row>
    <row r="2063" spans="1:50" x14ac:dyDescent="0.3">
      <c r="A2063" t="str">
        <f>"201601E0100"</f>
        <v>201601E0100</v>
      </c>
      <c r="B2063" t="str">
        <f>"201601E01002"</f>
        <v>201601E01002</v>
      </c>
      <c r="C2063" t="str">
        <f t="shared" si="101"/>
        <v>20</v>
      </c>
      <c r="D2063" t="s">
        <v>67</v>
      </c>
      <c r="E2063" t="str">
        <f t="shared" si="99"/>
        <v>009</v>
      </c>
      <c r="F2063" t="s">
        <v>2003</v>
      </c>
      <c r="G2063" t="str">
        <f>"1601"</f>
        <v>1601</v>
      </c>
      <c r="H2063" t="str">
        <f>"0001"</f>
        <v>0001</v>
      </c>
      <c r="I2063" t="s">
        <v>109</v>
      </c>
      <c r="J2063">
        <v>0</v>
      </c>
      <c r="K2063">
        <v>1</v>
      </c>
      <c r="L2063">
        <v>2</v>
      </c>
      <c r="M2063">
        <v>209</v>
      </c>
      <c r="N2063">
        <v>150</v>
      </c>
      <c r="O2063">
        <v>0</v>
      </c>
      <c r="P2063">
        <v>150</v>
      </c>
      <c r="Q2063">
        <v>1</v>
      </c>
      <c r="R2063">
        <v>5</v>
      </c>
      <c r="S2063">
        <v>15</v>
      </c>
      <c r="T2063">
        <v>3</v>
      </c>
      <c r="U2063">
        <v>4</v>
      </c>
      <c r="V2063">
        <v>3</v>
      </c>
      <c r="W2063">
        <v>5</v>
      </c>
      <c r="X2063">
        <v>98</v>
      </c>
      <c r="Y2063">
        <v>1</v>
      </c>
      <c r="Z2063">
        <v>2</v>
      </c>
      <c r="AA2063">
        <v>2</v>
      </c>
      <c r="AB2063">
        <v>1</v>
      </c>
      <c r="AD2063">
        <v>1</v>
      </c>
      <c r="AE2063">
        <v>0</v>
      </c>
      <c r="AF2063">
        <v>0</v>
      </c>
      <c r="AG2063">
        <v>0</v>
      </c>
      <c r="AI2063">
        <v>0</v>
      </c>
      <c r="AJ2063">
        <v>9</v>
      </c>
      <c r="AK2063">
        <v>150</v>
      </c>
      <c r="AL2063">
        <v>150</v>
      </c>
      <c r="AM2063">
        <v>315</v>
      </c>
      <c r="AN2063">
        <v>44</v>
      </c>
      <c r="AP2063">
        <v>1</v>
      </c>
      <c r="AR2063" t="s">
        <v>2154</v>
      </c>
      <c r="AS2063" s="1">
        <v>44354.163194444445</v>
      </c>
      <c r="AT2063" s="1">
        <v>44354.165682870371</v>
      </c>
      <c r="AU2063" s="1">
        <v>44354.166273148148</v>
      </c>
      <c r="AV2063" t="s">
        <v>71</v>
      </c>
      <c r="AW2063" t="s">
        <v>72</v>
      </c>
      <c r="AX2063" t="s">
        <v>73</v>
      </c>
    </row>
    <row r="2064" spans="1:50" x14ac:dyDescent="0.3">
      <c r="A2064" t="str">
        <f>"201602B0000"</f>
        <v>201602B0000</v>
      </c>
      <c r="B2064" t="str">
        <f>"201602B00002"</f>
        <v>201602B00002</v>
      </c>
      <c r="C2064" t="str">
        <f t="shared" si="101"/>
        <v>20</v>
      </c>
      <c r="D2064" t="s">
        <v>67</v>
      </c>
      <c r="E2064" t="str">
        <f t="shared" si="99"/>
        <v>009</v>
      </c>
      <c r="F2064" t="s">
        <v>2003</v>
      </c>
      <c r="G2064" t="str">
        <f>"1602"</f>
        <v>1602</v>
      </c>
      <c r="H2064" t="str">
        <f>"0000"</f>
        <v>0000</v>
      </c>
      <c r="I2064" t="s">
        <v>69</v>
      </c>
      <c r="J2064">
        <v>0</v>
      </c>
      <c r="K2064">
        <v>1</v>
      </c>
      <c r="L2064">
        <v>2</v>
      </c>
      <c r="M2064">
        <v>238</v>
      </c>
      <c r="N2064">
        <v>275</v>
      </c>
      <c r="O2064">
        <v>0</v>
      </c>
      <c r="P2064" t="s">
        <v>80</v>
      </c>
      <c r="Q2064">
        <v>3</v>
      </c>
      <c r="R2064">
        <v>5</v>
      </c>
      <c r="S2064">
        <v>11</v>
      </c>
      <c r="T2064">
        <v>4</v>
      </c>
      <c r="U2064">
        <v>2</v>
      </c>
      <c r="V2064">
        <v>3</v>
      </c>
      <c r="W2064">
        <v>7</v>
      </c>
      <c r="X2064">
        <v>219</v>
      </c>
      <c r="Y2064">
        <v>0</v>
      </c>
      <c r="Z2064">
        <v>7</v>
      </c>
      <c r="AA2064">
        <v>7</v>
      </c>
      <c r="AB2064">
        <v>3</v>
      </c>
      <c r="AD2064">
        <v>0</v>
      </c>
      <c r="AE2064">
        <v>0</v>
      </c>
      <c r="AF2064">
        <v>0</v>
      </c>
      <c r="AG2064">
        <v>0</v>
      </c>
      <c r="AI2064">
        <v>0</v>
      </c>
      <c r="AJ2064">
        <v>4</v>
      </c>
      <c r="AK2064">
        <v>275</v>
      </c>
      <c r="AL2064">
        <v>275</v>
      </c>
      <c r="AM2064">
        <v>469</v>
      </c>
      <c r="AN2064">
        <v>44</v>
      </c>
      <c r="AP2064">
        <v>1</v>
      </c>
      <c r="AR2064" t="s">
        <v>2155</v>
      </c>
      <c r="AS2064" s="1">
        <v>44354.061111111114</v>
      </c>
      <c r="AT2064" s="1">
        <v>44354.067858796298</v>
      </c>
      <c r="AU2064" s="1">
        <v>44354.068344907406</v>
      </c>
      <c r="AV2064" t="s">
        <v>71</v>
      </c>
      <c r="AW2064" t="s">
        <v>72</v>
      </c>
      <c r="AX2064" t="s">
        <v>73</v>
      </c>
    </row>
    <row r="2065" spans="1:50" x14ac:dyDescent="0.3">
      <c r="A2065" t="str">
        <f>"201602C0100"</f>
        <v>201602C0100</v>
      </c>
      <c r="B2065" t="str">
        <f>"201602C01002"</f>
        <v>201602C01002</v>
      </c>
      <c r="C2065" t="str">
        <f t="shared" si="101"/>
        <v>20</v>
      </c>
      <c r="D2065" t="s">
        <v>67</v>
      </c>
      <c r="E2065" t="str">
        <f t="shared" si="99"/>
        <v>009</v>
      </c>
      <c r="F2065" t="s">
        <v>2003</v>
      </c>
      <c r="G2065" t="str">
        <f>"1602"</f>
        <v>1602</v>
      </c>
      <c r="H2065" t="str">
        <f>"0001"</f>
        <v>0001</v>
      </c>
      <c r="I2065" t="s">
        <v>75</v>
      </c>
      <c r="J2065">
        <v>0</v>
      </c>
      <c r="K2065">
        <v>1</v>
      </c>
      <c r="L2065">
        <v>2</v>
      </c>
      <c r="M2065">
        <v>237</v>
      </c>
      <c r="N2065">
        <v>276</v>
      </c>
      <c r="O2065">
        <v>0</v>
      </c>
      <c r="P2065">
        <v>276</v>
      </c>
      <c r="Q2065">
        <v>9</v>
      </c>
      <c r="R2065">
        <v>3</v>
      </c>
      <c r="S2065">
        <v>3</v>
      </c>
      <c r="T2065">
        <v>8</v>
      </c>
      <c r="U2065">
        <v>8</v>
      </c>
      <c r="V2065">
        <v>3</v>
      </c>
      <c r="W2065">
        <v>3</v>
      </c>
      <c r="X2065">
        <v>221</v>
      </c>
      <c r="Y2065">
        <v>2</v>
      </c>
      <c r="Z2065">
        <v>3</v>
      </c>
      <c r="AA2065">
        <v>1</v>
      </c>
      <c r="AB2065">
        <v>0</v>
      </c>
      <c r="AD2065">
        <v>0</v>
      </c>
      <c r="AE2065">
        <v>0</v>
      </c>
      <c r="AF2065">
        <v>0</v>
      </c>
      <c r="AG2065">
        <v>0</v>
      </c>
      <c r="AI2065">
        <v>0</v>
      </c>
      <c r="AJ2065">
        <v>0</v>
      </c>
      <c r="AK2065">
        <v>0</v>
      </c>
      <c r="AL2065">
        <v>264</v>
      </c>
      <c r="AM2065">
        <v>469</v>
      </c>
      <c r="AN2065">
        <v>44</v>
      </c>
      <c r="AP2065">
        <v>1</v>
      </c>
      <c r="AR2065" t="s">
        <v>2156</v>
      </c>
      <c r="AS2065" s="1">
        <v>44354.061805555553</v>
      </c>
      <c r="AT2065" s="1">
        <v>44354.068657407406</v>
      </c>
      <c r="AU2065" s="1">
        <v>44354.069664351853</v>
      </c>
      <c r="AV2065" t="s">
        <v>71</v>
      </c>
      <c r="AW2065" t="s">
        <v>72</v>
      </c>
      <c r="AX2065" t="s">
        <v>73</v>
      </c>
    </row>
    <row r="2066" spans="1:50" x14ac:dyDescent="0.3">
      <c r="A2066" t="str">
        <f>"201602E0100"</f>
        <v>201602E0100</v>
      </c>
      <c r="B2066" t="str">
        <f>"201602E01002"</f>
        <v>201602E01002</v>
      </c>
      <c r="C2066" t="str">
        <f t="shared" si="101"/>
        <v>20</v>
      </c>
      <c r="D2066" t="s">
        <v>67</v>
      </c>
      <c r="E2066" t="str">
        <f t="shared" si="99"/>
        <v>009</v>
      </c>
      <c r="F2066" t="s">
        <v>2003</v>
      </c>
      <c r="G2066" t="str">
        <f>"1602"</f>
        <v>1602</v>
      </c>
      <c r="H2066" t="str">
        <f>"0001"</f>
        <v>0001</v>
      </c>
      <c r="I2066" t="s">
        <v>109</v>
      </c>
      <c r="J2066">
        <v>0</v>
      </c>
      <c r="K2066">
        <v>1</v>
      </c>
      <c r="L2066">
        <v>2</v>
      </c>
      <c r="M2066">
        <v>114</v>
      </c>
      <c r="N2066">
        <v>186</v>
      </c>
      <c r="O2066">
        <v>0</v>
      </c>
      <c r="P2066">
        <v>186</v>
      </c>
      <c r="Q2066">
        <v>3</v>
      </c>
      <c r="R2066">
        <v>97</v>
      </c>
      <c r="S2066">
        <v>0</v>
      </c>
      <c r="T2066">
        <v>1</v>
      </c>
      <c r="U2066">
        <v>0</v>
      </c>
      <c r="V2066">
        <v>1</v>
      </c>
      <c r="W2066">
        <v>2</v>
      </c>
      <c r="X2066">
        <v>76</v>
      </c>
      <c r="Y2066">
        <v>0</v>
      </c>
      <c r="Z2066">
        <v>0</v>
      </c>
      <c r="AA2066">
        <v>0</v>
      </c>
      <c r="AB2066">
        <v>0</v>
      </c>
      <c r="AD2066">
        <v>0</v>
      </c>
      <c r="AE2066">
        <v>0</v>
      </c>
      <c r="AF2066">
        <v>0</v>
      </c>
      <c r="AG2066">
        <v>0</v>
      </c>
      <c r="AI2066">
        <v>0</v>
      </c>
      <c r="AJ2066">
        <v>6</v>
      </c>
      <c r="AK2066">
        <v>186</v>
      </c>
      <c r="AL2066">
        <v>186</v>
      </c>
      <c r="AM2066">
        <v>251</v>
      </c>
      <c r="AN2066">
        <v>44</v>
      </c>
      <c r="AP2066">
        <v>1</v>
      </c>
      <c r="AR2066" t="s">
        <v>2157</v>
      </c>
      <c r="AS2066" s="1">
        <v>44354.064583333333</v>
      </c>
      <c r="AT2066" s="1">
        <v>44354.070289351854</v>
      </c>
      <c r="AU2066" s="1">
        <v>44354.071585648147</v>
      </c>
      <c r="AV2066" t="s">
        <v>71</v>
      </c>
      <c r="AW2066" t="s">
        <v>72</v>
      </c>
      <c r="AX2066" t="s">
        <v>73</v>
      </c>
    </row>
    <row r="2067" spans="1:50" x14ac:dyDescent="0.3">
      <c r="A2067" t="str">
        <f>"201602E0200"</f>
        <v>201602E0200</v>
      </c>
      <c r="B2067" t="str">
        <f>"201602E02002"</f>
        <v>201602E02002</v>
      </c>
      <c r="C2067" t="str">
        <f t="shared" si="101"/>
        <v>20</v>
      </c>
      <c r="D2067" t="s">
        <v>67</v>
      </c>
      <c r="E2067" t="str">
        <f t="shared" si="99"/>
        <v>009</v>
      </c>
      <c r="F2067" t="s">
        <v>2003</v>
      </c>
      <c r="G2067" t="str">
        <f>"1602"</f>
        <v>1602</v>
      </c>
      <c r="H2067" t="str">
        <f>"0002"</f>
        <v>0002</v>
      </c>
      <c r="I2067" t="s">
        <v>109</v>
      </c>
      <c r="J2067">
        <v>0</v>
      </c>
      <c r="K2067">
        <v>1</v>
      </c>
      <c r="L2067">
        <v>2</v>
      </c>
      <c r="AM2067">
        <v>286</v>
      </c>
      <c r="AN2067">
        <v>44</v>
      </c>
      <c r="AO2067" t="s">
        <v>143</v>
      </c>
      <c r="AP2067">
        <v>0</v>
      </c>
      <c r="AR2067" t="s">
        <v>2158</v>
      </c>
      <c r="AS2067" s="1">
        <v>44354.71597222222</v>
      </c>
      <c r="AT2067" s="1">
        <v>44354.717719907407</v>
      </c>
      <c r="AU2067" s="1">
        <v>44354.717719907407</v>
      </c>
      <c r="AV2067" t="s">
        <v>71</v>
      </c>
      <c r="AW2067" t="s">
        <v>72</v>
      </c>
      <c r="AX2067" t="s">
        <v>73</v>
      </c>
    </row>
    <row r="2068" spans="1:50" x14ac:dyDescent="0.3">
      <c r="A2068" t="str">
        <f>"201603B0000"</f>
        <v>201603B0000</v>
      </c>
      <c r="B2068" t="str">
        <f>"201603B00002"</f>
        <v>201603B00002</v>
      </c>
      <c r="C2068" t="str">
        <f t="shared" si="101"/>
        <v>20</v>
      </c>
      <c r="D2068" t="s">
        <v>67</v>
      </c>
      <c r="E2068" t="str">
        <f t="shared" si="99"/>
        <v>009</v>
      </c>
      <c r="F2068" t="s">
        <v>2003</v>
      </c>
      <c r="G2068" t="str">
        <f>"1603"</f>
        <v>1603</v>
      </c>
      <c r="H2068" t="str">
        <f>"0000"</f>
        <v>0000</v>
      </c>
      <c r="I2068" t="s">
        <v>69</v>
      </c>
      <c r="J2068">
        <v>0</v>
      </c>
      <c r="K2068">
        <v>1</v>
      </c>
      <c r="L2068">
        <v>2</v>
      </c>
      <c r="M2068">
        <v>66</v>
      </c>
      <c r="N2068">
        <v>108</v>
      </c>
      <c r="O2068">
        <v>0</v>
      </c>
      <c r="P2068">
        <v>108</v>
      </c>
      <c r="Q2068">
        <v>2</v>
      </c>
      <c r="R2068">
        <v>5</v>
      </c>
      <c r="S2068">
        <v>0</v>
      </c>
      <c r="T2068">
        <v>6</v>
      </c>
      <c r="U2068">
        <v>3</v>
      </c>
      <c r="V2068">
        <v>0</v>
      </c>
      <c r="W2068">
        <v>0</v>
      </c>
      <c r="X2068">
        <v>89</v>
      </c>
      <c r="Y2068">
        <v>0</v>
      </c>
      <c r="Z2068">
        <v>1</v>
      </c>
      <c r="AA2068">
        <v>1</v>
      </c>
      <c r="AB2068">
        <v>0</v>
      </c>
      <c r="AD2068">
        <v>0</v>
      </c>
      <c r="AE2068">
        <v>0</v>
      </c>
      <c r="AF2068">
        <v>0</v>
      </c>
      <c r="AG2068">
        <v>0</v>
      </c>
      <c r="AI2068">
        <v>0</v>
      </c>
      <c r="AJ2068">
        <v>1</v>
      </c>
      <c r="AK2068">
        <v>108</v>
      </c>
      <c r="AL2068">
        <v>108</v>
      </c>
      <c r="AM2068">
        <v>130</v>
      </c>
      <c r="AN2068">
        <v>44</v>
      </c>
      <c r="AP2068">
        <v>1</v>
      </c>
      <c r="AR2068" t="s">
        <v>2159</v>
      </c>
      <c r="AS2068" s="1">
        <v>44354.059027777781</v>
      </c>
      <c r="AT2068" s="1">
        <v>44354.065358796295</v>
      </c>
      <c r="AU2068" s="1">
        <v>44354.066724537035</v>
      </c>
      <c r="AV2068" t="s">
        <v>71</v>
      </c>
      <c r="AW2068" t="s">
        <v>72</v>
      </c>
      <c r="AX2068" t="s">
        <v>73</v>
      </c>
    </row>
    <row r="2069" spans="1:50" x14ac:dyDescent="0.3">
      <c r="A2069" t="str">
        <f>"201649B0000"</f>
        <v>201649B0000</v>
      </c>
      <c r="B2069" t="str">
        <f>"201649B00002"</f>
        <v>201649B00002</v>
      </c>
      <c r="C2069" t="str">
        <f t="shared" si="101"/>
        <v>20</v>
      </c>
      <c r="D2069" t="s">
        <v>67</v>
      </c>
      <c r="E2069" t="str">
        <f t="shared" si="99"/>
        <v>009</v>
      </c>
      <c r="F2069" t="s">
        <v>2003</v>
      </c>
      <c r="G2069" t="str">
        <f>"1649"</f>
        <v>1649</v>
      </c>
      <c r="H2069" t="str">
        <f>"0000"</f>
        <v>0000</v>
      </c>
      <c r="I2069" t="s">
        <v>69</v>
      </c>
      <c r="J2069">
        <v>0</v>
      </c>
      <c r="K2069">
        <v>1</v>
      </c>
      <c r="L2069">
        <v>2</v>
      </c>
      <c r="M2069">
        <v>438</v>
      </c>
      <c r="N2069">
        <v>245</v>
      </c>
      <c r="O2069">
        <v>0</v>
      </c>
      <c r="P2069">
        <v>245</v>
      </c>
      <c r="Q2069">
        <v>3</v>
      </c>
      <c r="R2069">
        <v>11</v>
      </c>
      <c r="S2069">
        <v>7</v>
      </c>
      <c r="T2069">
        <v>5</v>
      </c>
      <c r="U2069">
        <v>5</v>
      </c>
      <c r="V2069">
        <v>3</v>
      </c>
      <c r="W2069">
        <v>2</v>
      </c>
      <c r="X2069">
        <v>174</v>
      </c>
      <c r="Y2069">
        <v>16</v>
      </c>
      <c r="Z2069">
        <v>6</v>
      </c>
      <c r="AA2069">
        <v>5</v>
      </c>
      <c r="AB2069">
        <v>3</v>
      </c>
      <c r="AD2069">
        <v>0</v>
      </c>
      <c r="AE2069">
        <v>0</v>
      </c>
      <c r="AF2069">
        <v>0</v>
      </c>
      <c r="AG2069">
        <v>0</v>
      </c>
      <c r="AI2069">
        <v>0</v>
      </c>
      <c r="AJ2069">
        <v>5</v>
      </c>
      <c r="AK2069">
        <v>245</v>
      </c>
      <c r="AL2069">
        <v>245</v>
      </c>
      <c r="AM2069">
        <v>639</v>
      </c>
      <c r="AN2069">
        <v>44</v>
      </c>
      <c r="AP2069">
        <v>1</v>
      </c>
      <c r="AR2069" t="s">
        <v>2160</v>
      </c>
      <c r="AS2069" s="1">
        <v>44354.159722222219</v>
      </c>
      <c r="AT2069" s="1">
        <v>44354.161898148152</v>
      </c>
      <c r="AU2069" s="1">
        <v>44354.162604166668</v>
      </c>
      <c r="AV2069" t="s">
        <v>71</v>
      </c>
      <c r="AW2069" t="s">
        <v>72</v>
      </c>
      <c r="AX2069" t="s">
        <v>73</v>
      </c>
    </row>
    <row r="2070" spans="1:50" x14ac:dyDescent="0.3">
      <c r="A2070" t="str">
        <f>"201654B0000"</f>
        <v>201654B0000</v>
      </c>
      <c r="B2070" t="str">
        <f>"201654B00002"</f>
        <v>201654B00002</v>
      </c>
      <c r="C2070" t="str">
        <f t="shared" si="101"/>
        <v>20</v>
      </c>
      <c r="D2070" t="s">
        <v>67</v>
      </c>
      <c r="E2070" t="str">
        <f t="shared" si="99"/>
        <v>009</v>
      </c>
      <c r="F2070" t="s">
        <v>2003</v>
      </c>
      <c r="G2070" t="str">
        <f>"1654"</f>
        <v>1654</v>
      </c>
      <c r="H2070" t="str">
        <f>"0000"</f>
        <v>0000</v>
      </c>
      <c r="I2070" t="s">
        <v>69</v>
      </c>
      <c r="J2070">
        <v>0</v>
      </c>
      <c r="K2070">
        <v>1</v>
      </c>
      <c r="L2070">
        <v>2</v>
      </c>
      <c r="M2070">
        <v>464</v>
      </c>
      <c r="N2070">
        <v>199</v>
      </c>
      <c r="O2070">
        <v>7</v>
      </c>
      <c r="P2070">
        <v>199</v>
      </c>
      <c r="Q2070">
        <v>5</v>
      </c>
      <c r="R2070">
        <v>59</v>
      </c>
      <c r="S2070">
        <v>0</v>
      </c>
      <c r="T2070">
        <v>3</v>
      </c>
      <c r="U2070">
        <v>9</v>
      </c>
      <c r="V2070">
        <v>3</v>
      </c>
      <c r="W2070">
        <v>7</v>
      </c>
      <c r="X2070">
        <v>102</v>
      </c>
      <c r="Y2070">
        <v>1</v>
      </c>
      <c r="Z2070">
        <v>3</v>
      </c>
      <c r="AA2070">
        <v>0</v>
      </c>
      <c r="AB2070">
        <v>1</v>
      </c>
      <c r="AD2070">
        <v>0</v>
      </c>
      <c r="AE2070">
        <v>0</v>
      </c>
      <c r="AF2070">
        <v>0</v>
      </c>
      <c r="AG2070">
        <v>0</v>
      </c>
      <c r="AI2070">
        <v>0</v>
      </c>
      <c r="AJ2070">
        <v>6</v>
      </c>
      <c r="AK2070">
        <v>199</v>
      </c>
      <c r="AL2070">
        <v>199</v>
      </c>
      <c r="AM2070">
        <v>619</v>
      </c>
      <c r="AN2070">
        <v>44</v>
      </c>
      <c r="AP2070">
        <v>1</v>
      </c>
      <c r="AR2070" t="s">
        <v>2161</v>
      </c>
      <c r="AS2070" s="1">
        <v>44353.75</v>
      </c>
      <c r="AT2070" s="1">
        <v>44353.99</v>
      </c>
      <c r="AU2070" s="1">
        <v>44353.99077546296</v>
      </c>
      <c r="AV2070" t="s">
        <v>71</v>
      </c>
      <c r="AW2070" t="s">
        <v>72</v>
      </c>
      <c r="AX2070" t="s">
        <v>73</v>
      </c>
    </row>
    <row r="2071" spans="1:50" x14ac:dyDescent="0.3">
      <c r="A2071" t="str">
        <f>"201654E0100"</f>
        <v>201654E0100</v>
      </c>
      <c r="B2071" t="str">
        <f>"201654E01002"</f>
        <v>201654E01002</v>
      </c>
      <c r="C2071" t="str">
        <f t="shared" si="101"/>
        <v>20</v>
      </c>
      <c r="D2071" t="s">
        <v>67</v>
      </c>
      <c r="E2071" t="str">
        <f t="shared" si="99"/>
        <v>009</v>
      </c>
      <c r="F2071" t="s">
        <v>2003</v>
      </c>
      <c r="G2071" t="str">
        <f>"1654"</f>
        <v>1654</v>
      </c>
      <c r="H2071" t="str">
        <f>"0001"</f>
        <v>0001</v>
      </c>
      <c r="I2071" t="s">
        <v>109</v>
      </c>
      <c r="J2071">
        <v>0</v>
      </c>
      <c r="K2071">
        <v>1</v>
      </c>
      <c r="L2071">
        <v>2</v>
      </c>
      <c r="M2071">
        <v>91</v>
      </c>
      <c r="N2071">
        <v>77</v>
      </c>
      <c r="O2071">
        <v>3</v>
      </c>
      <c r="P2071">
        <v>77</v>
      </c>
      <c r="Q2071">
        <v>0</v>
      </c>
      <c r="R2071">
        <v>15</v>
      </c>
      <c r="S2071">
        <v>0</v>
      </c>
      <c r="T2071">
        <v>0</v>
      </c>
      <c r="U2071">
        <v>2</v>
      </c>
      <c r="V2071">
        <v>0</v>
      </c>
      <c r="W2071">
        <v>0</v>
      </c>
      <c r="X2071">
        <v>57</v>
      </c>
      <c r="Y2071">
        <v>0</v>
      </c>
      <c r="Z2071">
        <v>0</v>
      </c>
      <c r="AA2071">
        <v>0</v>
      </c>
      <c r="AB2071">
        <v>1</v>
      </c>
      <c r="AD2071">
        <v>0</v>
      </c>
      <c r="AE2071">
        <v>0</v>
      </c>
      <c r="AF2071">
        <v>0</v>
      </c>
      <c r="AG2071">
        <v>0</v>
      </c>
      <c r="AI2071">
        <v>0</v>
      </c>
      <c r="AJ2071">
        <v>2</v>
      </c>
      <c r="AK2071">
        <v>77</v>
      </c>
      <c r="AL2071">
        <v>77</v>
      </c>
      <c r="AM2071">
        <v>124</v>
      </c>
      <c r="AN2071">
        <v>44</v>
      </c>
      <c r="AP2071">
        <v>1</v>
      </c>
      <c r="AR2071" t="s">
        <v>2162</v>
      </c>
      <c r="AS2071" s="1">
        <v>44353.75</v>
      </c>
      <c r="AT2071" s="1">
        <v>44353.987858796296</v>
      </c>
      <c r="AU2071" s="1">
        <v>44353.988321759258</v>
      </c>
      <c r="AV2071" t="s">
        <v>71</v>
      </c>
      <c r="AW2071" t="s">
        <v>72</v>
      </c>
      <c r="AX2071" t="s">
        <v>73</v>
      </c>
    </row>
    <row r="2072" spans="1:50" x14ac:dyDescent="0.3">
      <c r="A2072" t="str">
        <f>"201655B0000"</f>
        <v>201655B0000</v>
      </c>
      <c r="B2072" t="str">
        <f>"201655B00002"</f>
        <v>201655B00002</v>
      </c>
      <c r="C2072" t="str">
        <f t="shared" si="101"/>
        <v>20</v>
      </c>
      <c r="D2072" t="s">
        <v>67</v>
      </c>
      <c r="E2072" t="str">
        <f t="shared" si="99"/>
        <v>009</v>
      </c>
      <c r="F2072" t="s">
        <v>2003</v>
      </c>
      <c r="G2072" t="str">
        <f>"1655"</f>
        <v>1655</v>
      </c>
      <c r="H2072" t="str">
        <f>"0000"</f>
        <v>0000</v>
      </c>
      <c r="I2072" t="s">
        <v>69</v>
      </c>
      <c r="J2072">
        <v>0</v>
      </c>
      <c r="K2072">
        <v>1</v>
      </c>
      <c r="L2072">
        <v>2</v>
      </c>
      <c r="M2072">
        <v>372</v>
      </c>
      <c r="N2072">
        <v>205</v>
      </c>
      <c r="O2072">
        <v>0</v>
      </c>
      <c r="P2072">
        <v>205</v>
      </c>
      <c r="Q2072">
        <v>2</v>
      </c>
      <c r="R2072">
        <v>52</v>
      </c>
      <c r="S2072">
        <v>1</v>
      </c>
      <c r="T2072">
        <v>2</v>
      </c>
      <c r="U2072">
        <v>3</v>
      </c>
      <c r="V2072">
        <v>5</v>
      </c>
      <c r="W2072">
        <v>0</v>
      </c>
      <c r="X2072">
        <v>125</v>
      </c>
      <c r="Y2072">
        <v>6</v>
      </c>
      <c r="Z2072">
        <v>2</v>
      </c>
      <c r="AA2072">
        <v>1</v>
      </c>
      <c r="AB2072">
        <v>1</v>
      </c>
      <c r="AD2072">
        <v>0</v>
      </c>
      <c r="AE2072">
        <v>0</v>
      </c>
      <c r="AF2072">
        <v>0</v>
      </c>
      <c r="AG2072">
        <v>0</v>
      </c>
      <c r="AI2072">
        <v>0</v>
      </c>
      <c r="AJ2072">
        <v>5</v>
      </c>
      <c r="AK2072">
        <v>205</v>
      </c>
      <c r="AL2072">
        <v>205</v>
      </c>
      <c r="AM2072">
        <v>533</v>
      </c>
      <c r="AN2072">
        <v>44</v>
      </c>
      <c r="AP2072">
        <v>1</v>
      </c>
      <c r="AR2072" t="s">
        <v>2163</v>
      </c>
      <c r="AS2072" s="1">
        <v>44353.979861111111</v>
      </c>
      <c r="AT2072" s="1">
        <v>44353.982743055552</v>
      </c>
      <c r="AU2072" s="1">
        <v>44353.983472222222</v>
      </c>
      <c r="AV2072" t="s">
        <v>71</v>
      </c>
      <c r="AW2072" t="s">
        <v>72</v>
      </c>
      <c r="AX2072" t="s">
        <v>73</v>
      </c>
    </row>
    <row r="2073" spans="1:50" x14ac:dyDescent="0.3">
      <c r="A2073" t="str">
        <f>"201656B0000"</f>
        <v>201656B0000</v>
      </c>
      <c r="B2073" t="str">
        <f>"201656B00002"</f>
        <v>201656B00002</v>
      </c>
      <c r="C2073" t="str">
        <f t="shared" si="101"/>
        <v>20</v>
      </c>
      <c r="D2073" t="s">
        <v>67</v>
      </c>
      <c r="E2073" t="str">
        <f t="shared" si="99"/>
        <v>009</v>
      </c>
      <c r="F2073" t="s">
        <v>2003</v>
      </c>
      <c r="G2073" t="str">
        <f>"1656"</f>
        <v>1656</v>
      </c>
      <c r="H2073" t="str">
        <f>"0000"</f>
        <v>0000</v>
      </c>
      <c r="I2073" t="s">
        <v>69</v>
      </c>
      <c r="J2073">
        <v>0</v>
      </c>
      <c r="K2073">
        <v>1</v>
      </c>
      <c r="L2073">
        <v>2</v>
      </c>
      <c r="M2073">
        <v>173</v>
      </c>
      <c r="N2073">
        <v>121</v>
      </c>
      <c r="O2073">
        <v>0</v>
      </c>
      <c r="P2073">
        <v>121</v>
      </c>
      <c r="Q2073">
        <v>2</v>
      </c>
      <c r="R2073">
        <v>61</v>
      </c>
      <c r="S2073">
        <v>1</v>
      </c>
      <c r="T2073">
        <v>10</v>
      </c>
      <c r="U2073">
        <v>2</v>
      </c>
      <c r="V2073">
        <v>2</v>
      </c>
      <c r="W2073">
        <v>2</v>
      </c>
      <c r="X2073">
        <v>31</v>
      </c>
      <c r="Y2073">
        <v>1</v>
      </c>
      <c r="Z2073">
        <v>0</v>
      </c>
      <c r="AA2073">
        <v>3</v>
      </c>
      <c r="AB2073">
        <v>1</v>
      </c>
      <c r="AD2073">
        <v>1</v>
      </c>
      <c r="AE2073">
        <v>1</v>
      </c>
      <c r="AF2073">
        <v>0</v>
      </c>
      <c r="AG2073">
        <v>0</v>
      </c>
      <c r="AI2073">
        <v>0</v>
      </c>
      <c r="AJ2073">
        <v>3</v>
      </c>
      <c r="AK2073">
        <v>121</v>
      </c>
      <c r="AL2073">
        <v>121</v>
      </c>
      <c r="AM2073">
        <v>250</v>
      </c>
      <c r="AN2073">
        <v>44</v>
      </c>
      <c r="AP2073">
        <v>1</v>
      </c>
      <c r="AR2073" t="s">
        <v>2164</v>
      </c>
      <c r="AS2073" s="1">
        <v>44353.980555555558</v>
      </c>
      <c r="AT2073" s="1">
        <v>44353.984988425924</v>
      </c>
      <c r="AU2073" s="1">
        <v>44353.985729166663</v>
      </c>
      <c r="AV2073" t="s">
        <v>71</v>
      </c>
      <c r="AW2073" t="s">
        <v>72</v>
      </c>
      <c r="AX2073" t="s">
        <v>73</v>
      </c>
    </row>
    <row r="2074" spans="1:50" x14ac:dyDescent="0.3">
      <c r="A2074" t="str">
        <f>"201657B0000"</f>
        <v>201657B0000</v>
      </c>
      <c r="B2074" t="str">
        <f>"201657B00002"</f>
        <v>201657B00002</v>
      </c>
      <c r="C2074" t="str">
        <f t="shared" si="101"/>
        <v>20</v>
      </c>
      <c r="D2074" t="s">
        <v>67</v>
      </c>
      <c r="E2074" t="str">
        <f t="shared" si="99"/>
        <v>009</v>
      </c>
      <c r="F2074" t="s">
        <v>2003</v>
      </c>
      <c r="G2074" t="str">
        <f>"1657"</f>
        <v>1657</v>
      </c>
      <c r="H2074" t="str">
        <f>"0000"</f>
        <v>0000</v>
      </c>
      <c r="I2074" t="s">
        <v>69</v>
      </c>
      <c r="J2074">
        <v>0</v>
      </c>
      <c r="K2074">
        <v>1</v>
      </c>
      <c r="L2074">
        <v>2</v>
      </c>
      <c r="M2074">
        <v>346</v>
      </c>
      <c r="N2074">
        <v>89</v>
      </c>
      <c r="O2074">
        <v>0</v>
      </c>
      <c r="P2074">
        <v>89</v>
      </c>
      <c r="Q2074">
        <v>5</v>
      </c>
      <c r="R2074">
        <v>27</v>
      </c>
      <c r="S2074">
        <v>0</v>
      </c>
      <c r="T2074">
        <v>1</v>
      </c>
      <c r="U2074">
        <v>2</v>
      </c>
      <c r="V2074">
        <v>0</v>
      </c>
      <c r="W2074">
        <v>11</v>
      </c>
      <c r="X2074">
        <v>33</v>
      </c>
      <c r="Y2074">
        <v>0</v>
      </c>
      <c r="Z2074">
        <v>0</v>
      </c>
      <c r="AA2074">
        <v>1</v>
      </c>
      <c r="AB2074">
        <v>0</v>
      </c>
      <c r="AD2074">
        <v>4</v>
      </c>
      <c r="AE2074">
        <v>1</v>
      </c>
      <c r="AF2074">
        <v>0</v>
      </c>
      <c r="AG2074">
        <v>0</v>
      </c>
      <c r="AI2074">
        <v>0</v>
      </c>
      <c r="AJ2074">
        <v>4</v>
      </c>
      <c r="AK2074">
        <v>89</v>
      </c>
      <c r="AL2074">
        <v>89</v>
      </c>
      <c r="AM2074">
        <v>391</v>
      </c>
      <c r="AN2074">
        <v>44</v>
      </c>
      <c r="AP2074">
        <v>1</v>
      </c>
      <c r="AR2074" t="s">
        <v>2165</v>
      </c>
      <c r="AS2074" s="1">
        <v>44353.981944444444</v>
      </c>
      <c r="AT2074" s="1">
        <v>44353.984803240739</v>
      </c>
      <c r="AU2074" s="1">
        <v>44353.985196759262</v>
      </c>
      <c r="AV2074" t="s">
        <v>71</v>
      </c>
      <c r="AW2074" t="s">
        <v>72</v>
      </c>
      <c r="AX2074" t="s">
        <v>73</v>
      </c>
    </row>
    <row r="2075" spans="1:50" x14ac:dyDescent="0.3">
      <c r="A2075" t="str">
        <f>"201657E0100"</f>
        <v>201657E0100</v>
      </c>
      <c r="B2075" t="str">
        <f>"201657E01002"</f>
        <v>201657E01002</v>
      </c>
      <c r="C2075" t="str">
        <f t="shared" si="101"/>
        <v>20</v>
      </c>
      <c r="D2075" t="s">
        <v>67</v>
      </c>
      <c r="E2075" t="str">
        <f t="shared" si="99"/>
        <v>009</v>
      </c>
      <c r="F2075" t="s">
        <v>2003</v>
      </c>
      <c r="G2075" t="str">
        <f>"1657"</f>
        <v>1657</v>
      </c>
      <c r="H2075" t="str">
        <f>"0001"</f>
        <v>0001</v>
      </c>
      <c r="I2075" t="s">
        <v>109</v>
      </c>
      <c r="J2075">
        <v>0</v>
      </c>
      <c r="K2075">
        <v>1</v>
      </c>
      <c r="L2075">
        <v>2</v>
      </c>
      <c r="M2075">
        <v>165</v>
      </c>
      <c r="N2075">
        <v>60</v>
      </c>
      <c r="O2075">
        <v>1</v>
      </c>
      <c r="P2075">
        <v>60</v>
      </c>
      <c r="Q2075">
        <v>1</v>
      </c>
      <c r="R2075">
        <v>19</v>
      </c>
      <c r="S2075">
        <v>0</v>
      </c>
      <c r="T2075">
        <v>0</v>
      </c>
      <c r="U2075">
        <v>3</v>
      </c>
      <c r="V2075">
        <v>0</v>
      </c>
      <c r="W2075">
        <v>4</v>
      </c>
      <c r="X2075">
        <v>31</v>
      </c>
      <c r="Y2075">
        <v>0</v>
      </c>
      <c r="Z2075">
        <v>0</v>
      </c>
      <c r="AA2075">
        <v>1</v>
      </c>
      <c r="AB2075">
        <v>0</v>
      </c>
      <c r="AD2075">
        <v>0</v>
      </c>
      <c r="AE2075">
        <v>0</v>
      </c>
      <c r="AF2075">
        <v>0</v>
      </c>
      <c r="AG2075">
        <v>0</v>
      </c>
      <c r="AI2075">
        <v>0</v>
      </c>
      <c r="AJ2075">
        <v>1</v>
      </c>
      <c r="AK2075">
        <v>60</v>
      </c>
      <c r="AL2075">
        <v>60</v>
      </c>
      <c r="AM2075">
        <v>181</v>
      </c>
      <c r="AN2075">
        <v>44</v>
      </c>
      <c r="AP2075">
        <v>1</v>
      </c>
      <c r="AR2075" t="s">
        <v>2166</v>
      </c>
      <c r="AS2075" s="1">
        <v>44353.982638888891</v>
      </c>
      <c r="AT2075" s="1">
        <v>44353.986064814817</v>
      </c>
      <c r="AU2075" s="1">
        <v>44353.986516203702</v>
      </c>
      <c r="AV2075" t="s">
        <v>71</v>
      </c>
      <c r="AW2075" t="s">
        <v>72</v>
      </c>
      <c r="AX2075" t="s">
        <v>73</v>
      </c>
    </row>
    <row r="2076" spans="1:50" x14ac:dyDescent="0.3">
      <c r="A2076" t="str">
        <f>"201665B0000"</f>
        <v>201665B0000</v>
      </c>
      <c r="B2076" t="str">
        <f>"201665B00002"</f>
        <v>201665B00002</v>
      </c>
      <c r="C2076" t="str">
        <f t="shared" si="101"/>
        <v>20</v>
      </c>
      <c r="D2076" t="s">
        <v>67</v>
      </c>
      <c r="E2076" t="str">
        <f t="shared" si="99"/>
        <v>009</v>
      </c>
      <c r="F2076" t="s">
        <v>2003</v>
      </c>
      <c r="G2076" t="str">
        <f>"1665"</f>
        <v>1665</v>
      </c>
      <c r="H2076" t="str">
        <f t="shared" ref="H2076:H2083" si="102">"0000"</f>
        <v>0000</v>
      </c>
      <c r="I2076" t="s">
        <v>69</v>
      </c>
      <c r="J2076">
        <v>0</v>
      </c>
      <c r="K2076">
        <v>1</v>
      </c>
      <c r="L2076">
        <v>2</v>
      </c>
      <c r="M2076">
        <v>169</v>
      </c>
      <c r="N2076">
        <v>81</v>
      </c>
      <c r="O2076">
        <v>0</v>
      </c>
      <c r="P2076">
        <v>81</v>
      </c>
      <c r="Q2076">
        <v>0</v>
      </c>
      <c r="R2076">
        <v>15</v>
      </c>
      <c r="S2076">
        <v>0</v>
      </c>
      <c r="T2076">
        <v>0</v>
      </c>
      <c r="U2076">
        <v>6</v>
      </c>
      <c r="V2076">
        <v>2</v>
      </c>
      <c r="W2076">
        <v>1</v>
      </c>
      <c r="X2076">
        <v>52</v>
      </c>
      <c r="Y2076">
        <v>0</v>
      </c>
      <c r="Z2076">
        <v>1</v>
      </c>
      <c r="AA2076">
        <v>0</v>
      </c>
      <c r="AB2076">
        <v>0</v>
      </c>
      <c r="AD2076">
        <v>1</v>
      </c>
      <c r="AE2076">
        <v>0</v>
      </c>
      <c r="AF2076">
        <v>0</v>
      </c>
      <c r="AG2076">
        <v>0</v>
      </c>
      <c r="AI2076">
        <v>0</v>
      </c>
      <c r="AJ2076">
        <v>3</v>
      </c>
      <c r="AK2076">
        <v>81</v>
      </c>
      <c r="AL2076">
        <v>81</v>
      </c>
      <c r="AM2076">
        <v>206</v>
      </c>
      <c r="AN2076">
        <v>44</v>
      </c>
      <c r="AP2076">
        <v>1</v>
      </c>
      <c r="AR2076" t="s">
        <v>2167</v>
      </c>
      <c r="AS2076" s="1">
        <v>44353.997916666667</v>
      </c>
      <c r="AT2076" s="1">
        <v>44354.003379629627</v>
      </c>
      <c r="AU2076" s="1">
        <v>44354.004236111112</v>
      </c>
      <c r="AV2076" t="s">
        <v>71</v>
      </c>
      <c r="AW2076" t="s">
        <v>72</v>
      </c>
      <c r="AX2076" t="s">
        <v>73</v>
      </c>
    </row>
    <row r="2077" spans="1:50" x14ac:dyDescent="0.3">
      <c r="A2077" t="str">
        <f>"201666B0000"</f>
        <v>201666B0000</v>
      </c>
      <c r="B2077" t="str">
        <f>"201666B00002"</f>
        <v>201666B00002</v>
      </c>
      <c r="C2077" t="str">
        <f t="shared" si="101"/>
        <v>20</v>
      </c>
      <c r="D2077" t="s">
        <v>67</v>
      </c>
      <c r="E2077" t="str">
        <f t="shared" si="99"/>
        <v>009</v>
      </c>
      <c r="F2077" t="s">
        <v>2003</v>
      </c>
      <c r="G2077" t="str">
        <f>"1666"</f>
        <v>1666</v>
      </c>
      <c r="H2077" t="str">
        <f t="shared" si="102"/>
        <v>0000</v>
      </c>
      <c r="I2077" t="s">
        <v>69</v>
      </c>
      <c r="J2077">
        <v>0</v>
      </c>
      <c r="K2077">
        <v>1</v>
      </c>
      <c r="L2077">
        <v>2</v>
      </c>
      <c r="M2077">
        <v>229</v>
      </c>
      <c r="N2077">
        <v>335</v>
      </c>
      <c r="O2077">
        <v>0</v>
      </c>
      <c r="P2077">
        <v>335</v>
      </c>
      <c r="Q2077">
        <v>10</v>
      </c>
      <c r="R2077">
        <v>57</v>
      </c>
      <c r="S2077">
        <v>4</v>
      </c>
      <c r="T2077">
        <v>12</v>
      </c>
      <c r="U2077">
        <v>13</v>
      </c>
      <c r="V2077">
        <v>4</v>
      </c>
      <c r="W2077">
        <v>2</v>
      </c>
      <c r="X2077">
        <v>204</v>
      </c>
      <c r="Y2077">
        <v>0</v>
      </c>
      <c r="Z2077">
        <v>6</v>
      </c>
      <c r="AA2077">
        <v>2</v>
      </c>
      <c r="AB2077">
        <v>3</v>
      </c>
      <c r="AD2077">
        <v>2</v>
      </c>
      <c r="AE2077">
        <v>0</v>
      </c>
      <c r="AF2077">
        <v>0</v>
      </c>
      <c r="AG2077">
        <v>0</v>
      </c>
      <c r="AI2077">
        <v>0</v>
      </c>
      <c r="AJ2077">
        <v>16</v>
      </c>
      <c r="AK2077">
        <v>335</v>
      </c>
      <c r="AL2077">
        <v>335</v>
      </c>
      <c r="AM2077">
        <v>520</v>
      </c>
      <c r="AN2077">
        <v>44</v>
      </c>
      <c r="AP2077">
        <v>1</v>
      </c>
      <c r="AR2077" t="s">
        <v>2168</v>
      </c>
      <c r="AS2077" s="1">
        <v>44353.962500000001</v>
      </c>
      <c r="AT2077" s="1">
        <v>44353.965937499997</v>
      </c>
      <c r="AU2077" s="1">
        <v>44353.966527777775</v>
      </c>
      <c r="AV2077" t="s">
        <v>71</v>
      </c>
      <c r="AW2077" t="s">
        <v>72</v>
      </c>
      <c r="AX2077" t="s">
        <v>73</v>
      </c>
    </row>
    <row r="2078" spans="1:50" x14ac:dyDescent="0.3">
      <c r="A2078" t="str">
        <f>"201667B0000"</f>
        <v>201667B0000</v>
      </c>
      <c r="B2078" t="str">
        <f>"201667B00002"</f>
        <v>201667B00002</v>
      </c>
      <c r="C2078" t="str">
        <f t="shared" si="101"/>
        <v>20</v>
      </c>
      <c r="D2078" t="s">
        <v>67</v>
      </c>
      <c r="E2078" t="str">
        <f t="shared" si="99"/>
        <v>009</v>
      </c>
      <c r="F2078" t="s">
        <v>2003</v>
      </c>
      <c r="G2078" t="str">
        <f>"1667"</f>
        <v>1667</v>
      </c>
      <c r="H2078" t="str">
        <f t="shared" si="102"/>
        <v>0000</v>
      </c>
      <c r="I2078" t="s">
        <v>69</v>
      </c>
      <c r="J2078">
        <v>0</v>
      </c>
      <c r="K2078">
        <v>1</v>
      </c>
      <c r="L2078">
        <v>2</v>
      </c>
      <c r="M2078">
        <v>160</v>
      </c>
      <c r="N2078">
        <v>152</v>
      </c>
      <c r="O2078">
        <v>0</v>
      </c>
      <c r="P2078">
        <v>152</v>
      </c>
      <c r="Q2078">
        <v>7</v>
      </c>
      <c r="R2078">
        <v>22</v>
      </c>
      <c r="S2078">
        <v>9</v>
      </c>
      <c r="T2078">
        <v>1</v>
      </c>
      <c r="U2078">
        <v>5</v>
      </c>
      <c r="V2078">
        <v>1</v>
      </c>
      <c r="W2078">
        <v>2</v>
      </c>
      <c r="X2078">
        <v>94</v>
      </c>
      <c r="Y2078">
        <v>0</v>
      </c>
      <c r="Z2078">
        <v>2</v>
      </c>
      <c r="AA2078">
        <v>0</v>
      </c>
      <c r="AB2078">
        <v>0</v>
      </c>
      <c r="AD2078">
        <v>0</v>
      </c>
      <c r="AE2078">
        <v>1</v>
      </c>
      <c r="AF2078">
        <v>0</v>
      </c>
      <c r="AG2078">
        <v>0</v>
      </c>
      <c r="AI2078">
        <v>0</v>
      </c>
      <c r="AJ2078">
        <v>8</v>
      </c>
      <c r="AK2078">
        <v>152</v>
      </c>
      <c r="AL2078">
        <v>152</v>
      </c>
      <c r="AM2078">
        <v>268</v>
      </c>
      <c r="AN2078">
        <v>44</v>
      </c>
      <c r="AP2078">
        <v>1</v>
      </c>
      <c r="AR2078" t="s">
        <v>2169</v>
      </c>
      <c r="AS2078" s="1">
        <v>44353.951388888891</v>
      </c>
      <c r="AT2078" s="1">
        <v>44353.956134259257</v>
      </c>
      <c r="AU2078" s="1">
        <v>44353.956805555557</v>
      </c>
      <c r="AV2078" t="s">
        <v>71</v>
      </c>
      <c r="AW2078" t="s">
        <v>72</v>
      </c>
      <c r="AX2078" t="s">
        <v>73</v>
      </c>
    </row>
    <row r="2079" spans="1:50" x14ac:dyDescent="0.3">
      <c r="A2079" t="str">
        <f>"201873B0000"</f>
        <v>201873B0000</v>
      </c>
      <c r="B2079" t="str">
        <f>"201873B00002"</f>
        <v>201873B00002</v>
      </c>
      <c r="C2079" t="str">
        <f t="shared" si="101"/>
        <v>20</v>
      </c>
      <c r="D2079" t="s">
        <v>67</v>
      </c>
      <c r="E2079" t="str">
        <f t="shared" si="99"/>
        <v>009</v>
      </c>
      <c r="F2079" t="s">
        <v>2003</v>
      </c>
      <c r="G2079" t="str">
        <f>"1873"</f>
        <v>1873</v>
      </c>
      <c r="H2079" t="str">
        <f t="shared" si="102"/>
        <v>0000</v>
      </c>
      <c r="I2079" t="s">
        <v>69</v>
      </c>
      <c r="J2079">
        <v>0</v>
      </c>
      <c r="K2079">
        <v>1</v>
      </c>
      <c r="L2079">
        <v>2</v>
      </c>
      <c r="M2079">
        <v>251</v>
      </c>
      <c r="N2079">
        <v>234</v>
      </c>
      <c r="O2079">
        <v>0</v>
      </c>
      <c r="P2079">
        <v>234</v>
      </c>
      <c r="Q2079">
        <v>4</v>
      </c>
      <c r="R2079">
        <v>9</v>
      </c>
      <c r="S2079">
        <v>6</v>
      </c>
      <c r="T2079">
        <v>1</v>
      </c>
      <c r="U2079">
        <v>11</v>
      </c>
      <c r="V2079">
        <v>2</v>
      </c>
      <c r="W2079">
        <v>3</v>
      </c>
      <c r="X2079">
        <v>190</v>
      </c>
      <c r="Y2079">
        <v>1</v>
      </c>
      <c r="Z2079">
        <v>1</v>
      </c>
      <c r="AA2079">
        <v>0</v>
      </c>
      <c r="AB2079">
        <v>3</v>
      </c>
      <c r="AD2079" t="s">
        <v>77</v>
      </c>
      <c r="AE2079" t="s">
        <v>77</v>
      </c>
      <c r="AF2079" t="s">
        <v>77</v>
      </c>
      <c r="AG2079" t="s">
        <v>77</v>
      </c>
      <c r="AI2079" t="s">
        <v>77</v>
      </c>
      <c r="AJ2079">
        <v>3</v>
      </c>
      <c r="AK2079">
        <v>234</v>
      </c>
      <c r="AL2079">
        <v>234</v>
      </c>
      <c r="AM2079">
        <v>441</v>
      </c>
      <c r="AN2079">
        <v>44</v>
      </c>
      <c r="AO2079" t="s">
        <v>78</v>
      </c>
      <c r="AP2079">
        <v>1</v>
      </c>
      <c r="AR2079" t="s">
        <v>2170</v>
      </c>
      <c r="AS2079" s="1">
        <v>44354.04583333333</v>
      </c>
      <c r="AT2079" s="1">
        <v>44354.053101851852</v>
      </c>
      <c r="AU2079" s="1">
        <v>44354.053564814814</v>
      </c>
      <c r="AV2079" t="s">
        <v>71</v>
      </c>
      <c r="AW2079" t="s">
        <v>72</v>
      </c>
      <c r="AX2079" t="s">
        <v>73</v>
      </c>
    </row>
    <row r="2080" spans="1:50" x14ac:dyDescent="0.3">
      <c r="A2080" t="str">
        <f>"201907B0000"</f>
        <v>201907B0000</v>
      </c>
      <c r="B2080" t="str">
        <f>"201907B00002"</f>
        <v>201907B00002</v>
      </c>
      <c r="C2080" t="str">
        <f t="shared" si="101"/>
        <v>20</v>
      </c>
      <c r="D2080" t="s">
        <v>67</v>
      </c>
      <c r="E2080" t="str">
        <f t="shared" si="99"/>
        <v>009</v>
      </c>
      <c r="F2080" t="s">
        <v>2003</v>
      </c>
      <c r="G2080" t="str">
        <f>"1907"</f>
        <v>1907</v>
      </c>
      <c r="H2080" t="str">
        <f t="shared" si="102"/>
        <v>0000</v>
      </c>
      <c r="I2080" t="s">
        <v>69</v>
      </c>
      <c r="J2080">
        <v>0</v>
      </c>
      <c r="K2080">
        <v>1</v>
      </c>
      <c r="L2080">
        <v>2</v>
      </c>
      <c r="M2080">
        <v>521</v>
      </c>
      <c r="N2080">
        <v>279</v>
      </c>
      <c r="O2080">
        <v>0</v>
      </c>
      <c r="P2080" t="s">
        <v>80</v>
      </c>
      <c r="Q2080">
        <v>8</v>
      </c>
      <c r="R2080">
        <v>12</v>
      </c>
      <c r="S2080">
        <v>4</v>
      </c>
      <c r="T2080">
        <v>3</v>
      </c>
      <c r="U2080">
        <v>17</v>
      </c>
      <c r="V2080">
        <v>3</v>
      </c>
      <c r="W2080">
        <v>5</v>
      </c>
      <c r="X2080">
        <v>208</v>
      </c>
      <c r="Y2080">
        <v>2</v>
      </c>
      <c r="Z2080">
        <v>5</v>
      </c>
      <c r="AA2080">
        <v>1</v>
      </c>
      <c r="AB2080">
        <v>2</v>
      </c>
      <c r="AD2080" t="s">
        <v>77</v>
      </c>
      <c r="AE2080" t="s">
        <v>77</v>
      </c>
      <c r="AF2080" t="s">
        <v>77</v>
      </c>
      <c r="AG2080" t="s">
        <v>77</v>
      </c>
      <c r="AI2080" t="s">
        <v>77</v>
      </c>
      <c r="AJ2080">
        <v>9</v>
      </c>
      <c r="AK2080">
        <v>279</v>
      </c>
      <c r="AL2080">
        <v>279</v>
      </c>
      <c r="AM2080">
        <v>731</v>
      </c>
      <c r="AN2080">
        <v>44</v>
      </c>
      <c r="AO2080" t="s">
        <v>78</v>
      </c>
      <c r="AP2080">
        <v>1</v>
      </c>
      <c r="AR2080" t="s">
        <v>2171</v>
      </c>
      <c r="AS2080" s="1">
        <v>44354.265277777777</v>
      </c>
      <c r="AT2080" s="1">
        <v>44354.270138888889</v>
      </c>
      <c r="AU2080" s="1">
        <v>44354.270671296297</v>
      </c>
      <c r="AV2080" t="s">
        <v>71</v>
      </c>
      <c r="AW2080" t="s">
        <v>72</v>
      </c>
      <c r="AX2080" t="s">
        <v>73</v>
      </c>
    </row>
    <row r="2081" spans="1:50" x14ac:dyDescent="0.3">
      <c r="A2081" t="str">
        <f>"201933B0000"</f>
        <v>201933B0000</v>
      </c>
      <c r="B2081" t="str">
        <f>"201933B00002"</f>
        <v>201933B00002</v>
      </c>
      <c r="C2081" t="str">
        <f t="shared" si="101"/>
        <v>20</v>
      </c>
      <c r="D2081" t="s">
        <v>67</v>
      </c>
      <c r="E2081" t="str">
        <f t="shared" si="99"/>
        <v>009</v>
      </c>
      <c r="F2081" t="s">
        <v>2003</v>
      </c>
      <c r="G2081" t="str">
        <f>"1933"</f>
        <v>1933</v>
      </c>
      <c r="H2081" t="str">
        <f t="shared" si="102"/>
        <v>0000</v>
      </c>
      <c r="I2081" t="s">
        <v>69</v>
      </c>
      <c r="J2081">
        <v>0</v>
      </c>
      <c r="K2081">
        <v>1</v>
      </c>
      <c r="L2081">
        <v>2</v>
      </c>
      <c r="M2081">
        <v>174</v>
      </c>
      <c r="N2081">
        <v>261</v>
      </c>
      <c r="O2081">
        <v>0</v>
      </c>
      <c r="P2081">
        <v>87</v>
      </c>
      <c r="Q2081">
        <v>0</v>
      </c>
      <c r="R2081">
        <v>18</v>
      </c>
      <c r="S2081">
        <v>2</v>
      </c>
      <c r="T2081">
        <v>1</v>
      </c>
      <c r="U2081">
        <v>2</v>
      </c>
      <c r="V2081">
        <v>1</v>
      </c>
      <c r="W2081">
        <v>0</v>
      </c>
      <c r="X2081">
        <v>61</v>
      </c>
      <c r="Y2081">
        <v>0</v>
      </c>
      <c r="Z2081">
        <v>0</v>
      </c>
      <c r="AA2081">
        <v>0</v>
      </c>
      <c r="AB2081">
        <v>0</v>
      </c>
      <c r="AD2081">
        <v>0</v>
      </c>
      <c r="AE2081">
        <v>0</v>
      </c>
      <c r="AF2081">
        <v>0</v>
      </c>
      <c r="AG2081">
        <v>0</v>
      </c>
      <c r="AI2081">
        <v>0</v>
      </c>
      <c r="AJ2081">
        <v>2</v>
      </c>
      <c r="AK2081">
        <v>87</v>
      </c>
      <c r="AL2081">
        <v>87</v>
      </c>
      <c r="AM2081">
        <v>217</v>
      </c>
      <c r="AN2081">
        <v>44</v>
      </c>
      <c r="AP2081">
        <v>1</v>
      </c>
      <c r="AR2081" t="s">
        <v>2172</v>
      </c>
      <c r="AS2081" s="1">
        <v>44354.103472222225</v>
      </c>
      <c r="AT2081" s="1">
        <v>44354.106481481482</v>
      </c>
      <c r="AU2081" s="1">
        <v>44354.10796296296</v>
      </c>
      <c r="AV2081" t="s">
        <v>71</v>
      </c>
      <c r="AW2081" t="s">
        <v>72</v>
      </c>
      <c r="AX2081" t="s">
        <v>73</v>
      </c>
    </row>
    <row r="2082" spans="1:50" x14ac:dyDescent="0.3">
      <c r="A2082" t="str">
        <f>"201934B0000"</f>
        <v>201934B0000</v>
      </c>
      <c r="B2082" t="str">
        <f>"201934B00002"</f>
        <v>201934B00002</v>
      </c>
      <c r="C2082" t="str">
        <f t="shared" si="101"/>
        <v>20</v>
      </c>
      <c r="D2082" t="s">
        <v>67</v>
      </c>
      <c r="E2082" t="str">
        <f t="shared" si="99"/>
        <v>009</v>
      </c>
      <c r="F2082" t="s">
        <v>2003</v>
      </c>
      <c r="G2082" t="str">
        <f>"1934"</f>
        <v>1934</v>
      </c>
      <c r="H2082" t="str">
        <f t="shared" si="102"/>
        <v>0000</v>
      </c>
      <c r="I2082" t="s">
        <v>69</v>
      </c>
      <c r="J2082">
        <v>0</v>
      </c>
      <c r="K2082">
        <v>1</v>
      </c>
      <c r="L2082">
        <v>2</v>
      </c>
      <c r="M2082">
        <v>194</v>
      </c>
      <c r="N2082">
        <v>191</v>
      </c>
      <c r="O2082">
        <v>0</v>
      </c>
      <c r="P2082">
        <v>191</v>
      </c>
      <c r="Q2082">
        <v>0</v>
      </c>
      <c r="R2082">
        <v>21</v>
      </c>
      <c r="S2082">
        <v>1</v>
      </c>
      <c r="T2082">
        <v>0</v>
      </c>
      <c r="U2082">
        <v>4</v>
      </c>
      <c r="V2082">
        <v>0</v>
      </c>
      <c r="W2082">
        <v>3</v>
      </c>
      <c r="X2082">
        <v>156</v>
      </c>
      <c r="Y2082">
        <v>0</v>
      </c>
      <c r="Z2082">
        <v>0</v>
      </c>
      <c r="AA2082">
        <v>0</v>
      </c>
      <c r="AB2082">
        <v>1</v>
      </c>
      <c r="AD2082">
        <v>0</v>
      </c>
      <c r="AE2082">
        <v>0</v>
      </c>
      <c r="AF2082">
        <v>0</v>
      </c>
      <c r="AG2082">
        <v>0</v>
      </c>
      <c r="AI2082">
        <v>0</v>
      </c>
      <c r="AJ2082">
        <v>5</v>
      </c>
      <c r="AK2082">
        <v>191</v>
      </c>
      <c r="AL2082">
        <v>191</v>
      </c>
      <c r="AM2082">
        <v>341</v>
      </c>
      <c r="AN2082">
        <v>44</v>
      </c>
      <c r="AP2082">
        <v>1</v>
      </c>
      <c r="AR2082" t="s">
        <v>2173</v>
      </c>
      <c r="AS2082" s="1">
        <v>44353.80972222222</v>
      </c>
      <c r="AT2082" s="1">
        <v>44353.97519675926</v>
      </c>
      <c r="AU2082" s="1">
        <v>44353.975763888891</v>
      </c>
      <c r="AV2082" t="s">
        <v>71</v>
      </c>
      <c r="AW2082" t="s">
        <v>72</v>
      </c>
      <c r="AX2082" t="s">
        <v>73</v>
      </c>
    </row>
    <row r="2083" spans="1:50" x14ac:dyDescent="0.3">
      <c r="A2083" t="str">
        <f>"201976B0000"</f>
        <v>201976B0000</v>
      </c>
      <c r="B2083" t="str">
        <f>"201976B00002"</f>
        <v>201976B00002</v>
      </c>
      <c r="C2083" t="str">
        <f t="shared" si="101"/>
        <v>20</v>
      </c>
      <c r="D2083" t="s">
        <v>67</v>
      </c>
      <c r="E2083" t="str">
        <f t="shared" si="99"/>
        <v>009</v>
      </c>
      <c r="F2083" t="s">
        <v>2003</v>
      </c>
      <c r="G2083" t="str">
        <f>"1976"</f>
        <v>1976</v>
      </c>
      <c r="H2083" t="str">
        <f t="shared" si="102"/>
        <v>0000</v>
      </c>
      <c r="I2083" t="s">
        <v>69</v>
      </c>
      <c r="J2083">
        <v>0</v>
      </c>
      <c r="K2083">
        <v>1</v>
      </c>
      <c r="L2083">
        <v>2</v>
      </c>
      <c r="M2083">
        <v>344</v>
      </c>
      <c r="N2083">
        <v>249</v>
      </c>
      <c r="O2083">
        <v>4</v>
      </c>
      <c r="P2083">
        <v>249</v>
      </c>
      <c r="Q2083">
        <v>1</v>
      </c>
      <c r="R2083">
        <v>26</v>
      </c>
      <c r="S2083">
        <v>6</v>
      </c>
      <c r="T2083">
        <v>6</v>
      </c>
      <c r="U2083">
        <v>17</v>
      </c>
      <c r="V2083">
        <v>3</v>
      </c>
      <c r="W2083">
        <v>5</v>
      </c>
      <c r="X2083">
        <v>164</v>
      </c>
      <c r="Y2083">
        <v>2</v>
      </c>
      <c r="Z2083">
        <v>2</v>
      </c>
      <c r="AA2083">
        <v>4</v>
      </c>
      <c r="AB2083">
        <v>1</v>
      </c>
      <c r="AD2083">
        <v>1</v>
      </c>
      <c r="AE2083">
        <v>0</v>
      </c>
      <c r="AF2083">
        <v>0</v>
      </c>
      <c r="AG2083">
        <v>0</v>
      </c>
      <c r="AI2083">
        <v>0</v>
      </c>
      <c r="AJ2083">
        <v>11</v>
      </c>
      <c r="AK2083">
        <v>249</v>
      </c>
      <c r="AL2083">
        <v>249</v>
      </c>
      <c r="AM2083">
        <v>549</v>
      </c>
      <c r="AN2083">
        <v>44</v>
      </c>
      <c r="AP2083">
        <v>1</v>
      </c>
      <c r="AR2083" t="s">
        <v>2174</v>
      </c>
      <c r="AS2083" s="1">
        <v>44354.262499999997</v>
      </c>
      <c r="AT2083" s="1">
        <v>44354.265787037039</v>
      </c>
      <c r="AU2083" s="1">
        <v>44354.266319444447</v>
      </c>
      <c r="AV2083" t="s">
        <v>71</v>
      </c>
      <c r="AW2083" t="s">
        <v>72</v>
      </c>
      <c r="AX2083" t="s">
        <v>73</v>
      </c>
    </row>
    <row r="2084" spans="1:50" x14ac:dyDescent="0.3">
      <c r="A2084" t="str">
        <f>"201976E0100"</f>
        <v>201976E0100</v>
      </c>
      <c r="B2084" t="str">
        <f>"201976E01002"</f>
        <v>201976E01002</v>
      </c>
      <c r="C2084" t="str">
        <f t="shared" si="101"/>
        <v>20</v>
      </c>
      <c r="D2084" t="s">
        <v>67</v>
      </c>
      <c r="E2084" t="str">
        <f t="shared" si="99"/>
        <v>009</v>
      </c>
      <c r="F2084" t="s">
        <v>2003</v>
      </c>
      <c r="G2084" t="str">
        <f>"1976"</f>
        <v>1976</v>
      </c>
      <c r="H2084" t="str">
        <f>"0001"</f>
        <v>0001</v>
      </c>
      <c r="I2084" t="s">
        <v>109</v>
      </c>
      <c r="J2084">
        <v>0</v>
      </c>
      <c r="K2084">
        <v>1</v>
      </c>
      <c r="L2084">
        <v>2</v>
      </c>
      <c r="M2084">
        <v>251</v>
      </c>
      <c r="N2084">
        <v>121</v>
      </c>
      <c r="O2084">
        <v>0</v>
      </c>
      <c r="P2084">
        <v>121</v>
      </c>
      <c r="Q2084">
        <v>0</v>
      </c>
      <c r="R2084">
        <v>14</v>
      </c>
      <c r="S2084">
        <v>0</v>
      </c>
      <c r="T2084">
        <v>0</v>
      </c>
      <c r="U2084">
        <v>5</v>
      </c>
      <c r="V2084">
        <v>6</v>
      </c>
      <c r="W2084">
        <v>4</v>
      </c>
      <c r="X2084">
        <v>86</v>
      </c>
      <c r="Y2084">
        <v>0</v>
      </c>
      <c r="Z2084">
        <v>1</v>
      </c>
      <c r="AA2084">
        <v>0</v>
      </c>
      <c r="AB2084">
        <v>0</v>
      </c>
      <c r="AD2084">
        <v>0</v>
      </c>
      <c r="AE2084">
        <v>0</v>
      </c>
      <c r="AF2084">
        <v>0</v>
      </c>
      <c r="AG2084">
        <v>0</v>
      </c>
      <c r="AI2084">
        <v>0</v>
      </c>
      <c r="AJ2084">
        <v>5</v>
      </c>
      <c r="AK2084">
        <v>121</v>
      </c>
      <c r="AL2084">
        <v>121</v>
      </c>
      <c r="AM2084">
        <v>328</v>
      </c>
      <c r="AN2084">
        <v>44</v>
      </c>
      <c r="AP2084">
        <v>1</v>
      </c>
      <c r="AR2084" t="s">
        <v>2175</v>
      </c>
      <c r="AS2084" s="1">
        <v>44354.260416666664</v>
      </c>
      <c r="AT2084" s="1">
        <v>44354.264247685183</v>
      </c>
      <c r="AU2084" s="1">
        <v>44354.264652777776</v>
      </c>
      <c r="AV2084" t="s">
        <v>71</v>
      </c>
      <c r="AW2084" t="s">
        <v>72</v>
      </c>
      <c r="AX2084" t="s">
        <v>73</v>
      </c>
    </row>
    <row r="2085" spans="1:50" x14ac:dyDescent="0.3">
      <c r="A2085" t="str">
        <f>"201977B0000"</f>
        <v>201977B0000</v>
      </c>
      <c r="B2085" t="str">
        <f>"201977B00002"</f>
        <v>201977B00002</v>
      </c>
      <c r="C2085" t="str">
        <f t="shared" si="101"/>
        <v>20</v>
      </c>
      <c r="D2085" t="s">
        <v>67</v>
      </c>
      <c r="E2085" t="str">
        <f t="shared" si="99"/>
        <v>009</v>
      </c>
      <c r="F2085" t="s">
        <v>2003</v>
      </c>
      <c r="G2085" t="str">
        <f>"1977"</f>
        <v>1977</v>
      </c>
      <c r="H2085" t="str">
        <f>"0000"</f>
        <v>0000</v>
      </c>
      <c r="I2085" t="s">
        <v>69</v>
      </c>
      <c r="J2085">
        <v>0</v>
      </c>
      <c r="K2085">
        <v>1</v>
      </c>
      <c r="L2085">
        <v>2</v>
      </c>
      <c r="M2085">
        <v>408</v>
      </c>
      <c r="N2085">
        <v>212</v>
      </c>
      <c r="O2085">
        <v>0</v>
      </c>
      <c r="P2085">
        <v>212</v>
      </c>
      <c r="Q2085">
        <v>5</v>
      </c>
      <c r="R2085">
        <v>31</v>
      </c>
      <c r="S2085">
        <v>8</v>
      </c>
      <c r="T2085">
        <v>3</v>
      </c>
      <c r="U2085">
        <v>12</v>
      </c>
      <c r="V2085">
        <v>7</v>
      </c>
      <c r="W2085">
        <v>17</v>
      </c>
      <c r="X2085">
        <v>105</v>
      </c>
      <c r="Y2085">
        <v>0</v>
      </c>
      <c r="Z2085">
        <v>5</v>
      </c>
      <c r="AA2085">
        <v>6</v>
      </c>
      <c r="AB2085">
        <v>1</v>
      </c>
      <c r="AD2085">
        <v>0</v>
      </c>
      <c r="AE2085">
        <v>0</v>
      </c>
      <c r="AF2085">
        <v>0</v>
      </c>
      <c r="AG2085">
        <v>0</v>
      </c>
      <c r="AI2085">
        <v>1</v>
      </c>
      <c r="AJ2085">
        <v>11</v>
      </c>
      <c r="AK2085">
        <v>212</v>
      </c>
      <c r="AL2085">
        <v>212</v>
      </c>
      <c r="AM2085">
        <v>576</v>
      </c>
      <c r="AN2085">
        <v>44</v>
      </c>
      <c r="AP2085">
        <v>1</v>
      </c>
      <c r="AR2085" t="s">
        <v>2176</v>
      </c>
      <c r="AS2085" s="1">
        <v>44354.236805555556</v>
      </c>
      <c r="AT2085" s="1">
        <v>44354.239953703705</v>
      </c>
      <c r="AU2085" s="1">
        <v>44354.24046296296</v>
      </c>
      <c r="AV2085" t="s">
        <v>71</v>
      </c>
      <c r="AW2085" t="s">
        <v>72</v>
      </c>
      <c r="AX2085" t="s">
        <v>73</v>
      </c>
    </row>
    <row r="2086" spans="1:50" x14ac:dyDescent="0.3">
      <c r="A2086" t="str">
        <f>"201977E0100"</f>
        <v>201977E0100</v>
      </c>
      <c r="B2086" t="str">
        <f>"201977E01002"</f>
        <v>201977E01002</v>
      </c>
      <c r="C2086" t="str">
        <f t="shared" si="101"/>
        <v>20</v>
      </c>
      <c r="D2086" t="s">
        <v>67</v>
      </c>
      <c r="E2086" t="str">
        <f t="shared" si="99"/>
        <v>009</v>
      </c>
      <c r="F2086" t="s">
        <v>2003</v>
      </c>
      <c r="G2086" t="str">
        <f>"1977"</f>
        <v>1977</v>
      </c>
      <c r="H2086" t="str">
        <f>"0001"</f>
        <v>0001</v>
      </c>
      <c r="I2086" t="s">
        <v>109</v>
      </c>
      <c r="J2086">
        <v>0</v>
      </c>
      <c r="K2086">
        <v>1</v>
      </c>
      <c r="L2086">
        <v>2</v>
      </c>
      <c r="M2086">
        <v>220</v>
      </c>
      <c r="N2086">
        <v>251</v>
      </c>
      <c r="O2086">
        <v>2</v>
      </c>
      <c r="P2086">
        <v>251</v>
      </c>
      <c r="Q2086">
        <v>0</v>
      </c>
      <c r="R2086">
        <v>16</v>
      </c>
      <c r="S2086">
        <v>4</v>
      </c>
      <c r="T2086">
        <v>0</v>
      </c>
      <c r="U2086">
        <v>3</v>
      </c>
      <c r="V2086">
        <v>0</v>
      </c>
      <c r="W2086">
        <v>1</v>
      </c>
      <c r="X2086">
        <v>211</v>
      </c>
      <c r="Y2086">
        <v>11</v>
      </c>
      <c r="Z2086">
        <v>4</v>
      </c>
      <c r="AA2086">
        <v>1</v>
      </c>
      <c r="AB2086">
        <v>0</v>
      </c>
      <c r="AD2086">
        <v>0</v>
      </c>
      <c r="AE2086">
        <v>0</v>
      </c>
      <c r="AF2086">
        <v>0</v>
      </c>
      <c r="AG2086">
        <v>0</v>
      </c>
      <c r="AI2086">
        <v>0</v>
      </c>
      <c r="AJ2086">
        <v>0</v>
      </c>
      <c r="AK2086">
        <v>251</v>
      </c>
      <c r="AL2086">
        <v>251</v>
      </c>
      <c r="AM2086">
        <v>427</v>
      </c>
      <c r="AN2086">
        <v>44</v>
      </c>
      <c r="AP2086">
        <v>1</v>
      </c>
      <c r="AR2086" t="s">
        <v>2177</v>
      </c>
      <c r="AS2086" s="1">
        <v>44354.239583333336</v>
      </c>
      <c r="AT2086" s="1">
        <v>44354.242291666669</v>
      </c>
      <c r="AU2086" s="1">
        <v>44354.243333333332</v>
      </c>
      <c r="AV2086" t="s">
        <v>71</v>
      </c>
      <c r="AW2086" t="s">
        <v>72</v>
      </c>
      <c r="AX2086" t="s">
        <v>73</v>
      </c>
    </row>
    <row r="2087" spans="1:50" x14ac:dyDescent="0.3">
      <c r="A2087" t="str">
        <f>"201977E0200"</f>
        <v>201977E0200</v>
      </c>
      <c r="B2087" t="str">
        <f>"201977E02002"</f>
        <v>201977E02002</v>
      </c>
      <c r="C2087" t="str">
        <f t="shared" si="101"/>
        <v>20</v>
      </c>
      <c r="D2087" t="s">
        <v>67</v>
      </c>
      <c r="E2087" t="str">
        <f t="shared" si="99"/>
        <v>009</v>
      </c>
      <c r="F2087" t="s">
        <v>2003</v>
      </c>
      <c r="G2087" t="str">
        <f>"1977"</f>
        <v>1977</v>
      </c>
      <c r="H2087" t="str">
        <f>"0002"</f>
        <v>0002</v>
      </c>
      <c r="I2087" t="s">
        <v>109</v>
      </c>
      <c r="J2087">
        <v>0</v>
      </c>
      <c r="K2087">
        <v>1</v>
      </c>
      <c r="L2087">
        <v>2</v>
      </c>
      <c r="M2087">
        <v>150</v>
      </c>
      <c r="N2087">
        <v>233</v>
      </c>
      <c r="O2087">
        <v>0</v>
      </c>
      <c r="P2087">
        <v>233</v>
      </c>
      <c r="Q2087">
        <v>0</v>
      </c>
      <c r="R2087">
        <v>4</v>
      </c>
      <c r="S2087">
        <v>6</v>
      </c>
      <c r="T2087">
        <v>4</v>
      </c>
      <c r="U2087">
        <v>2</v>
      </c>
      <c r="V2087">
        <v>5</v>
      </c>
      <c r="W2087">
        <v>9</v>
      </c>
      <c r="X2087">
        <v>188</v>
      </c>
      <c r="Y2087">
        <v>1</v>
      </c>
      <c r="Z2087">
        <v>2</v>
      </c>
      <c r="AA2087">
        <v>2</v>
      </c>
      <c r="AB2087">
        <v>3</v>
      </c>
      <c r="AD2087">
        <v>0</v>
      </c>
      <c r="AE2087">
        <v>0</v>
      </c>
      <c r="AF2087">
        <v>0</v>
      </c>
      <c r="AG2087">
        <v>0</v>
      </c>
      <c r="AI2087">
        <v>0</v>
      </c>
      <c r="AJ2087">
        <v>0</v>
      </c>
      <c r="AK2087">
        <v>233</v>
      </c>
      <c r="AL2087">
        <v>226</v>
      </c>
      <c r="AM2087">
        <v>339</v>
      </c>
      <c r="AN2087">
        <v>44</v>
      </c>
      <c r="AP2087">
        <v>1</v>
      </c>
      <c r="AR2087" t="s">
        <v>2178</v>
      </c>
      <c r="AS2087" s="1">
        <v>44354.238194444442</v>
      </c>
      <c r="AT2087" s="1">
        <v>44354.241412037038</v>
      </c>
      <c r="AU2087" s="1">
        <v>44354.242002314815</v>
      </c>
      <c r="AV2087" t="s">
        <v>71</v>
      </c>
      <c r="AW2087" t="s">
        <v>72</v>
      </c>
      <c r="AX2087" t="s">
        <v>73</v>
      </c>
    </row>
    <row r="2088" spans="1:50" x14ac:dyDescent="0.3">
      <c r="A2088" t="str">
        <f>"201991B0000"</f>
        <v>201991B0000</v>
      </c>
      <c r="B2088" t="str">
        <f>"201991B00002"</f>
        <v>201991B00002</v>
      </c>
      <c r="C2088" t="str">
        <f t="shared" si="101"/>
        <v>20</v>
      </c>
      <c r="D2088" t="s">
        <v>67</v>
      </c>
      <c r="E2088" t="str">
        <f t="shared" si="99"/>
        <v>009</v>
      </c>
      <c r="F2088" t="s">
        <v>2003</v>
      </c>
      <c r="G2088" t="str">
        <f>"1991"</f>
        <v>1991</v>
      </c>
      <c r="H2088" t="str">
        <f>"0000"</f>
        <v>0000</v>
      </c>
      <c r="I2088" t="s">
        <v>69</v>
      </c>
      <c r="J2088">
        <v>0</v>
      </c>
      <c r="K2088">
        <v>1</v>
      </c>
      <c r="L2088">
        <v>2</v>
      </c>
      <c r="M2088">
        <v>232</v>
      </c>
      <c r="N2088">
        <v>194</v>
      </c>
      <c r="O2088">
        <v>0</v>
      </c>
      <c r="P2088">
        <v>194</v>
      </c>
      <c r="Q2088">
        <v>7</v>
      </c>
      <c r="R2088">
        <v>23</v>
      </c>
      <c r="S2088">
        <v>3</v>
      </c>
      <c r="T2088">
        <v>4</v>
      </c>
      <c r="U2088">
        <v>11</v>
      </c>
      <c r="V2088">
        <v>3</v>
      </c>
      <c r="W2088">
        <v>3</v>
      </c>
      <c r="X2088">
        <v>125</v>
      </c>
      <c r="Y2088">
        <v>1</v>
      </c>
      <c r="Z2088">
        <v>4</v>
      </c>
      <c r="AA2088">
        <v>0</v>
      </c>
      <c r="AB2088">
        <v>0</v>
      </c>
      <c r="AD2088">
        <v>1</v>
      </c>
      <c r="AE2088">
        <v>0</v>
      </c>
      <c r="AF2088">
        <v>0</v>
      </c>
      <c r="AG2088">
        <v>1</v>
      </c>
      <c r="AI2088">
        <v>0</v>
      </c>
      <c r="AJ2088">
        <v>8</v>
      </c>
      <c r="AK2088">
        <v>194</v>
      </c>
      <c r="AL2088">
        <v>194</v>
      </c>
      <c r="AM2088">
        <v>382</v>
      </c>
      <c r="AN2088">
        <v>44</v>
      </c>
      <c r="AP2088">
        <v>1</v>
      </c>
      <c r="AR2088" t="s">
        <v>2179</v>
      </c>
      <c r="AS2088" s="1">
        <v>44354.663888888892</v>
      </c>
      <c r="AT2088" s="1">
        <v>44354.665914351855</v>
      </c>
      <c r="AU2088" s="1">
        <v>44354.666967592595</v>
      </c>
      <c r="AV2088" t="s">
        <v>71</v>
      </c>
      <c r="AW2088" t="s">
        <v>72</v>
      </c>
      <c r="AX2088" t="s">
        <v>347</v>
      </c>
    </row>
    <row r="2089" spans="1:50" x14ac:dyDescent="0.3">
      <c r="A2089" t="str">
        <f>"201991C0100"</f>
        <v>201991C0100</v>
      </c>
      <c r="B2089" t="str">
        <f>"201991C01002"</f>
        <v>201991C01002</v>
      </c>
      <c r="C2089" t="str">
        <f t="shared" si="101"/>
        <v>20</v>
      </c>
      <c r="D2089" t="s">
        <v>67</v>
      </c>
      <c r="E2089" t="str">
        <f t="shared" si="99"/>
        <v>009</v>
      </c>
      <c r="F2089" t="s">
        <v>2003</v>
      </c>
      <c r="G2089" t="str">
        <f>"1991"</f>
        <v>1991</v>
      </c>
      <c r="H2089" t="str">
        <f>"0001"</f>
        <v>0001</v>
      </c>
      <c r="I2089" t="s">
        <v>75</v>
      </c>
      <c r="J2089">
        <v>0</v>
      </c>
      <c r="K2089">
        <v>1</v>
      </c>
      <c r="L2089">
        <v>2</v>
      </c>
      <c r="M2089">
        <v>273</v>
      </c>
      <c r="N2089">
        <v>152</v>
      </c>
      <c r="O2089">
        <v>0</v>
      </c>
      <c r="P2089">
        <v>152</v>
      </c>
      <c r="Q2089">
        <v>3</v>
      </c>
      <c r="R2089">
        <v>17</v>
      </c>
      <c r="S2089">
        <v>3</v>
      </c>
      <c r="T2089">
        <v>5</v>
      </c>
      <c r="U2089">
        <v>9</v>
      </c>
      <c r="V2089">
        <v>0</v>
      </c>
      <c r="W2089">
        <v>1</v>
      </c>
      <c r="X2089">
        <v>104</v>
      </c>
      <c r="Y2089">
        <v>0</v>
      </c>
      <c r="Z2089">
        <v>2</v>
      </c>
      <c r="AA2089">
        <v>1</v>
      </c>
      <c r="AB2089">
        <v>0</v>
      </c>
      <c r="AD2089" t="s">
        <v>77</v>
      </c>
      <c r="AE2089" t="s">
        <v>77</v>
      </c>
      <c r="AF2089" t="s">
        <v>77</v>
      </c>
      <c r="AG2089" t="s">
        <v>77</v>
      </c>
      <c r="AI2089" t="s">
        <v>77</v>
      </c>
      <c r="AJ2089" t="s">
        <v>77</v>
      </c>
      <c r="AK2089" t="s">
        <v>77</v>
      </c>
      <c r="AL2089">
        <v>145</v>
      </c>
      <c r="AM2089">
        <v>381</v>
      </c>
      <c r="AN2089">
        <v>44</v>
      </c>
      <c r="AO2089" t="s">
        <v>78</v>
      </c>
      <c r="AP2089">
        <v>1</v>
      </c>
      <c r="AR2089" t="s">
        <v>2180</v>
      </c>
      <c r="AS2089" s="1">
        <v>44354.000694444447</v>
      </c>
      <c r="AT2089" s="1">
        <v>44354.007106481484</v>
      </c>
      <c r="AU2089" s="1">
        <v>44354.007569444446</v>
      </c>
      <c r="AV2089" t="s">
        <v>71</v>
      </c>
      <c r="AW2089" t="s">
        <v>72</v>
      </c>
      <c r="AX2089" t="s">
        <v>73</v>
      </c>
    </row>
    <row r="2090" spans="1:50" x14ac:dyDescent="0.3">
      <c r="A2090" t="str">
        <f>"201992B0000"</f>
        <v>201992B0000</v>
      </c>
      <c r="B2090" t="str">
        <f>"201992B00002"</f>
        <v>201992B00002</v>
      </c>
      <c r="C2090" t="str">
        <f t="shared" si="101"/>
        <v>20</v>
      </c>
      <c r="D2090" t="s">
        <v>67</v>
      </c>
      <c r="E2090" t="str">
        <f t="shared" si="99"/>
        <v>009</v>
      </c>
      <c r="F2090" t="s">
        <v>2003</v>
      </c>
      <c r="G2090" t="str">
        <f>"1992"</f>
        <v>1992</v>
      </c>
      <c r="H2090" t="str">
        <f>"0000"</f>
        <v>0000</v>
      </c>
      <c r="I2090" t="s">
        <v>69</v>
      </c>
      <c r="J2090">
        <v>0</v>
      </c>
      <c r="K2090">
        <v>1</v>
      </c>
      <c r="L2090">
        <v>2</v>
      </c>
      <c r="M2090">
        <v>136</v>
      </c>
      <c r="N2090">
        <v>120</v>
      </c>
      <c r="O2090">
        <v>2</v>
      </c>
      <c r="P2090">
        <v>120</v>
      </c>
      <c r="Q2090">
        <v>0</v>
      </c>
      <c r="R2090">
        <v>10</v>
      </c>
      <c r="S2090">
        <v>4</v>
      </c>
      <c r="T2090">
        <v>1</v>
      </c>
      <c r="U2090">
        <v>2</v>
      </c>
      <c r="V2090">
        <v>2</v>
      </c>
      <c r="W2090">
        <v>1</v>
      </c>
      <c r="X2090">
        <v>83</v>
      </c>
      <c r="Y2090">
        <v>1</v>
      </c>
      <c r="Z2090">
        <v>3</v>
      </c>
      <c r="AA2090">
        <v>0</v>
      </c>
      <c r="AB2090">
        <v>4</v>
      </c>
      <c r="AD2090">
        <v>0</v>
      </c>
      <c r="AE2090">
        <v>0</v>
      </c>
      <c r="AF2090">
        <v>0</v>
      </c>
      <c r="AG2090">
        <v>0</v>
      </c>
      <c r="AI2090">
        <v>0</v>
      </c>
      <c r="AJ2090">
        <v>9</v>
      </c>
      <c r="AK2090">
        <v>120</v>
      </c>
      <c r="AL2090">
        <v>120</v>
      </c>
      <c r="AM2090">
        <v>212</v>
      </c>
      <c r="AN2090">
        <v>44</v>
      </c>
      <c r="AP2090">
        <v>1</v>
      </c>
      <c r="AR2090" t="s">
        <v>2181</v>
      </c>
      <c r="AS2090" s="1">
        <v>44354.060416666667</v>
      </c>
      <c r="AT2090" s="1">
        <v>44354.066342592596</v>
      </c>
      <c r="AU2090" s="1">
        <v>44354.066874999997</v>
      </c>
      <c r="AV2090" t="s">
        <v>71</v>
      </c>
      <c r="AW2090" t="s">
        <v>72</v>
      </c>
      <c r="AX2090" t="s">
        <v>73</v>
      </c>
    </row>
    <row r="2091" spans="1:50" x14ac:dyDescent="0.3">
      <c r="A2091" t="str">
        <f>"202056B0000"</f>
        <v>202056B0000</v>
      </c>
      <c r="B2091" t="str">
        <f>"202056B00002"</f>
        <v>202056B00002</v>
      </c>
      <c r="C2091" t="str">
        <f t="shared" si="101"/>
        <v>20</v>
      </c>
      <c r="D2091" t="s">
        <v>67</v>
      </c>
      <c r="E2091" t="str">
        <f t="shared" si="99"/>
        <v>009</v>
      </c>
      <c r="F2091" t="s">
        <v>2003</v>
      </c>
      <c r="G2091" t="str">
        <f>"2056"</f>
        <v>2056</v>
      </c>
      <c r="H2091" t="str">
        <f>"0000"</f>
        <v>0000</v>
      </c>
      <c r="I2091" t="s">
        <v>69</v>
      </c>
      <c r="J2091">
        <v>0</v>
      </c>
      <c r="K2091">
        <v>1</v>
      </c>
      <c r="L2091">
        <v>2</v>
      </c>
      <c r="M2091">
        <v>158</v>
      </c>
      <c r="N2091">
        <v>231</v>
      </c>
      <c r="O2091">
        <v>0</v>
      </c>
      <c r="P2091">
        <v>231</v>
      </c>
      <c r="Q2091">
        <v>1</v>
      </c>
      <c r="R2091">
        <v>8</v>
      </c>
      <c r="S2091">
        <v>6</v>
      </c>
      <c r="T2091">
        <v>2</v>
      </c>
      <c r="U2091">
        <v>11</v>
      </c>
      <c r="V2091">
        <v>3</v>
      </c>
      <c r="W2091">
        <v>7</v>
      </c>
      <c r="X2091">
        <v>178</v>
      </c>
      <c r="Y2091">
        <v>1</v>
      </c>
      <c r="Z2091">
        <v>3</v>
      </c>
      <c r="AA2091">
        <v>1</v>
      </c>
      <c r="AB2091">
        <v>2</v>
      </c>
      <c r="AD2091">
        <v>0</v>
      </c>
      <c r="AE2091">
        <v>0</v>
      </c>
      <c r="AF2091">
        <v>0</v>
      </c>
      <c r="AG2091">
        <v>0</v>
      </c>
      <c r="AI2091">
        <v>0</v>
      </c>
      <c r="AJ2091">
        <v>8</v>
      </c>
      <c r="AK2091">
        <v>231</v>
      </c>
      <c r="AL2091">
        <v>231</v>
      </c>
      <c r="AM2091">
        <v>345</v>
      </c>
      <c r="AN2091">
        <v>44</v>
      </c>
      <c r="AP2091">
        <v>1</v>
      </c>
      <c r="AR2091" t="s">
        <v>2182</v>
      </c>
      <c r="AS2091" s="1">
        <v>44354.003472222219</v>
      </c>
      <c r="AT2091" s="1">
        <v>44354.010821759257</v>
      </c>
      <c r="AU2091" s="1">
        <v>44354.011782407404</v>
      </c>
      <c r="AV2091" t="s">
        <v>71</v>
      </c>
      <c r="AW2091" t="s">
        <v>72</v>
      </c>
      <c r="AX2091" t="s">
        <v>73</v>
      </c>
    </row>
    <row r="2092" spans="1:50" x14ac:dyDescent="0.3">
      <c r="A2092" t="str">
        <f>"202060B0000"</f>
        <v>202060B0000</v>
      </c>
      <c r="B2092" t="str">
        <f>"202060B00002"</f>
        <v>202060B00002</v>
      </c>
      <c r="C2092" t="str">
        <f t="shared" si="101"/>
        <v>20</v>
      </c>
      <c r="D2092" t="s">
        <v>67</v>
      </c>
      <c r="E2092" t="str">
        <f t="shared" si="99"/>
        <v>009</v>
      </c>
      <c r="F2092" t="s">
        <v>2003</v>
      </c>
      <c r="G2092" t="str">
        <f>"2060"</f>
        <v>2060</v>
      </c>
      <c r="H2092" t="str">
        <f>"0000"</f>
        <v>0000</v>
      </c>
      <c r="I2092" t="s">
        <v>69</v>
      </c>
      <c r="J2092">
        <v>0</v>
      </c>
      <c r="K2092">
        <v>1</v>
      </c>
      <c r="L2092">
        <v>2</v>
      </c>
      <c r="M2092">
        <v>327</v>
      </c>
      <c r="N2092">
        <v>169</v>
      </c>
      <c r="O2092">
        <v>0</v>
      </c>
      <c r="P2092">
        <v>169</v>
      </c>
      <c r="Q2092">
        <v>4</v>
      </c>
      <c r="R2092">
        <v>39</v>
      </c>
      <c r="S2092">
        <v>4</v>
      </c>
      <c r="T2092">
        <v>1</v>
      </c>
      <c r="U2092">
        <v>6</v>
      </c>
      <c r="V2092">
        <v>3</v>
      </c>
      <c r="W2092">
        <v>3</v>
      </c>
      <c r="X2092">
        <v>91</v>
      </c>
      <c r="Y2092">
        <v>3</v>
      </c>
      <c r="Z2092">
        <v>3</v>
      </c>
      <c r="AA2092">
        <v>1</v>
      </c>
      <c r="AB2092">
        <v>2</v>
      </c>
      <c r="AD2092" t="s">
        <v>77</v>
      </c>
      <c r="AE2092" t="s">
        <v>77</v>
      </c>
      <c r="AF2092" t="s">
        <v>77</v>
      </c>
      <c r="AG2092" t="s">
        <v>77</v>
      </c>
      <c r="AI2092" t="s">
        <v>77</v>
      </c>
      <c r="AJ2092">
        <v>11</v>
      </c>
      <c r="AK2092">
        <v>169</v>
      </c>
      <c r="AL2092">
        <v>171</v>
      </c>
      <c r="AM2092">
        <v>462</v>
      </c>
      <c r="AN2092">
        <v>44</v>
      </c>
      <c r="AO2092" t="s">
        <v>78</v>
      </c>
      <c r="AP2092">
        <v>1</v>
      </c>
      <c r="AR2092" t="s">
        <v>2183</v>
      </c>
      <c r="AS2092" s="1">
        <v>44354.099305555559</v>
      </c>
      <c r="AT2092" s="1">
        <v>44354.102013888885</v>
      </c>
      <c r="AU2092" s="1">
        <v>44354.102627314816</v>
      </c>
      <c r="AV2092" t="s">
        <v>71</v>
      </c>
      <c r="AW2092" t="s">
        <v>72</v>
      </c>
      <c r="AX2092" t="s">
        <v>73</v>
      </c>
    </row>
    <row r="2093" spans="1:50" x14ac:dyDescent="0.3">
      <c r="A2093" t="str">
        <f>"202061B0000"</f>
        <v>202061B0000</v>
      </c>
      <c r="B2093" t="str">
        <f>"202061B00002"</f>
        <v>202061B00002</v>
      </c>
      <c r="C2093" t="str">
        <f t="shared" si="101"/>
        <v>20</v>
      </c>
      <c r="D2093" t="s">
        <v>67</v>
      </c>
      <c r="E2093" t="str">
        <f t="shared" si="99"/>
        <v>009</v>
      </c>
      <c r="F2093" t="s">
        <v>2003</v>
      </c>
      <c r="G2093" t="str">
        <f>"2061"</f>
        <v>2061</v>
      </c>
      <c r="H2093" t="str">
        <f>"0000"</f>
        <v>0000</v>
      </c>
      <c r="I2093" t="s">
        <v>69</v>
      </c>
      <c r="J2093">
        <v>0</v>
      </c>
      <c r="K2093">
        <v>1</v>
      </c>
      <c r="L2093">
        <v>2</v>
      </c>
      <c r="M2093">
        <v>413</v>
      </c>
      <c r="N2093">
        <v>97</v>
      </c>
      <c r="O2093">
        <v>0</v>
      </c>
      <c r="P2093">
        <v>97</v>
      </c>
      <c r="Q2093">
        <v>1</v>
      </c>
      <c r="R2093">
        <v>5</v>
      </c>
      <c r="S2093">
        <v>1</v>
      </c>
      <c r="T2093">
        <v>1</v>
      </c>
      <c r="U2093">
        <v>0</v>
      </c>
      <c r="V2093">
        <v>1</v>
      </c>
      <c r="W2093">
        <v>1</v>
      </c>
      <c r="X2093">
        <v>85</v>
      </c>
      <c r="Y2093">
        <v>0</v>
      </c>
      <c r="Z2093">
        <v>1</v>
      </c>
      <c r="AA2093">
        <v>0</v>
      </c>
      <c r="AB2093">
        <v>0</v>
      </c>
      <c r="AD2093">
        <v>0</v>
      </c>
      <c r="AE2093">
        <v>0</v>
      </c>
      <c r="AF2093">
        <v>0</v>
      </c>
      <c r="AG2093">
        <v>0</v>
      </c>
      <c r="AI2093">
        <v>0</v>
      </c>
      <c r="AJ2093">
        <v>1</v>
      </c>
      <c r="AK2093">
        <v>97</v>
      </c>
      <c r="AL2093">
        <v>97</v>
      </c>
      <c r="AM2093">
        <v>466</v>
      </c>
      <c r="AN2093">
        <v>44</v>
      </c>
      <c r="AP2093">
        <v>1</v>
      </c>
      <c r="AR2093" t="s">
        <v>2184</v>
      </c>
      <c r="AS2093" s="1">
        <v>44354.102777777778</v>
      </c>
      <c r="AT2093" s="1">
        <v>44354.10560185185</v>
      </c>
      <c r="AU2093" s="1">
        <v>44354.106226851851</v>
      </c>
      <c r="AV2093" t="s">
        <v>71</v>
      </c>
      <c r="AW2093" t="s">
        <v>72</v>
      </c>
      <c r="AX2093" t="s">
        <v>73</v>
      </c>
    </row>
    <row r="2094" spans="1:50" x14ac:dyDescent="0.3">
      <c r="A2094" t="str">
        <f>"202148B0000"</f>
        <v>202148B0000</v>
      </c>
      <c r="B2094" t="str">
        <f>"202148B00002"</f>
        <v>202148B00002</v>
      </c>
      <c r="C2094" t="str">
        <f t="shared" si="101"/>
        <v>20</v>
      </c>
      <c r="D2094" t="s">
        <v>67</v>
      </c>
      <c r="E2094" t="str">
        <f t="shared" si="99"/>
        <v>009</v>
      </c>
      <c r="F2094" t="s">
        <v>2003</v>
      </c>
      <c r="G2094" t="str">
        <f>"2148"</f>
        <v>2148</v>
      </c>
      <c r="H2094" t="str">
        <f>"0000"</f>
        <v>0000</v>
      </c>
      <c r="I2094" t="s">
        <v>69</v>
      </c>
      <c r="J2094">
        <v>0</v>
      </c>
      <c r="K2094">
        <v>1</v>
      </c>
      <c r="L2094">
        <v>2</v>
      </c>
      <c r="M2094">
        <v>176</v>
      </c>
      <c r="N2094">
        <v>375</v>
      </c>
      <c r="O2094" t="s">
        <v>80</v>
      </c>
      <c r="P2094">
        <v>199</v>
      </c>
      <c r="Q2094">
        <v>4</v>
      </c>
      <c r="R2094">
        <v>96</v>
      </c>
      <c r="S2094">
        <v>3</v>
      </c>
      <c r="T2094">
        <v>4</v>
      </c>
      <c r="U2094">
        <v>5</v>
      </c>
      <c r="V2094">
        <v>2</v>
      </c>
      <c r="W2094">
        <v>1</v>
      </c>
      <c r="X2094">
        <v>71</v>
      </c>
      <c r="Y2094">
        <v>0</v>
      </c>
      <c r="Z2094">
        <v>1</v>
      </c>
      <c r="AA2094">
        <v>0</v>
      </c>
      <c r="AB2094">
        <v>2</v>
      </c>
      <c r="AD2094">
        <v>5</v>
      </c>
      <c r="AE2094">
        <v>0</v>
      </c>
      <c r="AF2094">
        <v>0</v>
      </c>
      <c r="AG2094">
        <v>0</v>
      </c>
      <c r="AI2094">
        <v>0</v>
      </c>
      <c r="AJ2094">
        <v>5</v>
      </c>
      <c r="AK2094">
        <v>199</v>
      </c>
      <c r="AL2094">
        <v>199</v>
      </c>
      <c r="AM2094">
        <v>331</v>
      </c>
      <c r="AN2094">
        <v>44</v>
      </c>
      <c r="AP2094">
        <v>1</v>
      </c>
      <c r="AR2094" t="s">
        <v>2185</v>
      </c>
      <c r="AS2094" s="1">
        <v>44354.166666666664</v>
      </c>
      <c r="AT2094" s="1">
        <v>44354.16946759259</v>
      </c>
      <c r="AU2094" s="1">
        <v>44354.169918981483</v>
      </c>
      <c r="AV2094" t="s">
        <v>71</v>
      </c>
      <c r="AW2094" t="s">
        <v>72</v>
      </c>
      <c r="AX2094" t="s">
        <v>73</v>
      </c>
    </row>
    <row r="2095" spans="1:50" x14ac:dyDescent="0.3">
      <c r="A2095" t="str">
        <f>"202148E0100"</f>
        <v>202148E0100</v>
      </c>
      <c r="B2095" t="str">
        <f>"202148E01002"</f>
        <v>202148E01002</v>
      </c>
      <c r="C2095" t="str">
        <f t="shared" si="101"/>
        <v>20</v>
      </c>
      <c r="D2095" t="s">
        <v>67</v>
      </c>
      <c r="E2095" t="str">
        <f t="shared" si="99"/>
        <v>009</v>
      </c>
      <c r="F2095" t="s">
        <v>2003</v>
      </c>
      <c r="G2095" t="str">
        <f>"2148"</f>
        <v>2148</v>
      </c>
      <c r="H2095" t="str">
        <f>"0001"</f>
        <v>0001</v>
      </c>
      <c r="I2095" t="s">
        <v>109</v>
      </c>
      <c r="J2095">
        <v>0</v>
      </c>
      <c r="K2095">
        <v>1</v>
      </c>
      <c r="L2095">
        <v>2</v>
      </c>
      <c r="M2095">
        <v>124</v>
      </c>
      <c r="N2095">
        <v>136</v>
      </c>
      <c r="O2095">
        <v>0</v>
      </c>
      <c r="P2095">
        <v>136</v>
      </c>
      <c r="Q2095">
        <v>4</v>
      </c>
      <c r="R2095">
        <v>29</v>
      </c>
      <c r="S2095">
        <v>2</v>
      </c>
      <c r="T2095">
        <v>2</v>
      </c>
      <c r="U2095">
        <v>1</v>
      </c>
      <c r="V2095">
        <v>3</v>
      </c>
      <c r="W2095">
        <v>1</v>
      </c>
      <c r="X2095">
        <v>84</v>
      </c>
      <c r="Y2095">
        <v>0</v>
      </c>
      <c r="Z2095">
        <v>1</v>
      </c>
      <c r="AA2095">
        <v>1</v>
      </c>
      <c r="AB2095">
        <v>1</v>
      </c>
      <c r="AD2095">
        <v>1</v>
      </c>
      <c r="AE2095">
        <v>0</v>
      </c>
      <c r="AF2095">
        <v>0</v>
      </c>
      <c r="AG2095">
        <v>0</v>
      </c>
      <c r="AI2095" t="s">
        <v>77</v>
      </c>
      <c r="AJ2095" t="s">
        <v>77</v>
      </c>
      <c r="AK2095">
        <v>136</v>
      </c>
      <c r="AL2095">
        <v>130</v>
      </c>
      <c r="AM2095">
        <v>216</v>
      </c>
      <c r="AN2095">
        <v>44</v>
      </c>
      <c r="AO2095" t="s">
        <v>78</v>
      </c>
      <c r="AP2095">
        <v>1</v>
      </c>
      <c r="AR2095" t="s">
        <v>2186</v>
      </c>
      <c r="AS2095" s="1">
        <v>44353.9375</v>
      </c>
      <c r="AT2095" s="1">
        <v>44353.941562499997</v>
      </c>
      <c r="AU2095" s="1">
        <v>44353.942233796297</v>
      </c>
      <c r="AV2095" t="s">
        <v>71</v>
      </c>
      <c r="AW2095" t="s">
        <v>72</v>
      </c>
      <c r="AX2095" t="s">
        <v>73</v>
      </c>
    </row>
    <row r="2096" spans="1:50" x14ac:dyDescent="0.3">
      <c r="A2096" t="str">
        <f>"202149B0000"</f>
        <v>202149B0000</v>
      </c>
      <c r="B2096" t="str">
        <f>"202149B00002"</f>
        <v>202149B00002</v>
      </c>
      <c r="C2096" t="str">
        <f t="shared" si="101"/>
        <v>20</v>
      </c>
      <c r="D2096" t="s">
        <v>67</v>
      </c>
      <c r="E2096" t="str">
        <f t="shared" si="99"/>
        <v>009</v>
      </c>
      <c r="F2096" t="s">
        <v>2003</v>
      </c>
      <c r="G2096" t="str">
        <f>"2149"</f>
        <v>2149</v>
      </c>
      <c r="H2096" t="str">
        <f>"0000"</f>
        <v>0000</v>
      </c>
      <c r="I2096" t="s">
        <v>69</v>
      </c>
      <c r="J2096">
        <v>0</v>
      </c>
      <c r="K2096">
        <v>1</v>
      </c>
      <c r="L2096">
        <v>2</v>
      </c>
      <c r="M2096">
        <v>320</v>
      </c>
      <c r="N2096">
        <v>265</v>
      </c>
      <c r="O2096">
        <v>0</v>
      </c>
      <c r="P2096">
        <v>265</v>
      </c>
      <c r="Q2096">
        <v>2</v>
      </c>
      <c r="R2096">
        <v>36</v>
      </c>
      <c r="S2096">
        <v>7</v>
      </c>
      <c r="T2096">
        <v>4</v>
      </c>
      <c r="U2096">
        <v>9</v>
      </c>
      <c r="V2096">
        <v>2</v>
      </c>
      <c r="W2096">
        <v>9</v>
      </c>
      <c r="X2096">
        <v>178</v>
      </c>
      <c r="Y2096">
        <v>0</v>
      </c>
      <c r="Z2096">
        <v>7</v>
      </c>
      <c r="AA2096">
        <v>2</v>
      </c>
      <c r="AB2096">
        <v>1</v>
      </c>
      <c r="AD2096">
        <v>0</v>
      </c>
      <c r="AE2096">
        <v>0</v>
      </c>
      <c r="AF2096">
        <v>0</v>
      </c>
      <c r="AG2096">
        <v>0</v>
      </c>
      <c r="AI2096">
        <v>0</v>
      </c>
      <c r="AJ2096">
        <v>8</v>
      </c>
      <c r="AK2096">
        <v>265</v>
      </c>
      <c r="AL2096">
        <v>265</v>
      </c>
      <c r="AM2096">
        <v>541</v>
      </c>
      <c r="AN2096">
        <v>44</v>
      </c>
      <c r="AP2096">
        <v>1</v>
      </c>
      <c r="AR2096" t="s">
        <v>2187</v>
      </c>
      <c r="AS2096" s="1">
        <v>44353.943749999999</v>
      </c>
      <c r="AT2096" s="1">
        <v>44353.946388888886</v>
      </c>
      <c r="AU2096" s="1">
        <v>44353.947268518517</v>
      </c>
      <c r="AV2096" t="s">
        <v>71</v>
      </c>
      <c r="AW2096" t="s">
        <v>72</v>
      </c>
      <c r="AX2096" t="s">
        <v>73</v>
      </c>
    </row>
    <row r="2097" spans="1:50" x14ac:dyDescent="0.3">
      <c r="A2097" t="str">
        <f>"202149E0100"</f>
        <v>202149E0100</v>
      </c>
      <c r="B2097" t="str">
        <f>"202149E01002"</f>
        <v>202149E01002</v>
      </c>
      <c r="C2097" t="str">
        <f t="shared" si="101"/>
        <v>20</v>
      </c>
      <c r="D2097" t="s">
        <v>67</v>
      </c>
      <c r="E2097" t="str">
        <f t="shared" si="99"/>
        <v>009</v>
      </c>
      <c r="F2097" t="s">
        <v>2003</v>
      </c>
      <c r="G2097" t="str">
        <f>"2149"</f>
        <v>2149</v>
      </c>
      <c r="H2097" t="str">
        <f>"0001"</f>
        <v>0001</v>
      </c>
      <c r="I2097" t="s">
        <v>109</v>
      </c>
      <c r="J2097">
        <v>0</v>
      </c>
      <c r="K2097">
        <v>1</v>
      </c>
      <c r="L2097">
        <v>2</v>
      </c>
      <c r="M2097">
        <v>118</v>
      </c>
      <c r="N2097">
        <v>102</v>
      </c>
      <c r="O2097">
        <v>0</v>
      </c>
      <c r="P2097">
        <v>102</v>
      </c>
      <c r="Q2097">
        <v>2</v>
      </c>
      <c r="R2097">
        <v>8</v>
      </c>
      <c r="S2097">
        <v>0</v>
      </c>
      <c r="T2097">
        <v>3</v>
      </c>
      <c r="U2097">
        <v>0</v>
      </c>
      <c r="V2097">
        <v>0</v>
      </c>
      <c r="W2097">
        <v>3</v>
      </c>
      <c r="X2097">
        <v>79</v>
      </c>
      <c r="Y2097">
        <v>0</v>
      </c>
      <c r="Z2097">
        <v>2</v>
      </c>
      <c r="AA2097">
        <v>0</v>
      </c>
      <c r="AB2097">
        <v>2</v>
      </c>
      <c r="AD2097">
        <v>1</v>
      </c>
      <c r="AE2097">
        <v>0</v>
      </c>
      <c r="AF2097">
        <v>0</v>
      </c>
      <c r="AG2097">
        <v>1</v>
      </c>
      <c r="AI2097">
        <v>0</v>
      </c>
      <c r="AJ2097">
        <v>1</v>
      </c>
      <c r="AK2097">
        <v>102</v>
      </c>
      <c r="AL2097">
        <v>102</v>
      </c>
      <c r="AM2097">
        <v>176</v>
      </c>
      <c r="AN2097">
        <v>44</v>
      </c>
      <c r="AP2097">
        <v>1</v>
      </c>
      <c r="AR2097" t="s">
        <v>2188</v>
      </c>
      <c r="AS2097" s="1">
        <v>44353.942361111112</v>
      </c>
      <c r="AT2097" s="1">
        <v>44353.945335648146</v>
      </c>
      <c r="AU2097" s="1">
        <v>44353.946099537039</v>
      </c>
      <c r="AV2097" t="s">
        <v>71</v>
      </c>
      <c r="AW2097" t="s">
        <v>72</v>
      </c>
      <c r="AX2097" t="s">
        <v>73</v>
      </c>
    </row>
    <row r="2098" spans="1:50" x14ac:dyDescent="0.3">
      <c r="A2098" t="str">
        <f>"202171B0000"</f>
        <v>202171B0000</v>
      </c>
      <c r="B2098" t="str">
        <f>"202171B00002"</f>
        <v>202171B00002</v>
      </c>
      <c r="C2098" t="str">
        <f t="shared" si="101"/>
        <v>20</v>
      </c>
      <c r="D2098" t="s">
        <v>67</v>
      </c>
      <c r="E2098" t="str">
        <f t="shared" si="99"/>
        <v>009</v>
      </c>
      <c r="F2098" t="s">
        <v>2003</v>
      </c>
      <c r="G2098" t="str">
        <f>"2171"</f>
        <v>2171</v>
      </c>
      <c r="H2098" t="str">
        <f>"0000"</f>
        <v>0000</v>
      </c>
      <c r="I2098" t="s">
        <v>69</v>
      </c>
      <c r="J2098">
        <v>0</v>
      </c>
      <c r="K2098">
        <v>1</v>
      </c>
      <c r="L2098">
        <v>2</v>
      </c>
      <c r="M2098">
        <v>217</v>
      </c>
      <c r="N2098">
        <v>171</v>
      </c>
      <c r="O2098">
        <v>0</v>
      </c>
      <c r="P2098">
        <v>171</v>
      </c>
      <c r="Q2098">
        <v>4</v>
      </c>
      <c r="R2098">
        <v>4</v>
      </c>
      <c r="S2098">
        <v>4</v>
      </c>
      <c r="T2098">
        <v>3</v>
      </c>
      <c r="U2098">
        <v>1</v>
      </c>
      <c r="V2098">
        <v>1</v>
      </c>
      <c r="W2098">
        <v>1</v>
      </c>
      <c r="X2098">
        <v>140</v>
      </c>
      <c r="Y2098">
        <v>0</v>
      </c>
      <c r="Z2098">
        <v>3</v>
      </c>
      <c r="AA2098">
        <v>0</v>
      </c>
      <c r="AB2098">
        <v>2</v>
      </c>
      <c r="AD2098">
        <v>0</v>
      </c>
      <c r="AE2098">
        <v>0</v>
      </c>
      <c r="AF2098">
        <v>0</v>
      </c>
      <c r="AG2098">
        <v>0</v>
      </c>
      <c r="AI2098">
        <v>1</v>
      </c>
      <c r="AJ2098">
        <v>7</v>
      </c>
      <c r="AK2098">
        <v>171</v>
      </c>
      <c r="AL2098">
        <v>171</v>
      </c>
      <c r="AM2098">
        <v>344</v>
      </c>
      <c r="AN2098">
        <v>44</v>
      </c>
      <c r="AP2098">
        <v>1</v>
      </c>
      <c r="AR2098" t="s">
        <v>2189</v>
      </c>
      <c r="AS2098" s="1">
        <v>44354.006249999999</v>
      </c>
      <c r="AT2098" s="1">
        <v>44354.036192129628</v>
      </c>
      <c r="AU2098" s="1">
        <v>44354.036851851852</v>
      </c>
      <c r="AV2098" t="s">
        <v>71</v>
      </c>
      <c r="AW2098" t="s">
        <v>72</v>
      </c>
      <c r="AX2098" t="s">
        <v>73</v>
      </c>
    </row>
    <row r="2099" spans="1:50" x14ac:dyDescent="0.3">
      <c r="A2099" t="str">
        <f>"202199B0000"</f>
        <v>202199B0000</v>
      </c>
      <c r="B2099" t="str">
        <f>"202199B00002"</f>
        <v>202199B00002</v>
      </c>
      <c r="C2099" t="str">
        <f t="shared" si="101"/>
        <v>20</v>
      </c>
      <c r="D2099" t="s">
        <v>67</v>
      </c>
      <c r="E2099" t="str">
        <f t="shared" si="99"/>
        <v>009</v>
      </c>
      <c r="F2099" t="s">
        <v>2003</v>
      </c>
      <c r="G2099" t="str">
        <f>"2199"</f>
        <v>2199</v>
      </c>
      <c r="H2099" t="str">
        <f>"0000"</f>
        <v>0000</v>
      </c>
      <c r="I2099" t="s">
        <v>69</v>
      </c>
      <c r="J2099">
        <v>0</v>
      </c>
      <c r="K2099">
        <v>1</v>
      </c>
      <c r="L2099">
        <v>2</v>
      </c>
      <c r="M2099">
        <v>311</v>
      </c>
      <c r="N2099">
        <v>95</v>
      </c>
      <c r="O2099">
        <v>2</v>
      </c>
      <c r="P2099">
        <v>95</v>
      </c>
      <c r="Q2099">
        <v>2</v>
      </c>
      <c r="R2099">
        <v>6</v>
      </c>
      <c r="S2099">
        <v>3</v>
      </c>
      <c r="T2099">
        <v>2</v>
      </c>
      <c r="U2099">
        <v>3</v>
      </c>
      <c r="V2099">
        <v>1</v>
      </c>
      <c r="W2099">
        <v>0</v>
      </c>
      <c r="X2099">
        <v>65</v>
      </c>
      <c r="Y2099">
        <v>2</v>
      </c>
      <c r="Z2099">
        <v>0</v>
      </c>
      <c r="AA2099">
        <v>1</v>
      </c>
      <c r="AB2099">
        <v>2</v>
      </c>
      <c r="AD2099">
        <v>0</v>
      </c>
      <c r="AE2099">
        <v>2</v>
      </c>
      <c r="AF2099">
        <v>0</v>
      </c>
      <c r="AG2099">
        <v>0</v>
      </c>
      <c r="AI2099">
        <v>0</v>
      </c>
      <c r="AJ2099">
        <v>6</v>
      </c>
      <c r="AK2099">
        <v>95</v>
      </c>
      <c r="AL2099">
        <v>95</v>
      </c>
      <c r="AM2099">
        <v>362</v>
      </c>
      <c r="AN2099">
        <v>44</v>
      </c>
      <c r="AP2099">
        <v>1</v>
      </c>
      <c r="AR2099" t="s">
        <v>2190</v>
      </c>
      <c r="AS2099" s="1">
        <v>44354.150694444441</v>
      </c>
      <c r="AT2099" s="1">
        <v>44354.153599537036</v>
      </c>
      <c r="AU2099" s="1">
        <v>44354.154583333337</v>
      </c>
      <c r="AV2099" t="s">
        <v>71</v>
      </c>
      <c r="AW2099" t="s">
        <v>72</v>
      </c>
      <c r="AX2099" t="s">
        <v>73</v>
      </c>
    </row>
    <row r="2100" spans="1:50" x14ac:dyDescent="0.3">
      <c r="A2100" t="str">
        <f>"202199E0100"</f>
        <v>202199E0100</v>
      </c>
      <c r="B2100" t="str">
        <f>"202199E01002"</f>
        <v>202199E01002</v>
      </c>
      <c r="C2100" t="str">
        <f t="shared" si="101"/>
        <v>20</v>
      </c>
      <c r="D2100" t="s">
        <v>67</v>
      </c>
      <c r="E2100" t="str">
        <f t="shared" si="99"/>
        <v>009</v>
      </c>
      <c r="F2100" t="s">
        <v>2003</v>
      </c>
      <c r="G2100" t="str">
        <f>"2199"</f>
        <v>2199</v>
      </c>
      <c r="H2100" t="str">
        <f>"0001"</f>
        <v>0001</v>
      </c>
      <c r="I2100" t="s">
        <v>109</v>
      </c>
      <c r="J2100">
        <v>0</v>
      </c>
      <c r="K2100">
        <v>1</v>
      </c>
      <c r="L2100">
        <v>2</v>
      </c>
      <c r="M2100">
        <v>252</v>
      </c>
      <c r="N2100">
        <v>67</v>
      </c>
      <c r="O2100">
        <v>0</v>
      </c>
      <c r="P2100">
        <v>67</v>
      </c>
      <c r="Q2100">
        <v>1</v>
      </c>
      <c r="R2100">
        <v>4</v>
      </c>
      <c r="S2100">
        <v>0</v>
      </c>
      <c r="T2100">
        <v>1</v>
      </c>
      <c r="U2100">
        <v>4</v>
      </c>
      <c r="V2100">
        <v>1</v>
      </c>
      <c r="W2100">
        <v>1</v>
      </c>
      <c r="X2100">
        <v>47</v>
      </c>
      <c r="Y2100">
        <v>1</v>
      </c>
      <c r="Z2100">
        <v>4</v>
      </c>
      <c r="AA2100">
        <v>0</v>
      </c>
      <c r="AB2100">
        <v>1</v>
      </c>
      <c r="AD2100">
        <v>0</v>
      </c>
      <c r="AE2100">
        <v>0</v>
      </c>
      <c r="AF2100">
        <v>0</v>
      </c>
      <c r="AG2100">
        <v>0</v>
      </c>
      <c r="AI2100">
        <v>0</v>
      </c>
      <c r="AJ2100" t="s">
        <v>99</v>
      </c>
      <c r="AK2100">
        <v>67</v>
      </c>
      <c r="AL2100">
        <v>65</v>
      </c>
      <c r="AM2100">
        <v>275</v>
      </c>
      <c r="AN2100">
        <v>44</v>
      </c>
      <c r="AO2100" t="s">
        <v>78</v>
      </c>
      <c r="AP2100">
        <v>1</v>
      </c>
      <c r="AR2100" t="s">
        <v>2191</v>
      </c>
      <c r="AS2100" s="1">
        <v>44354.151388888888</v>
      </c>
      <c r="AT2100" s="1">
        <v>44354.155729166669</v>
      </c>
      <c r="AU2100" s="1">
        <v>44354.156423611108</v>
      </c>
      <c r="AV2100" t="s">
        <v>71</v>
      </c>
      <c r="AW2100" t="s">
        <v>72</v>
      </c>
      <c r="AX2100" t="s">
        <v>73</v>
      </c>
    </row>
    <row r="2101" spans="1:50" x14ac:dyDescent="0.3">
      <c r="A2101" t="str">
        <f>"202235B0000"</f>
        <v>202235B0000</v>
      </c>
      <c r="B2101" t="str">
        <f>"202235B00002"</f>
        <v>202235B00002</v>
      </c>
      <c r="C2101" t="str">
        <f t="shared" si="101"/>
        <v>20</v>
      </c>
      <c r="D2101" t="s">
        <v>67</v>
      </c>
      <c r="E2101" t="str">
        <f t="shared" si="99"/>
        <v>009</v>
      </c>
      <c r="F2101" t="s">
        <v>2003</v>
      </c>
      <c r="G2101" t="str">
        <f>"2235"</f>
        <v>2235</v>
      </c>
      <c r="H2101" t="str">
        <f>"0000"</f>
        <v>0000</v>
      </c>
      <c r="I2101" t="s">
        <v>69</v>
      </c>
      <c r="J2101">
        <v>0</v>
      </c>
      <c r="K2101">
        <v>1</v>
      </c>
      <c r="L2101">
        <v>2</v>
      </c>
      <c r="M2101">
        <v>384</v>
      </c>
      <c r="N2101">
        <v>207</v>
      </c>
      <c r="O2101">
        <v>1</v>
      </c>
      <c r="P2101">
        <v>207</v>
      </c>
      <c r="Q2101">
        <v>10</v>
      </c>
      <c r="R2101">
        <v>27</v>
      </c>
      <c r="S2101">
        <v>5</v>
      </c>
      <c r="T2101">
        <v>3</v>
      </c>
      <c r="U2101">
        <v>7</v>
      </c>
      <c r="V2101">
        <v>1</v>
      </c>
      <c r="W2101">
        <v>3</v>
      </c>
      <c r="X2101">
        <v>138</v>
      </c>
      <c r="Y2101">
        <v>1</v>
      </c>
      <c r="Z2101">
        <v>1</v>
      </c>
      <c r="AA2101">
        <v>0</v>
      </c>
      <c r="AB2101">
        <v>1</v>
      </c>
      <c r="AD2101">
        <v>1</v>
      </c>
      <c r="AE2101">
        <v>1</v>
      </c>
      <c r="AF2101">
        <v>0</v>
      </c>
      <c r="AG2101">
        <v>0</v>
      </c>
      <c r="AI2101">
        <v>0</v>
      </c>
      <c r="AJ2101">
        <v>8</v>
      </c>
      <c r="AK2101">
        <v>207</v>
      </c>
      <c r="AL2101">
        <v>207</v>
      </c>
      <c r="AM2101">
        <v>547</v>
      </c>
      <c r="AN2101">
        <v>44</v>
      </c>
      <c r="AP2101">
        <v>1</v>
      </c>
      <c r="AR2101" t="s">
        <v>2192</v>
      </c>
      <c r="AS2101" s="1">
        <v>44353.995833333334</v>
      </c>
      <c r="AT2101" s="1">
        <v>44354.001631944448</v>
      </c>
      <c r="AU2101" s="1">
        <v>44354.002222222225</v>
      </c>
      <c r="AV2101" t="s">
        <v>71</v>
      </c>
      <c r="AW2101" t="s">
        <v>72</v>
      </c>
      <c r="AX2101" t="s">
        <v>73</v>
      </c>
    </row>
    <row r="2102" spans="1:50" x14ac:dyDescent="0.3">
      <c r="A2102" t="str">
        <f>"202235C0100"</f>
        <v>202235C0100</v>
      </c>
      <c r="B2102" t="str">
        <f>"202235C01002"</f>
        <v>202235C01002</v>
      </c>
      <c r="C2102" t="str">
        <f t="shared" si="101"/>
        <v>20</v>
      </c>
      <c r="D2102" t="s">
        <v>67</v>
      </c>
      <c r="E2102" t="str">
        <f t="shared" si="99"/>
        <v>009</v>
      </c>
      <c r="F2102" t="s">
        <v>2003</v>
      </c>
      <c r="G2102" t="str">
        <f>"2235"</f>
        <v>2235</v>
      </c>
      <c r="H2102" t="str">
        <f>"0001"</f>
        <v>0001</v>
      </c>
      <c r="I2102" t="s">
        <v>75</v>
      </c>
      <c r="J2102">
        <v>0</v>
      </c>
      <c r="K2102">
        <v>1</v>
      </c>
      <c r="L2102">
        <v>2</v>
      </c>
      <c r="M2102">
        <v>395</v>
      </c>
      <c r="N2102">
        <v>196</v>
      </c>
      <c r="O2102">
        <v>0</v>
      </c>
      <c r="P2102">
        <v>196</v>
      </c>
      <c r="Q2102">
        <v>6</v>
      </c>
      <c r="R2102">
        <v>33</v>
      </c>
      <c r="S2102">
        <v>1</v>
      </c>
      <c r="T2102">
        <v>4</v>
      </c>
      <c r="U2102">
        <v>10</v>
      </c>
      <c r="V2102">
        <v>3</v>
      </c>
      <c r="W2102">
        <v>0</v>
      </c>
      <c r="X2102">
        <v>118</v>
      </c>
      <c r="Y2102">
        <v>0</v>
      </c>
      <c r="Z2102">
        <v>2</v>
      </c>
      <c r="AA2102">
        <v>0</v>
      </c>
      <c r="AB2102">
        <v>4</v>
      </c>
      <c r="AD2102">
        <v>0</v>
      </c>
      <c r="AE2102">
        <v>0</v>
      </c>
      <c r="AF2102">
        <v>0</v>
      </c>
      <c r="AG2102">
        <v>0</v>
      </c>
      <c r="AI2102">
        <v>0</v>
      </c>
      <c r="AJ2102">
        <v>15</v>
      </c>
      <c r="AK2102">
        <v>196</v>
      </c>
      <c r="AL2102">
        <v>196</v>
      </c>
      <c r="AM2102">
        <v>547</v>
      </c>
      <c r="AN2102">
        <v>44</v>
      </c>
      <c r="AP2102">
        <v>1</v>
      </c>
      <c r="AR2102" t="s">
        <v>2193</v>
      </c>
      <c r="AS2102" s="1">
        <v>44353.99722222222</v>
      </c>
      <c r="AT2102" s="1">
        <v>44354.002708333333</v>
      </c>
      <c r="AU2102" s="1">
        <v>44354.003067129626</v>
      </c>
      <c r="AV2102" t="s">
        <v>71</v>
      </c>
      <c r="AW2102" t="s">
        <v>72</v>
      </c>
      <c r="AX2102" t="s">
        <v>73</v>
      </c>
    </row>
    <row r="2103" spans="1:50" x14ac:dyDescent="0.3">
      <c r="A2103" t="str">
        <f>"202236B0000"</f>
        <v>202236B0000</v>
      </c>
      <c r="B2103" t="str">
        <f>"202236B00002"</f>
        <v>202236B00002</v>
      </c>
      <c r="C2103" t="str">
        <f t="shared" si="101"/>
        <v>20</v>
      </c>
      <c r="D2103" t="s">
        <v>67</v>
      </c>
      <c r="E2103" t="str">
        <f t="shared" si="99"/>
        <v>009</v>
      </c>
      <c r="F2103" t="s">
        <v>2003</v>
      </c>
      <c r="G2103" t="str">
        <f>"2236"</f>
        <v>2236</v>
      </c>
      <c r="H2103" t="str">
        <f>"0000"</f>
        <v>0000</v>
      </c>
      <c r="I2103" t="s">
        <v>69</v>
      </c>
      <c r="J2103">
        <v>0</v>
      </c>
      <c r="K2103">
        <v>1</v>
      </c>
      <c r="L2103">
        <v>2</v>
      </c>
      <c r="M2103">
        <v>436</v>
      </c>
      <c r="N2103">
        <v>241</v>
      </c>
      <c r="O2103">
        <v>0</v>
      </c>
      <c r="P2103">
        <v>241</v>
      </c>
      <c r="Q2103">
        <v>13</v>
      </c>
      <c r="R2103">
        <v>37</v>
      </c>
      <c r="S2103">
        <v>0</v>
      </c>
      <c r="T2103">
        <v>5</v>
      </c>
      <c r="U2103">
        <v>13</v>
      </c>
      <c r="V2103">
        <v>2</v>
      </c>
      <c r="W2103">
        <v>3</v>
      </c>
      <c r="X2103">
        <v>143</v>
      </c>
      <c r="Y2103">
        <v>2</v>
      </c>
      <c r="Z2103">
        <v>4</v>
      </c>
      <c r="AA2103">
        <v>0</v>
      </c>
      <c r="AB2103">
        <v>2</v>
      </c>
      <c r="AD2103">
        <v>0</v>
      </c>
      <c r="AE2103">
        <v>1</v>
      </c>
      <c r="AF2103">
        <v>0</v>
      </c>
      <c r="AG2103">
        <v>0</v>
      </c>
      <c r="AI2103">
        <v>0</v>
      </c>
      <c r="AJ2103">
        <v>16</v>
      </c>
      <c r="AK2103">
        <v>241</v>
      </c>
      <c r="AL2103">
        <v>241</v>
      </c>
      <c r="AM2103">
        <v>634</v>
      </c>
      <c r="AN2103">
        <v>44</v>
      </c>
      <c r="AP2103">
        <v>1</v>
      </c>
      <c r="AR2103" t="s">
        <v>2194</v>
      </c>
      <c r="AS2103" s="1">
        <v>44353.991666666669</v>
      </c>
      <c r="AT2103" s="1">
        <v>44353.995983796296</v>
      </c>
      <c r="AU2103" s="1">
        <v>44353.996504629627</v>
      </c>
      <c r="AV2103" t="s">
        <v>71</v>
      </c>
      <c r="AW2103" t="s">
        <v>72</v>
      </c>
      <c r="AX2103" t="s">
        <v>73</v>
      </c>
    </row>
    <row r="2104" spans="1:50" x14ac:dyDescent="0.3">
      <c r="A2104" t="str">
        <f>"202236C0100"</f>
        <v>202236C0100</v>
      </c>
      <c r="B2104" t="str">
        <f>"202236C01002"</f>
        <v>202236C01002</v>
      </c>
      <c r="C2104" t="str">
        <f t="shared" si="101"/>
        <v>20</v>
      </c>
      <c r="D2104" t="s">
        <v>67</v>
      </c>
      <c r="E2104" t="str">
        <f t="shared" si="99"/>
        <v>009</v>
      </c>
      <c r="F2104" t="s">
        <v>2003</v>
      </c>
      <c r="G2104" t="str">
        <f>"2236"</f>
        <v>2236</v>
      </c>
      <c r="H2104" t="str">
        <f>"0001"</f>
        <v>0001</v>
      </c>
      <c r="I2104" t="s">
        <v>75</v>
      </c>
      <c r="J2104">
        <v>0</v>
      </c>
      <c r="K2104">
        <v>1</v>
      </c>
      <c r="L2104">
        <v>2</v>
      </c>
      <c r="M2104">
        <v>440</v>
      </c>
      <c r="N2104">
        <v>237</v>
      </c>
      <c r="O2104">
        <v>0</v>
      </c>
      <c r="P2104">
        <v>237</v>
      </c>
      <c r="Q2104">
        <v>9</v>
      </c>
      <c r="R2104">
        <v>26</v>
      </c>
      <c r="S2104">
        <v>2</v>
      </c>
      <c r="T2104">
        <v>2</v>
      </c>
      <c r="U2104">
        <v>15</v>
      </c>
      <c r="V2104">
        <v>4</v>
      </c>
      <c r="W2104">
        <v>1</v>
      </c>
      <c r="X2104">
        <v>161</v>
      </c>
      <c r="Y2104">
        <v>4</v>
      </c>
      <c r="Z2104">
        <v>0</v>
      </c>
      <c r="AA2104">
        <v>2</v>
      </c>
      <c r="AB2104">
        <v>4</v>
      </c>
      <c r="AD2104">
        <v>2</v>
      </c>
      <c r="AE2104">
        <v>0</v>
      </c>
      <c r="AF2104">
        <v>0</v>
      </c>
      <c r="AG2104">
        <v>0</v>
      </c>
      <c r="AI2104">
        <v>0</v>
      </c>
      <c r="AJ2104">
        <v>5</v>
      </c>
      <c r="AK2104">
        <v>237</v>
      </c>
      <c r="AL2104">
        <v>237</v>
      </c>
      <c r="AM2104">
        <v>633</v>
      </c>
      <c r="AN2104">
        <v>44</v>
      </c>
      <c r="AP2104">
        <v>1</v>
      </c>
      <c r="AR2104" t="s">
        <v>2195</v>
      </c>
      <c r="AS2104" s="1">
        <v>44354.665972222225</v>
      </c>
      <c r="AT2104" s="1">
        <v>44354.667881944442</v>
      </c>
      <c r="AU2104" s="1">
        <v>44354.668923611112</v>
      </c>
      <c r="AV2104" t="s">
        <v>71</v>
      </c>
      <c r="AW2104" t="s">
        <v>72</v>
      </c>
      <c r="AX2104" t="s">
        <v>347</v>
      </c>
    </row>
    <row r="2105" spans="1:50" x14ac:dyDescent="0.3">
      <c r="A2105" t="str">
        <f>"202245B0000"</f>
        <v>202245B0000</v>
      </c>
      <c r="B2105" t="str">
        <f>"202245B00002"</f>
        <v>202245B00002</v>
      </c>
      <c r="C2105" t="str">
        <f t="shared" si="101"/>
        <v>20</v>
      </c>
      <c r="D2105" t="s">
        <v>67</v>
      </c>
      <c r="E2105" t="str">
        <f t="shared" si="99"/>
        <v>009</v>
      </c>
      <c r="F2105" t="s">
        <v>2003</v>
      </c>
      <c r="G2105" t="str">
        <f>"2245"</f>
        <v>2245</v>
      </c>
      <c r="H2105" t="str">
        <f>"0000"</f>
        <v>0000</v>
      </c>
      <c r="I2105" t="s">
        <v>69</v>
      </c>
      <c r="J2105">
        <v>0</v>
      </c>
      <c r="K2105">
        <v>1</v>
      </c>
      <c r="L2105">
        <v>2</v>
      </c>
      <c r="M2105">
        <v>234</v>
      </c>
      <c r="N2105">
        <v>197</v>
      </c>
      <c r="O2105">
        <v>2</v>
      </c>
      <c r="P2105">
        <v>197</v>
      </c>
      <c r="Q2105">
        <v>0</v>
      </c>
      <c r="R2105">
        <v>13</v>
      </c>
      <c r="S2105">
        <v>1</v>
      </c>
      <c r="T2105">
        <v>1</v>
      </c>
      <c r="U2105">
        <v>7</v>
      </c>
      <c r="V2105">
        <v>1</v>
      </c>
      <c r="W2105">
        <v>1</v>
      </c>
      <c r="X2105">
        <v>162</v>
      </c>
      <c r="Y2105">
        <v>1</v>
      </c>
      <c r="Z2105">
        <v>3</v>
      </c>
      <c r="AA2105">
        <v>2</v>
      </c>
      <c r="AB2105">
        <v>2</v>
      </c>
      <c r="AD2105">
        <v>0</v>
      </c>
      <c r="AE2105">
        <v>0</v>
      </c>
      <c r="AF2105">
        <v>0</v>
      </c>
      <c r="AG2105">
        <v>0</v>
      </c>
      <c r="AI2105">
        <v>0</v>
      </c>
      <c r="AJ2105">
        <v>3</v>
      </c>
      <c r="AK2105">
        <v>197</v>
      </c>
      <c r="AL2105">
        <v>197</v>
      </c>
      <c r="AM2105">
        <v>387</v>
      </c>
      <c r="AN2105">
        <v>44</v>
      </c>
      <c r="AP2105">
        <v>1</v>
      </c>
      <c r="AR2105" t="s">
        <v>2196</v>
      </c>
      <c r="AS2105" s="1">
        <v>44354.145833333336</v>
      </c>
      <c r="AT2105" s="1">
        <v>44354.149155092593</v>
      </c>
      <c r="AU2105" s="1">
        <v>44354.15</v>
      </c>
      <c r="AV2105" t="s">
        <v>71</v>
      </c>
      <c r="AW2105" t="s">
        <v>72</v>
      </c>
      <c r="AX2105" t="s">
        <v>73</v>
      </c>
    </row>
    <row r="2106" spans="1:50" x14ac:dyDescent="0.3">
      <c r="A2106" t="str">
        <f>"202245C0100"</f>
        <v>202245C0100</v>
      </c>
      <c r="B2106" t="str">
        <f>"202245C01002"</f>
        <v>202245C01002</v>
      </c>
      <c r="C2106" t="str">
        <f t="shared" si="101"/>
        <v>20</v>
      </c>
      <c r="D2106" t="s">
        <v>67</v>
      </c>
      <c r="E2106" t="str">
        <f t="shared" ref="E2106:E2153" si="103">"009"</f>
        <v>009</v>
      </c>
      <c r="F2106" t="s">
        <v>2003</v>
      </c>
      <c r="G2106" t="str">
        <f>"2245"</f>
        <v>2245</v>
      </c>
      <c r="H2106" t="str">
        <f>"0001"</f>
        <v>0001</v>
      </c>
      <c r="I2106" t="s">
        <v>75</v>
      </c>
      <c r="J2106">
        <v>0</v>
      </c>
      <c r="K2106">
        <v>1</v>
      </c>
      <c r="L2106">
        <v>2</v>
      </c>
      <c r="M2106">
        <v>259</v>
      </c>
      <c r="N2106">
        <v>171</v>
      </c>
      <c r="O2106">
        <v>0</v>
      </c>
      <c r="P2106">
        <v>171</v>
      </c>
      <c r="Q2106">
        <v>0</v>
      </c>
      <c r="R2106">
        <v>10</v>
      </c>
      <c r="S2106">
        <v>2</v>
      </c>
      <c r="T2106">
        <v>1</v>
      </c>
      <c r="U2106">
        <v>2</v>
      </c>
      <c r="V2106">
        <v>1</v>
      </c>
      <c r="W2106">
        <v>2</v>
      </c>
      <c r="X2106">
        <v>141</v>
      </c>
      <c r="Y2106">
        <v>1</v>
      </c>
      <c r="Z2106">
        <v>3</v>
      </c>
      <c r="AA2106">
        <v>0</v>
      </c>
      <c r="AB2106">
        <v>0</v>
      </c>
      <c r="AD2106">
        <v>0</v>
      </c>
      <c r="AE2106">
        <v>0</v>
      </c>
      <c r="AF2106">
        <v>0</v>
      </c>
      <c r="AG2106">
        <v>0</v>
      </c>
      <c r="AI2106">
        <v>0</v>
      </c>
      <c r="AJ2106">
        <v>8</v>
      </c>
      <c r="AK2106">
        <v>171</v>
      </c>
      <c r="AL2106">
        <v>171</v>
      </c>
      <c r="AM2106">
        <v>386</v>
      </c>
      <c r="AN2106">
        <v>44</v>
      </c>
      <c r="AP2106">
        <v>1</v>
      </c>
      <c r="AR2106" t="s">
        <v>2197</v>
      </c>
      <c r="AS2106" s="1">
        <v>44354.15</v>
      </c>
      <c r="AT2106" s="1">
        <v>44354.153101851851</v>
      </c>
      <c r="AU2106" s="1">
        <v>44354.153680555559</v>
      </c>
      <c r="AV2106" t="s">
        <v>71</v>
      </c>
      <c r="AW2106" t="s">
        <v>72</v>
      </c>
      <c r="AX2106" t="s">
        <v>73</v>
      </c>
    </row>
    <row r="2107" spans="1:50" x14ac:dyDescent="0.3">
      <c r="A2107" t="str">
        <f>"202316B0000"</f>
        <v>202316B0000</v>
      </c>
      <c r="B2107" t="str">
        <f>"202316B00002"</f>
        <v>202316B00002</v>
      </c>
      <c r="C2107" t="str">
        <f t="shared" si="101"/>
        <v>20</v>
      </c>
      <c r="D2107" t="s">
        <v>67</v>
      </c>
      <c r="E2107" t="str">
        <f t="shared" si="103"/>
        <v>009</v>
      </c>
      <c r="F2107" t="s">
        <v>2003</v>
      </c>
      <c r="G2107" t="str">
        <f>"2316"</f>
        <v>2316</v>
      </c>
      <c r="H2107" t="str">
        <f>"0000"</f>
        <v>0000</v>
      </c>
      <c r="I2107" t="s">
        <v>69</v>
      </c>
      <c r="J2107">
        <v>0</v>
      </c>
      <c r="K2107">
        <v>1</v>
      </c>
      <c r="L2107">
        <v>2</v>
      </c>
      <c r="M2107">
        <v>163</v>
      </c>
      <c r="N2107">
        <v>139</v>
      </c>
      <c r="O2107">
        <v>0</v>
      </c>
      <c r="P2107">
        <v>139</v>
      </c>
      <c r="Q2107">
        <v>2</v>
      </c>
      <c r="R2107">
        <v>1</v>
      </c>
      <c r="S2107">
        <v>1</v>
      </c>
      <c r="T2107">
        <v>0</v>
      </c>
      <c r="U2107">
        <v>1</v>
      </c>
      <c r="V2107">
        <v>0</v>
      </c>
      <c r="W2107">
        <v>39</v>
      </c>
      <c r="X2107">
        <v>91</v>
      </c>
      <c r="Y2107">
        <v>0</v>
      </c>
      <c r="Z2107">
        <v>1</v>
      </c>
      <c r="AA2107">
        <v>0</v>
      </c>
      <c r="AB2107">
        <v>0</v>
      </c>
      <c r="AD2107">
        <v>0</v>
      </c>
      <c r="AE2107">
        <v>0</v>
      </c>
      <c r="AF2107">
        <v>0</v>
      </c>
      <c r="AG2107">
        <v>0</v>
      </c>
      <c r="AI2107">
        <v>0</v>
      </c>
      <c r="AJ2107">
        <v>3</v>
      </c>
      <c r="AK2107">
        <v>139</v>
      </c>
      <c r="AL2107">
        <v>139</v>
      </c>
      <c r="AM2107">
        <v>258</v>
      </c>
      <c r="AN2107">
        <v>44</v>
      </c>
      <c r="AP2107">
        <v>1</v>
      </c>
      <c r="AR2107" t="s">
        <v>2198</v>
      </c>
      <c r="AS2107" s="1">
        <v>44354.130555555559</v>
      </c>
      <c r="AT2107" s="1">
        <v>44354.133321759262</v>
      </c>
      <c r="AU2107" s="1">
        <v>44354.133923611109</v>
      </c>
      <c r="AV2107" t="s">
        <v>71</v>
      </c>
      <c r="AW2107" t="s">
        <v>72</v>
      </c>
      <c r="AX2107" t="s">
        <v>73</v>
      </c>
    </row>
    <row r="2108" spans="1:50" x14ac:dyDescent="0.3">
      <c r="A2108" t="str">
        <f>"202316E0100"</f>
        <v>202316E0100</v>
      </c>
      <c r="B2108" t="str">
        <f>"202316E01002"</f>
        <v>202316E01002</v>
      </c>
      <c r="C2108" t="str">
        <f t="shared" si="101"/>
        <v>20</v>
      </c>
      <c r="D2108" t="s">
        <v>67</v>
      </c>
      <c r="E2108" t="str">
        <f t="shared" si="103"/>
        <v>009</v>
      </c>
      <c r="F2108" t="s">
        <v>2003</v>
      </c>
      <c r="G2108" t="str">
        <f>"2316"</f>
        <v>2316</v>
      </c>
      <c r="H2108" t="str">
        <f>"0001"</f>
        <v>0001</v>
      </c>
      <c r="I2108" t="s">
        <v>109</v>
      </c>
      <c r="J2108">
        <v>0</v>
      </c>
      <c r="K2108">
        <v>1</v>
      </c>
      <c r="L2108">
        <v>2</v>
      </c>
      <c r="M2108">
        <v>344</v>
      </c>
      <c r="N2108">
        <v>135</v>
      </c>
      <c r="O2108">
        <v>0</v>
      </c>
      <c r="P2108">
        <v>135</v>
      </c>
      <c r="Q2108">
        <v>2</v>
      </c>
      <c r="R2108">
        <v>13</v>
      </c>
      <c r="S2108">
        <v>1</v>
      </c>
      <c r="T2108">
        <v>4</v>
      </c>
      <c r="U2108">
        <v>1</v>
      </c>
      <c r="V2108">
        <v>1</v>
      </c>
      <c r="W2108">
        <v>2</v>
      </c>
      <c r="X2108">
        <v>99</v>
      </c>
      <c r="Y2108">
        <v>1</v>
      </c>
      <c r="Z2108">
        <v>0</v>
      </c>
      <c r="AA2108">
        <v>1</v>
      </c>
      <c r="AB2108">
        <v>2</v>
      </c>
      <c r="AD2108">
        <v>0</v>
      </c>
      <c r="AE2108">
        <v>0</v>
      </c>
      <c r="AF2108">
        <v>0</v>
      </c>
      <c r="AG2108">
        <v>0</v>
      </c>
      <c r="AI2108" t="s">
        <v>77</v>
      </c>
      <c r="AJ2108">
        <v>8</v>
      </c>
      <c r="AK2108">
        <v>135</v>
      </c>
      <c r="AL2108">
        <v>135</v>
      </c>
      <c r="AM2108">
        <v>435</v>
      </c>
      <c r="AN2108">
        <v>44</v>
      </c>
      <c r="AO2108" t="s">
        <v>78</v>
      </c>
      <c r="AP2108">
        <v>1</v>
      </c>
      <c r="AR2108" t="s">
        <v>2199</v>
      </c>
      <c r="AS2108" s="1">
        <v>44354.129861111112</v>
      </c>
      <c r="AT2108" s="1">
        <v>44354.132870370369</v>
      </c>
      <c r="AU2108" s="1">
        <v>44354.133425925924</v>
      </c>
      <c r="AV2108" t="s">
        <v>71</v>
      </c>
      <c r="AW2108" t="s">
        <v>72</v>
      </c>
      <c r="AX2108" t="s">
        <v>73</v>
      </c>
    </row>
    <row r="2109" spans="1:50" x14ac:dyDescent="0.3">
      <c r="A2109" t="str">
        <f>"202317B0000"</f>
        <v>202317B0000</v>
      </c>
      <c r="B2109" t="str">
        <f>"202317B00002"</f>
        <v>202317B00002</v>
      </c>
      <c r="C2109" t="str">
        <f t="shared" si="101"/>
        <v>20</v>
      </c>
      <c r="D2109" t="s">
        <v>67</v>
      </c>
      <c r="E2109" t="str">
        <f t="shared" si="103"/>
        <v>009</v>
      </c>
      <c r="F2109" t="s">
        <v>2003</v>
      </c>
      <c r="G2109" t="str">
        <f>"2317"</f>
        <v>2317</v>
      </c>
      <c r="H2109" t="str">
        <f>"0000"</f>
        <v>0000</v>
      </c>
      <c r="I2109" t="s">
        <v>69</v>
      </c>
      <c r="J2109">
        <v>0</v>
      </c>
      <c r="K2109">
        <v>1</v>
      </c>
      <c r="L2109">
        <v>2</v>
      </c>
      <c r="M2109">
        <v>328</v>
      </c>
      <c r="N2109">
        <v>241</v>
      </c>
      <c r="O2109">
        <v>0</v>
      </c>
      <c r="P2109">
        <v>241</v>
      </c>
      <c r="Q2109">
        <v>1</v>
      </c>
      <c r="R2109">
        <v>8</v>
      </c>
      <c r="S2109">
        <v>4</v>
      </c>
      <c r="T2109">
        <v>0</v>
      </c>
      <c r="U2109">
        <v>5</v>
      </c>
      <c r="V2109">
        <v>1</v>
      </c>
      <c r="W2109">
        <v>103</v>
      </c>
      <c r="X2109">
        <v>110</v>
      </c>
      <c r="Y2109">
        <v>0</v>
      </c>
      <c r="Z2109">
        <v>1</v>
      </c>
      <c r="AA2109">
        <v>1</v>
      </c>
      <c r="AB2109">
        <v>1</v>
      </c>
      <c r="AD2109">
        <v>0</v>
      </c>
      <c r="AE2109">
        <v>0</v>
      </c>
      <c r="AF2109">
        <v>0</v>
      </c>
      <c r="AG2109">
        <v>0</v>
      </c>
      <c r="AI2109">
        <v>0</v>
      </c>
      <c r="AJ2109">
        <v>6</v>
      </c>
      <c r="AK2109">
        <v>6</v>
      </c>
      <c r="AL2109">
        <v>241</v>
      </c>
      <c r="AM2109">
        <v>525</v>
      </c>
      <c r="AN2109">
        <v>44</v>
      </c>
      <c r="AP2109">
        <v>1</v>
      </c>
      <c r="AR2109" t="s">
        <v>2200</v>
      </c>
      <c r="AS2109" s="1">
        <v>44354.132638888892</v>
      </c>
      <c r="AT2109" s="1">
        <v>44354.13590277778</v>
      </c>
      <c r="AU2109" s="1">
        <v>44354.136631944442</v>
      </c>
      <c r="AV2109" t="s">
        <v>71</v>
      </c>
      <c r="AW2109" t="s">
        <v>72</v>
      </c>
      <c r="AX2109" t="s">
        <v>73</v>
      </c>
    </row>
    <row r="2110" spans="1:50" x14ac:dyDescent="0.3">
      <c r="A2110" t="str">
        <f>"202324B0000"</f>
        <v>202324B0000</v>
      </c>
      <c r="B2110" t="str">
        <f>"202324B00002"</f>
        <v>202324B00002</v>
      </c>
      <c r="C2110" t="str">
        <f t="shared" si="101"/>
        <v>20</v>
      </c>
      <c r="D2110" t="s">
        <v>67</v>
      </c>
      <c r="E2110" t="str">
        <f t="shared" si="103"/>
        <v>009</v>
      </c>
      <c r="F2110" t="s">
        <v>2003</v>
      </c>
      <c r="G2110" t="str">
        <f>"2324"</f>
        <v>2324</v>
      </c>
      <c r="H2110" t="str">
        <f>"0000"</f>
        <v>0000</v>
      </c>
      <c r="I2110" t="s">
        <v>69</v>
      </c>
      <c r="J2110">
        <v>0</v>
      </c>
      <c r="K2110">
        <v>1</v>
      </c>
      <c r="L2110">
        <v>2</v>
      </c>
      <c r="M2110">
        <v>304</v>
      </c>
      <c r="N2110">
        <v>164</v>
      </c>
      <c r="O2110">
        <v>0</v>
      </c>
      <c r="P2110">
        <v>164</v>
      </c>
      <c r="Q2110">
        <v>2</v>
      </c>
      <c r="R2110">
        <v>13</v>
      </c>
      <c r="S2110">
        <v>3</v>
      </c>
      <c r="T2110">
        <v>2</v>
      </c>
      <c r="U2110">
        <v>4</v>
      </c>
      <c r="V2110">
        <v>3</v>
      </c>
      <c r="W2110">
        <v>0</v>
      </c>
      <c r="X2110">
        <v>117</v>
      </c>
      <c r="Y2110">
        <v>3</v>
      </c>
      <c r="Z2110">
        <v>8</v>
      </c>
      <c r="AA2110">
        <v>0</v>
      </c>
      <c r="AB2110">
        <v>6</v>
      </c>
      <c r="AD2110">
        <v>0</v>
      </c>
      <c r="AE2110">
        <v>0</v>
      </c>
      <c r="AF2110">
        <v>0</v>
      </c>
      <c r="AG2110">
        <v>0</v>
      </c>
      <c r="AI2110">
        <v>0</v>
      </c>
      <c r="AJ2110">
        <v>3</v>
      </c>
      <c r="AK2110">
        <v>164</v>
      </c>
      <c r="AL2110">
        <v>164</v>
      </c>
      <c r="AM2110">
        <v>424</v>
      </c>
      <c r="AN2110">
        <v>44</v>
      </c>
      <c r="AP2110">
        <v>1</v>
      </c>
      <c r="AR2110" t="s">
        <v>2201</v>
      </c>
      <c r="AS2110" s="1">
        <v>44354.164583333331</v>
      </c>
      <c r="AT2110" s="1">
        <v>44354.167129629626</v>
      </c>
      <c r="AU2110" s="1">
        <v>44354.168067129627</v>
      </c>
      <c r="AV2110" t="s">
        <v>71</v>
      </c>
      <c r="AW2110" t="s">
        <v>72</v>
      </c>
      <c r="AX2110" t="s">
        <v>73</v>
      </c>
    </row>
    <row r="2111" spans="1:50" x14ac:dyDescent="0.3">
      <c r="A2111" t="str">
        <f>"202324C0100"</f>
        <v>202324C0100</v>
      </c>
      <c r="B2111" t="str">
        <f>"202324C01002"</f>
        <v>202324C01002</v>
      </c>
      <c r="C2111" t="str">
        <f t="shared" si="101"/>
        <v>20</v>
      </c>
      <c r="D2111" t="s">
        <v>67</v>
      </c>
      <c r="E2111" t="str">
        <f t="shared" si="103"/>
        <v>009</v>
      </c>
      <c r="F2111" t="s">
        <v>2003</v>
      </c>
      <c r="G2111" t="str">
        <f>"2324"</f>
        <v>2324</v>
      </c>
      <c r="H2111" t="str">
        <f>"0001"</f>
        <v>0001</v>
      </c>
      <c r="I2111" t="s">
        <v>75</v>
      </c>
      <c r="J2111">
        <v>0</v>
      </c>
      <c r="K2111">
        <v>1</v>
      </c>
      <c r="L2111">
        <v>2</v>
      </c>
      <c r="M2111">
        <v>308</v>
      </c>
      <c r="N2111">
        <v>160</v>
      </c>
      <c r="O2111">
        <v>0</v>
      </c>
      <c r="P2111">
        <v>160</v>
      </c>
      <c r="Q2111">
        <v>8</v>
      </c>
      <c r="R2111">
        <v>7</v>
      </c>
      <c r="S2111">
        <v>2</v>
      </c>
      <c r="T2111">
        <v>2</v>
      </c>
      <c r="U2111">
        <v>3</v>
      </c>
      <c r="V2111">
        <v>1</v>
      </c>
      <c r="W2111">
        <v>3</v>
      </c>
      <c r="X2111">
        <v>110</v>
      </c>
      <c r="Y2111">
        <v>2</v>
      </c>
      <c r="Z2111">
        <v>7</v>
      </c>
      <c r="AA2111">
        <v>1</v>
      </c>
      <c r="AB2111">
        <v>7</v>
      </c>
      <c r="AD2111">
        <v>0</v>
      </c>
      <c r="AE2111">
        <v>0</v>
      </c>
      <c r="AF2111">
        <v>0</v>
      </c>
      <c r="AG2111">
        <v>0</v>
      </c>
      <c r="AI2111">
        <v>0</v>
      </c>
      <c r="AJ2111">
        <v>7</v>
      </c>
      <c r="AK2111">
        <v>160</v>
      </c>
      <c r="AL2111">
        <v>160</v>
      </c>
      <c r="AM2111">
        <v>424</v>
      </c>
      <c r="AN2111">
        <v>44</v>
      </c>
      <c r="AP2111">
        <v>1</v>
      </c>
      <c r="AR2111" t="s">
        <v>2202</v>
      </c>
      <c r="AS2111" s="1">
        <v>44354.165277777778</v>
      </c>
      <c r="AT2111" s="1">
        <v>44354.169178240743</v>
      </c>
      <c r="AU2111" s="1">
        <v>44354.169479166667</v>
      </c>
      <c r="AV2111" t="s">
        <v>71</v>
      </c>
      <c r="AW2111" t="s">
        <v>72</v>
      </c>
      <c r="AX2111" t="s">
        <v>73</v>
      </c>
    </row>
    <row r="2112" spans="1:50" x14ac:dyDescent="0.3">
      <c r="A2112" t="str">
        <f>"202331B0000"</f>
        <v>202331B0000</v>
      </c>
      <c r="B2112" t="str">
        <f>"202331B00002"</f>
        <v>202331B00002</v>
      </c>
      <c r="C2112" t="str">
        <f t="shared" si="101"/>
        <v>20</v>
      </c>
      <c r="D2112" t="s">
        <v>67</v>
      </c>
      <c r="E2112" t="str">
        <f t="shared" si="103"/>
        <v>009</v>
      </c>
      <c r="F2112" t="s">
        <v>2003</v>
      </c>
      <c r="G2112" t="str">
        <f>"2331"</f>
        <v>2331</v>
      </c>
      <c r="H2112" t="str">
        <f>"0000"</f>
        <v>0000</v>
      </c>
      <c r="I2112" t="s">
        <v>69</v>
      </c>
      <c r="J2112">
        <v>0</v>
      </c>
      <c r="K2112">
        <v>1</v>
      </c>
      <c r="L2112">
        <v>2</v>
      </c>
      <c r="M2112">
        <v>418</v>
      </c>
      <c r="N2112">
        <v>298</v>
      </c>
      <c r="O2112">
        <v>8</v>
      </c>
      <c r="P2112">
        <v>298</v>
      </c>
      <c r="Q2112">
        <v>18</v>
      </c>
      <c r="R2112">
        <v>22</v>
      </c>
      <c r="S2112">
        <v>3</v>
      </c>
      <c r="T2112">
        <v>3</v>
      </c>
      <c r="U2112">
        <v>23</v>
      </c>
      <c r="V2112">
        <v>3</v>
      </c>
      <c r="W2112">
        <v>202</v>
      </c>
      <c r="X2112">
        <v>2</v>
      </c>
      <c r="Y2112">
        <v>4</v>
      </c>
      <c r="Z2112">
        <v>0</v>
      </c>
      <c r="AA2112">
        <v>4</v>
      </c>
      <c r="AB2112">
        <v>2</v>
      </c>
      <c r="AD2112">
        <v>0</v>
      </c>
      <c r="AE2112">
        <v>0</v>
      </c>
      <c r="AF2112">
        <v>0</v>
      </c>
      <c r="AG2112">
        <v>0</v>
      </c>
      <c r="AI2112">
        <v>0</v>
      </c>
      <c r="AJ2112">
        <v>12</v>
      </c>
      <c r="AK2112">
        <v>298</v>
      </c>
      <c r="AL2112">
        <v>298</v>
      </c>
      <c r="AM2112">
        <v>672</v>
      </c>
      <c r="AN2112">
        <v>44</v>
      </c>
      <c r="AP2112">
        <v>1</v>
      </c>
      <c r="AR2112" t="s">
        <v>2203</v>
      </c>
      <c r="AS2112" s="1">
        <v>44354.039583333331</v>
      </c>
      <c r="AT2112" s="1">
        <v>44354.070740740739</v>
      </c>
      <c r="AU2112" s="1">
        <v>44354.084421296298</v>
      </c>
      <c r="AV2112" t="s">
        <v>71</v>
      </c>
      <c r="AW2112" t="s">
        <v>72</v>
      </c>
      <c r="AX2112" t="s">
        <v>73</v>
      </c>
    </row>
    <row r="2113" spans="1:50" x14ac:dyDescent="0.3">
      <c r="A2113" t="str">
        <f>"202331C0100"</f>
        <v>202331C0100</v>
      </c>
      <c r="B2113" t="str">
        <f>"202331C01002"</f>
        <v>202331C01002</v>
      </c>
      <c r="C2113" t="str">
        <f t="shared" si="101"/>
        <v>20</v>
      </c>
      <c r="D2113" t="s">
        <v>67</v>
      </c>
      <c r="E2113" t="str">
        <f t="shared" si="103"/>
        <v>009</v>
      </c>
      <c r="F2113" t="s">
        <v>2003</v>
      </c>
      <c r="G2113" t="str">
        <f>"2331"</f>
        <v>2331</v>
      </c>
      <c r="H2113" t="str">
        <f>"0001"</f>
        <v>0001</v>
      </c>
      <c r="I2113" t="s">
        <v>75</v>
      </c>
      <c r="J2113">
        <v>0</v>
      </c>
      <c r="K2113">
        <v>1</v>
      </c>
      <c r="L2113">
        <v>2</v>
      </c>
      <c r="M2113" t="s">
        <v>80</v>
      </c>
      <c r="N2113" t="s">
        <v>80</v>
      </c>
      <c r="O2113" t="s">
        <v>80</v>
      </c>
      <c r="P2113" t="s">
        <v>80</v>
      </c>
      <c r="Q2113" t="s">
        <v>77</v>
      </c>
      <c r="R2113" t="s">
        <v>77</v>
      </c>
      <c r="S2113" t="s">
        <v>77</v>
      </c>
      <c r="T2113" t="s">
        <v>77</v>
      </c>
      <c r="U2113" t="s">
        <v>77</v>
      </c>
      <c r="V2113" t="s">
        <v>77</v>
      </c>
      <c r="W2113" t="s">
        <v>77</v>
      </c>
      <c r="X2113" t="s">
        <v>77</v>
      </c>
      <c r="Y2113" t="s">
        <v>77</v>
      </c>
      <c r="Z2113" t="s">
        <v>77</v>
      </c>
      <c r="AA2113" t="s">
        <v>77</v>
      </c>
      <c r="AB2113" t="s">
        <v>77</v>
      </c>
      <c r="AD2113" t="s">
        <v>77</v>
      </c>
      <c r="AE2113" t="s">
        <v>77</v>
      </c>
      <c r="AF2113" t="s">
        <v>77</v>
      </c>
      <c r="AG2113" t="s">
        <v>77</v>
      </c>
      <c r="AI2113" t="s">
        <v>77</v>
      </c>
      <c r="AJ2113" t="s">
        <v>77</v>
      </c>
      <c r="AM2113">
        <v>671</v>
      </c>
      <c r="AN2113">
        <v>44</v>
      </c>
      <c r="AO2113" t="s">
        <v>392</v>
      </c>
      <c r="AP2113">
        <v>0</v>
      </c>
      <c r="AR2113" t="s">
        <v>2204</v>
      </c>
      <c r="AS2113" s="1">
        <v>44354.15</v>
      </c>
      <c r="AT2113" s="1">
        <v>44354.152175925927</v>
      </c>
      <c r="AU2113" s="1">
        <v>44354.163437499999</v>
      </c>
      <c r="AV2113" t="s">
        <v>71</v>
      </c>
      <c r="AW2113" t="s">
        <v>72</v>
      </c>
      <c r="AX2113" t="s">
        <v>73</v>
      </c>
    </row>
    <row r="2114" spans="1:50" x14ac:dyDescent="0.3">
      <c r="A2114" t="str">
        <f>"202332B0000"</f>
        <v>202332B0000</v>
      </c>
      <c r="B2114" t="str">
        <f>"202332B00002"</f>
        <v>202332B00002</v>
      </c>
      <c r="C2114" t="str">
        <f t="shared" si="101"/>
        <v>20</v>
      </c>
      <c r="D2114" t="s">
        <v>67</v>
      </c>
      <c r="E2114" t="str">
        <f t="shared" si="103"/>
        <v>009</v>
      </c>
      <c r="F2114" t="s">
        <v>2003</v>
      </c>
      <c r="G2114" t="str">
        <f>"2332"</f>
        <v>2332</v>
      </c>
      <c r="H2114" t="str">
        <f>"0000"</f>
        <v>0000</v>
      </c>
      <c r="I2114" t="s">
        <v>69</v>
      </c>
      <c r="J2114">
        <v>0</v>
      </c>
      <c r="K2114">
        <v>1</v>
      </c>
      <c r="L2114">
        <v>2</v>
      </c>
      <c r="M2114">
        <v>399</v>
      </c>
      <c r="N2114">
        <v>289</v>
      </c>
      <c r="O2114">
        <v>2</v>
      </c>
      <c r="P2114">
        <v>2</v>
      </c>
      <c r="Q2114">
        <v>14</v>
      </c>
      <c r="R2114">
        <v>32</v>
      </c>
      <c r="S2114">
        <v>4</v>
      </c>
      <c r="T2114">
        <v>4</v>
      </c>
      <c r="U2114">
        <v>17</v>
      </c>
      <c r="V2114">
        <v>6</v>
      </c>
      <c r="W2114">
        <v>0</v>
      </c>
      <c r="X2114">
        <v>193</v>
      </c>
      <c r="Y2114">
        <v>1</v>
      </c>
      <c r="Z2114">
        <v>5</v>
      </c>
      <c r="AA2114">
        <v>1</v>
      </c>
      <c r="AB2114">
        <v>2</v>
      </c>
      <c r="AD2114">
        <v>0</v>
      </c>
      <c r="AE2114">
        <v>1</v>
      </c>
      <c r="AF2114">
        <v>0</v>
      </c>
      <c r="AG2114">
        <v>0</v>
      </c>
      <c r="AI2114">
        <v>0</v>
      </c>
      <c r="AJ2114">
        <v>9</v>
      </c>
      <c r="AK2114">
        <v>287</v>
      </c>
      <c r="AL2114">
        <v>289</v>
      </c>
      <c r="AM2114">
        <v>644</v>
      </c>
      <c r="AN2114">
        <v>44</v>
      </c>
      <c r="AP2114">
        <v>1</v>
      </c>
      <c r="AR2114" t="s">
        <v>2205</v>
      </c>
      <c r="AS2114" s="1">
        <v>44354.107638888891</v>
      </c>
      <c r="AT2114" s="1">
        <v>44354.109884259262</v>
      </c>
      <c r="AU2114" s="1">
        <v>44354.111180555556</v>
      </c>
      <c r="AV2114" t="s">
        <v>71</v>
      </c>
      <c r="AW2114" t="s">
        <v>72</v>
      </c>
      <c r="AX2114" t="s">
        <v>73</v>
      </c>
    </row>
    <row r="2115" spans="1:50" x14ac:dyDescent="0.3">
      <c r="A2115" t="str">
        <f>"202332C0100"</f>
        <v>202332C0100</v>
      </c>
      <c r="B2115" t="str">
        <f>"202332C01002"</f>
        <v>202332C01002</v>
      </c>
      <c r="C2115" t="str">
        <f t="shared" si="101"/>
        <v>20</v>
      </c>
      <c r="D2115" t="s">
        <v>67</v>
      </c>
      <c r="E2115" t="str">
        <f t="shared" si="103"/>
        <v>009</v>
      </c>
      <c r="F2115" t="s">
        <v>2003</v>
      </c>
      <c r="G2115" t="str">
        <f>"2332"</f>
        <v>2332</v>
      </c>
      <c r="H2115" t="str">
        <f>"0001"</f>
        <v>0001</v>
      </c>
      <c r="I2115" t="s">
        <v>75</v>
      </c>
      <c r="J2115">
        <v>0</v>
      </c>
      <c r="K2115">
        <v>1</v>
      </c>
      <c r="L2115">
        <v>2</v>
      </c>
      <c r="M2115">
        <v>445</v>
      </c>
      <c r="N2115">
        <v>242</v>
      </c>
      <c r="O2115">
        <v>0</v>
      </c>
      <c r="P2115">
        <v>242</v>
      </c>
      <c r="Q2115">
        <v>8</v>
      </c>
      <c r="R2115">
        <v>11</v>
      </c>
      <c r="S2115">
        <v>5</v>
      </c>
      <c r="T2115">
        <v>1</v>
      </c>
      <c r="U2115">
        <v>9</v>
      </c>
      <c r="V2115">
        <v>1</v>
      </c>
      <c r="W2115">
        <v>4</v>
      </c>
      <c r="X2115">
        <v>175</v>
      </c>
      <c r="Y2115">
        <v>1</v>
      </c>
      <c r="Z2115">
        <v>3</v>
      </c>
      <c r="AA2115">
        <v>0</v>
      </c>
      <c r="AB2115">
        <v>4</v>
      </c>
      <c r="AD2115">
        <v>0</v>
      </c>
      <c r="AE2115">
        <v>0</v>
      </c>
      <c r="AF2115">
        <v>0</v>
      </c>
      <c r="AG2115">
        <v>0</v>
      </c>
      <c r="AI2115">
        <v>0</v>
      </c>
      <c r="AJ2115">
        <v>20</v>
      </c>
      <c r="AK2115">
        <v>242</v>
      </c>
      <c r="AL2115">
        <v>242</v>
      </c>
      <c r="AM2115">
        <v>643</v>
      </c>
      <c r="AN2115">
        <v>44</v>
      </c>
      <c r="AP2115">
        <v>1</v>
      </c>
      <c r="AR2115" t="s">
        <v>2206</v>
      </c>
      <c r="AS2115" s="1">
        <v>44354.666666666664</v>
      </c>
      <c r="AT2115" s="1">
        <v>44354.668634259258</v>
      </c>
      <c r="AU2115" s="1">
        <v>44354.669386574074</v>
      </c>
      <c r="AV2115" t="s">
        <v>71</v>
      </c>
      <c r="AW2115" t="s">
        <v>72</v>
      </c>
      <c r="AX2115" t="s">
        <v>347</v>
      </c>
    </row>
    <row r="2116" spans="1:50" x14ac:dyDescent="0.3">
      <c r="A2116" t="str">
        <f>"202333B0000"</f>
        <v>202333B0000</v>
      </c>
      <c r="B2116" t="str">
        <f>"202333B00002"</f>
        <v>202333B00002</v>
      </c>
      <c r="C2116" t="str">
        <f t="shared" si="101"/>
        <v>20</v>
      </c>
      <c r="D2116" t="s">
        <v>67</v>
      </c>
      <c r="E2116" t="str">
        <f t="shared" si="103"/>
        <v>009</v>
      </c>
      <c r="F2116" t="s">
        <v>2003</v>
      </c>
      <c r="G2116" t="str">
        <f>"2333"</f>
        <v>2333</v>
      </c>
      <c r="H2116" t="str">
        <f>"0000"</f>
        <v>0000</v>
      </c>
      <c r="I2116" t="s">
        <v>69</v>
      </c>
      <c r="J2116">
        <v>0</v>
      </c>
      <c r="K2116">
        <v>1</v>
      </c>
      <c r="L2116">
        <v>2</v>
      </c>
      <c r="M2116">
        <v>366</v>
      </c>
      <c r="N2116">
        <v>186</v>
      </c>
      <c r="O2116">
        <v>0</v>
      </c>
      <c r="P2116">
        <v>186</v>
      </c>
      <c r="Q2116">
        <v>9</v>
      </c>
      <c r="R2116">
        <v>12</v>
      </c>
      <c r="S2116">
        <v>2</v>
      </c>
      <c r="T2116">
        <v>4</v>
      </c>
      <c r="U2116">
        <v>12</v>
      </c>
      <c r="V2116">
        <v>6</v>
      </c>
      <c r="W2116">
        <v>0</v>
      </c>
      <c r="X2116">
        <v>124</v>
      </c>
      <c r="Y2116">
        <v>0</v>
      </c>
      <c r="Z2116">
        <v>4</v>
      </c>
      <c r="AA2116">
        <v>0</v>
      </c>
      <c r="AB2116">
        <v>5</v>
      </c>
      <c r="AD2116">
        <v>1</v>
      </c>
      <c r="AE2116">
        <v>0</v>
      </c>
      <c r="AF2116">
        <v>0</v>
      </c>
      <c r="AG2116">
        <v>0</v>
      </c>
      <c r="AI2116">
        <v>0</v>
      </c>
      <c r="AJ2116">
        <v>7</v>
      </c>
      <c r="AK2116">
        <v>186</v>
      </c>
      <c r="AL2116">
        <v>186</v>
      </c>
      <c r="AM2116">
        <v>508</v>
      </c>
      <c r="AN2116">
        <v>44</v>
      </c>
      <c r="AP2116">
        <v>1</v>
      </c>
      <c r="AR2116" t="s">
        <v>2207</v>
      </c>
      <c r="AS2116" s="1">
        <v>44353.775000000001</v>
      </c>
      <c r="AT2116" s="1">
        <v>44354.021979166668</v>
      </c>
      <c r="AU2116" s="1">
        <v>44354.022731481484</v>
      </c>
      <c r="AV2116" t="s">
        <v>71</v>
      </c>
      <c r="AW2116" t="s">
        <v>72</v>
      </c>
      <c r="AX2116" t="s">
        <v>73</v>
      </c>
    </row>
    <row r="2117" spans="1:50" x14ac:dyDescent="0.3">
      <c r="A2117" t="str">
        <f>"202333C0100"</f>
        <v>202333C0100</v>
      </c>
      <c r="B2117" t="str">
        <f>"202333C01002"</f>
        <v>202333C01002</v>
      </c>
      <c r="C2117" t="str">
        <f t="shared" si="101"/>
        <v>20</v>
      </c>
      <c r="D2117" t="s">
        <v>67</v>
      </c>
      <c r="E2117" t="str">
        <f t="shared" si="103"/>
        <v>009</v>
      </c>
      <c r="F2117" t="s">
        <v>2003</v>
      </c>
      <c r="G2117" t="str">
        <f>"2333"</f>
        <v>2333</v>
      </c>
      <c r="H2117" t="str">
        <f>"0001"</f>
        <v>0001</v>
      </c>
      <c r="I2117" t="s">
        <v>75</v>
      </c>
      <c r="J2117">
        <v>0</v>
      </c>
      <c r="K2117">
        <v>1</v>
      </c>
      <c r="L2117">
        <v>2</v>
      </c>
      <c r="M2117">
        <v>362</v>
      </c>
      <c r="N2117">
        <v>190</v>
      </c>
      <c r="O2117">
        <v>0</v>
      </c>
      <c r="P2117">
        <v>190</v>
      </c>
      <c r="Q2117">
        <v>5</v>
      </c>
      <c r="R2117">
        <v>18</v>
      </c>
      <c r="S2117">
        <v>1</v>
      </c>
      <c r="T2117">
        <v>2</v>
      </c>
      <c r="U2117">
        <v>4</v>
      </c>
      <c r="V2117">
        <v>4</v>
      </c>
      <c r="W2117">
        <v>6</v>
      </c>
      <c r="X2117">
        <v>131</v>
      </c>
      <c r="Y2117">
        <v>1</v>
      </c>
      <c r="Z2117">
        <v>1</v>
      </c>
      <c r="AA2117">
        <v>0</v>
      </c>
      <c r="AB2117">
        <v>5</v>
      </c>
      <c r="AD2117">
        <v>0</v>
      </c>
      <c r="AE2117">
        <v>0</v>
      </c>
      <c r="AF2117">
        <v>0</v>
      </c>
      <c r="AG2117">
        <v>0</v>
      </c>
      <c r="AI2117">
        <v>0</v>
      </c>
      <c r="AJ2117">
        <v>12</v>
      </c>
      <c r="AK2117">
        <v>190</v>
      </c>
      <c r="AL2117">
        <v>190</v>
      </c>
      <c r="AM2117">
        <v>508</v>
      </c>
      <c r="AN2117">
        <v>44</v>
      </c>
      <c r="AP2117">
        <v>1</v>
      </c>
      <c r="AR2117" t="s">
        <v>2208</v>
      </c>
      <c r="AS2117" s="1">
        <v>44354.012499999997</v>
      </c>
      <c r="AT2117" s="1">
        <v>44354.020810185182</v>
      </c>
      <c r="AU2117" s="1">
        <v>44354.021412037036</v>
      </c>
      <c r="AV2117" t="s">
        <v>71</v>
      </c>
      <c r="AW2117" t="s">
        <v>72</v>
      </c>
      <c r="AX2117" t="s">
        <v>73</v>
      </c>
    </row>
    <row r="2118" spans="1:50" x14ac:dyDescent="0.3">
      <c r="A2118" t="str">
        <f>"202333C0200"</f>
        <v>202333C0200</v>
      </c>
      <c r="B2118" t="str">
        <f>"202333C02002"</f>
        <v>202333C02002</v>
      </c>
      <c r="C2118" t="str">
        <f t="shared" si="101"/>
        <v>20</v>
      </c>
      <c r="D2118" t="s">
        <v>67</v>
      </c>
      <c r="E2118" t="str">
        <f t="shared" si="103"/>
        <v>009</v>
      </c>
      <c r="F2118" t="s">
        <v>2003</v>
      </c>
      <c r="G2118" t="str">
        <f>"2333"</f>
        <v>2333</v>
      </c>
      <c r="H2118" t="str">
        <f>"0002"</f>
        <v>0002</v>
      </c>
      <c r="I2118" t="s">
        <v>75</v>
      </c>
      <c r="J2118">
        <v>0</v>
      </c>
      <c r="K2118">
        <v>1</v>
      </c>
      <c r="L2118">
        <v>2</v>
      </c>
      <c r="M2118">
        <v>354</v>
      </c>
      <c r="N2118">
        <v>197</v>
      </c>
      <c r="O2118">
        <v>0</v>
      </c>
      <c r="P2118" t="s">
        <v>80</v>
      </c>
      <c r="Q2118">
        <v>8</v>
      </c>
      <c r="R2118">
        <v>10</v>
      </c>
      <c r="S2118">
        <v>2</v>
      </c>
      <c r="T2118">
        <v>1</v>
      </c>
      <c r="U2118">
        <v>8</v>
      </c>
      <c r="V2118">
        <v>3</v>
      </c>
      <c r="W2118">
        <v>1</v>
      </c>
      <c r="X2118">
        <v>153</v>
      </c>
      <c r="Y2118">
        <v>0</v>
      </c>
      <c r="Z2118">
        <v>0</v>
      </c>
      <c r="AA2118">
        <v>3</v>
      </c>
      <c r="AB2118">
        <v>2</v>
      </c>
      <c r="AD2118">
        <v>0</v>
      </c>
      <c r="AE2118">
        <v>0</v>
      </c>
      <c r="AF2118">
        <v>0</v>
      </c>
      <c r="AG2118">
        <v>0</v>
      </c>
      <c r="AI2118">
        <v>0</v>
      </c>
      <c r="AJ2118">
        <v>6</v>
      </c>
      <c r="AK2118">
        <v>197</v>
      </c>
      <c r="AL2118">
        <v>197</v>
      </c>
      <c r="AM2118">
        <v>507</v>
      </c>
      <c r="AN2118">
        <v>44</v>
      </c>
      <c r="AP2118">
        <v>1</v>
      </c>
      <c r="AR2118" t="s">
        <v>2209</v>
      </c>
      <c r="AS2118" s="1">
        <v>44353.791666666664</v>
      </c>
      <c r="AT2118" s="1">
        <v>44354.020451388889</v>
      </c>
      <c r="AU2118" s="1">
        <v>44354.020740740743</v>
      </c>
      <c r="AV2118" t="s">
        <v>71</v>
      </c>
      <c r="AW2118" t="s">
        <v>72</v>
      </c>
      <c r="AX2118" t="s">
        <v>73</v>
      </c>
    </row>
    <row r="2119" spans="1:50" x14ac:dyDescent="0.3">
      <c r="A2119" t="str">
        <f>"202334B0000"</f>
        <v>202334B0000</v>
      </c>
      <c r="B2119" t="str">
        <f>"202334B00002"</f>
        <v>202334B00002</v>
      </c>
      <c r="C2119" t="str">
        <f t="shared" ref="C2119:C2182" si="104">"20"</f>
        <v>20</v>
      </c>
      <c r="D2119" t="s">
        <v>67</v>
      </c>
      <c r="E2119" t="str">
        <f t="shared" si="103"/>
        <v>009</v>
      </c>
      <c r="F2119" t="s">
        <v>2003</v>
      </c>
      <c r="G2119" t="str">
        <f>"2334"</f>
        <v>2334</v>
      </c>
      <c r="H2119" t="str">
        <f>"0000"</f>
        <v>0000</v>
      </c>
      <c r="I2119" t="s">
        <v>69</v>
      </c>
      <c r="J2119">
        <v>0</v>
      </c>
      <c r="K2119">
        <v>1</v>
      </c>
      <c r="L2119">
        <v>2</v>
      </c>
      <c r="M2119">
        <v>251</v>
      </c>
      <c r="N2119">
        <v>191</v>
      </c>
      <c r="O2119">
        <v>1</v>
      </c>
      <c r="P2119">
        <v>191</v>
      </c>
      <c r="Q2119">
        <v>8</v>
      </c>
      <c r="R2119">
        <v>16</v>
      </c>
      <c r="S2119">
        <v>1</v>
      </c>
      <c r="T2119">
        <v>3</v>
      </c>
      <c r="U2119">
        <v>26</v>
      </c>
      <c r="V2119">
        <v>1</v>
      </c>
      <c r="W2119">
        <v>6</v>
      </c>
      <c r="X2119">
        <v>124</v>
      </c>
      <c r="Y2119">
        <v>0</v>
      </c>
      <c r="Z2119">
        <v>2</v>
      </c>
      <c r="AA2119">
        <v>0</v>
      </c>
      <c r="AB2119">
        <v>1</v>
      </c>
      <c r="AD2119">
        <v>0</v>
      </c>
      <c r="AE2119">
        <v>0</v>
      </c>
      <c r="AF2119">
        <v>0</v>
      </c>
      <c r="AG2119">
        <v>0</v>
      </c>
      <c r="AI2119">
        <v>0</v>
      </c>
      <c r="AJ2119">
        <v>3</v>
      </c>
      <c r="AK2119">
        <v>191</v>
      </c>
      <c r="AL2119">
        <v>191</v>
      </c>
      <c r="AM2119">
        <v>398</v>
      </c>
      <c r="AN2119">
        <v>44</v>
      </c>
      <c r="AP2119">
        <v>1</v>
      </c>
      <c r="AR2119" t="s">
        <v>2210</v>
      </c>
      <c r="AS2119" s="1">
        <v>44353.75</v>
      </c>
      <c r="AT2119" s="1">
        <v>44354.017384259256</v>
      </c>
      <c r="AU2119" s="1">
        <v>44354.017905092594</v>
      </c>
      <c r="AV2119" t="s">
        <v>71</v>
      </c>
      <c r="AW2119" t="s">
        <v>72</v>
      </c>
      <c r="AX2119" t="s">
        <v>73</v>
      </c>
    </row>
    <row r="2120" spans="1:50" x14ac:dyDescent="0.3">
      <c r="A2120" t="str">
        <f>"202334C0100"</f>
        <v>202334C0100</v>
      </c>
      <c r="B2120" t="str">
        <f>"202334C01002"</f>
        <v>202334C01002</v>
      </c>
      <c r="C2120" t="str">
        <f t="shared" si="104"/>
        <v>20</v>
      </c>
      <c r="D2120" t="s">
        <v>67</v>
      </c>
      <c r="E2120" t="str">
        <f t="shared" si="103"/>
        <v>009</v>
      </c>
      <c r="F2120" t="s">
        <v>2003</v>
      </c>
      <c r="G2120" t="str">
        <f>"2334"</f>
        <v>2334</v>
      </c>
      <c r="H2120" t="str">
        <f>"0001"</f>
        <v>0001</v>
      </c>
      <c r="I2120" t="s">
        <v>75</v>
      </c>
      <c r="J2120">
        <v>0</v>
      </c>
      <c r="K2120">
        <v>1</v>
      </c>
      <c r="L2120">
        <v>2</v>
      </c>
      <c r="M2120">
        <v>281</v>
      </c>
      <c r="N2120">
        <v>161</v>
      </c>
      <c r="O2120">
        <v>2</v>
      </c>
      <c r="P2120">
        <v>161</v>
      </c>
      <c r="Q2120">
        <v>1</v>
      </c>
      <c r="R2120">
        <v>13</v>
      </c>
      <c r="S2120">
        <v>0</v>
      </c>
      <c r="T2120">
        <v>2</v>
      </c>
      <c r="U2120">
        <v>26</v>
      </c>
      <c r="V2120">
        <v>2</v>
      </c>
      <c r="W2120">
        <v>0</v>
      </c>
      <c r="X2120">
        <v>112</v>
      </c>
      <c r="Y2120">
        <v>0</v>
      </c>
      <c r="Z2120">
        <v>2</v>
      </c>
      <c r="AA2120">
        <v>1</v>
      </c>
      <c r="AB2120">
        <v>0</v>
      </c>
      <c r="AD2120">
        <v>0</v>
      </c>
      <c r="AE2120">
        <v>0</v>
      </c>
      <c r="AF2120">
        <v>0</v>
      </c>
      <c r="AG2120">
        <v>0</v>
      </c>
      <c r="AI2120">
        <v>0</v>
      </c>
      <c r="AJ2120">
        <v>2</v>
      </c>
      <c r="AK2120">
        <v>161</v>
      </c>
      <c r="AL2120">
        <v>161</v>
      </c>
      <c r="AM2120">
        <v>398</v>
      </c>
      <c r="AN2120">
        <v>44</v>
      </c>
      <c r="AP2120">
        <v>1</v>
      </c>
      <c r="AR2120" t="s">
        <v>2211</v>
      </c>
      <c r="AS2120" s="1">
        <v>44353.75</v>
      </c>
      <c r="AT2120" s="1">
        <v>44354.016516203701</v>
      </c>
      <c r="AU2120" s="1">
        <v>44354.017094907409</v>
      </c>
      <c r="AV2120" t="s">
        <v>71</v>
      </c>
      <c r="AW2120" t="s">
        <v>72</v>
      </c>
      <c r="AX2120" t="s">
        <v>73</v>
      </c>
    </row>
    <row r="2121" spans="1:50" x14ac:dyDescent="0.3">
      <c r="A2121" t="str">
        <f>"202363B0000"</f>
        <v>202363B0000</v>
      </c>
      <c r="B2121" t="str">
        <f>"202363B00002"</f>
        <v>202363B00002</v>
      </c>
      <c r="C2121" t="str">
        <f t="shared" si="104"/>
        <v>20</v>
      </c>
      <c r="D2121" t="s">
        <v>67</v>
      </c>
      <c r="E2121" t="str">
        <f t="shared" si="103"/>
        <v>009</v>
      </c>
      <c r="F2121" t="s">
        <v>2003</v>
      </c>
      <c r="G2121" t="str">
        <f>"2363"</f>
        <v>2363</v>
      </c>
      <c r="H2121" t="str">
        <f>"0000"</f>
        <v>0000</v>
      </c>
      <c r="I2121" t="s">
        <v>69</v>
      </c>
      <c r="J2121">
        <v>0</v>
      </c>
      <c r="K2121">
        <v>1</v>
      </c>
      <c r="L2121">
        <v>2</v>
      </c>
      <c r="M2121">
        <v>388</v>
      </c>
      <c r="N2121">
        <v>221</v>
      </c>
      <c r="O2121">
        <v>6</v>
      </c>
      <c r="P2121">
        <v>221</v>
      </c>
      <c r="Q2121">
        <v>21</v>
      </c>
      <c r="R2121">
        <v>57</v>
      </c>
      <c r="S2121">
        <v>2</v>
      </c>
      <c r="T2121">
        <v>2</v>
      </c>
      <c r="U2121">
        <v>11</v>
      </c>
      <c r="V2121">
        <v>1</v>
      </c>
      <c r="W2121">
        <v>2</v>
      </c>
      <c r="X2121">
        <v>100</v>
      </c>
      <c r="Y2121">
        <v>2</v>
      </c>
      <c r="Z2121">
        <v>4</v>
      </c>
      <c r="AA2121">
        <v>2</v>
      </c>
      <c r="AB2121">
        <v>3</v>
      </c>
      <c r="AD2121">
        <v>1</v>
      </c>
      <c r="AE2121">
        <v>2</v>
      </c>
      <c r="AF2121">
        <v>0</v>
      </c>
      <c r="AG2121">
        <v>0</v>
      </c>
      <c r="AI2121">
        <v>1</v>
      </c>
      <c r="AJ2121">
        <v>10</v>
      </c>
      <c r="AK2121">
        <v>221</v>
      </c>
      <c r="AL2121">
        <v>221</v>
      </c>
      <c r="AM2121">
        <v>565</v>
      </c>
      <c r="AN2121">
        <v>44</v>
      </c>
      <c r="AP2121">
        <v>1</v>
      </c>
      <c r="AR2121" t="s">
        <v>2212</v>
      </c>
      <c r="AS2121" s="1">
        <v>44353.791666666664</v>
      </c>
      <c r="AT2121" s="1">
        <v>44354.014027777775</v>
      </c>
      <c r="AU2121" s="1">
        <v>44354.014560185184</v>
      </c>
      <c r="AV2121" t="s">
        <v>71</v>
      </c>
      <c r="AW2121" t="s">
        <v>72</v>
      </c>
      <c r="AX2121" t="s">
        <v>73</v>
      </c>
    </row>
    <row r="2122" spans="1:50" x14ac:dyDescent="0.3">
      <c r="A2122" t="str">
        <f>"202363C0100"</f>
        <v>202363C0100</v>
      </c>
      <c r="B2122" t="str">
        <f>"202363C01002"</f>
        <v>202363C01002</v>
      </c>
      <c r="C2122" t="str">
        <f t="shared" si="104"/>
        <v>20</v>
      </c>
      <c r="D2122" t="s">
        <v>67</v>
      </c>
      <c r="E2122" t="str">
        <f t="shared" si="103"/>
        <v>009</v>
      </c>
      <c r="F2122" t="s">
        <v>2003</v>
      </c>
      <c r="G2122" t="str">
        <f>"2363"</f>
        <v>2363</v>
      </c>
      <c r="H2122" t="str">
        <f>"0001"</f>
        <v>0001</v>
      </c>
      <c r="I2122" t="s">
        <v>75</v>
      </c>
      <c r="J2122">
        <v>0</v>
      </c>
      <c r="K2122">
        <v>1</v>
      </c>
      <c r="L2122">
        <v>2</v>
      </c>
      <c r="M2122">
        <v>424</v>
      </c>
      <c r="N2122">
        <v>185</v>
      </c>
      <c r="O2122">
        <v>3</v>
      </c>
      <c r="P2122">
        <v>185</v>
      </c>
      <c r="Q2122">
        <v>11</v>
      </c>
      <c r="R2122">
        <v>47</v>
      </c>
      <c r="S2122">
        <v>1</v>
      </c>
      <c r="T2122">
        <v>3</v>
      </c>
      <c r="U2122">
        <v>6</v>
      </c>
      <c r="V2122">
        <v>2</v>
      </c>
      <c r="W2122">
        <v>1</v>
      </c>
      <c r="X2122">
        <v>97</v>
      </c>
      <c r="Y2122">
        <v>2</v>
      </c>
      <c r="Z2122">
        <v>1</v>
      </c>
      <c r="AA2122">
        <v>1</v>
      </c>
      <c r="AB2122">
        <v>1</v>
      </c>
      <c r="AD2122">
        <v>3</v>
      </c>
      <c r="AE2122">
        <v>0</v>
      </c>
      <c r="AF2122">
        <v>0</v>
      </c>
      <c r="AG2122">
        <v>0</v>
      </c>
      <c r="AI2122">
        <v>0</v>
      </c>
      <c r="AJ2122">
        <v>9</v>
      </c>
      <c r="AK2122">
        <v>185</v>
      </c>
      <c r="AL2122">
        <v>185</v>
      </c>
      <c r="AM2122">
        <v>565</v>
      </c>
      <c r="AN2122">
        <v>44</v>
      </c>
      <c r="AP2122">
        <v>1</v>
      </c>
      <c r="AR2122" t="s">
        <v>2213</v>
      </c>
      <c r="AS2122" s="1">
        <v>44354.007638888892</v>
      </c>
      <c r="AT2122" s="1">
        <v>44354.014097222222</v>
      </c>
      <c r="AU2122" s="1">
        <v>44354.014398148145</v>
      </c>
      <c r="AV2122" t="s">
        <v>71</v>
      </c>
      <c r="AW2122" t="s">
        <v>72</v>
      </c>
      <c r="AX2122" t="s">
        <v>73</v>
      </c>
    </row>
    <row r="2123" spans="1:50" x14ac:dyDescent="0.3">
      <c r="A2123" t="str">
        <f>"202363C0200"</f>
        <v>202363C0200</v>
      </c>
      <c r="B2123" t="str">
        <f>"202363C02002"</f>
        <v>202363C02002</v>
      </c>
      <c r="C2123" t="str">
        <f t="shared" si="104"/>
        <v>20</v>
      </c>
      <c r="D2123" t="s">
        <v>67</v>
      </c>
      <c r="E2123" t="str">
        <f t="shared" si="103"/>
        <v>009</v>
      </c>
      <c r="F2123" t="s">
        <v>2003</v>
      </c>
      <c r="G2123" t="str">
        <f>"2363"</f>
        <v>2363</v>
      </c>
      <c r="H2123" t="str">
        <f>"0002"</f>
        <v>0002</v>
      </c>
      <c r="I2123" t="s">
        <v>75</v>
      </c>
      <c r="J2123">
        <v>0</v>
      </c>
      <c r="K2123">
        <v>1</v>
      </c>
      <c r="L2123">
        <v>2</v>
      </c>
      <c r="M2123">
        <v>388</v>
      </c>
      <c r="N2123">
        <v>220</v>
      </c>
      <c r="O2123">
        <v>3</v>
      </c>
      <c r="P2123">
        <v>220</v>
      </c>
      <c r="Q2123">
        <v>23</v>
      </c>
      <c r="R2123">
        <v>69</v>
      </c>
      <c r="S2123">
        <v>3</v>
      </c>
      <c r="T2123">
        <v>3</v>
      </c>
      <c r="U2123">
        <v>10</v>
      </c>
      <c r="V2123">
        <v>6</v>
      </c>
      <c r="W2123">
        <v>2</v>
      </c>
      <c r="X2123">
        <v>80</v>
      </c>
      <c r="Y2123">
        <v>2</v>
      </c>
      <c r="Z2123">
        <v>3</v>
      </c>
      <c r="AA2123">
        <v>0</v>
      </c>
      <c r="AB2123">
        <v>5</v>
      </c>
      <c r="AD2123">
        <v>4</v>
      </c>
      <c r="AE2123">
        <v>2</v>
      </c>
      <c r="AF2123">
        <v>0</v>
      </c>
      <c r="AG2123">
        <v>2</v>
      </c>
      <c r="AI2123">
        <v>0</v>
      </c>
      <c r="AJ2123">
        <v>6</v>
      </c>
      <c r="AK2123">
        <v>220</v>
      </c>
      <c r="AL2123">
        <v>220</v>
      </c>
      <c r="AM2123">
        <v>564</v>
      </c>
      <c r="AN2123">
        <v>44</v>
      </c>
      <c r="AP2123">
        <v>1</v>
      </c>
      <c r="AR2123" t="s">
        <v>2214</v>
      </c>
      <c r="AS2123" s="1">
        <v>44354.668749999997</v>
      </c>
      <c r="AT2123" s="1">
        <v>44354.67046296296</v>
      </c>
      <c r="AU2123" s="1">
        <v>44354.671284722222</v>
      </c>
      <c r="AV2123" t="s">
        <v>71</v>
      </c>
      <c r="AW2123" t="s">
        <v>72</v>
      </c>
      <c r="AX2123" t="s">
        <v>347</v>
      </c>
    </row>
    <row r="2124" spans="1:50" x14ac:dyDescent="0.3">
      <c r="A2124" t="str">
        <f>"202364B0000"</f>
        <v>202364B0000</v>
      </c>
      <c r="B2124" t="str">
        <f>"202364B00002"</f>
        <v>202364B00002</v>
      </c>
      <c r="C2124" t="str">
        <f t="shared" si="104"/>
        <v>20</v>
      </c>
      <c r="D2124" t="s">
        <v>67</v>
      </c>
      <c r="E2124" t="str">
        <f t="shared" si="103"/>
        <v>009</v>
      </c>
      <c r="F2124" t="s">
        <v>2003</v>
      </c>
      <c r="G2124" t="str">
        <f>"2364"</f>
        <v>2364</v>
      </c>
      <c r="H2124" t="str">
        <f>"0000"</f>
        <v>0000</v>
      </c>
      <c r="I2124" t="s">
        <v>69</v>
      </c>
      <c r="J2124">
        <v>0</v>
      </c>
      <c r="K2124">
        <v>1</v>
      </c>
      <c r="L2124">
        <v>2</v>
      </c>
      <c r="M2124">
        <v>492</v>
      </c>
      <c r="N2124">
        <v>177</v>
      </c>
      <c r="O2124">
        <v>2</v>
      </c>
      <c r="P2124">
        <v>177</v>
      </c>
      <c r="Q2124">
        <v>13</v>
      </c>
      <c r="R2124">
        <v>50</v>
      </c>
      <c r="S2124">
        <v>1</v>
      </c>
      <c r="T2124">
        <v>2</v>
      </c>
      <c r="U2124">
        <v>4</v>
      </c>
      <c r="V2124">
        <v>2</v>
      </c>
      <c r="W2124">
        <v>5</v>
      </c>
      <c r="X2124">
        <v>84</v>
      </c>
      <c r="Y2124">
        <v>0</v>
      </c>
      <c r="Z2124">
        <v>2</v>
      </c>
      <c r="AA2124">
        <v>2</v>
      </c>
      <c r="AB2124">
        <v>2</v>
      </c>
      <c r="AD2124">
        <v>2</v>
      </c>
      <c r="AE2124">
        <v>1</v>
      </c>
      <c r="AF2124">
        <v>0</v>
      </c>
      <c r="AG2124">
        <v>0</v>
      </c>
      <c r="AI2124">
        <v>0</v>
      </c>
      <c r="AJ2124">
        <v>7</v>
      </c>
      <c r="AK2124">
        <v>177</v>
      </c>
      <c r="AL2124">
        <v>177</v>
      </c>
      <c r="AM2124">
        <v>625</v>
      </c>
      <c r="AN2124">
        <v>44</v>
      </c>
      <c r="AP2124">
        <v>1</v>
      </c>
      <c r="AR2124" t="s">
        <v>2215</v>
      </c>
      <c r="AS2124" s="1">
        <v>44354.156944444447</v>
      </c>
      <c r="AT2124" s="1">
        <v>44354.159444444442</v>
      </c>
      <c r="AU2124" s="1">
        <v>44354.160150462965</v>
      </c>
      <c r="AV2124" t="s">
        <v>71</v>
      </c>
      <c r="AW2124" t="s">
        <v>72</v>
      </c>
      <c r="AX2124" t="s">
        <v>73</v>
      </c>
    </row>
    <row r="2125" spans="1:50" x14ac:dyDescent="0.3">
      <c r="A2125" t="str">
        <f>"202364C0100"</f>
        <v>202364C0100</v>
      </c>
      <c r="B2125" t="str">
        <f>"202364C01002"</f>
        <v>202364C01002</v>
      </c>
      <c r="C2125" t="str">
        <f t="shared" si="104"/>
        <v>20</v>
      </c>
      <c r="D2125" t="s">
        <v>67</v>
      </c>
      <c r="E2125" t="str">
        <f t="shared" si="103"/>
        <v>009</v>
      </c>
      <c r="F2125" t="s">
        <v>2003</v>
      </c>
      <c r="G2125" t="str">
        <f>"2364"</f>
        <v>2364</v>
      </c>
      <c r="H2125" t="str">
        <f>"0001"</f>
        <v>0001</v>
      </c>
      <c r="I2125" t="s">
        <v>75</v>
      </c>
      <c r="J2125">
        <v>0</v>
      </c>
      <c r="K2125">
        <v>1</v>
      </c>
      <c r="L2125">
        <v>2</v>
      </c>
      <c r="M2125">
        <v>500</v>
      </c>
      <c r="N2125">
        <v>169</v>
      </c>
      <c r="O2125">
        <v>1</v>
      </c>
      <c r="P2125">
        <v>169</v>
      </c>
      <c r="Q2125">
        <v>7</v>
      </c>
      <c r="R2125">
        <v>58</v>
      </c>
      <c r="S2125">
        <v>4</v>
      </c>
      <c r="T2125">
        <v>1</v>
      </c>
      <c r="U2125">
        <v>8</v>
      </c>
      <c r="V2125">
        <v>2</v>
      </c>
      <c r="W2125">
        <v>1</v>
      </c>
      <c r="X2125">
        <v>64</v>
      </c>
      <c r="Y2125">
        <v>5</v>
      </c>
      <c r="Z2125">
        <v>1</v>
      </c>
      <c r="AA2125">
        <v>1</v>
      </c>
      <c r="AB2125">
        <v>1</v>
      </c>
      <c r="AD2125">
        <v>1</v>
      </c>
      <c r="AE2125">
        <v>2</v>
      </c>
      <c r="AF2125">
        <v>0</v>
      </c>
      <c r="AG2125">
        <v>0</v>
      </c>
      <c r="AI2125">
        <v>0</v>
      </c>
      <c r="AJ2125">
        <v>13</v>
      </c>
      <c r="AK2125">
        <v>169</v>
      </c>
      <c r="AL2125">
        <v>169</v>
      </c>
      <c r="AM2125">
        <v>625</v>
      </c>
      <c r="AN2125">
        <v>44</v>
      </c>
      <c r="AP2125">
        <v>1</v>
      </c>
      <c r="AR2125" t="s">
        <v>2216</v>
      </c>
      <c r="AS2125" s="1">
        <v>44353.977083333331</v>
      </c>
      <c r="AT2125" s="1">
        <v>44353.981145833335</v>
      </c>
      <c r="AU2125" s="1">
        <v>44353.982048611113</v>
      </c>
      <c r="AV2125" t="s">
        <v>71</v>
      </c>
      <c r="AW2125" t="s">
        <v>72</v>
      </c>
      <c r="AX2125" t="s">
        <v>73</v>
      </c>
    </row>
    <row r="2126" spans="1:50" x14ac:dyDescent="0.3">
      <c r="A2126" t="str">
        <f>"202364C0200"</f>
        <v>202364C0200</v>
      </c>
      <c r="B2126" t="str">
        <f>"202364C02002"</f>
        <v>202364C02002</v>
      </c>
      <c r="C2126" t="str">
        <f t="shared" si="104"/>
        <v>20</v>
      </c>
      <c r="D2126" t="s">
        <v>67</v>
      </c>
      <c r="E2126" t="str">
        <f t="shared" si="103"/>
        <v>009</v>
      </c>
      <c r="F2126" t="s">
        <v>2003</v>
      </c>
      <c r="G2126" t="str">
        <f>"2364"</f>
        <v>2364</v>
      </c>
      <c r="H2126" t="str">
        <f>"0002"</f>
        <v>0002</v>
      </c>
      <c r="I2126" t="s">
        <v>75</v>
      </c>
      <c r="J2126">
        <v>0</v>
      </c>
      <c r="K2126">
        <v>1</v>
      </c>
      <c r="L2126">
        <v>2</v>
      </c>
      <c r="M2126">
        <v>491</v>
      </c>
      <c r="N2126">
        <v>178</v>
      </c>
      <c r="O2126">
        <v>5</v>
      </c>
      <c r="P2126">
        <v>178</v>
      </c>
      <c r="Q2126">
        <v>6</v>
      </c>
      <c r="R2126">
        <v>71</v>
      </c>
      <c r="S2126">
        <v>4</v>
      </c>
      <c r="T2126">
        <v>3</v>
      </c>
      <c r="U2126">
        <v>5</v>
      </c>
      <c r="V2126">
        <v>3</v>
      </c>
      <c r="W2126">
        <v>1</v>
      </c>
      <c r="X2126">
        <v>62</v>
      </c>
      <c r="Y2126">
        <v>1</v>
      </c>
      <c r="Z2126">
        <v>5</v>
      </c>
      <c r="AA2126">
        <v>2</v>
      </c>
      <c r="AB2126">
        <v>3</v>
      </c>
      <c r="AD2126">
        <v>4</v>
      </c>
      <c r="AE2126">
        <v>0</v>
      </c>
      <c r="AF2126">
        <v>0</v>
      </c>
      <c r="AG2126">
        <v>0</v>
      </c>
      <c r="AI2126">
        <v>0</v>
      </c>
      <c r="AJ2126">
        <v>8</v>
      </c>
      <c r="AK2126">
        <v>178</v>
      </c>
      <c r="AL2126">
        <v>178</v>
      </c>
      <c r="AM2126">
        <v>625</v>
      </c>
      <c r="AN2126">
        <v>44</v>
      </c>
      <c r="AP2126">
        <v>1</v>
      </c>
      <c r="AR2126" t="s">
        <v>2217</v>
      </c>
      <c r="AS2126" s="1">
        <v>44353.966666666667</v>
      </c>
      <c r="AT2126" s="1">
        <v>44353.969513888886</v>
      </c>
      <c r="AU2126" s="1">
        <v>44353.970011574071</v>
      </c>
      <c r="AV2126" t="s">
        <v>71</v>
      </c>
      <c r="AW2126" t="s">
        <v>72</v>
      </c>
      <c r="AX2126" t="s">
        <v>73</v>
      </c>
    </row>
    <row r="2127" spans="1:50" x14ac:dyDescent="0.3">
      <c r="A2127" t="str">
        <f>"202364C0300"</f>
        <v>202364C0300</v>
      </c>
      <c r="B2127" t="str">
        <f>"202364C03002"</f>
        <v>202364C03002</v>
      </c>
      <c r="C2127" t="str">
        <f t="shared" si="104"/>
        <v>20</v>
      </c>
      <c r="D2127" t="s">
        <v>67</v>
      </c>
      <c r="E2127" t="str">
        <f t="shared" si="103"/>
        <v>009</v>
      </c>
      <c r="F2127" t="s">
        <v>2003</v>
      </c>
      <c r="G2127" t="str">
        <f>"2364"</f>
        <v>2364</v>
      </c>
      <c r="H2127" t="str">
        <f>"0003"</f>
        <v>0003</v>
      </c>
      <c r="I2127" t="s">
        <v>75</v>
      </c>
      <c r="J2127">
        <v>0</v>
      </c>
      <c r="K2127">
        <v>1</v>
      </c>
      <c r="L2127">
        <v>2</v>
      </c>
      <c r="M2127">
        <v>496</v>
      </c>
      <c r="N2127">
        <v>173</v>
      </c>
      <c r="O2127">
        <v>3</v>
      </c>
      <c r="P2127">
        <v>173</v>
      </c>
      <c r="Q2127">
        <v>8</v>
      </c>
      <c r="R2127">
        <v>55</v>
      </c>
      <c r="S2127">
        <v>0</v>
      </c>
      <c r="T2127">
        <v>3</v>
      </c>
      <c r="U2127">
        <v>3</v>
      </c>
      <c r="V2127">
        <v>6</v>
      </c>
      <c r="W2127">
        <v>0</v>
      </c>
      <c r="X2127">
        <v>79</v>
      </c>
      <c r="Y2127">
        <v>3</v>
      </c>
      <c r="Z2127">
        <v>1</v>
      </c>
      <c r="AA2127">
        <v>1</v>
      </c>
      <c r="AB2127">
        <v>1</v>
      </c>
      <c r="AD2127">
        <v>2</v>
      </c>
      <c r="AE2127">
        <v>1</v>
      </c>
      <c r="AF2127">
        <v>0</v>
      </c>
      <c r="AG2127">
        <v>0</v>
      </c>
      <c r="AI2127">
        <v>0</v>
      </c>
      <c r="AJ2127">
        <v>10</v>
      </c>
      <c r="AK2127">
        <v>173</v>
      </c>
      <c r="AL2127">
        <v>173</v>
      </c>
      <c r="AM2127">
        <v>625</v>
      </c>
      <c r="AN2127">
        <v>44</v>
      </c>
      <c r="AP2127">
        <v>1</v>
      </c>
      <c r="AR2127" t="s">
        <v>2218</v>
      </c>
      <c r="AS2127" s="1">
        <v>44354.155555555553</v>
      </c>
      <c r="AT2127" s="1">
        <v>44354.159409722219</v>
      </c>
      <c r="AU2127" s="1">
        <v>44354.160150462965</v>
      </c>
      <c r="AV2127" t="s">
        <v>71</v>
      </c>
      <c r="AW2127" t="s">
        <v>72</v>
      </c>
      <c r="AX2127" t="s">
        <v>73</v>
      </c>
    </row>
    <row r="2128" spans="1:50" x14ac:dyDescent="0.3">
      <c r="A2128" t="str">
        <f>"202364E0100"</f>
        <v>202364E0100</v>
      </c>
      <c r="B2128" t="str">
        <f>"202364E01002"</f>
        <v>202364E01002</v>
      </c>
      <c r="C2128" t="str">
        <f t="shared" si="104"/>
        <v>20</v>
      </c>
      <c r="D2128" t="s">
        <v>67</v>
      </c>
      <c r="E2128" t="str">
        <f t="shared" si="103"/>
        <v>009</v>
      </c>
      <c r="F2128" t="s">
        <v>2003</v>
      </c>
      <c r="G2128" t="str">
        <f>"2364"</f>
        <v>2364</v>
      </c>
      <c r="H2128" t="str">
        <f>"0001"</f>
        <v>0001</v>
      </c>
      <c r="I2128" t="s">
        <v>109</v>
      </c>
      <c r="J2128">
        <v>0</v>
      </c>
      <c r="K2128">
        <v>1</v>
      </c>
      <c r="L2128">
        <v>2</v>
      </c>
      <c r="M2128">
        <v>176</v>
      </c>
      <c r="N2128">
        <v>62</v>
      </c>
      <c r="O2128">
        <v>3</v>
      </c>
      <c r="P2128">
        <v>62</v>
      </c>
      <c r="Q2128">
        <v>5</v>
      </c>
      <c r="R2128">
        <v>11</v>
      </c>
      <c r="S2128">
        <v>0</v>
      </c>
      <c r="T2128">
        <v>1</v>
      </c>
      <c r="U2128">
        <v>3</v>
      </c>
      <c r="V2128">
        <v>1</v>
      </c>
      <c r="W2128">
        <v>1</v>
      </c>
      <c r="X2128">
        <v>30</v>
      </c>
      <c r="Y2128">
        <v>1</v>
      </c>
      <c r="Z2128">
        <v>1</v>
      </c>
      <c r="AA2128">
        <v>0</v>
      </c>
      <c r="AB2128">
        <v>0</v>
      </c>
      <c r="AD2128">
        <v>1</v>
      </c>
      <c r="AE2128">
        <v>1</v>
      </c>
      <c r="AF2128">
        <v>0</v>
      </c>
      <c r="AG2128">
        <v>0</v>
      </c>
      <c r="AI2128">
        <v>0</v>
      </c>
      <c r="AJ2128">
        <v>6</v>
      </c>
      <c r="AK2128">
        <v>62</v>
      </c>
      <c r="AL2128">
        <v>62</v>
      </c>
      <c r="AM2128">
        <v>194</v>
      </c>
      <c r="AN2128">
        <v>44</v>
      </c>
      <c r="AP2128">
        <v>1</v>
      </c>
      <c r="AR2128" t="s">
        <v>2219</v>
      </c>
      <c r="AS2128" s="1">
        <v>44353.988888888889</v>
      </c>
      <c r="AT2128" s="1">
        <v>44353.995752314811</v>
      </c>
      <c r="AU2128" s="1">
        <v>44353.996689814812</v>
      </c>
      <c r="AV2128" t="s">
        <v>71</v>
      </c>
      <c r="AW2128" t="s">
        <v>72</v>
      </c>
      <c r="AX2128" t="s">
        <v>73</v>
      </c>
    </row>
    <row r="2129" spans="1:50" x14ac:dyDescent="0.3">
      <c r="A2129" t="str">
        <f>"202365B0000"</f>
        <v>202365B0000</v>
      </c>
      <c r="B2129" t="str">
        <f>"202365B00002"</f>
        <v>202365B00002</v>
      </c>
      <c r="C2129" t="str">
        <f t="shared" si="104"/>
        <v>20</v>
      </c>
      <c r="D2129" t="s">
        <v>67</v>
      </c>
      <c r="E2129" t="str">
        <f t="shared" si="103"/>
        <v>009</v>
      </c>
      <c r="F2129" t="s">
        <v>2003</v>
      </c>
      <c r="G2129" t="str">
        <f>"2365"</f>
        <v>2365</v>
      </c>
      <c r="H2129" t="str">
        <f>"0000"</f>
        <v>0000</v>
      </c>
      <c r="I2129" t="s">
        <v>69</v>
      </c>
      <c r="J2129">
        <v>0</v>
      </c>
      <c r="K2129">
        <v>1</v>
      </c>
      <c r="L2129">
        <v>2</v>
      </c>
      <c r="M2129">
        <v>429</v>
      </c>
      <c r="N2129">
        <v>220</v>
      </c>
      <c r="O2129">
        <v>0</v>
      </c>
      <c r="P2129">
        <v>220</v>
      </c>
      <c r="Q2129">
        <v>14</v>
      </c>
      <c r="R2129">
        <v>50</v>
      </c>
      <c r="S2129">
        <v>5</v>
      </c>
      <c r="T2129">
        <v>2</v>
      </c>
      <c r="U2129">
        <v>11</v>
      </c>
      <c r="V2129">
        <v>5</v>
      </c>
      <c r="W2129">
        <v>0</v>
      </c>
      <c r="X2129">
        <v>106</v>
      </c>
      <c r="Y2129">
        <v>6</v>
      </c>
      <c r="Z2129">
        <v>2</v>
      </c>
      <c r="AA2129">
        <v>1</v>
      </c>
      <c r="AB2129">
        <v>5</v>
      </c>
      <c r="AD2129">
        <v>2</v>
      </c>
      <c r="AE2129">
        <v>1</v>
      </c>
      <c r="AF2129">
        <v>0</v>
      </c>
      <c r="AG2129">
        <v>0</v>
      </c>
      <c r="AI2129">
        <v>0</v>
      </c>
      <c r="AJ2129">
        <v>10</v>
      </c>
      <c r="AK2129">
        <v>220</v>
      </c>
      <c r="AL2129">
        <v>220</v>
      </c>
      <c r="AM2129">
        <v>605</v>
      </c>
      <c r="AN2129">
        <v>44</v>
      </c>
      <c r="AP2129">
        <v>1</v>
      </c>
      <c r="AR2129" t="s">
        <v>2220</v>
      </c>
      <c r="AS2129" s="1">
        <v>44353.968055555553</v>
      </c>
      <c r="AT2129" s="1">
        <v>44353.969826388886</v>
      </c>
      <c r="AU2129" s="1">
        <v>44353.970601851855</v>
      </c>
      <c r="AV2129" t="s">
        <v>71</v>
      </c>
      <c r="AW2129" t="s">
        <v>72</v>
      </c>
      <c r="AX2129" t="s">
        <v>73</v>
      </c>
    </row>
    <row r="2130" spans="1:50" x14ac:dyDescent="0.3">
      <c r="A2130" t="str">
        <f>"202365C0100"</f>
        <v>202365C0100</v>
      </c>
      <c r="B2130" t="str">
        <f>"202365C01002"</f>
        <v>202365C01002</v>
      </c>
      <c r="C2130" t="str">
        <f t="shared" si="104"/>
        <v>20</v>
      </c>
      <c r="D2130" t="s">
        <v>67</v>
      </c>
      <c r="E2130" t="str">
        <f t="shared" si="103"/>
        <v>009</v>
      </c>
      <c r="F2130" t="s">
        <v>2003</v>
      </c>
      <c r="G2130" t="str">
        <f>"2365"</f>
        <v>2365</v>
      </c>
      <c r="H2130" t="str">
        <f>"0001"</f>
        <v>0001</v>
      </c>
      <c r="I2130" t="s">
        <v>75</v>
      </c>
      <c r="J2130">
        <v>0</v>
      </c>
      <c r="K2130">
        <v>1</v>
      </c>
      <c r="L2130">
        <v>2</v>
      </c>
      <c r="M2130">
        <v>456</v>
      </c>
      <c r="N2130">
        <v>193</v>
      </c>
      <c r="O2130">
        <v>6</v>
      </c>
      <c r="P2130">
        <v>193</v>
      </c>
      <c r="Q2130">
        <v>9</v>
      </c>
      <c r="R2130">
        <v>61</v>
      </c>
      <c r="S2130">
        <v>3</v>
      </c>
      <c r="T2130">
        <v>3</v>
      </c>
      <c r="U2130">
        <v>7</v>
      </c>
      <c r="V2130">
        <v>0</v>
      </c>
      <c r="W2130">
        <v>0</v>
      </c>
      <c r="X2130">
        <v>84</v>
      </c>
      <c r="Y2130">
        <v>2</v>
      </c>
      <c r="Z2130">
        <v>3</v>
      </c>
      <c r="AA2130">
        <v>3</v>
      </c>
      <c r="AB2130">
        <v>5</v>
      </c>
      <c r="AD2130">
        <v>1</v>
      </c>
      <c r="AE2130">
        <v>1</v>
      </c>
      <c r="AF2130">
        <v>2</v>
      </c>
      <c r="AG2130">
        <v>0</v>
      </c>
      <c r="AI2130">
        <v>0</v>
      </c>
      <c r="AJ2130">
        <v>9</v>
      </c>
      <c r="AK2130">
        <v>193</v>
      </c>
      <c r="AL2130">
        <v>193</v>
      </c>
      <c r="AM2130">
        <v>605</v>
      </c>
      <c r="AN2130">
        <v>44</v>
      </c>
      <c r="AP2130">
        <v>1</v>
      </c>
      <c r="AR2130" t="s">
        <v>2221</v>
      </c>
      <c r="AS2130" s="1">
        <v>44354.009027777778</v>
      </c>
      <c r="AT2130" s="1">
        <v>44354.036782407406</v>
      </c>
      <c r="AU2130" s="1">
        <v>44354.037187499998</v>
      </c>
      <c r="AV2130" t="s">
        <v>71</v>
      </c>
      <c r="AW2130" t="s">
        <v>72</v>
      </c>
      <c r="AX2130" t="s">
        <v>73</v>
      </c>
    </row>
    <row r="2131" spans="1:50" x14ac:dyDescent="0.3">
      <c r="A2131" t="str">
        <f>"202365C0200"</f>
        <v>202365C0200</v>
      </c>
      <c r="B2131" t="str">
        <f>"202365C02002"</f>
        <v>202365C02002</v>
      </c>
      <c r="C2131" t="str">
        <f t="shared" si="104"/>
        <v>20</v>
      </c>
      <c r="D2131" t="s">
        <v>67</v>
      </c>
      <c r="E2131" t="str">
        <f t="shared" si="103"/>
        <v>009</v>
      </c>
      <c r="F2131" t="s">
        <v>2003</v>
      </c>
      <c r="G2131" t="str">
        <f>"2365"</f>
        <v>2365</v>
      </c>
      <c r="H2131" t="str">
        <f>"0002"</f>
        <v>0002</v>
      </c>
      <c r="I2131" t="s">
        <v>75</v>
      </c>
      <c r="J2131">
        <v>0</v>
      </c>
      <c r="K2131">
        <v>1</v>
      </c>
      <c r="L2131">
        <v>2</v>
      </c>
      <c r="M2131">
        <v>417</v>
      </c>
      <c r="N2131">
        <v>232</v>
      </c>
      <c r="O2131">
        <v>5</v>
      </c>
      <c r="P2131">
        <v>232</v>
      </c>
      <c r="Q2131">
        <v>21</v>
      </c>
      <c r="R2131">
        <v>60</v>
      </c>
      <c r="S2131">
        <v>2</v>
      </c>
      <c r="T2131">
        <v>8</v>
      </c>
      <c r="U2131">
        <v>7</v>
      </c>
      <c r="V2131">
        <v>4</v>
      </c>
      <c r="W2131">
        <v>0</v>
      </c>
      <c r="X2131">
        <v>109</v>
      </c>
      <c r="Y2131">
        <v>2</v>
      </c>
      <c r="Z2131">
        <v>0</v>
      </c>
      <c r="AA2131">
        <v>1</v>
      </c>
      <c r="AB2131">
        <v>3</v>
      </c>
      <c r="AD2131">
        <v>2</v>
      </c>
      <c r="AE2131">
        <v>1</v>
      </c>
      <c r="AF2131">
        <v>0</v>
      </c>
      <c r="AG2131">
        <v>0</v>
      </c>
      <c r="AI2131">
        <v>0</v>
      </c>
      <c r="AJ2131">
        <v>12</v>
      </c>
      <c r="AK2131">
        <v>232</v>
      </c>
      <c r="AL2131">
        <v>232</v>
      </c>
      <c r="AM2131">
        <v>605</v>
      </c>
      <c r="AN2131">
        <v>44</v>
      </c>
      <c r="AP2131">
        <v>1</v>
      </c>
      <c r="AR2131" t="s">
        <v>2222</v>
      </c>
      <c r="AS2131" s="1">
        <v>44354.009027777778</v>
      </c>
      <c r="AT2131" s="1">
        <v>44354.015196759261</v>
      </c>
      <c r="AU2131" s="1">
        <v>44354.015810185185</v>
      </c>
      <c r="AV2131" t="s">
        <v>71</v>
      </c>
      <c r="AW2131" t="s">
        <v>72</v>
      </c>
      <c r="AX2131" t="s">
        <v>73</v>
      </c>
    </row>
    <row r="2132" spans="1:50" x14ac:dyDescent="0.3">
      <c r="A2132" t="str">
        <f>"202366B0000"</f>
        <v>202366B0000</v>
      </c>
      <c r="B2132" t="str">
        <f>"202366B00002"</f>
        <v>202366B00002</v>
      </c>
      <c r="C2132" t="str">
        <f t="shared" si="104"/>
        <v>20</v>
      </c>
      <c r="D2132" t="s">
        <v>67</v>
      </c>
      <c r="E2132" t="str">
        <f t="shared" si="103"/>
        <v>009</v>
      </c>
      <c r="F2132" t="s">
        <v>2003</v>
      </c>
      <c r="G2132" t="str">
        <f>"2366"</f>
        <v>2366</v>
      </c>
      <c r="H2132" t="str">
        <f>"0000"</f>
        <v>0000</v>
      </c>
      <c r="I2132" t="s">
        <v>69</v>
      </c>
      <c r="J2132">
        <v>0</v>
      </c>
      <c r="K2132">
        <v>1</v>
      </c>
      <c r="L2132">
        <v>2</v>
      </c>
      <c r="M2132">
        <v>395</v>
      </c>
      <c r="N2132">
        <v>206</v>
      </c>
      <c r="O2132">
        <v>0</v>
      </c>
      <c r="P2132">
        <v>206</v>
      </c>
      <c r="Q2132">
        <v>28</v>
      </c>
      <c r="R2132">
        <v>59</v>
      </c>
      <c r="S2132">
        <v>0</v>
      </c>
      <c r="T2132">
        <v>8</v>
      </c>
      <c r="U2132">
        <v>4</v>
      </c>
      <c r="V2132">
        <v>5</v>
      </c>
      <c r="W2132">
        <v>0</v>
      </c>
      <c r="X2132">
        <v>74</v>
      </c>
      <c r="Y2132">
        <v>3</v>
      </c>
      <c r="Z2132">
        <v>10</v>
      </c>
      <c r="AA2132">
        <v>1</v>
      </c>
      <c r="AB2132">
        <v>3</v>
      </c>
      <c r="AD2132">
        <v>3</v>
      </c>
      <c r="AE2132">
        <v>2</v>
      </c>
      <c r="AF2132">
        <v>1</v>
      </c>
      <c r="AG2132">
        <v>0</v>
      </c>
      <c r="AI2132">
        <v>0</v>
      </c>
      <c r="AJ2132">
        <v>5</v>
      </c>
      <c r="AK2132">
        <v>206</v>
      </c>
      <c r="AL2132">
        <v>206</v>
      </c>
      <c r="AM2132">
        <v>557</v>
      </c>
      <c r="AN2132">
        <v>44</v>
      </c>
      <c r="AP2132">
        <v>1</v>
      </c>
      <c r="AR2132" t="s">
        <v>2223</v>
      </c>
      <c r="AS2132" s="1">
        <v>44354.154861111114</v>
      </c>
      <c r="AT2132" s="1">
        <v>44354.158101851855</v>
      </c>
      <c r="AU2132" s="1">
        <v>44354.158599537041</v>
      </c>
      <c r="AV2132" t="s">
        <v>71</v>
      </c>
      <c r="AW2132" t="s">
        <v>72</v>
      </c>
      <c r="AX2132" t="s">
        <v>73</v>
      </c>
    </row>
    <row r="2133" spans="1:50" x14ac:dyDescent="0.3">
      <c r="A2133" t="str">
        <f>"202366C0100"</f>
        <v>202366C0100</v>
      </c>
      <c r="B2133" t="str">
        <f>"202366C01002"</f>
        <v>202366C01002</v>
      </c>
      <c r="C2133" t="str">
        <f t="shared" si="104"/>
        <v>20</v>
      </c>
      <c r="D2133" t="s">
        <v>67</v>
      </c>
      <c r="E2133" t="str">
        <f t="shared" si="103"/>
        <v>009</v>
      </c>
      <c r="F2133" t="s">
        <v>2003</v>
      </c>
      <c r="G2133" t="str">
        <f>"2366"</f>
        <v>2366</v>
      </c>
      <c r="H2133" t="str">
        <f>"0001"</f>
        <v>0001</v>
      </c>
      <c r="I2133" t="s">
        <v>75</v>
      </c>
      <c r="J2133">
        <v>0</v>
      </c>
      <c r="K2133">
        <v>1</v>
      </c>
      <c r="L2133">
        <v>2</v>
      </c>
      <c r="M2133">
        <v>400</v>
      </c>
      <c r="N2133">
        <v>201</v>
      </c>
      <c r="O2133">
        <v>0</v>
      </c>
      <c r="P2133">
        <v>201</v>
      </c>
      <c r="Q2133">
        <v>26</v>
      </c>
      <c r="R2133">
        <v>55</v>
      </c>
      <c r="S2133">
        <v>2</v>
      </c>
      <c r="T2133">
        <v>4</v>
      </c>
      <c r="U2133">
        <v>4</v>
      </c>
      <c r="V2133">
        <v>3</v>
      </c>
      <c r="W2133">
        <v>1</v>
      </c>
      <c r="X2133">
        <v>88</v>
      </c>
      <c r="Y2133">
        <v>1</v>
      </c>
      <c r="Z2133">
        <v>4</v>
      </c>
      <c r="AA2133">
        <v>0</v>
      </c>
      <c r="AB2133">
        <v>6</v>
      </c>
      <c r="AD2133">
        <v>2</v>
      </c>
      <c r="AE2133">
        <v>0</v>
      </c>
      <c r="AF2133">
        <v>0</v>
      </c>
      <c r="AG2133">
        <v>0</v>
      </c>
      <c r="AI2133">
        <v>0</v>
      </c>
      <c r="AJ2133">
        <v>5</v>
      </c>
      <c r="AK2133">
        <v>201</v>
      </c>
      <c r="AL2133">
        <v>201</v>
      </c>
      <c r="AM2133">
        <v>557</v>
      </c>
      <c r="AN2133">
        <v>44</v>
      </c>
      <c r="AP2133">
        <v>1</v>
      </c>
      <c r="AR2133" t="s">
        <v>2224</v>
      </c>
      <c r="AS2133" s="1">
        <v>44353.969444444447</v>
      </c>
      <c r="AT2133" s="1">
        <v>44353.972916666666</v>
      </c>
      <c r="AU2133" s="1">
        <v>44353.973576388889</v>
      </c>
      <c r="AV2133" t="s">
        <v>71</v>
      </c>
      <c r="AW2133" t="s">
        <v>72</v>
      </c>
      <c r="AX2133" t="s">
        <v>73</v>
      </c>
    </row>
    <row r="2134" spans="1:50" x14ac:dyDescent="0.3">
      <c r="A2134" t="str">
        <f>"202366C0200"</f>
        <v>202366C0200</v>
      </c>
      <c r="B2134" t="str">
        <f>"202366C02002"</f>
        <v>202366C02002</v>
      </c>
      <c r="C2134" t="str">
        <f t="shared" si="104"/>
        <v>20</v>
      </c>
      <c r="D2134" t="s">
        <v>67</v>
      </c>
      <c r="E2134" t="str">
        <f t="shared" si="103"/>
        <v>009</v>
      </c>
      <c r="F2134" t="s">
        <v>2003</v>
      </c>
      <c r="G2134" t="str">
        <f>"2366"</f>
        <v>2366</v>
      </c>
      <c r="H2134" t="str">
        <f>"0002"</f>
        <v>0002</v>
      </c>
      <c r="I2134" t="s">
        <v>75</v>
      </c>
      <c r="J2134">
        <v>0</v>
      </c>
      <c r="K2134">
        <v>1</v>
      </c>
      <c r="L2134">
        <v>2</v>
      </c>
      <c r="M2134">
        <v>384</v>
      </c>
      <c r="N2134">
        <v>216</v>
      </c>
      <c r="O2134">
        <v>0</v>
      </c>
      <c r="P2134">
        <v>216</v>
      </c>
      <c r="Q2134">
        <v>26</v>
      </c>
      <c r="R2134">
        <v>64</v>
      </c>
      <c r="S2134">
        <v>1</v>
      </c>
      <c r="T2134">
        <v>1</v>
      </c>
      <c r="U2134">
        <v>12</v>
      </c>
      <c r="V2134">
        <v>8</v>
      </c>
      <c r="W2134">
        <v>0</v>
      </c>
      <c r="X2134">
        <v>89</v>
      </c>
      <c r="Y2134">
        <v>1</v>
      </c>
      <c r="Z2134">
        <v>3</v>
      </c>
      <c r="AA2134">
        <v>0</v>
      </c>
      <c r="AB2134">
        <v>2</v>
      </c>
      <c r="AD2134">
        <v>2</v>
      </c>
      <c r="AE2134">
        <v>0</v>
      </c>
      <c r="AF2134">
        <v>0</v>
      </c>
      <c r="AG2134">
        <v>0</v>
      </c>
      <c r="AI2134">
        <v>0</v>
      </c>
      <c r="AJ2134">
        <v>7</v>
      </c>
      <c r="AK2134">
        <v>216</v>
      </c>
      <c r="AL2134">
        <v>216</v>
      </c>
      <c r="AM2134">
        <v>556</v>
      </c>
      <c r="AN2134">
        <v>44</v>
      </c>
      <c r="AP2134">
        <v>1</v>
      </c>
      <c r="AR2134" t="s">
        <v>2225</v>
      </c>
      <c r="AS2134" s="1">
        <v>44353.970138888886</v>
      </c>
      <c r="AT2134" s="1">
        <v>44353.97252314815</v>
      </c>
      <c r="AU2134" s="1">
        <v>44353.973703703705</v>
      </c>
      <c r="AV2134" t="s">
        <v>71</v>
      </c>
      <c r="AW2134" t="s">
        <v>72</v>
      </c>
      <c r="AX2134" t="s">
        <v>73</v>
      </c>
    </row>
    <row r="2135" spans="1:50" x14ac:dyDescent="0.3">
      <c r="A2135" t="str">
        <f>"202407B0000"</f>
        <v>202407B0000</v>
      </c>
      <c r="B2135" t="str">
        <f>"202407B00002"</f>
        <v>202407B00002</v>
      </c>
      <c r="C2135" t="str">
        <f t="shared" si="104"/>
        <v>20</v>
      </c>
      <c r="D2135" t="s">
        <v>67</v>
      </c>
      <c r="E2135" t="str">
        <f t="shared" si="103"/>
        <v>009</v>
      </c>
      <c r="F2135" t="s">
        <v>2003</v>
      </c>
      <c r="G2135" t="str">
        <f>"2407"</f>
        <v>2407</v>
      </c>
      <c r="H2135" t="str">
        <f>"0000"</f>
        <v>0000</v>
      </c>
      <c r="I2135" t="s">
        <v>69</v>
      </c>
      <c r="J2135">
        <v>0</v>
      </c>
      <c r="K2135">
        <v>1</v>
      </c>
      <c r="L2135">
        <v>2</v>
      </c>
      <c r="M2135">
        <v>330</v>
      </c>
      <c r="N2135">
        <v>287</v>
      </c>
      <c r="O2135">
        <v>0</v>
      </c>
      <c r="P2135">
        <v>287</v>
      </c>
      <c r="Q2135">
        <v>2</v>
      </c>
      <c r="R2135">
        <v>42</v>
      </c>
      <c r="S2135">
        <v>3</v>
      </c>
      <c r="T2135">
        <v>11</v>
      </c>
      <c r="U2135">
        <v>2</v>
      </c>
      <c r="V2135">
        <v>5</v>
      </c>
      <c r="W2135">
        <v>3</v>
      </c>
      <c r="X2135">
        <v>192</v>
      </c>
      <c r="Y2135">
        <v>0</v>
      </c>
      <c r="Z2135">
        <v>10</v>
      </c>
      <c r="AA2135">
        <v>1</v>
      </c>
      <c r="AB2135">
        <v>2</v>
      </c>
      <c r="AD2135">
        <v>2</v>
      </c>
      <c r="AE2135">
        <v>0</v>
      </c>
      <c r="AF2135">
        <v>0</v>
      </c>
      <c r="AG2135">
        <v>0</v>
      </c>
      <c r="AI2135" t="s">
        <v>77</v>
      </c>
      <c r="AJ2135">
        <v>7</v>
      </c>
      <c r="AK2135">
        <v>287</v>
      </c>
      <c r="AL2135">
        <v>282</v>
      </c>
      <c r="AM2135">
        <v>573</v>
      </c>
      <c r="AN2135">
        <v>44</v>
      </c>
      <c r="AO2135" t="s">
        <v>78</v>
      </c>
      <c r="AP2135">
        <v>1</v>
      </c>
      <c r="AR2135" t="s">
        <v>2226</v>
      </c>
      <c r="AS2135" s="1">
        <v>44353.961111111108</v>
      </c>
      <c r="AT2135" s="1">
        <v>44353.965069444443</v>
      </c>
      <c r="AU2135" s="1">
        <v>44353.966168981482</v>
      </c>
      <c r="AV2135" t="s">
        <v>71</v>
      </c>
      <c r="AW2135" t="s">
        <v>72</v>
      </c>
      <c r="AX2135" t="s">
        <v>73</v>
      </c>
    </row>
    <row r="2136" spans="1:50" x14ac:dyDescent="0.3">
      <c r="A2136" t="str">
        <f>"202407C0100"</f>
        <v>202407C0100</v>
      </c>
      <c r="B2136" t="str">
        <f>"202407C01002"</f>
        <v>202407C01002</v>
      </c>
      <c r="C2136" t="str">
        <f t="shared" si="104"/>
        <v>20</v>
      </c>
      <c r="D2136" t="s">
        <v>67</v>
      </c>
      <c r="E2136" t="str">
        <f t="shared" si="103"/>
        <v>009</v>
      </c>
      <c r="F2136" t="s">
        <v>2003</v>
      </c>
      <c r="G2136" t="str">
        <f>"2407"</f>
        <v>2407</v>
      </c>
      <c r="H2136" t="str">
        <f>"0001"</f>
        <v>0001</v>
      </c>
      <c r="I2136" t="s">
        <v>75</v>
      </c>
      <c r="J2136">
        <v>0</v>
      </c>
      <c r="K2136">
        <v>1</v>
      </c>
      <c r="L2136">
        <v>2</v>
      </c>
      <c r="M2136">
        <v>363</v>
      </c>
      <c r="N2136">
        <v>253</v>
      </c>
      <c r="O2136">
        <v>0</v>
      </c>
      <c r="P2136">
        <v>253</v>
      </c>
      <c r="Q2136">
        <v>2</v>
      </c>
      <c r="R2136">
        <v>44</v>
      </c>
      <c r="S2136">
        <v>4</v>
      </c>
      <c r="T2136">
        <v>10</v>
      </c>
      <c r="U2136">
        <v>2</v>
      </c>
      <c r="V2136">
        <v>4</v>
      </c>
      <c r="W2136">
        <v>2</v>
      </c>
      <c r="X2136">
        <v>167</v>
      </c>
      <c r="Y2136">
        <v>0</v>
      </c>
      <c r="Z2136">
        <v>5</v>
      </c>
      <c r="AA2136">
        <v>1</v>
      </c>
      <c r="AB2136">
        <v>1</v>
      </c>
      <c r="AD2136">
        <v>0</v>
      </c>
      <c r="AE2136">
        <v>0</v>
      </c>
      <c r="AF2136">
        <v>0</v>
      </c>
      <c r="AG2136">
        <v>0</v>
      </c>
      <c r="AI2136">
        <v>0</v>
      </c>
      <c r="AJ2136">
        <v>11</v>
      </c>
      <c r="AK2136">
        <v>253</v>
      </c>
      <c r="AL2136">
        <v>253</v>
      </c>
      <c r="AM2136">
        <v>572</v>
      </c>
      <c r="AN2136">
        <v>44</v>
      </c>
      <c r="AP2136">
        <v>1</v>
      </c>
      <c r="AR2136" t="s">
        <v>2227</v>
      </c>
      <c r="AS2136" s="1">
        <v>44353.889120370368</v>
      </c>
      <c r="AT2136" s="1">
        <v>44353.892152777778</v>
      </c>
      <c r="AU2136" s="1">
        <v>44353.892789351848</v>
      </c>
      <c r="AV2136" t="s">
        <v>269</v>
      </c>
      <c r="AW2136" t="s">
        <v>270</v>
      </c>
      <c r="AX2136" t="s">
        <v>73</v>
      </c>
    </row>
    <row r="2137" spans="1:50" x14ac:dyDescent="0.3">
      <c r="A2137" t="str">
        <f>"202408B0000"</f>
        <v>202408B0000</v>
      </c>
      <c r="B2137" t="str">
        <f>"202408B00002"</f>
        <v>202408B00002</v>
      </c>
      <c r="C2137" t="str">
        <f t="shared" si="104"/>
        <v>20</v>
      </c>
      <c r="D2137" t="s">
        <v>67</v>
      </c>
      <c r="E2137" t="str">
        <f t="shared" si="103"/>
        <v>009</v>
      </c>
      <c r="F2137" t="s">
        <v>2003</v>
      </c>
      <c r="G2137" t="str">
        <f>"2408"</f>
        <v>2408</v>
      </c>
      <c r="H2137" t="str">
        <f>"0000"</f>
        <v>0000</v>
      </c>
      <c r="I2137" t="s">
        <v>69</v>
      </c>
      <c r="J2137">
        <v>0</v>
      </c>
      <c r="K2137">
        <v>1</v>
      </c>
      <c r="L2137">
        <v>2</v>
      </c>
      <c r="M2137">
        <v>324</v>
      </c>
      <c r="N2137" t="s">
        <v>99</v>
      </c>
      <c r="O2137">
        <v>1</v>
      </c>
      <c r="P2137">
        <v>445</v>
      </c>
      <c r="Q2137">
        <v>17</v>
      </c>
      <c r="R2137">
        <v>121</v>
      </c>
      <c r="S2137">
        <v>4</v>
      </c>
      <c r="T2137">
        <v>47</v>
      </c>
      <c r="U2137">
        <v>12</v>
      </c>
      <c r="V2137">
        <v>13</v>
      </c>
      <c r="W2137">
        <v>6</v>
      </c>
      <c r="X2137">
        <v>179</v>
      </c>
      <c r="Y2137">
        <v>14</v>
      </c>
      <c r="Z2137">
        <v>3</v>
      </c>
      <c r="AA2137">
        <v>2</v>
      </c>
      <c r="AB2137">
        <v>14</v>
      </c>
      <c r="AD2137">
        <v>0</v>
      </c>
      <c r="AE2137">
        <v>0</v>
      </c>
      <c r="AF2137">
        <v>0</v>
      </c>
      <c r="AG2137">
        <v>0</v>
      </c>
      <c r="AI2137">
        <v>0</v>
      </c>
      <c r="AJ2137">
        <v>12</v>
      </c>
      <c r="AK2137" t="s">
        <v>99</v>
      </c>
      <c r="AL2137">
        <v>444</v>
      </c>
      <c r="AM2137">
        <v>721</v>
      </c>
      <c r="AN2137">
        <v>44</v>
      </c>
      <c r="AP2137">
        <v>1</v>
      </c>
      <c r="AR2137" t="s">
        <v>2228</v>
      </c>
      <c r="AS2137" s="1">
        <v>44354.114583333336</v>
      </c>
      <c r="AT2137" s="1">
        <v>44354.118020833332</v>
      </c>
      <c r="AU2137" s="1">
        <v>44354.119456018518</v>
      </c>
      <c r="AV2137" t="s">
        <v>71</v>
      </c>
      <c r="AW2137" t="s">
        <v>72</v>
      </c>
      <c r="AX2137" t="s">
        <v>73</v>
      </c>
    </row>
    <row r="2138" spans="1:50" x14ac:dyDescent="0.3">
      <c r="A2138" t="str">
        <f>"202408C0100"</f>
        <v>202408C0100</v>
      </c>
      <c r="B2138" t="str">
        <f>"202408C01002"</f>
        <v>202408C01002</v>
      </c>
      <c r="C2138" t="str">
        <f t="shared" si="104"/>
        <v>20</v>
      </c>
      <c r="D2138" t="s">
        <v>67</v>
      </c>
      <c r="E2138" t="str">
        <f t="shared" si="103"/>
        <v>009</v>
      </c>
      <c r="F2138" t="s">
        <v>2003</v>
      </c>
      <c r="G2138" t="str">
        <f>"2408"</f>
        <v>2408</v>
      </c>
      <c r="H2138" t="str">
        <f>"0001"</f>
        <v>0001</v>
      </c>
      <c r="I2138" t="s">
        <v>75</v>
      </c>
      <c r="J2138">
        <v>0</v>
      </c>
      <c r="K2138">
        <v>1</v>
      </c>
      <c r="L2138">
        <v>2</v>
      </c>
      <c r="M2138">
        <v>318</v>
      </c>
      <c r="N2138">
        <v>447</v>
      </c>
      <c r="O2138">
        <v>6</v>
      </c>
      <c r="P2138">
        <v>446</v>
      </c>
      <c r="Q2138">
        <v>9</v>
      </c>
      <c r="R2138">
        <v>114</v>
      </c>
      <c r="S2138">
        <v>5</v>
      </c>
      <c r="T2138">
        <v>45</v>
      </c>
      <c r="U2138">
        <v>11</v>
      </c>
      <c r="V2138">
        <v>20</v>
      </c>
      <c r="W2138">
        <v>7</v>
      </c>
      <c r="X2138">
        <v>160</v>
      </c>
      <c r="Y2138">
        <v>24</v>
      </c>
      <c r="Z2138">
        <v>10</v>
      </c>
      <c r="AA2138">
        <v>4</v>
      </c>
      <c r="AB2138">
        <v>22</v>
      </c>
      <c r="AD2138" t="s">
        <v>77</v>
      </c>
      <c r="AE2138" t="s">
        <v>77</v>
      </c>
      <c r="AF2138" t="s">
        <v>77</v>
      </c>
      <c r="AG2138" t="s">
        <v>77</v>
      </c>
      <c r="AI2138" t="s">
        <v>77</v>
      </c>
      <c r="AJ2138" t="s">
        <v>77</v>
      </c>
      <c r="AK2138">
        <v>15</v>
      </c>
      <c r="AL2138">
        <v>431</v>
      </c>
      <c r="AM2138">
        <v>721</v>
      </c>
      <c r="AN2138">
        <v>44</v>
      </c>
      <c r="AO2138" t="s">
        <v>78</v>
      </c>
      <c r="AP2138">
        <v>1</v>
      </c>
      <c r="AR2138" t="s">
        <v>2229</v>
      </c>
      <c r="AS2138" s="1">
        <v>44354.111111111109</v>
      </c>
      <c r="AT2138" s="1">
        <v>44354.114247685182</v>
      </c>
      <c r="AU2138" s="1">
        <v>44354.115266203706</v>
      </c>
      <c r="AV2138" t="s">
        <v>71</v>
      </c>
      <c r="AW2138" t="s">
        <v>72</v>
      </c>
      <c r="AX2138" t="s">
        <v>73</v>
      </c>
    </row>
    <row r="2139" spans="1:50" x14ac:dyDescent="0.3">
      <c r="A2139" t="str">
        <f>"202409B0000"</f>
        <v>202409B0000</v>
      </c>
      <c r="B2139" t="str">
        <f>"202409B00002"</f>
        <v>202409B00002</v>
      </c>
      <c r="C2139" t="str">
        <f t="shared" si="104"/>
        <v>20</v>
      </c>
      <c r="D2139" t="s">
        <v>67</v>
      </c>
      <c r="E2139" t="str">
        <f t="shared" si="103"/>
        <v>009</v>
      </c>
      <c r="F2139" t="s">
        <v>2003</v>
      </c>
      <c r="G2139" t="str">
        <f>"2409"</f>
        <v>2409</v>
      </c>
      <c r="H2139" t="str">
        <f>"0000"</f>
        <v>0000</v>
      </c>
      <c r="I2139" t="s">
        <v>69</v>
      </c>
      <c r="J2139">
        <v>0</v>
      </c>
      <c r="K2139">
        <v>1</v>
      </c>
      <c r="L2139">
        <v>2</v>
      </c>
      <c r="M2139">
        <v>255</v>
      </c>
      <c r="N2139">
        <v>345</v>
      </c>
      <c r="O2139">
        <v>4</v>
      </c>
      <c r="P2139" t="s">
        <v>80</v>
      </c>
      <c r="Q2139">
        <v>5</v>
      </c>
      <c r="R2139">
        <v>92</v>
      </c>
      <c r="S2139">
        <v>4</v>
      </c>
      <c r="T2139">
        <v>22</v>
      </c>
      <c r="U2139">
        <v>4</v>
      </c>
      <c r="V2139">
        <v>11</v>
      </c>
      <c r="W2139">
        <v>1</v>
      </c>
      <c r="X2139">
        <v>155</v>
      </c>
      <c r="Y2139">
        <v>14</v>
      </c>
      <c r="Z2139">
        <v>8</v>
      </c>
      <c r="AA2139">
        <v>3</v>
      </c>
      <c r="AB2139">
        <v>11</v>
      </c>
      <c r="AD2139">
        <v>2</v>
      </c>
      <c r="AE2139">
        <v>1</v>
      </c>
      <c r="AF2139" t="s">
        <v>77</v>
      </c>
      <c r="AG2139" t="s">
        <v>77</v>
      </c>
      <c r="AI2139" t="s">
        <v>77</v>
      </c>
      <c r="AJ2139">
        <v>12</v>
      </c>
      <c r="AK2139">
        <v>345</v>
      </c>
      <c r="AL2139">
        <v>345</v>
      </c>
      <c r="AM2139">
        <v>556</v>
      </c>
      <c r="AN2139">
        <v>44</v>
      </c>
      <c r="AO2139" t="s">
        <v>78</v>
      </c>
      <c r="AP2139">
        <v>1</v>
      </c>
      <c r="AR2139" t="s">
        <v>2230</v>
      </c>
      <c r="AS2139" s="1">
        <v>44354.177777777775</v>
      </c>
      <c r="AT2139" s="1">
        <v>44354.181597222225</v>
      </c>
      <c r="AU2139" s="1">
        <v>44354.181956018518</v>
      </c>
      <c r="AV2139" t="s">
        <v>71</v>
      </c>
      <c r="AW2139" t="s">
        <v>72</v>
      </c>
      <c r="AX2139" t="s">
        <v>73</v>
      </c>
    </row>
    <row r="2140" spans="1:50" x14ac:dyDescent="0.3">
      <c r="A2140" t="str">
        <f>"202409C0100"</f>
        <v>202409C0100</v>
      </c>
      <c r="B2140" t="str">
        <f>"202409C01002"</f>
        <v>202409C01002</v>
      </c>
      <c r="C2140" t="str">
        <f t="shared" si="104"/>
        <v>20</v>
      </c>
      <c r="D2140" t="s">
        <v>67</v>
      </c>
      <c r="E2140" t="str">
        <f t="shared" si="103"/>
        <v>009</v>
      </c>
      <c r="F2140" t="s">
        <v>2003</v>
      </c>
      <c r="G2140" t="str">
        <f>"2409"</f>
        <v>2409</v>
      </c>
      <c r="H2140" t="str">
        <f>"0001"</f>
        <v>0001</v>
      </c>
      <c r="I2140" t="s">
        <v>75</v>
      </c>
      <c r="J2140">
        <v>0</v>
      </c>
      <c r="K2140">
        <v>1</v>
      </c>
      <c r="L2140">
        <v>2</v>
      </c>
      <c r="M2140">
        <v>229</v>
      </c>
      <c r="N2140">
        <v>369</v>
      </c>
      <c r="O2140">
        <v>1</v>
      </c>
      <c r="P2140">
        <v>369</v>
      </c>
      <c r="Q2140">
        <v>0</v>
      </c>
      <c r="R2140">
        <v>113</v>
      </c>
      <c r="S2140">
        <v>0</v>
      </c>
      <c r="T2140">
        <v>47</v>
      </c>
      <c r="U2140">
        <v>5</v>
      </c>
      <c r="V2140">
        <v>8</v>
      </c>
      <c r="W2140">
        <v>4</v>
      </c>
      <c r="X2140">
        <v>141</v>
      </c>
      <c r="Y2140">
        <v>14</v>
      </c>
      <c r="Z2140">
        <v>11</v>
      </c>
      <c r="AA2140">
        <v>6</v>
      </c>
      <c r="AB2140">
        <v>12</v>
      </c>
      <c r="AD2140">
        <v>12</v>
      </c>
      <c r="AE2140">
        <v>0</v>
      </c>
      <c r="AF2140">
        <v>0</v>
      </c>
      <c r="AG2140">
        <v>101</v>
      </c>
      <c r="AI2140">
        <v>1</v>
      </c>
      <c r="AJ2140">
        <v>8</v>
      </c>
      <c r="AK2140">
        <v>369</v>
      </c>
      <c r="AL2140">
        <v>483</v>
      </c>
      <c r="AM2140">
        <v>555</v>
      </c>
      <c r="AN2140">
        <v>44</v>
      </c>
      <c r="AP2140">
        <v>1</v>
      </c>
      <c r="AR2140" t="s">
        <v>2231</v>
      </c>
      <c r="AS2140" s="1">
        <v>44354.178472222222</v>
      </c>
      <c r="AT2140" s="1">
        <v>44354.181284722225</v>
      </c>
      <c r="AU2140" s="1">
        <v>44354.18178240741</v>
      </c>
      <c r="AV2140" t="s">
        <v>71</v>
      </c>
      <c r="AW2140" t="s">
        <v>72</v>
      </c>
      <c r="AX2140" t="s">
        <v>73</v>
      </c>
    </row>
    <row r="2141" spans="1:50" x14ac:dyDescent="0.3">
      <c r="A2141" t="str">
        <f>"202409C0200"</f>
        <v>202409C0200</v>
      </c>
      <c r="B2141" t="str">
        <f>"202409C02002"</f>
        <v>202409C02002</v>
      </c>
      <c r="C2141" t="str">
        <f t="shared" si="104"/>
        <v>20</v>
      </c>
      <c r="D2141" t="s">
        <v>67</v>
      </c>
      <c r="E2141" t="str">
        <f t="shared" si="103"/>
        <v>009</v>
      </c>
      <c r="F2141" t="s">
        <v>2003</v>
      </c>
      <c r="G2141" t="str">
        <f>"2409"</f>
        <v>2409</v>
      </c>
      <c r="H2141" t="str">
        <f>"0002"</f>
        <v>0002</v>
      </c>
      <c r="I2141" t="s">
        <v>75</v>
      </c>
      <c r="J2141">
        <v>0</v>
      </c>
      <c r="K2141">
        <v>1</v>
      </c>
      <c r="L2141">
        <v>2</v>
      </c>
      <c r="M2141">
        <v>238</v>
      </c>
      <c r="N2141">
        <v>361</v>
      </c>
      <c r="O2141">
        <v>10</v>
      </c>
      <c r="P2141">
        <v>361</v>
      </c>
      <c r="Q2141">
        <v>11</v>
      </c>
      <c r="R2141">
        <v>83</v>
      </c>
      <c r="S2141">
        <v>3</v>
      </c>
      <c r="T2141">
        <v>42</v>
      </c>
      <c r="U2141">
        <v>7</v>
      </c>
      <c r="V2141">
        <v>9</v>
      </c>
      <c r="W2141">
        <v>1</v>
      </c>
      <c r="X2141">
        <v>140</v>
      </c>
      <c r="Y2141">
        <v>1</v>
      </c>
      <c r="Z2141">
        <v>13</v>
      </c>
      <c r="AA2141">
        <v>7</v>
      </c>
      <c r="AB2141">
        <v>17</v>
      </c>
      <c r="AD2141">
        <v>2</v>
      </c>
      <c r="AE2141">
        <v>1</v>
      </c>
      <c r="AF2141">
        <v>0</v>
      </c>
      <c r="AG2141">
        <v>0</v>
      </c>
      <c r="AI2141">
        <v>0</v>
      </c>
      <c r="AJ2141">
        <v>11</v>
      </c>
      <c r="AK2141">
        <v>361</v>
      </c>
      <c r="AL2141">
        <v>348</v>
      </c>
      <c r="AM2141">
        <v>555</v>
      </c>
      <c r="AN2141">
        <v>44</v>
      </c>
      <c r="AP2141">
        <v>1</v>
      </c>
      <c r="AR2141" s="2" t="s">
        <v>2232</v>
      </c>
      <c r="AS2141" s="1">
        <v>44354.179166666669</v>
      </c>
      <c r="AT2141" s="1">
        <v>44354.182291666664</v>
      </c>
      <c r="AU2141" s="1">
        <v>44354.182939814818</v>
      </c>
      <c r="AV2141" t="s">
        <v>71</v>
      </c>
      <c r="AW2141" t="s">
        <v>72</v>
      </c>
      <c r="AX2141" t="s">
        <v>73</v>
      </c>
    </row>
    <row r="2142" spans="1:50" x14ac:dyDescent="0.3">
      <c r="A2142" t="str">
        <f>"202409S0100"</f>
        <v>202409S0100</v>
      </c>
      <c r="B2142" t="str">
        <f>"202409S01002EMR"</f>
        <v>202409S01002EMR</v>
      </c>
      <c r="C2142" t="str">
        <f t="shared" si="104"/>
        <v>20</v>
      </c>
      <c r="D2142" t="s">
        <v>67</v>
      </c>
      <c r="E2142" t="str">
        <f t="shared" si="103"/>
        <v>009</v>
      </c>
      <c r="F2142" t="s">
        <v>2003</v>
      </c>
      <c r="G2142" t="str">
        <f>"2409"</f>
        <v>2409</v>
      </c>
      <c r="H2142" t="str">
        <f>"0001"</f>
        <v>0001</v>
      </c>
      <c r="I2142" t="s">
        <v>85</v>
      </c>
      <c r="J2142">
        <v>0</v>
      </c>
      <c r="K2142">
        <v>1</v>
      </c>
      <c r="L2142" t="s">
        <v>86</v>
      </c>
      <c r="M2142">
        <v>656</v>
      </c>
      <c r="N2142">
        <v>344</v>
      </c>
      <c r="O2142">
        <v>0</v>
      </c>
      <c r="P2142">
        <v>344</v>
      </c>
      <c r="Q2142">
        <v>7</v>
      </c>
      <c r="R2142">
        <v>61</v>
      </c>
      <c r="S2142">
        <v>1</v>
      </c>
      <c r="T2142">
        <v>16</v>
      </c>
      <c r="U2142">
        <v>13</v>
      </c>
      <c r="V2142">
        <v>7</v>
      </c>
      <c r="W2142">
        <v>2</v>
      </c>
      <c r="X2142">
        <v>202</v>
      </c>
      <c r="Y2142">
        <v>3</v>
      </c>
      <c r="Z2142">
        <v>5</v>
      </c>
      <c r="AA2142">
        <v>3</v>
      </c>
      <c r="AB2142">
        <v>9</v>
      </c>
      <c r="AD2142">
        <v>1</v>
      </c>
      <c r="AE2142">
        <v>1</v>
      </c>
      <c r="AF2142">
        <v>0</v>
      </c>
      <c r="AG2142">
        <v>0</v>
      </c>
      <c r="AI2142">
        <v>0</v>
      </c>
      <c r="AJ2142">
        <v>13</v>
      </c>
      <c r="AK2142">
        <v>344</v>
      </c>
      <c r="AL2142">
        <v>344</v>
      </c>
      <c r="AM2142">
        <v>0</v>
      </c>
      <c r="AN2142">
        <v>44</v>
      </c>
      <c r="AP2142">
        <v>1</v>
      </c>
      <c r="AR2142" t="s">
        <v>2233</v>
      </c>
      <c r="AS2142" s="1">
        <v>44354.630555555559</v>
      </c>
      <c r="AT2142" s="1">
        <v>44354.645162037035</v>
      </c>
      <c r="AU2142" s="1">
        <v>44354.645856481482</v>
      </c>
      <c r="AV2142" t="s">
        <v>71</v>
      </c>
      <c r="AW2142" t="s">
        <v>72</v>
      </c>
      <c r="AX2142" t="s">
        <v>73</v>
      </c>
    </row>
    <row r="2143" spans="1:50" x14ac:dyDescent="0.3">
      <c r="A2143" t="str">
        <f>"202410B0000"</f>
        <v>202410B0000</v>
      </c>
      <c r="B2143" t="str">
        <f>"202410B00002"</f>
        <v>202410B00002</v>
      </c>
      <c r="C2143" t="str">
        <f t="shared" si="104"/>
        <v>20</v>
      </c>
      <c r="D2143" t="s">
        <v>67</v>
      </c>
      <c r="E2143" t="str">
        <f t="shared" si="103"/>
        <v>009</v>
      </c>
      <c r="F2143" t="s">
        <v>2003</v>
      </c>
      <c r="G2143" t="str">
        <f>"2410"</f>
        <v>2410</v>
      </c>
      <c r="H2143" t="str">
        <f>"0000"</f>
        <v>0000</v>
      </c>
      <c r="I2143" t="s">
        <v>69</v>
      </c>
      <c r="J2143">
        <v>0</v>
      </c>
      <c r="K2143">
        <v>1</v>
      </c>
      <c r="L2143">
        <v>2</v>
      </c>
      <c r="M2143">
        <v>298</v>
      </c>
      <c r="N2143">
        <v>454</v>
      </c>
      <c r="O2143">
        <v>5</v>
      </c>
      <c r="P2143" t="s">
        <v>80</v>
      </c>
      <c r="Q2143">
        <v>9</v>
      </c>
      <c r="R2143">
        <v>115</v>
      </c>
      <c r="S2143">
        <v>3</v>
      </c>
      <c r="T2143">
        <v>37</v>
      </c>
      <c r="U2143">
        <v>1</v>
      </c>
      <c r="V2143">
        <v>9</v>
      </c>
      <c r="W2143">
        <v>5</v>
      </c>
      <c r="X2143">
        <v>203</v>
      </c>
      <c r="Y2143">
        <v>33</v>
      </c>
      <c r="Z2143">
        <v>11</v>
      </c>
      <c r="AA2143">
        <v>6</v>
      </c>
      <c r="AB2143">
        <v>9</v>
      </c>
      <c r="AD2143">
        <v>4</v>
      </c>
      <c r="AE2143">
        <v>0</v>
      </c>
      <c r="AF2143">
        <v>0</v>
      </c>
      <c r="AG2143">
        <v>0</v>
      </c>
      <c r="AI2143" t="s">
        <v>77</v>
      </c>
      <c r="AJ2143">
        <v>9</v>
      </c>
      <c r="AK2143">
        <v>454</v>
      </c>
      <c r="AL2143">
        <v>454</v>
      </c>
      <c r="AM2143">
        <v>708</v>
      </c>
      <c r="AN2143">
        <v>44</v>
      </c>
      <c r="AO2143" t="s">
        <v>78</v>
      </c>
      <c r="AP2143">
        <v>1</v>
      </c>
      <c r="AR2143" s="2" t="s">
        <v>2234</v>
      </c>
      <c r="AS2143" s="1">
        <v>44354.17291666667</v>
      </c>
      <c r="AT2143" s="1">
        <v>44354.174351851849</v>
      </c>
      <c r="AU2143" s="1">
        <v>44354.17523148148</v>
      </c>
      <c r="AV2143" t="s">
        <v>71</v>
      </c>
      <c r="AW2143" t="s">
        <v>72</v>
      </c>
      <c r="AX2143" t="s">
        <v>73</v>
      </c>
    </row>
    <row r="2144" spans="1:50" x14ac:dyDescent="0.3">
      <c r="A2144" t="str">
        <f>"202410C0100"</f>
        <v>202410C0100</v>
      </c>
      <c r="B2144" t="str">
        <f>"202410C01002"</f>
        <v>202410C01002</v>
      </c>
      <c r="C2144" t="str">
        <f t="shared" si="104"/>
        <v>20</v>
      </c>
      <c r="D2144" t="s">
        <v>67</v>
      </c>
      <c r="E2144" t="str">
        <f t="shared" si="103"/>
        <v>009</v>
      </c>
      <c r="F2144" t="s">
        <v>2003</v>
      </c>
      <c r="G2144" t="str">
        <f>"2410"</f>
        <v>2410</v>
      </c>
      <c r="H2144" t="str">
        <f>"0001"</f>
        <v>0001</v>
      </c>
      <c r="I2144" t="s">
        <v>75</v>
      </c>
      <c r="J2144">
        <v>0</v>
      </c>
      <c r="K2144">
        <v>1</v>
      </c>
      <c r="L2144">
        <v>2</v>
      </c>
      <c r="M2144">
        <v>351</v>
      </c>
      <c r="N2144">
        <v>400</v>
      </c>
      <c r="O2144">
        <v>0</v>
      </c>
      <c r="P2144">
        <v>400</v>
      </c>
      <c r="Q2144">
        <v>7</v>
      </c>
      <c r="R2144">
        <v>105</v>
      </c>
      <c r="S2144">
        <v>2</v>
      </c>
      <c r="T2144">
        <v>40</v>
      </c>
      <c r="U2144">
        <v>9</v>
      </c>
      <c r="V2144">
        <v>5</v>
      </c>
      <c r="W2144">
        <v>4</v>
      </c>
      <c r="X2144">
        <v>167</v>
      </c>
      <c r="Y2144">
        <v>25</v>
      </c>
      <c r="Z2144">
        <v>3</v>
      </c>
      <c r="AA2144">
        <v>6</v>
      </c>
      <c r="AB2144">
        <v>10</v>
      </c>
      <c r="AD2144">
        <v>3</v>
      </c>
      <c r="AE2144">
        <v>0</v>
      </c>
      <c r="AF2144">
        <v>0</v>
      </c>
      <c r="AG2144">
        <v>0</v>
      </c>
      <c r="AI2144">
        <v>0</v>
      </c>
      <c r="AJ2144">
        <v>14</v>
      </c>
      <c r="AK2144">
        <v>400</v>
      </c>
      <c r="AL2144">
        <v>400</v>
      </c>
      <c r="AM2144">
        <v>707</v>
      </c>
      <c r="AN2144">
        <v>44</v>
      </c>
      <c r="AP2144">
        <v>1</v>
      </c>
      <c r="AR2144" t="s">
        <v>2235</v>
      </c>
      <c r="AS2144" s="1">
        <v>44354.107638888891</v>
      </c>
      <c r="AT2144" s="1">
        <v>44354.110613425924</v>
      </c>
      <c r="AU2144" s="1">
        <v>44354.111388888887</v>
      </c>
      <c r="AV2144" t="s">
        <v>71</v>
      </c>
      <c r="AW2144" t="s">
        <v>72</v>
      </c>
      <c r="AX2144" t="s">
        <v>73</v>
      </c>
    </row>
    <row r="2145" spans="1:50" x14ac:dyDescent="0.3">
      <c r="A2145" t="str">
        <f>"202410C0200"</f>
        <v>202410C0200</v>
      </c>
      <c r="B2145" t="str">
        <f>"202410C02002"</f>
        <v>202410C02002</v>
      </c>
      <c r="C2145" t="str">
        <f t="shared" si="104"/>
        <v>20</v>
      </c>
      <c r="D2145" t="s">
        <v>67</v>
      </c>
      <c r="E2145" t="str">
        <f t="shared" si="103"/>
        <v>009</v>
      </c>
      <c r="F2145" t="s">
        <v>2003</v>
      </c>
      <c r="G2145" t="str">
        <f>"2410"</f>
        <v>2410</v>
      </c>
      <c r="H2145" t="str">
        <f>"0002"</f>
        <v>0002</v>
      </c>
      <c r="I2145" t="s">
        <v>75</v>
      </c>
      <c r="J2145">
        <v>0</v>
      </c>
      <c r="K2145">
        <v>1</v>
      </c>
      <c r="L2145">
        <v>2</v>
      </c>
      <c r="M2145">
        <v>338</v>
      </c>
      <c r="N2145">
        <v>413</v>
      </c>
      <c r="O2145">
        <v>7</v>
      </c>
      <c r="P2145">
        <v>413</v>
      </c>
      <c r="Q2145">
        <v>5</v>
      </c>
      <c r="R2145">
        <v>85</v>
      </c>
      <c r="S2145">
        <v>2</v>
      </c>
      <c r="T2145">
        <v>39</v>
      </c>
      <c r="U2145">
        <v>18</v>
      </c>
      <c r="V2145">
        <v>8</v>
      </c>
      <c r="W2145">
        <v>5</v>
      </c>
      <c r="X2145">
        <v>194</v>
      </c>
      <c r="Y2145">
        <v>26</v>
      </c>
      <c r="Z2145">
        <v>6</v>
      </c>
      <c r="AA2145">
        <v>4</v>
      </c>
      <c r="AB2145">
        <v>7</v>
      </c>
      <c r="AD2145">
        <v>1</v>
      </c>
      <c r="AE2145">
        <v>1</v>
      </c>
      <c r="AF2145">
        <v>1</v>
      </c>
      <c r="AG2145">
        <v>0</v>
      </c>
      <c r="AI2145">
        <v>0</v>
      </c>
      <c r="AJ2145">
        <v>11</v>
      </c>
      <c r="AK2145">
        <v>413</v>
      </c>
      <c r="AL2145">
        <v>413</v>
      </c>
      <c r="AM2145">
        <v>707</v>
      </c>
      <c r="AN2145">
        <v>44</v>
      </c>
      <c r="AP2145">
        <v>1</v>
      </c>
      <c r="AR2145" t="s">
        <v>2236</v>
      </c>
      <c r="AS2145" s="1">
        <v>44354.12777777778</v>
      </c>
      <c r="AT2145" s="1">
        <v>44354.131967592592</v>
      </c>
      <c r="AU2145" s="1">
        <v>44354.134212962963</v>
      </c>
      <c r="AV2145" t="s">
        <v>71</v>
      </c>
      <c r="AW2145" t="s">
        <v>72</v>
      </c>
      <c r="AX2145" t="s">
        <v>73</v>
      </c>
    </row>
    <row r="2146" spans="1:50" x14ac:dyDescent="0.3">
      <c r="A2146" t="str">
        <f>"202410C0300"</f>
        <v>202410C0300</v>
      </c>
      <c r="B2146" t="str">
        <f>"202410C03002"</f>
        <v>202410C03002</v>
      </c>
      <c r="C2146" t="str">
        <f t="shared" si="104"/>
        <v>20</v>
      </c>
      <c r="D2146" t="s">
        <v>67</v>
      </c>
      <c r="E2146" t="str">
        <f t="shared" si="103"/>
        <v>009</v>
      </c>
      <c r="F2146" t="s">
        <v>2003</v>
      </c>
      <c r="G2146" t="str">
        <f>"2410"</f>
        <v>2410</v>
      </c>
      <c r="H2146" t="str">
        <f>"0003"</f>
        <v>0003</v>
      </c>
      <c r="I2146" t="s">
        <v>75</v>
      </c>
      <c r="J2146">
        <v>0</v>
      </c>
      <c r="K2146">
        <v>1</v>
      </c>
      <c r="L2146">
        <v>2</v>
      </c>
      <c r="M2146">
        <v>333</v>
      </c>
      <c r="N2146">
        <v>418</v>
      </c>
      <c r="O2146">
        <v>4</v>
      </c>
      <c r="P2146">
        <v>418</v>
      </c>
      <c r="Q2146">
        <v>6</v>
      </c>
      <c r="R2146">
        <v>101</v>
      </c>
      <c r="S2146">
        <v>1</v>
      </c>
      <c r="T2146">
        <v>40</v>
      </c>
      <c r="U2146">
        <v>6</v>
      </c>
      <c r="V2146">
        <v>9</v>
      </c>
      <c r="W2146">
        <v>4</v>
      </c>
      <c r="X2146">
        <v>193</v>
      </c>
      <c r="Y2146">
        <v>24</v>
      </c>
      <c r="Z2146">
        <v>6</v>
      </c>
      <c r="AA2146">
        <v>8</v>
      </c>
      <c r="AB2146">
        <v>7</v>
      </c>
      <c r="AD2146" t="s">
        <v>77</v>
      </c>
      <c r="AE2146" t="s">
        <v>77</v>
      </c>
      <c r="AF2146" t="s">
        <v>77</v>
      </c>
      <c r="AG2146" t="s">
        <v>77</v>
      </c>
      <c r="AI2146" t="s">
        <v>77</v>
      </c>
      <c r="AJ2146">
        <v>13</v>
      </c>
      <c r="AK2146">
        <v>418</v>
      </c>
      <c r="AL2146">
        <v>418</v>
      </c>
      <c r="AM2146">
        <v>707</v>
      </c>
      <c r="AN2146">
        <v>44</v>
      </c>
      <c r="AO2146" t="s">
        <v>78</v>
      </c>
      <c r="AP2146">
        <v>1</v>
      </c>
      <c r="AR2146" t="s">
        <v>2237</v>
      </c>
      <c r="AS2146" s="1">
        <v>44354.115972222222</v>
      </c>
      <c r="AT2146" s="1">
        <v>44354.119432870371</v>
      </c>
      <c r="AU2146" s="1">
        <v>44354.119872685187</v>
      </c>
      <c r="AV2146" t="s">
        <v>71</v>
      </c>
      <c r="AW2146" t="s">
        <v>72</v>
      </c>
      <c r="AX2146" t="s">
        <v>73</v>
      </c>
    </row>
    <row r="2147" spans="1:50" x14ac:dyDescent="0.3">
      <c r="A2147" t="str">
        <f>"202411B0000"</f>
        <v>202411B0000</v>
      </c>
      <c r="B2147" t="str">
        <f>"202411B00002"</f>
        <v>202411B00002</v>
      </c>
      <c r="C2147" t="str">
        <f t="shared" si="104"/>
        <v>20</v>
      </c>
      <c r="D2147" t="s">
        <v>67</v>
      </c>
      <c r="E2147" t="str">
        <f t="shared" si="103"/>
        <v>009</v>
      </c>
      <c r="F2147" t="s">
        <v>2003</v>
      </c>
      <c r="G2147" t="str">
        <f>"2411"</f>
        <v>2411</v>
      </c>
      <c r="H2147" t="str">
        <f>"0000"</f>
        <v>0000</v>
      </c>
      <c r="I2147" t="s">
        <v>69</v>
      </c>
      <c r="J2147">
        <v>0</v>
      </c>
      <c r="K2147">
        <v>1</v>
      </c>
      <c r="L2147">
        <v>2</v>
      </c>
      <c r="M2147">
        <v>269</v>
      </c>
      <c r="N2147">
        <v>395</v>
      </c>
      <c r="O2147">
        <v>0</v>
      </c>
      <c r="P2147">
        <v>395</v>
      </c>
      <c r="Q2147">
        <v>6</v>
      </c>
      <c r="R2147">
        <v>90</v>
      </c>
      <c r="S2147">
        <v>5</v>
      </c>
      <c r="T2147">
        <v>34</v>
      </c>
      <c r="U2147">
        <v>11</v>
      </c>
      <c r="V2147">
        <v>13</v>
      </c>
      <c r="W2147">
        <v>2</v>
      </c>
      <c r="X2147">
        <v>192</v>
      </c>
      <c r="Y2147">
        <v>16</v>
      </c>
      <c r="Z2147">
        <v>2</v>
      </c>
      <c r="AA2147">
        <v>5</v>
      </c>
      <c r="AB2147">
        <v>4</v>
      </c>
      <c r="AD2147">
        <v>0</v>
      </c>
      <c r="AE2147">
        <v>0</v>
      </c>
      <c r="AF2147">
        <v>0</v>
      </c>
      <c r="AG2147">
        <v>0</v>
      </c>
      <c r="AI2147">
        <v>0</v>
      </c>
      <c r="AJ2147">
        <v>15</v>
      </c>
      <c r="AK2147">
        <v>395</v>
      </c>
      <c r="AL2147">
        <v>395</v>
      </c>
      <c r="AM2147">
        <v>620</v>
      </c>
      <c r="AN2147">
        <v>44</v>
      </c>
      <c r="AP2147">
        <v>1</v>
      </c>
      <c r="AR2147" t="s">
        <v>2238</v>
      </c>
      <c r="AS2147" s="1">
        <v>44354.120138888888</v>
      </c>
      <c r="AT2147" s="1">
        <v>44354.122546296298</v>
      </c>
      <c r="AU2147" s="1">
        <v>44354.123020833336</v>
      </c>
      <c r="AV2147" t="s">
        <v>71</v>
      </c>
      <c r="AW2147" t="s">
        <v>72</v>
      </c>
      <c r="AX2147" t="s">
        <v>73</v>
      </c>
    </row>
    <row r="2148" spans="1:50" x14ac:dyDescent="0.3">
      <c r="A2148" t="str">
        <f>"202411C0100"</f>
        <v>202411C0100</v>
      </c>
      <c r="B2148" t="str">
        <f>"202411C01002"</f>
        <v>202411C01002</v>
      </c>
      <c r="C2148" t="str">
        <f t="shared" si="104"/>
        <v>20</v>
      </c>
      <c r="D2148" t="s">
        <v>67</v>
      </c>
      <c r="E2148" t="str">
        <f t="shared" si="103"/>
        <v>009</v>
      </c>
      <c r="F2148" t="s">
        <v>2003</v>
      </c>
      <c r="G2148" t="str">
        <f>"2411"</f>
        <v>2411</v>
      </c>
      <c r="H2148" t="str">
        <f>"0001"</f>
        <v>0001</v>
      </c>
      <c r="I2148" t="s">
        <v>75</v>
      </c>
      <c r="J2148">
        <v>0</v>
      </c>
      <c r="K2148">
        <v>1</v>
      </c>
      <c r="L2148">
        <v>2</v>
      </c>
      <c r="M2148">
        <v>294</v>
      </c>
      <c r="N2148">
        <v>370</v>
      </c>
      <c r="O2148">
        <v>3</v>
      </c>
      <c r="P2148">
        <v>370</v>
      </c>
      <c r="Q2148">
        <v>13</v>
      </c>
      <c r="R2148">
        <v>65</v>
      </c>
      <c r="S2148">
        <v>2</v>
      </c>
      <c r="T2148">
        <v>50</v>
      </c>
      <c r="U2148">
        <v>7</v>
      </c>
      <c r="V2148">
        <v>6</v>
      </c>
      <c r="W2148">
        <v>3</v>
      </c>
      <c r="X2148">
        <v>170</v>
      </c>
      <c r="Y2148">
        <v>13</v>
      </c>
      <c r="Z2148">
        <v>8</v>
      </c>
      <c r="AA2148">
        <v>5</v>
      </c>
      <c r="AB2148">
        <v>11</v>
      </c>
      <c r="AD2148">
        <v>5</v>
      </c>
      <c r="AE2148">
        <v>0</v>
      </c>
      <c r="AF2148">
        <v>0</v>
      </c>
      <c r="AG2148">
        <v>0</v>
      </c>
      <c r="AI2148">
        <v>0</v>
      </c>
      <c r="AJ2148">
        <v>12</v>
      </c>
      <c r="AK2148">
        <v>370</v>
      </c>
      <c r="AL2148">
        <v>370</v>
      </c>
      <c r="AM2148">
        <v>620</v>
      </c>
      <c r="AN2148">
        <v>44</v>
      </c>
      <c r="AP2148">
        <v>1</v>
      </c>
      <c r="AR2148" t="s">
        <v>2239</v>
      </c>
      <c r="AS2148" s="1">
        <v>44354.120833333334</v>
      </c>
      <c r="AT2148" s="1">
        <v>44354.123437499999</v>
      </c>
      <c r="AU2148" s="1">
        <v>44354.123877314814</v>
      </c>
      <c r="AV2148" t="s">
        <v>71</v>
      </c>
      <c r="AW2148" t="s">
        <v>72</v>
      </c>
      <c r="AX2148" t="s">
        <v>73</v>
      </c>
    </row>
    <row r="2149" spans="1:50" x14ac:dyDescent="0.3">
      <c r="A2149" t="str">
        <f>"202411C0200"</f>
        <v>202411C0200</v>
      </c>
      <c r="B2149" t="str">
        <f>"202411C02002"</f>
        <v>202411C02002</v>
      </c>
      <c r="C2149" t="str">
        <f t="shared" si="104"/>
        <v>20</v>
      </c>
      <c r="D2149" t="s">
        <v>67</v>
      </c>
      <c r="E2149" t="str">
        <f t="shared" si="103"/>
        <v>009</v>
      </c>
      <c r="F2149" t="s">
        <v>2003</v>
      </c>
      <c r="G2149" t="str">
        <f>"2411"</f>
        <v>2411</v>
      </c>
      <c r="H2149" t="str">
        <f>"0002"</f>
        <v>0002</v>
      </c>
      <c r="I2149" t="s">
        <v>75</v>
      </c>
      <c r="J2149">
        <v>0</v>
      </c>
      <c r="K2149">
        <v>1</v>
      </c>
      <c r="L2149">
        <v>2</v>
      </c>
      <c r="M2149">
        <v>284</v>
      </c>
      <c r="N2149">
        <v>370</v>
      </c>
      <c r="O2149">
        <v>2</v>
      </c>
      <c r="P2149">
        <v>370</v>
      </c>
      <c r="Q2149">
        <v>7</v>
      </c>
      <c r="R2149">
        <v>66</v>
      </c>
      <c r="S2149">
        <v>2</v>
      </c>
      <c r="T2149">
        <v>43</v>
      </c>
      <c r="U2149">
        <v>14</v>
      </c>
      <c r="V2149">
        <v>8</v>
      </c>
      <c r="W2149">
        <v>6</v>
      </c>
      <c r="X2149">
        <v>183</v>
      </c>
      <c r="Y2149">
        <v>12</v>
      </c>
      <c r="Z2149">
        <v>6</v>
      </c>
      <c r="AA2149">
        <v>4</v>
      </c>
      <c r="AB2149">
        <v>4</v>
      </c>
      <c r="AD2149">
        <v>3</v>
      </c>
      <c r="AE2149">
        <v>1</v>
      </c>
      <c r="AF2149">
        <v>0</v>
      </c>
      <c r="AG2149">
        <v>0</v>
      </c>
      <c r="AI2149">
        <v>0</v>
      </c>
      <c r="AJ2149">
        <v>11</v>
      </c>
      <c r="AK2149">
        <v>370</v>
      </c>
      <c r="AL2149">
        <v>370</v>
      </c>
      <c r="AM2149">
        <v>620</v>
      </c>
      <c r="AN2149">
        <v>44</v>
      </c>
      <c r="AP2149">
        <v>1</v>
      </c>
      <c r="AR2149" t="s">
        <v>2240</v>
      </c>
      <c r="AS2149" s="1">
        <v>44354.124305555553</v>
      </c>
      <c r="AT2149" s="1">
        <v>44354.126712962963</v>
      </c>
      <c r="AU2149" s="1">
        <v>44354.130752314813</v>
      </c>
      <c r="AV2149" t="s">
        <v>71</v>
      </c>
      <c r="AW2149" t="s">
        <v>72</v>
      </c>
      <c r="AX2149" t="s">
        <v>73</v>
      </c>
    </row>
    <row r="2150" spans="1:50" x14ac:dyDescent="0.3">
      <c r="A2150" t="str">
        <f>"202411C0300"</f>
        <v>202411C0300</v>
      </c>
      <c r="B2150" t="str">
        <f>"202411C03002"</f>
        <v>202411C03002</v>
      </c>
      <c r="C2150" t="str">
        <f t="shared" si="104"/>
        <v>20</v>
      </c>
      <c r="D2150" t="s">
        <v>67</v>
      </c>
      <c r="E2150" t="str">
        <f t="shared" si="103"/>
        <v>009</v>
      </c>
      <c r="F2150" t="s">
        <v>2003</v>
      </c>
      <c r="G2150" t="str">
        <f>"2411"</f>
        <v>2411</v>
      </c>
      <c r="H2150" t="str">
        <f>"0003"</f>
        <v>0003</v>
      </c>
      <c r="I2150" t="s">
        <v>75</v>
      </c>
      <c r="J2150">
        <v>0</v>
      </c>
      <c r="K2150">
        <v>1</v>
      </c>
      <c r="L2150">
        <v>2</v>
      </c>
      <c r="M2150">
        <v>270</v>
      </c>
      <c r="N2150">
        <v>394</v>
      </c>
      <c r="O2150">
        <v>2</v>
      </c>
      <c r="P2150">
        <v>394</v>
      </c>
      <c r="Q2150">
        <v>12</v>
      </c>
      <c r="R2150">
        <v>78</v>
      </c>
      <c r="S2150">
        <v>1</v>
      </c>
      <c r="T2150">
        <v>34</v>
      </c>
      <c r="U2150">
        <v>10</v>
      </c>
      <c r="V2150">
        <v>14</v>
      </c>
      <c r="W2150">
        <v>3</v>
      </c>
      <c r="X2150">
        <v>193</v>
      </c>
      <c r="Y2150">
        <v>12</v>
      </c>
      <c r="Z2150">
        <v>9</v>
      </c>
      <c r="AA2150">
        <v>9</v>
      </c>
      <c r="AB2150">
        <v>9</v>
      </c>
      <c r="AD2150">
        <v>2</v>
      </c>
      <c r="AE2150">
        <v>1</v>
      </c>
      <c r="AF2150">
        <v>0</v>
      </c>
      <c r="AG2150">
        <v>0</v>
      </c>
      <c r="AI2150">
        <v>0</v>
      </c>
      <c r="AJ2150">
        <v>7</v>
      </c>
      <c r="AK2150">
        <v>394</v>
      </c>
      <c r="AL2150">
        <v>394</v>
      </c>
      <c r="AM2150">
        <v>620</v>
      </c>
      <c r="AN2150">
        <v>44</v>
      </c>
      <c r="AP2150">
        <v>1</v>
      </c>
      <c r="AR2150" t="s">
        <v>2241</v>
      </c>
      <c r="AS2150" s="1">
        <v>44354.126388888886</v>
      </c>
      <c r="AT2150" s="1">
        <v>44354.129571759258</v>
      </c>
      <c r="AU2150" s="1">
        <v>44354.130231481482</v>
      </c>
      <c r="AV2150" t="s">
        <v>71</v>
      </c>
      <c r="AW2150" t="s">
        <v>72</v>
      </c>
      <c r="AX2150" t="s">
        <v>73</v>
      </c>
    </row>
    <row r="2151" spans="1:50" x14ac:dyDescent="0.3">
      <c r="A2151" t="str">
        <f>"202417B0000"</f>
        <v>202417B0000</v>
      </c>
      <c r="B2151" t="str">
        <f>"202417B00002"</f>
        <v>202417B00002</v>
      </c>
      <c r="C2151" t="str">
        <f t="shared" si="104"/>
        <v>20</v>
      </c>
      <c r="D2151" t="s">
        <v>67</v>
      </c>
      <c r="E2151" t="str">
        <f t="shared" si="103"/>
        <v>009</v>
      </c>
      <c r="F2151" t="s">
        <v>2003</v>
      </c>
      <c r="G2151" t="str">
        <f>"2417"</f>
        <v>2417</v>
      </c>
      <c r="H2151" t="str">
        <f>"0000"</f>
        <v>0000</v>
      </c>
      <c r="I2151" t="s">
        <v>69</v>
      </c>
      <c r="J2151">
        <v>0</v>
      </c>
      <c r="K2151">
        <v>1</v>
      </c>
      <c r="L2151">
        <v>2</v>
      </c>
      <c r="M2151">
        <v>428</v>
      </c>
      <c r="N2151">
        <v>220</v>
      </c>
      <c r="O2151">
        <v>0</v>
      </c>
      <c r="P2151">
        <v>220</v>
      </c>
      <c r="Q2151">
        <v>1</v>
      </c>
      <c r="R2151">
        <v>10</v>
      </c>
      <c r="S2151">
        <v>5</v>
      </c>
      <c r="T2151">
        <v>3</v>
      </c>
      <c r="U2151">
        <v>6</v>
      </c>
      <c r="V2151">
        <v>1</v>
      </c>
      <c r="W2151">
        <v>2</v>
      </c>
      <c r="X2151">
        <v>179</v>
      </c>
      <c r="Y2151">
        <v>0</v>
      </c>
      <c r="Z2151">
        <v>0</v>
      </c>
      <c r="AA2151">
        <v>0</v>
      </c>
      <c r="AB2151">
        <v>0</v>
      </c>
      <c r="AD2151">
        <v>0</v>
      </c>
      <c r="AE2151">
        <v>0</v>
      </c>
      <c r="AF2151">
        <v>0</v>
      </c>
      <c r="AG2151">
        <v>0</v>
      </c>
      <c r="AI2151">
        <v>0</v>
      </c>
      <c r="AJ2151">
        <v>13</v>
      </c>
      <c r="AK2151">
        <v>220</v>
      </c>
      <c r="AL2151">
        <v>220</v>
      </c>
      <c r="AM2151">
        <v>604</v>
      </c>
      <c r="AN2151">
        <v>44</v>
      </c>
      <c r="AP2151">
        <v>1</v>
      </c>
      <c r="AR2151" t="s">
        <v>2242</v>
      </c>
      <c r="AS2151" s="1">
        <v>44354.12222222222</v>
      </c>
      <c r="AT2151" s="1">
        <v>44354.123981481483</v>
      </c>
      <c r="AU2151" s="1">
        <v>44354.124467592592</v>
      </c>
      <c r="AV2151" t="s">
        <v>71</v>
      </c>
      <c r="AW2151" t="s">
        <v>72</v>
      </c>
      <c r="AX2151" t="s">
        <v>73</v>
      </c>
    </row>
    <row r="2152" spans="1:50" x14ac:dyDescent="0.3">
      <c r="A2152" t="str">
        <f>"202418B0000"</f>
        <v>202418B0000</v>
      </c>
      <c r="B2152" t="str">
        <f>"202418B00002"</f>
        <v>202418B00002</v>
      </c>
      <c r="C2152" t="str">
        <f t="shared" si="104"/>
        <v>20</v>
      </c>
      <c r="D2152" t="s">
        <v>67</v>
      </c>
      <c r="E2152" t="str">
        <f t="shared" si="103"/>
        <v>009</v>
      </c>
      <c r="F2152" t="s">
        <v>2003</v>
      </c>
      <c r="G2152" t="str">
        <f>"2418"</f>
        <v>2418</v>
      </c>
      <c r="H2152" t="str">
        <f>"0000"</f>
        <v>0000</v>
      </c>
      <c r="I2152" t="s">
        <v>69</v>
      </c>
      <c r="J2152">
        <v>0</v>
      </c>
      <c r="K2152">
        <v>1</v>
      </c>
      <c r="L2152">
        <v>2</v>
      </c>
      <c r="M2152">
        <v>308</v>
      </c>
      <c r="N2152">
        <v>169</v>
      </c>
      <c r="O2152">
        <v>0</v>
      </c>
      <c r="P2152">
        <v>169</v>
      </c>
      <c r="Q2152">
        <v>3</v>
      </c>
      <c r="R2152">
        <v>19</v>
      </c>
      <c r="S2152">
        <v>2</v>
      </c>
      <c r="T2152">
        <v>0</v>
      </c>
      <c r="U2152">
        <v>2</v>
      </c>
      <c r="V2152">
        <v>1</v>
      </c>
      <c r="W2152">
        <v>0</v>
      </c>
      <c r="X2152">
        <v>129</v>
      </c>
      <c r="Y2152">
        <v>1</v>
      </c>
      <c r="Z2152">
        <v>2</v>
      </c>
      <c r="AA2152">
        <v>0</v>
      </c>
      <c r="AB2152">
        <v>2</v>
      </c>
      <c r="AD2152">
        <v>0</v>
      </c>
      <c r="AE2152">
        <v>0</v>
      </c>
      <c r="AF2152">
        <v>0</v>
      </c>
      <c r="AG2152">
        <v>0</v>
      </c>
      <c r="AI2152">
        <v>0</v>
      </c>
      <c r="AJ2152">
        <v>7</v>
      </c>
      <c r="AK2152">
        <v>169</v>
      </c>
      <c r="AL2152">
        <v>168</v>
      </c>
      <c r="AM2152">
        <v>432</v>
      </c>
      <c r="AN2152">
        <v>44</v>
      </c>
      <c r="AP2152">
        <v>1</v>
      </c>
      <c r="AR2152" t="s">
        <v>2243</v>
      </c>
      <c r="AS2152" s="1">
        <v>44354.122916666667</v>
      </c>
      <c r="AT2152" s="1">
        <v>44354.124907407408</v>
      </c>
      <c r="AU2152" s="1">
        <v>44354.125231481485</v>
      </c>
      <c r="AV2152" t="s">
        <v>71</v>
      </c>
      <c r="AW2152" t="s">
        <v>72</v>
      </c>
      <c r="AX2152" t="s">
        <v>73</v>
      </c>
    </row>
    <row r="2153" spans="1:50" x14ac:dyDescent="0.3">
      <c r="A2153" t="str">
        <f>"202418C0100"</f>
        <v>202418C0100</v>
      </c>
      <c r="B2153" t="str">
        <f>"202418C01002"</f>
        <v>202418C01002</v>
      </c>
      <c r="C2153" t="str">
        <f t="shared" si="104"/>
        <v>20</v>
      </c>
      <c r="D2153" t="s">
        <v>67</v>
      </c>
      <c r="E2153" t="str">
        <f t="shared" si="103"/>
        <v>009</v>
      </c>
      <c r="F2153" t="s">
        <v>2003</v>
      </c>
      <c r="G2153" t="str">
        <f>"2418"</f>
        <v>2418</v>
      </c>
      <c r="H2153" t="str">
        <f>"0001"</f>
        <v>0001</v>
      </c>
      <c r="I2153" t="s">
        <v>75</v>
      </c>
      <c r="J2153">
        <v>0</v>
      </c>
      <c r="K2153">
        <v>1</v>
      </c>
      <c r="L2153">
        <v>2</v>
      </c>
      <c r="M2153">
        <v>337</v>
      </c>
      <c r="N2153">
        <v>138</v>
      </c>
      <c r="O2153">
        <v>138</v>
      </c>
      <c r="P2153" t="s">
        <v>80</v>
      </c>
      <c r="Q2153">
        <v>0</v>
      </c>
      <c r="R2153">
        <v>21</v>
      </c>
      <c r="S2153">
        <v>2</v>
      </c>
      <c r="T2153">
        <v>0</v>
      </c>
      <c r="U2153">
        <v>4</v>
      </c>
      <c r="V2153">
        <v>1</v>
      </c>
      <c r="W2153">
        <v>3</v>
      </c>
      <c r="X2153">
        <v>95</v>
      </c>
      <c r="Y2153">
        <v>1</v>
      </c>
      <c r="Z2153">
        <v>1</v>
      </c>
      <c r="AA2153">
        <v>2</v>
      </c>
      <c r="AB2153">
        <v>2</v>
      </c>
      <c r="AD2153">
        <v>1</v>
      </c>
      <c r="AE2153">
        <v>0</v>
      </c>
      <c r="AF2153">
        <v>0</v>
      </c>
      <c r="AG2153">
        <v>0</v>
      </c>
      <c r="AI2153">
        <v>0</v>
      </c>
      <c r="AJ2153">
        <v>5</v>
      </c>
      <c r="AK2153">
        <v>138</v>
      </c>
      <c r="AL2153">
        <v>138</v>
      </c>
      <c r="AM2153">
        <v>432</v>
      </c>
      <c r="AN2153">
        <v>44</v>
      </c>
      <c r="AP2153">
        <v>1</v>
      </c>
      <c r="AR2153" t="s">
        <v>2244</v>
      </c>
      <c r="AS2153" s="1">
        <v>44354.123611111114</v>
      </c>
      <c r="AT2153" s="1">
        <v>44354.125810185185</v>
      </c>
      <c r="AU2153" s="1">
        <v>44354.126180555555</v>
      </c>
      <c r="AV2153" t="s">
        <v>71</v>
      </c>
      <c r="AW2153" t="s">
        <v>72</v>
      </c>
      <c r="AX2153" t="s">
        <v>73</v>
      </c>
    </row>
    <row r="2154" spans="1:50" x14ac:dyDescent="0.3">
      <c r="A2154" t="str">
        <f>"200039B0000"</f>
        <v>200039B0000</v>
      </c>
      <c r="B2154" t="str">
        <f>"200039B00002"</f>
        <v>200039B00002</v>
      </c>
      <c r="C2154" t="str">
        <f t="shared" si="104"/>
        <v>20</v>
      </c>
      <c r="D2154" t="s">
        <v>67</v>
      </c>
      <c r="E2154" t="str">
        <f t="shared" ref="E2154:E2217" si="105">"010"</f>
        <v>010</v>
      </c>
      <c r="F2154" t="s">
        <v>2245</v>
      </c>
      <c r="G2154" t="str">
        <f>"0039"</f>
        <v>0039</v>
      </c>
      <c r="H2154" t="str">
        <f>"0000"</f>
        <v>0000</v>
      </c>
      <c r="I2154" t="s">
        <v>69</v>
      </c>
      <c r="J2154">
        <v>0</v>
      </c>
      <c r="K2154">
        <v>1</v>
      </c>
      <c r="L2154">
        <v>2</v>
      </c>
      <c r="M2154">
        <v>390</v>
      </c>
      <c r="N2154">
        <v>355</v>
      </c>
      <c r="O2154">
        <v>5</v>
      </c>
      <c r="P2154">
        <v>355</v>
      </c>
      <c r="Q2154">
        <v>2</v>
      </c>
      <c r="R2154">
        <v>8</v>
      </c>
      <c r="S2154">
        <v>2</v>
      </c>
      <c r="T2154">
        <v>9</v>
      </c>
      <c r="U2154">
        <v>142</v>
      </c>
      <c r="V2154">
        <v>37</v>
      </c>
      <c r="W2154">
        <v>2</v>
      </c>
      <c r="X2154">
        <v>123</v>
      </c>
      <c r="Y2154">
        <v>1</v>
      </c>
      <c r="Z2154">
        <v>7</v>
      </c>
      <c r="AA2154">
        <v>1</v>
      </c>
      <c r="AB2154">
        <v>3</v>
      </c>
      <c r="AD2154">
        <v>0</v>
      </c>
      <c r="AE2154">
        <v>1</v>
      </c>
      <c r="AF2154">
        <v>0</v>
      </c>
      <c r="AG2154">
        <v>0</v>
      </c>
      <c r="AH2154">
        <v>0</v>
      </c>
      <c r="AI2154">
        <v>0</v>
      </c>
      <c r="AJ2154">
        <v>17</v>
      </c>
      <c r="AK2154">
        <v>355</v>
      </c>
      <c r="AL2154">
        <v>355</v>
      </c>
      <c r="AM2154">
        <v>701</v>
      </c>
      <c r="AN2154">
        <v>44</v>
      </c>
      <c r="AP2154">
        <v>1</v>
      </c>
      <c r="AR2154" t="s">
        <v>2246</v>
      </c>
      <c r="AS2154" s="1">
        <v>44354.080555555556</v>
      </c>
      <c r="AT2154" s="1">
        <v>44354.087592592594</v>
      </c>
      <c r="AU2154" s="1">
        <v>44354.088368055556</v>
      </c>
      <c r="AV2154" t="s">
        <v>71</v>
      </c>
      <c r="AW2154" t="s">
        <v>72</v>
      </c>
      <c r="AX2154" t="s">
        <v>73</v>
      </c>
    </row>
    <row r="2155" spans="1:50" x14ac:dyDescent="0.3">
      <c r="A2155" t="str">
        <f>"200040B0000"</f>
        <v>200040B0000</v>
      </c>
      <c r="B2155" t="str">
        <f>"200040B00002"</f>
        <v>200040B00002</v>
      </c>
      <c r="C2155" t="str">
        <f t="shared" si="104"/>
        <v>20</v>
      </c>
      <c r="D2155" t="s">
        <v>67</v>
      </c>
      <c r="E2155" t="str">
        <f t="shared" si="105"/>
        <v>010</v>
      </c>
      <c r="F2155" t="s">
        <v>2245</v>
      </c>
      <c r="G2155" t="str">
        <f>"0040"</f>
        <v>0040</v>
      </c>
      <c r="H2155" t="str">
        <f>"0000"</f>
        <v>0000</v>
      </c>
      <c r="I2155" t="s">
        <v>69</v>
      </c>
      <c r="J2155">
        <v>0</v>
      </c>
      <c r="K2155">
        <v>1</v>
      </c>
      <c r="L2155">
        <v>2</v>
      </c>
      <c r="M2155">
        <v>159</v>
      </c>
      <c r="N2155">
        <v>116</v>
      </c>
      <c r="O2155">
        <v>4</v>
      </c>
      <c r="P2155">
        <v>116</v>
      </c>
      <c r="Q2155">
        <v>1</v>
      </c>
      <c r="R2155">
        <v>13</v>
      </c>
      <c r="S2155">
        <v>6</v>
      </c>
      <c r="T2155">
        <v>6</v>
      </c>
      <c r="U2155">
        <v>49</v>
      </c>
      <c r="V2155">
        <v>5</v>
      </c>
      <c r="W2155" t="s">
        <v>77</v>
      </c>
      <c r="X2155">
        <v>20</v>
      </c>
      <c r="Y2155" t="s">
        <v>77</v>
      </c>
      <c r="Z2155">
        <v>1</v>
      </c>
      <c r="AA2155" t="s">
        <v>77</v>
      </c>
      <c r="AB2155" t="s">
        <v>77</v>
      </c>
      <c r="AD2155" t="s">
        <v>77</v>
      </c>
      <c r="AE2155">
        <v>2</v>
      </c>
      <c r="AF2155" t="s">
        <v>77</v>
      </c>
      <c r="AG2155" t="s">
        <v>77</v>
      </c>
      <c r="AH2155">
        <v>4</v>
      </c>
      <c r="AI2155" t="s">
        <v>77</v>
      </c>
      <c r="AJ2155">
        <v>9</v>
      </c>
      <c r="AK2155">
        <v>116</v>
      </c>
      <c r="AL2155">
        <v>116</v>
      </c>
      <c r="AM2155">
        <v>231</v>
      </c>
      <c r="AN2155">
        <v>44</v>
      </c>
      <c r="AO2155" t="s">
        <v>78</v>
      </c>
      <c r="AP2155">
        <v>1</v>
      </c>
      <c r="AR2155" t="s">
        <v>2247</v>
      </c>
      <c r="AS2155" s="1">
        <v>44354.071527777778</v>
      </c>
      <c r="AT2155" s="1">
        <v>44354.081076388888</v>
      </c>
      <c r="AU2155" s="1">
        <v>44354.081724537034</v>
      </c>
      <c r="AV2155" t="s">
        <v>71</v>
      </c>
      <c r="AW2155" t="s">
        <v>72</v>
      </c>
      <c r="AX2155" t="s">
        <v>73</v>
      </c>
    </row>
    <row r="2156" spans="1:50" x14ac:dyDescent="0.3">
      <c r="A2156" t="str">
        <f>"200040E0100"</f>
        <v>200040E0100</v>
      </c>
      <c r="B2156" t="str">
        <f>"200040E01002"</f>
        <v>200040E01002</v>
      </c>
      <c r="C2156" t="str">
        <f t="shared" si="104"/>
        <v>20</v>
      </c>
      <c r="D2156" t="s">
        <v>67</v>
      </c>
      <c r="E2156" t="str">
        <f t="shared" si="105"/>
        <v>010</v>
      </c>
      <c r="F2156" t="s">
        <v>2245</v>
      </c>
      <c r="G2156" t="str">
        <f>"0040"</f>
        <v>0040</v>
      </c>
      <c r="H2156" t="str">
        <f>"0001"</f>
        <v>0001</v>
      </c>
      <c r="I2156" t="s">
        <v>109</v>
      </c>
      <c r="J2156">
        <v>0</v>
      </c>
      <c r="K2156">
        <v>1</v>
      </c>
      <c r="L2156">
        <v>2</v>
      </c>
      <c r="M2156">
        <v>170</v>
      </c>
      <c r="N2156">
        <v>104</v>
      </c>
      <c r="O2156">
        <v>3</v>
      </c>
      <c r="P2156" t="s">
        <v>80</v>
      </c>
      <c r="Q2156">
        <v>1</v>
      </c>
      <c r="R2156">
        <v>9</v>
      </c>
      <c r="S2156">
        <v>0</v>
      </c>
      <c r="T2156">
        <v>14</v>
      </c>
      <c r="U2156">
        <v>34</v>
      </c>
      <c r="V2156">
        <v>3</v>
      </c>
      <c r="W2156">
        <v>1</v>
      </c>
      <c r="X2156">
        <v>26</v>
      </c>
      <c r="Y2156">
        <v>1</v>
      </c>
      <c r="Z2156">
        <v>2</v>
      </c>
      <c r="AA2156">
        <v>1</v>
      </c>
      <c r="AB2156">
        <v>1</v>
      </c>
      <c r="AD2156">
        <v>0</v>
      </c>
      <c r="AE2156">
        <v>0</v>
      </c>
      <c r="AF2156">
        <v>0</v>
      </c>
      <c r="AG2156">
        <v>0</v>
      </c>
      <c r="AH2156">
        <v>3</v>
      </c>
      <c r="AI2156">
        <v>0</v>
      </c>
      <c r="AJ2156">
        <v>8</v>
      </c>
      <c r="AK2156">
        <v>104</v>
      </c>
      <c r="AL2156">
        <v>104</v>
      </c>
      <c r="AM2156">
        <v>230</v>
      </c>
      <c r="AN2156">
        <v>44</v>
      </c>
      <c r="AP2156">
        <v>1</v>
      </c>
      <c r="AR2156" t="s">
        <v>2248</v>
      </c>
      <c r="AS2156" s="1">
        <v>44354.056944444441</v>
      </c>
      <c r="AT2156" s="1">
        <v>44354.0627662037</v>
      </c>
      <c r="AU2156" s="1">
        <v>44354.063194444447</v>
      </c>
      <c r="AV2156" t="s">
        <v>71</v>
      </c>
      <c r="AW2156" t="s">
        <v>72</v>
      </c>
      <c r="AX2156" t="s">
        <v>73</v>
      </c>
    </row>
    <row r="2157" spans="1:50" x14ac:dyDescent="0.3">
      <c r="A2157" t="str">
        <f>"200041B0000"</f>
        <v>200041B0000</v>
      </c>
      <c r="B2157" t="str">
        <f>"200041B00002"</f>
        <v>200041B00002</v>
      </c>
      <c r="C2157" t="str">
        <f t="shared" si="104"/>
        <v>20</v>
      </c>
      <c r="D2157" t="s">
        <v>67</v>
      </c>
      <c r="E2157" t="str">
        <f t="shared" si="105"/>
        <v>010</v>
      </c>
      <c r="F2157" t="s">
        <v>2245</v>
      </c>
      <c r="G2157" t="str">
        <f>"0041"</f>
        <v>0041</v>
      </c>
      <c r="H2157" t="str">
        <f>"0000"</f>
        <v>0000</v>
      </c>
      <c r="I2157" t="s">
        <v>69</v>
      </c>
      <c r="J2157">
        <v>0</v>
      </c>
      <c r="K2157">
        <v>1</v>
      </c>
      <c r="L2157">
        <v>2</v>
      </c>
      <c r="M2157">
        <v>445</v>
      </c>
      <c r="N2157">
        <v>206</v>
      </c>
      <c r="O2157">
        <v>0</v>
      </c>
      <c r="P2157">
        <v>206</v>
      </c>
      <c r="Q2157">
        <v>4</v>
      </c>
      <c r="R2157">
        <v>13</v>
      </c>
      <c r="S2157">
        <v>3</v>
      </c>
      <c r="T2157">
        <v>4</v>
      </c>
      <c r="U2157">
        <v>61</v>
      </c>
      <c r="V2157">
        <v>22</v>
      </c>
      <c r="W2157">
        <v>0</v>
      </c>
      <c r="X2157">
        <v>71</v>
      </c>
      <c r="Y2157">
        <v>0</v>
      </c>
      <c r="Z2157">
        <v>4</v>
      </c>
      <c r="AA2157">
        <v>4</v>
      </c>
      <c r="AB2157">
        <v>4</v>
      </c>
      <c r="AD2157">
        <v>0</v>
      </c>
      <c r="AE2157">
        <v>0</v>
      </c>
      <c r="AF2157">
        <v>0</v>
      </c>
      <c r="AG2157">
        <v>0</v>
      </c>
      <c r="AH2157">
        <v>1</v>
      </c>
      <c r="AI2157">
        <v>0</v>
      </c>
      <c r="AJ2157">
        <v>14</v>
      </c>
      <c r="AK2157">
        <v>206</v>
      </c>
      <c r="AL2157">
        <v>205</v>
      </c>
      <c r="AM2157">
        <v>607</v>
      </c>
      <c r="AN2157">
        <v>44</v>
      </c>
      <c r="AP2157">
        <v>1</v>
      </c>
      <c r="AR2157" t="s">
        <v>2249</v>
      </c>
      <c r="AS2157" s="1">
        <v>44354.061805555553</v>
      </c>
      <c r="AT2157" s="1">
        <v>44354.067557870374</v>
      </c>
      <c r="AU2157" s="1">
        <v>44354.067870370367</v>
      </c>
      <c r="AV2157" t="s">
        <v>71</v>
      </c>
      <c r="AW2157" t="s">
        <v>72</v>
      </c>
      <c r="AX2157" t="s">
        <v>73</v>
      </c>
    </row>
    <row r="2158" spans="1:50" x14ac:dyDescent="0.3">
      <c r="A2158" t="str">
        <f>"200454B0000"</f>
        <v>200454B0000</v>
      </c>
      <c r="B2158" t="str">
        <f>"200454B00002"</f>
        <v>200454B00002</v>
      </c>
      <c r="C2158" t="str">
        <f t="shared" si="104"/>
        <v>20</v>
      </c>
      <c r="D2158" t="s">
        <v>67</v>
      </c>
      <c r="E2158" t="str">
        <f t="shared" si="105"/>
        <v>010</v>
      </c>
      <c r="F2158" t="s">
        <v>2245</v>
      </c>
      <c r="G2158" t="str">
        <f>"0454"</f>
        <v>0454</v>
      </c>
      <c r="H2158" t="str">
        <f>"0000"</f>
        <v>0000</v>
      </c>
      <c r="I2158" t="s">
        <v>69</v>
      </c>
      <c r="J2158">
        <v>0</v>
      </c>
      <c r="K2158">
        <v>1</v>
      </c>
      <c r="L2158">
        <v>2</v>
      </c>
      <c r="AM2158">
        <v>414</v>
      </c>
      <c r="AN2158">
        <v>44</v>
      </c>
      <c r="AO2158" t="s">
        <v>143</v>
      </c>
      <c r="AP2158">
        <v>0</v>
      </c>
      <c r="AR2158" t="s">
        <v>2250</v>
      </c>
      <c r="AS2158" s="1">
        <v>44353.805555555555</v>
      </c>
      <c r="AT2158" s="1">
        <v>44354.806168981479</v>
      </c>
      <c r="AU2158" s="1">
        <v>44354.806168981479</v>
      </c>
      <c r="AV2158" t="s">
        <v>71</v>
      </c>
      <c r="AW2158" t="s">
        <v>72</v>
      </c>
      <c r="AX2158" t="s">
        <v>73</v>
      </c>
    </row>
    <row r="2159" spans="1:50" x14ac:dyDescent="0.3">
      <c r="A2159" t="str">
        <f>"200454C0100"</f>
        <v>200454C0100</v>
      </c>
      <c r="B2159" t="str">
        <f>"200454C01002"</f>
        <v>200454C01002</v>
      </c>
      <c r="C2159" t="str">
        <f t="shared" si="104"/>
        <v>20</v>
      </c>
      <c r="D2159" t="s">
        <v>67</v>
      </c>
      <c r="E2159" t="str">
        <f t="shared" si="105"/>
        <v>010</v>
      </c>
      <c r="F2159" t="s">
        <v>2245</v>
      </c>
      <c r="G2159" t="str">
        <f>"0454"</f>
        <v>0454</v>
      </c>
      <c r="H2159" t="str">
        <f>"0001"</f>
        <v>0001</v>
      </c>
      <c r="I2159" t="s">
        <v>75</v>
      </c>
      <c r="J2159">
        <v>0</v>
      </c>
      <c r="K2159">
        <v>1</v>
      </c>
      <c r="L2159">
        <v>2</v>
      </c>
      <c r="M2159">
        <v>338</v>
      </c>
      <c r="N2159">
        <v>119</v>
      </c>
      <c r="O2159">
        <v>2</v>
      </c>
      <c r="P2159">
        <v>119</v>
      </c>
      <c r="Q2159">
        <v>12</v>
      </c>
      <c r="R2159">
        <v>54</v>
      </c>
      <c r="S2159">
        <v>0</v>
      </c>
      <c r="T2159">
        <v>4</v>
      </c>
      <c r="U2159">
        <v>14</v>
      </c>
      <c r="V2159">
        <v>0</v>
      </c>
      <c r="W2159">
        <v>1</v>
      </c>
      <c r="X2159">
        <v>22</v>
      </c>
      <c r="Y2159">
        <v>2</v>
      </c>
      <c r="Z2159">
        <v>4</v>
      </c>
      <c r="AA2159">
        <v>0</v>
      </c>
      <c r="AB2159">
        <v>1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5</v>
      </c>
      <c r="AK2159">
        <v>119</v>
      </c>
      <c r="AL2159">
        <v>119</v>
      </c>
      <c r="AM2159">
        <v>413</v>
      </c>
      <c r="AN2159">
        <v>44</v>
      </c>
      <c r="AP2159">
        <v>1</v>
      </c>
      <c r="AR2159" t="s">
        <v>2251</v>
      </c>
      <c r="AS2159" s="1">
        <v>44354.07916666667</v>
      </c>
      <c r="AT2159" s="1">
        <v>44354.086076388892</v>
      </c>
      <c r="AU2159" s="1">
        <v>44354.086388888885</v>
      </c>
      <c r="AV2159" t="s">
        <v>71</v>
      </c>
      <c r="AW2159" t="s">
        <v>72</v>
      </c>
      <c r="AX2159" t="s">
        <v>73</v>
      </c>
    </row>
    <row r="2160" spans="1:50" x14ac:dyDescent="0.3">
      <c r="A2160" t="str">
        <f>"200454E0100"</f>
        <v>200454E0100</v>
      </c>
      <c r="B2160" t="str">
        <f>"200454E01002"</f>
        <v>200454E01002</v>
      </c>
      <c r="C2160" t="str">
        <f t="shared" si="104"/>
        <v>20</v>
      </c>
      <c r="D2160" t="s">
        <v>67</v>
      </c>
      <c r="E2160" t="str">
        <f t="shared" si="105"/>
        <v>010</v>
      </c>
      <c r="F2160" t="s">
        <v>2245</v>
      </c>
      <c r="G2160" t="str">
        <f>"0454"</f>
        <v>0454</v>
      </c>
      <c r="H2160" t="str">
        <f>"0001"</f>
        <v>0001</v>
      </c>
      <c r="I2160" t="s">
        <v>109</v>
      </c>
      <c r="J2160">
        <v>0</v>
      </c>
      <c r="K2160">
        <v>1</v>
      </c>
      <c r="L2160">
        <v>2</v>
      </c>
      <c r="M2160">
        <v>338</v>
      </c>
      <c r="N2160">
        <v>238</v>
      </c>
      <c r="O2160">
        <v>3</v>
      </c>
      <c r="P2160">
        <v>238</v>
      </c>
      <c r="Q2160">
        <v>0</v>
      </c>
      <c r="R2160">
        <v>10</v>
      </c>
      <c r="S2160">
        <v>2</v>
      </c>
      <c r="T2160">
        <v>5</v>
      </c>
      <c r="U2160">
        <v>36</v>
      </c>
      <c r="V2160">
        <v>2</v>
      </c>
      <c r="W2160">
        <v>26</v>
      </c>
      <c r="X2160">
        <v>136</v>
      </c>
      <c r="Y2160">
        <v>1</v>
      </c>
      <c r="Z2160">
        <v>3</v>
      </c>
      <c r="AA2160">
        <v>1</v>
      </c>
      <c r="AB2160">
        <v>3</v>
      </c>
      <c r="AD2160">
        <v>0</v>
      </c>
      <c r="AE2160">
        <v>0</v>
      </c>
      <c r="AF2160">
        <v>0</v>
      </c>
      <c r="AG2160">
        <v>0</v>
      </c>
      <c r="AH2160">
        <v>1</v>
      </c>
      <c r="AI2160">
        <v>0</v>
      </c>
      <c r="AJ2160">
        <v>12</v>
      </c>
      <c r="AK2160">
        <v>238</v>
      </c>
      <c r="AL2160">
        <v>238</v>
      </c>
      <c r="AM2160">
        <v>532</v>
      </c>
      <c r="AN2160">
        <v>44</v>
      </c>
      <c r="AP2160">
        <v>1</v>
      </c>
      <c r="AR2160" t="s">
        <v>2252</v>
      </c>
      <c r="AS2160" s="1">
        <v>44354.078472222223</v>
      </c>
      <c r="AT2160" s="1">
        <v>44354.084849537037</v>
      </c>
      <c r="AU2160" s="1">
        <v>44354.086006944446</v>
      </c>
      <c r="AV2160" t="s">
        <v>71</v>
      </c>
      <c r="AW2160" t="s">
        <v>72</v>
      </c>
      <c r="AX2160" t="s">
        <v>73</v>
      </c>
    </row>
    <row r="2161" spans="1:50" x14ac:dyDescent="0.3">
      <c r="A2161" t="str">
        <f>"200455B0000"</f>
        <v>200455B0000</v>
      </c>
      <c r="B2161" t="str">
        <f>"200455B00002"</f>
        <v>200455B00002</v>
      </c>
      <c r="C2161" t="str">
        <f t="shared" si="104"/>
        <v>20</v>
      </c>
      <c r="D2161" t="s">
        <v>67</v>
      </c>
      <c r="E2161" t="str">
        <f t="shared" si="105"/>
        <v>010</v>
      </c>
      <c r="F2161" t="s">
        <v>2245</v>
      </c>
      <c r="G2161" t="str">
        <f>"0455"</f>
        <v>0455</v>
      </c>
      <c r="H2161" t="str">
        <f>"0000"</f>
        <v>0000</v>
      </c>
      <c r="I2161" t="s">
        <v>69</v>
      </c>
      <c r="J2161">
        <v>0</v>
      </c>
      <c r="K2161">
        <v>1</v>
      </c>
      <c r="L2161">
        <v>2</v>
      </c>
      <c r="M2161">
        <v>275</v>
      </c>
      <c r="N2161">
        <v>175</v>
      </c>
      <c r="O2161">
        <v>6</v>
      </c>
      <c r="P2161">
        <v>175</v>
      </c>
      <c r="Q2161">
        <v>4</v>
      </c>
      <c r="R2161">
        <v>11</v>
      </c>
      <c r="S2161">
        <v>2</v>
      </c>
      <c r="T2161">
        <v>0</v>
      </c>
      <c r="U2161">
        <v>38</v>
      </c>
      <c r="V2161">
        <v>6</v>
      </c>
      <c r="W2161">
        <v>3</v>
      </c>
      <c r="X2161">
        <v>97</v>
      </c>
      <c r="Y2161">
        <v>0</v>
      </c>
      <c r="Z2161">
        <v>0</v>
      </c>
      <c r="AA2161">
        <v>0</v>
      </c>
      <c r="AB2161">
        <v>9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5</v>
      </c>
      <c r="AK2161">
        <v>175</v>
      </c>
      <c r="AL2161">
        <v>175</v>
      </c>
      <c r="AM2161">
        <v>406</v>
      </c>
      <c r="AN2161">
        <v>44</v>
      </c>
      <c r="AP2161">
        <v>1</v>
      </c>
      <c r="AR2161" t="s">
        <v>2253</v>
      </c>
      <c r="AS2161" s="1">
        <v>44354.077777777777</v>
      </c>
      <c r="AT2161" s="1">
        <v>44354.084062499998</v>
      </c>
      <c r="AU2161" s="1">
        <v>44354.085023148145</v>
      </c>
      <c r="AV2161" t="s">
        <v>71</v>
      </c>
      <c r="AW2161" t="s">
        <v>72</v>
      </c>
      <c r="AX2161" t="s">
        <v>73</v>
      </c>
    </row>
    <row r="2162" spans="1:50" x14ac:dyDescent="0.3">
      <c r="A2162" t="str">
        <f>"201117B0000"</f>
        <v>201117B0000</v>
      </c>
      <c r="B2162" t="str">
        <f>"201117B00002"</f>
        <v>201117B00002</v>
      </c>
      <c r="C2162" t="str">
        <f t="shared" si="104"/>
        <v>20</v>
      </c>
      <c r="D2162" t="s">
        <v>67</v>
      </c>
      <c r="E2162" t="str">
        <f t="shared" si="105"/>
        <v>010</v>
      </c>
      <c r="F2162" t="s">
        <v>2245</v>
      </c>
      <c r="G2162" t="str">
        <f>"1117"</f>
        <v>1117</v>
      </c>
      <c r="H2162" t="str">
        <f>"0000"</f>
        <v>0000</v>
      </c>
      <c r="I2162" t="s">
        <v>69</v>
      </c>
      <c r="J2162">
        <v>0</v>
      </c>
      <c r="K2162">
        <v>1</v>
      </c>
      <c r="L2162">
        <v>2</v>
      </c>
      <c r="M2162">
        <v>344</v>
      </c>
      <c r="N2162">
        <v>231</v>
      </c>
      <c r="O2162">
        <v>0</v>
      </c>
      <c r="P2162">
        <v>231</v>
      </c>
      <c r="Q2162">
        <v>1</v>
      </c>
      <c r="R2162">
        <v>84</v>
      </c>
      <c r="S2162">
        <v>1</v>
      </c>
      <c r="T2162">
        <v>7</v>
      </c>
      <c r="U2162">
        <v>21</v>
      </c>
      <c r="V2162">
        <v>1</v>
      </c>
      <c r="W2162">
        <v>3</v>
      </c>
      <c r="X2162">
        <v>93</v>
      </c>
      <c r="Y2162">
        <v>1</v>
      </c>
      <c r="Z2162">
        <v>3</v>
      </c>
      <c r="AA2162">
        <v>2</v>
      </c>
      <c r="AB2162">
        <v>2</v>
      </c>
      <c r="AD2162">
        <v>0</v>
      </c>
      <c r="AE2162">
        <v>1</v>
      </c>
      <c r="AF2162">
        <v>0</v>
      </c>
      <c r="AG2162">
        <v>1</v>
      </c>
      <c r="AH2162">
        <v>0</v>
      </c>
      <c r="AI2162">
        <v>0</v>
      </c>
      <c r="AJ2162">
        <v>10</v>
      </c>
      <c r="AK2162">
        <v>231</v>
      </c>
      <c r="AL2162">
        <v>231</v>
      </c>
      <c r="AM2162">
        <v>531</v>
      </c>
      <c r="AN2162">
        <v>44</v>
      </c>
      <c r="AP2162">
        <v>1</v>
      </c>
      <c r="AR2162" t="s">
        <v>2254</v>
      </c>
      <c r="AS2162" s="1">
        <v>44354.083333333336</v>
      </c>
      <c r="AT2162" s="1">
        <v>44354.09</v>
      </c>
      <c r="AU2162" s="1">
        <v>44354.090370370373</v>
      </c>
      <c r="AV2162" t="s">
        <v>71</v>
      </c>
      <c r="AW2162" t="s">
        <v>72</v>
      </c>
      <c r="AX2162" t="s">
        <v>73</v>
      </c>
    </row>
    <row r="2163" spans="1:50" x14ac:dyDescent="0.3">
      <c r="A2163" t="str">
        <f>"201117E0100"</f>
        <v>201117E0100</v>
      </c>
      <c r="B2163" t="str">
        <f>"201117E01002"</f>
        <v>201117E01002</v>
      </c>
      <c r="C2163" t="str">
        <f t="shared" si="104"/>
        <v>20</v>
      </c>
      <c r="D2163" t="s">
        <v>67</v>
      </c>
      <c r="E2163" t="str">
        <f t="shared" si="105"/>
        <v>010</v>
      </c>
      <c r="F2163" t="s">
        <v>2245</v>
      </c>
      <c r="G2163" t="str">
        <f>"1117"</f>
        <v>1117</v>
      </c>
      <c r="H2163" t="str">
        <f>"0001"</f>
        <v>0001</v>
      </c>
      <c r="I2163" t="s">
        <v>109</v>
      </c>
      <c r="J2163">
        <v>0</v>
      </c>
      <c r="K2163">
        <v>1</v>
      </c>
      <c r="L2163">
        <v>2</v>
      </c>
      <c r="M2163">
        <v>388</v>
      </c>
      <c r="N2163">
        <v>175</v>
      </c>
      <c r="O2163" t="s">
        <v>80</v>
      </c>
      <c r="P2163">
        <v>175</v>
      </c>
      <c r="Q2163">
        <v>2</v>
      </c>
      <c r="R2163">
        <v>22</v>
      </c>
      <c r="S2163">
        <v>1</v>
      </c>
      <c r="T2163">
        <v>2</v>
      </c>
      <c r="U2163">
        <v>20</v>
      </c>
      <c r="V2163">
        <v>0</v>
      </c>
      <c r="W2163">
        <v>5</v>
      </c>
      <c r="X2163">
        <v>103</v>
      </c>
      <c r="Y2163">
        <v>3</v>
      </c>
      <c r="Z2163">
        <v>7</v>
      </c>
      <c r="AA2163">
        <v>4</v>
      </c>
      <c r="AB2163">
        <v>2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1</v>
      </c>
      <c r="AJ2163">
        <v>3</v>
      </c>
      <c r="AK2163">
        <v>175</v>
      </c>
      <c r="AL2163">
        <v>175</v>
      </c>
      <c r="AM2163">
        <v>519</v>
      </c>
      <c r="AN2163">
        <v>44</v>
      </c>
      <c r="AP2163">
        <v>1</v>
      </c>
      <c r="AR2163" t="s">
        <v>2255</v>
      </c>
      <c r="AS2163" s="1">
        <v>44354.084027777775</v>
      </c>
      <c r="AT2163" s="1">
        <v>44354.089803240742</v>
      </c>
      <c r="AU2163" s="1">
        <v>44354.090312499997</v>
      </c>
      <c r="AV2163" t="s">
        <v>71</v>
      </c>
      <c r="AW2163" t="s">
        <v>72</v>
      </c>
      <c r="AX2163" t="s">
        <v>73</v>
      </c>
    </row>
    <row r="2164" spans="1:50" x14ac:dyDescent="0.3">
      <c r="A2164" t="str">
        <f>"201118B0000"</f>
        <v>201118B0000</v>
      </c>
      <c r="B2164" t="str">
        <f>"201118B00002"</f>
        <v>201118B00002</v>
      </c>
      <c r="C2164" t="str">
        <f t="shared" si="104"/>
        <v>20</v>
      </c>
      <c r="D2164" t="s">
        <v>67</v>
      </c>
      <c r="E2164" t="str">
        <f t="shared" si="105"/>
        <v>010</v>
      </c>
      <c r="F2164" t="s">
        <v>2245</v>
      </c>
      <c r="G2164" t="str">
        <f>"1118"</f>
        <v>1118</v>
      </c>
      <c r="H2164" t="str">
        <f>"0000"</f>
        <v>0000</v>
      </c>
      <c r="I2164" t="s">
        <v>69</v>
      </c>
      <c r="J2164">
        <v>0</v>
      </c>
      <c r="K2164">
        <v>1</v>
      </c>
      <c r="L2164">
        <v>2</v>
      </c>
      <c r="M2164">
        <v>412</v>
      </c>
      <c r="N2164">
        <v>92</v>
      </c>
      <c r="O2164">
        <v>0</v>
      </c>
      <c r="P2164">
        <v>92</v>
      </c>
      <c r="Q2164">
        <v>1</v>
      </c>
      <c r="R2164">
        <v>8</v>
      </c>
      <c r="S2164">
        <v>5</v>
      </c>
      <c r="T2164">
        <v>2</v>
      </c>
      <c r="U2164">
        <v>49</v>
      </c>
      <c r="V2164">
        <v>3</v>
      </c>
      <c r="W2164">
        <v>2</v>
      </c>
      <c r="X2164">
        <v>13</v>
      </c>
      <c r="Y2164">
        <v>0</v>
      </c>
      <c r="Z2164">
        <v>0</v>
      </c>
      <c r="AA2164">
        <v>2</v>
      </c>
      <c r="AB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7</v>
      </c>
      <c r="AK2164">
        <v>92</v>
      </c>
      <c r="AL2164">
        <v>92</v>
      </c>
      <c r="AM2164">
        <v>460</v>
      </c>
      <c r="AN2164">
        <v>44</v>
      </c>
      <c r="AP2164">
        <v>1</v>
      </c>
      <c r="AR2164" t="s">
        <v>2256</v>
      </c>
      <c r="AS2164" s="1">
        <v>44354.081944444442</v>
      </c>
      <c r="AT2164" s="1">
        <v>44354.088865740741</v>
      </c>
      <c r="AU2164" s="1">
        <v>44354.089768518519</v>
      </c>
      <c r="AV2164" t="s">
        <v>71</v>
      </c>
      <c r="AW2164" t="s">
        <v>72</v>
      </c>
      <c r="AX2164" t="s">
        <v>73</v>
      </c>
    </row>
    <row r="2165" spans="1:50" x14ac:dyDescent="0.3">
      <c r="A2165" t="str">
        <f>"201118C0100"</f>
        <v>201118C0100</v>
      </c>
      <c r="B2165" t="str">
        <f>"201118C01002"</f>
        <v>201118C01002</v>
      </c>
      <c r="C2165" t="str">
        <f t="shared" si="104"/>
        <v>20</v>
      </c>
      <c r="D2165" t="s">
        <v>67</v>
      </c>
      <c r="E2165" t="str">
        <f t="shared" si="105"/>
        <v>010</v>
      </c>
      <c r="F2165" t="s">
        <v>2245</v>
      </c>
      <c r="G2165" t="str">
        <f>"1118"</f>
        <v>1118</v>
      </c>
      <c r="H2165" t="str">
        <f>"0001"</f>
        <v>0001</v>
      </c>
      <c r="I2165" t="s">
        <v>75</v>
      </c>
      <c r="J2165">
        <v>0</v>
      </c>
      <c r="K2165">
        <v>1</v>
      </c>
      <c r="L2165">
        <v>2</v>
      </c>
      <c r="M2165">
        <v>410</v>
      </c>
      <c r="N2165">
        <v>94</v>
      </c>
      <c r="O2165">
        <v>0</v>
      </c>
      <c r="P2165">
        <v>94</v>
      </c>
      <c r="Q2165">
        <v>0</v>
      </c>
      <c r="R2165">
        <v>18</v>
      </c>
      <c r="S2165">
        <v>0</v>
      </c>
      <c r="T2165">
        <v>2</v>
      </c>
      <c r="U2165">
        <v>40</v>
      </c>
      <c r="V2165">
        <v>0</v>
      </c>
      <c r="W2165">
        <v>0</v>
      </c>
      <c r="X2165">
        <v>27</v>
      </c>
      <c r="Y2165">
        <v>0</v>
      </c>
      <c r="Z2165">
        <v>0</v>
      </c>
      <c r="AA2165">
        <v>0</v>
      </c>
      <c r="AB2165">
        <v>1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 t="s">
        <v>77</v>
      </c>
      <c r="AJ2165">
        <v>6</v>
      </c>
      <c r="AK2165">
        <v>94</v>
      </c>
      <c r="AL2165">
        <v>94</v>
      </c>
      <c r="AM2165">
        <v>460</v>
      </c>
      <c r="AN2165">
        <v>44</v>
      </c>
      <c r="AO2165" t="s">
        <v>78</v>
      </c>
      <c r="AP2165">
        <v>1</v>
      </c>
      <c r="AR2165" t="s">
        <v>2257</v>
      </c>
      <c r="AS2165" s="1">
        <v>44354.082638888889</v>
      </c>
      <c r="AT2165" s="1">
        <v>44354.089305555557</v>
      </c>
      <c r="AU2165" s="1">
        <v>44354.090509259258</v>
      </c>
      <c r="AV2165" t="s">
        <v>71</v>
      </c>
      <c r="AW2165" t="s">
        <v>72</v>
      </c>
      <c r="AX2165" t="s">
        <v>73</v>
      </c>
    </row>
    <row r="2166" spans="1:50" x14ac:dyDescent="0.3">
      <c r="A2166" t="str">
        <f>"201119B0000"</f>
        <v>201119B0000</v>
      </c>
      <c r="B2166" t="str">
        <f>"201119B00002"</f>
        <v>201119B00002</v>
      </c>
      <c r="C2166" t="str">
        <f t="shared" si="104"/>
        <v>20</v>
      </c>
      <c r="D2166" t="s">
        <v>67</v>
      </c>
      <c r="E2166" t="str">
        <f t="shared" si="105"/>
        <v>010</v>
      </c>
      <c r="F2166" t="s">
        <v>2245</v>
      </c>
      <c r="G2166" t="str">
        <f>"1119"</f>
        <v>1119</v>
      </c>
      <c r="H2166" t="str">
        <f>"0000"</f>
        <v>0000</v>
      </c>
      <c r="I2166" t="s">
        <v>69</v>
      </c>
      <c r="J2166">
        <v>0</v>
      </c>
      <c r="K2166">
        <v>1</v>
      </c>
      <c r="L2166">
        <v>2</v>
      </c>
      <c r="M2166">
        <v>639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595</v>
      </c>
      <c r="AN2166">
        <v>44</v>
      </c>
      <c r="AP2166">
        <v>1</v>
      </c>
      <c r="AR2166" t="s">
        <v>2258</v>
      </c>
      <c r="AS2166" s="1">
        <v>44354.117361111108</v>
      </c>
      <c r="AT2166" s="1">
        <v>44354.118576388886</v>
      </c>
      <c r="AU2166" s="1">
        <v>44354.118993055556</v>
      </c>
      <c r="AV2166" t="s">
        <v>71</v>
      </c>
      <c r="AW2166" t="s">
        <v>72</v>
      </c>
      <c r="AX2166" t="s">
        <v>73</v>
      </c>
    </row>
    <row r="2167" spans="1:50" x14ac:dyDescent="0.3">
      <c r="A2167" t="str">
        <f>"201119C0100"</f>
        <v>201119C0100</v>
      </c>
      <c r="B2167" t="str">
        <f>"201119C01002"</f>
        <v>201119C01002</v>
      </c>
      <c r="C2167" t="str">
        <f t="shared" si="104"/>
        <v>20</v>
      </c>
      <c r="D2167" t="s">
        <v>67</v>
      </c>
      <c r="E2167" t="str">
        <f t="shared" si="105"/>
        <v>010</v>
      </c>
      <c r="F2167" t="s">
        <v>2245</v>
      </c>
      <c r="G2167" t="str">
        <f>"1119"</f>
        <v>1119</v>
      </c>
      <c r="H2167" t="str">
        <f>"0001"</f>
        <v>0001</v>
      </c>
      <c r="I2167" t="s">
        <v>75</v>
      </c>
      <c r="J2167">
        <v>0</v>
      </c>
      <c r="K2167">
        <v>1</v>
      </c>
      <c r="L2167">
        <v>2</v>
      </c>
      <c r="M2167">
        <v>635</v>
      </c>
      <c r="N2167">
        <v>3</v>
      </c>
      <c r="O2167">
        <v>0</v>
      </c>
      <c r="P2167">
        <v>3</v>
      </c>
      <c r="Q2167">
        <v>0</v>
      </c>
      <c r="R2167">
        <v>1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2</v>
      </c>
      <c r="Y2167">
        <v>0</v>
      </c>
      <c r="Z2167">
        <v>0</v>
      </c>
      <c r="AA2167">
        <v>0</v>
      </c>
      <c r="AB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3</v>
      </c>
      <c r="AL2167">
        <v>3</v>
      </c>
      <c r="AM2167">
        <v>595</v>
      </c>
      <c r="AN2167">
        <v>44</v>
      </c>
      <c r="AP2167">
        <v>1</v>
      </c>
      <c r="AR2167" t="s">
        <v>2259</v>
      </c>
      <c r="AS2167" s="1">
        <v>44354.119444444441</v>
      </c>
      <c r="AT2167" s="1">
        <v>44354.122395833336</v>
      </c>
      <c r="AU2167" s="1">
        <v>44354.122881944444</v>
      </c>
      <c r="AV2167" t="s">
        <v>71</v>
      </c>
      <c r="AW2167" t="s">
        <v>72</v>
      </c>
      <c r="AX2167" t="s">
        <v>73</v>
      </c>
    </row>
    <row r="2168" spans="1:50" x14ac:dyDescent="0.3">
      <c r="A2168" t="str">
        <f>"201119C0200"</f>
        <v>201119C0200</v>
      </c>
      <c r="B2168" t="str">
        <f>"201119C02002"</f>
        <v>201119C02002</v>
      </c>
      <c r="C2168" t="str">
        <f t="shared" si="104"/>
        <v>20</v>
      </c>
      <c r="D2168" t="s">
        <v>67</v>
      </c>
      <c r="E2168" t="str">
        <f t="shared" si="105"/>
        <v>010</v>
      </c>
      <c r="F2168" t="s">
        <v>2245</v>
      </c>
      <c r="G2168" t="str">
        <f>"1119"</f>
        <v>1119</v>
      </c>
      <c r="H2168" t="str">
        <f>"0002"</f>
        <v>0002</v>
      </c>
      <c r="I2168" t="s">
        <v>75</v>
      </c>
      <c r="J2168">
        <v>0</v>
      </c>
      <c r="K2168">
        <v>1</v>
      </c>
      <c r="L2168">
        <v>2</v>
      </c>
      <c r="M2168">
        <v>635</v>
      </c>
      <c r="N2168">
        <v>4</v>
      </c>
      <c r="O2168">
        <v>0</v>
      </c>
      <c r="P2168">
        <v>4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2</v>
      </c>
      <c r="Y2168">
        <v>0</v>
      </c>
      <c r="Z2168">
        <v>0</v>
      </c>
      <c r="AA2168">
        <v>0</v>
      </c>
      <c r="AB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4</v>
      </c>
      <c r="AL2168">
        <v>4</v>
      </c>
      <c r="AM2168">
        <v>595</v>
      </c>
      <c r="AN2168">
        <v>44</v>
      </c>
      <c r="AP2168">
        <v>1</v>
      </c>
      <c r="AR2168" t="s">
        <v>2260</v>
      </c>
      <c r="AS2168" s="1">
        <v>44354.118055555555</v>
      </c>
      <c r="AT2168" s="1">
        <v>44354.121030092596</v>
      </c>
      <c r="AU2168" s="1">
        <v>44354.121631944443</v>
      </c>
      <c r="AV2168" t="s">
        <v>71</v>
      </c>
      <c r="AW2168" t="s">
        <v>72</v>
      </c>
      <c r="AX2168" t="s">
        <v>73</v>
      </c>
    </row>
    <row r="2169" spans="1:50" x14ac:dyDescent="0.3">
      <c r="A2169" t="str">
        <f>"201119C0300"</f>
        <v>201119C0300</v>
      </c>
      <c r="B2169" t="str">
        <f>"201119C03002"</f>
        <v>201119C03002</v>
      </c>
      <c r="C2169" t="str">
        <f t="shared" si="104"/>
        <v>20</v>
      </c>
      <c r="D2169" t="s">
        <v>67</v>
      </c>
      <c r="E2169" t="str">
        <f t="shared" si="105"/>
        <v>010</v>
      </c>
      <c r="F2169" t="s">
        <v>2245</v>
      </c>
      <c r="G2169" t="str">
        <f>"1119"</f>
        <v>1119</v>
      </c>
      <c r="H2169" t="str">
        <f>"0003"</f>
        <v>0003</v>
      </c>
      <c r="I2169" t="s">
        <v>75</v>
      </c>
      <c r="J2169">
        <v>0</v>
      </c>
      <c r="K2169">
        <v>1</v>
      </c>
      <c r="L2169">
        <v>2</v>
      </c>
      <c r="M2169">
        <v>637</v>
      </c>
      <c r="N2169">
        <v>2</v>
      </c>
      <c r="O2169">
        <v>0</v>
      </c>
      <c r="P2169">
        <v>2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2</v>
      </c>
      <c r="AA2169">
        <v>0</v>
      </c>
      <c r="AB2169">
        <v>0</v>
      </c>
      <c r="AD2169" t="s">
        <v>77</v>
      </c>
      <c r="AE2169" t="s">
        <v>77</v>
      </c>
      <c r="AF2169" t="s">
        <v>77</v>
      </c>
      <c r="AG2169" t="s">
        <v>77</v>
      </c>
      <c r="AH2169" t="s">
        <v>77</v>
      </c>
      <c r="AI2169" t="s">
        <v>77</v>
      </c>
      <c r="AJ2169" t="s">
        <v>77</v>
      </c>
      <c r="AK2169" t="s">
        <v>77</v>
      </c>
      <c r="AL2169">
        <v>2</v>
      </c>
      <c r="AM2169">
        <v>595</v>
      </c>
      <c r="AN2169">
        <v>44</v>
      </c>
      <c r="AO2169" t="s">
        <v>78</v>
      </c>
      <c r="AP2169">
        <v>1</v>
      </c>
      <c r="AR2169" t="s">
        <v>2261</v>
      </c>
      <c r="AS2169" s="1">
        <v>44354.118750000001</v>
      </c>
      <c r="AT2169" s="1">
        <v>44354.121307870373</v>
      </c>
      <c r="AU2169" s="1">
        <v>44354.121724537035</v>
      </c>
      <c r="AV2169" t="s">
        <v>71</v>
      </c>
      <c r="AW2169" t="s">
        <v>72</v>
      </c>
      <c r="AX2169" t="s">
        <v>73</v>
      </c>
    </row>
    <row r="2170" spans="1:50" x14ac:dyDescent="0.3">
      <c r="A2170" t="str">
        <f>"201120B0000"</f>
        <v>201120B0000</v>
      </c>
      <c r="B2170" t="str">
        <f>"201120B00002"</f>
        <v>201120B00002</v>
      </c>
      <c r="C2170" t="str">
        <f t="shared" si="104"/>
        <v>20</v>
      </c>
      <c r="D2170" t="s">
        <v>67</v>
      </c>
      <c r="E2170" t="str">
        <f t="shared" si="105"/>
        <v>010</v>
      </c>
      <c r="F2170" t="s">
        <v>2245</v>
      </c>
      <c r="G2170" t="str">
        <f>"1120"</f>
        <v>1120</v>
      </c>
      <c r="H2170" t="str">
        <f>"0000"</f>
        <v>0000</v>
      </c>
      <c r="I2170" t="s">
        <v>69</v>
      </c>
      <c r="J2170">
        <v>0</v>
      </c>
      <c r="K2170">
        <v>1</v>
      </c>
      <c r="L2170">
        <v>2</v>
      </c>
      <c r="AM2170">
        <v>427</v>
      </c>
      <c r="AN2170">
        <v>44</v>
      </c>
      <c r="AO2170" t="s">
        <v>143</v>
      </c>
      <c r="AP2170">
        <v>0</v>
      </c>
      <c r="AR2170" t="s">
        <v>2262</v>
      </c>
      <c r="AS2170" s="1">
        <v>44354.802777777775</v>
      </c>
      <c r="AT2170" s="1">
        <v>44354.806030092594</v>
      </c>
      <c r="AU2170" s="1">
        <v>44354.806030092594</v>
      </c>
      <c r="AV2170" t="s">
        <v>71</v>
      </c>
      <c r="AW2170" t="s">
        <v>72</v>
      </c>
      <c r="AX2170" t="s">
        <v>73</v>
      </c>
    </row>
    <row r="2171" spans="1:50" x14ac:dyDescent="0.3">
      <c r="A2171" t="str">
        <f>"201120C0100"</f>
        <v>201120C0100</v>
      </c>
      <c r="B2171" t="str">
        <f>"201120C01002"</f>
        <v>201120C01002</v>
      </c>
      <c r="C2171" t="str">
        <f t="shared" si="104"/>
        <v>20</v>
      </c>
      <c r="D2171" t="s">
        <v>67</v>
      </c>
      <c r="E2171" t="str">
        <f t="shared" si="105"/>
        <v>010</v>
      </c>
      <c r="F2171" t="s">
        <v>2245</v>
      </c>
      <c r="G2171" t="str">
        <f>"1120"</f>
        <v>1120</v>
      </c>
      <c r="H2171" t="str">
        <f>"0001"</f>
        <v>0001</v>
      </c>
      <c r="I2171" t="s">
        <v>75</v>
      </c>
      <c r="J2171">
        <v>0</v>
      </c>
      <c r="K2171">
        <v>1</v>
      </c>
      <c r="L2171">
        <v>2</v>
      </c>
      <c r="AM2171">
        <v>426</v>
      </c>
      <c r="AN2171">
        <v>44</v>
      </c>
      <c r="AO2171" t="s">
        <v>143</v>
      </c>
      <c r="AP2171">
        <v>0</v>
      </c>
      <c r="AR2171" t="s">
        <v>2263</v>
      </c>
      <c r="AS2171" s="1">
        <v>44354.802083333336</v>
      </c>
      <c r="AT2171" s="1">
        <v>44354.806493055556</v>
      </c>
      <c r="AU2171" s="1">
        <v>44354.806493055556</v>
      </c>
      <c r="AV2171" t="s">
        <v>71</v>
      </c>
      <c r="AW2171" t="s">
        <v>72</v>
      </c>
      <c r="AX2171" t="s">
        <v>73</v>
      </c>
    </row>
    <row r="2172" spans="1:50" x14ac:dyDescent="0.3">
      <c r="A2172" t="str">
        <f>"201120E0100"</f>
        <v>201120E0100</v>
      </c>
      <c r="B2172" t="str">
        <f>"201120E01002"</f>
        <v>201120E01002</v>
      </c>
      <c r="C2172" t="str">
        <f t="shared" si="104"/>
        <v>20</v>
      </c>
      <c r="D2172" t="s">
        <v>67</v>
      </c>
      <c r="E2172" t="str">
        <f t="shared" si="105"/>
        <v>010</v>
      </c>
      <c r="F2172" t="s">
        <v>2245</v>
      </c>
      <c r="G2172" t="str">
        <f>"1120"</f>
        <v>1120</v>
      </c>
      <c r="H2172" t="str">
        <f>"0001"</f>
        <v>0001</v>
      </c>
      <c r="I2172" t="s">
        <v>109</v>
      </c>
      <c r="J2172">
        <v>0</v>
      </c>
      <c r="K2172">
        <v>1</v>
      </c>
      <c r="L2172">
        <v>2</v>
      </c>
      <c r="AM2172">
        <v>708</v>
      </c>
      <c r="AN2172">
        <v>44</v>
      </c>
      <c r="AO2172" t="s">
        <v>143</v>
      </c>
      <c r="AP2172">
        <v>0</v>
      </c>
      <c r="AR2172" t="s">
        <v>2264</v>
      </c>
      <c r="AS2172" s="1">
        <v>44354.801388888889</v>
      </c>
      <c r="AT2172" s="1">
        <v>44354.806331018517</v>
      </c>
      <c r="AU2172" s="1">
        <v>44354.806331018517</v>
      </c>
      <c r="AV2172" t="s">
        <v>71</v>
      </c>
      <c r="AW2172" t="s">
        <v>72</v>
      </c>
      <c r="AX2172" t="s">
        <v>73</v>
      </c>
    </row>
    <row r="2173" spans="1:50" x14ac:dyDescent="0.3">
      <c r="A2173" t="str">
        <f>"201121B0000"</f>
        <v>201121B0000</v>
      </c>
      <c r="B2173" t="str">
        <f>"201121B00002"</f>
        <v>201121B00002</v>
      </c>
      <c r="C2173" t="str">
        <f t="shared" si="104"/>
        <v>20</v>
      </c>
      <c r="D2173" t="s">
        <v>67</v>
      </c>
      <c r="E2173" t="str">
        <f t="shared" si="105"/>
        <v>010</v>
      </c>
      <c r="F2173" t="s">
        <v>2245</v>
      </c>
      <c r="G2173" t="str">
        <f>"1121"</f>
        <v>1121</v>
      </c>
      <c r="H2173" t="str">
        <f>"0000"</f>
        <v>0000</v>
      </c>
      <c r="I2173" t="s">
        <v>69</v>
      </c>
      <c r="J2173">
        <v>0</v>
      </c>
      <c r="K2173">
        <v>1</v>
      </c>
      <c r="L2173">
        <v>2</v>
      </c>
      <c r="AM2173">
        <v>325</v>
      </c>
      <c r="AN2173">
        <v>44</v>
      </c>
      <c r="AO2173" t="s">
        <v>143</v>
      </c>
      <c r="AP2173">
        <v>0</v>
      </c>
      <c r="AR2173" t="s">
        <v>2265</v>
      </c>
      <c r="AS2173" s="1">
        <v>44354.800694444442</v>
      </c>
      <c r="AT2173" s="1">
        <v>44354.806261574071</v>
      </c>
      <c r="AU2173" s="1">
        <v>44354.806261574071</v>
      </c>
      <c r="AV2173" t="s">
        <v>71</v>
      </c>
      <c r="AW2173" t="s">
        <v>72</v>
      </c>
      <c r="AX2173" t="s">
        <v>73</v>
      </c>
    </row>
    <row r="2174" spans="1:50" x14ac:dyDescent="0.3">
      <c r="A2174" t="str">
        <f>"201121E0100"</f>
        <v>201121E0100</v>
      </c>
      <c r="B2174" t="str">
        <f>"201121E01002"</f>
        <v>201121E01002</v>
      </c>
      <c r="C2174" t="str">
        <f t="shared" si="104"/>
        <v>20</v>
      </c>
      <c r="D2174" t="s">
        <v>67</v>
      </c>
      <c r="E2174" t="str">
        <f t="shared" si="105"/>
        <v>010</v>
      </c>
      <c r="F2174" t="s">
        <v>2245</v>
      </c>
      <c r="G2174" t="str">
        <f>"1121"</f>
        <v>1121</v>
      </c>
      <c r="H2174" t="str">
        <f>"0001"</f>
        <v>0001</v>
      </c>
      <c r="I2174" t="s">
        <v>109</v>
      </c>
      <c r="J2174">
        <v>0</v>
      </c>
      <c r="K2174">
        <v>1</v>
      </c>
      <c r="L2174">
        <v>2</v>
      </c>
      <c r="AM2174">
        <v>298</v>
      </c>
      <c r="AN2174">
        <v>44</v>
      </c>
      <c r="AO2174" t="s">
        <v>143</v>
      </c>
      <c r="AP2174">
        <v>0</v>
      </c>
      <c r="AR2174" t="s">
        <v>2266</v>
      </c>
      <c r="AS2174" s="1">
        <v>44354.8</v>
      </c>
      <c r="AT2174" s="1">
        <v>44354.806527777779</v>
      </c>
      <c r="AU2174" s="1">
        <v>44354.806527777779</v>
      </c>
      <c r="AV2174" t="s">
        <v>71</v>
      </c>
      <c r="AW2174" t="s">
        <v>72</v>
      </c>
      <c r="AX2174" t="s">
        <v>73</v>
      </c>
    </row>
    <row r="2175" spans="1:50" x14ac:dyDescent="0.3">
      <c r="A2175" t="str">
        <f>"201121E0200"</f>
        <v>201121E0200</v>
      </c>
      <c r="B2175" t="str">
        <f>"201121E02002"</f>
        <v>201121E02002</v>
      </c>
      <c r="C2175" t="str">
        <f t="shared" si="104"/>
        <v>20</v>
      </c>
      <c r="D2175" t="s">
        <v>67</v>
      </c>
      <c r="E2175" t="str">
        <f t="shared" si="105"/>
        <v>010</v>
      </c>
      <c r="F2175" t="s">
        <v>2245</v>
      </c>
      <c r="G2175" t="str">
        <f>"1121"</f>
        <v>1121</v>
      </c>
      <c r="H2175" t="str">
        <f>"0002"</f>
        <v>0002</v>
      </c>
      <c r="I2175" t="s">
        <v>109</v>
      </c>
      <c r="J2175">
        <v>0</v>
      </c>
      <c r="K2175">
        <v>1</v>
      </c>
      <c r="L2175">
        <v>2</v>
      </c>
      <c r="AM2175">
        <v>396</v>
      </c>
      <c r="AN2175">
        <v>44</v>
      </c>
      <c r="AO2175" t="s">
        <v>143</v>
      </c>
      <c r="AP2175">
        <v>0</v>
      </c>
      <c r="AR2175" t="s">
        <v>2267</v>
      </c>
      <c r="AS2175" s="1">
        <v>44354.799305555556</v>
      </c>
      <c r="AT2175" s="1">
        <v>44354.806712962964</v>
      </c>
      <c r="AU2175" s="1">
        <v>44354.806712962964</v>
      </c>
      <c r="AV2175" t="s">
        <v>71</v>
      </c>
      <c r="AW2175" t="s">
        <v>72</v>
      </c>
      <c r="AX2175" t="s">
        <v>73</v>
      </c>
    </row>
    <row r="2176" spans="1:50" x14ac:dyDescent="0.3">
      <c r="A2176" t="str">
        <f>"201122B0000"</f>
        <v>201122B0000</v>
      </c>
      <c r="B2176" t="str">
        <f>"201122B00002"</f>
        <v>201122B00002</v>
      </c>
      <c r="C2176" t="str">
        <f t="shared" si="104"/>
        <v>20</v>
      </c>
      <c r="D2176" t="s">
        <v>67</v>
      </c>
      <c r="E2176" t="str">
        <f t="shared" si="105"/>
        <v>010</v>
      </c>
      <c r="F2176" t="s">
        <v>2245</v>
      </c>
      <c r="G2176" t="str">
        <f>"1122"</f>
        <v>1122</v>
      </c>
      <c r="H2176" t="str">
        <f>"0000"</f>
        <v>0000</v>
      </c>
      <c r="I2176" t="s">
        <v>69</v>
      </c>
      <c r="J2176">
        <v>0</v>
      </c>
      <c r="K2176">
        <v>1</v>
      </c>
      <c r="L2176">
        <v>2</v>
      </c>
      <c r="AM2176">
        <v>381</v>
      </c>
      <c r="AN2176">
        <v>44</v>
      </c>
      <c r="AO2176" t="s">
        <v>143</v>
      </c>
      <c r="AP2176">
        <v>0</v>
      </c>
      <c r="AR2176" t="s">
        <v>2268</v>
      </c>
      <c r="AS2176" s="1">
        <v>44354.798611111109</v>
      </c>
      <c r="AT2176" s="1">
        <v>44354.806504629632</v>
      </c>
      <c r="AU2176" s="1">
        <v>44354.806504629632</v>
      </c>
      <c r="AV2176" t="s">
        <v>71</v>
      </c>
      <c r="AW2176" t="s">
        <v>72</v>
      </c>
      <c r="AX2176" t="s">
        <v>73</v>
      </c>
    </row>
    <row r="2177" spans="1:50" x14ac:dyDescent="0.3">
      <c r="A2177" t="str">
        <f>"201122C0100"</f>
        <v>201122C0100</v>
      </c>
      <c r="B2177" t="str">
        <f>"201122C01002"</f>
        <v>201122C01002</v>
      </c>
      <c r="C2177" t="str">
        <f t="shared" si="104"/>
        <v>20</v>
      </c>
      <c r="D2177" t="s">
        <v>67</v>
      </c>
      <c r="E2177" t="str">
        <f t="shared" si="105"/>
        <v>010</v>
      </c>
      <c r="F2177" t="s">
        <v>2245</v>
      </c>
      <c r="G2177" t="str">
        <f>"1122"</f>
        <v>1122</v>
      </c>
      <c r="H2177" t="str">
        <f>"0001"</f>
        <v>0001</v>
      </c>
      <c r="I2177" t="s">
        <v>75</v>
      </c>
      <c r="J2177">
        <v>0</v>
      </c>
      <c r="K2177">
        <v>1</v>
      </c>
      <c r="L2177">
        <v>2</v>
      </c>
      <c r="AM2177">
        <v>380</v>
      </c>
      <c r="AN2177">
        <v>44</v>
      </c>
      <c r="AO2177" t="s">
        <v>143</v>
      </c>
      <c r="AP2177">
        <v>0</v>
      </c>
      <c r="AR2177" t="s">
        <v>2269</v>
      </c>
      <c r="AS2177" s="1">
        <v>44354.79791666667</v>
      </c>
      <c r="AT2177" s="1">
        <v>44354.806550925925</v>
      </c>
      <c r="AU2177" s="1">
        <v>44354.806550925925</v>
      </c>
      <c r="AV2177" t="s">
        <v>71</v>
      </c>
      <c r="AW2177" t="s">
        <v>72</v>
      </c>
      <c r="AX2177" t="s">
        <v>73</v>
      </c>
    </row>
    <row r="2178" spans="1:50" x14ac:dyDescent="0.3">
      <c r="A2178" t="str">
        <f>"201122E0100"</f>
        <v>201122E0100</v>
      </c>
      <c r="B2178" t="str">
        <f>"201122E01002"</f>
        <v>201122E01002</v>
      </c>
      <c r="C2178" t="str">
        <f t="shared" si="104"/>
        <v>20</v>
      </c>
      <c r="D2178" t="s">
        <v>67</v>
      </c>
      <c r="E2178" t="str">
        <f t="shared" si="105"/>
        <v>010</v>
      </c>
      <c r="F2178" t="s">
        <v>2245</v>
      </c>
      <c r="G2178" t="str">
        <f>"1122"</f>
        <v>1122</v>
      </c>
      <c r="H2178" t="str">
        <f>"0001"</f>
        <v>0001</v>
      </c>
      <c r="I2178" t="s">
        <v>109</v>
      </c>
      <c r="J2178">
        <v>0</v>
      </c>
      <c r="K2178">
        <v>1</v>
      </c>
      <c r="L2178">
        <v>2</v>
      </c>
      <c r="AM2178">
        <v>383</v>
      </c>
      <c r="AN2178">
        <v>44</v>
      </c>
      <c r="AO2178" t="s">
        <v>143</v>
      </c>
      <c r="AP2178">
        <v>0</v>
      </c>
      <c r="AR2178" t="s">
        <v>2270</v>
      </c>
      <c r="AS2178" s="1">
        <v>44354.797222222223</v>
      </c>
      <c r="AT2178" s="1">
        <v>44354.806585648148</v>
      </c>
      <c r="AU2178" s="1">
        <v>44354.806585648148</v>
      </c>
      <c r="AV2178" t="s">
        <v>71</v>
      </c>
      <c r="AW2178" t="s">
        <v>72</v>
      </c>
      <c r="AX2178" t="s">
        <v>73</v>
      </c>
    </row>
    <row r="2179" spans="1:50" x14ac:dyDescent="0.3">
      <c r="A2179" t="str">
        <f>"201122E0200"</f>
        <v>201122E0200</v>
      </c>
      <c r="B2179" t="str">
        <f>"201122E02002"</f>
        <v>201122E02002</v>
      </c>
      <c r="C2179" t="str">
        <f t="shared" si="104"/>
        <v>20</v>
      </c>
      <c r="D2179" t="s">
        <v>67</v>
      </c>
      <c r="E2179" t="str">
        <f t="shared" si="105"/>
        <v>010</v>
      </c>
      <c r="F2179" t="s">
        <v>2245</v>
      </c>
      <c r="G2179" t="str">
        <f>"1122"</f>
        <v>1122</v>
      </c>
      <c r="H2179" t="str">
        <f>"0002"</f>
        <v>0002</v>
      </c>
      <c r="I2179" t="s">
        <v>109</v>
      </c>
      <c r="J2179">
        <v>0</v>
      </c>
      <c r="K2179">
        <v>1</v>
      </c>
      <c r="L2179">
        <v>2</v>
      </c>
      <c r="AM2179">
        <v>503</v>
      </c>
      <c r="AN2179">
        <v>44</v>
      </c>
      <c r="AO2179" t="s">
        <v>143</v>
      </c>
      <c r="AP2179">
        <v>0</v>
      </c>
      <c r="AR2179" s="2" t="s">
        <v>2271</v>
      </c>
      <c r="AS2179" s="1">
        <v>44354.796527777777</v>
      </c>
      <c r="AT2179" s="1">
        <v>44354.806666666664</v>
      </c>
      <c r="AU2179" s="1">
        <v>44354.806666666664</v>
      </c>
      <c r="AV2179" t="s">
        <v>71</v>
      </c>
      <c r="AW2179" t="s">
        <v>72</v>
      </c>
      <c r="AX2179" t="s">
        <v>73</v>
      </c>
    </row>
    <row r="2180" spans="1:50" x14ac:dyDescent="0.3">
      <c r="A2180" t="str">
        <f>"201123B0000"</f>
        <v>201123B0000</v>
      </c>
      <c r="B2180" t="str">
        <f>"201123B00002"</f>
        <v>201123B00002</v>
      </c>
      <c r="C2180" t="str">
        <f t="shared" si="104"/>
        <v>20</v>
      </c>
      <c r="D2180" t="s">
        <v>67</v>
      </c>
      <c r="E2180" t="str">
        <f t="shared" si="105"/>
        <v>010</v>
      </c>
      <c r="F2180" t="s">
        <v>2245</v>
      </c>
      <c r="G2180" t="str">
        <f>"1123"</f>
        <v>1123</v>
      </c>
      <c r="H2180" t="str">
        <f>"0000"</f>
        <v>0000</v>
      </c>
      <c r="I2180" t="s">
        <v>69</v>
      </c>
      <c r="J2180">
        <v>0</v>
      </c>
      <c r="K2180">
        <v>1</v>
      </c>
      <c r="L2180">
        <v>2</v>
      </c>
      <c r="AM2180">
        <v>535</v>
      </c>
      <c r="AN2180">
        <v>44</v>
      </c>
      <c r="AO2180" t="s">
        <v>143</v>
      </c>
      <c r="AP2180">
        <v>0</v>
      </c>
      <c r="AR2180" t="s">
        <v>2272</v>
      </c>
      <c r="AS2180" s="1">
        <v>44354.79583333333</v>
      </c>
      <c r="AT2180" s="1">
        <v>44354.806759259256</v>
      </c>
      <c r="AU2180" s="1">
        <v>44354.806759259256</v>
      </c>
      <c r="AV2180" t="s">
        <v>71</v>
      </c>
      <c r="AW2180" t="s">
        <v>72</v>
      </c>
      <c r="AX2180" t="s">
        <v>73</v>
      </c>
    </row>
    <row r="2181" spans="1:50" x14ac:dyDescent="0.3">
      <c r="A2181" t="str">
        <f>"201123C0100"</f>
        <v>201123C0100</v>
      </c>
      <c r="B2181" t="str">
        <f>"201123C01002"</f>
        <v>201123C01002</v>
      </c>
      <c r="C2181" t="str">
        <f t="shared" si="104"/>
        <v>20</v>
      </c>
      <c r="D2181" t="s">
        <v>67</v>
      </c>
      <c r="E2181" t="str">
        <f t="shared" si="105"/>
        <v>010</v>
      </c>
      <c r="F2181" t="s">
        <v>2245</v>
      </c>
      <c r="G2181" t="str">
        <f>"1123"</f>
        <v>1123</v>
      </c>
      <c r="H2181" t="str">
        <f>"0001"</f>
        <v>0001</v>
      </c>
      <c r="I2181" t="s">
        <v>75</v>
      </c>
      <c r="J2181">
        <v>0</v>
      </c>
      <c r="K2181">
        <v>1</v>
      </c>
      <c r="L2181">
        <v>2</v>
      </c>
      <c r="AM2181">
        <v>534</v>
      </c>
      <c r="AN2181">
        <v>44</v>
      </c>
      <c r="AO2181" t="s">
        <v>143</v>
      </c>
      <c r="AP2181">
        <v>0</v>
      </c>
      <c r="AR2181" t="s">
        <v>2273</v>
      </c>
      <c r="AS2181" s="1">
        <v>44354.795138888891</v>
      </c>
      <c r="AT2181" s="1">
        <v>44354.806909722225</v>
      </c>
      <c r="AU2181" s="1">
        <v>44354.806909722225</v>
      </c>
      <c r="AV2181" t="s">
        <v>71</v>
      </c>
      <c r="AW2181" t="s">
        <v>72</v>
      </c>
      <c r="AX2181" t="s">
        <v>73</v>
      </c>
    </row>
    <row r="2182" spans="1:50" x14ac:dyDescent="0.3">
      <c r="A2182" t="str">
        <f>"201123C0200"</f>
        <v>201123C0200</v>
      </c>
      <c r="B2182" t="str">
        <f>"201123C02002"</f>
        <v>201123C02002</v>
      </c>
      <c r="C2182" t="str">
        <f t="shared" si="104"/>
        <v>20</v>
      </c>
      <c r="D2182" t="s">
        <v>67</v>
      </c>
      <c r="E2182" t="str">
        <f t="shared" si="105"/>
        <v>010</v>
      </c>
      <c r="F2182" t="s">
        <v>2245</v>
      </c>
      <c r="G2182" t="str">
        <f>"1123"</f>
        <v>1123</v>
      </c>
      <c r="H2182" t="str">
        <f>"0002"</f>
        <v>0002</v>
      </c>
      <c r="I2182" t="s">
        <v>75</v>
      </c>
      <c r="J2182">
        <v>0</v>
      </c>
      <c r="K2182">
        <v>1</v>
      </c>
      <c r="L2182">
        <v>2</v>
      </c>
      <c r="AM2182">
        <v>534</v>
      </c>
      <c r="AN2182">
        <v>44</v>
      </c>
      <c r="AO2182" t="s">
        <v>143</v>
      </c>
      <c r="AP2182">
        <v>0</v>
      </c>
      <c r="AR2182" t="s">
        <v>2274</v>
      </c>
      <c r="AS2182" s="1">
        <v>44354.794444444444</v>
      </c>
      <c r="AT2182" s="1">
        <v>44354.807013888887</v>
      </c>
      <c r="AU2182" s="1">
        <v>44354.807013888887</v>
      </c>
      <c r="AV2182" t="s">
        <v>71</v>
      </c>
      <c r="AW2182" t="s">
        <v>72</v>
      </c>
      <c r="AX2182" t="s">
        <v>73</v>
      </c>
    </row>
    <row r="2183" spans="1:50" x14ac:dyDescent="0.3">
      <c r="A2183" t="str">
        <f>"201124B0000"</f>
        <v>201124B0000</v>
      </c>
      <c r="B2183" t="str">
        <f>"201124B00002"</f>
        <v>201124B00002</v>
      </c>
      <c r="C2183" t="str">
        <f t="shared" ref="C2183:C2246" si="106">"20"</f>
        <v>20</v>
      </c>
      <c r="D2183" t="s">
        <v>67</v>
      </c>
      <c r="E2183" t="str">
        <f t="shared" si="105"/>
        <v>010</v>
      </c>
      <c r="F2183" t="s">
        <v>2245</v>
      </c>
      <c r="G2183" t="str">
        <f t="shared" ref="G2183:G2189" si="107">"1124"</f>
        <v>1124</v>
      </c>
      <c r="H2183" t="str">
        <f>"0000"</f>
        <v>0000</v>
      </c>
      <c r="I2183" t="s">
        <v>69</v>
      </c>
      <c r="J2183">
        <v>0</v>
      </c>
      <c r="K2183">
        <v>1</v>
      </c>
      <c r="L2183">
        <v>2</v>
      </c>
      <c r="AM2183">
        <v>672</v>
      </c>
      <c r="AN2183">
        <v>44</v>
      </c>
      <c r="AO2183" t="s">
        <v>143</v>
      </c>
      <c r="AP2183">
        <v>0</v>
      </c>
      <c r="AR2183" t="s">
        <v>2275</v>
      </c>
      <c r="AS2183" s="1">
        <v>44354.793749999997</v>
      </c>
      <c r="AT2183" s="1">
        <v>44354.807129629633</v>
      </c>
      <c r="AU2183" s="1">
        <v>44354.807129629633</v>
      </c>
      <c r="AV2183" t="s">
        <v>71</v>
      </c>
      <c r="AW2183" t="s">
        <v>72</v>
      </c>
      <c r="AX2183" t="s">
        <v>73</v>
      </c>
    </row>
    <row r="2184" spans="1:50" x14ac:dyDescent="0.3">
      <c r="A2184" t="str">
        <f>"201124C0100"</f>
        <v>201124C0100</v>
      </c>
      <c r="B2184" t="str">
        <f>"201124C01002"</f>
        <v>201124C01002</v>
      </c>
      <c r="C2184" t="str">
        <f t="shared" si="106"/>
        <v>20</v>
      </c>
      <c r="D2184" t="s">
        <v>67</v>
      </c>
      <c r="E2184" t="str">
        <f t="shared" si="105"/>
        <v>010</v>
      </c>
      <c r="F2184" t="s">
        <v>2245</v>
      </c>
      <c r="G2184" t="str">
        <f t="shared" si="107"/>
        <v>1124</v>
      </c>
      <c r="H2184" t="str">
        <f>"0001"</f>
        <v>0001</v>
      </c>
      <c r="I2184" t="s">
        <v>75</v>
      </c>
      <c r="J2184">
        <v>0</v>
      </c>
      <c r="K2184">
        <v>1</v>
      </c>
      <c r="L2184">
        <v>2</v>
      </c>
      <c r="AM2184">
        <v>672</v>
      </c>
      <c r="AN2184">
        <v>44</v>
      </c>
      <c r="AO2184" t="s">
        <v>143</v>
      </c>
      <c r="AP2184">
        <v>0</v>
      </c>
      <c r="AR2184" t="s">
        <v>2276</v>
      </c>
      <c r="AS2184" s="1">
        <v>44354.793749999997</v>
      </c>
      <c r="AT2184" s="1">
        <v>44354.807175925926</v>
      </c>
      <c r="AU2184" s="1">
        <v>44354.807175925926</v>
      </c>
      <c r="AV2184" t="s">
        <v>71</v>
      </c>
      <c r="AW2184" t="s">
        <v>72</v>
      </c>
      <c r="AX2184" t="s">
        <v>73</v>
      </c>
    </row>
    <row r="2185" spans="1:50" x14ac:dyDescent="0.3">
      <c r="A2185" t="str">
        <f>"201124C0200"</f>
        <v>201124C0200</v>
      </c>
      <c r="B2185" t="str">
        <f>"201124C02002"</f>
        <v>201124C02002</v>
      </c>
      <c r="C2185" t="str">
        <f t="shared" si="106"/>
        <v>20</v>
      </c>
      <c r="D2185" t="s">
        <v>67</v>
      </c>
      <c r="E2185" t="str">
        <f t="shared" si="105"/>
        <v>010</v>
      </c>
      <c r="F2185" t="s">
        <v>2245</v>
      </c>
      <c r="G2185" t="str">
        <f t="shared" si="107"/>
        <v>1124</v>
      </c>
      <c r="H2185" t="str">
        <f>"0002"</f>
        <v>0002</v>
      </c>
      <c r="I2185" t="s">
        <v>75</v>
      </c>
      <c r="J2185">
        <v>0</v>
      </c>
      <c r="K2185">
        <v>1</v>
      </c>
      <c r="L2185">
        <v>2</v>
      </c>
      <c r="AM2185">
        <v>672</v>
      </c>
      <c r="AN2185">
        <v>44</v>
      </c>
      <c r="AO2185" t="s">
        <v>143</v>
      </c>
      <c r="AP2185">
        <v>0</v>
      </c>
      <c r="AR2185" t="s">
        <v>2277</v>
      </c>
      <c r="AS2185" s="1">
        <v>44354.793749999997</v>
      </c>
      <c r="AT2185" s="1">
        <v>44354.807662037034</v>
      </c>
      <c r="AU2185" s="1">
        <v>44354.807662037034</v>
      </c>
      <c r="AV2185" t="s">
        <v>71</v>
      </c>
      <c r="AW2185" t="s">
        <v>72</v>
      </c>
      <c r="AX2185" t="s">
        <v>73</v>
      </c>
    </row>
    <row r="2186" spans="1:50" x14ac:dyDescent="0.3">
      <c r="A2186" t="str">
        <f>"201124C0300"</f>
        <v>201124C0300</v>
      </c>
      <c r="B2186" t="str">
        <f>"201124C03002"</f>
        <v>201124C03002</v>
      </c>
      <c r="C2186" t="str">
        <f t="shared" si="106"/>
        <v>20</v>
      </c>
      <c r="D2186" t="s">
        <v>67</v>
      </c>
      <c r="E2186" t="str">
        <f t="shared" si="105"/>
        <v>010</v>
      </c>
      <c r="F2186" t="s">
        <v>2245</v>
      </c>
      <c r="G2186" t="str">
        <f t="shared" si="107"/>
        <v>1124</v>
      </c>
      <c r="H2186" t="str">
        <f>"0003"</f>
        <v>0003</v>
      </c>
      <c r="I2186" t="s">
        <v>75</v>
      </c>
      <c r="J2186">
        <v>0</v>
      </c>
      <c r="K2186">
        <v>1</v>
      </c>
      <c r="L2186">
        <v>2</v>
      </c>
      <c r="AM2186">
        <v>672</v>
      </c>
      <c r="AN2186">
        <v>44</v>
      </c>
      <c r="AO2186" t="s">
        <v>143</v>
      </c>
      <c r="AP2186">
        <v>0</v>
      </c>
      <c r="AR2186" s="2" t="s">
        <v>2278</v>
      </c>
      <c r="AS2186" s="1">
        <v>44354.793055555558</v>
      </c>
      <c r="AT2186" s="1">
        <v>44354.807766203703</v>
      </c>
      <c r="AU2186" s="1">
        <v>44354.807766203703</v>
      </c>
      <c r="AV2186" t="s">
        <v>71</v>
      </c>
      <c r="AW2186" t="s">
        <v>72</v>
      </c>
      <c r="AX2186" t="s">
        <v>73</v>
      </c>
    </row>
    <row r="2187" spans="1:50" x14ac:dyDescent="0.3">
      <c r="A2187" t="str">
        <f>"201124C0400"</f>
        <v>201124C0400</v>
      </c>
      <c r="B2187" t="str">
        <f>"201124C04002"</f>
        <v>201124C04002</v>
      </c>
      <c r="C2187" t="str">
        <f t="shared" si="106"/>
        <v>20</v>
      </c>
      <c r="D2187" t="s">
        <v>67</v>
      </c>
      <c r="E2187" t="str">
        <f t="shared" si="105"/>
        <v>010</v>
      </c>
      <c r="F2187" t="s">
        <v>2245</v>
      </c>
      <c r="G2187" t="str">
        <f t="shared" si="107"/>
        <v>1124</v>
      </c>
      <c r="H2187" t="str">
        <f>"0004"</f>
        <v>0004</v>
      </c>
      <c r="I2187" t="s">
        <v>75</v>
      </c>
      <c r="J2187">
        <v>0</v>
      </c>
      <c r="K2187">
        <v>1</v>
      </c>
      <c r="L2187">
        <v>2</v>
      </c>
      <c r="AM2187">
        <v>671</v>
      </c>
      <c r="AN2187">
        <v>44</v>
      </c>
      <c r="AO2187" t="s">
        <v>143</v>
      </c>
      <c r="AP2187">
        <v>0</v>
      </c>
      <c r="AR2187" s="2" t="s">
        <v>2279</v>
      </c>
      <c r="AS2187" s="1">
        <v>44354.793055555558</v>
      </c>
      <c r="AT2187" s="1">
        <v>44354.807997685188</v>
      </c>
      <c r="AU2187" s="1">
        <v>44354.807997685188</v>
      </c>
      <c r="AV2187" t="s">
        <v>71</v>
      </c>
      <c r="AW2187" t="s">
        <v>72</v>
      </c>
      <c r="AX2187" t="s">
        <v>73</v>
      </c>
    </row>
    <row r="2188" spans="1:50" x14ac:dyDescent="0.3">
      <c r="A2188" t="str">
        <f>"201124C0500"</f>
        <v>201124C0500</v>
      </c>
      <c r="B2188" t="str">
        <f>"201124C05002"</f>
        <v>201124C05002</v>
      </c>
      <c r="C2188" t="str">
        <f t="shared" si="106"/>
        <v>20</v>
      </c>
      <c r="D2188" t="s">
        <v>67</v>
      </c>
      <c r="E2188" t="str">
        <f t="shared" si="105"/>
        <v>010</v>
      </c>
      <c r="F2188" t="s">
        <v>2245</v>
      </c>
      <c r="G2188" t="str">
        <f t="shared" si="107"/>
        <v>1124</v>
      </c>
      <c r="H2188" t="str">
        <f>"0005"</f>
        <v>0005</v>
      </c>
      <c r="I2188" t="s">
        <v>75</v>
      </c>
      <c r="J2188">
        <v>0</v>
      </c>
      <c r="K2188">
        <v>1</v>
      </c>
      <c r="L2188">
        <v>2</v>
      </c>
      <c r="AM2188">
        <v>671</v>
      </c>
      <c r="AN2188">
        <v>44</v>
      </c>
      <c r="AO2188" t="s">
        <v>143</v>
      </c>
      <c r="AP2188">
        <v>0</v>
      </c>
      <c r="AR2188" t="s">
        <v>2280</v>
      </c>
      <c r="AS2188" s="1">
        <v>44354.793055555558</v>
      </c>
      <c r="AT2188" s="1">
        <v>44354.807986111111</v>
      </c>
      <c r="AU2188" s="1">
        <v>44354.807986111111</v>
      </c>
      <c r="AV2188" t="s">
        <v>71</v>
      </c>
      <c r="AW2188" t="s">
        <v>72</v>
      </c>
      <c r="AX2188" t="s">
        <v>73</v>
      </c>
    </row>
    <row r="2189" spans="1:50" x14ac:dyDescent="0.3">
      <c r="A2189" t="str">
        <f>"201124S0100"</f>
        <v>201124S0100</v>
      </c>
      <c r="B2189" t="str">
        <f>"201124S01002EMR"</f>
        <v>201124S01002EMR</v>
      </c>
      <c r="C2189" t="str">
        <f t="shared" si="106"/>
        <v>20</v>
      </c>
      <c r="D2189" t="s">
        <v>67</v>
      </c>
      <c r="E2189" t="str">
        <f t="shared" si="105"/>
        <v>010</v>
      </c>
      <c r="F2189" t="s">
        <v>2245</v>
      </c>
      <c r="G2189" t="str">
        <f t="shared" si="107"/>
        <v>1124</v>
      </c>
      <c r="H2189" t="str">
        <f>"0001"</f>
        <v>0001</v>
      </c>
      <c r="I2189" t="s">
        <v>85</v>
      </c>
      <c r="J2189">
        <v>0</v>
      </c>
      <c r="K2189">
        <v>1</v>
      </c>
      <c r="L2189" t="s">
        <v>86</v>
      </c>
      <c r="AM2189">
        <v>0</v>
      </c>
      <c r="AN2189">
        <v>44</v>
      </c>
      <c r="AO2189" t="s">
        <v>143</v>
      </c>
      <c r="AP2189">
        <v>0</v>
      </c>
      <c r="AR2189" t="s">
        <v>2281</v>
      </c>
      <c r="AS2189" s="1">
        <v>44354.792361111111</v>
      </c>
      <c r="AT2189" s="1">
        <v>44354.808113425926</v>
      </c>
      <c r="AU2189" s="1">
        <v>44354.808113425926</v>
      </c>
      <c r="AV2189" t="s">
        <v>71</v>
      </c>
      <c r="AW2189" t="s">
        <v>72</v>
      </c>
      <c r="AX2189" t="s">
        <v>73</v>
      </c>
    </row>
    <row r="2190" spans="1:50" x14ac:dyDescent="0.3">
      <c r="A2190" t="str">
        <f>"201125B0000"</f>
        <v>201125B0000</v>
      </c>
      <c r="B2190" t="str">
        <f>"201125B00002"</f>
        <v>201125B00002</v>
      </c>
      <c r="C2190" t="str">
        <f t="shared" si="106"/>
        <v>20</v>
      </c>
      <c r="D2190" t="s">
        <v>67</v>
      </c>
      <c r="E2190" t="str">
        <f t="shared" si="105"/>
        <v>010</v>
      </c>
      <c r="F2190" t="s">
        <v>2245</v>
      </c>
      <c r="G2190" t="str">
        <f>"1125"</f>
        <v>1125</v>
      </c>
      <c r="H2190" t="str">
        <f>"0000"</f>
        <v>0000</v>
      </c>
      <c r="I2190" t="s">
        <v>69</v>
      </c>
      <c r="J2190">
        <v>0</v>
      </c>
      <c r="K2190">
        <v>1</v>
      </c>
      <c r="L2190">
        <v>2</v>
      </c>
      <c r="AM2190">
        <v>522</v>
      </c>
      <c r="AN2190">
        <v>44</v>
      </c>
      <c r="AO2190" t="s">
        <v>143</v>
      </c>
      <c r="AP2190">
        <v>0</v>
      </c>
      <c r="AR2190" t="s">
        <v>2282</v>
      </c>
      <c r="AS2190" s="1">
        <v>44354.797222222223</v>
      </c>
      <c r="AT2190" s="1">
        <v>44354.810034722221</v>
      </c>
      <c r="AU2190" s="1">
        <v>44354.810034722221</v>
      </c>
      <c r="AV2190" t="s">
        <v>71</v>
      </c>
      <c r="AW2190" t="s">
        <v>72</v>
      </c>
      <c r="AX2190" t="s">
        <v>73</v>
      </c>
    </row>
    <row r="2191" spans="1:50" x14ac:dyDescent="0.3">
      <c r="A2191" t="str">
        <f>"201125C0100"</f>
        <v>201125C0100</v>
      </c>
      <c r="B2191" t="str">
        <f>"201125C01002"</f>
        <v>201125C01002</v>
      </c>
      <c r="C2191" t="str">
        <f t="shared" si="106"/>
        <v>20</v>
      </c>
      <c r="D2191" t="s">
        <v>67</v>
      </c>
      <c r="E2191" t="str">
        <f t="shared" si="105"/>
        <v>010</v>
      </c>
      <c r="F2191" t="s">
        <v>2245</v>
      </c>
      <c r="G2191" t="str">
        <f>"1125"</f>
        <v>1125</v>
      </c>
      <c r="H2191" t="str">
        <f>"0001"</f>
        <v>0001</v>
      </c>
      <c r="I2191" t="s">
        <v>75</v>
      </c>
      <c r="J2191">
        <v>0</v>
      </c>
      <c r="K2191">
        <v>1</v>
      </c>
      <c r="L2191">
        <v>2</v>
      </c>
      <c r="AM2191">
        <v>521</v>
      </c>
      <c r="AN2191">
        <v>44</v>
      </c>
      <c r="AO2191" t="s">
        <v>143</v>
      </c>
      <c r="AP2191">
        <v>0</v>
      </c>
      <c r="AR2191" t="s">
        <v>2283</v>
      </c>
      <c r="AS2191" s="1">
        <v>44354.798611111109</v>
      </c>
      <c r="AT2191" s="1">
        <v>44354.809710648151</v>
      </c>
      <c r="AU2191" s="1">
        <v>44354.809710648151</v>
      </c>
      <c r="AV2191" t="s">
        <v>71</v>
      </c>
      <c r="AW2191" t="s">
        <v>72</v>
      </c>
      <c r="AX2191" t="s">
        <v>73</v>
      </c>
    </row>
    <row r="2192" spans="1:50" x14ac:dyDescent="0.3">
      <c r="A2192" t="str">
        <f>"201125E0100"</f>
        <v>201125E0100</v>
      </c>
      <c r="B2192" t="str">
        <f>"201125E01002"</f>
        <v>201125E01002</v>
      </c>
      <c r="C2192" t="str">
        <f t="shared" si="106"/>
        <v>20</v>
      </c>
      <c r="D2192" t="s">
        <v>67</v>
      </c>
      <c r="E2192" t="str">
        <f t="shared" si="105"/>
        <v>010</v>
      </c>
      <c r="F2192" t="s">
        <v>2245</v>
      </c>
      <c r="G2192" t="str">
        <f>"1125"</f>
        <v>1125</v>
      </c>
      <c r="H2192" t="str">
        <f>"0001"</f>
        <v>0001</v>
      </c>
      <c r="I2192" t="s">
        <v>109</v>
      </c>
      <c r="J2192">
        <v>0</v>
      </c>
      <c r="K2192">
        <v>1</v>
      </c>
      <c r="L2192">
        <v>2</v>
      </c>
      <c r="AM2192">
        <v>514</v>
      </c>
      <c r="AN2192">
        <v>44</v>
      </c>
      <c r="AO2192" t="s">
        <v>143</v>
      </c>
      <c r="AP2192">
        <v>0</v>
      </c>
      <c r="AR2192" t="s">
        <v>2284</v>
      </c>
      <c r="AS2192" s="1">
        <v>44354.8</v>
      </c>
      <c r="AT2192" s="1">
        <v>44354.810208333336</v>
      </c>
      <c r="AU2192" s="1">
        <v>44354.810208333336</v>
      </c>
      <c r="AV2192" t="s">
        <v>71</v>
      </c>
      <c r="AW2192" t="s">
        <v>72</v>
      </c>
      <c r="AX2192" t="s">
        <v>73</v>
      </c>
    </row>
    <row r="2193" spans="1:50" x14ac:dyDescent="0.3">
      <c r="A2193" t="str">
        <f>"201126B0000"</f>
        <v>201126B0000</v>
      </c>
      <c r="B2193" t="str">
        <f>"201126B00002"</f>
        <v>201126B00002</v>
      </c>
      <c r="C2193" t="str">
        <f t="shared" si="106"/>
        <v>20</v>
      </c>
      <c r="D2193" t="s">
        <v>67</v>
      </c>
      <c r="E2193" t="str">
        <f t="shared" si="105"/>
        <v>010</v>
      </c>
      <c r="F2193" t="s">
        <v>2245</v>
      </c>
      <c r="G2193" t="str">
        <f>"1126"</f>
        <v>1126</v>
      </c>
      <c r="H2193" t="str">
        <f>"0000"</f>
        <v>0000</v>
      </c>
      <c r="I2193" t="s">
        <v>69</v>
      </c>
      <c r="J2193">
        <v>0</v>
      </c>
      <c r="K2193">
        <v>1</v>
      </c>
      <c r="L2193">
        <v>2</v>
      </c>
      <c r="AM2193">
        <v>506</v>
      </c>
      <c r="AN2193">
        <v>44</v>
      </c>
      <c r="AO2193" t="s">
        <v>143</v>
      </c>
      <c r="AP2193">
        <v>0</v>
      </c>
      <c r="AR2193" t="s">
        <v>2285</v>
      </c>
      <c r="AS2193" s="1">
        <v>44354.792361111111</v>
      </c>
      <c r="AT2193" s="1">
        <v>44354.808055555557</v>
      </c>
      <c r="AU2193" s="1">
        <v>44354.808055555557</v>
      </c>
      <c r="AV2193" t="s">
        <v>71</v>
      </c>
      <c r="AW2193" t="s">
        <v>72</v>
      </c>
      <c r="AX2193" t="s">
        <v>73</v>
      </c>
    </row>
    <row r="2194" spans="1:50" x14ac:dyDescent="0.3">
      <c r="A2194" t="str">
        <f>"201126C0100"</f>
        <v>201126C0100</v>
      </c>
      <c r="B2194" t="str">
        <f>"201126C01002"</f>
        <v>201126C01002</v>
      </c>
      <c r="C2194" t="str">
        <f t="shared" si="106"/>
        <v>20</v>
      </c>
      <c r="D2194" t="s">
        <v>67</v>
      </c>
      <c r="E2194" t="str">
        <f t="shared" si="105"/>
        <v>010</v>
      </c>
      <c r="F2194" t="s">
        <v>2245</v>
      </c>
      <c r="G2194" t="str">
        <f>"1126"</f>
        <v>1126</v>
      </c>
      <c r="H2194" t="str">
        <f>"0001"</f>
        <v>0001</v>
      </c>
      <c r="I2194" t="s">
        <v>75</v>
      </c>
      <c r="J2194">
        <v>0</v>
      </c>
      <c r="K2194">
        <v>1</v>
      </c>
      <c r="L2194">
        <v>2</v>
      </c>
      <c r="AM2194">
        <v>506</v>
      </c>
      <c r="AN2194">
        <v>44</v>
      </c>
      <c r="AO2194" t="s">
        <v>143</v>
      </c>
      <c r="AP2194">
        <v>0</v>
      </c>
      <c r="AR2194" t="s">
        <v>2286</v>
      </c>
      <c r="AS2194" s="1">
        <v>44354.792361111111</v>
      </c>
      <c r="AT2194" s="1">
        <v>44354.808206018519</v>
      </c>
      <c r="AU2194" s="1">
        <v>44354.808206018519</v>
      </c>
      <c r="AV2194" t="s">
        <v>71</v>
      </c>
      <c r="AW2194" t="s">
        <v>72</v>
      </c>
      <c r="AX2194" t="s">
        <v>73</v>
      </c>
    </row>
    <row r="2195" spans="1:50" x14ac:dyDescent="0.3">
      <c r="A2195" t="str">
        <f>"201126C0200"</f>
        <v>201126C0200</v>
      </c>
      <c r="B2195" t="str">
        <f>"201126C02002"</f>
        <v>201126C02002</v>
      </c>
      <c r="C2195" t="str">
        <f t="shared" si="106"/>
        <v>20</v>
      </c>
      <c r="D2195" t="s">
        <v>67</v>
      </c>
      <c r="E2195" t="str">
        <f t="shared" si="105"/>
        <v>010</v>
      </c>
      <c r="F2195" t="s">
        <v>2245</v>
      </c>
      <c r="G2195" t="str">
        <f>"1126"</f>
        <v>1126</v>
      </c>
      <c r="H2195" t="str">
        <f>"0002"</f>
        <v>0002</v>
      </c>
      <c r="I2195" t="s">
        <v>75</v>
      </c>
      <c r="J2195">
        <v>0</v>
      </c>
      <c r="K2195">
        <v>1</v>
      </c>
      <c r="L2195">
        <v>2</v>
      </c>
      <c r="AM2195">
        <v>505</v>
      </c>
      <c r="AN2195">
        <v>44</v>
      </c>
      <c r="AO2195" t="s">
        <v>143</v>
      </c>
      <c r="AP2195">
        <v>0</v>
      </c>
      <c r="AR2195" t="s">
        <v>2287</v>
      </c>
      <c r="AS2195" s="1">
        <v>44354.793055555558</v>
      </c>
      <c r="AT2195" s="1">
        <v>44354.808298611111</v>
      </c>
      <c r="AU2195" s="1">
        <v>44354.808298611111</v>
      </c>
      <c r="AV2195" t="s">
        <v>71</v>
      </c>
      <c r="AW2195" t="s">
        <v>72</v>
      </c>
      <c r="AX2195" t="s">
        <v>73</v>
      </c>
    </row>
    <row r="2196" spans="1:50" x14ac:dyDescent="0.3">
      <c r="A2196" t="str">
        <f>"201127B0000"</f>
        <v>201127B0000</v>
      </c>
      <c r="B2196" t="str">
        <f>"201127B00002"</f>
        <v>201127B00002</v>
      </c>
      <c r="C2196" t="str">
        <f t="shared" si="106"/>
        <v>20</v>
      </c>
      <c r="D2196" t="s">
        <v>67</v>
      </c>
      <c r="E2196" t="str">
        <f t="shared" si="105"/>
        <v>010</v>
      </c>
      <c r="F2196" t="s">
        <v>2245</v>
      </c>
      <c r="G2196" t="str">
        <f>"1127"</f>
        <v>1127</v>
      </c>
      <c r="H2196" t="str">
        <f>"0000"</f>
        <v>0000</v>
      </c>
      <c r="I2196" t="s">
        <v>69</v>
      </c>
      <c r="J2196">
        <v>0</v>
      </c>
      <c r="K2196">
        <v>1</v>
      </c>
      <c r="L2196">
        <v>2</v>
      </c>
      <c r="AM2196">
        <v>683</v>
      </c>
      <c r="AN2196">
        <v>44</v>
      </c>
      <c r="AO2196" t="s">
        <v>143</v>
      </c>
      <c r="AP2196">
        <v>0</v>
      </c>
      <c r="AR2196" s="2" t="s">
        <v>2288</v>
      </c>
      <c r="AS2196" s="1">
        <v>44354.793749999997</v>
      </c>
      <c r="AT2196" s="1">
        <v>44354.808425925927</v>
      </c>
      <c r="AU2196" s="1">
        <v>44354.808425925927</v>
      </c>
      <c r="AV2196" t="s">
        <v>71</v>
      </c>
      <c r="AW2196" t="s">
        <v>72</v>
      </c>
      <c r="AX2196" t="s">
        <v>73</v>
      </c>
    </row>
    <row r="2197" spans="1:50" x14ac:dyDescent="0.3">
      <c r="A2197" t="str">
        <f>"201127E0100"</f>
        <v>201127E0100</v>
      </c>
      <c r="B2197" t="str">
        <f>"201127E01002"</f>
        <v>201127E01002</v>
      </c>
      <c r="C2197" t="str">
        <f t="shared" si="106"/>
        <v>20</v>
      </c>
      <c r="D2197" t="s">
        <v>67</v>
      </c>
      <c r="E2197" t="str">
        <f t="shared" si="105"/>
        <v>010</v>
      </c>
      <c r="F2197" t="s">
        <v>2245</v>
      </c>
      <c r="G2197" t="str">
        <f>"1127"</f>
        <v>1127</v>
      </c>
      <c r="H2197" t="str">
        <f>"0001"</f>
        <v>0001</v>
      </c>
      <c r="I2197" t="s">
        <v>109</v>
      </c>
      <c r="J2197">
        <v>0</v>
      </c>
      <c r="K2197">
        <v>1</v>
      </c>
      <c r="L2197">
        <v>2</v>
      </c>
      <c r="AM2197">
        <v>445</v>
      </c>
      <c r="AN2197">
        <v>44</v>
      </c>
      <c r="AO2197" t="s">
        <v>143</v>
      </c>
      <c r="AP2197">
        <v>0</v>
      </c>
      <c r="AR2197" t="s">
        <v>2289</v>
      </c>
      <c r="AS2197" s="1">
        <v>44354.794444444444</v>
      </c>
      <c r="AT2197" s="1">
        <v>44354.808576388888</v>
      </c>
      <c r="AU2197" s="1">
        <v>44354.808576388888</v>
      </c>
      <c r="AV2197" t="s">
        <v>71</v>
      </c>
      <c r="AW2197" t="s">
        <v>72</v>
      </c>
      <c r="AX2197" t="s">
        <v>73</v>
      </c>
    </row>
    <row r="2198" spans="1:50" x14ac:dyDescent="0.3">
      <c r="A2198" t="str">
        <f>"201127E0101"</f>
        <v>201127E0101</v>
      </c>
      <c r="B2198" t="str">
        <f>"201127E01012"</f>
        <v>201127E01012</v>
      </c>
      <c r="C2198" t="str">
        <f t="shared" si="106"/>
        <v>20</v>
      </c>
      <c r="D2198" t="s">
        <v>67</v>
      </c>
      <c r="E2198" t="str">
        <f t="shared" si="105"/>
        <v>010</v>
      </c>
      <c r="F2198" t="s">
        <v>2245</v>
      </c>
      <c r="G2198" t="str">
        <f>"1127"</f>
        <v>1127</v>
      </c>
      <c r="H2198" t="str">
        <f>"0001"</f>
        <v>0001</v>
      </c>
      <c r="I2198" t="s">
        <v>109</v>
      </c>
      <c r="J2198">
        <v>1</v>
      </c>
      <c r="K2198">
        <v>1</v>
      </c>
      <c r="L2198">
        <v>2</v>
      </c>
      <c r="AM2198">
        <v>444</v>
      </c>
      <c r="AN2198">
        <v>44</v>
      </c>
      <c r="AO2198" t="s">
        <v>143</v>
      </c>
      <c r="AP2198">
        <v>0</v>
      </c>
      <c r="AR2198" t="s">
        <v>2290</v>
      </c>
      <c r="AS2198" s="1">
        <v>44354.795138888891</v>
      </c>
      <c r="AT2198" s="1">
        <v>44354.808749999997</v>
      </c>
      <c r="AU2198" s="1">
        <v>44354.808749999997</v>
      </c>
      <c r="AV2198" t="s">
        <v>71</v>
      </c>
      <c r="AW2198" t="s">
        <v>72</v>
      </c>
      <c r="AX2198" t="s">
        <v>73</v>
      </c>
    </row>
    <row r="2199" spans="1:50" x14ac:dyDescent="0.3">
      <c r="A2199" t="str">
        <f>"201128B0000"</f>
        <v>201128B0000</v>
      </c>
      <c r="B2199" t="str">
        <f>"201128B00002"</f>
        <v>201128B00002</v>
      </c>
      <c r="C2199" t="str">
        <f t="shared" si="106"/>
        <v>20</v>
      </c>
      <c r="D2199" t="s">
        <v>67</v>
      </c>
      <c r="E2199" t="str">
        <f t="shared" si="105"/>
        <v>010</v>
      </c>
      <c r="F2199" t="s">
        <v>2245</v>
      </c>
      <c r="G2199" t="str">
        <f>"1128"</f>
        <v>1128</v>
      </c>
      <c r="H2199" t="str">
        <f>"0000"</f>
        <v>0000</v>
      </c>
      <c r="I2199" t="s">
        <v>69</v>
      </c>
      <c r="J2199">
        <v>0</v>
      </c>
      <c r="K2199">
        <v>1</v>
      </c>
      <c r="L2199">
        <v>2</v>
      </c>
      <c r="M2199">
        <v>145</v>
      </c>
      <c r="N2199">
        <v>82</v>
      </c>
      <c r="O2199">
        <v>3</v>
      </c>
      <c r="P2199">
        <v>82</v>
      </c>
      <c r="Q2199">
        <v>1</v>
      </c>
      <c r="R2199">
        <v>12</v>
      </c>
      <c r="S2199">
        <v>4</v>
      </c>
      <c r="T2199">
        <v>0</v>
      </c>
      <c r="U2199">
        <v>7</v>
      </c>
      <c r="V2199">
        <v>2</v>
      </c>
      <c r="W2199">
        <v>1</v>
      </c>
      <c r="X2199">
        <v>40</v>
      </c>
      <c r="Y2199">
        <v>0</v>
      </c>
      <c r="Z2199">
        <v>3</v>
      </c>
      <c r="AA2199">
        <v>2</v>
      </c>
      <c r="AB2199">
        <v>8</v>
      </c>
      <c r="AD2199" t="s">
        <v>77</v>
      </c>
      <c r="AE2199" t="s">
        <v>77</v>
      </c>
      <c r="AF2199" t="s">
        <v>77</v>
      </c>
      <c r="AG2199" t="s">
        <v>77</v>
      </c>
      <c r="AH2199" t="s">
        <v>77</v>
      </c>
      <c r="AI2199" t="s">
        <v>77</v>
      </c>
      <c r="AJ2199" t="s">
        <v>77</v>
      </c>
      <c r="AK2199" t="s">
        <v>77</v>
      </c>
      <c r="AL2199">
        <v>80</v>
      </c>
      <c r="AM2199">
        <v>183</v>
      </c>
      <c r="AN2199">
        <v>44</v>
      </c>
      <c r="AO2199" t="s">
        <v>78</v>
      </c>
      <c r="AP2199">
        <v>1</v>
      </c>
      <c r="AR2199" t="s">
        <v>2291</v>
      </c>
      <c r="AS2199" s="1">
        <v>44354.116666666669</v>
      </c>
      <c r="AT2199" s="1">
        <v>44354.11859953704</v>
      </c>
      <c r="AU2199" s="1">
        <v>44354.118981481479</v>
      </c>
      <c r="AV2199" t="s">
        <v>71</v>
      </c>
      <c r="AW2199" t="s">
        <v>72</v>
      </c>
      <c r="AX2199" t="s">
        <v>73</v>
      </c>
    </row>
    <row r="2200" spans="1:50" x14ac:dyDescent="0.3">
      <c r="A2200" t="str">
        <f>"201128E0100"</f>
        <v>201128E0100</v>
      </c>
      <c r="B2200" t="str">
        <f>"201128E01002"</f>
        <v>201128E01002</v>
      </c>
      <c r="C2200" t="str">
        <f t="shared" si="106"/>
        <v>20</v>
      </c>
      <c r="D2200" t="s">
        <v>67</v>
      </c>
      <c r="E2200" t="str">
        <f t="shared" si="105"/>
        <v>010</v>
      </c>
      <c r="F2200" t="s">
        <v>2245</v>
      </c>
      <c r="G2200" t="str">
        <f>"1128"</f>
        <v>1128</v>
      </c>
      <c r="H2200" t="str">
        <f>"0001"</f>
        <v>0001</v>
      </c>
      <c r="I2200" t="s">
        <v>109</v>
      </c>
      <c r="J2200">
        <v>0</v>
      </c>
      <c r="K2200">
        <v>1</v>
      </c>
      <c r="L2200">
        <v>2</v>
      </c>
      <c r="AM2200">
        <v>171</v>
      </c>
      <c r="AN2200">
        <v>44</v>
      </c>
      <c r="AO2200" t="s">
        <v>143</v>
      </c>
      <c r="AP2200">
        <v>0</v>
      </c>
      <c r="AR2200" t="s">
        <v>2292</v>
      </c>
      <c r="AS2200" s="1">
        <v>44354.792361111111</v>
      </c>
      <c r="AT2200" s="1">
        <v>44354.808692129627</v>
      </c>
      <c r="AU2200" s="1">
        <v>44354.808692129627</v>
      </c>
      <c r="AV2200" t="s">
        <v>71</v>
      </c>
      <c r="AW2200" t="s">
        <v>72</v>
      </c>
      <c r="AX2200" t="s">
        <v>73</v>
      </c>
    </row>
    <row r="2201" spans="1:50" x14ac:dyDescent="0.3">
      <c r="A2201" t="str">
        <f>"201164B0000"</f>
        <v>201164B0000</v>
      </c>
      <c r="B2201" t="str">
        <f>"201164B00002"</f>
        <v>201164B00002</v>
      </c>
      <c r="C2201" t="str">
        <f t="shared" si="106"/>
        <v>20</v>
      </c>
      <c r="D2201" t="s">
        <v>67</v>
      </c>
      <c r="E2201" t="str">
        <f t="shared" si="105"/>
        <v>010</v>
      </c>
      <c r="F2201" t="s">
        <v>2245</v>
      </c>
      <c r="G2201" t="str">
        <f>"1164"</f>
        <v>1164</v>
      </c>
      <c r="H2201" t="str">
        <f>"0000"</f>
        <v>0000</v>
      </c>
      <c r="I2201" t="s">
        <v>69</v>
      </c>
      <c r="J2201">
        <v>0</v>
      </c>
      <c r="K2201">
        <v>1</v>
      </c>
      <c r="L2201">
        <v>2</v>
      </c>
      <c r="M2201">
        <v>548</v>
      </c>
      <c r="N2201">
        <v>173</v>
      </c>
      <c r="O2201">
        <v>5</v>
      </c>
      <c r="P2201">
        <v>173</v>
      </c>
      <c r="Q2201">
        <v>8</v>
      </c>
      <c r="R2201">
        <v>12</v>
      </c>
      <c r="S2201">
        <v>3</v>
      </c>
      <c r="T2201">
        <v>38</v>
      </c>
      <c r="U2201">
        <v>45</v>
      </c>
      <c r="V2201">
        <v>2</v>
      </c>
      <c r="W2201">
        <v>2</v>
      </c>
      <c r="X2201">
        <v>49</v>
      </c>
      <c r="Y2201">
        <v>0</v>
      </c>
      <c r="Z2201">
        <v>4</v>
      </c>
      <c r="AA2201">
        <v>3</v>
      </c>
      <c r="AB2201">
        <v>1</v>
      </c>
      <c r="AD2201" t="s">
        <v>77</v>
      </c>
      <c r="AE2201" t="s">
        <v>77</v>
      </c>
      <c r="AF2201" t="s">
        <v>77</v>
      </c>
      <c r="AG2201" t="s">
        <v>77</v>
      </c>
      <c r="AH2201" t="s">
        <v>77</v>
      </c>
      <c r="AI2201" t="s">
        <v>77</v>
      </c>
      <c r="AJ2201" t="s">
        <v>77</v>
      </c>
      <c r="AK2201" t="s">
        <v>77</v>
      </c>
      <c r="AL2201">
        <v>167</v>
      </c>
      <c r="AM2201">
        <v>677</v>
      </c>
      <c r="AN2201">
        <v>44</v>
      </c>
      <c r="AO2201" t="s">
        <v>78</v>
      </c>
      <c r="AP2201">
        <v>1</v>
      </c>
      <c r="AR2201" t="s">
        <v>2293</v>
      </c>
      <c r="AS2201" s="1">
        <v>44353.98333333333</v>
      </c>
      <c r="AT2201" s="1">
        <v>44353.985717592594</v>
      </c>
      <c r="AU2201" s="1">
        <v>44353.986446759256</v>
      </c>
      <c r="AV2201" t="s">
        <v>71</v>
      </c>
      <c r="AW2201" t="s">
        <v>72</v>
      </c>
      <c r="AX2201" t="s">
        <v>73</v>
      </c>
    </row>
    <row r="2202" spans="1:50" x14ac:dyDescent="0.3">
      <c r="A2202" t="str">
        <f>"201165B0000"</f>
        <v>201165B0000</v>
      </c>
      <c r="B2202" t="str">
        <f>"201165B00002"</f>
        <v>201165B00002</v>
      </c>
      <c r="C2202" t="str">
        <f t="shared" si="106"/>
        <v>20</v>
      </c>
      <c r="D2202" t="s">
        <v>67</v>
      </c>
      <c r="E2202" t="str">
        <f t="shared" si="105"/>
        <v>010</v>
      </c>
      <c r="F2202" t="s">
        <v>2245</v>
      </c>
      <c r="G2202" t="str">
        <f>"1165"</f>
        <v>1165</v>
      </c>
      <c r="H2202" t="str">
        <f>"0000"</f>
        <v>0000</v>
      </c>
      <c r="I2202" t="s">
        <v>69</v>
      </c>
      <c r="J2202">
        <v>0</v>
      </c>
      <c r="K2202">
        <v>1</v>
      </c>
      <c r="L2202">
        <v>2</v>
      </c>
      <c r="AM2202">
        <v>586</v>
      </c>
      <c r="AN2202">
        <v>44</v>
      </c>
      <c r="AO2202" t="s">
        <v>143</v>
      </c>
      <c r="AP2202">
        <v>0</v>
      </c>
      <c r="AR2202" s="2" t="s">
        <v>2294</v>
      </c>
      <c r="AS2202" s="1">
        <v>44354.791666666664</v>
      </c>
      <c r="AT2202" s="1">
        <v>44354.808692129627</v>
      </c>
      <c r="AU2202" s="1">
        <v>44354.808692129627</v>
      </c>
      <c r="AV2202" t="s">
        <v>71</v>
      </c>
      <c r="AW2202" t="s">
        <v>72</v>
      </c>
      <c r="AX2202" t="s">
        <v>73</v>
      </c>
    </row>
    <row r="2203" spans="1:50" x14ac:dyDescent="0.3">
      <c r="A2203" t="str">
        <f>"201166B0000"</f>
        <v>201166B0000</v>
      </c>
      <c r="B2203" t="str">
        <f>"201166B00002"</f>
        <v>201166B00002</v>
      </c>
      <c r="C2203" t="str">
        <f t="shared" si="106"/>
        <v>20</v>
      </c>
      <c r="D2203" t="s">
        <v>67</v>
      </c>
      <c r="E2203" t="str">
        <f t="shared" si="105"/>
        <v>010</v>
      </c>
      <c r="F2203" t="s">
        <v>2245</v>
      </c>
      <c r="G2203" t="str">
        <f>"1166"</f>
        <v>1166</v>
      </c>
      <c r="H2203" t="str">
        <f>"0000"</f>
        <v>0000</v>
      </c>
      <c r="I2203" t="s">
        <v>69</v>
      </c>
      <c r="J2203">
        <v>0</v>
      </c>
      <c r="K2203">
        <v>1</v>
      </c>
      <c r="L2203">
        <v>2</v>
      </c>
      <c r="M2203">
        <v>225</v>
      </c>
      <c r="N2203">
        <v>138</v>
      </c>
      <c r="O2203">
        <v>5</v>
      </c>
      <c r="P2203">
        <v>138</v>
      </c>
      <c r="Q2203">
        <v>1</v>
      </c>
      <c r="R2203">
        <v>31</v>
      </c>
      <c r="S2203">
        <v>4</v>
      </c>
      <c r="T2203">
        <v>7</v>
      </c>
      <c r="U2203">
        <v>50</v>
      </c>
      <c r="V2203">
        <v>3</v>
      </c>
      <c r="W2203">
        <v>2</v>
      </c>
      <c r="X2203" t="s">
        <v>99</v>
      </c>
      <c r="Y2203" t="s">
        <v>77</v>
      </c>
      <c r="Z2203">
        <v>4</v>
      </c>
      <c r="AA2203" t="s">
        <v>77</v>
      </c>
      <c r="AB2203" t="s">
        <v>77</v>
      </c>
      <c r="AD2203" t="s">
        <v>77</v>
      </c>
      <c r="AE2203" t="s">
        <v>77</v>
      </c>
      <c r="AF2203" t="s">
        <v>77</v>
      </c>
      <c r="AG2203" t="s">
        <v>77</v>
      </c>
      <c r="AH2203" t="s">
        <v>77</v>
      </c>
      <c r="AI2203" t="s">
        <v>77</v>
      </c>
      <c r="AJ2203">
        <v>5</v>
      </c>
      <c r="AK2203">
        <v>138</v>
      </c>
      <c r="AL2203">
        <v>107</v>
      </c>
      <c r="AM2203">
        <v>319</v>
      </c>
      <c r="AN2203">
        <v>44</v>
      </c>
      <c r="AO2203" t="s">
        <v>78</v>
      </c>
      <c r="AP2203">
        <v>1</v>
      </c>
      <c r="AR2203" t="s">
        <v>2295</v>
      </c>
      <c r="AS2203" s="1">
        <v>44354.043749999997</v>
      </c>
      <c r="AT2203" s="1">
        <v>44354.052395833336</v>
      </c>
      <c r="AU2203" s="1">
        <v>44354.053344907406</v>
      </c>
      <c r="AV2203" t="s">
        <v>71</v>
      </c>
      <c r="AW2203" t="s">
        <v>72</v>
      </c>
      <c r="AX2203" t="s">
        <v>73</v>
      </c>
    </row>
    <row r="2204" spans="1:50" x14ac:dyDescent="0.3">
      <c r="A2204" t="str">
        <f>"201167B0000"</f>
        <v>201167B0000</v>
      </c>
      <c r="B2204" t="str">
        <f>"201167B00002"</f>
        <v>201167B00002</v>
      </c>
      <c r="C2204" t="str">
        <f t="shared" si="106"/>
        <v>20</v>
      </c>
      <c r="D2204" t="s">
        <v>67</v>
      </c>
      <c r="E2204" t="str">
        <f t="shared" si="105"/>
        <v>010</v>
      </c>
      <c r="F2204" t="s">
        <v>2245</v>
      </c>
      <c r="G2204" t="str">
        <f>"1167"</f>
        <v>1167</v>
      </c>
      <c r="H2204" t="str">
        <f>"0000"</f>
        <v>0000</v>
      </c>
      <c r="I2204" t="s">
        <v>69</v>
      </c>
      <c r="J2204">
        <v>0</v>
      </c>
      <c r="K2204">
        <v>1</v>
      </c>
      <c r="L2204">
        <v>2</v>
      </c>
      <c r="M2204" t="s">
        <v>80</v>
      </c>
      <c r="N2204" t="s">
        <v>80</v>
      </c>
      <c r="O2204" t="s">
        <v>80</v>
      </c>
      <c r="P2204" t="s">
        <v>80</v>
      </c>
      <c r="Q2204">
        <v>4</v>
      </c>
      <c r="R2204">
        <v>14</v>
      </c>
      <c r="S2204">
        <v>0</v>
      </c>
      <c r="T2204">
        <v>2</v>
      </c>
      <c r="U2204">
        <v>4</v>
      </c>
      <c r="V2204">
        <v>2</v>
      </c>
      <c r="W2204">
        <v>2</v>
      </c>
      <c r="X2204">
        <v>24</v>
      </c>
      <c r="Y2204">
        <v>1</v>
      </c>
      <c r="Z2204">
        <v>0</v>
      </c>
      <c r="AA2204">
        <v>1</v>
      </c>
      <c r="AB2204">
        <v>1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2</v>
      </c>
      <c r="AK2204">
        <v>57</v>
      </c>
      <c r="AL2204">
        <v>57</v>
      </c>
      <c r="AM2204">
        <v>727</v>
      </c>
      <c r="AN2204">
        <v>44</v>
      </c>
      <c r="AP2204">
        <v>1</v>
      </c>
      <c r="AR2204" t="s">
        <v>2296</v>
      </c>
      <c r="AS2204" s="1">
        <v>44353.977777777778</v>
      </c>
      <c r="AT2204" s="1">
        <v>44354.09516203704</v>
      </c>
      <c r="AU2204" s="1">
        <v>44354.095543981479</v>
      </c>
      <c r="AV2204" t="s">
        <v>71</v>
      </c>
      <c r="AW2204" t="s">
        <v>72</v>
      </c>
      <c r="AX2204" t="s">
        <v>73</v>
      </c>
    </row>
    <row r="2205" spans="1:50" x14ac:dyDescent="0.3">
      <c r="A2205" t="str">
        <f>"201167E0100"</f>
        <v>201167E0100</v>
      </c>
      <c r="B2205" t="str">
        <f>"201167E01002"</f>
        <v>201167E01002</v>
      </c>
      <c r="C2205" t="str">
        <f t="shared" si="106"/>
        <v>20</v>
      </c>
      <c r="D2205" t="s">
        <v>67</v>
      </c>
      <c r="E2205" t="str">
        <f t="shared" si="105"/>
        <v>010</v>
      </c>
      <c r="F2205" t="s">
        <v>2245</v>
      </c>
      <c r="G2205" t="str">
        <f>"1167"</f>
        <v>1167</v>
      </c>
      <c r="H2205" t="str">
        <f>"0001"</f>
        <v>0001</v>
      </c>
      <c r="I2205" t="s">
        <v>109</v>
      </c>
      <c r="J2205">
        <v>0</v>
      </c>
      <c r="K2205">
        <v>1</v>
      </c>
      <c r="L2205">
        <v>2</v>
      </c>
      <c r="AM2205">
        <v>312</v>
      </c>
      <c r="AN2205">
        <v>44</v>
      </c>
      <c r="AO2205" t="s">
        <v>143</v>
      </c>
      <c r="AP2205">
        <v>0</v>
      </c>
      <c r="AR2205" t="s">
        <v>2297</v>
      </c>
      <c r="AS2205" s="1">
        <v>44354.791666666664</v>
      </c>
      <c r="AT2205" s="1">
        <v>44354.808993055558</v>
      </c>
      <c r="AU2205" s="1">
        <v>44354.808993055558</v>
      </c>
      <c r="AV2205" t="s">
        <v>71</v>
      </c>
      <c r="AW2205" t="s">
        <v>72</v>
      </c>
      <c r="AX2205" t="s">
        <v>73</v>
      </c>
    </row>
    <row r="2206" spans="1:50" x14ac:dyDescent="0.3">
      <c r="A2206" t="str">
        <f>"201177B0000"</f>
        <v>201177B0000</v>
      </c>
      <c r="B2206" t="str">
        <f>"201177B00002"</f>
        <v>201177B00002</v>
      </c>
      <c r="C2206" t="str">
        <f t="shared" si="106"/>
        <v>20</v>
      </c>
      <c r="D2206" t="s">
        <v>67</v>
      </c>
      <c r="E2206" t="str">
        <f t="shared" si="105"/>
        <v>010</v>
      </c>
      <c r="F2206" t="s">
        <v>2245</v>
      </c>
      <c r="G2206" t="str">
        <f>"1177"</f>
        <v>1177</v>
      </c>
      <c r="H2206" t="str">
        <f>"0000"</f>
        <v>0000</v>
      </c>
      <c r="I2206" t="s">
        <v>69</v>
      </c>
      <c r="J2206">
        <v>0</v>
      </c>
      <c r="K2206">
        <v>1</v>
      </c>
      <c r="L2206">
        <v>2</v>
      </c>
      <c r="AM2206">
        <v>624</v>
      </c>
      <c r="AN2206">
        <v>44</v>
      </c>
      <c r="AO2206" t="s">
        <v>143</v>
      </c>
      <c r="AP2206">
        <v>0</v>
      </c>
      <c r="AR2206" t="s">
        <v>2298</v>
      </c>
      <c r="AS2206" s="1">
        <v>44354.791666666664</v>
      </c>
      <c r="AT2206" s="1">
        <v>44354.808819444443</v>
      </c>
      <c r="AU2206" s="1">
        <v>44354.808819444443</v>
      </c>
      <c r="AV2206" t="s">
        <v>71</v>
      </c>
      <c r="AW2206" t="s">
        <v>72</v>
      </c>
      <c r="AX2206" t="s">
        <v>73</v>
      </c>
    </row>
    <row r="2207" spans="1:50" x14ac:dyDescent="0.3">
      <c r="A2207" t="str">
        <f>"201177E0100"</f>
        <v>201177E0100</v>
      </c>
      <c r="B2207" t="str">
        <f>"201177E01002"</f>
        <v>201177E01002</v>
      </c>
      <c r="C2207" t="str">
        <f t="shared" si="106"/>
        <v>20</v>
      </c>
      <c r="D2207" t="s">
        <v>67</v>
      </c>
      <c r="E2207" t="str">
        <f t="shared" si="105"/>
        <v>010</v>
      </c>
      <c r="F2207" t="s">
        <v>2245</v>
      </c>
      <c r="G2207" t="str">
        <f>"1177"</f>
        <v>1177</v>
      </c>
      <c r="H2207" t="str">
        <f>"0001"</f>
        <v>0001</v>
      </c>
      <c r="I2207" t="s">
        <v>109</v>
      </c>
      <c r="J2207">
        <v>0</v>
      </c>
      <c r="K2207">
        <v>1</v>
      </c>
      <c r="L2207">
        <v>2</v>
      </c>
      <c r="AM2207">
        <v>729</v>
      </c>
      <c r="AN2207">
        <v>44</v>
      </c>
      <c r="AO2207" t="s">
        <v>143</v>
      </c>
      <c r="AP2207">
        <v>0</v>
      </c>
      <c r="AR2207" t="s">
        <v>2299</v>
      </c>
      <c r="AS2207" s="1">
        <v>44354.791666666664</v>
      </c>
      <c r="AT2207" s="1">
        <v>44354.808796296296</v>
      </c>
      <c r="AU2207" s="1">
        <v>44354.808796296296</v>
      </c>
      <c r="AV2207" t="s">
        <v>71</v>
      </c>
      <c r="AW2207" t="s">
        <v>72</v>
      </c>
      <c r="AX2207" t="s">
        <v>73</v>
      </c>
    </row>
    <row r="2208" spans="1:50" x14ac:dyDescent="0.3">
      <c r="A2208" t="str">
        <f>"201178B0000"</f>
        <v>201178B0000</v>
      </c>
      <c r="B2208" t="str">
        <f>"201178B00002"</f>
        <v>201178B00002</v>
      </c>
      <c r="C2208" t="str">
        <f t="shared" si="106"/>
        <v>20</v>
      </c>
      <c r="D2208" t="s">
        <v>67</v>
      </c>
      <c r="E2208" t="str">
        <f t="shared" si="105"/>
        <v>010</v>
      </c>
      <c r="F2208" t="s">
        <v>2245</v>
      </c>
      <c r="G2208" t="str">
        <f>"1178"</f>
        <v>1178</v>
      </c>
      <c r="H2208" t="str">
        <f>"0000"</f>
        <v>0000</v>
      </c>
      <c r="I2208" t="s">
        <v>69</v>
      </c>
      <c r="J2208">
        <v>0</v>
      </c>
      <c r="K2208">
        <v>1</v>
      </c>
      <c r="L2208">
        <v>2</v>
      </c>
      <c r="AM2208">
        <v>672</v>
      </c>
      <c r="AN2208">
        <v>44</v>
      </c>
      <c r="AO2208" t="s">
        <v>143</v>
      </c>
      <c r="AP2208">
        <v>0</v>
      </c>
      <c r="AR2208" t="s">
        <v>2300</v>
      </c>
      <c r="AS2208" s="1">
        <v>44354.791666666664</v>
      </c>
      <c r="AT2208" s="1">
        <v>44354.809016203704</v>
      </c>
      <c r="AU2208" s="1">
        <v>44354.809016203704</v>
      </c>
      <c r="AV2208" t="s">
        <v>71</v>
      </c>
      <c r="AW2208" t="s">
        <v>72</v>
      </c>
      <c r="AX2208" t="s">
        <v>73</v>
      </c>
    </row>
    <row r="2209" spans="1:50" x14ac:dyDescent="0.3">
      <c r="A2209" t="str">
        <f>"201178C0100"</f>
        <v>201178C0100</v>
      </c>
      <c r="B2209" t="str">
        <f>"201178C01002"</f>
        <v>201178C01002</v>
      </c>
      <c r="C2209" t="str">
        <f t="shared" si="106"/>
        <v>20</v>
      </c>
      <c r="D2209" t="s">
        <v>67</v>
      </c>
      <c r="E2209" t="str">
        <f t="shared" si="105"/>
        <v>010</v>
      </c>
      <c r="F2209" t="s">
        <v>2245</v>
      </c>
      <c r="G2209" t="str">
        <f>"1178"</f>
        <v>1178</v>
      </c>
      <c r="H2209" t="str">
        <f>"0001"</f>
        <v>0001</v>
      </c>
      <c r="I2209" t="s">
        <v>75</v>
      </c>
      <c r="J2209">
        <v>0</v>
      </c>
      <c r="K2209">
        <v>1</v>
      </c>
      <c r="L2209">
        <v>2</v>
      </c>
      <c r="AM2209">
        <v>671</v>
      </c>
      <c r="AN2209">
        <v>44</v>
      </c>
      <c r="AO2209" t="s">
        <v>143</v>
      </c>
      <c r="AP2209">
        <v>0</v>
      </c>
      <c r="AR2209" t="s">
        <v>2301</v>
      </c>
      <c r="AS2209" s="1">
        <v>44354.792361111111</v>
      </c>
      <c r="AT2209" s="1">
        <v>44354.809039351851</v>
      </c>
      <c r="AU2209" s="1">
        <v>44354.809039351851</v>
      </c>
      <c r="AV2209" t="s">
        <v>71</v>
      </c>
      <c r="AW2209" t="s">
        <v>72</v>
      </c>
      <c r="AX2209" t="s">
        <v>73</v>
      </c>
    </row>
    <row r="2210" spans="1:50" x14ac:dyDescent="0.3">
      <c r="A2210" t="str">
        <f>"201178E0100"</f>
        <v>201178E0100</v>
      </c>
      <c r="B2210" t="str">
        <f>"201178E01002"</f>
        <v>201178E01002</v>
      </c>
      <c r="C2210" t="str">
        <f t="shared" si="106"/>
        <v>20</v>
      </c>
      <c r="D2210" t="s">
        <v>67</v>
      </c>
      <c r="E2210" t="str">
        <f t="shared" si="105"/>
        <v>010</v>
      </c>
      <c r="F2210" t="s">
        <v>2245</v>
      </c>
      <c r="G2210" t="str">
        <f>"1178"</f>
        <v>1178</v>
      </c>
      <c r="H2210" t="str">
        <f>"0001"</f>
        <v>0001</v>
      </c>
      <c r="I2210" t="s">
        <v>109</v>
      </c>
      <c r="J2210">
        <v>0</v>
      </c>
      <c r="K2210">
        <v>1</v>
      </c>
      <c r="L2210">
        <v>2</v>
      </c>
      <c r="AM2210">
        <v>262</v>
      </c>
      <c r="AN2210">
        <v>44</v>
      </c>
      <c r="AO2210" t="s">
        <v>143</v>
      </c>
      <c r="AP2210">
        <v>0</v>
      </c>
      <c r="AR2210" t="s">
        <v>2302</v>
      </c>
      <c r="AS2210" s="1">
        <v>44354.797222222223</v>
      </c>
      <c r="AT2210" s="1">
        <v>44354.809282407405</v>
      </c>
      <c r="AU2210" s="1">
        <v>44354.809282407405</v>
      </c>
      <c r="AV2210" t="s">
        <v>71</v>
      </c>
      <c r="AW2210" t="s">
        <v>72</v>
      </c>
      <c r="AX2210" t="s">
        <v>73</v>
      </c>
    </row>
    <row r="2211" spans="1:50" x14ac:dyDescent="0.3">
      <c r="A2211" t="str">
        <f>"201178E0200"</f>
        <v>201178E0200</v>
      </c>
      <c r="B2211" t="str">
        <f>"201178E02002"</f>
        <v>201178E02002</v>
      </c>
      <c r="C2211" t="str">
        <f t="shared" si="106"/>
        <v>20</v>
      </c>
      <c r="D2211" t="s">
        <v>67</v>
      </c>
      <c r="E2211" t="str">
        <f t="shared" si="105"/>
        <v>010</v>
      </c>
      <c r="F2211" t="s">
        <v>2245</v>
      </c>
      <c r="G2211" t="str">
        <f>"1178"</f>
        <v>1178</v>
      </c>
      <c r="H2211" t="str">
        <f>"0002"</f>
        <v>0002</v>
      </c>
      <c r="I2211" t="s">
        <v>109</v>
      </c>
      <c r="J2211">
        <v>0</v>
      </c>
      <c r="K2211">
        <v>1</v>
      </c>
      <c r="L2211">
        <v>2</v>
      </c>
      <c r="AM2211">
        <v>285</v>
      </c>
      <c r="AN2211">
        <v>44</v>
      </c>
      <c r="AO2211" t="s">
        <v>143</v>
      </c>
      <c r="AP2211">
        <v>0</v>
      </c>
      <c r="AR2211" t="s">
        <v>2303</v>
      </c>
      <c r="AS2211" s="1">
        <v>44354.796527777777</v>
      </c>
      <c r="AT2211" s="1">
        <v>44354.809166666666</v>
      </c>
      <c r="AU2211" s="1">
        <v>44354.809166666666</v>
      </c>
      <c r="AV2211" t="s">
        <v>71</v>
      </c>
      <c r="AW2211" t="s">
        <v>72</v>
      </c>
      <c r="AX2211" t="s">
        <v>73</v>
      </c>
    </row>
    <row r="2212" spans="1:50" x14ac:dyDescent="0.3">
      <c r="A2212" t="str">
        <f>"201179B0000"</f>
        <v>201179B0000</v>
      </c>
      <c r="B2212" t="str">
        <f>"201179B00002"</f>
        <v>201179B00002</v>
      </c>
      <c r="C2212" t="str">
        <f t="shared" si="106"/>
        <v>20</v>
      </c>
      <c r="D2212" t="s">
        <v>67</v>
      </c>
      <c r="E2212" t="str">
        <f t="shared" si="105"/>
        <v>010</v>
      </c>
      <c r="F2212" t="s">
        <v>2245</v>
      </c>
      <c r="G2212" t="str">
        <f>"1179"</f>
        <v>1179</v>
      </c>
      <c r="H2212" t="str">
        <f>"0000"</f>
        <v>0000</v>
      </c>
      <c r="I2212" t="s">
        <v>69</v>
      </c>
      <c r="J2212">
        <v>0</v>
      </c>
      <c r="K2212">
        <v>1</v>
      </c>
      <c r="L2212">
        <v>2</v>
      </c>
      <c r="AM2212">
        <v>597</v>
      </c>
      <c r="AN2212">
        <v>44</v>
      </c>
      <c r="AO2212" t="s">
        <v>143</v>
      </c>
      <c r="AP2212">
        <v>0</v>
      </c>
      <c r="AR2212" t="s">
        <v>2304</v>
      </c>
      <c r="AS2212" s="1">
        <v>44354.795138888891</v>
      </c>
      <c r="AT2212" s="1">
        <v>44354.80914351852</v>
      </c>
      <c r="AU2212" s="1">
        <v>44354.80914351852</v>
      </c>
      <c r="AV2212" t="s">
        <v>71</v>
      </c>
      <c r="AW2212" t="s">
        <v>72</v>
      </c>
      <c r="AX2212" t="s">
        <v>73</v>
      </c>
    </row>
    <row r="2213" spans="1:50" x14ac:dyDescent="0.3">
      <c r="A2213" t="str">
        <f>"201179C0100"</f>
        <v>201179C0100</v>
      </c>
      <c r="B2213" t="str">
        <f>"201179C01002"</f>
        <v>201179C01002</v>
      </c>
      <c r="C2213" t="str">
        <f t="shared" si="106"/>
        <v>20</v>
      </c>
      <c r="D2213" t="s">
        <v>67</v>
      </c>
      <c r="E2213" t="str">
        <f t="shared" si="105"/>
        <v>010</v>
      </c>
      <c r="F2213" t="s">
        <v>2245</v>
      </c>
      <c r="G2213" t="str">
        <f>"1179"</f>
        <v>1179</v>
      </c>
      <c r="H2213" t="str">
        <f>"0001"</f>
        <v>0001</v>
      </c>
      <c r="I2213" t="s">
        <v>75</v>
      </c>
      <c r="J2213">
        <v>0</v>
      </c>
      <c r="K2213">
        <v>1</v>
      </c>
      <c r="L2213">
        <v>2</v>
      </c>
      <c r="AM2213">
        <v>597</v>
      </c>
      <c r="AN2213">
        <v>44</v>
      </c>
      <c r="AO2213" t="s">
        <v>143</v>
      </c>
      <c r="AP2213">
        <v>0</v>
      </c>
      <c r="AR2213" t="s">
        <v>2305</v>
      </c>
      <c r="AS2213" s="1">
        <v>44354.793055555558</v>
      </c>
      <c r="AT2213" s="1">
        <v>44354.809189814812</v>
      </c>
      <c r="AU2213" s="1">
        <v>44354.809189814812</v>
      </c>
      <c r="AV2213" t="s">
        <v>71</v>
      </c>
      <c r="AW2213" t="s">
        <v>72</v>
      </c>
      <c r="AX2213" t="s">
        <v>73</v>
      </c>
    </row>
    <row r="2214" spans="1:50" x14ac:dyDescent="0.3">
      <c r="A2214" t="str">
        <f>"201179C0200"</f>
        <v>201179C0200</v>
      </c>
      <c r="B2214" t="str">
        <f>"201179C02002"</f>
        <v>201179C02002</v>
      </c>
      <c r="C2214" t="str">
        <f t="shared" si="106"/>
        <v>20</v>
      </c>
      <c r="D2214" t="s">
        <v>67</v>
      </c>
      <c r="E2214" t="str">
        <f t="shared" si="105"/>
        <v>010</v>
      </c>
      <c r="F2214" t="s">
        <v>2245</v>
      </c>
      <c r="G2214" t="str">
        <f>"1179"</f>
        <v>1179</v>
      </c>
      <c r="H2214" t="str">
        <f>"0002"</f>
        <v>0002</v>
      </c>
      <c r="I2214" t="s">
        <v>75</v>
      </c>
      <c r="J2214">
        <v>0</v>
      </c>
      <c r="K2214">
        <v>1</v>
      </c>
      <c r="L2214">
        <v>2</v>
      </c>
      <c r="AM2214">
        <v>596</v>
      </c>
      <c r="AN2214">
        <v>44</v>
      </c>
      <c r="AO2214" t="s">
        <v>143</v>
      </c>
      <c r="AP2214">
        <v>0</v>
      </c>
      <c r="AR2214" t="s">
        <v>2306</v>
      </c>
      <c r="AS2214" s="1">
        <v>44354.793055555558</v>
      </c>
      <c r="AT2214" s="1">
        <v>44354.809259259258</v>
      </c>
      <c r="AU2214" s="1">
        <v>44354.809259259258</v>
      </c>
      <c r="AV2214" t="s">
        <v>71</v>
      </c>
      <c r="AW2214" t="s">
        <v>72</v>
      </c>
      <c r="AX2214" t="s">
        <v>73</v>
      </c>
    </row>
    <row r="2215" spans="1:50" x14ac:dyDescent="0.3">
      <c r="A2215" t="str">
        <f>"201180B0000"</f>
        <v>201180B0000</v>
      </c>
      <c r="B2215" t="str">
        <f>"201180B00002"</f>
        <v>201180B00002</v>
      </c>
      <c r="C2215" t="str">
        <f t="shared" si="106"/>
        <v>20</v>
      </c>
      <c r="D2215" t="s">
        <v>67</v>
      </c>
      <c r="E2215" t="str">
        <f t="shared" si="105"/>
        <v>010</v>
      </c>
      <c r="F2215" t="s">
        <v>2245</v>
      </c>
      <c r="G2215" t="str">
        <f>"1180"</f>
        <v>1180</v>
      </c>
      <c r="H2215" t="str">
        <f>"0000"</f>
        <v>0000</v>
      </c>
      <c r="I2215" t="s">
        <v>69</v>
      </c>
      <c r="J2215">
        <v>0</v>
      </c>
      <c r="K2215">
        <v>1</v>
      </c>
      <c r="L2215">
        <v>2</v>
      </c>
      <c r="AM2215">
        <v>570</v>
      </c>
      <c r="AN2215">
        <v>44</v>
      </c>
      <c r="AO2215" t="s">
        <v>143</v>
      </c>
      <c r="AP2215">
        <v>0</v>
      </c>
      <c r="AR2215" t="s">
        <v>2307</v>
      </c>
      <c r="AS2215" s="1">
        <v>44354.795138888891</v>
      </c>
      <c r="AT2215" s="1">
        <v>44354.81013888889</v>
      </c>
      <c r="AU2215" s="1">
        <v>44354.81013888889</v>
      </c>
      <c r="AV2215" t="s">
        <v>71</v>
      </c>
      <c r="AW2215" t="s">
        <v>72</v>
      </c>
      <c r="AX2215" t="s">
        <v>73</v>
      </c>
    </row>
    <row r="2216" spans="1:50" x14ac:dyDescent="0.3">
      <c r="A2216" t="str">
        <f>"201180C0100"</f>
        <v>201180C0100</v>
      </c>
      <c r="B2216" t="str">
        <f>"201180C01002"</f>
        <v>201180C01002</v>
      </c>
      <c r="C2216" t="str">
        <f t="shared" si="106"/>
        <v>20</v>
      </c>
      <c r="D2216" t="s">
        <v>67</v>
      </c>
      <c r="E2216" t="str">
        <f t="shared" si="105"/>
        <v>010</v>
      </c>
      <c r="F2216" t="s">
        <v>2245</v>
      </c>
      <c r="G2216" t="str">
        <f>"1180"</f>
        <v>1180</v>
      </c>
      <c r="H2216" t="str">
        <f>"0001"</f>
        <v>0001</v>
      </c>
      <c r="I2216" t="s">
        <v>75</v>
      </c>
      <c r="J2216">
        <v>0</v>
      </c>
      <c r="K2216">
        <v>1</v>
      </c>
      <c r="L2216">
        <v>2</v>
      </c>
      <c r="AM2216">
        <v>570</v>
      </c>
      <c r="AN2216">
        <v>44</v>
      </c>
      <c r="AO2216" t="s">
        <v>143</v>
      </c>
      <c r="AP2216">
        <v>0</v>
      </c>
      <c r="AR2216" t="s">
        <v>2308</v>
      </c>
      <c r="AS2216" s="1">
        <v>44354.796527777777</v>
      </c>
      <c r="AT2216" s="1">
        <v>44354.809849537036</v>
      </c>
      <c r="AU2216" s="1">
        <v>44354.809849537036</v>
      </c>
      <c r="AV2216" t="s">
        <v>71</v>
      </c>
      <c r="AW2216" t="s">
        <v>72</v>
      </c>
      <c r="AX2216" t="s">
        <v>73</v>
      </c>
    </row>
    <row r="2217" spans="1:50" x14ac:dyDescent="0.3">
      <c r="A2217" t="str">
        <f>"201181B0000"</f>
        <v>201181B0000</v>
      </c>
      <c r="B2217" t="str">
        <f>"201181B00002"</f>
        <v>201181B00002</v>
      </c>
      <c r="C2217" t="str">
        <f t="shared" si="106"/>
        <v>20</v>
      </c>
      <c r="D2217" t="s">
        <v>67</v>
      </c>
      <c r="E2217" t="str">
        <f t="shared" si="105"/>
        <v>010</v>
      </c>
      <c r="F2217" t="s">
        <v>2245</v>
      </c>
      <c r="G2217" t="str">
        <f>"1181"</f>
        <v>1181</v>
      </c>
      <c r="H2217" t="str">
        <f>"0000"</f>
        <v>0000</v>
      </c>
      <c r="I2217" t="s">
        <v>69</v>
      </c>
      <c r="J2217">
        <v>0</v>
      </c>
      <c r="K2217">
        <v>1</v>
      </c>
      <c r="L2217">
        <v>2</v>
      </c>
      <c r="AM2217">
        <v>578</v>
      </c>
      <c r="AN2217">
        <v>44</v>
      </c>
      <c r="AO2217" t="s">
        <v>143</v>
      </c>
      <c r="AP2217">
        <v>0</v>
      </c>
      <c r="AR2217" t="s">
        <v>2309</v>
      </c>
      <c r="AS2217" s="1">
        <v>44354.799305555556</v>
      </c>
      <c r="AT2217" s="1">
        <v>44354.810115740744</v>
      </c>
      <c r="AU2217" s="1">
        <v>44354.810115740744</v>
      </c>
      <c r="AV2217" t="s">
        <v>71</v>
      </c>
      <c r="AW2217" t="s">
        <v>72</v>
      </c>
      <c r="AX2217" t="s">
        <v>73</v>
      </c>
    </row>
    <row r="2218" spans="1:50" x14ac:dyDescent="0.3">
      <c r="A2218" t="str">
        <f>"201181E0100"</f>
        <v>201181E0100</v>
      </c>
      <c r="B2218" t="str">
        <f>"201181E01002"</f>
        <v>201181E01002</v>
      </c>
      <c r="C2218" t="str">
        <f t="shared" si="106"/>
        <v>20</v>
      </c>
      <c r="D2218" t="s">
        <v>67</v>
      </c>
      <c r="E2218" t="str">
        <f t="shared" ref="E2218:E2281" si="108">"010"</f>
        <v>010</v>
      </c>
      <c r="F2218" t="s">
        <v>2245</v>
      </c>
      <c r="G2218" t="str">
        <f>"1181"</f>
        <v>1181</v>
      </c>
      <c r="H2218" t="str">
        <f>"0001"</f>
        <v>0001</v>
      </c>
      <c r="I2218" t="s">
        <v>109</v>
      </c>
      <c r="J2218">
        <v>0</v>
      </c>
      <c r="K2218">
        <v>1</v>
      </c>
      <c r="L2218">
        <v>2</v>
      </c>
      <c r="AM2218">
        <v>405</v>
      </c>
      <c r="AN2218">
        <v>44</v>
      </c>
      <c r="AO2218" t="s">
        <v>143</v>
      </c>
      <c r="AP2218">
        <v>0</v>
      </c>
      <c r="AR2218" t="s">
        <v>2310</v>
      </c>
      <c r="AS2218" s="1">
        <v>44354.79583333333</v>
      </c>
      <c r="AT2218" s="1">
        <v>44354.809884259259</v>
      </c>
      <c r="AU2218" s="1">
        <v>44354.809884259259</v>
      </c>
      <c r="AV2218" t="s">
        <v>71</v>
      </c>
      <c r="AW2218" t="s">
        <v>72</v>
      </c>
      <c r="AX2218" t="s">
        <v>73</v>
      </c>
    </row>
    <row r="2219" spans="1:50" x14ac:dyDescent="0.3">
      <c r="A2219" t="str">
        <f>"201182B0000"</f>
        <v>201182B0000</v>
      </c>
      <c r="B2219" t="str">
        <f>"201182B00002"</f>
        <v>201182B00002</v>
      </c>
      <c r="C2219" t="str">
        <f t="shared" si="106"/>
        <v>20</v>
      </c>
      <c r="D2219" t="s">
        <v>67</v>
      </c>
      <c r="E2219" t="str">
        <f t="shared" si="108"/>
        <v>010</v>
      </c>
      <c r="F2219" t="s">
        <v>2245</v>
      </c>
      <c r="G2219" t="str">
        <f>"1182"</f>
        <v>1182</v>
      </c>
      <c r="H2219" t="str">
        <f>"0000"</f>
        <v>0000</v>
      </c>
      <c r="I2219" t="s">
        <v>69</v>
      </c>
      <c r="J2219">
        <v>0</v>
      </c>
      <c r="K2219">
        <v>1</v>
      </c>
      <c r="L2219">
        <v>2</v>
      </c>
      <c r="AM2219">
        <v>463</v>
      </c>
      <c r="AN2219">
        <v>44</v>
      </c>
      <c r="AO2219" t="s">
        <v>143</v>
      </c>
      <c r="AP2219">
        <v>0</v>
      </c>
      <c r="AR2219" t="s">
        <v>2311</v>
      </c>
      <c r="AS2219" s="1">
        <v>44354.793055555558</v>
      </c>
      <c r="AT2219" s="1">
        <v>44354.811759259261</v>
      </c>
      <c r="AU2219" s="1">
        <v>44354.811759259261</v>
      </c>
      <c r="AV2219" t="s">
        <v>71</v>
      </c>
      <c r="AW2219" t="s">
        <v>72</v>
      </c>
      <c r="AX2219" t="s">
        <v>73</v>
      </c>
    </row>
    <row r="2220" spans="1:50" x14ac:dyDescent="0.3">
      <c r="A2220" t="str">
        <f>"201182C0100"</f>
        <v>201182C0100</v>
      </c>
      <c r="B2220" t="str">
        <f>"201182C01002"</f>
        <v>201182C01002</v>
      </c>
      <c r="C2220" t="str">
        <f t="shared" si="106"/>
        <v>20</v>
      </c>
      <c r="D2220" t="s">
        <v>67</v>
      </c>
      <c r="E2220" t="str">
        <f t="shared" si="108"/>
        <v>010</v>
      </c>
      <c r="F2220" t="s">
        <v>2245</v>
      </c>
      <c r="G2220" t="str">
        <f>"1182"</f>
        <v>1182</v>
      </c>
      <c r="H2220" t="str">
        <f>"0001"</f>
        <v>0001</v>
      </c>
      <c r="I2220" t="s">
        <v>75</v>
      </c>
      <c r="J2220">
        <v>0</v>
      </c>
      <c r="K2220">
        <v>1</v>
      </c>
      <c r="L2220">
        <v>2</v>
      </c>
      <c r="AM2220">
        <v>463</v>
      </c>
      <c r="AN2220">
        <v>44</v>
      </c>
      <c r="AO2220" t="s">
        <v>143</v>
      </c>
      <c r="AP2220">
        <v>0</v>
      </c>
      <c r="AR2220" t="s">
        <v>2312</v>
      </c>
      <c r="AS2220" s="1">
        <v>44354.804166666669</v>
      </c>
      <c r="AT2220" s="1">
        <v>44354.812002314815</v>
      </c>
      <c r="AU2220" s="1">
        <v>44354.812002314815</v>
      </c>
      <c r="AV2220" t="s">
        <v>71</v>
      </c>
      <c r="AW2220" t="s">
        <v>72</v>
      </c>
      <c r="AX2220" t="s">
        <v>73</v>
      </c>
    </row>
    <row r="2221" spans="1:50" x14ac:dyDescent="0.3">
      <c r="A2221" t="str">
        <f>"201182E0100"</f>
        <v>201182E0100</v>
      </c>
      <c r="B2221" t="str">
        <f>"201182E01002"</f>
        <v>201182E01002</v>
      </c>
      <c r="C2221" t="str">
        <f t="shared" si="106"/>
        <v>20</v>
      </c>
      <c r="D2221" t="s">
        <v>67</v>
      </c>
      <c r="E2221" t="str">
        <f t="shared" si="108"/>
        <v>010</v>
      </c>
      <c r="F2221" t="s">
        <v>2245</v>
      </c>
      <c r="G2221" t="str">
        <f>"1182"</f>
        <v>1182</v>
      </c>
      <c r="H2221" t="str">
        <f>"0001"</f>
        <v>0001</v>
      </c>
      <c r="I2221" t="s">
        <v>109</v>
      </c>
      <c r="J2221">
        <v>0</v>
      </c>
      <c r="K2221">
        <v>1</v>
      </c>
      <c r="L2221">
        <v>2</v>
      </c>
      <c r="AM2221">
        <v>647</v>
      </c>
      <c r="AN2221">
        <v>44</v>
      </c>
      <c r="AO2221" t="s">
        <v>143</v>
      </c>
      <c r="AP2221">
        <v>0</v>
      </c>
      <c r="AR2221" t="s">
        <v>2313</v>
      </c>
      <c r="AS2221" s="1">
        <v>44354.793749999997</v>
      </c>
      <c r="AT2221" s="1">
        <v>44354.812037037038</v>
      </c>
      <c r="AU2221" s="1">
        <v>44354.812037037038</v>
      </c>
      <c r="AV2221" t="s">
        <v>71</v>
      </c>
      <c r="AW2221" t="s">
        <v>72</v>
      </c>
      <c r="AX2221" t="s">
        <v>73</v>
      </c>
    </row>
    <row r="2222" spans="1:50" x14ac:dyDescent="0.3">
      <c r="A2222" t="str">
        <f>"201182E0200"</f>
        <v>201182E0200</v>
      </c>
      <c r="B2222" t="str">
        <f>"201182E02002"</f>
        <v>201182E02002</v>
      </c>
      <c r="C2222" t="str">
        <f t="shared" si="106"/>
        <v>20</v>
      </c>
      <c r="D2222" t="s">
        <v>67</v>
      </c>
      <c r="E2222" t="str">
        <f t="shared" si="108"/>
        <v>010</v>
      </c>
      <c r="F2222" t="s">
        <v>2245</v>
      </c>
      <c r="G2222" t="str">
        <f>"1182"</f>
        <v>1182</v>
      </c>
      <c r="H2222" t="str">
        <f>"0002"</f>
        <v>0002</v>
      </c>
      <c r="I2222" t="s">
        <v>109</v>
      </c>
      <c r="J2222">
        <v>0</v>
      </c>
      <c r="K2222">
        <v>1</v>
      </c>
      <c r="L2222">
        <v>2</v>
      </c>
      <c r="AM2222">
        <v>174</v>
      </c>
      <c r="AN2222">
        <v>44</v>
      </c>
      <c r="AO2222" t="s">
        <v>143</v>
      </c>
      <c r="AP2222">
        <v>0</v>
      </c>
      <c r="AR2222" t="s">
        <v>2314</v>
      </c>
      <c r="AS2222" s="1">
        <v>44354.793749999997</v>
      </c>
      <c r="AT2222" s="1">
        <v>44354.812013888892</v>
      </c>
      <c r="AU2222" s="1">
        <v>44354.812013888892</v>
      </c>
      <c r="AV2222" t="s">
        <v>71</v>
      </c>
      <c r="AW2222" t="s">
        <v>72</v>
      </c>
      <c r="AX2222" t="s">
        <v>73</v>
      </c>
    </row>
    <row r="2223" spans="1:50" x14ac:dyDescent="0.3">
      <c r="A2223" t="str">
        <f>"201182E0300"</f>
        <v>201182E0300</v>
      </c>
      <c r="B2223" t="str">
        <f>"201182E03002"</f>
        <v>201182E03002</v>
      </c>
      <c r="C2223" t="str">
        <f t="shared" si="106"/>
        <v>20</v>
      </c>
      <c r="D2223" t="s">
        <v>67</v>
      </c>
      <c r="E2223" t="str">
        <f t="shared" si="108"/>
        <v>010</v>
      </c>
      <c r="F2223" t="s">
        <v>2245</v>
      </c>
      <c r="G2223" t="str">
        <f>"1182"</f>
        <v>1182</v>
      </c>
      <c r="H2223" t="str">
        <f>"0003"</f>
        <v>0003</v>
      </c>
      <c r="I2223" t="s">
        <v>109</v>
      </c>
      <c r="J2223">
        <v>0</v>
      </c>
      <c r="K2223">
        <v>1</v>
      </c>
      <c r="L2223">
        <v>2</v>
      </c>
      <c r="AM2223">
        <v>609</v>
      </c>
      <c r="AN2223">
        <v>44</v>
      </c>
      <c r="AO2223" t="s">
        <v>143</v>
      </c>
      <c r="AP2223">
        <v>0</v>
      </c>
      <c r="AR2223" t="s">
        <v>2315</v>
      </c>
      <c r="AS2223" s="1">
        <v>44354.79791666667</v>
      </c>
      <c r="AT2223" s="1">
        <v>44354.811921296299</v>
      </c>
      <c r="AU2223" s="1">
        <v>44354.811921296299</v>
      </c>
      <c r="AV2223" t="s">
        <v>71</v>
      </c>
      <c r="AW2223" t="s">
        <v>72</v>
      </c>
      <c r="AX2223" t="s">
        <v>73</v>
      </c>
    </row>
    <row r="2224" spans="1:50" x14ac:dyDescent="0.3">
      <c r="A2224" t="str">
        <f>"201183B0000"</f>
        <v>201183B0000</v>
      </c>
      <c r="B2224" t="str">
        <f>"201183B00002"</f>
        <v>201183B00002</v>
      </c>
      <c r="C2224" t="str">
        <f t="shared" si="106"/>
        <v>20</v>
      </c>
      <c r="D2224" t="s">
        <v>67</v>
      </c>
      <c r="E2224" t="str">
        <f t="shared" si="108"/>
        <v>010</v>
      </c>
      <c r="F2224" t="s">
        <v>2245</v>
      </c>
      <c r="G2224" t="str">
        <f>"1183"</f>
        <v>1183</v>
      </c>
      <c r="H2224" t="str">
        <f>"0000"</f>
        <v>0000</v>
      </c>
      <c r="I2224" t="s">
        <v>69</v>
      </c>
      <c r="J2224">
        <v>0</v>
      </c>
      <c r="K2224">
        <v>1</v>
      </c>
      <c r="L2224">
        <v>2</v>
      </c>
      <c r="AM2224">
        <v>749</v>
      </c>
      <c r="AN2224">
        <v>44</v>
      </c>
      <c r="AO2224" t="s">
        <v>143</v>
      </c>
      <c r="AP2224">
        <v>0</v>
      </c>
      <c r="AR2224" t="s">
        <v>2316</v>
      </c>
      <c r="AS2224" s="1">
        <v>44354.804166666669</v>
      </c>
      <c r="AT2224" s="1">
        <v>44354.813796296294</v>
      </c>
      <c r="AU2224" s="1">
        <v>44354.813796296294</v>
      </c>
      <c r="AV2224" t="s">
        <v>71</v>
      </c>
      <c r="AW2224" t="s">
        <v>72</v>
      </c>
      <c r="AX2224" t="s">
        <v>73</v>
      </c>
    </row>
    <row r="2225" spans="1:50" x14ac:dyDescent="0.3">
      <c r="A2225" t="str">
        <f>"201183C0100"</f>
        <v>201183C0100</v>
      </c>
      <c r="B2225" t="str">
        <f>"201183C01002"</f>
        <v>201183C01002</v>
      </c>
      <c r="C2225" t="str">
        <f t="shared" si="106"/>
        <v>20</v>
      </c>
      <c r="D2225" t="s">
        <v>67</v>
      </c>
      <c r="E2225" t="str">
        <f t="shared" si="108"/>
        <v>010</v>
      </c>
      <c r="F2225" t="s">
        <v>2245</v>
      </c>
      <c r="G2225" t="str">
        <f>"1183"</f>
        <v>1183</v>
      </c>
      <c r="H2225" t="str">
        <f>"0001"</f>
        <v>0001</v>
      </c>
      <c r="I2225" t="s">
        <v>75</v>
      </c>
      <c r="J2225">
        <v>0</v>
      </c>
      <c r="K2225">
        <v>1</v>
      </c>
      <c r="L2225">
        <v>2</v>
      </c>
      <c r="AM2225">
        <v>748</v>
      </c>
      <c r="AN2225">
        <v>44</v>
      </c>
      <c r="AO2225" t="s">
        <v>143</v>
      </c>
      <c r="AP2225">
        <v>0</v>
      </c>
      <c r="AR2225" t="s">
        <v>2317</v>
      </c>
      <c r="AS2225" s="1">
        <v>44354.803472222222</v>
      </c>
      <c r="AT2225" s="1">
        <v>44354.813831018517</v>
      </c>
      <c r="AU2225" s="1">
        <v>44354.813831018517</v>
      </c>
      <c r="AV2225" t="s">
        <v>71</v>
      </c>
      <c r="AW2225" t="s">
        <v>72</v>
      </c>
      <c r="AX2225" t="s">
        <v>73</v>
      </c>
    </row>
    <row r="2226" spans="1:50" x14ac:dyDescent="0.3">
      <c r="A2226" t="str">
        <f>"201183E0100"</f>
        <v>201183E0100</v>
      </c>
      <c r="B2226" t="str">
        <f>"201183E01002"</f>
        <v>201183E01002</v>
      </c>
      <c r="C2226" t="str">
        <f t="shared" si="106"/>
        <v>20</v>
      </c>
      <c r="D2226" t="s">
        <v>67</v>
      </c>
      <c r="E2226" t="str">
        <f t="shared" si="108"/>
        <v>010</v>
      </c>
      <c r="F2226" t="s">
        <v>2245</v>
      </c>
      <c r="G2226" t="str">
        <f>"1183"</f>
        <v>1183</v>
      </c>
      <c r="H2226" t="str">
        <f>"0001"</f>
        <v>0001</v>
      </c>
      <c r="I2226" t="s">
        <v>109</v>
      </c>
      <c r="J2226">
        <v>0</v>
      </c>
      <c r="K2226">
        <v>1</v>
      </c>
      <c r="L2226">
        <v>2</v>
      </c>
      <c r="AM2226">
        <v>176</v>
      </c>
      <c r="AN2226">
        <v>44</v>
      </c>
      <c r="AO2226" t="s">
        <v>143</v>
      </c>
      <c r="AP2226">
        <v>0</v>
      </c>
      <c r="AR2226" t="s">
        <v>2318</v>
      </c>
      <c r="AS2226" s="1">
        <v>44354.802777777775</v>
      </c>
      <c r="AT2226" s="1">
        <v>44354.813935185186</v>
      </c>
      <c r="AU2226" s="1">
        <v>44354.813935185186</v>
      </c>
      <c r="AV2226" t="s">
        <v>71</v>
      </c>
      <c r="AW2226" t="s">
        <v>72</v>
      </c>
      <c r="AX2226" t="s">
        <v>73</v>
      </c>
    </row>
    <row r="2227" spans="1:50" x14ac:dyDescent="0.3">
      <c r="A2227" t="str">
        <f>"201183E0200"</f>
        <v>201183E0200</v>
      </c>
      <c r="B2227" t="str">
        <f>"201183E02002"</f>
        <v>201183E02002</v>
      </c>
      <c r="C2227" t="str">
        <f t="shared" si="106"/>
        <v>20</v>
      </c>
      <c r="D2227" t="s">
        <v>67</v>
      </c>
      <c r="E2227" t="str">
        <f t="shared" si="108"/>
        <v>010</v>
      </c>
      <c r="F2227" t="s">
        <v>2245</v>
      </c>
      <c r="G2227" t="str">
        <f>"1183"</f>
        <v>1183</v>
      </c>
      <c r="H2227" t="str">
        <f>"0002"</f>
        <v>0002</v>
      </c>
      <c r="I2227" t="s">
        <v>109</v>
      </c>
      <c r="J2227">
        <v>0</v>
      </c>
      <c r="K2227">
        <v>1</v>
      </c>
      <c r="L2227">
        <v>2</v>
      </c>
      <c r="AM2227">
        <v>396</v>
      </c>
      <c r="AN2227">
        <v>44</v>
      </c>
      <c r="AO2227" t="s">
        <v>143</v>
      </c>
      <c r="AP2227">
        <v>0</v>
      </c>
      <c r="AR2227" t="s">
        <v>2319</v>
      </c>
      <c r="AS2227" s="1">
        <v>44354.804166666669</v>
      </c>
      <c r="AT2227" s="1">
        <v>44354.814097222225</v>
      </c>
      <c r="AU2227" s="1">
        <v>44354.814097222225</v>
      </c>
      <c r="AV2227" t="s">
        <v>71</v>
      </c>
      <c r="AW2227" t="s">
        <v>72</v>
      </c>
      <c r="AX2227" t="s">
        <v>73</v>
      </c>
    </row>
    <row r="2228" spans="1:50" x14ac:dyDescent="0.3">
      <c r="A2228" t="str">
        <f>"201183E0201"</f>
        <v>201183E0201</v>
      </c>
      <c r="B2228" t="str">
        <f>"201183E02012"</f>
        <v>201183E02012</v>
      </c>
      <c r="C2228" t="str">
        <f t="shared" si="106"/>
        <v>20</v>
      </c>
      <c r="D2228" t="s">
        <v>67</v>
      </c>
      <c r="E2228" t="str">
        <f t="shared" si="108"/>
        <v>010</v>
      </c>
      <c r="F2228" t="s">
        <v>2245</v>
      </c>
      <c r="G2228" t="str">
        <f>"1183"</f>
        <v>1183</v>
      </c>
      <c r="H2228" t="str">
        <f>"0002"</f>
        <v>0002</v>
      </c>
      <c r="I2228" t="s">
        <v>109</v>
      </c>
      <c r="J2228">
        <v>1</v>
      </c>
      <c r="K2228">
        <v>1</v>
      </c>
      <c r="L2228">
        <v>2</v>
      </c>
      <c r="AM2228">
        <v>396</v>
      </c>
      <c r="AN2228">
        <v>44</v>
      </c>
      <c r="AO2228" t="s">
        <v>143</v>
      </c>
      <c r="AP2228">
        <v>0</v>
      </c>
      <c r="AR2228" t="s">
        <v>2320</v>
      </c>
      <c r="AS2228" s="1">
        <v>44354.800694444442</v>
      </c>
      <c r="AT2228" s="1">
        <v>44354.814016203702</v>
      </c>
      <c r="AU2228" s="1">
        <v>44354.814016203702</v>
      </c>
      <c r="AV2228" t="s">
        <v>71</v>
      </c>
      <c r="AW2228" t="s">
        <v>72</v>
      </c>
      <c r="AX2228" t="s">
        <v>73</v>
      </c>
    </row>
    <row r="2229" spans="1:50" x14ac:dyDescent="0.3">
      <c r="A2229" t="str">
        <f>"201184B0000"</f>
        <v>201184B0000</v>
      </c>
      <c r="B2229" t="str">
        <f>"201184B00002"</f>
        <v>201184B00002</v>
      </c>
      <c r="C2229" t="str">
        <f t="shared" si="106"/>
        <v>20</v>
      </c>
      <c r="D2229" t="s">
        <v>67</v>
      </c>
      <c r="E2229" t="str">
        <f t="shared" si="108"/>
        <v>010</v>
      </c>
      <c r="F2229" t="s">
        <v>2245</v>
      </c>
      <c r="G2229" t="str">
        <f>"1184"</f>
        <v>1184</v>
      </c>
      <c r="H2229" t="str">
        <f>"0000"</f>
        <v>0000</v>
      </c>
      <c r="I2229" t="s">
        <v>69</v>
      </c>
      <c r="J2229">
        <v>0</v>
      </c>
      <c r="K2229">
        <v>1</v>
      </c>
      <c r="L2229">
        <v>2</v>
      </c>
      <c r="AM2229">
        <v>665</v>
      </c>
      <c r="AN2229">
        <v>44</v>
      </c>
      <c r="AO2229" t="s">
        <v>143</v>
      </c>
      <c r="AP2229">
        <v>0</v>
      </c>
      <c r="AR2229" t="s">
        <v>2321</v>
      </c>
      <c r="AS2229" s="1">
        <v>44354.802083333336</v>
      </c>
      <c r="AT2229" s="1">
        <v>44354.815127314818</v>
      </c>
      <c r="AU2229" s="1">
        <v>44354.815127314818</v>
      </c>
      <c r="AV2229" t="s">
        <v>71</v>
      </c>
      <c r="AW2229" t="s">
        <v>72</v>
      </c>
      <c r="AX2229" t="s">
        <v>73</v>
      </c>
    </row>
    <row r="2230" spans="1:50" x14ac:dyDescent="0.3">
      <c r="A2230" t="str">
        <f>"201184C0100"</f>
        <v>201184C0100</v>
      </c>
      <c r="B2230" t="str">
        <f>"201184C01002"</f>
        <v>201184C01002</v>
      </c>
      <c r="C2230" t="str">
        <f t="shared" si="106"/>
        <v>20</v>
      </c>
      <c r="D2230" t="s">
        <v>67</v>
      </c>
      <c r="E2230" t="str">
        <f t="shared" si="108"/>
        <v>010</v>
      </c>
      <c r="F2230" t="s">
        <v>2245</v>
      </c>
      <c r="G2230" t="str">
        <f>"1184"</f>
        <v>1184</v>
      </c>
      <c r="H2230" t="str">
        <f>"0001"</f>
        <v>0001</v>
      </c>
      <c r="I2230" t="s">
        <v>75</v>
      </c>
      <c r="J2230">
        <v>0</v>
      </c>
      <c r="K2230">
        <v>1</v>
      </c>
      <c r="L2230">
        <v>2</v>
      </c>
      <c r="AM2230">
        <v>665</v>
      </c>
      <c r="AN2230">
        <v>44</v>
      </c>
      <c r="AO2230" t="s">
        <v>143</v>
      </c>
      <c r="AP2230">
        <v>0</v>
      </c>
      <c r="AR2230" t="s">
        <v>2322</v>
      </c>
      <c r="AS2230" s="1">
        <v>44354.791666666664</v>
      </c>
      <c r="AT2230" s="1">
        <v>44354.815254629626</v>
      </c>
      <c r="AU2230" s="1">
        <v>44354.815254629626</v>
      </c>
      <c r="AV2230" t="s">
        <v>71</v>
      </c>
      <c r="AW2230" t="s">
        <v>72</v>
      </c>
      <c r="AX2230" t="s">
        <v>73</v>
      </c>
    </row>
    <row r="2231" spans="1:50" x14ac:dyDescent="0.3">
      <c r="A2231" t="str">
        <f>"201184E0100"</f>
        <v>201184E0100</v>
      </c>
      <c r="B2231" t="str">
        <f>"201184E01002"</f>
        <v>201184E01002</v>
      </c>
      <c r="C2231" t="str">
        <f t="shared" si="106"/>
        <v>20</v>
      </c>
      <c r="D2231" t="s">
        <v>67</v>
      </c>
      <c r="E2231" t="str">
        <f t="shared" si="108"/>
        <v>010</v>
      </c>
      <c r="F2231" t="s">
        <v>2245</v>
      </c>
      <c r="G2231" t="str">
        <f>"1184"</f>
        <v>1184</v>
      </c>
      <c r="H2231" t="str">
        <f>"0001"</f>
        <v>0001</v>
      </c>
      <c r="I2231" t="s">
        <v>109</v>
      </c>
      <c r="J2231">
        <v>0</v>
      </c>
      <c r="K2231">
        <v>1</v>
      </c>
      <c r="L2231">
        <v>2</v>
      </c>
      <c r="AM2231">
        <v>493</v>
      </c>
      <c r="AN2231">
        <v>44</v>
      </c>
      <c r="AO2231" t="s">
        <v>143</v>
      </c>
      <c r="AP2231">
        <v>0</v>
      </c>
      <c r="AR2231" t="s">
        <v>2323</v>
      </c>
      <c r="AS2231" s="1">
        <v>44354.8</v>
      </c>
      <c r="AT2231" s="1">
        <v>44354.815312500003</v>
      </c>
      <c r="AU2231" s="1">
        <v>44354.815312500003</v>
      </c>
      <c r="AV2231" t="s">
        <v>71</v>
      </c>
      <c r="AW2231" t="s">
        <v>72</v>
      </c>
      <c r="AX2231" t="s">
        <v>73</v>
      </c>
    </row>
    <row r="2232" spans="1:50" x14ac:dyDescent="0.3">
      <c r="A2232" t="str">
        <f>"201185B0000"</f>
        <v>201185B0000</v>
      </c>
      <c r="B2232" t="str">
        <f>"201185B00002"</f>
        <v>201185B00002</v>
      </c>
      <c r="C2232" t="str">
        <f t="shared" si="106"/>
        <v>20</v>
      </c>
      <c r="D2232" t="s">
        <v>67</v>
      </c>
      <c r="E2232" t="str">
        <f t="shared" si="108"/>
        <v>010</v>
      </c>
      <c r="F2232" t="s">
        <v>2245</v>
      </c>
      <c r="G2232" t="str">
        <f>"1185"</f>
        <v>1185</v>
      </c>
      <c r="H2232" t="str">
        <f>"0000"</f>
        <v>0000</v>
      </c>
      <c r="I2232" t="s">
        <v>69</v>
      </c>
      <c r="J2232">
        <v>0</v>
      </c>
      <c r="K2232">
        <v>1</v>
      </c>
      <c r="L2232">
        <v>2</v>
      </c>
      <c r="AM2232">
        <v>470</v>
      </c>
      <c r="AN2232">
        <v>44</v>
      </c>
      <c r="AO2232" t="s">
        <v>143</v>
      </c>
      <c r="AP2232">
        <v>0</v>
      </c>
      <c r="AR2232" t="s">
        <v>2324</v>
      </c>
      <c r="AS2232" s="1">
        <v>44354.791666666664</v>
      </c>
      <c r="AT2232" s="1">
        <v>44354.818645833337</v>
      </c>
      <c r="AU2232" s="1">
        <v>44354.818645833337</v>
      </c>
      <c r="AV2232" t="s">
        <v>71</v>
      </c>
      <c r="AW2232" t="s">
        <v>72</v>
      </c>
      <c r="AX2232" t="s">
        <v>73</v>
      </c>
    </row>
    <row r="2233" spans="1:50" x14ac:dyDescent="0.3">
      <c r="A2233" t="str">
        <f>"201185C0100"</f>
        <v>201185C0100</v>
      </c>
      <c r="B2233" t="str">
        <f>"201185C01002"</f>
        <v>201185C01002</v>
      </c>
      <c r="C2233" t="str">
        <f t="shared" si="106"/>
        <v>20</v>
      </c>
      <c r="D2233" t="s">
        <v>67</v>
      </c>
      <c r="E2233" t="str">
        <f t="shared" si="108"/>
        <v>010</v>
      </c>
      <c r="F2233" t="s">
        <v>2245</v>
      </c>
      <c r="G2233" t="str">
        <f>"1185"</f>
        <v>1185</v>
      </c>
      <c r="H2233" t="str">
        <f>"0001"</f>
        <v>0001</v>
      </c>
      <c r="I2233" t="s">
        <v>75</v>
      </c>
      <c r="J2233">
        <v>0</v>
      </c>
      <c r="K2233">
        <v>1</v>
      </c>
      <c r="L2233">
        <v>2</v>
      </c>
      <c r="AM2233">
        <v>469</v>
      </c>
      <c r="AN2233">
        <v>44</v>
      </c>
      <c r="AO2233" t="s">
        <v>143</v>
      </c>
      <c r="AP2233">
        <v>0</v>
      </c>
      <c r="AR2233" t="s">
        <v>2325</v>
      </c>
      <c r="AS2233" s="1">
        <v>44354.794444444444</v>
      </c>
      <c r="AT2233" s="1">
        <v>44354.818657407406</v>
      </c>
      <c r="AU2233" s="1">
        <v>44354.818657407406</v>
      </c>
      <c r="AV2233" t="s">
        <v>71</v>
      </c>
      <c r="AW2233" t="s">
        <v>72</v>
      </c>
      <c r="AX2233" t="s">
        <v>73</v>
      </c>
    </row>
    <row r="2234" spans="1:50" x14ac:dyDescent="0.3">
      <c r="A2234" t="str">
        <f>"201185E0100"</f>
        <v>201185E0100</v>
      </c>
      <c r="B2234" t="str">
        <f>"201185E01002"</f>
        <v>201185E01002</v>
      </c>
      <c r="C2234" t="str">
        <f t="shared" si="106"/>
        <v>20</v>
      </c>
      <c r="D2234" t="s">
        <v>67</v>
      </c>
      <c r="E2234" t="str">
        <f t="shared" si="108"/>
        <v>010</v>
      </c>
      <c r="F2234" t="s">
        <v>2245</v>
      </c>
      <c r="G2234" t="str">
        <f>"1185"</f>
        <v>1185</v>
      </c>
      <c r="H2234" t="str">
        <f>"0001"</f>
        <v>0001</v>
      </c>
      <c r="I2234" t="s">
        <v>109</v>
      </c>
      <c r="J2234">
        <v>0</v>
      </c>
      <c r="K2234">
        <v>1</v>
      </c>
      <c r="L2234">
        <v>2</v>
      </c>
      <c r="AM2234">
        <v>379</v>
      </c>
      <c r="AN2234">
        <v>44</v>
      </c>
      <c r="AO2234" t="s">
        <v>143</v>
      </c>
      <c r="AP2234">
        <v>0</v>
      </c>
      <c r="AR2234" t="s">
        <v>2326</v>
      </c>
      <c r="AS2234" s="1">
        <v>44354.801388888889</v>
      </c>
      <c r="AT2234" s="1">
        <v>44354.818553240744</v>
      </c>
      <c r="AU2234" s="1">
        <v>44354.818553240744</v>
      </c>
      <c r="AV2234" t="s">
        <v>71</v>
      </c>
      <c r="AW2234" t="s">
        <v>72</v>
      </c>
      <c r="AX2234" t="s">
        <v>73</v>
      </c>
    </row>
    <row r="2235" spans="1:50" x14ac:dyDescent="0.3">
      <c r="A2235" t="str">
        <f>"201185E0101"</f>
        <v>201185E0101</v>
      </c>
      <c r="B2235" t="str">
        <f>"201185E01012"</f>
        <v>201185E01012</v>
      </c>
      <c r="C2235" t="str">
        <f t="shared" si="106"/>
        <v>20</v>
      </c>
      <c r="D2235" t="s">
        <v>67</v>
      </c>
      <c r="E2235" t="str">
        <f t="shared" si="108"/>
        <v>010</v>
      </c>
      <c r="F2235" t="s">
        <v>2245</v>
      </c>
      <c r="G2235" t="str">
        <f>"1185"</f>
        <v>1185</v>
      </c>
      <c r="H2235" t="str">
        <f>"0001"</f>
        <v>0001</v>
      </c>
      <c r="I2235" t="s">
        <v>109</v>
      </c>
      <c r="J2235">
        <v>1</v>
      </c>
      <c r="K2235">
        <v>1</v>
      </c>
      <c r="L2235">
        <v>2</v>
      </c>
      <c r="AM2235">
        <v>378</v>
      </c>
      <c r="AN2235">
        <v>44</v>
      </c>
      <c r="AO2235" t="s">
        <v>143</v>
      </c>
      <c r="AP2235">
        <v>0</v>
      </c>
      <c r="AR2235" t="s">
        <v>2327</v>
      </c>
      <c r="AS2235" s="1">
        <v>44354.801388888889</v>
      </c>
      <c r="AT2235" s="1">
        <v>44354.818530092591</v>
      </c>
      <c r="AU2235" s="1">
        <v>44354.818530092591</v>
      </c>
      <c r="AV2235" t="s">
        <v>71</v>
      </c>
      <c r="AW2235" t="s">
        <v>72</v>
      </c>
      <c r="AX2235" t="s">
        <v>73</v>
      </c>
    </row>
    <row r="2236" spans="1:50" x14ac:dyDescent="0.3">
      <c r="A2236" t="str">
        <f>"201186B0000"</f>
        <v>201186B0000</v>
      </c>
      <c r="B2236" t="str">
        <f>"201186B00002"</f>
        <v>201186B00002</v>
      </c>
      <c r="C2236" t="str">
        <f t="shared" si="106"/>
        <v>20</v>
      </c>
      <c r="D2236" t="s">
        <v>67</v>
      </c>
      <c r="E2236" t="str">
        <f t="shared" si="108"/>
        <v>010</v>
      </c>
      <c r="F2236" t="s">
        <v>2245</v>
      </c>
      <c r="G2236" t="str">
        <f>"1186"</f>
        <v>1186</v>
      </c>
      <c r="H2236" t="str">
        <f>"0000"</f>
        <v>0000</v>
      </c>
      <c r="I2236" t="s">
        <v>69</v>
      </c>
      <c r="J2236">
        <v>0</v>
      </c>
      <c r="K2236">
        <v>1</v>
      </c>
      <c r="L2236">
        <v>2</v>
      </c>
      <c r="AM2236">
        <v>572</v>
      </c>
      <c r="AN2236">
        <v>44</v>
      </c>
      <c r="AO2236" t="s">
        <v>143</v>
      </c>
      <c r="AP2236">
        <v>0</v>
      </c>
      <c r="AR2236" t="s">
        <v>2328</v>
      </c>
      <c r="AS2236" s="1">
        <v>44354.796527777777</v>
      </c>
      <c r="AT2236" s="1">
        <v>44354.821608796294</v>
      </c>
      <c r="AU2236" s="1">
        <v>44354.821608796294</v>
      </c>
      <c r="AV2236" t="s">
        <v>71</v>
      </c>
      <c r="AW2236" t="s">
        <v>72</v>
      </c>
      <c r="AX2236" t="s">
        <v>73</v>
      </c>
    </row>
    <row r="2237" spans="1:50" x14ac:dyDescent="0.3">
      <c r="A2237" t="str">
        <f>"201186C0100"</f>
        <v>201186C0100</v>
      </c>
      <c r="B2237" t="str">
        <f>"201186C01002"</f>
        <v>201186C01002</v>
      </c>
      <c r="C2237" t="str">
        <f t="shared" si="106"/>
        <v>20</v>
      </c>
      <c r="D2237" t="s">
        <v>67</v>
      </c>
      <c r="E2237" t="str">
        <f t="shared" si="108"/>
        <v>010</v>
      </c>
      <c r="F2237" t="s">
        <v>2245</v>
      </c>
      <c r="G2237" t="str">
        <f>"1186"</f>
        <v>1186</v>
      </c>
      <c r="H2237" t="str">
        <f>"0001"</f>
        <v>0001</v>
      </c>
      <c r="I2237" t="s">
        <v>75</v>
      </c>
      <c r="J2237">
        <v>0</v>
      </c>
      <c r="K2237">
        <v>1</v>
      </c>
      <c r="L2237">
        <v>2</v>
      </c>
      <c r="AM2237">
        <v>571</v>
      </c>
      <c r="AN2237">
        <v>44</v>
      </c>
      <c r="AO2237" t="s">
        <v>143</v>
      </c>
      <c r="AP2237">
        <v>0</v>
      </c>
      <c r="AR2237" t="s">
        <v>2329</v>
      </c>
      <c r="AS2237" s="1">
        <v>44354.79583333333</v>
      </c>
      <c r="AT2237" s="1">
        <v>44354.821608796294</v>
      </c>
      <c r="AU2237" s="1">
        <v>44354.821608796294</v>
      </c>
      <c r="AV2237" t="s">
        <v>71</v>
      </c>
      <c r="AW2237" t="s">
        <v>72</v>
      </c>
      <c r="AX2237" t="s">
        <v>73</v>
      </c>
    </row>
    <row r="2238" spans="1:50" x14ac:dyDescent="0.3">
      <c r="A2238" t="str">
        <f>"201186E0100"</f>
        <v>201186E0100</v>
      </c>
      <c r="B2238" t="str">
        <f>"201186E01002"</f>
        <v>201186E01002</v>
      </c>
      <c r="C2238" t="str">
        <f t="shared" si="106"/>
        <v>20</v>
      </c>
      <c r="D2238" t="s">
        <v>67</v>
      </c>
      <c r="E2238" t="str">
        <f t="shared" si="108"/>
        <v>010</v>
      </c>
      <c r="F2238" t="s">
        <v>2245</v>
      </c>
      <c r="G2238" t="str">
        <f>"1186"</f>
        <v>1186</v>
      </c>
      <c r="H2238" t="str">
        <f>"0001"</f>
        <v>0001</v>
      </c>
      <c r="I2238" t="s">
        <v>109</v>
      </c>
      <c r="J2238">
        <v>0</v>
      </c>
      <c r="K2238">
        <v>1</v>
      </c>
      <c r="L2238">
        <v>2</v>
      </c>
      <c r="AM2238">
        <v>339</v>
      </c>
      <c r="AN2238">
        <v>44</v>
      </c>
      <c r="AO2238" t="s">
        <v>143</v>
      </c>
      <c r="AP2238">
        <v>0</v>
      </c>
      <c r="AR2238" t="s">
        <v>2330</v>
      </c>
      <c r="AS2238" s="1">
        <v>44354.795138888891</v>
      </c>
      <c r="AT2238" s="1">
        <v>44354.821689814817</v>
      </c>
      <c r="AU2238" s="1">
        <v>44354.821689814817</v>
      </c>
      <c r="AV2238" t="s">
        <v>71</v>
      </c>
      <c r="AW2238" t="s">
        <v>72</v>
      </c>
      <c r="AX2238" t="s">
        <v>73</v>
      </c>
    </row>
    <row r="2239" spans="1:50" x14ac:dyDescent="0.3">
      <c r="A2239" t="str">
        <f>"201186E0200"</f>
        <v>201186E0200</v>
      </c>
      <c r="B2239" t="str">
        <f>"201186E02002"</f>
        <v>201186E02002</v>
      </c>
      <c r="C2239" t="str">
        <f t="shared" si="106"/>
        <v>20</v>
      </c>
      <c r="D2239" t="s">
        <v>67</v>
      </c>
      <c r="E2239" t="str">
        <f t="shared" si="108"/>
        <v>010</v>
      </c>
      <c r="F2239" t="s">
        <v>2245</v>
      </c>
      <c r="G2239" t="str">
        <f>"1186"</f>
        <v>1186</v>
      </c>
      <c r="H2239" t="str">
        <f>"0002"</f>
        <v>0002</v>
      </c>
      <c r="I2239" t="s">
        <v>109</v>
      </c>
      <c r="J2239">
        <v>0</v>
      </c>
      <c r="K2239">
        <v>1</v>
      </c>
      <c r="L2239">
        <v>2</v>
      </c>
      <c r="AM2239">
        <v>398</v>
      </c>
      <c r="AN2239">
        <v>44</v>
      </c>
      <c r="AO2239" t="s">
        <v>143</v>
      </c>
      <c r="AP2239">
        <v>0</v>
      </c>
      <c r="AR2239" t="s">
        <v>2331</v>
      </c>
      <c r="AS2239" s="1">
        <v>44354.802777777775</v>
      </c>
      <c r="AT2239" s="1">
        <v>44354.822280092594</v>
      </c>
      <c r="AU2239" s="1">
        <v>44354.822280092594</v>
      </c>
      <c r="AV2239" t="s">
        <v>71</v>
      </c>
      <c r="AW2239" t="s">
        <v>72</v>
      </c>
      <c r="AX2239" t="s">
        <v>73</v>
      </c>
    </row>
    <row r="2240" spans="1:50" x14ac:dyDescent="0.3">
      <c r="A2240" t="str">
        <f>"201187B0000"</f>
        <v>201187B0000</v>
      </c>
      <c r="B2240" t="str">
        <f>"201187B00002"</f>
        <v>201187B00002</v>
      </c>
      <c r="C2240" t="str">
        <f t="shared" si="106"/>
        <v>20</v>
      </c>
      <c r="D2240" t="s">
        <v>67</v>
      </c>
      <c r="E2240" t="str">
        <f t="shared" si="108"/>
        <v>010</v>
      </c>
      <c r="F2240" t="s">
        <v>2245</v>
      </c>
      <c r="G2240" t="str">
        <f>"1187"</f>
        <v>1187</v>
      </c>
      <c r="H2240" t="str">
        <f>"0000"</f>
        <v>0000</v>
      </c>
      <c r="I2240" t="s">
        <v>69</v>
      </c>
      <c r="J2240">
        <v>0</v>
      </c>
      <c r="K2240">
        <v>1</v>
      </c>
      <c r="L2240">
        <v>2</v>
      </c>
      <c r="AM2240">
        <v>701</v>
      </c>
      <c r="AN2240">
        <v>44</v>
      </c>
      <c r="AO2240" t="s">
        <v>143</v>
      </c>
      <c r="AP2240">
        <v>0</v>
      </c>
      <c r="AR2240" t="s">
        <v>2332</v>
      </c>
      <c r="AS2240" s="1">
        <v>44354.802083333336</v>
      </c>
      <c r="AT2240" s="1">
        <v>44354.8203125</v>
      </c>
      <c r="AU2240" s="1">
        <v>44354.8203125</v>
      </c>
      <c r="AV2240" t="s">
        <v>71</v>
      </c>
      <c r="AW2240" t="s">
        <v>72</v>
      </c>
      <c r="AX2240" t="s">
        <v>73</v>
      </c>
    </row>
    <row r="2241" spans="1:50" x14ac:dyDescent="0.3">
      <c r="A2241" t="str">
        <f>"201187E0100"</f>
        <v>201187E0100</v>
      </c>
      <c r="B2241" t="str">
        <f>"201187E01002"</f>
        <v>201187E01002</v>
      </c>
      <c r="C2241" t="str">
        <f t="shared" si="106"/>
        <v>20</v>
      </c>
      <c r="D2241" t="s">
        <v>67</v>
      </c>
      <c r="E2241" t="str">
        <f t="shared" si="108"/>
        <v>010</v>
      </c>
      <c r="F2241" t="s">
        <v>2245</v>
      </c>
      <c r="G2241" t="str">
        <f>"1187"</f>
        <v>1187</v>
      </c>
      <c r="H2241" t="str">
        <f>"0001"</f>
        <v>0001</v>
      </c>
      <c r="I2241" t="s">
        <v>109</v>
      </c>
      <c r="J2241">
        <v>0</v>
      </c>
      <c r="K2241">
        <v>1</v>
      </c>
      <c r="L2241">
        <v>2</v>
      </c>
      <c r="AM2241">
        <v>690</v>
      </c>
      <c r="AN2241">
        <v>44</v>
      </c>
      <c r="AO2241" t="s">
        <v>143</v>
      </c>
      <c r="AP2241">
        <v>0</v>
      </c>
      <c r="AR2241" t="s">
        <v>2333</v>
      </c>
      <c r="AS2241" s="1">
        <v>44354.793055555558</v>
      </c>
      <c r="AT2241" s="1">
        <v>44354.820451388892</v>
      </c>
      <c r="AU2241" s="1">
        <v>44354.820451388892</v>
      </c>
      <c r="AV2241" t="s">
        <v>71</v>
      </c>
      <c r="AW2241" t="s">
        <v>72</v>
      </c>
      <c r="AX2241" t="s">
        <v>73</v>
      </c>
    </row>
    <row r="2242" spans="1:50" x14ac:dyDescent="0.3">
      <c r="A2242" t="str">
        <f>"201187E0200"</f>
        <v>201187E0200</v>
      </c>
      <c r="B2242" t="str">
        <f>"201187E02002"</f>
        <v>201187E02002</v>
      </c>
      <c r="C2242" t="str">
        <f t="shared" si="106"/>
        <v>20</v>
      </c>
      <c r="D2242" t="s">
        <v>67</v>
      </c>
      <c r="E2242" t="str">
        <f t="shared" si="108"/>
        <v>010</v>
      </c>
      <c r="F2242" t="s">
        <v>2245</v>
      </c>
      <c r="G2242" t="str">
        <f>"1187"</f>
        <v>1187</v>
      </c>
      <c r="H2242" t="str">
        <f>"0002"</f>
        <v>0002</v>
      </c>
      <c r="I2242" t="s">
        <v>109</v>
      </c>
      <c r="J2242">
        <v>0</v>
      </c>
      <c r="K2242">
        <v>1</v>
      </c>
      <c r="L2242">
        <v>2</v>
      </c>
      <c r="AM2242">
        <v>181</v>
      </c>
      <c r="AN2242">
        <v>44</v>
      </c>
      <c r="AO2242" t="s">
        <v>143</v>
      </c>
      <c r="AP2242">
        <v>0</v>
      </c>
      <c r="AR2242" t="s">
        <v>2334</v>
      </c>
      <c r="AS2242" s="1">
        <v>44354.793749999997</v>
      </c>
      <c r="AT2242" s="1">
        <v>44354.820590277777</v>
      </c>
      <c r="AU2242" s="1">
        <v>44354.820590277777</v>
      </c>
      <c r="AV2242" t="s">
        <v>71</v>
      </c>
      <c r="AW2242" t="s">
        <v>72</v>
      </c>
      <c r="AX2242" t="s">
        <v>73</v>
      </c>
    </row>
    <row r="2243" spans="1:50" x14ac:dyDescent="0.3">
      <c r="A2243" t="str">
        <f>"201187E0300"</f>
        <v>201187E0300</v>
      </c>
      <c r="B2243" t="str">
        <f>"201187E03002"</f>
        <v>201187E03002</v>
      </c>
      <c r="C2243" t="str">
        <f t="shared" si="106"/>
        <v>20</v>
      </c>
      <c r="D2243" t="s">
        <v>67</v>
      </c>
      <c r="E2243" t="str">
        <f t="shared" si="108"/>
        <v>010</v>
      </c>
      <c r="F2243" t="s">
        <v>2245</v>
      </c>
      <c r="G2243" t="str">
        <f>"1187"</f>
        <v>1187</v>
      </c>
      <c r="H2243" t="str">
        <f>"0003"</f>
        <v>0003</v>
      </c>
      <c r="I2243" t="s">
        <v>109</v>
      </c>
      <c r="J2243">
        <v>0</v>
      </c>
      <c r="K2243">
        <v>1</v>
      </c>
      <c r="L2243">
        <v>2</v>
      </c>
      <c r="AM2243">
        <v>311</v>
      </c>
      <c r="AN2243">
        <v>44</v>
      </c>
      <c r="AO2243" t="s">
        <v>143</v>
      </c>
      <c r="AP2243">
        <v>0</v>
      </c>
      <c r="AR2243" t="s">
        <v>2335</v>
      </c>
      <c r="AS2243" s="1">
        <v>44354.795138888891</v>
      </c>
      <c r="AT2243" s="1">
        <v>44354.811053240737</v>
      </c>
      <c r="AU2243" s="1">
        <v>44354.811053240737</v>
      </c>
      <c r="AV2243" t="s">
        <v>71</v>
      </c>
      <c r="AW2243" t="s">
        <v>72</v>
      </c>
      <c r="AX2243" t="s">
        <v>73</v>
      </c>
    </row>
    <row r="2244" spans="1:50" x14ac:dyDescent="0.3">
      <c r="A2244" t="str">
        <f>"201188B0000"</f>
        <v>201188B0000</v>
      </c>
      <c r="B2244" t="str">
        <f>"201188B00002"</f>
        <v>201188B00002</v>
      </c>
      <c r="C2244" t="str">
        <f t="shared" si="106"/>
        <v>20</v>
      </c>
      <c r="D2244" t="s">
        <v>67</v>
      </c>
      <c r="E2244" t="str">
        <f t="shared" si="108"/>
        <v>010</v>
      </c>
      <c r="F2244" t="s">
        <v>2245</v>
      </c>
      <c r="G2244" t="str">
        <f>"1188"</f>
        <v>1188</v>
      </c>
      <c r="H2244" t="str">
        <f>"0000"</f>
        <v>0000</v>
      </c>
      <c r="I2244" t="s">
        <v>69</v>
      </c>
      <c r="J2244">
        <v>0</v>
      </c>
      <c r="K2244">
        <v>1</v>
      </c>
      <c r="L2244">
        <v>2</v>
      </c>
      <c r="AM2244">
        <v>448</v>
      </c>
      <c r="AN2244">
        <v>44</v>
      </c>
      <c r="AO2244" t="s">
        <v>143</v>
      </c>
      <c r="AP2244">
        <v>0</v>
      </c>
      <c r="AR2244" t="s">
        <v>2336</v>
      </c>
      <c r="AS2244" s="1">
        <v>44354.802777777775</v>
      </c>
      <c r="AT2244" s="1">
        <v>44354.823263888888</v>
      </c>
      <c r="AU2244" s="1">
        <v>44354.823263888888</v>
      </c>
      <c r="AV2244" t="s">
        <v>71</v>
      </c>
      <c r="AW2244" t="s">
        <v>72</v>
      </c>
      <c r="AX2244" t="s">
        <v>73</v>
      </c>
    </row>
    <row r="2245" spans="1:50" x14ac:dyDescent="0.3">
      <c r="A2245" t="str">
        <f>"201190B0000"</f>
        <v>201190B0000</v>
      </c>
      <c r="B2245" t="str">
        <f>"201190B00002"</f>
        <v>201190B00002</v>
      </c>
      <c r="C2245" t="str">
        <f t="shared" si="106"/>
        <v>20</v>
      </c>
      <c r="D2245" t="s">
        <v>67</v>
      </c>
      <c r="E2245" t="str">
        <f t="shared" si="108"/>
        <v>010</v>
      </c>
      <c r="F2245" t="s">
        <v>2245</v>
      </c>
      <c r="G2245" t="str">
        <f>"1190"</f>
        <v>1190</v>
      </c>
      <c r="H2245" t="str">
        <f>"0000"</f>
        <v>0000</v>
      </c>
      <c r="I2245" t="s">
        <v>69</v>
      </c>
      <c r="J2245">
        <v>0</v>
      </c>
      <c r="K2245">
        <v>1</v>
      </c>
      <c r="L2245">
        <v>2</v>
      </c>
      <c r="AM2245">
        <v>379</v>
      </c>
      <c r="AN2245">
        <v>44</v>
      </c>
      <c r="AO2245" t="s">
        <v>143</v>
      </c>
      <c r="AP2245">
        <v>0</v>
      </c>
      <c r="AR2245" t="s">
        <v>2337</v>
      </c>
      <c r="AS2245" s="1">
        <v>44354.793055555558</v>
      </c>
      <c r="AT2245" s="1">
        <v>44354.810729166667</v>
      </c>
      <c r="AU2245" s="1">
        <v>44354.810729166667</v>
      </c>
      <c r="AV2245" t="s">
        <v>71</v>
      </c>
      <c r="AW2245" t="s">
        <v>72</v>
      </c>
      <c r="AX2245" t="s">
        <v>73</v>
      </c>
    </row>
    <row r="2246" spans="1:50" x14ac:dyDescent="0.3">
      <c r="A2246" t="str">
        <f>"201190C0100"</f>
        <v>201190C0100</v>
      </c>
      <c r="B2246" t="str">
        <f>"201190C01002"</f>
        <v>201190C01002</v>
      </c>
      <c r="C2246" t="str">
        <f t="shared" si="106"/>
        <v>20</v>
      </c>
      <c r="D2246" t="s">
        <v>67</v>
      </c>
      <c r="E2246" t="str">
        <f t="shared" si="108"/>
        <v>010</v>
      </c>
      <c r="F2246" t="s">
        <v>2245</v>
      </c>
      <c r="G2246" t="str">
        <f>"1190"</f>
        <v>1190</v>
      </c>
      <c r="H2246" t="str">
        <f>"0001"</f>
        <v>0001</v>
      </c>
      <c r="I2246" t="s">
        <v>75</v>
      </c>
      <c r="J2246">
        <v>0</v>
      </c>
      <c r="K2246">
        <v>1</v>
      </c>
      <c r="L2246">
        <v>2</v>
      </c>
      <c r="AM2246">
        <v>379</v>
      </c>
      <c r="AN2246">
        <v>44</v>
      </c>
      <c r="AO2246" t="s">
        <v>143</v>
      </c>
      <c r="AP2246">
        <v>0</v>
      </c>
      <c r="AR2246" t="s">
        <v>2338</v>
      </c>
      <c r="AS2246" s="1">
        <v>44354.792361111111</v>
      </c>
      <c r="AT2246" s="1">
        <v>44354.810995370368</v>
      </c>
      <c r="AU2246" s="1">
        <v>44354.810995370368</v>
      </c>
      <c r="AV2246" t="s">
        <v>71</v>
      </c>
      <c r="AW2246" t="s">
        <v>72</v>
      </c>
      <c r="AX2246" t="s">
        <v>73</v>
      </c>
    </row>
    <row r="2247" spans="1:50" x14ac:dyDescent="0.3">
      <c r="A2247" t="str">
        <f>"201190E0100"</f>
        <v>201190E0100</v>
      </c>
      <c r="B2247" t="str">
        <f>"201190E01002"</f>
        <v>201190E01002</v>
      </c>
      <c r="C2247" t="str">
        <f t="shared" ref="C2247:C2310" si="109">"20"</f>
        <v>20</v>
      </c>
      <c r="D2247" t="s">
        <v>67</v>
      </c>
      <c r="E2247" t="str">
        <f t="shared" si="108"/>
        <v>010</v>
      </c>
      <c r="F2247" t="s">
        <v>2245</v>
      </c>
      <c r="G2247" t="str">
        <f>"1190"</f>
        <v>1190</v>
      </c>
      <c r="H2247" t="str">
        <f>"0001"</f>
        <v>0001</v>
      </c>
      <c r="I2247" t="s">
        <v>109</v>
      </c>
      <c r="J2247">
        <v>0</v>
      </c>
      <c r="K2247">
        <v>1</v>
      </c>
      <c r="L2247">
        <v>2</v>
      </c>
      <c r="AM2247">
        <v>189</v>
      </c>
      <c r="AN2247">
        <v>44</v>
      </c>
      <c r="AO2247" t="s">
        <v>143</v>
      </c>
      <c r="AP2247">
        <v>0</v>
      </c>
      <c r="AR2247" t="s">
        <v>2339</v>
      </c>
      <c r="AS2247" s="1">
        <v>44354.803472222222</v>
      </c>
      <c r="AT2247" s="1">
        <v>44354.823854166665</v>
      </c>
      <c r="AU2247" s="1">
        <v>44354.823854166665</v>
      </c>
      <c r="AV2247" t="s">
        <v>71</v>
      </c>
      <c r="AW2247" t="s">
        <v>72</v>
      </c>
      <c r="AX2247" t="s">
        <v>73</v>
      </c>
    </row>
    <row r="2248" spans="1:50" x14ac:dyDescent="0.3">
      <c r="A2248" t="str">
        <f>"201191B0000"</f>
        <v>201191B0000</v>
      </c>
      <c r="B2248" t="str">
        <f>"201191B00002"</f>
        <v>201191B00002</v>
      </c>
      <c r="C2248" t="str">
        <f t="shared" si="109"/>
        <v>20</v>
      </c>
      <c r="D2248" t="s">
        <v>67</v>
      </c>
      <c r="E2248" t="str">
        <f t="shared" si="108"/>
        <v>010</v>
      </c>
      <c r="F2248" t="s">
        <v>2245</v>
      </c>
      <c r="G2248" t="str">
        <f>"1191"</f>
        <v>1191</v>
      </c>
      <c r="H2248" t="str">
        <f>"0000"</f>
        <v>0000</v>
      </c>
      <c r="I2248" t="s">
        <v>69</v>
      </c>
      <c r="J2248">
        <v>0</v>
      </c>
      <c r="K2248">
        <v>1</v>
      </c>
      <c r="L2248">
        <v>2</v>
      </c>
      <c r="M2248">
        <v>168</v>
      </c>
      <c r="N2248">
        <v>610</v>
      </c>
      <c r="O2248">
        <v>0</v>
      </c>
      <c r="P2248">
        <v>610</v>
      </c>
      <c r="Q2248">
        <v>10</v>
      </c>
      <c r="R2248">
        <v>552</v>
      </c>
      <c r="S2248">
        <v>4</v>
      </c>
      <c r="T2248">
        <v>9</v>
      </c>
      <c r="U2248">
        <v>4</v>
      </c>
      <c r="V2248">
        <v>2</v>
      </c>
      <c r="W2248">
        <v>0</v>
      </c>
      <c r="X2248">
        <v>15</v>
      </c>
      <c r="Y2248">
        <v>0</v>
      </c>
      <c r="Z2248">
        <v>0</v>
      </c>
      <c r="AA2248">
        <v>0</v>
      </c>
      <c r="AB2248">
        <v>1</v>
      </c>
      <c r="AD2248">
        <v>0</v>
      </c>
      <c r="AE2248">
        <v>0</v>
      </c>
      <c r="AF2248">
        <v>0</v>
      </c>
      <c r="AG2248">
        <v>0</v>
      </c>
      <c r="AH2248">
        <v>1</v>
      </c>
      <c r="AI2248">
        <v>0</v>
      </c>
      <c r="AJ2248">
        <v>12</v>
      </c>
      <c r="AK2248">
        <v>610</v>
      </c>
      <c r="AL2248">
        <v>610</v>
      </c>
      <c r="AM2248">
        <v>734</v>
      </c>
      <c r="AN2248">
        <v>44</v>
      </c>
      <c r="AP2248">
        <v>1</v>
      </c>
      <c r="AR2248" t="s">
        <v>2340</v>
      </c>
      <c r="AS2248" s="1">
        <v>44354.302083333336</v>
      </c>
      <c r="AT2248" s="1">
        <v>44354.305787037039</v>
      </c>
      <c r="AU2248" s="1">
        <v>44354.30673611111</v>
      </c>
      <c r="AV2248" t="s">
        <v>71</v>
      </c>
      <c r="AW2248" t="s">
        <v>72</v>
      </c>
      <c r="AX2248" t="s">
        <v>73</v>
      </c>
    </row>
    <row r="2249" spans="1:50" x14ac:dyDescent="0.3">
      <c r="A2249" t="str">
        <f>"201191E0100"</f>
        <v>201191E0100</v>
      </c>
      <c r="B2249" t="str">
        <f>"201191E01002"</f>
        <v>201191E01002</v>
      </c>
      <c r="C2249" t="str">
        <f t="shared" si="109"/>
        <v>20</v>
      </c>
      <c r="D2249" t="s">
        <v>67</v>
      </c>
      <c r="E2249" t="str">
        <f t="shared" si="108"/>
        <v>010</v>
      </c>
      <c r="F2249" t="s">
        <v>2245</v>
      </c>
      <c r="G2249" t="str">
        <f>"1191"</f>
        <v>1191</v>
      </c>
      <c r="H2249" t="str">
        <f>"0001"</f>
        <v>0001</v>
      </c>
      <c r="I2249" t="s">
        <v>109</v>
      </c>
      <c r="J2249">
        <v>0</v>
      </c>
      <c r="K2249">
        <v>1</v>
      </c>
      <c r="L2249">
        <v>2</v>
      </c>
      <c r="M2249">
        <v>322</v>
      </c>
      <c r="N2249">
        <v>320</v>
      </c>
      <c r="O2249">
        <v>2</v>
      </c>
      <c r="P2249">
        <v>320</v>
      </c>
      <c r="Q2249">
        <v>10</v>
      </c>
      <c r="R2249">
        <v>174</v>
      </c>
      <c r="S2249">
        <v>3</v>
      </c>
      <c r="T2249">
        <v>10</v>
      </c>
      <c r="U2249">
        <v>16</v>
      </c>
      <c r="V2249">
        <v>1</v>
      </c>
      <c r="W2249">
        <v>0</v>
      </c>
      <c r="X2249">
        <v>29</v>
      </c>
      <c r="Y2249">
        <v>1</v>
      </c>
      <c r="Z2249">
        <v>2</v>
      </c>
      <c r="AA2249">
        <v>0</v>
      </c>
      <c r="AB2249">
        <v>3</v>
      </c>
      <c r="AD2249">
        <v>1</v>
      </c>
      <c r="AE2249">
        <v>0</v>
      </c>
      <c r="AF2249">
        <v>0</v>
      </c>
      <c r="AG2249">
        <v>1</v>
      </c>
      <c r="AH2249">
        <v>0</v>
      </c>
      <c r="AI2249">
        <v>0</v>
      </c>
      <c r="AJ2249">
        <v>69</v>
      </c>
      <c r="AK2249">
        <v>320</v>
      </c>
      <c r="AL2249">
        <v>320</v>
      </c>
      <c r="AM2249">
        <v>598</v>
      </c>
      <c r="AN2249">
        <v>44</v>
      </c>
      <c r="AP2249">
        <v>1</v>
      </c>
      <c r="AR2249" t="s">
        <v>2341</v>
      </c>
      <c r="AS2249" s="1">
        <v>44354.302777777775</v>
      </c>
      <c r="AT2249" s="1">
        <v>44354.306562500002</v>
      </c>
      <c r="AU2249" s="1">
        <v>44354.307013888887</v>
      </c>
      <c r="AV2249" t="s">
        <v>71</v>
      </c>
      <c r="AW2249" t="s">
        <v>72</v>
      </c>
      <c r="AX2249" t="s">
        <v>73</v>
      </c>
    </row>
    <row r="2250" spans="1:50" x14ac:dyDescent="0.3">
      <c r="A2250" t="str">
        <f>"201253B0000"</f>
        <v>201253B0000</v>
      </c>
      <c r="B2250" t="str">
        <f>"201253B00002"</f>
        <v>201253B00002</v>
      </c>
      <c r="C2250" t="str">
        <f t="shared" si="109"/>
        <v>20</v>
      </c>
      <c r="D2250" t="s">
        <v>67</v>
      </c>
      <c r="E2250" t="str">
        <f t="shared" si="108"/>
        <v>010</v>
      </c>
      <c r="F2250" t="s">
        <v>2245</v>
      </c>
      <c r="G2250" t="str">
        <f>"1253"</f>
        <v>1253</v>
      </c>
      <c r="H2250" t="str">
        <f>"0000"</f>
        <v>0000</v>
      </c>
      <c r="I2250" t="s">
        <v>69</v>
      </c>
      <c r="J2250">
        <v>0</v>
      </c>
      <c r="K2250">
        <v>1</v>
      </c>
      <c r="L2250">
        <v>2</v>
      </c>
      <c r="M2250">
        <v>548</v>
      </c>
      <c r="N2250">
        <v>134</v>
      </c>
      <c r="O2250">
        <v>6</v>
      </c>
      <c r="P2250">
        <v>134</v>
      </c>
      <c r="Q2250">
        <v>2</v>
      </c>
      <c r="R2250">
        <v>14</v>
      </c>
      <c r="S2250">
        <v>2</v>
      </c>
      <c r="T2250">
        <v>1</v>
      </c>
      <c r="U2250">
        <v>68</v>
      </c>
      <c r="V2250">
        <v>3</v>
      </c>
      <c r="W2250">
        <v>2</v>
      </c>
      <c r="X2250">
        <v>36</v>
      </c>
      <c r="Y2250">
        <v>0</v>
      </c>
      <c r="Z2250">
        <v>0</v>
      </c>
      <c r="AA2250">
        <v>3</v>
      </c>
      <c r="AB2250">
        <v>2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1</v>
      </c>
      <c r="AK2250">
        <v>134</v>
      </c>
      <c r="AL2250">
        <v>134</v>
      </c>
      <c r="AM2250">
        <v>638</v>
      </c>
      <c r="AN2250">
        <v>44</v>
      </c>
      <c r="AP2250">
        <v>1</v>
      </c>
      <c r="AR2250" t="s">
        <v>2342</v>
      </c>
      <c r="AS2250" s="1">
        <v>44354.267361111109</v>
      </c>
      <c r="AT2250" s="1">
        <v>44354.269293981481</v>
      </c>
      <c r="AU2250" s="1">
        <v>44354.26972222222</v>
      </c>
      <c r="AV2250" t="s">
        <v>71</v>
      </c>
      <c r="AW2250" t="s">
        <v>72</v>
      </c>
      <c r="AX2250" t="s">
        <v>73</v>
      </c>
    </row>
    <row r="2251" spans="1:50" x14ac:dyDescent="0.3">
      <c r="A2251" t="str">
        <f>"201253C0100"</f>
        <v>201253C0100</v>
      </c>
      <c r="B2251" t="str">
        <f>"201253C01002"</f>
        <v>201253C01002</v>
      </c>
      <c r="C2251" t="str">
        <f t="shared" si="109"/>
        <v>20</v>
      </c>
      <c r="D2251" t="s">
        <v>67</v>
      </c>
      <c r="E2251" t="str">
        <f t="shared" si="108"/>
        <v>010</v>
      </c>
      <c r="F2251" t="s">
        <v>2245</v>
      </c>
      <c r="G2251" t="str">
        <f>"1253"</f>
        <v>1253</v>
      </c>
      <c r="H2251" t="str">
        <f>"0001"</f>
        <v>0001</v>
      </c>
      <c r="I2251" t="s">
        <v>75</v>
      </c>
      <c r="J2251">
        <v>0</v>
      </c>
      <c r="K2251">
        <v>1</v>
      </c>
      <c r="L2251">
        <v>2</v>
      </c>
      <c r="M2251">
        <v>578</v>
      </c>
      <c r="N2251">
        <v>104</v>
      </c>
      <c r="O2251">
        <v>3</v>
      </c>
      <c r="P2251">
        <v>104</v>
      </c>
      <c r="Q2251">
        <v>1</v>
      </c>
      <c r="R2251">
        <v>20</v>
      </c>
      <c r="S2251">
        <v>1</v>
      </c>
      <c r="T2251">
        <v>2</v>
      </c>
      <c r="U2251">
        <v>52</v>
      </c>
      <c r="V2251">
        <v>0</v>
      </c>
      <c r="W2251">
        <v>1</v>
      </c>
      <c r="X2251">
        <v>20</v>
      </c>
      <c r="Y2251">
        <v>0</v>
      </c>
      <c r="Z2251">
        <v>1</v>
      </c>
      <c r="AA2251">
        <v>2</v>
      </c>
      <c r="AB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4</v>
      </c>
      <c r="AK2251">
        <v>104</v>
      </c>
      <c r="AL2251">
        <v>104</v>
      </c>
      <c r="AM2251">
        <v>638</v>
      </c>
      <c r="AN2251">
        <v>44</v>
      </c>
      <c r="AP2251">
        <v>1</v>
      </c>
      <c r="AR2251" t="s">
        <v>2343</v>
      </c>
      <c r="AS2251" s="1">
        <v>44354.240277777775</v>
      </c>
      <c r="AT2251" s="1">
        <v>44354.242129629631</v>
      </c>
      <c r="AU2251" s="1">
        <v>44354.24291666667</v>
      </c>
      <c r="AV2251" t="s">
        <v>71</v>
      </c>
      <c r="AW2251" t="s">
        <v>72</v>
      </c>
      <c r="AX2251" t="s">
        <v>73</v>
      </c>
    </row>
    <row r="2252" spans="1:50" x14ac:dyDescent="0.3">
      <c r="A2252" t="str">
        <f>"201253C0200"</f>
        <v>201253C0200</v>
      </c>
      <c r="B2252" t="str">
        <f>"201253C02002"</f>
        <v>201253C02002</v>
      </c>
      <c r="C2252" t="str">
        <f t="shared" si="109"/>
        <v>20</v>
      </c>
      <c r="D2252" t="s">
        <v>67</v>
      </c>
      <c r="E2252" t="str">
        <f t="shared" si="108"/>
        <v>010</v>
      </c>
      <c r="F2252" t="s">
        <v>2245</v>
      </c>
      <c r="G2252" t="str">
        <f>"1253"</f>
        <v>1253</v>
      </c>
      <c r="H2252" t="str">
        <f>"0002"</f>
        <v>0002</v>
      </c>
      <c r="I2252" t="s">
        <v>75</v>
      </c>
      <c r="J2252">
        <v>0</v>
      </c>
      <c r="K2252">
        <v>1</v>
      </c>
      <c r="L2252">
        <v>2</v>
      </c>
      <c r="M2252">
        <v>583</v>
      </c>
      <c r="N2252">
        <v>98</v>
      </c>
      <c r="O2252">
        <v>1</v>
      </c>
      <c r="P2252">
        <v>98</v>
      </c>
      <c r="Q2252">
        <v>3</v>
      </c>
      <c r="R2252">
        <v>16</v>
      </c>
      <c r="S2252">
        <v>0</v>
      </c>
      <c r="T2252">
        <v>2</v>
      </c>
      <c r="U2252">
        <v>54</v>
      </c>
      <c r="V2252">
        <v>1</v>
      </c>
      <c r="W2252">
        <v>2</v>
      </c>
      <c r="X2252">
        <v>14</v>
      </c>
      <c r="Y2252">
        <v>0</v>
      </c>
      <c r="Z2252">
        <v>1</v>
      </c>
      <c r="AA2252">
        <v>3</v>
      </c>
      <c r="AB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2</v>
      </c>
      <c r="AK2252">
        <v>98</v>
      </c>
      <c r="AL2252">
        <v>98</v>
      </c>
      <c r="AM2252">
        <v>637</v>
      </c>
      <c r="AN2252">
        <v>44</v>
      </c>
      <c r="AP2252">
        <v>1</v>
      </c>
      <c r="AR2252" t="s">
        <v>2344</v>
      </c>
      <c r="AS2252" s="1">
        <v>44354.241666666669</v>
      </c>
      <c r="AT2252" s="1">
        <v>44354.243668981479</v>
      </c>
      <c r="AU2252" s="1">
        <v>44354.244791666664</v>
      </c>
      <c r="AV2252" t="s">
        <v>71</v>
      </c>
      <c r="AW2252" t="s">
        <v>72</v>
      </c>
      <c r="AX2252" t="s">
        <v>73</v>
      </c>
    </row>
    <row r="2253" spans="1:50" x14ac:dyDescent="0.3">
      <c r="A2253" t="str">
        <f>"201368B0000"</f>
        <v>201368B0000</v>
      </c>
      <c r="B2253" t="str">
        <f>"201368B00002"</f>
        <v>201368B00002</v>
      </c>
      <c r="C2253" t="str">
        <f t="shared" si="109"/>
        <v>20</v>
      </c>
      <c r="D2253" t="s">
        <v>67</v>
      </c>
      <c r="E2253" t="str">
        <f t="shared" si="108"/>
        <v>010</v>
      </c>
      <c r="F2253" t="s">
        <v>2245</v>
      </c>
      <c r="G2253" t="str">
        <f>"1368"</f>
        <v>1368</v>
      </c>
      <c r="H2253" t="str">
        <f>"0000"</f>
        <v>0000</v>
      </c>
      <c r="I2253" t="s">
        <v>69</v>
      </c>
      <c r="J2253">
        <v>0</v>
      </c>
      <c r="K2253">
        <v>1</v>
      </c>
      <c r="L2253">
        <v>2</v>
      </c>
      <c r="M2253">
        <v>522</v>
      </c>
      <c r="N2253">
        <v>120</v>
      </c>
      <c r="O2253">
        <v>0</v>
      </c>
      <c r="P2253">
        <v>120</v>
      </c>
      <c r="Q2253">
        <v>2</v>
      </c>
      <c r="R2253">
        <v>22</v>
      </c>
      <c r="S2253">
        <v>3</v>
      </c>
      <c r="T2253">
        <v>10</v>
      </c>
      <c r="U2253">
        <v>43</v>
      </c>
      <c r="V2253">
        <v>2</v>
      </c>
      <c r="W2253">
        <v>0</v>
      </c>
      <c r="X2253">
        <v>25</v>
      </c>
      <c r="Y2253">
        <v>1</v>
      </c>
      <c r="Z2253">
        <v>3</v>
      </c>
      <c r="AA2253">
        <v>0</v>
      </c>
      <c r="AB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9</v>
      </c>
      <c r="AK2253" t="s">
        <v>77</v>
      </c>
      <c r="AL2253">
        <v>120</v>
      </c>
      <c r="AM2253">
        <v>598</v>
      </c>
      <c r="AN2253">
        <v>44</v>
      </c>
      <c r="AP2253">
        <v>1</v>
      </c>
      <c r="AR2253" t="s">
        <v>2345</v>
      </c>
      <c r="AS2253" s="1">
        <v>44354.188888888886</v>
      </c>
      <c r="AT2253" s="1">
        <v>44354.193553240744</v>
      </c>
      <c r="AU2253" s="1">
        <v>44354.194224537037</v>
      </c>
      <c r="AV2253" t="s">
        <v>71</v>
      </c>
      <c r="AW2253" t="s">
        <v>72</v>
      </c>
      <c r="AX2253" t="s">
        <v>73</v>
      </c>
    </row>
    <row r="2254" spans="1:50" x14ac:dyDescent="0.3">
      <c r="A2254" t="str">
        <f>"201368C0100"</f>
        <v>201368C0100</v>
      </c>
      <c r="B2254" t="str">
        <f>"201368C01002"</f>
        <v>201368C01002</v>
      </c>
      <c r="C2254" t="str">
        <f t="shared" si="109"/>
        <v>20</v>
      </c>
      <c r="D2254" t="s">
        <v>67</v>
      </c>
      <c r="E2254" t="str">
        <f t="shared" si="108"/>
        <v>010</v>
      </c>
      <c r="F2254" t="s">
        <v>2245</v>
      </c>
      <c r="G2254" t="str">
        <f>"1368"</f>
        <v>1368</v>
      </c>
      <c r="H2254" t="str">
        <f>"0001"</f>
        <v>0001</v>
      </c>
      <c r="I2254" t="s">
        <v>75</v>
      </c>
      <c r="J2254">
        <v>0</v>
      </c>
      <c r="K2254">
        <v>1</v>
      </c>
      <c r="L2254">
        <v>2</v>
      </c>
      <c r="M2254">
        <v>515</v>
      </c>
      <c r="N2254">
        <v>126</v>
      </c>
      <c r="O2254">
        <v>2</v>
      </c>
      <c r="P2254">
        <v>126</v>
      </c>
      <c r="Q2254">
        <v>2</v>
      </c>
      <c r="R2254">
        <v>28</v>
      </c>
      <c r="S2254">
        <v>3</v>
      </c>
      <c r="T2254">
        <v>4</v>
      </c>
      <c r="U2254">
        <v>56</v>
      </c>
      <c r="V2254">
        <v>3</v>
      </c>
      <c r="W2254">
        <v>2</v>
      </c>
      <c r="X2254">
        <v>19</v>
      </c>
      <c r="Y2254">
        <v>0</v>
      </c>
      <c r="Z2254">
        <v>1</v>
      </c>
      <c r="AA2254">
        <v>2</v>
      </c>
      <c r="AB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6</v>
      </c>
      <c r="AK2254">
        <v>126</v>
      </c>
      <c r="AL2254">
        <v>126</v>
      </c>
      <c r="AM2254">
        <v>597</v>
      </c>
      <c r="AN2254">
        <v>44</v>
      </c>
      <c r="AP2254">
        <v>1</v>
      </c>
      <c r="AR2254" s="2" t="s">
        <v>2346</v>
      </c>
      <c r="AS2254" s="1">
        <v>44354.190972222219</v>
      </c>
      <c r="AT2254" s="1">
        <v>44354.195543981485</v>
      </c>
      <c r="AU2254" s="1">
        <v>44354.196388888886</v>
      </c>
      <c r="AV2254" t="s">
        <v>71</v>
      </c>
      <c r="AW2254" t="s">
        <v>72</v>
      </c>
      <c r="AX2254" t="s">
        <v>73</v>
      </c>
    </row>
    <row r="2255" spans="1:50" x14ac:dyDescent="0.3">
      <c r="A2255" t="str">
        <f>"201368C0200"</f>
        <v>201368C0200</v>
      </c>
      <c r="B2255" t="str">
        <f>"201368C02002"</f>
        <v>201368C02002</v>
      </c>
      <c r="C2255" t="str">
        <f t="shared" si="109"/>
        <v>20</v>
      </c>
      <c r="D2255" t="s">
        <v>67</v>
      </c>
      <c r="E2255" t="str">
        <f t="shared" si="108"/>
        <v>010</v>
      </c>
      <c r="F2255" t="s">
        <v>2245</v>
      </c>
      <c r="G2255" t="str">
        <f>"1368"</f>
        <v>1368</v>
      </c>
      <c r="H2255" t="str">
        <f>"0002"</f>
        <v>0002</v>
      </c>
      <c r="I2255" t="s">
        <v>75</v>
      </c>
      <c r="J2255">
        <v>0</v>
      </c>
      <c r="K2255">
        <v>1</v>
      </c>
      <c r="L2255">
        <v>2</v>
      </c>
      <c r="M2255">
        <v>532</v>
      </c>
      <c r="N2255">
        <v>109</v>
      </c>
      <c r="O2255">
        <v>2</v>
      </c>
      <c r="P2255">
        <v>109</v>
      </c>
      <c r="Q2255">
        <v>2</v>
      </c>
      <c r="R2255">
        <v>13</v>
      </c>
      <c r="S2255">
        <v>7</v>
      </c>
      <c r="T2255">
        <v>7</v>
      </c>
      <c r="U2255">
        <v>47</v>
      </c>
      <c r="V2255">
        <v>2</v>
      </c>
      <c r="W2255">
        <v>1</v>
      </c>
      <c r="X2255">
        <v>23</v>
      </c>
      <c r="Y2255">
        <v>0</v>
      </c>
      <c r="Z2255">
        <v>3</v>
      </c>
      <c r="AA2255">
        <v>1</v>
      </c>
      <c r="AB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3</v>
      </c>
      <c r="AK2255">
        <v>109</v>
      </c>
      <c r="AL2255">
        <v>109</v>
      </c>
      <c r="AM2255">
        <v>597</v>
      </c>
      <c r="AN2255">
        <v>44</v>
      </c>
      <c r="AP2255">
        <v>1</v>
      </c>
      <c r="AR2255" t="s">
        <v>2347</v>
      </c>
      <c r="AS2255" s="1">
        <v>44354.189583333333</v>
      </c>
      <c r="AT2255" s="1">
        <v>44354.193958333337</v>
      </c>
      <c r="AU2255" s="1">
        <v>44354.194618055553</v>
      </c>
      <c r="AV2255" t="s">
        <v>71</v>
      </c>
      <c r="AW2255" t="s">
        <v>72</v>
      </c>
      <c r="AX2255" t="s">
        <v>73</v>
      </c>
    </row>
    <row r="2256" spans="1:50" x14ac:dyDescent="0.3">
      <c r="A2256" t="str">
        <f>"201368E0100"</f>
        <v>201368E0100</v>
      </c>
      <c r="B2256" t="str">
        <f>"201368E01002"</f>
        <v>201368E01002</v>
      </c>
      <c r="C2256" t="str">
        <f t="shared" si="109"/>
        <v>20</v>
      </c>
      <c r="D2256" t="s">
        <v>67</v>
      </c>
      <c r="E2256" t="str">
        <f t="shared" si="108"/>
        <v>010</v>
      </c>
      <c r="F2256" t="s">
        <v>2245</v>
      </c>
      <c r="G2256" t="str">
        <f>"1368"</f>
        <v>1368</v>
      </c>
      <c r="H2256" t="str">
        <f>"0001"</f>
        <v>0001</v>
      </c>
      <c r="I2256" t="s">
        <v>109</v>
      </c>
      <c r="J2256">
        <v>0</v>
      </c>
      <c r="K2256">
        <v>1</v>
      </c>
      <c r="L2256">
        <v>2</v>
      </c>
      <c r="M2256">
        <v>343</v>
      </c>
      <c r="N2256">
        <v>365</v>
      </c>
      <c r="O2256">
        <v>3</v>
      </c>
      <c r="P2256">
        <v>365</v>
      </c>
      <c r="Q2256">
        <v>6</v>
      </c>
      <c r="R2256">
        <v>65</v>
      </c>
      <c r="S2256">
        <v>4</v>
      </c>
      <c r="T2256">
        <v>7</v>
      </c>
      <c r="U2256">
        <v>187</v>
      </c>
      <c r="V2256">
        <v>2</v>
      </c>
      <c r="W2256">
        <v>2</v>
      </c>
      <c r="X2256">
        <v>47</v>
      </c>
      <c r="Y2256">
        <v>0</v>
      </c>
      <c r="Z2256">
        <v>1</v>
      </c>
      <c r="AA2256">
        <v>3</v>
      </c>
      <c r="AB2256">
        <v>1</v>
      </c>
      <c r="AD2256">
        <v>1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39</v>
      </c>
      <c r="AK2256">
        <v>365</v>
      </c>
      <c r="AL2256">
        <v>365</v>
      </c>
      <c r="AM2256">
        <v>664</v>
      </c>
      <c r="AN2256">
        <v>44</v>
      </c>
      <c r="AP2256">
        <v>1</v>
      </c>
      <c r="AR2256" t="s">
        <v>2348</v>
      </c>
      <c r="AS2256" s="1">
        <v>44354.242361111108</v>
      </c>
      <c r="AT2256" s="1">
        <v>44354.244143518517</v>
      </c>
      <c r="AU2256" s="1">
        <v>44354.245358796295</v>
      </c>
      <c r="AV2256" t="s">
        <v>71</v>
      </c>
      <c r="AW2256" t="s">
        <v>72</v>
      </c>
      <c r="AX2256" t="s">
        <v>73</v>
      </c>
    </row>
    <row r="2257" spans="1:50" x14ac:dyDescent="0.3">
      <c r="A2257" t="str">
        <f>"201369B0000"</f>
        <v>201369B0000</v>
      </c>
      <c r="B2257" t="str">
        <f>"201369B00002"</f>
        <v>201369B00002</v>
      </c>
      <c r="C2257" t="str">
        <f t="shared" si="109"/>
        <v>20</v>
      </c>
      <c r="D2257" t="s">
        <v>67</v>
      </c>
      <c r="E2257" t="str">
        <f t="shared" si="108"/>
        <v>010</v>
      </c>
      <c r="F2257" t="s">
        <v>2245</v>
      </c>
      <c r="G2257" t="str">
        <f>"1369"</f>
        <v>1369</v>
      </c>
      <c r="H2257" t="str">
        <f>"0000"</f>
        <v>0000</v>
      </c>
      <c r="I2257" t="s">
        <v>69</v>
      </c>
      <c r="J2257">
        <v>0</v>
      </c>
      <c r="K2257">
        <v>1</v>
      </c>
      <c r="L2257">
        <v>2</v>
      </c>
      <c r="M2257">
        <v>493</v>
      </c>
      <c r="N2257">
        <v>114</v>
      </c>
      <c r="O2257">
        <v>4</v>
      </c>
      <c r="P2257">
        <v>114</v>
      </c>
      <c r="Q2257">
        <v>5</v>
      </c>
      <c r="R2257">
        <v>41</v>
      </c>
      <c r="S2257">
        <v>6</v>
      </c>
      <c r="T2257">
        <v>1</v>
      </c>
      <c r="U2257">
        <v>25</v>
      </c>
      <c r="V2257">
        <v>1</v>
      </c>
      <c r="W2257">
        <v>0</v>
      </c>
      <c r="X2257">
        <v>24</v>
      </c>
      <c r="Y2257">
        <v>0</v>
      </c>
      <c r="Z2257">
        <v>2</v>
      </c>
      <c r="AA2257">
        <v>1</v>
      </c>
      <c r="AB2257">
        <v>0</v>
      </c>
      <c r="AD2257" t="s">
        <v>77</v>
      </c>
      <c r="AE2257" t="s">
        <v>77</v>
      </c>
      <c r="AF2257" t="s">
        <v>77</v>
      </c>
      <c r="AG2257" t="s">
        <v>77</v>
      </c>
      <c r="AH2257" t="s">
        <v>77</v>
      </c>
      <c r="AI2257" t="s">
        <v>77</v>
      </c>
      <c r="AJ2257">
        <v>8</v>
      </c>
      <c r="AK2257">
        <v>114</v>
      </c>
      <c r="AL2257">
        <v>114</v>
      </c>
      <c r="AM2257">
        <v>563</v>
      </c>
      <c r="AN2257">
        <v>44</v>
      </c>
      <c r="AO2257" t="s">
        <v>78</v>
      </c>
      <c r="AP2257">
        <v>1</v>
      </c>
      <c r="AR2257" t="s">
        <v>2349</v>
      </c>
      <c r="AS2257" s="1">
        <v>44354.19027777778</v>
      </c>
      <c r="AT2257" s="1">
        <v>44354.196203703701</v>
      </c>
      <c r="AU2257" s="1">
        <v>44354.196782407409</v>
      </c>
      <c r="AV2257" t="s">
        <v>71</v>
      </c>
      <c r="AW2257" t="s">
        <v>72</v>
      </c>
      <c r="AX2257" t="s">
        <v>73</v>
      </c>
    </row>
    <row r="2258" spans="1:50" x14ac:dyDescent="0.3">
      <c r="A2258" t="str">
        <f>"201369C0100"</f>
        <v>201369C0100</v>
      </c>
      <c r="B2258" t="str">
        <f>"201369C01002"</f>
        <v>201369C01002</v>
      </c>
      <c r="C2258" t="str">
        <f t="shared" si="109"/>
        <v>20</v>
      </c>
      <c r="D2258" t="s">
        <v>67</v>
      </c>
      <c r="E2258" t="str">
        <f t="shared" si="108"/>
        <v>010</v>
      </c>
      <c r="F2258" t="s">
        <v>2245</v>
      </c>
      <c r="G2258" t="str">
        <f>"1369"</f>
        <v>1369</v>
      </c>
      <c r="H2258" t="str">
        <f>"0001"</f>
        <v>0001</v>
      </c>
      <c r="I2258" t="s">
        <v>75</v>
      </c>
      <c r="J2258">
        <v>0</v>
      </c>
      <c r="K2258">
        <v>1</v>
      </c>
      <c r="L2258">
        <v>2</v>
      </c>
      <c r="M2258">
        <v>493</v>
      </c>
      <c r="N2258">
        <v>114</v>
      </c>
      <c r="O2258">
        <v>1</v>
      </c>
      <c r="P2258">
        <v>114</v>
      </c>
      <c r="Q2258">
        <v>2</v>
      </c>
      <c r="R2258">
        <v>38</v>
      </c>
      <c r="S2258">
        <v>4</v>
      </c>
      <c r="T2258">
        <v>0</v>
      </c>
      <c r="U2258">
        <v>29</v>
      </c>
      <c r="V2258">
        <v>1</v>
      </c>
      <c r="W2258">
        <v>2</v>
      </c>
      <c r="X2258">
        <v>22</v>
      </c>
      <c r="Y2258">
        <v>0</v>
      </c>
      <c r="Z2258">
        <v>2</v>
      </c>
      <c r="AA2258">
        <v>0</v>
      </c>
      <c r="AB2258">
        <v>1</v>
      </c>
      <c r="AD2258">
        <v>0</v>
      </c>
      <c r="AE2258">
        <v>0</v>
      </c>
      <c r="AF2258">
        <v>0</v>
      </c>
      <c r="AG2258">
        <v>1</v>
      </c>
      <c r="AH2258">
        <v>0</v>
      </c>
      <c r="AI2258">
        <v>0</v>
      </c>
      <c r="AJ2258">
        <v>12</v>
      </c>
      <c r="AK2258">
        <v>114</v>
      </c>
      <c r="AL2258">
        <v>114</v>
      </c>
      <c r="AM2258">
        <v>563</v>
      </c>
      <c r="AN2258">
        <v>44</v>
      </c>
      <c r="AP2258">
        <v>1</v>
      </c>
      <c r="AR2258" t="s">
        <v>2350</v>
      </c>
      <c r="AS2258" s="1">
        <v>44354.191666666666</v>
      </c>
      <c r="AT2258" s="1">
        <v>44354.195983796293</v>
      </c>
      <c r="AU2258" s="1">
        <v>44354.196527777778</v>
      </c>
      <c r="AV2258" t="s">
        <v>71</v>
      </c>
      <c r="AW2258" t="s">
        <v>72</v>
      </c>
      <c r="AX2258" t="s">
        <v>73</v>
      </c>
    </row>
    <row r="2259" spans="1:50" x14ac:dyDescent="0.3">
      <c r="A2259" t="str">
        <f>"201369C0200"</f>
        <v>201369C0200</v>
      </c>
      <c r="B2259" t="str">
        <f>"201369C02002"</f>
        <v>201369C02002</v>
      </c>
      <c r="C2259" t="str">
        <f t="shared" si="109"/>
        <v>20</v>
      </c>
      <c r="D2259" t="s">
        <v>67</v>
      </c>
      <c r="E2259" t="str">
        <f t="shared" si="108"/>
        <v>010</v>
      </c>
      <c r="F2259" t="s">
        <v>2245</v>
      </c>
      <c r="G2259" t="str">
        <f>"1369"</f>
        <v>1369</v>
      </c>
      <c r="H2259" t="str">
        <f>"0002"</f>
        <v>0002</v>
      </c>
      <c r="I2259" t="s">
        <v>75</v>
      </c>
      <c r="J2259">
        <v>0</v>
      </c>
      <c r="K2259">
        <v>1</v>
      </c>
      <c r="L2259">
        <v>2</v>
      </c>
      <c r="M2259">
        <v>482</v>
      </c>
      <c r="N2259">
        <v>124</v>
      </c>
      <c r="O2259">
        <v>4</v>
      </c>
      <c r="P2259">
        <v>124</v>
      </c>
      <c r="Q2259">
        <v>2</v>
      </c>
      <c r="R2259">
        <v>29</v>
      </c>
      <c r="S2259">
        <v>3</v>
      </c>
      <c r="T2259">
        <v>2</v>
      </c>
      <c r="U2259">
        <v>47</v>
      </c>
      <c r="V2259">
        <v>3</v>
      </c>
      <c r="W2259">
        <v>0</v>
      </c>
      <c r="X2259">
        <v>23</v>
      </c>
      <c r="Y2259">
        <v>1</v>
      </c>
      <c r="Z2259">
        <v>7</v>
      </c>
      <c r="AA2259">
        <v>3</v>
      </c>
      <c r="AB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4</v>
      </c>
      <c r="AK2259">
        <v>124</v>
      </c>
      <c r="AL2259">
        <v>124</v>
      </c>
      <c r="AM2259">
        <v>563</v>
      </c>
      <c r="AN2259">
        <v>44</v>
      </c>
      <c r="AP2259">
        <v>1</v>
      </c>
      <c r="AR2259" t="s">
        <v>2351</v>
      </c>
      <c r="AS2259" s="1">
        <v>44354.192361111112</v>
      </c>
      <c r="AT2259" s="1">
        <v>44354.242719907408</v>
      </c>
      <c r="AU2259" s="1">
        <v>44354.243159722224</v>
      </c>
      <c r="AV2259" t="s">
        <v>71</v>
      </c>
      <c r="AW2259" t="s">
        <v>72</v>
      </c>
      <c r="AX2259" t="s">
        <v>73</v>
      </c>
    </row>
    <row r="2260" spans="1:50" x14ac:dyDescent="0.3">
      <c r="A2260" t="str">
        <f>"201370B0000"</f>
        <v>201370B0000</v>
      </c>
      <c r="B2260" t="str">
        <f>"201370B00002"</f>
        <v>201370B00002</v>
      </c>
      <c r="C2260" t="str">
        <f t="shared" si="109"/>
        <v>20</v>
      </c>
      <c r="D2260" t="s">
        <v>67</v>
      </c>
      <c r="E2260" t="str">
        <f t="shared" si="108"/>
        <v>010</v>
      </c>
      <c r="F2260" t="s">
        <v>2245</v>
      </c>
      <c r="G2260" t="str">
        <f>"1370"</f>
        <v>1370</v>
      </c>
      <c r="H2260" t="str">
        <f>"0000"</f>
        <v>0000</v>
      </c>
      <c r="I2260" t="s">
        <v>69</v>
      </c>
      <c r="J2260">
        <v>0</v>
      </c>
      <c r="K2260">
        <v>1</v>
      </c>
      <c r="L2260">
        <v>2</v>
      </c>
      <c r="M2260">
        <v>360</v>
      </c>
      <c r="N2260">
        <v>116</v>
      </c>
      <c r="O2260">
        <v>0</v>
      </c>
      <c r="P2260">
        <v>116</v>
      </c>
      <c r="Q2260">
        <v>1</v>
      </c>
      <c r="R2260">
        <v>26</v>
      </c>
      <c r="S2260">
        <v>4</v>
      </c>
      <c r="T2260">
        <v>0</v>
      </c>
      <c r="U2260">
        <v>9</v>
      </c>
      <c r="V2260">
        <v>2</v>
      </c>
      <c r="W2260">
        <v>0</v>
      </c>
      <c r="X2260">
        <v>61</v>
      </c>
      <c r="Y2260">
        <v>0</v>
      </c>
      <c r="Z2260">
        <v>1</v>
      </c>
      <c r="AA2260">
        <v>2</v>
      </c>
      <c r="AB2260">
        <v>5</v>
      </c>
      <c r="AD2260">
        <v>2</v>
      </c>
      <c r="AE2260">
        <v>0</v>
      </c>
      <c r="AF2260">
        <v>0</v>
      </c>
      <c r="AG2260">
        <v>1</v>
      </c>
      <c r="AH2260">
        <v>0</v>
      </c>
      <c r="AI2260">
        <v>0</v>
      </c>
      <c r="AJ2260">
        <v>2</v>
      </c>
      <c r="AK2260">
        <v>116</v>
      </c>
      <c r="AL2260">
        <v>116</v>
      </c>
      <c r="AM2260">
        <v>432</v>
      </c>
      <c r="AN2260">
        <v>44</v>
      </c>
      <c r="AP2260">
        <v>1</v>
      </c>
      <c r="AR2260" t="s">
        <v>2352</v>
      </c>
      <c r="AS2260" s="1">
        <v>44354.052777777775</v>
      </c>
      <c r="AT2260" s="1">
        <v>44354.058935185189</v>
      </c>
      <c r="AU2260" s="1">
        <v>44354.059398148151</v>
      </c>
      <c r="AV2260" t="s">
        <v>71</v>
      </c>
      <c r="AW2260" t="s">
        <v>72</v>
      </c>
      <c r="AX2260" t="s">
        <v>73</v>
      </c>
    </row>
    <row r="2261" spans="1:50" x14ac:dyDescent="0.3">
      <c r="A2261" t="str">
        <f>"201370E0100"</f>
        <v>201370E0100</v>
      </c>
      <c r="B2261" t="str">
        <f>"201370E01002"</f>
        <v>201370E01002</v>
      </c>
      <c r="C2261" t="str">
        <f t="shared" si="109"/>
        <v>20</v>
      </c>
      <c r="D2261" t="s">
        <v>67</v>
      </c>
      <c r="E2261" t="str">
        <f t="shared" si="108"/>
        <v>010</v>
      </c>
      <c r="F2261" t="s">
        <v>2245</v>
      </c>
      <c r="G2261" t="str">
        <f>"1370"</f>
        <v>1370</v>
      </c>
      <c r="H2261" t="str">
        <f>"0001"</f>
        <v>0001</v>
      </c>
      <c r="I2261" t="s">
        <v>109</v>
      </c>
      <c r="J2261">
        <v>0</v>
      </c>
      <c r="K2261">
        <v>1</v>
      </c>
      <c r="L2261">
        <v>2</v>
      </c>
      <c r="AM2261">
        <v>680</v>
      </c>
      <c r="AN2261">
        <v>44</v>
      </c>
      <c r="AO2261" t="s">
        <v>143</v>
      </c>
      <c r="AP2261">
        <v>0</v>
      </c>
      <c r="AR2261" t="s">
        <v>2353</v>
      </c>
      <c r="AS2261" s="1">
        <v>44354.801388888889</v>
      </c>
      <c r="AT2261" s="1">
        <v>44354.810983796298</v>
      </c>
      <c r="AU2261" s="1">
        <v>44354.810983796298</v>
      </c>
      <c r="AV2261" t="s">
        <v>71</v>
      </c>
      <c r="AW2261" t="s">
        <v>72</v>
      </c>
      <c r="AX2261" t="s">
        <v>73</v>
      </c>
    </row>
    <row r="2262" spans="1:50" x14ac:dyDescent="0.3">
      <c r="A2262" t="str">
        <f>"201515B0000"</f>
        <v>201515B0000</v>
      </c>
      <c r="B2262" t="str">
        <f>"201515B00002"</f>
        <v>201515B00002</v>
      </c>
      <c r="C2262" t="str">
        <f t="shared" si="109"/>
        <v>20</v>
      </c>
      <c r="D2262" t="s">
        <v>67</v>
      </c>
      <c r="E2262" t="str">
        <f t="shared" si="108"/>
        <v>010</v>
      </c>
      <c r="F2262" t="s">
        <v>2245</v>
      </c>
      <c r="G2262" t="str">
        <f>"1515"</f>
        <v>1515</v>
      </c>
      <c r="H2262" t="str">
        <f>"0000"</f>
        <v>0000</v>
      </c>
      <c r="I2262" t="s">
        <v>69</v>
      </c>
      <c r="J2262">
        <v>0</v>
      </c>
      <c r="K2262">
        <v>1</v>
      </c>
      <c r="L2262">
        <v>2</v>
      </c>
      <c r="M2262">
        <v>385</v>
      </c>
      <c r="N2262">
        <v>98</v>
      </c>
      <c r="O2262">
        <v>1</v>
      </c>
      <c r="P2262">
        <v>98</v>
      </c>
      <c r="Q2262">
        <v>6</v>
      </c>
      <c r="R2262">
        <v>10</v>
      </c>
      <c r="S2262">
        <v>2</v>
      </c>
      <c r="T2262">
        <v>7</v>
      </c>
      <c r="U2262">
        <v>16</v>
      </c>
      <c r="V2262">
        <v>0</v>
      </c>
      <c r="W2262">
        <v>3</v>
      </c>
      <c r="X2262">
        <v>45</v>
      </c>
      <c r="Y2262">
        <v>0</v>
      </c>
      <c r="Z2262">
        <v>5</v>
      </c>
      <c r="AA2262">
        <v>1</v>
      </c>
      <c r="AB2262">
        <v>0</v>
      </c>
      <c r="AD2262">
        <v>1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2</v>
      </c>
      <c r="AK2262">
        <v>98</v>
      </c>
      <c r="AL2262">
        <v>98</v>
      </c>
      <c r="AM2262">
        <v>439</v>
      </c>
      <c r="AN2262">
        <v>44</v>
      </c>
      <c r="AP2262">
        <v>1</v>
      </c>
      <c r="AR2262" t="s">
        <v>2354</v>
      </c>
      <c r="AS2262" s="1">
        <v>44354.049305555556</v>
      </c>
      <c r="AT2262" s="1">
        <v>44354.066331018519</v>
      </c>
      <c r="AU2262" s="1">
        <v>44354.066631944443</v>
      </c>
      <c r="AV2262" t="s">
        <v>71</v>
      </c>
      <c r="AW2262" t="s">
        <v>72</v>
      </c>
      <c r="AX2262" t="s">
        <v>73</v>
      </c>
    </row>
    <row r="2263" spans="1:50" x14ac:dyDescent="0.3">
      <c r="A2263" t="str">
        <f>"201515C0100"</f>
        <v>201515C0100</v>
      </c>
      <c r="B2263" t="str">
        <f>"201515C01002"</f>
        <v>201515C01002</v>
      </c>
      <c r="C2263" t="str">
        <f t="shared" si="109"/>
        <v>20</v>
      </c>
      <c r="D2263" t="s">
        <v>67</v>
      </c>
      <c r="E2263" t="str">
        <f t="shared" si="108"/>
        <v>010</v>
      </c>
      <c r="F2263" t="s">
        <v>2245</v>
      </c>
      <c r="G2263" t="str">
        <f>"1515"</f>
        <v>1515</v>
      </c>
      <c r="H2263" t="str">
        <f>"0001"</f>
        <v>0001</v>
      </c>
      <c r="I2263" t="s">
        <v>75</v>
      </c>
      <c r="J2263">
        <v>0</v>
      </c>
      <c r="K2263">
        <v>1</v>
      </c>
      <c r="L2263">
        <v>2</v>
      </c>
      <c r="M2263">
        <v>400</v>
      </c>
      <c r="N2263">
        <v>83</v>
      </c>
      <c r="O2263">
        <v>0</v>
      </c>
      <c r="P2263">
        <v>83</v>
      </c>
      <c r="Q2263">
        <v>2</v>
      </c>
      <c r="R2263">
        <v>11</v>
      </c>
      <c r="S2263">
        <v>0</v>
      </c>
      <c r="T2263">
        <v>0</v>
      </c>
      <c r="U2263">
        <v>25</v>
      </c>
      <c r="V2263">
        <v>0</v>
      </c>
      <c r="W2263">
        <v>0</v>
      </c>
      <c r="X2263">
        <v>31</v>
      </c>
      <c r="Y2263">
        <v>0</v>
      </c>
      <c r="Z2263">
        <v>10</v>
      </c>
      <c r="AA2263">
        <v>0</v>
      </c>
      <c r="AB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4</v>
      </c>
      <c r="AK2263">
        <v>83</v>
      </c>
      <c r="AL2263">
        <v>83</v>
      </c>
      <c r="AM2263">
        <v>439</v>
      </c>
      <c r="AN2263">
        <v>44</v>
      </c>
      <c r="AP2263">
        <v>1</v>
      </c>
      <c r="AR2263" t="s">
        <v>2355</v>
      </c>
      <c r="AS2263" s="1">
        <v>44354.05</v>
      </c>
      <c r="AT2263" s="1">
        <v>44354.056574074071</v>
      </c>
      <c r="AU2263" s="1">
        <v>44354.056898148148</v>
      </c>
      <c r="AV2263" t="s">
        <v>71</v>
      </c>
      <c r="AW2263" t="s">
        <v>72</v>
      </c>
      <c r="AX2263" t="s">
        <v>73</v>
      </c>
    </row>
    <row r="2264" spans="1:50" x14ac:dyDescent="0.3">
      <c r="A2264" t="str">
        <f>"201515E0100"</f>
        <v>201515E0100</v>
      </c>
      <c r="B2264" t="str">
        <f>"201515E01002"</f>
        <v>201515E01002</v>
      </c>
      <c r="C2264" t="str">
        <f t="shared" si="109"/>
        <v>20</v>
      </c>
      <c r="D2264" t="s">
        <v>67</v>
      </c>
      <c r="E2264" t="str">
        <f t="shared" si="108"/>
        <v>010</v>
      </c>
      <c r="F2264" t="s">
        <v>2245</v>
      </c>
      <c r="G2264" t="str">
        <f>"1515"</f>
        <v>1515</v>
      </c>
      <c r="H2264" t="str">
        <f>"0001"</f>
        <v>0001</v>
      </c>
      <c r="I2264" t="s">
        <v>109</v>
      </c>
      <c r="J2264">
        <v>0</v>
      </c>
      <c r="K2264">
        <v>1</v>
      </c>
      <c r="L2264">
        <v>2</v>
      </c>
      <c r="AM2264">
        <v>514</v>
      </c>
      <c r="AN2264">
        <v>44</v>
      </c>
      <c r="AO2264" t="s">
        <v>143</v>
      </c>
      <c r="AP2264">
        <v>0</v>
      </c>
      <c r="AR2264" t="s">
        <v>2356</v>
      </c>
      <c r="AS2264" s="1">
        <v>44354.802083333336</v>
      </c>
      <c r="AT2264" s="1">
        <v>44354.810925925929</v>
      </c>
      <c r="AU2264" s="1">
        <v>44354.810925925929</v>
      </c>
      <c r="AV2264" t="s">
        <v>71</v>
      </c>
      <c r="AW2264" t="s">
        <v>72</v>
      </c>
      <c r="AX2264" t="s">
        <v>73</v>
      </c>
    </row>
    <row r="2265" spans="1:50" x14ac:dyDescent="0.3">
      <c r="A2265" t="str">
        <f>"201585B0000"</f>
        <v>201585B0000</v>
      </c>
      <c r="B2265" t="str">
        <f>"201585B00002"</f>
        <v>201585B00002</v>
      </c>
      <c r="C2265" t="str">
        <f t="shared" si="109"/>
        <v>20</v>
      </c>
      <c r="D2265" t="s">
        <v>67</v>
      </c>
      <c r="E2265" t="str">
        <f t="shared" si="108"/>
        <v>010</v>
      </c>
      <c r="F2265" t="s">
        <v>2245</v>
      </c>
      <c r="G2265" t="str">
        <f>"1585"</f>
        <v>1585</v>
      </c>
      <c r="H2265" t="str">
        <f>"0000"</f>
        <v>0000</v>
      </c>
      <c r="I2265" t="s">
        <v>69</v>
      </c>
      <c r="J2265">
        <v>0</v>
      </c>
      <c r="K2265">
        <v>1</v>
      </c>
      <c r="L2265">
        <v>2</v>
      </c>
      <c r="M2265">
        <v>544</v>
      </c>
      <c r="N2265">
        <v>207</v>
      </c>
      <c r="O2265">
        <v>6</v>
      </c>
      <c r="P2265">
        <v>207</v>
      </c>
      <c r="Q2265">
        <v>3</v>
      </c>
      <c r="R2265">
        <v>9</v>
      </c>
      <c r="S2265">
        <v>7</v>
      </c>
      <c r="T2265">
        <v>6</v>
      </c>
      <c r="U2265">
        <v>30</v>
      </c>
      <c r="V2265">
        <v>1</v>
      </c>
      <c r="W2265">
        <v>2</v>
      </c>
      <c r="X2265">
        <v>117</v>
      </c>
      <c r="Y2265">
        <v>2</v>
      </c>
      <c r="Z2265">
        <v>0</v>
      </c>
      <c r="AA2265">
        <v>15</v>
      </c>
      <c r="AB2265">
        <v>1</v>
      </c>
      <c r="AD2265">
        <v>0</v>
      </c>
      <c r="AE2265">
        <v>1</v>
      </c>
      <c r="AF2265">
        <v>0</v>
      </c>
      <c r="AG2265">
        <v>0</v>
      </c>
      <c r="AH2265">
        <v>0</v>
      </c>
      <c r="AI2265">
        <v>0</v>
      </c>
      <c r="AJ2265">
        <v>13</v>
      </c>
      <c r="AK2265">
        <v>207</v>
      </c>
      <c r="AL2265">
        <v>207</v>
      </c>
      <c r="AM2265">
        <v>707</v>
      </c>
      <c r="AN2265">
        <v>44</v>
      </c>
      <c r="AP2265">
        <v>1</v>
      </c>
      <c r="AR2265" s="2" t="s">
        <v>2357</v>
      </c>
      <c r="AS2265" s="1">
        <v>44353.944444444445</v>
      </c>
      <c r="AT2265" s="1">
        <v>44353.946469907409</v>
      </c>
      <c r="AU2265" s="1">
        <v>44353.947557870371</v>
      </c>
      <c r="AV2265" t="s">
        <v>71</v>
      </c>
      <c r="AW2265" t="s">
        <v>72</v>
      </c>
      <c r="AX2265" t="s">
        <v>73</v>
      </c>
    </row>
    <row r="2266" spans="1:50" x14ac:dyDescent="0.3">
      <c r="A2266" t="str">
        <f>"201585E0100"</f>
        <v>201585E0100</v>
      </c>
      <c r="B2266" t="str">
        <f>"201585E01002"</f>
        <v>201585E01002</v>
      </c>
      <c r="C2266" t="str">
        <f t="shared" si="109"/>
        <v>20</v>
      </c>
      <c r="D2266" t="s">
        <v>67</v>
      </c>
      <c r="E2266" t="str">
        <f t="shared" si="108"/>
        <v>010</v>
      </c>
      <c r="F2266" t="s">
        <v>2245</v>
      </c>
      <c r="G2266" t="str">
        <f>"1585"</f>
        <v>1585</v>
      </c>
      <c r="H2266" t="str">
        <f>"0001"</f>
        <v>0001</v>
      </c>
      <c r="I2266" t="s">
        <v>109</v>
      </c>
      <c r="J2266">
        <v>0</v>
      </c>
      <c r="K2266">
        <v>1</v>
      </c>
      <c r="L2266">
        <v>2</v>
      </c>
      <c r="M2266">
        <v>360</v>
      </c>
      <c r="N2266">
        <v>88</v>
      </c>
      <c r="O2266">
        <v>6</v>
      </c>
      <c r="P2266" t="s">
        <v>80</v>
      </c>
      <c r="Q2266">
        <v>7</v>
      </c>
      <c r="R2266">
        <v>20</v>
      </c>
      <c r="S2266">
        <v>1</v>
      </c>
      <c r="T2266">
        <v>3</v>
      </c>
      <c r="U2266">
        <v>13</v>
      </c>
      <c r="V2266">
        <v>0</v>
      </c>
      <c r="W2266">
        <v>0</v>
      </c>
      <c r="X2266">
        <v>36</v>
      </c>
      <c r="Y2266">
        <v>1</v>
      </c>
      <c r="Z2266">
        <v>0</v>
      </c>
      <c r="AA2266">
        <v>1</v>
      </c>
      <c r="AB2266">
        <v>0</v>
      </c>
      <c r="AD2266">
        <v>2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4</v>
      </c>
      <c r="AK2266">
        <v>88</v>
      </c>
      <c r="AL2266">
        <v>88</v>
      </c>
      <c r="AM2266">
        <v>396</v>
      </c>
      <c r="AN2266">
        <v>44</v>
      </c>
      <c r="AP2266">
        <v>1</v>
      </c>
      <c r="AR2266" t="s">
        <v>2358</v>
      </c>
      <c r="AS2266" s="1">
        <v>44353.98333333333</v>
      </c>
      <c r="AT2266" s="1">
        <v>44353.984861111108</v>
      </c>
      <c r="AU2266" s="1">
        <v>44353.985590277778</v>
      </c>
      <c r="AV2266" t="s">
        <v>71</v>
      </c>
      <c r="AW2266" t="s">
        <v>72</v>
      </c>
      <c r="AX2266" t="s">
        <v>73</v>
      </c>
    </row>
    <row r="2267" spans="1:50" x14ac:dyDescent="0.3">
      <c r="A2267" t="str">
        <f>"201586B0000"</f>
        <v>201586B0000</v>
      </c>
      <c r="B2267" t="str">
        <f>"201586B00002"</f>
        <v>201586B00002</v>
      </c>
      <c r="C2267" t="str">
        <f t="shared" si="109"/>
        <v>20</v>
      </c>
      <c r="D2267" t="s">
        <v>67</v>
      </c>
      <c r="E2267" t="str">
        <f t="shared" si="108"/>
        <v>010</v>
      </c>
      <c r="F2267" t="s">
        <v>2245</v>
      </c>
      <c r="G2267" t="str">
        <f>"1586"</f>
        <v>1586</v>
      </c>
      <c r="H2267" t="str">
        <f>"0000"</f>
        <v>0000</v>
      </c>
      <c r="I2267" t="s">
        <v>69</v>
      </c>
      <c r="J2267">
        <v>0</v>
      </c>
      <c r="K2267">
        <v>1</v>
      </c>
      <c r="L2267">
        <v>2</v>
      </c>
      <c r="AM2267">
        <v>609</v>
      </c>
      <c r="AN2267">
        <v>44</v>
      </c>
      <c r="AO2267" t="s">
        <v>143</v>
      </c>
      <c r="AP2267">
        <v>0</v>
      </c>
      <c r="AR2267" t="s">
        <v>2359</v>
      </c>
      <c r="AS2267" s="1">
        <v>44354.797222222223</v>
      </c>
      <c r="AT2267" s="1">
        <v>44354.811203703706</v>
      </c>
      <c r="AU2267" s="1">
        <v>44354.811203703706</v>
      </c>
      <c r="AV2267" t="s">
        <v>71</v>
      </c>
      <c r="AW2267" t="s">
        <v>72</v>
      </c>
      <c r="AX2267" t="s">
        <v>73</v>
      </c>
    </row>
    <row r="2268" spans="1:50" x14ac:dyDescent="0.3">
      <c r="A2268" t="str">
        <f>"201586C0100"</f>
        <v>201586C0100</v>
      </c>
      <c r="B2268" t="str">
        <f>"201586C01002"</f>
        <v>201586C01002</v>
      </c>
      <c r="C2268" t="str">
        <f t="shared" si="109"/>
        <v>20</v>
      </c>
      <c r="D2268" t="s">
        <v>67</v>
      </c>
      <c r="E2268" t="str">
        <f t="shared" si="108"/>
        <v>010</v>
      </c>
      <c r="F2268" t="s">
        <v>2245</v>
      </c>
      <c r="G2268" t="str">
        <f>"1586"</f>
        <v>1586</v>
      </c>
      <c r="H2268" t="str">
        <f>"0001"</f>
        <v>0001</v>
      </c>
      <c r="I2268" t="s">
        <v>75</v>
      </c>
      <c r="J2268">
        <v>0</v>
      </c>
      <c r="K2268">
        <v>1</v>
      </c>
      <c r="L2268">
        <v>2</v>
      </c>
      <c r="M2268">
        <v>436</v>
      </c>
      <c r="N2268">
        <v>216</v>
      </c>
      <c r="O2268">
        <v>0</v>
      </c>
      <c r="P2268">
        <v>216</v>
      </c>
      <c r="Q2268">
        <v>8</v>
      </c>
      <c r="R2268">
        <v>13</v>
      </c>
      <c r="S2268">
        <v>6</v>
      </c>
      <c r="T2268">
        <v>12</v>
      </c>
      <c r="U2268">
        <v>18</v>
      </c>
      <c r="V2268">
        <v>1</v>
      </c>
      <c r="W2268">
        <v>1</v>
      </c>
      <c r="X2268">
        <v>119</v>
      </c>
      <c r="Y2268">
        <v>0</v>
      </c>
      <c r="Z2268">
        <v>6</v>
      </c>
      <c r="AA2268">
        <v>11</v>
      </c>
      <c r="AB2268">
        <v>4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17</v>
      </c>
      <c r="AK2268">
        <v>216</v>
      </c>
      <c r="AL2268">
        <v>216</v>
      </c>
      <c r="AM2268">
        <v>608</v>
      </c>
      <c r="AN2268">
        <v>44</v>
      </c>
      <c r="AP2268">
        <v>1</v>
      </c>
      <c r="AR2268" t="s">
        <v>2360</v>
      </c>
      <c r="AS2268" s="1">
        <v>44353.94027777778</v>
      </c>
      <c r="AT2268" s="1">
        <v>44353.94222222222</v>
      </c>
      <c r="AU2268" s="1">
        <v>44353.942812499998</v>
      </c>
      <c r="AV2268" t="s">
        <v>71</v>
      </c>
      <c r="AW2268" t="s">
        <v>72</v>
      </c>
      <c r="AX2268" t="s">
        <v>73</v>
      </c>
    </row>
    <row r="2269" spans="1:50" x14ac:dyDescent="0.3">
      <c r="A2269" t="str">
        <f>"201586E0100"</f>
        <v>201586E0100</v>
      </c>
      <c r="B2269" t="str">
        <f>"201586E01002"</f>
        <v>201586E01002</v>
      </c>
      <c r="C2269" t="str">
        <f t="shared" si="109"/>
        <v>20</v>
      </c>
      <c r="D2269" t="s">
        <v>67</v>
      </c>
      <c r="E2269" t="str">
        <f t="shared" si="108"/>
        <v>010</v>
      </c>
      <c r="F2269" t="s">
        <v>2245</v>
      </c>
      <c r="G2269" t="str">
        <f>"1586"</f>
        <v>1586</v>
      </c>
      <c r="H2269" t="str">
        <f>"0001"</f>
        <v>0001</v>
      </c>
      <c r="I2269" t="s">
        <v>109</v>
      </c>
      <c r="J2269">
        <v>0</v>
      </c>
      <c r="K2269">
        <v>1</v>
      </c>
      <c r="L2269">
        <v>2</v>
      </c>
      <c r="M2269">
        <v>188</v>
      </c>
      <c r="N2269">
        <v>104</v>
      </c>
      <c r="O2269">
        <v>1</v>
      </c>
      <c r="P2269">
        <v>104</v>
      </c>
      <c r="Q2269">
        <v>2</v>
      </c>
      <c r="R2269">
        <v>30</v>
      </c>
      <c r="S2269">
        <v>3</v>
      </c>
      <c r="T2269">
        <v>4</v>
      </c>
      <c r="U2269">
        <v>7</v>
      </c>
      <c r="V2269">
        <v>0</v>
      </c>
      <c r="W2269">
        <v>3</v>
      </c>
      <c r="X2269">
        <v>39</v>
      </c>
      <c r="Y2269">
        <v>2</v>
      </c>
      <c r="Z2269">
        <v>5</v>
      </c>
      <c r="AA2269">
        <v>5</v>
      </c>
      <c r="AB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4</v>
      </c>
      <c r="AK2269">
        <v>104</v>
      </c>
      <c r="AL2269">
        <v>104</v>
      </c>
      <c r="AM2269">
        <v>248</v>
      </c>
      <c r="AN2269">
        <v>44</v>
      </c>
      <c r="AP2269">
        <v>1</v>
      </c>
      <c r="AR2269" t="s">
        <v>2361</v>
      </c>
      <c r="AS2269" s="1">
        <v>44353.944444444445</v>
      </c>
      <c r="AT2269" s="1">
        <v>44353.946805555555</v>
      </c>
      <c r="AU2269" s="1">
        <v>44353.947233796294</v>
      </c>
      <c r="AV2269" t="s">
        <v>71</v>
      </c>
      <c r="AW2269" t="s">
        <v>72</v>
      </c>
      <c r="AX2269" t="s">
        <v>73</v>
      </c>
    </row>
    <row r="2270" spans="1:50" x14ac:dyDescent="0.3">
      <c r="A2270" t="str">
        <f>"201586S0100"</f>
        <v>201586S0100</v>
      </c>
      <c r="B2270" t="str">
        <f>"201586S01002EMR"</f>
        <v>201586S01002EMR</v>
      </c>
      <c r="C2270" t="str">
        <f t="shared" si="109"/>
        <v>20</v>
      </c>
      <c r="D2270" t="s">
        <v>67</v>
      </c>
      <c r="E2270" t="str">
        <f t="shared" si="108"/>
        <v>010</v>
      </c>
      <c r="F2270" t="s">
        <v>2245</v>
      </c>
      <c r="G2270" t="str">
        <f>"1586"</f>
        <v>1586</v>
      </c>
      <c r="H2270" t="str">
        <f>"0001"</f>
        <v>0001</v>
      </c>
      <c r="I2270" t="s">
        <v>85</v>
      </c>
      <c r="J2270">
        <v>0</v>
      </c>
      <c r="K2270">
        <v>1</v>
      </c>
      <c r="L2270" t="s">
        <v>86</v>
      </c>
      <c r="AM2270">
        <v>0</v>
      </c>
      <c r="AN2270">
        <v>44</v>
      </c>
      <c r="AO2270" t="s">
        <v>143</v>
      </c>
      <c r="AP2270">
        <v>0</v>
      </c>
      <c r="AR2270" t="s">
        <v>2362</v>
      </c>
      <c r="AS2270" s="1">
        <v>44354.797222222223</v>
      </c>
      <c r="AT2270" s="1">
        <v>44354.81077546296</v>
      </c>
      <c r="AU2270" s="1">
        <v>44354.81077546296</v>
      </c>
      <c r="AV2270" t="s">
        <v>71</v>
      </c>
      <c r="AW2270" t="s">
        <v>72</v>
      </c>
      <c r="AX2270" t="s">
        <v>73</v>
      </c>
    </row>
    <row r="2271" spans="1:50" x14ac:dyDescent="0.3">
      <c r="A2271" t="str">
        <f>"201587B0000"</f>
        <v>201587B0000</v>
      </c>
      <c r="B2271" t="str">
        <f>"201587B00002"</f>
        <v>201587B00002</v>
      </c>
      <c r="C2271" t="str">
        <f t="shared" si="109"/>
        <v>20</v>
      </c>
      <c r="D2271" t="s">
        <v>67</v>
      </c>
      <c r="E2271" t="str">
        <f t="shared" si="108"/>
        <v>010</v>
      </c>
      <c r="F2271" t="s">
        <v>2245</v>
      </c>
      <c r="G2271" t="str">
        <f>"1587"</f>
        <v>1587</v>
      </c>
      <c r="H2271" t="str">
        <f>"0000"</f>
        <v>0000</v>
      </c>
      <c r="I2271" t="s">
        <v>69</v>
      </c>
      <c r="J2271">
        <v>0</v>
      </c>
      <c r="K2271">
        <v>1</v>
      </c>
      <c r="L2271">
        <v>2</v>
      </c>
      <c r="AM2271">
        <v>587</v>
      </c>
      <c r="AN2271">
        <v>44</v>
      </c>
      <c r="AO2271" t="s">
        <v>143</v>
      </c>
      <c r="AP2271">
        <v>0</v>
      </c>
      <c r="AR2271" t="s">
        <v>2363</v>
      </c>
      <c r="AS2271" s="1">
        <v>44354.796527777777</v>
      </c>
      <c r="AT2271" s="1">
        <v>44354.824143518519</v>
      </c>
      <c r="AU2271" s="1">
        <v>44354.824143518519</v>
      </c>
      <c r="AV2271" t="s">
        <v>71</v>
      </c>
      <c r="AW2271" t="s">
        <v>72</v>
      </c>
      <c r="AX2271" t="s">
        <v>73</v>
      </c>
    </row>
    <row r="2272" spans="1:50" x14ac:dyDescent="0.3">
      <c r="A2272" t="str">
        <f>"201587E0100"</f>
        <v>201587E0100</v>
      </c>
      <c r="B2272" t="str">
        <f>"201587E01002"</f>
        <v>201587E01002</v>
      </c>
      <c r="C2272" t="str">
        <f t="shared" si="109"/>
        <v>20</v>
      </c>
      <c r="D2272" t="s">
        <v>67</v>
      </c>
      <c r="E2272" t="str">
        <f t="shared" si="108"/>
        <v>010</v>
      </c>
      <c r="F2272" t="s">
        <v>2245</v>
      </c>
      <c r="G2272" t="str">
        <f>"1587"</f>
        <v>1587</v>
      </c>
      <c r="H2272" t="str">
        <f>"0001"</f>
        <v>0001</v>
      </c>
      <c r="I2272" t="s">
        <v>109</v>
      </c>
      <c r="J2272">
        <v>0</v>
      </c>
      <c r="K2272">
        <v>1</v>
      </c>
      <c r="L2272">
        <v>2</v>
      </c>
      <c r="AM2272">
        <v>437</v>
      </c>
      <c r="AN2272">
        <v>44</v>
      </c>
      <c r="AO2272" t="s">
        <v>143</v>
      </c>
      <c r="AP2272">
        <v>0</v>
      </c>
      <c r="AR2272" s="2" t="s">
        <v>2364</v>
      </c>
      <c r="AS2272" s="1">
        <v>44354.79583333333</v>
      </c>
      <c r="AT2272" s="1">
        <v>44354.81145833333</v>
      </c>
      <c r="AU2272" s="1">
        <v>44354.81145833333</v>
      </c>
      <c r="AV2272" t="s">
        <v>71</v>
      </c>
      <c r="AW2272" t="s">
        <v>72</v>
      </c>
      <c r="AX2272" t="s">
        <v>73</v>
      </c>
    </row>
    <row r="2273" spans="1:50" x14ac:dyDescent="0.3">
      <c r="A2273" t="str">
        <f>"201588B0000"</f>
        <v>201588B0000</v>
      </c>
      <c r="B2273" t="str">
        <f>"201588B00002"</f>
        <v>201588B00002</v>
      </c>
      <c r="C2273" t="str">
        <f t="shared" si="109"/>
        <v>20</v>
      </c>
      <c r="D2273" t="s">
        <v>67</v>
      </c>
      <c r="E2273" t="str">
        <f t="shared" si="108"/>
        <v>010</v>
      </c>
      <c r="F2273" t="s">
        <v>2245</v>
      </c>
      <c r="G2273" t="str">
        <f>"1588"</f>
        <v>1588</v>
      </c>
      <c r="H2273" t="str">
        <f>"0000"</f>
        <v>0000</v>
      </c>
      <c r="I2273" t="s">
        <v>69</v>
      </c>
      <c r="J2273">
        <v>0</v>
      </c>
      <c r="K2273">
        <v>1</v>
      </c>
      <c r="L2273">
        <v>2</v>
      </c>
      <c r="M2273">
        <v>262</v>
      </c>
      <c r="N2273">
        <v>104</v>
      </c>
      <c r="O2273">
        <v>8</v>
      </c>
      <c r="P2273">
        <v>104</v>
      </c>
      <c r="Q2273">
        <v>5</v>
      </c>
      <c r="R2273">
        <v>17</v>
      </c>
      <c r="S2273">
        <v>5</v>
      </c>
      <c r="T2273">
        <v>0</v>
      </c>
      <c r="U2273">
        <v>23</v>
      </c>
      <c r="V2273">
        <v>2</v>
      </c>
      <c r="W2273">
        <v>0</v>
      </c>
      <c r="X2273">
        <v>39</v>
      </c>
      <c r="Y2273">
        <v>0</v>
      </c>
      <c r="Z2273">
        <v>4</v>
      </c>
      <c r="AA2273">
        <v>4</v>
      </c>
      <c r="AB2273">
        <v>1</v>
      </c>
      <c r="AD2273">
        <v>1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3</v>
      </c>
      <c r="AK2273">
        <v>104</v>
      </c>
      <c r="AL2273">
        <v>104</v>
      </c>
      <c r="AM2273">
        <v>321</v>
      </c>
      <c r="AN2273">
        <v>44</v>
      </c>
      <c r="AP2273">
        <v>1</v>
      </c>
      <c r="AR2273" t="s">
        <v>2365</v>
      </c>
      <c r="AS2273" s="1">
        <v>44353.986111111109</v>
      </c>
      <c r="AT2273" s="1">
        <v>44353.989166666666</v>
      </c>
      <c r="AU2273" s="1">
        <v>44353.989594907405</v>
      </c>
      <c r="AV2273" t="s">
        <v>71</v>
      </c>
      <c r="AW2273" t="s">
        <v>72</v>
      </c>
      <c r="AX2273" t="s">
        <v>73</v>
      </c>
    </row>
    <row r="2274" spans="1:50" x14ac:dyDescent="0.3">
      <c r="A2274" t="str">
        <f>"201778B0000"</f>
        <v>201778B0000</v>
      </c>
      <c r="B2274" t="str">
        <f>"201778B00002"</f>
        <v>201778B00002</v>
      </c>
      <c r="C2274" t="str">
        <f t="shared" si="109"/>
        <v>20</v>
      </c>
      <c r="D2274" t="s">
        <v>67</v>
      </c>
      <c r="E2274" t="str">
        <f t="shared" si="108"/>
        <v>010</v>
      </c>
      <c r="F2274" t="s">
        <v>2245</v>
      </c>
      <c r="G2274" t="str">
        <f>"1778"</f>
        <v>1778</v>
      </c>
      <c r="H2274" t="str">
        <f>"0000"</f>
        <v>0000</v>
      </c>
      <c r="I2274" t="s">
        <v>69</v>
      </c>
      <c r="J2274">
        <v>0</v>
      </c>
      <c r="K2274">
        <v>1</v>
      </c>
      <c r="L2274">
        <v>2</v>
      </c>
      <c r="M2274">
        <v>234</v>
      </c>
      <c r="N2274">
        <v>0</v>
      </c>
      <c r="O2274">
        <v>0</v>
      </c>
      <c r="P2274">
        <v>211</v>
      </c>
      <c r="Q2274">
        <v>4</v>
      </c>
      <c r="R2274">
        <v>59</v>
      </c>
      <c r="S2274">
        <v>6</v>
      </c>
      <c r="T2274">
        <v>0</v>
      </c>
      <c r="U2274">
        <v>85</v>
      </c>
      <c r="V2274">
        <v>4</v>
      </c>
      <c r="W2274">
        <v>2</v>
      </c>
      <c r="X2274">
        <v>25</v>
      </c>
      <c r="Y2274">
        <v>1</v>
      </c>
      <c r="Z2274">
        <v>1</v>
      </c>
      <c r="AA2274">
        <v>6</v>
      </c>
      <c r="AB2274">
        <v>1</v>
      </c>
      <c r="AD2274">
        <v>0</v>
      </c>
      <c r="AE2274">
        <v>3</v>
      </c>
      <c r="AF2274">
        <v>0</v>
      </c>
      <c r="AG2274">
        <v>0</v>
      </c>
      <c r="AH2274">
        <v>0</v>
      </c>
      <c r="AI2274">
        <v>0</v>
      </c>
      <c r="AJ2274">
        <v>14</v>
      </c>
      <c r="AK2274">
        <v>211</v>
      </c>
      <c r="AL2274">
        <v>211</v>
      </c>
      <c r="AM2274">
        <v>401</v>
      </c>
      <c r="AN2274">
        <v>44</v>
      </c>
      <c r="AP2274">
        <v>1</v>
      </c>
      <c r="AR2274" t="s">
        <v>2366</v>
      </c>
      <c r="AS2274" s="1">
        <v>44354.061111111114</v>
      </c>
      <c r="AT2274" s="1">
        <v>44354.067002314812</v>
      </c>
      <c r="AU2274" s="1">
        <v>44354.067337962966</v>
      </c>
      <c r="AV2274" t="s">
        <v>71</v>
      </c>
      <c r="AW2274" t="s">
        <v>72</v>
      </c>
      <c r="AX2274" t="s">
        <v>73</v>
      </c>
    </row>
    <row r="2275" spans="1:50" x14ac:dyDescent="0.3">
      <c r="A2275" t="str">
        <f>"201778C0100"</f>
        <v>201778C0100</v>
      </c>
      <c r="B2275" t="str">
        <f>"201778C01002"</f>
        <v>201778C01002</v>
      </c>
      <c r="C2275" t="str">
        <f t="shared" si="109"/>
        <v>20</v>
      </c>
      <c r="D2275" t="s">
        <v>67</v>
      </c>
      <c r="E2275" t="str">
        <f t="shared" si="108"/>
        <v>010</v>
      </c>
      <c r="F2275" t="s">
        <v>2245</v>
      </c>
      <c r="G2275" t="str">
        <f>"1778"</f>
        <v>1778</v>
      </c>
      <c r="H2275" t="str">
        <f>"0001"</f>
        <v>0001</v>
      </c>
      <c r="I2275" t="s">
        <v>75</v>
      </c>
      <c r="J2275">
        <v>0</v>
      </c>
      <c r="K2275">
        <v>1</v>
      </c>
      <c r="L2275">
        <v>2</v>
      </c>
      <c r="AM2275">
        <v>401</v>
      </c>
      <c r="AN2275">
        <v>44</v>
      </c>
      <c r="AO2275" t="s">
        <v>143</v>
      </c>
      <c r="AP2275">
        <v>0</v>
      </c>
      <c r="AR2275" t="s">
        <v>2367</v>
      </c>
      <c r="AS2275" s="1">
        <v>44354.801388888889</v>
      </c>
      <c r="AT2275" s="1">
        <v>44354.82539351852</v>
      </c>
      <c r="AU2275" s="1">
        <v>44354.82539351852</v>
      </c>
      <c r="AV2275" t="s">
        <v>71</v>
      </c>
      <c r="AW2275" t="s">
        <v>72</v>
      </c>
      <c r="AX2275" t="s">
        <v>73</v>
      </c>
    </row>
    <row r="2276" spans="1:50" x14ac:dyDescent="0.3">
      <c r="A2276" t="str">
        <f>"201778E0100"</f>
        <v>201778E0100</v>
      </c>
      <c r="B2276" t="str">
        <f>"201778E01002"</f>
        <v>201778E01002</v>
      </c>
      <c r="C2276" t="str">
        <f t="shared" si="109"/>
        <v>20</v>
      </c>
      <c r="D2276" t="s">
        <v>67</v>
      </c>
      <c r="E2276" t="str">
        <f t="shared" si="108"/>
        <v>010</v>
      </c>
      <c r="F2276" t="s">
        <v>2245</v>
      </c>
      <c r="G2276" t="str">
        <f>"1778"</f>
        <v>1778</v>
      </c>
      <c r="H2276" t="str">
        <f>"0001"</f>
        <v>0001</v>
      </c>
      <c r="I2276" t="s">
        <v>109</v>
      </c>
      <c r="J2276">
        <v>0</v>
      </c>
      <c r="K2276">
        <v>1</v>
      </c>
      <c r="L2276">
        <v>2</v>
      </c>
      <c r="M2276">
        <v>348</v>
      </c>
      <c r="N2276">
        <v>141</v>
      </c>
      <c r="O2276">
        <v>4</v>
      </c>
      <c r="P2276">
        <v>141</v>
      </c>
      <c r="Q2276">
        <v>2</v>
      </c>
      <c r="R2276">
        <v>46</v>
      </c>
      <c r="S2276">
        <v>0</v>
      </c>
      <c r="T2276">
        <v>0</v>
      </c>
      <c r="U2276">
        <v>33</v>
      </c>
      <c r="V2276">
        <v>1</v>
      </c>
      <c r="W2276">
        <v>2</v>
      </c>
      <c r="X2276">
        <v>36</v>
      </c>
      <c r="Y2276">
        <v>0</v>
      </c>
      <c r="Z2276">
        <v>1</v>
      </c>
      <c r="AA2276">
        <v>5</v>
      </c>
      <c r="AB2276">
        <v>1</v>
      </c>
      <c r="AD2276">
        <v>2</v>
      </c>
      <c r="AE2276">
        <v>2</v>
      </c>
      <c r="AF2276">
        <v>0</v>
      </c>
      <c r="AG2276">
        <v>0</v>
      </c>
      <c r="AH2276">
        <v>0</v>
      </c>
      <c r="AI2276">
        <v>0</v>
      </c>
      <c r="AJ2276">
        <v>10</v>
      </c>
      <c r="AK2276">
        <v>141</v>
      </c>
      <c r="AL2276">
        <v>141</v>
      </c>
      <c r="AM2276">
        <v>445</v>
      </c>
      <c r="AN2276">
        <v>44</v>
      </c>
      <c r="AP2276">
        <v>1</v>
      </c>
      <c r="AR2276" t="s">
        <v>2368</v>
      </c>
      <c r="AS2276" s="1">
        <v>44353.838194444441</v>
      </c>
      <c r="AT2276" s="1">
        <v>44354.102800925924</v>
      </c>
      <c r="AU2276" s="1">
        <v>44354.103518518517</v>
      </c>
      <c r="AV2276" t="s">
        <v>71</v>
      </c>
      <c r="AW2276" t="s">
        <v>72</v>
      </c>
      <c r="AX2276" t="s">
        <v>73</v>
      </c>
    </row>
    <row r="2277" spans="1:50" x14ac:dyDescent="0.3">
      <c r="A2277" t="str">
        <f>"201779B0000"</f>
        <v>201779B0000</v>
      </c>
      <c r="B2277" t="str">
        <f>"201779B00002"</f>
        <v>201779B00002</v>
      </c>
      <c r="C2277" t="str">
        <f t="shared" si="109"/>
        <v>20</v>
      </c>
      <c r="D2277" t="s">
        <v>67</v>
      </c>
      <c r="E2277" t="str">
        <f t="shared" si="108"/>
        <v>010</v>
      </c>
      <c r="F2277" t="s">
        <v>2245</v>
      </c>
      <c r="G2277" t="str">
        <f>"1779"</f>
        <v>1779</v>
      </c>
      <c r="H2277" t="str">
        <f>"0000"</f>
        <v>0000</v>
      </c>
      <c r="I2277" t="s">
        <v>69</v>
      </c>
      <c r="J2277">
        <v>0</v>
      </c>
      <c r="K2277">
        <v>1</v>
      </c>
      <c r="L2277">
        <v>2</v>
      </c>
      <c r="M2277">
        <v>281</v>
      </c>
      <c r="N2277">
        <v>166</v>
      </c>
      <c r="O2277">
        <v>0</v>
      </c>
      <c r="P2277">
        <v>166</v>
      </c>
      <c r="Q2277">
        <v>4</v>
      </c>
      <c r="R2277">
        <v>29</v>
      </c>
      <c r="S2277">
        <v>3</v>
      </c>
      <c r="T2277">
        <v>1</v>
      </c>
      <c r="U2277">
        <v>48</v>
      </c>
      <c r="V2277">
        <v>0</v>
      </c>
      <c r="W2277">
        <v>1</v>
      </c>
      <c r="X2277">
        <v>64</v>
      </c>
      <c r="Y2277">
        <v>0</v>
      </c>
      <c r="Z2277">
        <v>4</v>
      </c>
      <c r="AA2277">
        <v>3</v>
      </c>
      <c r="AB2277">
        <v>0</v>
      </c>
      <c r="AD2277">
        <v>2</v>
      </c>
      <c r="AE2277">
        <v>0</v>
      </c>
      <c r="AF2277">
        <v>0</v>
      </c>
      <c r="AG2277">
        <v>1</v>
      </c>
      <c r="AH2277">
        <v>0</v>
      </c>
      <c r="AI2277">
        <v>0</v>
      </c>
      <c r="AJ2277">
        <v>6</v>
      </c>
      <c r="AK2277">
        <v>166</v>
      </c>
      <c r="AL2277">
        <v>166</v>
      </c>
      <c r="AM2277">
        <v>403</v>
      </c>
      <c r="AN2277">
        <v>44</v>
      </c>
      <c r="AP2277">
        <v>1</v>
      </c>
      <c r="AR2277" t="s">
        <v>2369</v>
      </c>
      <c r="AS2277" s="1">
        <v>44354.054166666669</v>
      </c>
      <c r="AT2277" s="1">
        <v>44354.059270833335</v>
      </c>
      <c r="AU2277" s="1">
        <v>44354.059918981482</v>
      </c>
      <c r="AV2277" t="s">
        <v>71</v>
      </c>
      <c r="AW2277" t="s">
        <v>72</v>
      </c>
      <c r="AX2277" t="s">
        <v>73</v>
      </c>
    </row>
    <row r="2278" spans="1:50" x14ac:dyDescent="0.3">
      <c r="A2278" t="str">
        <f>"201779C0100"</f>
        <v>201779C0100</v>
      </c>
      <c r="B2278" t="str">
        <f>"201779C01002"</f>
        <v>201779C01002</v>
      </c>
      <c r="C2278" t="str">
        <f t="shared" si="109"/>
        <v>20</v>
      </c>
      <c r="D2278" t="s">
        <v>67</v>
      </c>
      <c r="E2278" t="str">
        <f t="shared" si="108"/>
        <v>010</v>
      </c>
      <c r="F2278" t="s">
        <v>2245</v>
      </c>
      <c r="G2278" t="str">
        <f>"1779"</f>
        <v>1779</v>
      </c>
      <c r="H2278" t="str">
        <f>"0001"</f>
        <v>0001</v>
      </c>
      <c r="I2278" t="s">
        <v>75</v>
      </c>
      <c r="J2278">
        <v>0</v>
      </c>
      <c r="K2278">
        <v>1</v>
      </c>
      <c r="L2278">
        <v>2</v>
      </c>
      <c r="M2278">
        <v>276</v>
      </c>
      <c r="N2278">
        <v>170</v>
      </c>
      <c r="O2278">
        <v>0</v>
      </c>
      <c r="P2278">
        <v>170</v>
      </c>
      <c r="Q2278">
        <v>6</v>
      </c>
      <c r="R2278">
        <v>22</v>
      </c>
      <c r="S2278">
        <v>5</v>
      </c>
      <c r="T2278">
        <v>0</v>
      </c>
      <c r="U2278">
        <v>58</v>
      </c>
      <c r="V2278">
        <v>0</v>
      </c>
      <c r="W2278">
        <v>4</v>
      </c>
      <c r="X2278">
        <v>64</v>
      </c>
      <c r="Y2278">
        <v>1</v>
      </c>
      <c r="Z2278">
        <v>2</v>
      </c>
      <c r="AA2278">
        <v>1</v>
      </c>
      <c r="AB2278">
        <v>1</v>
      </c>
      <c r="AD2278">
        <v>3</v>
      </c>
      <c r="AE2278">
        <v>0</v>
      </c>
      <c r="AF2278">
        <v>0</v>
      </c>
      <c r="AG2278">
        <v>1</v>
      </c>
      <c r="AH2278">
        <v>0</v>
      </c>
      <c r="AI2278">
        <v>0</v>
      </c>
      <c r="AJ2278">
        <v>2</v>
      </c>
      <c r="AK2278">
        <v>170</v>
      </c>
      <c r="AL2278">
        <v>170</v>
      </c>
      <c r="AM2278">
        <v>402</v>
      </c>
      <c r="AN2278">
        <v>44</v>
      </c>
      <c r="AP2278">
        <v>1</v>
      </c>
      <c r="AR2278" t="s">
        <v>2370</v>
      </c>
      <c r="AS2278" s="1">
        <v>44354.051388888889</v>
      </c>
      <c r="AT2278" s="1">
        <v>44354.057673611111</v>
      </c>
      <c r="AU2278" s="1">
        <v>44354.058125000003</v>
      </c>
      <c r="AV2278" t="s">
        <v>71</v>
      </c>
      <c r="AW2278" t="s">
        <v>72</v>
      </c>
      <c r="AX2278" t="s">
        <v>73</v>
      </c>
    </row>
    <row r="2279" spans="1:50" x14ac:dyDescent="0.3">
      <c r="A2279" t="str">
        <f>"201911B0000"</f>
        <v>201911B0000</v>
      </c>
      <c r="B2279" t="str">
        <f>"201911B00002"</f>
        <v>201911B00002</v>
      </c>
      <c r="C2279" t="str">
        <f t="shared" si="109"/>
        <v>20</v>
      </c>
      <c r="D2279" t="s">
        <v>67</v>
      </c>
      <c r="E2279" t="str">
        <f t="shared" si="108"/>
        <v>010</v>
      </c>
      <c r="F2279" t="s">
        <v>2245</v>
      </c>
      <c r="G2279" t="str">
        <f>"1911"</f>
        <v>1911</v>
      </c>
      <c r="H2279" t="str">
        <f>"0000"</f>
        <v>0000</v>
      </c>
      <c r="I2279" t="s">
        <v>69</v>
      </c>
      <c r="J2279">
        <v>0</v>
      </c>
      <c r="K2279">
        <v>1</v>
      </c>
      <c r="L2279">
        <v>2</v>
      </c>
      <c r="M2279">
        <v>335</v>
      </c>
      <c r="N2279">
        <v>175</v>
      </c>
      <c r="O2279">
        <v>3</v>
      </c>
      <c r="P2279">
        <v>175</v>
      </c>
      <c r="Q2279">
        <v>8</v>
      </c>
      <c r="R2279">
        <v>8</v>
      </c>
      <c r="S2279">
        <v>7</v>
      </c>
      <c r="T2279">
        <v>4</v>
      </c>
      <c r="U2279">
        <v>71</v>
      </c>
      <c r="V2279">
        <v>5</v>
      </c>
      <c r="W2279">
        <v>1</v>
      </c>
      <c r="X2279">
        <v>53</v>
      </c>
      <c r="Y2279">
        <v>1</v>
      </c>
      <c r="Z2279">
        <v>8</v>
      </c>
      <c r="AA2279">
        <v>2</v>
      </c>
      <c r="AB2279">
        <v>0</v>
      </c>
      <c r="AD2279">
        <v>0</v>
      </c>
      <c r="AE2279">
        <v>1</v>
      </c>
      <c r="AF2279">
        <v>0</v>
      </c>
      <c r="AG2279">
        <v>0</v>
      </c>
      <c r="AH2279">
        <v>0</v>
      </c>
      <c r="AI2279">
        <v>0</v>
      </c>
      <c r="AJ2279">
        <v>6</v>
      </c>
      <c r="AK2279">
        <v>175</v>
      </c>
      <c r="AL2279">
        <v>175</v>
      </c>
      <c r="AM2279">
        <v>466</v>
      </c>
      <c r="AN2279">
        <v>44</v>
      </c>
      <c r="AP2279">
        <v>1</v>
      </c>
      <c r="AR2279" t="s">
        <v>2371</v>
      </c>
      <c r="AS2279" s="1">
        <v>44354.042361111111</v>
      </c>
      <c r="AT2279" s="1">
        <v>44354.050613425927</v>
      </c>
      <c r="AU2279" s="1">
        <v>44354.051076388889</v>
      </c>
      <c r="AV2279" t="s">
        <v>71</v>
      </c>
      <c r="AW2279" t="s">
        <v>72</v>
      </c>
      <c r="AX2279" t="s">
        <v>73</v>
      </c>
    </row>
    <row r="2280" spans="1:50" x14ac:dyDescent="0.3">
      <c r="A2280" t="str">
        <f>"201911C0100"</f>
        <v>201911C0100</v>
      </c>
      <c r="B2280" t="str">
        <f>"201911C01002"</f>
        <v>201911C01002</v>
      </c>
      <c r="C2280" t="str">
        <f t="shared" si="109"/>
        <v>20</v>
      </c>
      <c r="D2280" t="s">
        <v>67</v>
      </c>
      <c r="E2280" t="str">
        <f t="shared" si="108"/>
        <v>010</v>
      </c>
      <c r="F2280" t="s">
        <v>2245</v>
      </c>
      <c r="G2280" t="str">
        <f>"1911"</f>
        <v>1911</v>
      </c>
      <c r="H2280" t="str">
        <f>"0001"</f>
        <v>0001</v>
      </c>
      <c r="I2280" t="s">
        <v>75</v>
      </c>
      <c r="J2280">
        <v>0</v>
      </c>
      <c r="K2280">
        <v>1</v>
      </c>
      <c r="L2280">
        <v>2</v>
      </c>
      <c r="M2280">
        <v>327</v>
      </c>
      <c r="N2280">
        <v>182</v>
      </c>
      <c r="O2280">
        <v>3</v>
      </c>
      <c r="P2280">
        <v>182</v>
      </c>
      <c r="Q2280">
        <v>9</v>
      </c>
      <c r="R2280">
        <v>15</v>
      </c>
      <c r="S2280">
        <v>8</v>
      </c>
      <c r="T2280">
        <v>0</v>
      </c>
      <c r="U2280">
        <v>45</v>
      </c>
      <c r="V2280">
        <v>7</v>
      </c>
      <c r="W2280">
        <v>3</v>
      </c>
      <c r="X2280">
        <v>70</v>
      </c>
      <c r="Y2280">
        <v>2</v>
      </c>
      <c r="Z2280">
        <v>7</v>
      </c>
      <c r="AA2280">
        <v>4</v>
      </c>
      <c r="AB2280">
        <v>3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9</v>
      </c>
      <c r="AK2280">
        <v>182</v>
      </c>
      <c r="AL2280">
        <v>182</v>
      </c>
      <c r="AM2280">
        <v>465</v>
      </c>
      <c r="AN2280">
        <v>44</v>
      </c>
      <c r="AP2280">
        <v>1</v>
      </c>
      <c r="AR2280" t="s">
        <v>2372</v>
      </c>
      <c r="AS2280" s="1">
        <v>44354.040277777778</v>
      </c>
      <c r="AT2280" s="1">
        <v>44354.048518518517</v>
      </c>
      <c r="AU2280" s="1">
        <v>44354.048993055556</v>
      </c>
      <c r="AV2280" t="s">
        <v>71</v>
      </c>
      <c r="AW2280" t="s">
        <v>72</v>
      </c>
      <c r="AX2280" t="s">
        <v>73</v>
      </c>
    </row>
    <row r="2281" spans="1:50" x14ac:dyDescent="0.3">
      <c r="A2281" t="str">
        <f>"201911E0100"</f>
        <v>201911E0100</v>
      </c>
      <c r="B2281" t="str">
        <f>"201911E01002"</f>
        <v>201911E01002</v>
      </c>
      <c r="C2281" t="str">
        <f t="shared" si="109"/>
        <v>20</v>
      </c>
      <c r="D2281" t="s">
        <v>67</v>
      </c>
      <c r="E2281" t="str">
        <f t="shared" si="108"/>
        <v>010</v>
      </c>
      <c r="F2281" t="s">
        <v>2245</v>
      </c>
      <c r="G2281" t="str">
        <f>"1911"</f>
        <v>1911</v>
      </c>
      <c r="H2281" t="str">
        <f>"0001"</f>
        <v>0001</v>
      </c>
      <c r="I2281" t="s">
        <v>109</v>
      </c>
      <c r="J2281">
        <v>0</v>
      </c>
      <c r="K2281">
        <v>1</v>
      </c>
      <c r="L2281">
        <v>2</v>
      </c>
      <c r="M2281">
        <v>339</v>
      </c>
      <c r="N2281">
        <v>506</v>
      </c>
      <c r="O2281">
        <v>3</v>
      </c>
      <c r="P2281">
        <v>167</v>
      </c>
      <c r="Q2281">
        <v>2</v>
      </c>
      <c r="R2281">
        <v>31</v>
      </c>
      <c r="S2281">
        <v>2</v>
      </c>
      <c r="T2281">
        <v>4</v>
      </c>
      <c r="U2281">
        <v>86</v>
      </c>
      <c r="V2281">
        <v>1</v>
      </c>
      <c r="W2281">
        <v>1</v>
      </c>
      <c r="X2281">
        <v>24</v>
      </c>
      <c r="Y2281">
        <v>3</v>
      </c>
      <c r="Z2281">
        <v>4</v>
      </c>
      <c r="AA2281">
        <v>1</v>
      </c>
      <c r="AB2281">
        <v>0</v>
      </c>
      <c r="AD2281">
        <v>0</v>
      </c>
      <c r="AE2281">
        <v>1</v>
      </c>
      <c r="AF2281">
        <v>0</v>
      </c>
      <c r="AG2281">
        <v>1</v>
      </c>
      <c r="AH2281">
        <v>0</v>
      </c>
      <c r="AI2281">
        <v>0</v>
      </c>
      <c r="AJ2281">
        <v>7</v>
      </c>
      <c r="AK2281">
        <v>167</v>
      </c>
      <c r="AL2281">
        <v>168</v>
      </c>
      <c r="AM2281">
        <v>462</v>
      </c>
      <c r="AN2281">
        <v>44</v>
      </c>
      <c r="AP2281">
        <v>1</v>
      </c>
      <c r="AR2281" t="s">
        <v>2373</v>
      </c>
      <c r="AS2281" s="1">
        <v>44354.040972222225</v>
      </c>
      <c r="AT2281" s="1">
        <v>44354.049525462964</v>
      </c>
      <c r="AU2281" s="1">
        <v>44354.050092592595</v>
      </c>
      <c r="AV2281" t="s">
        <v>71</v>
      </c>
      <c r="AW2281" t="s">
        <v>72</v>
      </c>
      <c r="AX2281" t="s">
        <v>73</v>
      </c>
    </row>
    <row r="2282" spans="1:50" x14ac:dyDescent="0.3">
      <c r="A2282" t="str">
        <f>"201912B0000"</f>
        <v>201912B0000</v>
      </c>
      <c r="B2282" t="str">
        <f>"201912B00002"</f>
        <v>201912B00002</v>
      </c>
      <c r="C2282" t="str">
        <f t="shared" si="109"/>
        <v>20</v>
      </c>
      <c r="D2282" t="s">
        <v>67</v>
      </c>
      <c r="E2282" t="str">
        <f t="shared" ref="E2282:E2345" si="110">"010"</f>
        <v>010</v>
      </c>
      <c r="F2282" t="s">
        <v>2245</v>
      </c>
      <c r="G2282" t="str">
        <f>"1912"</f>
        <v>1912</v>
      </c>
      <c r="H2282" t="str">
        <f>"0000"</f>
        <v>0000</v>
      </c>
      <c r="I2282" t="s">
        <v>69</v>
      </c>
      <c r="J2282">
        <v>0</v>
      </c>
      <c r="K2282">
        <v>1</v>
      </c>
      <c r="L2282">
        <v>2</v>
      </c>
      <c r="M2282">
        <v>505</v>
      </c>
      <c r="N2282">
        <v>230</v>
      </c>
      <c r="O2282">
        <v>0</v>
      </c>
      <c r="P2282">
        <v>230</v>
      </c>
      <c r="Q2282">
        <v>3</v>
      </c>
      <c r="R2282">
        <v>37</v>
      </c>
      <c r="S2282">
        <v>9</v>
      </c>
      <c r="T2282">
        <v>3</v>
      </c>
      <c r="U2282">
        <v>129</v>
      </c>
      <c r="V2282">
        <v>1</v>
      </c>
      <c r="W2282">
        <v>0</v>
      </c>
      <c r="X2282">
        <v>27</v>
      </c>
      <c r="Y2282">
        <v>0</v>
      </c>
      <c r="Z2282">
        <v>2</v>
      </c>
      <c r="AA2282">
        <v>0</v>
      </c>
      <c r="AB2282">
        <v>3</v>
      </c>
      <c r="AD2282">
        <v>0</v>
      </c>
      <c r="AE2282">
        <v>0</v>
      </c>
      <c r="AF2282">
        <v>1</v>
      </c>
      <c r="AG2282">
        <v>1</v>
      </c>
      <c r="AH2282">
        <v>1</v>
      </c>
      <c r="AI2282">
        <v>0</v>
      </c>
      <c r="AJ2282">
        <v>13</v>
      </c>
      <c r="AK2282">
        <v>230</v>
      </c>
      <c r="AL2282">
        <v>230</v>
      </c>
      <c r="AM2282">
        <v>691</v>
      </c>
      <c r="AN2282">
        <v>44</v>
      </c>
      <c r="AP2282">
        <v>1</v>
      </c>
      <c r="AR2282" t="s">
        <v>2374</v>
      </c>
      <c r="AS2282" s="1">
        <v>44354.044444444444</v>
      </c>
      <c r="AT2282" s="1">
        <v>44354.052199074074</v>
      </c>
      <c r="AU2282" s="1">
        <v>44354.052916666667</v>
      </c>
      <c r="AV2282" t="s">
        <v>71</v>
      </c>
      <c r="AW2282" t="s">
        <v>72</v>
      </c>
      <c r="AX2282" t="s">
        <v>73</v>
      </c>
    </row>
    <row r="2283" spans="1:50" x14ac:dyDescent="0.3">
      <c r="A2283" t="str">
        <f>"201912E0100"</f>
        <v>201912E0100</v>
      </c>
      <c r="B2283" t="str">
        <f>"201912E01002"</f>
        <v>201912E01002</v>
      </c>
      <c r="C2283" t="str">
        <f t="shared" si="109"/>
        <v>20</v>
      </c>
      <c r="D2283" t="s">
        <v>67</v>
      </c>
      <c r="E2283" t="str">
        <f t="shared" si="110"/>
        <v>010</v>
      </c>
      <c r="F2283" t="s">
        <v>2245</v>
      </c>
      <c r="G2283" t="str">
        <f>"1912"</f>
        <v>1912</v>
      </c>
      <c r="H2283" t="str">
        <f>"0001"</f>
        <v>0001</v>
      </c>
      <c r="I2283" t="s">
        <v>109</v>
      </c>
      <c r="J2283">
        <v>0</v>
      </c>
      <c r="K2283">
        <v>1</v>
      </c>
      <c r="L2283">
        <v>2</v>
      </c>
      <c r="AM2283">
        <v>299</v>
      </c>
      <c r="AN2283">
        <v>44</v>
      </c>
      <c r="AO2283" t="s">
        <v>143</v>
      </c>
      <c r="AP2283">
        <v>0</v>
      </c>
      <c r="AR2283" t="s">
        <v>2375</v>
      </c>
      <c r="AS2283" s="1">
        <v>44354.802083333336</v>
      </c>
      <c r="AT2283" s="1">
        <v>44354.813518518517</v>
      </c>
      <c r="AU2283" s="1">
        <v>44354.813518518517</v>
      </c>
      <c r="AV2283" t="s">
        <v>71</v>
      </c>
      <c r="AW2283" t="s">
        <v>72</v>
      </c>
      <c r="AX2283" t="s">
        <v>73</v>
      </c>
    </row>
    <row r="2284" spans="1:50" x14ac:dyDescent="0.3">
      <c r="A2284" t="str">
        <f>"201914B0000"</f>
        <v>201914B0000</v>
      </c>
      <c r="B2284" t="str">
        <f>"201914B00002"</f>
        <v>201914B00002</v>
      </c>
      <c r="C2284" t="str">
        <f t="shared" si="109"/>
        <v>20</v>
      </c>
      <c r="D2284" t="s">
        <v>67</v>
      </c>
      <c r="E2284" t="str">
        <f t="shared" si="110"/>
        <v>010</v>
      </c>
      <c r="F2284" t="s">
        <v>2245</v>
      </c>
      <c r="G2284" t="str">
        <f>"1914"</f>
        <v>1914</v>
      </c>
      <c r="H2284" t="str">
        <f>"0000"</f>
        <v>0000</v>
      </c>
      <c r="I2284" t="s">
        <v>69</v>
      </c>
      <c r="J2284">
        <v>0</v>
      </c>
      <c r="K2284">
        <v>1</v>
      </c>
      <c r="L2284">
        <v>2</v>
      </c>
      <c r="M2284">
        <v>490</v>
      </c>
      <c r="N2284">
        <v>126</v>
      </c>
      <c r="O2284">
        <v>2</v>
      </c>
      <c r="P2284">
        <v>126</v>
      </c>
      <c r="Q2284">
        <v>5</v>
      </c>
      <c r="R2284">
        <v>3</v>
      </c>
      <c r="S2284">
        <v>4</v>
      </c>
      <c r="T2284">
        <v>2</v>
      </c>
      <c r="U2284">
        <v>14</v>
      </c>
      <c r="V2284">
        <v>3</v>
      </c>
      <c r="W2284">
        <v>0</v>
      </c>
      <c r="X2284">
        <v>80</v>
      </c>
      <c r="Y2284">
        <v>3</v>
      </c>
      <c r="Z2284">
        <v>3</v>
      </c>
      <c r="AA2284">
        <v>2</v>
      </c>
      <c r="AB2284">
        <v>2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5</v>
      </c>
      <c r="AK2284">
        <v>126</v>
      </c>
      <c r="AL2284">
        <v>126</v>
      </c>
      <c r="AM2284">
        <v>572</v>
      </c>
      <c r="AN2284">
        <v>44</v>
      </c>
      <c r="AP2284">
        <v>1</v>
      </c>
      <c r="AR2284" t="s">
        <v>2376</v>
      </c>
      <c r="AS2284" s="1">
        <v>44354.072222222225</v>
      </c>
      <c r="AT2284" s="1">
        <v>44354.079502314817</v>
      </c>
      <c r="AU2284" s="1">
        <v>44354.080300925925</v>
      </c>
      <c r="AV2284" t="s">
        <v>71</v>
      </c>
      <c r="AW2284" t="s">
        <v>72</v>
      </c>
      <c r="AX2284" t="s">
        <v>73</v>
      </c>
    </row>
    <row r="2285" spans="1:50" x14ac:dyDescent="0.3">
      <c r="A2285" t="str">
        <f>"201914C0100"</f>
        <v>201914C0100</v>
      </c>
      <c r="B2285" t="str">
        <f>"201914C01002"</f>
        <v>201914C01002</v>
      </c>
      <c r="C2285" t="str">
        <f t="shared" si="109"/>
        <v>20</v>
      </c>
      <c r="D2285" t="s">
        <v>67</v>
      </c>
      <c r="E2285" t="str">
        <f t="shared" si="110"/>
        <v>010</v>
      </c>
      <c r="F2285" t="s">
        <v>2245</v>
      </c>
      <c r="G2285" t="str">
        <f>"1914"</f>
        <v>1914</v>
      </c>
      <c r="H2285" t="str">
        <f>"0001"</f>
        <v>0001</v>
      </c>
      <c r="I2285" t="s">
        <v>75</v>
      </c>
      <c r="J2285">
        <v>0</v>
      </c>
      <c r="K2285">
        <v>1</v>
      </c>
      <c r="L2285">
        <v>2</v>
      </c>
      <c r="M2285">
        <v>525</v>
      </c>
      <c r="N2285">
        <v>90</v>
      </c>
      <c r="O2285">
        <v>3</v>
      </c>
      <c r="P2285">
        <v>90</v>
      </c>
      <c r="Q2285">
        <v>2</v>
      </c>
      <c r="R2285">
        <v>4</v>
      </c>
      <c r="S2285">
        <v>2</v>
      </c>
      <c r="T2285">
        <v>4</v>
      </c>
      <c r="U2285">
        <v>13</v>
      </c>
      <c r="V2285">
        <v>8</v>
      </c>
      <c r="W2285">
        <v>1</v>
      </c>
      <c r="X2285">
        <v>41</v>
      </c>
      <c r="Y2285">
        <v>1</v>
      </c>
      <c r="Z2285">
        <v>2</v>
      </c>
      <c r="AA2285">
        <v>1</v>
      </c>
      <c r="AB2285">
        <v>2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9</v>
      </c>
      <c r="AK2285">
        <v>90</v>
      </c>
      <c r="AL2285">
        <v>90</v>
      </c>
      <c r="AM2285">
        <v>571</v>
      </c>
      <c r="AN2285">
        <v>44</v>
      </c>
      <c r="AP2285">
        <v>1</v>
      </c>
      <c r="AR2285" t="s">
        <v>2377</v>
      </c>
      <c r="AS2285" s="1">
        <v>44354.075694444444</v>
      </c>
      <c r="AT2285" s="1">
        <v>44354.081516203703</v>
      </c>
      <c r="AU2285" s="1">
        <v>44354.081967592596</v>
      </c>
      <c r="AV2285" t="s">
        <v>71</v>
      </c>
      <c r="AW2285" t="s">
        <v>72</v>
      </c>
      <c r="AX2285" t="s">
        <v>73</v>
      </c>
    </row>
    <row r="2286" spans="1:50" x14ac:dyDescent="0.3">
      <c r="A2286" t="str">
        <f>"201914C0200"</f>
        <v>201914C0200</v>
      </c>
      <c r="B2286" t="str">
        <f>"201914C02002"</f>
        <v>201914C02002</v>
      </c>
      <c r="C2286" t="str">
        <f t="shared" si="109"/>
        <v>20</v>
      </c>
      <c r="D2286" t="s">
        <v>67</v>
      </c>
      <c r="E2286" t="str">
        <f t="shared" si="110"/>
        <v>010</v>
      </c>
      <c r="F2286" t="s">
        <v>2245</v>
      </c>
      <c r="G2286" t="str">
        <f>"1914"</f>
        <v>1914</v>
      </c>
      <c r="H2286" t="str">
        <f>"0002"</f>
        <v>0002</v>
      </c>
      <c r="I2286" t="s">
        <v>75</v>
      </c>
      <c r="J2286">
        <v>0</v>
      </c>
      <c r="K2286">
        <v>1</v>
      </c>
      <c r="L2286">
        <v>2</v>
      </c>
      <c r="M2286">
        <v>516</v>
      </c>
      <c r="N2286">
        <v>99</v>
      </c>
      <c r="O2286">
        <v>0</v>
      </c>
      <c r="P2286">
        <v>99</v>
      </c>
      <c r="Q2286">
        <v>3</v>
      </c>
      <c r="R2286">
        <v>4</v>
      </c>
      <c r="S2286">
        <v>4</v>
      </c>
      <c r="T2286">
        <v>3</v>
      </c>
      <c r="U2286">
        <v>11</v>
      </c>
      <c r="V2286">
        <v>4</v>
      </c>
      <c r="W2286">
        <v>0</v>
      </c>
      <c r="X2286">
        <v>65</v>
      </c>
      <c r="Y2286">
        <v>0</v>
      </c>
      <c r="Z2286">
        <v>1</v>
      </c>
      <c r="AA2286">
        <v>0</v>
      </c>
      <c r="AB2286">
        <v>2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2</v>
      </c>
      <c r="AK2286">
        <v>99</v>
      </c>
      <c r="AL2286">
        <v>99</v>
      </c>
      <c r="AM2286">
        <v>571</v>
      </c>
      <c r="AN2286">
        <v>44</v>
      </c>
      <c r="AP2286">
        <v>1</v>
      </c>
      <c r="AR2286" t="s">
        <v>2378</v>
      </c>
      <c r="AS2286" s="1">
        <v>44354.076388888891</v>
      </c>
      <c r="AT2286" s="1">
        <v>44354.0859375</v>
      </c>
      <c r="AU2286" s="1">
        <v>44354.086469907408</v>
      </c>
      <c r="AV2286" t="s">
        <v>71</v>
      </c>
      <c r="AW2286" t="s">
        <v>72</v>
      </c>
      <c r="AX2286" t="s">
        <v>73</v>
      </c>
    </row>
    <row r="2287" spans="1:50" x14ac:dyDescent="0.3">
      <c r="A2287" t="str">
        <f>"201915B0000"</f>
        <v>201915B0000</v>
      </c>
      <c r="B2287" t="str">
        <f>"201915B00002"</f>
        <v>201915B00002</v>
      </c>
      <c r="C2287" t="str">
        <f t="shared" si="109"/>
        <v>20</v>
      </c>
      <c r="D2287" t="s">
        <v>67</v>
      </c>
      <c r="E2287" t="str">
        <f t="shared" si="110"/>
        <v>010</v>
      </c>
      <c r="F2287" t="s">
        <v>2245</v>
      </c>
      <c r="G2287" t="str">
        <f>"1915"</f>
        <v>1915</v>
      </c>
      <c r="H2287" t="str">
        <f>"0000"</f>
        <v>0000</v>
      </c>
      <c r="I2287" t="s">
        <v>69</v>
      </c>
      <c r="J2287">
        <v>0</v>
      </c>
      <c r="K2287">
        <v>1</v>
      </c>
      <c r="L2287">
        <v>2</v>
      </c>
      <c r="AM2287">
        <v>607</v>
      </c>
      <c r="AN2287">
        <v>44</v>
      </c>
      <c r="AO2287" t="s">
        <v>143</v>
      </c>
      <c r="AP2287">
        <v>0</v>
      </c>
      <c r="AR2287" t="s">
        <v>2379</v>
      </c>
      <c r="AS2287" s="1">
        <v>44354.79583333333</v>
      </c>
      <c r="AT2287" s="1">
        <v>44354.813564814816</v>
      </c>
      <c r="AU2287" s="1">
        <v>44354.813564814816</v>
      </c>
      <c r="AV2287" t="s">
        <v>71</v>
      </c>
      <c r="AW2287" t="s">
        <v>72</v>
      </c>
      <c r="AX2287" t="s">
        <v>73</v>
      </c>
    </row>
    <row r="2288" spans="1:50" x14ac:dyDescent="0.3">
      <c r="A2288" t="str">
        <f>"201915C0100"</f>
        <v>201915C0100</v>
      </c>
      <c r="B2288" t="str">
        <f>"201915C01002"</f>
        <v>201915C01002</v>
      </c>
      <c r="C2288" t="str">
        <f t="shared" si="109"/>
        <v>20</v>
      </c>
      <c r="D2288" t="s">
        <v>67</v>
      </c>
      <c r="E2288" t="str">
        <f t="shared" si="110"/>
        <v>010</v>
      </c>
      <c r="F2288" t="s">
        <v>2245</v>
      </c>
      <c r="G2288" t="str">
        <f>"1915"</f>
        <v>1915</v>
      </c>
      <c r="H2288" t="str">
        <f>"0001"</f>
        <v>0001</v>
      </c>
      <c r="I2288" t="s">
        <v>75</v>
      </c>
      <c r="J2288">
        <v>0</v>
      </c>
      <c r="K2288">
        <v>1</v>
      </c>
      <c r="L2288">
        <v>2</v>
      </c>
      <c r="M2288">
        <v>445</v>
      </c>
      <c r="N2288">
        <v>205</v>
      </c>
      <c r="O2288">
        <v>1</v>
      </c>
      <c r="P2288">
        <v>205</v>
      </c>
      <c r="Q2288">
        <v>5</v>
      </c>
      <c r="R2288">
        <v>6</v>
      </c>
      <c r="S2288">
        <v>6</v>
      </c>
      <c r="T2288">
        <v>2</v>
      </c>
      <c r="U2288">
        <v>19</v>
      </c>
      <c r="V2288">
        <v>6</v>
      </c>
      <c r="W2288">
        <v>4</v>
      </c>
      <c r="X2288">
        <v>126</v>
      </c>
      <c r="Y2288">
        <v>3</v>
      </c>
      <c r="Z2288">
        <v>6</v>
      </c>
      <c r="AA2288">
        <v>7</v>
      </c>
      <c r="AB2288">
        <v>3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12</v>
      </c>
      <c r="AK2288">
        <v>205</v>
      </c>
      <c r="AL2288">
        <v>205</v>
      </c>
      <c r="AM2288">
        <v>606</v>
      </c>
      <c r="AN2288">
        <v>44</v>
      </c>
      <c r="AP2288">
        <v>1</v>
      </c>
      <c r="AR2288" t="s">
        <v>2380</v>
      </c>
      <c r="AS2288" s="1">
        <v>44354.009027777778</v>
      </c>
      <c r="AT2288" s="1">
        <v>44354.014513888891</v>
      </c>
      <c r="AU2288" s="1">
        <v>44354.015243055554</v>
      </c>
      <c r="AV2288" t="s">
        <v>71</v>
      </c>
      <c r="AW2288" t="s">
        <v>72</v>
      </c>
      <c r="AX2288" t="s">
        <v>73</v>
      </c>
    </row>
    <row r="2289" spans="1:50" x14ac:dyDescent="0.3">
      <c r="A2289" t="str">
        <f>"201915E0100"</f>
        <v>201915E0100</v>
      </c>
      <c r="B2289" t="str">
        <f>"201915E01002"</f>
        <v>201915E01002</v>
      </c>
      <c r="C2289" t="str">
        <f t="shared" si="109"/>
        <v>20</v>
      </c>
      <c r="D2289" t="s">
        <v>67</v>
      </c>
      <c r="E2289" t="str">
        <f t="shared" si="110"/>
        <v>010</v>
      </c>
      <c r="F2289" t="s">
        <v>2245</v>
      </c>
      <c r="G2289" t="str">
        <f>"1915"</f>
        <v>1915</v>
      </c>
      <c r="H2289" t="str">
        <f>"0001"</f>
        <v>0001</v>
      </c>
      <c r="I2289" t="s">
        <v>109</v>
      </c>
      <c r="J2289">
        <v>0</v>
      </c>
      <c r="K2289">
        <v>1</v>
      </c>
      <c r="L2289">
        <v>2</v>
      </c>
      <c r="M2289">
        <v>355</v>
      </c>
      <c r="N2289">
        <v>305</v>
      </c>
      <c r="O2289">
        <v>5</v>
      </c>
      <c r="P2289">
        <v>305</v>
      </c>
      <c r="Q2289">
        <v>17</v>
      </c>
      <c r="R2289">
        <v>38</v>
      </c>
      <c r="S2289">
        <v>7</v>
      </c>
      <c r="T2289">
        <v>3</v>
      </c>
      <c r="U2289">
        <v>17</v>
      </c>
      <c r="V2289">
        <v>4</v>
      </c>
      <c r="W2289">
        <v>1</v>
      </c>
      <c r="X2289">
        <v>118</v>
      </c>
      <c r="Y2289">
        <v>46</v>
      </c>
      <c r="Z2289">
        <v>4</v>
      </c>
      <c r="AA2289">
        <v>4</v>
      </c>
      <c r="AB2289">
        <v>18</v>
      </c>
      <c r="AD2289">
        <v>0</v>
      </c>
      <c r="AE2289">
        <v>0</v>
      </c>
      <c r="AF2289">
        <v>1</v>
      </c>
      <c r="AG2289">
        <v>0</v>
      </c>
      <c r="AH2289">
        <v>0</v>
      </c>
      <c r="AI2289">
        <v>1</v>
      </c>
      <c r="AJ2289">
        <v>26</v>
      </c>
      <c r="AK2289">
        <v>305</v>
      </c>
      <c r="AL2289">
        <v>305</v>
      </c>
      <c r="AM2289">
        <v>616</v>
      </c>
      <c r="AN2289">
        <v>44</v>
      </c>
      <c r="AP2289">
        <v>1</v>
      </c>
      <c r="AR2289" t="s">
        <v>2381</v>
      </c>
      <c r="AS2289" s="1">
        <v>44354.094444444447</v>
      </c>
      <c r="AT2289" s="1">
        <v>44354.098425925928</v>
      </c>
      <c r="AU2289" s="1">
        <v>44354.099108796298</v>
      </c>
      <c r="AV2289" t="s">
        <v>71</v>
      </c>
      <c r="AW2289" t="s">
        <v>72</v>
      </c>
      <c r="AX2289" t="s">
        <v>73</v>
      </c>
    </row>
    <row r="2290" spans="1:50" x14ac:dyDescent="0.3">
      <c r="A2290" t="str">
        <f>"201916B0000"</f>
        <v>201916B0000</v>
      </c>
      <c r="B2290" t="str">
        <f>"201916B00002"</f>
        <v>201916B00002</v>
      </c>
      <c r="C2290" t="str">
        <f t="shared" si="109"/>
        <v>20</v>
      </c>
      <c r="D2290" t="s">
        <v>67</v>
      </c>
      <c r="E2290" t="str">
        <f t="shared" si="110"/>
        <v>010</v>
      </c>
      <c r="F2290" t="s">
        <v>2245</v>
      </c>
      <c r="G2290" t="str">
        <f>"1916"</f>
        <v>1916</v>
      </c>
      <c r="H2290" t="str">
        <f>"0000"</f>
        <v>0000</v>
      </c>
      <c r="I2290" t="s">
        <v>69</v>
      </c>
      <c r="J2290">
        <v>0</v>
      </c>
      <c r="K2290">
        <v>1</v>
      </c>
      <c r="L2290">
        <v>2</v>
      </c>
      <c r="M2290">
        <v>645</v>
      </c>
      <c r="N2290">
        <v>142</v>
      </c>
      <c r="O2290">
        <v>0</v>
      </c>
      <c r="P2290">
        <v>142</v>
      </c>
      <c r="Q2290">
        <v>1</v>
      </c>
      <c r="R2290">
        <v>6</v>
      </c>
      <c r="S2290">
        <v>3</v>
      </c>
      <c r="T2290">
        <v>3</v>
      </c>
      <c r="U2290">
        <v>15</v>
      </c>
      <c r="V2290">
        <v>4</v>
      </c>
      <c r="W2290">
        <v>4</v>
      </c>
      <c r="X2290">
        <v>91</v>
      </c>
      <c r="Y2290">
        <v>1</v>
      </c>
      <c r="Z2290">
        <v>1</v>
      </c>
      <c r="AA2290">
        <v>2</v>
      </c>
      <c r="AB2290">
        <v>3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8</v>
      </c>
      <c r="AK2290">
        <v>142</v>
      </c>
      <c r="AL2290">
        <v>142</v>
      </c>
      <c r="AM2290">
        <v>743</v>
      </c>
      <c r="AN2290">
        <v>44</v>
      </c>
      <c r="AP2290">
        <v>1</v>
      </c>
      <c r="AR2290" t="s">
        <v>2382</v>
      </c>
      <c r="AS2290" s="1">
        <v>44354.004166666666</v>
      </c>
      <c r="AT2290" s="1">
        <v>44354.010289351849</v>
      </c>
      <c r="AU2290" s="1">
        <v>44354.010775462964</v>
      </c>
      <c r="AV2290" t="s">
        <v>71</v>
      </c>
      <c r="AW2290" t="s">
        <v>72</v>
      </c>
      <c r="AX2290" t="s">
        <v>73</v>
      </c>
    </row>
    <row r="2291" spans="1:50" x14ac:dyDescent="0.3">
      <c r="A2291" t="str">
        <f>"201916C0100"</f>
        <v>201916C0100</v>
      </c>
      <c r="B2291" t="str">
        <f>"201916C01002"</f>
        <v>201916C01002</v>
      </c>
      <c r="C2291" t="str">
        <f t="shared" si="109"/>
        <v>20</v>
      </c>
      <c r="D2291" t="s">
        <v>67</v>
      </c>
      <c r="E2291" t="str">
        <f t="shared" si="110"/>
        <v>010</v>
      </c>
      <c r="F2291" t="s">
        <v>2245</v>
      </c>
      <c r="G2291" t="str">
        <f>"1916"</f>
        <v>1916</v>
      </c>
      <c r="H2291" t="str">
        <f>"0001"</f>
        <v>0001</v>
      </c>
      <c r="I2291" t="s">
        <v>75</v>
      </c>
      <c r="J2291">
        <v>0</v>
      </c>
      <c r="K2291">
        <v>1</v>
      </c>
      <c r="L2291">
        <v>2</v>
      </c>
      <c r="AM2291">
        <v>743</v>
      </c>
      <c r="AN2291">
        <v>44</v>
      </c>
      <c r="AO2291" t="s">
        <v>143</v>
      </c>
      <c r="AP2291">
        <v>0</v>
      </c>
      <c r="AR2291" t="s">
        <v>2383</v>
      </c>
      <c r="AS2291" s="1">
        <v>44354.795138888891</v>
      </c>
      <c r="AT2291" s="1">
        <v>44354.813379629632</v>
      </c>
      <c r="AU2291" s="1">
        <v>44354.813379629632</v>
      </c>
      <c r="AV2291" t="s">
        <v>71</v>
      </c>
      <c r="AW2291" t="s">
        <v>72</v>
      </c>
      <c r="AX2291" t="s">
        <v>73</v>
      </c>
    </row>
    <row r="2292" spans="1:50" x14ac:dyDescent="0.3">
      <c r="A2292" t="str">
        <f>"201917B0000"</f>
        <v>201917B0000</v>
      </c>
      <c r="B2292" t="str">
        <f>"201917B00002"</f>
        <v>201917B00002</v>
      </c>
      <c r="C2292" t="str">
        <f t="shared" si="109"/>
        <v>20</v>
      </c>
      <c r="D2292" t="s">
        <v>67</v>
      </c>
      <c r="E2292" t="str">
        <f t="shared" si="110"/>
        <v>010</v>
      </c>
      <c r="F2292" t="s">
        <v>2245</v>
      </c>
      <c r="G2292" t="str">
        <f>"1917"</f>
        <v>1917</v>
      </c>
      <c r="H2292" t="str">
        <f>"0000"</f>
        <v>0000</v>
      </c>
      <c r="I2292" t="s">
        <v>69</v>
      </c>
      <c r="J2292">
        <v>0</v>
      </c>
      <c r="K2292">
        <v>1</v>
      </c>
      <c r="L2292">
        <v>2</v>
      </c>
      <c r="M2292">
        <v>600</v>
      </c>
      <c r="N2292">
        <v>99</v>
      </c>
      <c r="O2292">
        <v>0</v>
      </c>
      <c r="P2292">
        <v>99</v>
      </c>
      <c r="Q2292">
        <v>3</v>
      </c>
      <c r="R2292">
        <v>6</v>
      </c>
      <c r="S2292">
        <v>4</v>
      </c>
      <c r="T2292">
        <v>3</v>
      </c>
      <c r="U2292">
        <v>5</v>
      </c>
      <c r="V2292">
        <v>0</v>
      </c>
      <c r="W2292">
        <v>1</v>
      </c>
      <c r="X2292">
        <v>67</v>
      </c>
      <c r="Y2292">
        <v>2</v>
      </c>
      <c r="Z2292">
        <v>1</v>
      </c>
      <c r="AA2292">
        <v>1</v>
      </c>
      <c r="AB2292">
        <v>0</v>
      </c>
      <c r="AD2292">
        <v>0</v>
      </c>
      <c r="AE2292">
        <v>1</v>
      </c>
      <c r="AF2292">
        <v>0</v>
      </c>
      <c r="AG2292">
        <v>0</v>
      </c>
      <c r="AH2292">
        <v>0</v>
      </c>
      <c r="AI2292">
        <v>0</v>
      </c>
      <c r="AJ2292">
        <v>5</v>
      </c>
      <c r="AK2292">
        <v>99</v>
      </c>
      <c r="AL2292">
        <v>99</v>
      </c>
      <c r="AM2292">
        <v>655</v>
      </c>
      <c r="AN2292">
        <v>44</v>
      </c>
      <c r="AP2292">
        <v>1</v>
      </c>
      <c r="AR2292" t="s">
        <v>2384</v>
      </c>
      <c r="AS2292" s="1">
        <v>44354.070833333331</v>
      </c>
      <c r="AT2292" s="1">
        <v>44354.076550925929</v>
      </c>
      <c r="AU2292" s="1">
        <v>44354.07739583333</v>
      </c>
      <c r="AV2292" t="s">
        <v>71</v>
      </c>
      <c r="AW2292" t="s">
        <v>72</v>
      </c>
      <c r="AX2292" t="s">
        <v>73</v>
      </c>
    </row>
    <row r="2293" spans="1:50" x14ac:dyDescent="0.3">
      <c r="A2293" t="str">
        <f>"201917C0100"</f>
        <v>201917C0100</v>
      </c>
      <c r="B2293" t="str">
        <f>"201917C01002"</f>
        <v>201917C01002</v>
      </c>
      <c r="C2293" t="str">
        <f t="shared" si="109"/>
        <v>20</v>
      </c>
      <c r="D2293" t="s">
        <v>67</v>
      </c>
      <c r="E2293" t="str">
        <f t="shared" si="110"/>
        <v>010</v>
      </c>
      <c r="F2293" t="s">
        <v>2245</v>
      </c>
      <c r="G2293" t="str">
        <f>"1917"</f>
        <v>1917</v>
      </c>
      <c r="H2293" t="str">
        <f>"0001"</f>
        <v>0001</v>
      </c>
      <c r="I2293" t="s">
        <v>75</v>
      </c>
      <c r="J2293">
        <v>0</v>
      </c>
      <c r="K2293">
        <v>1</v>
      </c>
      <c r="L2293">
        <v>2</v>
      </c>
      <c r="M2293">
        <v>604</v>
      </c>
      <c r="N2293">
        <v>95</v>
      </c>
      <c r="O2293">
        <v>5</v>
      </c>
      <c r="P2293">
        <v>95</v>
      </c>
      <c r="Q2293">
        <v>3</v>
      </c>
      <c r="R2293">
        <v>10</v>
      </c>
      <c r="S2293">
        <v>0</v>
      </c>
      <c r="T2293">
        <v>5</v>
      </c>
      <c r="U2293">
        <v>8</v>
      </c>
      <c r="V2293">
        <v>0</v>
      </c>
      <c r="W2293">
        <v>2</v>
      </c>
      <c r="X2293">
        <v>50</v>
      </c>
      <c r="Y2293">
        <v>2</v>
      </c>
      <c r="Z2293">
        <v>2</v>
      </c>
      <c r="AA2293">
        <v>1</v>
      </c>
      <c r="AB2293">
        <v>1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11</v>
      </c>
      <c r="AK2293">
        <v>95</v>
      </c>
      <c r="AL2293">
        <v>95</v>
      </c>
      <c r="AM2293">
        <v>655</v>
      </c>
      <c r="AN2293">
        <v>44</v>
      </c>
      <c r="AP2293">
        <v>1</v>
      </c>
      <c r="AR2293" t="s">
        <v>2385</v>
      </c>
      <c r="AS2293" s="1">
        <v>44354.074999999997</v>
      </c>
      <c r="AT2293" s="1">
        <v>44354.08152777778</v>
      </c>
      <c r="AU2293" s="1">
        <v>44354.081967592596</v>
      </c>
      <c r="AV2293" t="s">
        <v>71</v>
      </c>
      <c r="AW2293" t="s">
        <v>72</v>
      </c>
      <c r="AX2293" t="s">
        <v>73</v>
      </c>
    </row>
    <row r="2294" spans="1:50" x14ac:dyDescent="0.3">
      <c r="A2294" t="str">
        <f>"201969B0000"</f>
        <v>201969B0000</v>
      </c>
      <c r="B2294" t="str">
        <f>"201969B00002"</f>
        <v>201969B00002</v>
      </c>
      <c r="C2294" t="str">
        <f t="shared" si="109"/>
        <v>20</v>
      </c>
      <c r="D2294" t="s">
        <v>67</v>
      </c>
      <c r="E2294" t="str">
        <f t="shared" si="110"/>
        <v>010</v>
      </c>
      <c r="F2294" t="s">
        <v>2245</v>
      </c>
      <c r="G2294" t="str">
        <f>"1969"</f>
        <v>1969</v>
      </c>
      <c r="H2294" t="str">
        <f>"0000"</f>
        <v>0000</v>
      </c>
      <c r="I2294" t="s">
        <v>69</v>
      </c>
      <c r="J2294">
        <v>0</v>
      </c>
      <c r="K2294">
        <v>1</v>
      </c>
      <c r="L2294">
        <v>2</v>
      </c>
      <c r="M2294">
        <v>444</v>
      </c>
      <c r="N2294">
        <v>194</v>
      </c>
      <c r="O2294">
        <v>0</v>
      </c>
      <c r="P2294">
        <v>194</v>
      </c>
      <c r="Q2294">
        <v>2</v>
      </c>
      <c r="R2294">
        <v>32</v>
      </c>
      <c r="S2294">
        <v>2</v>
      </c>
      <c r="T2294">
        <v>4</v>
      </c>
      <c r="U2294">
        <v>80</v>
      </c>
      <c r="V2294">
        <v>2</v>
      </c>
      <c r="W2294">
        <v>7</v>
      </c>
      <c r="X2294">
        <v>44</v>
      </c>
      <c r="Y2294">
        <v>0</v>
      </c>
      <c r="Z2294">
        <v>4</v>
      </c>
      <c r="AA2294">
        <v>5</v>
      </c>
      <c r="AB2294">
        <v>0</v>
      </c>
      <c r="AD2294">
        <v>0</v>
      </c>
      <c r="AE2294">
        <v>0</v>
      </c>
      <c r="AF2294">
        <v>0</v>
      </c>
      <c r="AG2294">
        <v>0</v>
      </c>
      <c r="AH2294">
        <v>2</v>
      </c>
      <c r="AI2294">
        <v>0</v>
      </c>
      <c r="AJ2294">
        <v>10</v>
      </c>
      <c r="AK2294">
        <v>194</v>
      </c>
      <c r="AL2294">
        <v>194</v>
      </c>
      <c r="AM2294">
        <v>594</v>
      </c>
      <c r="AN2294">
        <v>44</v>
      </c>
      <c r="AP2294">
        <v>1</v>
      </c>
      <c r="AR2294" t="s">
        <v>2386</v>
      </c>
      <c r="AS2294" s="1">
        <v>44354.05972222222</v>
      </c>
      <c r="AT2294" s="1">
        <v>44354.065729166665</v>
      </c>
      <c r="AU2294" s="1">
        <v>44354.066145833334</v>
      </c>
      <c r="AV2294" t="s">
        <v>71</v>
      </c>
      <c r="AW2294" t="s">
        <v>72</v>
      </c>
      <c r="AX2294" t="s">
        <v>73</v>
      </c>
    </row>
    <row r="2295" spans="1:50" x14ac:dyDescent="0.3">
      <c r="A2295" t="str">
        <f>"201969C0100"</f>
        <v>201969C0100</v>
      </c>
      <c r="B2295" t="str">
        <f>"201969C01002"</f>
        <v>201969C01002</v>
      </c>
      <c r="C2295" t="str">
        <f t="shared" si="109"/>
        <v>20</v>
      </c>
      <c r="D2295" t="s">
        <v>67</v>
      </c>
      <c r="E2295" t="str">
        <f t="shared" si="110"/>
        <v>010</v>
      </c>
      <c r="F2295" t="s">
        <v>2245</v>
      </c>
      <c r="G2295" t="str">
        <f>"1969"</f>
        <v>1969</v>
      </c>
      <c r="H2295" t="str">
        <f>"0001"</f>
        <v>0001</v>
      </c>
      <c r="I2295" t="s">
        <v>75</v>
      </c>
      <c r="J2295">
        <v>0</v>
      </c>
      <c r="K2295">
        <v>1</v>
      </c>
      <c r="L2295">
        <v>2</v>
      </c>
      <c r="M2295">
        <v>442</v>
      </c>
      <c r="N2295">
        <v>195</v>
      </c>
      <c r="O2295">
        <v>0</v>
      </c>
      <c r="P2295">
        <v>195</v>
      </c>
      <c r="Q2295">
        <v>2</v>
      </c>
      <c r="R2295">
        <v>33</v>
      </c>
      <c r="S2295">
        <v>7</v>
      </c>
      <c r="T2295">
        <v>6</v>
      </c>
      <c r="U2295">
        <v>71</v>
      </c>
      <c r="V2295">
        <v>3</v>
      </c>
      <c r="W2295">
        <v>3</v>
      </c>
      <c r="X2295">
        <v>44</v>
      </c>
      <c r="Y2295">
        <v>2</v>
      </c>
      <c r="Z2295">
        <v>5</v>
      </c>
      <c r="AA2295">
        <v>12</v>
      </c>
      <c r="AB2295">
        <v>1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6</v>
      </c>
      <c r="AK2295">
        <v>195</v>
      </c>
      <c r="AL2295">
        <v>195</v>
      </c>
      <c r="AM2295">
        <v>593</v>
      </c>
      <c r="AN2295">
        <v>44</v>
      </c>
      <c r="AP2295">
        <v>1</v>
      </c>
      <c r="AR2295" t="s">
        <v>2387</v>
      </c>
      <c r="AS2295" s="1">
        <v>44354.0625</v>
      </c>
      <c r="AT2295" s="1">
        <v>44354.068333333336</v>
      </c>
      <c r="AU2295" s="1">
        <v>44354.068842592591</v>
      </c>
      <c r="AV2295" t="s">
        <v>71</v>
      </c>
      <c r="AW2295" t="s">
        <v>72</v>
      </c>
      <c r="AX2295" t="s">
        <v>73</v>
      </c>
    </row>
    <row r="2296" spans="1:50" x14ac:dyDescent="0.3">
      <c r="A2296" t="str">
        <f>"201970B0000"</f>
        <v>201970B0000</v>
      </c>
      <c r="B2296" t="str">
        <f>"201970B00002"</f>
        <v>201970B00002</v>
      </c>
      <c r="C2296" t="str">
        <f t="shared" si="109"/>
        <v>20</v>
      </c>
      <c r="D2296" t="s">
        <v>67</v>
      </c>
      <c r="E2296" t="str">
        <f t="shared" si="110"/>
        <v>010</v>
      </c>
      <c r="F2296" t="s">
        <v>2245</v>
      </c>
      <c r="G2296" t="str">
        <f>"1970"</f>
        <v>1970</v>
      </c>
      <c r="H2296" t="str">
        <f>"0000"</f>
        <v>0000</v>
      </c>
      <c r="I2296" t="s">
        <v>69</v>
      </c>
      <c r="J2296">
        <v>0</v>
      </c>
      <c r="K2296">
        <v>1</v>
      </c>
      <c r="L2296">
        <v>2</v>
      </c>
      <c r="M2296">
        <v>310</v>
      </c>
      <c r="N2296">
        <v>142</v>
      </c>
      <c r="O2296">
        <v>8</v>
      </c>
      <c r="P2296">
        <v>134</v>
      </c>
      <c r="Q2296">
        <v>12</v>
      </c>
      <c r="R2296">
        <v>21</v>
      </c>
      <c r="S2296">
        <v>1</v>
      </c>
      <c r="T2296">
        <v>4</v>
      </c>
      <c r="U2296">
        <v>0</v>
      </c>
      <c r="V2296">
        <v>3</v>
      </c>
      <c r="W2296">
        <v>2</v>
      </c>
      <c r="X2296">
        <v>83</v>
      </c>
      <c r="Y2296">
        <v>0</v>
      </c>
      <c r="Z2296">
        <v>5</v>
      </c>
      <c r="AA2296">
        <v>6</v>
      </c>
      <c r="AB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5</v>
      </c>
      <c r="AK2296">
        <v>134</v>
      </c>
      <c r="AL2296">
        <v>142</v>
      </c>
      <c r="AM2296">
        <v>436</v>
      </c>
      <c r="AN2296">
        <v>44</v>
      </c>
      <c r="AP2296">
        <v>1</v>
      </c>
      <c r="AR2296" t="s">
        <v>2388</v>
      </c>
      <c r="AS2296" s="1">
        <v>44354.068055555559</v>
      </c>
      <c r="AT2296" s="1">
        <v>44354.073101851849</v>
      </c>
      <c r="AU2296" s="1">
        <v>44354.073506944442</v>
      </c>
      <c r="AV2296" t="s">
        <v>71</v>
      </c>
      <c r="AW2296" t="s">
        <v>72</v>
      </c>
      <c r="AX2296" t="s">
        <v>73</v>
      </c>
    </row>
    <row r="2297" spans="1:50" x14ac:dyDescent="0.3">
      <c r="A2297" t="str">
        <f>"201970E0100"</f>
        <v>201970E0100</v>
      </c>
      <c r="B2297" t="str">
        <f>"201970E01002"</f>
        <v>201970E01002</v>
      </c>
      <c r="C2297" t="str">
        <f t="shared" si="109"/>
        <v>20</v>
      </c>
      <c r="D2297" t="s">
        <v>67</v>
      </c>
      <c r="E2297" t="str">
        <f t="shared" si="110"/>
        <v>010</v>
      </c>
      <c r="F2297" t="s">
        <v>2245</v>
      </c>
      <c r="G2297" t="str">
        <f>"1970"</f>
        <v>1970</v>
      </c>
      <c r="H2297" t="str">
        <f>"0001"</f>
        <v>0001</v>
      </c>
      <c r="I2297" t="s">
        <v>109</v>
      </c>
      <c r="J2297">
        <v>0</v>
      </c>
      <c r="K2297">
        <v>1</v>
      </c>
      <c r="L2297">
        <v>2</v>
      </c>
      <c r="M2297">
        <v>382</v>
      </c>
      <c r="N2297">
        <v>315</v>
      </c>
      <c r="O2297">
        <v>0</v>
      </c>
      <c r="P2297">
        <v>315</v>
      </c>
      <c r="Q2297">
        <v>0</v>
      </c>
      <c r="R2297">
        <v>13</v>
      </c>
      <c r="S2297">
        <v>3</v>
      </c>
      <c r="T2297">
        <v>2</v>
      </c>
      <c r="U2297">
        <v>102</v>
      </c>
      <c r="V2297">
        <v>4</v>
      </c>
      <c r="W2297">
        <v>1</v>
      </c>
      <c r="X2297">
        <v>169</v>
      </c>
      <c r="Y2297">
        <v>2</v>
      </c>
      <c r="Z2297">
        <v>4</v>
      </c>
      <c r="AA2297">
        <v>5</v>
      </c>
      <c r="AB2297">
        <v>1</v>
      </c>
      <c r="AD2297">
        <v>1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8</v>
      </c>
      <c r="AK2297">
        <v>315</v>
      </c>
      <c r="AL2297">
        <v>315</v>
      </c>
      <c r="AM2297">
        <v>653</v>
      </c>
      <c r="AN2297">
        <v>44</v>
      </c>
      <c r="AP2297">
        <v>1</v>
      </c>
      <c r="AR2297" t="s">
        <v>2389</v>
      </c>
      <c r="AS2297" s="1">
        <v>44354.059027777781</v>
      </c>
      <c r="AT2297" s="1">
        <v>44354.065497685187</v>
      </c>
      <c r="AU2297" s="1">
        <v>44354.066203703704</v>
      </c>
      <c r="AV2297" t="s">
        <v>71</v>
      </c>
      <c r="AW2297" t="s">
        <v>72</v>
      </c>
      <c r="AX2297" t="s">
        <v>73</v>
      </c>
    </row>
    <row r="2298" spans="1:50" x14ac:dyDescent="0.3">
      <c r="A2298" t="str">
        <f>"201987B0000"</f>
        <v>201987B0000</v>
      </c>
      <c r="B2298" t="str">
        <f>"201987B00002"</f>
        <v>201987B00002</v>
      </c>
      <c r="C2298" t="str">
        <f t="shared" si="109"/>
        <v>20</v>
      </c>
      <c r="D2298" t="s">
        <v>67</v>
      </c>
      <c r="E2298" t="str">
        <f t="shared" si="110"/>
        <v>010</v>
      </c>
      <c r="F2298" t="s">
        <v>2245</v>
      </c>
      <c r="G2298" t="str">
        <f>"1987"</f>
        <v>1987</v>
      </c>
      <c r="H2298" t="str">
        <f>"0000"</f>
        <v>0000</v>
      </c>
      <c r="I2298" t="s">
        <v>69</v>
      </c>
      <c r="J2298">
        <v>0</v>
      </c>
      <c r="K2298">
        <v>1</v>
      </c>
      <c r="L2298">
        <v>2</v>
      </c>
      <c r="M2298">
        <v>252</v>
      </c>
      <c r="N2298">
        <v>170</v>
      </c>
      <c r="O2298">
        <v>0</v>
      </c>
      <c r="P2298">
        <v>170</v>
      </c>
      <c r="Q2298">
        <v>6</v>
      </c>
      <c r="R2298">
        <v>41</v>
      </c>
      <c r="S2298">
        <v>1</v>
      </c>
      <c r="T2298">
        <v>4</v>
      </c>
      <c r="U2298">
        <v>4</v>
      </c>
      <c r="V2298">
        <v>2</v>
      </c>
      <c r="W2298">
        <v>2</v>
      </c>
      <c r="X2298">
        <v>75</v>
      </c>
      <c r="Y2298">
        <v>1</v>
      </c>
      <c r="Z2298">
        <v>7</v>
      </c>
      <c r="AA2298">
        <v>11</v>
      </c>
      <c r="AB2298">
        <v>2</v>
      </c>
      <c r="AD2298">
        <v>0</v>
      </c>
      <c r="AE2298">
        <v>0</v>
      </c>
      <c r="AF2298">
        <v>0</v>
      </c>
      <c r="AG2298">
        <v>1</v>
      </c>
      <c r="AH2298">
        <v>0</v>
      </c>
      <c r="AI2298" t="s">
        <v>77</v>
      </c>
      <c r="AJ2298">
        <v>13</v>
      </c>
      <c r="AK2298">
        <v>170</v>
      </c>
      <c r="AL2298">
        <v>170</v>
      </c>
      <c r="AM2298">
        <v>378</v>
      </c>
      <c r="AN2298">
        <v>44</v>
      </c>
      <c r="AO2298" t="s">
        <v>78</v>
      </c>
      <c r="AP2298">
        <v>1</v>
      </c>
      <c r="AR2298" t="s">
        <v>2390</v>
      </c>
      <c r="AS2298" s="1">
        <v>44354.125</v>
      </c>
      <c r="AT2298" s="1">
        <v>44354.127395833333</v>
      </c>
      <c r="AU2298" s="1">
        <v>44354.129143518519</v>
      </c>
      <c r="AV2298" t="s">
        <v>71</v>
      </c>
      <c r="AW2298" t="s">
        <v>72</v>
      </c>
      <c r="AX2298" t="s">
        <v>73</v>
      </c>
    </row>
    <row r="2299" spans="1:50" x14ac:dyDescent="0.3">
      <c r="A2299" t="str">
        <f>"201987C0100"</f>
        <v>201987C0100</v>
      </c>
      <c r="B2299" t="str">
        <f>"201987C01002"</f>
        <v>201987C01002</v>
      </c>
      <c r="C2299" t="str">
        <f t="shared" si="109"/>
        <v>20</v>
      </c>
      <c r="D2299" t="s">
        <v>67</v>
      </c>
      <c r="E2299" t="str">
        <f t="shared" si="110"/>
        <v>010</v>
      </c>
      <c r="F2299" t="s">
        <v>2245</v>
      </c>
      <c r="G2299" t="str">
        <f>"1987"</f>
        <v>1987</v>
      </c>
      <c r="H2299" t="str">
        <f>"0001"</f>
        <v>0001</v>
      </c>
      <c r="I2299" t="s">
        <v>75</v>
      </c>
      <c r="J2299">
        <v>0</v>
      </c>
      <c r="K2299">
        <v>1</v>
      </c>
      <c r="L2299">
        <v>2</v>
      </c>
      <c r="M2299">
        <v>263</v>
      </c>
      <c r="N2299">
        <v>159</v>
      </c>
      <c r="O2299">
        <v>4</v>
      </c>
      <c r="P2299">
        <v>159</v>
      </c>
      <c r="Q2299">
        <v>6</v>
      </c>
      <c r="R2299">
        <v>29</v>
      </c>
      <c r="S2299">
        <v>2</v>
      </c>
      <c r="T2299">
        <v>2</v>
      </c>
      <c r="U2299">
        <v>15</v>
      </c>
      <c r="V2299">
        <v>2</v>
      </c>
      <c r="W2299">
        <v>4</v>
      </c>
      <c r="X2299">
        <v>87</v>
      </c>
      <c r="Y2299">
        <v>1</v>
      </c>
      <c r="Z2299">
        <v>3</v>
      </c>
      <c r="AA2299">
        <v>3</v>
      </c>
      <c r="AB2299">
        <v>1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4</v>
      </c>
      <c r="AK2299">
        <v>159</v>
      </c>
      <c r="AL2299">
        <v>159</v>
      </c>
      <c r="AM2299">
        <v>378</v>
      </c>
      <c r="AN2299">
        <v>44</v>
      </c>
      <c r="AP2299">
        <v>1</v>
      </c>
      <c r="AR2299" t="s">
        <v>2391</v>
      </c>
      <c r="AS2299" s="1">
        <v>44354.120833333334</v>
      </c>
      <c r="AT2299" s="1">
        <v>44354.12295138889</v>
      </c>
      <c r="AU2299" s="1">
        <v>44354.12394675926</v>
      </c>
      <c r="AV2299" t="s">
        <v>71</v>
      </c>
      <c r="AW2299" t="s">
        <v>72</v>
      </c>
      <c r="AX2299" t="s">
        <v>73</v>
      </c>
    </row>
    <row r="2300" spans="1:50" x14ac:dyDescent="0.3">
      <c r="A2300" t="str">
        <f>"201987E0100"</f>
        <v>201987E0100</v>
      </c>
      <c r="B2300" t="str">
        <f>"201987E01002"</f>
        <v>201987E01002</v>
      </c>
      <c r="C2300" t="str">
        <f t="shared" si="109"/>
        <v>20</v>
      </c>
      <c r="D2300" t="s">
        <v>67</v>
      </c>
      <c r="E2300" t="str">
        <f t="shared" si="110"/>
        <v>010</v>
      </c>
      <c r="F2300" t="s">
        <v>2245</v>
      </c>
      <c r="G2300" t="str">
        <f>"1987"</f>
        <v>1987</v>
      </c>
      <c r="H2300" t="str">
        <f>"0001"</f>
        <v>0001</v>
      </c>
      <c r="I2300" t="s">
        <v>109</v>
      </c>
      <c r="J2300">
        <v>0</v>
      </c>
      <c r="K2300">
        <v>1</v>
      </c>
      <c r="L2300">
        <v>2</v>
      </c>
      <c r="M2300">
        <v>262</v>
      </c>
      <c r="N2300">
        <v>283</v>
      </c>
      <c r="O2300" t="s">
        <v>80</v>
      </c>
      <c r="P2300">
        <v>283</v>
      </c>
      <c r="Q2300">
        <v>8</v>
      </c>
      <c r="R2300">
        <v>167</v>
      </c>
      <c r="S2300">
        <v>3</v>
      </c>
      <c r="T2300">
        <v>2</v>
      </c>
      <c r="U2300">
        <v>21</v>
      </c>
      <c r="V2300">
        <v>7</v>
      </c>
      <c r="W2300">
        <v>4</v>
      </c>
      <c r="X2300">
        <v>57</v>
      </c>
      <c r="Y2300">
        <v>0</v>
      </c>
      <c r="Z2300">
        <v>1</v>
      </c>
      <c r="AA2300">
        <v>0</v>
      </c>
      <c r="AB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13</v>
      </c>
      <c r="AK2300">
        <v>283</v>
      </c>
      <c r="AL2300">
        <v>283</v>
      </c>
      <c r="AM2300">
        <v>501</v>
      </c>
      <c r="AN2300">
        <v>44</v>
      </c>
      <c r="AP2300">
        <v>1</v>
      </c>
      <c r="AR2300" s="2" t="s">
        <v>2392</v>
      </c>
      <c r="AS2300" s="1">
        <v>44354.121527777781</v>
      </c>
      <c r="AT2300" s="1">
        <v>44354.123460648145</v>
      </c>
      <c r="AU2300" s="1">
        <v>44354.125868055555</v>
      </c>
      <c r="AV2300" t="s">
        <v>71</v>
      </c>
      <c r="AW2300" t="s">
        <v>72</v>
      </c>
      <c r="AX2300" t="s">
        <v>73</v>
      </c>
    </row>
    <row r="2301" spans="1:50" x14ac:dyDescent="0.3">
      <c r="A2301" t="str">
        <f>"201988B0000"</f>
        <v>201988B0000</v>
      </c>
      <c r="B2301" t="str">
        <f>"201988B00002"</f>
        <v>201988B00002</v>
      </c>
      <c r="C2301" t="str">
        <f t="shared" si="109"/>
        <v>20</v>
      </c>
      <c r="D2301" t="s">
        <v>67</v>
      </c>
      <c r="E2301" t="str">
        <f t="shared" si="110"/>
        <v>010</v>
      </c>
      <c r="F2301" t="s">
        <v>2245</v>
      </c>
      <c r="G2301" t="str">
        <f>"1988"</f>
        <v>1988</v>
      </c>
      <c r="H2301" t="str">
        <f>"0000"</f>
        <v>0000</v>
      </c>
      <c r="I2301" t="s">
        <v>69</v>
      </c>
      <c r="J2301">
        <v>0</v>
      </c>
      <c r="K2301">
        <v>1</v>
      </c>
      <c r="L2301">
        <v>2</v>
      </c>
      <c r="AM2301">
        <v>429</v>
      </c>
      <c r="AN2301">
        <v>44</v>
      </c>
      <c r="AO2301" t="s">
        <v>143</v>
      </c>
      <c r="AP2301">
        <v>0</v>
      </c>
      <c r="AR2301" t="s">
        <v>2393</v>
      </c>
      <c r="AS2301" s="1">
        <v>44354.801388888889</v>
      </c>
      <c r="AT2301" s="1">
        <v>44354.814201388886</v>
      </c>
      <c r="AU2301" s="1">
        <v>44354.814201388886</v>
      </c>
      <c r="AV2301" t="s">
        <v>71</v>
      </c>
      <c r="AW2301" t="s">
        <v>72</v>
      </c>
      <c r="AX2301" t="s">
        <v>73</v>
      </c>
    </row>
    <row r="2302" spans="1:50" x14ac:dyDescent="0.3">
      <c r="A2302" t="str">
        <f>"201988C0100"</f>
        <v>201988C0100</v>
      </c>
      <c r="B2302" t="str">
        <f>"201988C01002"</f>
        <v>201988C01002</v>
      </c>
      <c r="C2302" t="str">
        <f t="shared" si="109"/>
        <v>20</v>
      </c>
      <c r="D2302" t="s">
        <v>67</v>
      </c>
      <c r="E2302" t="str">
        <f t="shared" si="110"/>
        <v>010</v>
      </c>
      <c r="F2302" t="s">
        <v>2245</v>
      </c>
      <c r="G2302" t="str">
        <f>"1988"</f>
        <v>1988</v>
      </c>
      <c r="H2302" t="str">
        <f>"0001"</f>
        <v>0001</v>
      </c>
      <c r="I2302" t="s">
        <v>75</v>
      </c>
      <c r="J2302">
        <v>0</v>
      </c>
      <c r="K2302">
        <v>1</v>
      </c>
      <c r="L2302">
        <v>2</v>
      </c>
      <c r="AM2302">
        <v>429</v>
      </c>
      <c r="AN2302">
        <v>44</v>
      </c>
      <c r="AO2302" t="s">
        <v>143</v>
      </c>
      <c r="AP2302">
        <v>0</v>
      </c>
      <c r="AR2302" t="s">
        <v>2394</v>
      </c>
      <c r="AS2302" s="1">
        <v>44354.8</v>
      </c>
      <c r="AT2302" s="1">
        <v>44354.814247685186</v>
      </c>
      <c r="AU2302" s="1">
        <v>44354.814247685186</v>
      </c>
      <c r="AV2302" t="s">
        <v>71</v>
      </c>
      <c r="AW2302" t="s">
        <v>72</v>
      </c>
      <c r="AX2302" t="s">
        <v>73</v>
      </c>
    </row>
    <row r="2303" spans="1:50" x14ac:dyDescent="0.3">
      <c r="A2303" t="str">
        <f>"201988E0100"</f>
        <v>201988E0100</v>
      </c>
      <c r="B2303" t="str">
        <f>"201988E01002"</f>
        <v>201988E01002</v>
      </c>
      <c r="C2303" t="str">
        <f t="shared" si="109"/>
        <v>20</v>
      </c>
      <c r="D2303" t="s">
        <v>67</v>
      </c>
      <c r="E2303" t="str">
        <f t="shared" si="110"/>
        <v>010</v>
      </c>
      <c r="F2303" t="s">
        <v>2245</v>
      </c>
      <c r="G2303" t="str">
        <f>"1988"</f>
        <v>1988</v>
      </c>
      <c r="H2303" t="str">
        <f>"0001"</f>
        <v>0001</v>
      </c>
      <c r="I2303" t="s">
        <v>109</v>
      </c>
      <c r="J2303">
        <v>0</v>
      </c>
      <c r="K2303">
        <v>1</v>
      </c>
      <c r="L2303">
        <v>2</v>
      </c>
      <c r="M2303">
        <v>136</v>
      </c>
      <c r="N2303">
        <v>65</v>
      </c>
      <c r="O2303">
        <v>4</v>
      </c>
      <c r="P2303">
        <v>65</v>
      </c>
      <c r="Q2303">
        <v>0</v>
      </c>
      <c r="R2303">
        <v>36</v>
      </c>
      <c r="S2303">
        <v>0</v>
      </c>
      <c r="T2303">
        <v>2</v>
      </c>
      <c r="U2303">
        <v>6</v>
      </c>
      <c r="V2303">
        <v>2</v>
      </c>
      <c r="W2303">
        <v>0</v>
      </c>
      <c r="X2303">
        <v>11</v>
      </c>
      <c r="Y2303">
        <v>0</v>
      </c>
      <c r="Z2303">
        <v>1</v>
      </c>
      <c r="AA2303">
        <v>1</v>
      </c>
      <c r="AB2303">
        <v>0</v>
      </c>
      <c r="AD2303">
        <v>0</v>
      </c>
      <c r="AE2303">
        <v>0</v>
      </c>
      <c r="AF2303">
        <v>1</v>
      </c>
      <c r="AG2303">
        <v>0</v>
      </c>
      <c r="AH2303">
        <v>0</v>
      </c>
      <c r="AI2303" t="s">
        <v>77</v>
      </c>
      <c r="AJ2303">
        <v>5</v>
      </c>
      <c r="AK2303">
        <v>65</v>
      </c>
      <c r="AL2303">
        <v>65</v>
      </c>
      <c r="AM2303">
        <v>157</v>
      </c>
      <c r="AN2303">
        <v>44</v>
      </c>
      <c r="AO2303" t="s">
        <v>78</v>
      </c>
      <c r="AP2303">
        <v>1</v>
      </c>
      <c r="AR2303" t="s">
        <v>2395</v>
      </c>
      <c r="AS2303" s="1">
        <v>44354.617361111108</v>
      </c>
      <c r="AT2303" s="1">
        <v>44354.619583333333</v>
      </c>
      <c r="AU2303" s="1">
        <v>44354.61991898148</v>
      </c>
      <c r="AV2303" t="s">
        <v>71</v>
      </c>
      <c r="AW2303" t="s">
        <v>72</v>
      </c>
      <c r="AX2303" t="s">
        <v>73</v>
      </c>
    </row>
    <row r="2304" spans="1:50" x14ac:dyDescent="0.3">
      <c r="A2304" t="str">
        <f>"201989B0000"</f>
        <v>201989B0000</v>
      </c>
      <c r="B2304" t="str">
        <f>"201989B00002"</f>
        <v>201989B00002</v>
      </c>
      <c r="C2304" t="str">
        <f t="shared" si="109"/>
        <v>20</v>
      </c>
      <c r="D2304" t="s">
        <v>67</v>
      </c>
      <c r="E2304" t="str">
        <f t="shared" si="110"/>
        <v>010</v>
      </c>
      <c r="F2304" t="s">
        <v>2245</v>
      </c>
      <c r="G2304" t="str">
        <f>"1989"</f>
        <v>1989</v>
      </c>
      <c r="H2304" t="str">
        <f>"0000"</f>
        <v>0000</v>
      </c>
      <c r="I2304" t="s">
        <v>69</v>
      </c>
      <c r="J2304">
        <v>0</v>
      </c>
      <c r="K2304">
        <v>1</v>
      </c>
      <c r="L2304">
        <v>2</v>
      </c>
      <c r="M2304">
        <v>222</v>
      </c>
      <c r="N2304">
        <v>143</v>
      </c>
      <c r="O2304">
        <v>0</v>
      </c>
      <c r="P2304">
        <v>143</v>
      </c>
      <c r="Q2304">
        <v>1</v>
      </c>
      <c r="R2304">
        <v>57</v>
      </c>
      <c r="S2304">
        <v>0</v>
      </c>
      <c r="T2304">
        <v>2</v>
      </c>
      <c r="U2304">
        <v>13</v>
      </c>
      <c r="V2304">
        <v>2</v>
      </c>
      <c r="W2304">
        <v>0</v>
      </c>
      <c r="X2304">
        <v>35</v>
      </c>
      <c r="Y2304">
        <v>11</v>
      </c>
      <c r="Z2304">
        <v>2</v>
      </c>
      <c r="AA2304">
        <v>15</v>
      </c>
      <c r="AB2304">
        <v>1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4</v>
      </c>
      <c r="AK2304">
        <v>143</v>
      </c>
      <c r="AL2304">
        <v>143</v>
      </c>
      <c r="AM2304">
        <v>321</v>
      </c>
      <c r="AN2304">
        <v>44</v>
      </c>
      <c r="AP2304">
        <v>1</v>
      </c>
      <c r="AR2304" t="s">
        <v>2396</v>
      </c>
      <c r="AS2304" s="1">
        <v>44354.12222222222</v>
      </c>
      <c r="AT2304" s="1">
        <v>44354.123900462961</v>
      </c>
      <c r="AU2304" s="1">
        <v>44354.124247685184</v>
      </c>
      <c r="AV2304" t="s">
        <v>71</v>
      </c>
      <c r="AW2304" t="s">
        <v>72</v>
      </c>
      <c r="AX2304" t="s">
        <v>73</v>
      </c>
    </row>
    <row r="2305" spans="1:50" x14ac:dyDescent="0.3">
      <c r="A2305" t="str">
        <f>"201990B0000"</f>
        <v>201990B0000</v>
      </c>
      <c r="B2305" t="str">
        <f>"201990B00002"</f>
        <v>201990B00002</v>
      </c>
      <c r="C2305" t="str">
        <f t="shared" si="109"/>
        <v>20</v>
      </c>
      <c r="D2305" t="s">
        <v>67</v>
      </c>
      <c r="E2305" t="str">
        <f t="shared" si="110"/>
        <v>010</v>
      </c>
      <c r="F2305" t="s">
        <v>2245</v>
      </c>
      <c r="G2305" t="str">
        <f>"1990"</f>
        <v>1990</v>
      </c>
      <c r="H2305" t="str">
        <f>"0000"</f>
        <v>0000</v>
      </c>
      <c r="I2305" t="s">
        <v>69</v>
      </c>
      <c r="J2305">
        <v>0</v>
      </c>
      <c r="K2305">
        <v>1</v>
      </c>
      <c r="L2305">
        <v>2</v>
      </c>
      <c r="M2305">
        <v>404</v>
      </c>
      <c r="N2305">
        <v>86</v>
      </c>
      <c r="O2305">
        <v>0</v>
      </c>
      <c r="P2305">
        <v>86</v>
      </c>
      <c r="Q2305">
        <v>1</v>
      </c>
      <c r="R2305">
        <v>8</v>
      </c>
      <c r="S2305">
        <v>2</v>
      </c>
      <c r="T2305">
        <v>1</v>
      </c>
      <c r="U2305">
        <v>25</v>
      </c>
      <c r="V2305">
        <v>0</v>
      </c>
      <c r="W2305">
        <v>1</v>
      </c>
      <c r="X2305">
        <v>6</v>
      </c>
      <c r="Y2305">
        <v>0</v>
      </c>
      <c r="Z2305">
        <v>1</v>
      </c>
      <c r="AA2305">
        <v>38</v>
      </c>
      <c r="AB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3</v>
      </c>
      <c r="AK2305">
        <v>86</v>
      </c>
      <c r="AL2305">
        <v>86</v>
      </c>
      <c r="AM2305">
        <v>446</v>
      </c>
      <c r="AN2305">
        <v>44</v>
      </c>
      <c r="AP2305">
        <v>1</v>
      </c>
      <c r="AR2305" t="s">
        <v>2397</v>
      </c>
      <c r="AS2305" s="1">
        <v>44354.613888888889</v>
      </c>
      <c r="AT2305" s="1">
        <v>44354.617511574077</v>
      </c>
      <c r="AU2305" s="1">
        <v>44354.618136574078</v>
      </c>
      <c r="AV2305" t="s">
        <v>71</v>
      </c>
      <c r="AW2305" t="s">
        <v>72</v>
      </c>
      <c r="AX2305" t="s">
        <v>73</v>
      </c>
    </row>
    <row r="2306" spans="1:50" x14ac:dyDescent="0.3">
      <c r="A2306" t="str">
        <f>"201990C0100"</f>
        <v>201990C0100</v>
      </c>
      <c r="B2306" t="str">
        <f>"201990C01002"</f>
        <v>201990C01002</v>
      </c>
      <c r="C2306" t="str">
        <f t="shared" si="109"/>
        <v>20</v>
      </c>
      <c r="D2306" t="s">
        <v>67</v>
      </c>
      <c r="E2306" t="str">
        <f t="shared" si="110"/>
        <v>010</v>
      </c>
      <c r="F2306" t="s">
        <v>2245</v>
      </c>
      <c r="G2306" t="str">
        <f>"1990"</f>
        <v>1990</v>
      </c>
      <c r="H2306" t="str">
        <f>"0001"</f>
        <v>0001</v>
      </c>
      <c r="I2306" t="s">
        <v>75</v>
      </c>
      <c r="J2306">
        <v>0</v>
      </c>
      <c r="K2306">
        <v>1</v>
      </c>
      <c r="L2306">
        <v>2</v>
      </c>
      <c r="AM2306">
        <v>446</v>
      </c>
      <c r="AN2306">
        <v>44</v>
      </c>
      <c r="AO2306" t="s">
        <v>143</v>
      </c>
      <c r="AP2306">
        <v>0</v>
      </c>
      <c r="AR2306" t="s">
        <v>2398</v>
      </c>
      <c r="AS2306" s="1">
        <v>44354.792361111111</v>
      </c>
      <c r="AT2306" s="1">
        <v>44354.81554398148</v>
      </c>
      <c r="AU2306" s="1">
        <v>44354.81554398148</v>
      </c>
      <c r="AV2306" t="s">
        <v>71</v>
      </c>
      <c r="AW2306" t="s">
        <v>72</v>
      </c>
      <c r="AX2306" t="s">
        <v>73</v>
      </c>
    </row>
    <row r="2307" spans="1:50" x14ac:dyDescent="0.3">
      <c r="A2307" t="str">
        <f>"202004B0000"</f>
        <v>202004B0000</v>
      </c>
      <c r="B2307" t="str">
        <f>"202004B00002"</f>
        <v>202004B00002</v>
      </c>
      <c r="C2307" t="str">
        <f t="shared" si="109"/>
        <v>20</v>
      </c>
      <c r="D2307" t="s">
        <v>67</v>
      </c>
      <c r="E2307" t="str">
        <f t="shared" si="110"/>
        <v>010</v>
      </c>
      <c r="F2307" t="s">
        <v>2245</v>
      </c>
      <c r="G2307" t="str">
        <f>"2004"</f>
        <v>2004</v>
      </c>
      <c r="H2307" t="str">
        <f>"0000"</f>
        <v>0000</v>
      </c>
      <c r="I2307" t="s">
        <v>69</v>
      </c>
      <c r="J2307">
        <v>0</v>
      </c>
      <c r="K2307">
        <v>1</v>
      </c>
      <c r="L2307">
        <v>2</v>
      </c>
      <c r="M2307">
        <v>396</v>
      </c>
      <c r="N2307" t="s">
        <v>80</v>
      </c>
      <c r="O2307">
        <v>2</v>
      </c>
      <c r="P2307">
        <v>163</v>
      </c>
      <c r="Q2307">
        <v>4</v>
      </c>
      <c r="R2307">
        <v>49</v>
      </c>
      <c r="S2307">
        <v>5</v>
      </c>
      <c r="T2307">
        <v>0</v>
      </c>
      <c r="U2307">
        <v>36</v>
      </c>
      <c r="V2307">
        <v>1</v>
      </c>
      <c r="W2307">
        <v>2</v>
      </c>
      <c r="X2307">
        <v>51</v>
      </c>
      <c r="Y2307">
        <v>1</v>
      </c>
      <c r="Z2307">
        <v>3</v>
      </c>
      <c r="AA2307">
        <v>1</v>
      </c>
      <c r="AB2307">
        <v>0</v>
      </c>
      <c r="AD2307">
        <v>60</v>
      </c>
      <c r="AE2307">
        <v>53</v>
      </c>
      <c r="AF2307">
        <v>9</v>
      </c>
      <c r="AG2307">
        <v>54</v>
      </c>
      <c r="AH2307">
        <v>36</v>
      </c>
      <c r="AI2307">
        <v>0</v>
      </c>
      <c r="AJ2307">
        <v>6</v>
      </c>
      <c r="AK2307">
        <v>371</v>
      </c>
      <c r="AL2307">
        <v>371</v>
      </c>
      <c r="AM2307">
        <v>515</v>
      </c>
      <c r="AN2307">
        <v>44</v>
      </c>
      <c r="AP2307">
        <v>1</v>
      </c>
      <c r="AR2307" t="s">
        <v>2399</v>
      </c>
      <c r="AS2307" s="1">
        <v>44354.301388888889</v>
      </c>
      <c r="AT2307" s="1">
        <v>44354.303888888891</v>
      </c>
      <c r="AU2307" s="1">
        <v>44354.304224537038</v>
      </c>
      <c r="AV2307" t="s">
        <v>71</v>
      </c>
      <c r="AW2307" t="s">
        <v>72</v>
      </c>
      <c r="AX2307" t="s">
        <v>73</v>
      </c>
    </row>
    <row r="2308" spans="1:50" x14ac:dyDescent="0.3">
      <c r="A2308" t="str">
        <f>"202004C0100"</f>
        <v>202004C0100</v>
      </c>
      <c r="B2308" t="str">
        <f>"202004C01002"</f>
        <v>202004C01002</v>
      </c>
      <c r="C2308" t="str">
        <f t="shared" si="109"/>
        <v>20</v>
      </c>
      <c r="D2308" t="s">
        <v>67</v>
      </c>
      <c r="E2308" t="str">
        <f t="shared" si="110"/>
        <v>010</v>
      </c>
      <c r="F2308" t="s">
        <v>2245</v>
      </c>
      <c r="G2308" t="str">
        <f>"2004"</f>
        <v>2004</v>
      </c>
      <c r="H2308" t="str">
        <f>"0001"</f>
        <v>0001</v>
      </c>
      <c r="I2308" t="s">
        <v>75</v>
      </c>
      <c r="J2308">
        <v>0</v>
      </c>
      <c r="K2308">
        <v>1</v>
      </c>
      <c r="L2308">
        <v>2</v>
      </c>
      <c r="M2308">
        <v>416</v>
      </c>
      <c r="N2308" t="s">
        <v>80</v>
      </c>
      <c r="O2308" t="s">
        <v>80</v>
      </c>
      <c r="P2308">
        <v>143</v>
      </c>
      <c r="Q2308">
        <v>2</v>
      </c>
      <c r="R2308">
        <v>53</v>
      </c>
      <c r="S2308">
        <v>2</v>
      </c>
      <c r="T2308">
        <v>2</v>
      </c>
      <c r="U2308">
        <v>37</v>
      </c>
      <c r="V2308">
        <v>1</v>
      </c>
      <c r="W2308">
        <v>0</v>
      </c>
      <c r="X2308">
        <v>35</v>
      </c>
      <c r="Y2308">
        <v>1</v>
      </c>
      <c r="Z2308">
        <v>3</v>
      </c>
      <c r="AA2308">
        <v>3</v>
      </c>
      <c r="AB2308">
        <v>1</v>
      </c>
      <c r="AD2308">
        <v>57</v>
      </c>
      <c r="AE2308">
        <v>55</v>
      </c>
      <c r="AF2308">
        <v>4</v>
      </c>
      <c r="AG2308">
        <v>55</v>
      </c>
      <c r="AH2308">
        <v>39</v>
      </c>
      <c r="AI2308">
        <v>0</v>
      </c>
      <c r="AJ2308">
        <v>3</v>
      </c>
      <c r="AK2308">
        <v>143</v>
      </c>
      <c r="AL2308">
        <v>353</v>
      </c>
      <c r="AM2308">
        <v>515</v>
      </c>
      <c r="AN2308">
        <v>44</v>
      </c>
      <c r="AP2308">
        <v>1</v>
      </c>
      <c r="AR2308" s="2" t="s">
        <v>2400</v>
      </c>
      <c r="AS2308" s="1">
        <v>44354.303472222222</v>
      </c>
      <c r="AT2308" s="1">
        <v>44354.306863425925</v>
      </c>
      <c r="AU2308" s="1">
        <v>44354.307615740741</v>
      </c>
      <c r="AV2308" t="s">
        <v>71</v>
      </c>
      <c r="AW2308" t="s">
        <v>72</v>
      </c>
      <c r="AX2308" t="s">
        <v>73</v>
      </c>
    </row>
    <row r="2309" spans="1:50" x14ac:dyDescent="0.3">
      <c r="A2309" t="str">
        <f>"202151B0000"</f>
        <v>202151B0000</v>
      </c>
      <c r="B2309" t="str">
        <f>"202151B00002"</f>
        <v>202151B00002</v>
      </c>
      <c r="C2309" t="str">
        <f t="shared" si="109"/>
        <v>20</v>
      </c>
      <c r="D2309" t="s">
        <v>67</v>
      </c>
      <c r="E2309" t="str">
        <f t="shared" si="110"/>
        <v>010</v>
      </c>
      <c r="F2309" t="s">
        <v>2245</v>
      </c>
      <c r="G2309" t="str">
        <f>"2151"</f>
        <v>2151</v>
      </c>
      <c r="H2309" t="str">
        <f>"0000"</f>
        <v>0000</v>
      </c>
      <c r="I2309" t="s">
        <v>69</v>
      </c>
      <c r="J2309">
        <v>0</v>
      </c>
      <c r="K2309">
        <v>1</v>
      </c>
      <c r="L2309">
        <v>2</v>
      </c>
      <c r="AM2309">
        <v>670</v>
      </c>
      <c r="AN2309">
        <v>44</v>
      </c>
      <c r="AO2309" t="s">
        <v>143</v>
      </c>
      <c r="AP2309">
        <v>0</v>
      </c>
      <c r="AR2309" t="s">
        <v>2401</v>
      </c>
      <c r="AS2309" s="1">
        <v>44354.793055555558</v>
      </c>
      <c r="AT2309" s="1">
        <v>44354.815740740742</v>
      </c>
      <c r="AU2309" s="1">
        <v>44354.815740740742</v>
      </c>
      <c r="AV2309" t="s">
        <v>71</v>
      </c>
      <c r="AW2309" t="s">
        <v>72</v>
      </c>
      <c r="AX2309" t="s">
        <v>73</v>
      </c>
    </row>
    <row r="2310" spans="1:50" x14ac:dyDescent="0.3">
      <c r="A2310" t="str">
        <f>"202152B0000"</f>
        <v>202152B0000</v>
      </c>
      <c r="B2310" t="str">
        <f>"202152B00002"</f>
        <v>202152B00002</v>
      </c>
      <c r="C2310" t="str">
        <f t="shared" si="109"/>
        <v>20</v>
      </c>
      <c r="D2310" t="s">
        <v>67</v>
      </c>
      <c r="E2310" t="str">
        <f t="shared" si="110"/>
        <v>010</v>
      </c>
      <c r="F2310" t="s">
        <v>2245</v>
      </c>
      <c r="G2310" t="str">
        <f>"2152"</f>
        <v>2152</v>
      </c>
      <c r="H2310" t="str">
        <f>"0000"</f>
        <v>0000</v>
      </c>
      <c r="I2310" t="s">
        <v>69</v>
      </c>
      <c r="J2310">
        <v>0</v>
      </c>
      <c r="K2310">
        <v>1</v>
      </c>
      <c r="L2310">
        <v>2</v>
      </c>
      <c r="AM2310">
        <v>222</v>
      </c>
      <c r="AN2310">
        <v>44</v>
      </c>
      <c r="AO2310" t="s">
        <v>143</v>
      </c>
      <c r="AP2310">
        <v>0</v>
      </c>
      <c r="AR2310" t="s">
        <v>2402</v>
      </c>
      <c r="AS2310" s="1">
        <v>44354.804166666669</v>
      </c>
      <c r="AT2310" s="1">
        <v>44354.817569444444</v>
      </c>
      <c r="AU2310" s="1">
        <v>44354.817569444444</v>
      </c>
      <c r="AV2310" t="s">
        <v>71</v>
      </c>
      <c r="AW2310" t="s">
        <v>72</v>
      </c>
      <c r="AX2310" t="s">
        <v>73</v>
      </c>
    </row>
    <row r="2311" spans="1:50" x14ac:dyDescent="0.3">
      <c r="A2311" t="str">
        <f>"202152E0100"</f>
        <v>202152E0100</v>
      </c>
      <c r="B2311" t="str">
        <f>"202152E01002"</f>
        <v>202152E01002</v>
      </c>
      <c r="C2311" t="str">
        <f t="shared" ref="C2311:C2374" si="111">"20"</f>
        <v>20</v>
      </c>
      <c r="D2311" t="s">
        <v>67</v>
      </c>
      <c r="E2311" t="str">
        <f t="shared" si="110"/>
        <v>010</v>
      </c>
      <c r="F2311" t="s">
        <v>2245</v>
      </c>
      <c r="G2311" t="str">
        <f>"2152"</f>
        <v>2152</v>
      </c>
      <c r="H2311" t="str">
        <f>"0001"</f>
        <v>0001</v>
      </c>
      <c r="I2311" t="s">
        <v>109</v>
      </c>
      <c r="J2311">
        <v>0</v>
      </c>
      <c r="K2311">
        <v>1</v>
      </c>
      <c r="L2311">
        <v>2</v>
      </c>
      <c r="AM2311">
        <v>303</v>
      </c>
      <c r="AN2311">
        <v>44</v>
      </c>
      <c r="AO2311" t="s">
        <v>143</v>
      </c>
      <c r="AP2311">
        <v>0</v>
      </c>
      <c r="AR2311" t="s">
        <v>2403</v>
      </c>
      <c r="AS2311" s="1">
        <v>44354.803472222222</v>
      </c>
      <c r="AT2311" s="1">
        <v>44354.817442129628</v>
      </c>
      <c r="AU2311" s="1">
        <v>44354.817442129628</v>
      </c>
      <c r="AV2311" t="s">
        <v>71</v>
      </c>
      <c r="AW2311" t="s">
        <v>72</v>
      </c>
      <c r="AX2311" t="s">
        <v>73</v>
      </c>
    </row>
    <row r="2312" spans="1:50" x14ac:dyDescent="0.3">
      <c r="A2312" t="str">
        <f>"202153B0000"</f>
        <v>202153B0000</v>
      </c>
      <c r="B2312" t="str">
        <f>"202153B00002"</f>
        <v>202153B00002</v>
      </c>
      <c r="C2312" t="str">
        <f t="shared" si="111"/>
        <v>20</v>
      </c>
      <c r="D2312" t="s">
        <v>67</v>
      </c>
      <c r="E2312" t="str">
        <f t="shared" si="110"/>
        <v>010</v>
      </c>
      <c r="F2312" t="s">
        <v>2245</v>
      </c>
      <c r="G2312" t="str">
        <f>"2153"</f>
        <v>2153</v>
      </c>
      <c r="H2312" t="str">
        <f>"0000"</f>
        <v>0000</v>
      </c>
      <c r="I2312" t="s">
        <v>69</v>
      </c>
      <c r="J2312">
        <v>0</v>
      </c>
      <c r="K2312">
        <v>1</v>
      </c>
      <c r="L2312">
        <v>2</v>
      </c>
      <c r="AM2312">
        <v>536</v>
      </c>
      <c r="AN2312">
        <v>44</v>
      </c>
      <c r="AO2312" t="s">
        <v>143</v>
      </c>
      <c r="AP2312">
        <v>0</v>
      </c>
      <c r="AR2312" t="s">
        <v>2404</v>
      </c>
      <c r="AS2312" s="1">
        <v>44354.802777777775</v>
      </c>
      <c r="AT2312" s="1">
        <v>44354.817418981482</v>
      </c>
      <c r="AU2312" s="1">
        <v>44354.817418981482</v>
      </c>
      <c r="AV2312" t="s">
        <v>71</v>
      </c>
      <c r="AW2312" t="s">
        <v>72</v>
      </c>
      <c r="AX2312" t="s">
        <v>73</v>
      </c>
    </row>
    <row r="2313" spans="1:50" x14ac:dyDescent="0.3">
      <c r="A2313" t="str">
        <f>"202153C0100"</f>
        <v>202153C0100</v>
      </c>
      <c r="B2313" t="str">
        <f>"202153C01002"</f>
        <v>202153C01002</v>
      </c>
      <c r="C2313" t="str">
        <f t="shared" si="111"/>
        <v>20</v>
      </c>
      <c r="D2313" t="s">
        <v>67</v>
      </c>
      <c r="E2313" t="str">
        <f t="shared" si="110"/>
        <v>010</v>
      </c>
      <c r="F2313" t="s">
        <v>2245</v>
      </c>
      <c r="G2313" t="str">
        <f>"2153"</f>
        <v>2153</v>
      </c>
      <c r="H2313" t="str">
        <f>"0001"</f>
        <v>0001</v>
      </c>
      <c r="I2313" t="s">
        <v>75</v>
      </c>
      <c r="J2313">
        <v>0</v>
      </c>
      <c r="K2313">
        <v>1</v>
      </c>
      <c r="L2313">
        <v>2</v>
      </c>
      <c r="AM2313">
        <v>535</v>
      </c>
      <c r="AN2313">
        <v>44</v>
      </c>
      <c r="AO2313" t="s">
        <v>143</v>
      </c>
      <c r="AP2313">
        <v>0</v>
      </c>
      <c r="AR2313" t="s">
        <v>2405</v>
      </c>
      <c r="AS2313" s="1">
        <v>44354.795138888891</v>
      </c>
      <c r="AT2313" s="1">
        <v>44354.817303240743</v>
      </c>
      <c r="AU2313" s="1">
        <v>44354.817303240743</v>
      </c>
      <c r="AV2313" t="s">
        <v>71</v>
      </c>
      <c r="AW2313" t="s">
        <v>72</v>
      </c>
      <c r="AX2313" t="s">
        <v>73</v>
      </c>
    </row>
    <row r="2314" spans="1:50" x14ac:dyDescent="0.3">
      <c r="A2314" t="str">
        <f>"202153E0100"</f>
        <v>202153E0100</v>
      </c>
      <c r="B2314" t="str">
        <f>"202153E01002"</f>
        <v>202153E01002</v>
      </c>
      <c r="C2314" t="str">
        <f t="shared" si="111"/>
        <v>20</v>
      </c>
      <c r="D2314" t="s">
        <v>67</v>
      </c>
      <c r="E2314" t="str">
        <f t="shared" si="110"/>
        <v>010</v>
      </c>
      <c r="F2314" t="s">
        <v>2245</v>
      </c>
      <c r="G2314" t="str">
        <f>"2153"</f>
        <v>2153</v>
      </c>
      <c r="H2314" t="str">
        <f>"0001"</f>
        <v>0001</v>
      </c>
      <c r="I2314" t="s">
        <v>109</v>
      </c>
      <c r="J2314">
        <v>0</v>
      </c>
      <c r="K2314">
        <v>1</v>
      </c>
      <c r="L2314">
        <v>2</v>
      </c>
      <c r="AM2314">
        <v>438</v>
      </c>
      <c r="AN2314">
        <v>44</v>
      </c>
      <c r="AO2314" t="s">
        <v>143</v>
      </c>
      <c r="AP2314">
        <v>0</v>
      </c>
      <c r="AR2314" t="s">
        <v>2406</v>
      </c>
      <c r="AS2314" s="1">
        <v>44354.8</v>
      </c>
      <c r="AT2314" s="1">
        <v>44354.825509259259</v>
      </c>
      <c r="AU2314" s="1">
        <v>44354.825509259259</v>
      </c>
      <c r="AV2314" t="s">
        <v>71</v>
      </c>
      <c r="AW2314" t="s">
        <v>72</v>
      </c>
      <c r="AX2314" t="s">
        <v>73</v>
      </c>
    </row>
    <row r="2315" spans="1:50" x14ac:dyDescent="0.3">
      <c r="A2315" t="str">
        <f>"202153E0101"</f>
        <v>202153E0101</v>
      </c>
      <c r="B2315" t="str">
        <f>"202153E01012"</f>
        <v>202153E01012</v>
      </c>
      <c r="C2315" t="str">
        <f t="shared" si="111"/>
        <v>20</v>
      </c>
      <c r="D2315" t="s">
        <v>67</v>
      </c>
      <c r="E2315" t="str">
        <f t="shared" si="110"/>
        <v>010</v>
      </c>
      <c r="F2315" t="s">
        <v>2245</v>
      </c>
      <c r="G2315" t="str">
        <f>"2153"</f>
        <v>2153</v>
      </c>
      <c r="H2315" t="str">
        <f>"0001"</f>
        <v>0001</v>
      </c>
      <c r="I2315" t="s">
        <v>109</v>
      </c>
      <c r="J2315">
        <v>1</v>
      </c>
      <c r="K2315">
        <v>1</v>
      </c>
      <c r="L2315">
        <v>2</v>
      </c>
      <c r="AM2315">
        <v>437</v>
      </c>
      <c r="AN2315">
        <v>44</v>
      </c>
      <c r="AO2315" t="s">
        <v>143</v>
      </c>
      <c r="AP2315">
        <v>0</v>
      </c>
      <c r="AR2315" t="s">
        <v>2407</v>
      </c>
      <c r="AS2315" s="1">
        <v>44354.804166666669</v>
      </c>
      <c r="AT2315" s="1">
        <v>44354.827673611115</v>
      </c>
      <c r="AU2315" s="1">
        <v>44354.827673611115</v>
      </c>
      <c r="AV2315" t="s">
        <v>71</v>
      </c>
      <c r="AW2315" t="s">
        <v>72</v>
      </c>
      <c r="AX2315" t="s">
        <v>73</v>
      </c>
    </row>
    <row r="2316" spans="1:50" x14ac:dyDescent="0.3">
      <c r="A2316" t="str">
        <f>"202154B0000"</f>
        <v>202154B0000</v>
      </c>
      <c r="B2316" t="str">
        <f>"202154B00002"</f>
        <v>202154B00002</v>
      </c>
      <c r="C2316" t="str">
        <f t="shared" si="111"/>
        <v>20</v>
      </c>
      <c r="D2316" t="s">
        <v>67</v>
      </c>
      <c r="E2316" t="str">
        <f t="shared" si="110"/>
        <v>010</v>
      </c>
      <c r="F2316" t="s">
        <v>2245</v>
      </c>
      <c r="G2316" t="str">
        <f>"2154"</f>
        <v>2154</v>
      </c>
      <c r="H2316" t="str">
        <f>"0000"</f>
        <v>0000</v>
      </c>
      <c r="I2316" t="s">
        <v>69</v>
      </c>
      <c r="J2316">
        <v>0</v>
      </c>
      <c r="K2316">
        <v>1</v>
      </c>
      <c r="L2316">
        <v>2</v>
      </c>
      <c r="AM2316">
        <v>421</v>
      </c>
      <c r="AN2316">
        <v>44</v>
      </c>
      <c r="AO2316" t="s">
        <v>143</v>
      </c>
      <c r="AP2316">
        <v>0</v>
      </c>
      <c r="AR2316" t="s">
        <v>2408</v>
      </c>
      <c r="AS2316" s="1">
        <v>44354.796527777777</v>
      </c>
      <c r="AT2316" s="1">
        <v>44354.822106481479</v>
      </c>
      <c r="AU2316" s="1">
        <v>44354.822106481479</v>
      </c>
      <c r="AV2316" t="s">
        <v>71</v>
      </c>
      <c r="AW2316" t="s">
        <v>72</v>
      </c>
      <c r="AX2316" t="s">
        <v>73</v>
      </c>
    </row>
    <row r="2317" spans="1:50" x14ac:dyDescent="0.3">
      <c r="A2317" t="str">
        <f>"202154C0100"</f>
        <v>202154C0100</v>
      </c>
      <c r="B2317" t="str">
        <f>"202154C01002"</f>
        <v>202154C01002</v>
      </c>
      <c r="C2317" t="str">
        <f t="shared" si="111"/>
        <v>20</v>
      </c>
      <c r="D2317" t="s">
        <v>67</v>
      </c>
      <c r="E2317" t="str">
        <f t="shared" si="110"/>
        <v>010</v>
      </c>
      <c r="F2317" t="s">
        <v>2245</v>
      </c>
      <c r="G2317" t="str">
        <f>"2154"</f>
        <v>2154</v>
      </c>
      <c r="H2317" t="str">
        <f>"0001"</f>
        <v>0001</v>
      </c>
      <c r="I2317" t="s">
        <v>75</v>
      </c>
      <c r="J2317">
        <v>0</v>
      </c>
      <c r="K2317">
        <v>1</v>
      </c>
      <c r="L2317">
        <v>2</v>
      </c>
      <c r="AM2317">
        <v>420</v>
      </c>
      <c r="AN2317">
        <v>44</v>
      </c>
      <c r="AO2317" t="s">
        <v>143</v>
      </c>
      <c r="AP2317">
        <v>0</v>
      </c>
      <c r="AR2317" t="s">
        <v>2409</v>
      </c>
      <c r="AS2317" s="1">
        <v>44354.797222222223</v>
      </c>
      <c r="AT2317" s="1">
        <v>44354.822175925925</v>
      </c>
      <c r="AU2317" s="1">
        <v>44354.822175925925</v>
      </c>
      <c r="AV2317" t="s">
        <v>71</v>
      </c>
      <c r="AW2317" t="s">
        <v>72</v>
      </c>
      <c r="AX2317" t="s">
        <v>73</v>
      </c>
    </row>
    <row r="2318" spans="1:50" x14ac:dyDescent="0.3">
      <c r="A2318" t="str">
        <f>"202154E0100"</f>
        <v>202154E0100</v>
      </c>
      <c r="B2318" t="str">
        <f>"202154E01002"</f>
        <v>202154E01002</v>
      </c>
      <c r="C2318" t="str">
        <f t="shared" si="111"/>
        <v>20</v>
      </c>
      <c r="D2318" t="s">
        <v>67</v>
      </c>
      <c r="E2318" t="str">
        <f t="shared" si="110"/>
        <v>010</v>
      </c>
      <c r="F2318" t="s">
        <v>2245</v>
      </c>
      <c r="G2318" t="str">
        <f>"2154"</f>
        <v>2154</v>
      </c>
      <c r="H2318" t="str">
        <f>"0001"</f>
        <v>0001</v>
      </c>
      <c r="I2318" t="s">
        <v>109</v>
      </c>
      <c r="J2318">
        <v>0</v>
      </c>
      <c r="K2318">
        <v>1</v>
      </c>
      <c r="L2318">
        <v>2</v>
      </c>
      <c r="AM2318">
        <v>187</v>
      </c>
      <c r="AN2318">
        <v>44</v>
      </c>
      <c r="AO2318" t="s">
        <v>143</v>
      </c>
      <c r="AP2318">
        <v>0</v>
      </c>
      <c r="AR2318" t="s">
        <v>2410</v>
      </c>
      <c r="AS2318" s="1">
        <v>44354.804166666669</v>
      </c>
      <c r="AT2318" s="1">
        <v>44354.822025462963</v>
      </c>
      <c r="AU2318" s="1">
        <v>44354.822025462963</v>
      </c>
      <c r="AV2318" t="s">
        <v>71</v>
      </c>
      <c r="AW2318" t="s">
        <v>72</v>
      </c>
      <c r="AX2318" t="s">
        <v>73</v>
      </c>
    </row>
    <row r="2319" spans="1:50" x14ac:dyDescent="0.3">
      <c r="A2319" t="str">
        <f>"202155B0000"</f>
        <v>202155B0000</v>
      </c>
      <c r="B2319" t="str">
        <f>"202155B00002"</f>
        <v>202155B00002</v>
      </c>
      <c r="C2319" t="str">
        <f t="shared" si="111"/>
        <v>20</v>
      </c>
      <c r="D2319" t="s">
        <v>67</v>
      </c>
      <c r="E2319" t="str">
        <f t="shared" si="110"/>
        <v>010</v>
      </c>
      <c r="F2319" t="s">
        <v>2245</v>
      </c>
      <c r="G2319" t="str">
        <f>"2155"</f>
        <v>2155</v>
      </c>
      <c r="H2319" t="str">
        <f>"0000"</f>
        <v>0000</v>
      </c>
      <c r="I2319" t="s">
        <v>69</v>
      </c>
      <c r="J2319">
        <v>0</v>
      </c>
      <c r="K2319">
        <v>1</v>
      </c>
      <c r="L2319">
        <v>2</v>
      </c>
      <c r="AM2319">
        <v>430</v>
      </c>
      <c r="AN2319">
        <v>44</v>
      </c>
      <c r="AO2319" t="s">
        <v>2056</v>
      </c>
      <c r="AP2319">
        <v>0</v>
      </c>
      <c r="AR2319" t="s">
        <v>2411</v>
      </c>
      <c r="AS2319" s="1">
        <v>44354.431250000001</v>
      </c>
      <c r="AT2319" s="1">
        <v>44354.454918981479</v>
      </c>
      <c r="AU2319" s="1">
        <v>44354.454918981479</v>
      </c>
      <c r="AV2319" t="s">
        <v>71</v>
      </c>
      <c r="AW2319" t="s">
        <v>72</v>
      </c>
      <c r="AX2319" t="s">
        <v>73</v>
      </c>
    </row>
    <row r="2320" spans="1:50" x14ac:dyDescent="0.3">
      <c r="A2320" t="str">
        <f>"202155C0100"</f>
        <v>202155C0100</v>
      </c>
      <c r="B2320" t="str">
        <f>"202155C01002"</f>
        <v>202155C01002</v>
      </c>
      <c r="C2320" t="str">
        <f t="shared" si="111"/>
        <v>20</v>
      </c>
      <c r="D2320" t="s">
        <v>67</v>
      </c>
      <c r="E2320" t="str">
        <f t="shared" si="110"/>
        <v>010</v>
      </c>
      <c r="F2320" t="s">
        <v>2245</v>
      </c>
      <c r="G2320" t="str">
        <f>"2155"</f>
        <v>2155</v>
      </c>
      <c r="H2320" t="str">
        <f>"0001"</f>
        <v>0001</v>
      </c>
      <c r="I2320" t="s">
        <v>75</v>
      </c>
      <c r="J2320">
        <v>0</v>
      </c>
      <c r="K2320">
        <v>1</v>
      </c>
      <c r="L2320">
        <v>2</v>
      </c>
      <c r="AM2320">
        <v>430</v>
      </c>
      <c r="AN2320">
        <v>44</v>
      </c>
      <c r="AO2320" t="s">
        <v>2056</v>
      </c>
      <c r="AP2320">
        <v>0</v>
      </c>
      <c r="AR2320" t="s">
        <v>2412</v>
      </c>
      <c r="AS2320" s="1">
        <v>44354.439583333333</v>
      </c>
      <c r="AT2320" s="1">
        <v>44354.455300925925</v>
      </c>
      <c r="AU2320" s="1">
        <v>44354.455300925925</v>
      </c>
      <c r="AV2320" t="s">
        <v>71</v>
      </c>
      <c r="AW2320" t="s">
        <v>72</v>
      </c>
      <c r="AX2320" t="s">
        <v>73</v>
      </c>
    </row>
    <row r="2321" spans="1:50" x14ac:dyDescent="0.3">
      <c r="A2321" t="str">
        <f>"202167B0000"</f>
        <v>202167B0000</v>
      </c>
      <c r="B2321" t="str">
        <f>"202167B00002"</f>
        <v>202167B00002</v>
      </c>
      <c r="C2321" t="str">
        <f t="shared" si="111"/>
        <v>20</v>
      </c>
      <c r="D2321" t="s">
        <v>67</v>
      </c>
      <c r="E2321" t="str">
        <f t="shared" si="110"/>
        <v>010</v>
      </c>
      <c r="F2321" t="s">
        <v>2245</v>
      </c>
      <c r="G2321" t="str">
        <f>"2167"</f>
        <v>2167</v>
      </c>
      <c r="H2321" t="str">
        <f>"0000"</f>
        <v>0000</v>
      </c>
      <c r="I2321" t="s">
        <v>69</v>
      </c>
      <c r="J2321">
        <v>0</v>
      </c>
      <c r="K2321">
        <v>1</v>
      </c>
      <c r="L2321">
        <v>2</v>
      </c>
      <c r="M2321">
        <v>325</v>
      </c>
      <c r="N2321">
        <v>111</v>
      </c>
      <c r="O2321" t="s">
        <v>80</v>
      </c>
      <c r="P2321">
        <v>111</v>
      </c>
      <c r="Q2321">
        <v>3</v>
      </c>
      <c r="R2321">
        <v>16</v>
      </c>
      <c r="S2321">
        <v>4</v>
      </c>
      <c r="T2321">
        <v>1</v>
      </c>
      <c r="U2321">
        <v>12</v>
      </c>
      <c r="V2321">
        <v>2</v>
      </c>
      <c r="W2321">
        <v>1</v>
      </c>
      <c r="X2321">
        <v>16</v>
      </c>
      <c r="Y2321" t="s">
        <v>77</v>
      </c>
      <c r="Z2321">
        <v>1</v>
      </c>
      <c r="AA2321">
        <v>51</v>
      </c>
      <c r="AB2321" t="s">
        <v>77</v>
      </c>
      <c r="AD2321" t="s">
        <v>77</v>
      </c>
      <c r="AE2321" t="s">
        <v>77</v>
      </c>
      <c r="AF2321" t="s">
        <v>77</v>
      </c>
      <c r="AG2321" t="s">
        <v>77</v>
      </c>
      <c r="AH2321" t="s">
        <v>77</v>
      </c>
      <c r="AI2321" t="s">
        <v>77</v>
      </c>
      <c r="AJ2321">
        <v>4</v>
      </c>
      <c r="AK2321">
        <v>111</v>
      </c>
      <c r="AL2321">
        <v>111</v>
      </c>
      <c r="AM2321">
        <v>392</v>
      </c>
      <c r="AN2321">
        <v>44</v>
      </c>
      <c r="AO2321" t="s">
        <v>78</v>
      </c>
      <c r="AP2321">
        <v>1</v>
      </c>
      <c r="AR2321" t="s">
        <v>2413</v>
      </c>
      <c r="AS2321" s="1">
        <v>44354.053472222222</v>
      </c>
      <c r="AT2321" s="1">
        <v>44354.058865740742</v>
      </c>
      <c r="AU2321" s="1">
        <v>44354.059467592589</v>
      </c>
      <c r="AV2321" t="s">
        <v>71</v>
      </c>
      <c r="AW2321" t="s">
        <v>72</v>
      </c>
      <c r="AX2321" t="s">
        <v>73</v>
      </c>
    </row>
    <row r="2322" spans="1:50" x14ac:dyDescent="0.3">
      <c r="A2322" t="str">
        <f>"202167C0100"</f>
        <v>202167C0100</v>
      </c>
      <c r="B2322" t="str">
        <f>"202167C01002"</f>
        <v>202167C01002</v>
      </c>
      <c r="C2322" t="str">
        <f t="shared" si="111"/>
        <v>20</v>
      </c>
      <c r="D2322" t="s">
        <v>67</v>
      </c>
      <c r="E2322" t="str">
        <f t="shared" si="110"/>
        <v>010</v>
      </c>
      <c r="F2322" t="s">
        <v>2245</v>
      </c>
      <c r="G2322" t="str">
        <f>"2167"</f>
        <v>2167</v>
      </c>
      <c r="H2322" t="str">
        <f>"0001"</f>
        <v>0001</v>
      </c>
      <c r="I2322" t="s">
        <v>75</v>
      </c>
      <c r="J2322">
        <v>0</v>
      </c>
      <c r="K2322">
        <v>1</v>
      </c>
      <c r="L2322">
        <v>2</v>
      </c>
      <c r="M2322">
        <v>323</v>
      </c>
      <c r="N2322">
        <v>112</v>
      </c>
      <c r="O2322">
        <v>0</v>
      </c>
      <c r="P2322">
        <v>112</v>
      </c>
      <c r="Q2322">
        <v>2</v>
      </c>
      <c r="R2322">
        <v>16</v>
      </c>
      <c r="S2322">
        <v>0</v>
      </c>
      <c r="T2322">
        <v>5</v>
      </c>
      <c r="U2322">
        <v>8</v>
      </c>
      <c r="V2322">
        <v>1</v>
      </c>
      <c r="W2322">
        <v>2</v>
      </c>
      <c r="X2322">
        <v>24</v>
      </c>
      <c r="Y2322">
        <v>0</v>
      </c>
      <c r="Z2322">
        <v>3</v>
      </c>
      <c r="AA2322">
        <v>42</v>
      </c>
      <c r="AB2322">
        <v>1</v>
      </c>
      <c r="AD2322" t="s">
        <v>77</v>
      </c>
      <c r="AE2322" t="s">
        <v>77</v>
      </c>
      <c r="AF2322" t="s">
        <v>77</v>
      </c>
      <c r="AG2322" t="s">
        <v>77</v>
      </c>
      <c r="AH2322" t="s">
        <v>77</v>
      </c>
      <c r="AI2322" t="s">
        <v>77</v>
      </c>
      <c r="AJ2322">
        <v>8</v>
      </c>
      <c r="AK2322">
        <v>112</v>
      </c>
      <c r="AL2322">
        <v>112</v>
      </c>
      <c r="AM2322">
        <v>391</v>
      </c>
      <c r="AN2322">
        <v>44</v>
      </c>
      <c r="AO2322" t="s">
        <v>78</v>
      </c>
      <c r="AP2322">
        <v>1</v>
      </c>
      <c r="AR2322" t="s">
        <v>2414</v>
      </c>
      <c r="AS2322" s="1">
        <v>44354.054861111108</v>
      </c>
      <c r="AT2322" s="1">
        <v>44354.060358796298</v>
      </c>
      <c r="AU2322" s="1">
        <v>44354.060833333337</v>
      </c>
      <c r="AV2322" t="s">
        <v>71</v>
      </c>
      <c r="AW2322" t="s">
        <v>72</v>
      </c>
      <c r="AX2322" t="s">
        <v>73</v>
      </c>
    </row>
    <row r="2323" spans="1:50" x14ac:dyDescent="0.3">
      <c r="A2323" t="str">
        <f>"202168B0000"</f>
        <v>202168B0000</v>
      </c>
      <c r="B2323" t="str">
        <f>"202168B00002"</f>
        <v>202168B00002</v>
      </c>
      <c r="C2323" t="str">
        <f t="shared" si="111"/>
        <v>20</v>
      </c>
      <c r="D2323" t="s">
        <v>67</v>
      </c>
      <c r="E2323" t="str">
        <f t="shared" si="110"/>
        <v>010</v>
      </c>
      <c r="F2323" t="s">
        <v>2245</v>
      </c>
      <c r="G2323" t="str">
        <f>"2168"</f>
        <v>2168</v>
      </c>
      <c r="H2323" t="str">
        <f>"0000"</f>
        <v>0000</v>
      </c>
      <c r="I2323" t="s">
        <v>69</v>
      </c>
      <c r="J2323">
        <v>0</v>
      </c>
      <c r="K2323">
        <v>1</v>
      </c>
      <c r="L2323">
        <v>2</v>
      </c>
      <c r="M2323">
        <v>385</v>
      </c>
      <c r="N2323">
        <v>103</v>
      </c>
      <c r="O2323">
        <v>0</v>
      </c>
      <c r="P2323">
        <v>103</v>
      </c>
      <c r="Q2323">
        <v>3</v>
      </c>
      <c r="R2323">
        <v>14</v>
      </c>
      <c r="S2323">
        <v>0</v>
      </c>
      <c r="T2323">
        <v>4</v>
      </c>
      <c r="U2323">
        <v>23</v>
      </c>
      <c r="V2323">
        <v>1</v>
      </c>
      <c r="W2323">
        <v>1</v>
      </c>
      <c r="X2323">
        <v>22</v>
      </c>
      <c r="Y2323">
        <v>0</v>
      </c>
      <c r="Z2323">
        <v>3</v>
      </c>
      <c r="AA2323">
        <v>29</v>
      </c>
      <c r="AB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3</v>
      </c>
      <c r="AK2323">
        <v>103</v>
      </c>
      <c r="AL2323">
        <v>103</v>
      </c>
      <c r="AM2323">
        <v>444</v>
      </c>
      <c r="AN2323">
        <v>44</v>
      </c>
      <c r="AP2323">
        <v>1</v>
      </c>
      <c r="AR2323" t="s">
        <v>2415</v>
      </c>
      <c r="AS2323" s="1">
        <v>44354.055555555555</v>
      </c>
      <c r="AT2323" s="1">
        <v>44354.060856481483</v>
      </c>
      <c r="AU2323" s="1">
        <v>44354.061655092592</v>
      </c>
      <c r="AV2323" t="s">
        <v>71</v>
      </c>
      <c r="AW2323" t="s">
        <v>72</v>
      </c>
      <c r="AX2323" t="s">
        <v>73</v>
      </c>
    </row>
    <row r="2324" spans="1:50" x14ac:dyDescent="0.3">
      <c r="A2324" t="str">
        <f>"202168C0100"</f>
        <v>202168C0100</v>
      </c>
      <c r="B2324" t="str">
        <f>"202168C01002"</f>
        <v>202168C01002</v>
      </c>
      <c r="C2324" t="str">
        <f t="shared" si="111"/>
        <v>20</v>
      </c>
      <c r="D2324" t="s">
        <v>67</v>
      </c>
      <c r="E2324" t="str">
        <f t="shared" si="110"/>
        <v>010</v>
      </c>
      <c r="F2324" t="s">
        <v>2245</v>
      </c>
      <c r="G2324" t="str">
        <f>"2168"</f>
        <v>2168</v>
      </c>
      <c r="H2324" t="str">
        <f>"0001"</f>
        <v>0001</v>
      </c>
      <c r="I2324" t="s">
        <v>75</v>
      </c>
      <c r="J2324">
        <v>0</v>
      </c>
      <c r="K2324">
        <v>1</v>
      </c>
      <c r="L2324">
        <v>2</v>
      </c>
      <c r="M2324">
        <v>376</v>
      </c>
      <c r="N2324">
        <v>112</v>
      </c>
      <c r="O2324">
        <v>0</v>
      </c>
      <c r="P2324">
        <v>112</v>
      </c>
      <c r="Q2324">
        <v>0</v>
      </c>
      <c r="R2324">
        <v>26</v>
      </c>
      <c r="S2324">
        <v>0</v>
      </c>
      <c r="T2324">
        <v>1</v>
      </c>
      <c r="U2324">
        <v>25</v>
      </c>
      <c r="V2324">
        <v>0</v>
      </c>
      <c r="W2324">
        <v>0</v>
      </c>
      <c r="X2324">
        <v>26</v>
      </c>
      <c r="Y2324">
        <v>0</v>
      </c>
      <c r="Z2324">
        <v>1</v>
      </c>
      <c r="AA2324">
        <v>27</v>
      </c>
      <c r="AB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6</v>
      </c>
      <c r="AK2324">
        <v>112</v>
      </c>
      <c r="AL2324">
        <v>112</v>
      </c>
      <c r="AM2324">
        <v>444</v>
      </c>
      <c r="AN2324">
        <v>44</v>
      </c>
      <c r="AP2324">
        <v>1</v>
      </c>
      <c r="AR2324" t="s">
        <v>2416</v>
      </c>
      <c r="AS2324" s="1">
        <v>44354.056250000001</v>
      </c>
      <c r="AT2324" s="1">
        <v>44354.061412037037</v>
      </c>
      <c r="AU2324" s="1">
        <v>44354.061724537038</v>
      </c>
      <c r="AV2324" t="s">
        <v>71</v>
      </c>
      <c r="AW2324" t="s">
        <v>72</v>
      </c>
      <c r="AX2324" t="s">
        <v>73</v>
      </c>
    </row>
    <row r="2325" spans="1:50" x14ac:dyDescent="0.3">
      <c r="A2325" t="str">
        <f>"202169B0000"</f>
        <v>202169B0000</v>
      </c>
      <c r="B2325" t="str">
        <f>"202169B00002"</f>
        <v>202169B00002</v>
      </c>
      <c r="C2325" t="str">
        <f t="shared" si="111"/>
        <v>20</v>
      </c>
      <c r="D2325" t="s">
        <v>67</v>
      </c>
      <c r="E2325" t="str">
        <f t="shared" si="110"/>
        <v>010</v>
      </c>
      <c r="F2325" t="s">
        <v>2245</v>
      </c>
      <c r="G2325" t="str">
        <f>"2169"</f>
        <v>2169</v>
      </c>
      <c r="H2325" t="str">
        <f>"0000"</f>
        <v>0000</v>
      </c>
      <c r="I2325" t="s">
        <v>69</v>
      </c>
      <c r="J2325">
        <v>0</v>
      </c>
      <c r="K2325">
        <v>1</v>
      </c>
      <c r="L2325">
        <v>2</v>
      </c>
      <c r="M2325">
        <v>455</v>
      </c>
      <c r="N2325">
        <v>94</v>
      </c>
      <c r="O2325">
        <v>4</v>
      </c>
      <c r="P2325">
        <v>94</v>
      </c>
      <c r="Q2325">
        <v>4</v>
      </c>
      <c r="R2325">
        <v>27</v>
      </c>
      <c r="S2325">
        <v>3</v>
      </c>
      <c r="T2325">
        <v>20</v>
      </c>
      <c r="U2325">
        <v>18</v>
      </c>
      <c r="V2325">
        <v>0</v>
      </c>
      <c r="W2325">
        <v>0</v>
      </c>
      <c r="X2325">
        <v>6</v>
      </c>
      <c r="Y2325">
        <v>0</v>
      </c>
      <c r="Z2325">
        <v>0</v>
      </c>
      <c r="AA2325">
        <v>2</v>
      </c>
      <c r="AB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14</v>
      </c>
      <c r="AK2325">
        <v>94</v>
      </c>
      <c r="AL2325">
        <v>94</v>
      </c>
      <c r="AM2325">
        <v>505</v>
      </c>
      <c r="AN2325">
        <v>44</v>
      </c>
      <c r="AP2325">
        <v>1</v>
      </c>
      <c r="AR2325" t="s">
        <v>2417</v>
      </c>
      <c r="AS2325" s="1">
        <v>44354.068749999999</v>
      </c>
      <c r="AT2325" s="1">
        <v>44354.074733796297</v>
      </c>
      <c r="AU2325" s="1">
        <v>44354.075300925928</v>
      </c>
      <c r="AV2325" t="s">
        <v>71</v>
      </c>
      <c r="AW2325" t="s">
        <v>72</v>
      </c>
      <c r="AX2325" t="s">
        <v>73</v>
      </c>
    </row>
    <row r="2326" spans="1:50" x14ac:dyDescent="0.3">
      <c r="A2326" t="str">
        <f>"202169C0100"</f>
        <v>202169C0100</v>
      </c>
      <c r="B2326" t="str">
        <f>"202169C01002"</f>
        <v>202169C01002</v>
      </c>
      <c r="C2326" t="str">
        <f t="shared" si="111"/>
        <v>20</v>
      </c>
      <c r="D2326" t="s">
        <v>67</v>
      </c>
      <c r="E2326" t="str">
        <f t="shared" si="110"/>
        <v>010</v>
      </c>
      <c r="F2326" t="s">
        <v>2245</v>
      </c>
      <c r="G2326" t="str">
        <f>"2169"</f>
        <v>2169</v>
      </c>
      <c r="H2326" t="str">
        <f>"0001"</f>
        <v>0001</v>
      </c>
      <c r="I2326" t="s">
        <v>75</v>
      </c>
      <c r="J2326">
        <v>0</v>
      </c>
      <c r="K2326">
        <v>1</v>
      </c>
      <c r="L2326">
        <v>2</v>
      </c>
      <c r="M2326">
        <v>455</v>
      </c>
      <c r="N2326">
        <v>93</v>
      </c>
      <c r="O2326">
        <v>4</v>
      </c>
      <c r="P2326">
        <v>93</v>
      </c>
      <c r="Q2326">
        <v>5</v>
      </c>
      <c r="R2326">
        <v>17</v>
      </c>
      <c r="S2326">
        <v>1</v>
      </c>
      <c r="T2326">
        <v>15</v>
      </c>
      <c r="U2326">
        <v>30</v>
      </c>
      <c r="V2326">
        <v>1</v>
      </c>
      <c r="W2326">
        <v>1</v>
      </c>
      <c r="X2326">
        <v>5</v>
      </c>
      <c r="Y2326">
        <v>1</v>
      </c>
      <c r="Z2326">
        <v>3</v>
      </c>
      <c r="AA2326">
        <v>6</v>
      </c>
      <c r="AB2326">
        <v>0</v>
      </c>
      <c r="AD2326">
        <v>0</v>
      </c>
      <c r="AE2326">
        <v>1</v>
      </c>
      <c r="AF2326">
        <v>0</v>
      </c>
      <c r="AG2326">
        <v>0</v>
      </c>
      <c r="AH2326">
        <v>0</v>
      </c>
      <c r="AI2326">
        <v>0</v>
      </c>
      <c r="AJ2326">
        <v>7</v>
      </c>
      <c r="AK2326">
        <v>93</v>
      </c>
      <c r="AL2326">
        <v>93</v>
      </c>
      <c r="AM2326">
        <v>504</v>
      </c>
      <c r="AN2326">
        <v>44</v>
      </c>
      <c r="AP2326">
        <v>1</v>
      </c>
      <c r="AR2326" t="s">
        <v>2418</v>
      </c>
      <c r="AS2326" s="1">
        <v>44354.069444444445</v>
      </c>
      <c r="AT2326" s="1">
        <v>44354.075532407405</v>
      </c>
      <c r="AU2326" s="1">
        <v>44354.076018518521</v>
      </c>
      <c r="AV2326" t="s">
        <v>71</v>
      </c>
      <c r="AW2326" t="s">
        <v>72</v>
      </c>
      <c r="AX2326" t="s">
        <v>73</v>
      </c>
    </row>
    <row r="2327" spans="1:50" x14ac:dyDescent="0.3">
      <c r="A2327" t="str">
        <f>"202170B0000"</f>
        <v>202170B0000</v>
      </c>
      <c r="B2327" t="str">
        <f>"202170B00002"</f>
        <v>202170B00002</v>
      </c>
      <c r="C2327" t="str">
        <f t="shared" si="111"/>
        <v>20</v>
      </c>
      <c r="D2327" t="s">
        <v>67</v>
      </c>
      <c r="E2327" t="str">
        <f t="shared" si="110"/>
        <v>010</v>
      </c>
      <c r="F2327" t="s">
        <v>2245</v>
      </c>
      <c r="G2327" t="str">
        <f>"2170"</f>
        <v>2170</v>
      </c>
      <c r="H2327" t="str">
        <f>"0000"</f>
        <v>0000</v>
      </c>
      <c r="I2327" t="s">
        <v>69</v>
      </c>
      <c r="J2327">
        <v>0</v>
      </c>
      <c r="K2327">
        <v>1</v>
      </c>
      <c r="L2327">
        <v>2</v>
      </c>
      <c r="M2327">
        <v>301</v>
      </c>
      <c r="N2327">
        <v>136</v>
      </c>
      <c r="O2327">
        <v>1</v>
      </c>
      <c r="P2327">
        <v>136</v>
      </c>
      <c r="Q2327">
        <v>5</v>
      </c>
      <c r="R2327">
        <v>21</v>
      </c>
      <c r="S2327">
        <v>4</v>
      </c>
      <c r="T2327">
        <v>2</v>
      </c>
      <c r="U2327">
        <v>36</v>
      </c>
      <c r="V2327">
        <v>1</v>
      </c>
      <c r="W2327">
        <v>0</v>
      </c>
      <c r="X2327">
        <v>43</v>
      </c>
      <c r="Y2327">
        <v>0</v>
      </c>
      <c r="Z2327">
        <v>1</v>
      </c>
      <c r="AA2327">
        <v>5</v>
      </c>
      <c r="AB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18</v>
      </c>
      <c r="AK2327">
        <v>136</v>
      </c>
      <c r="AL2327">
        <v>136</v>
      </c>
      <c r="AM2327">
        <v>393</v>
      </c>
      <c r="AN2327">
        <v>44</v>
      </c>
      <c r="AP2327">
        <v>1</v>
      </c>
      <c r="AR2327" t="s">
        <v>2419</v>
      </c>
      <c r="AS2327" s="1">
        <v>44354.072916666664</v>
      </c>
      <c r="AT2327" s="1">
        <v>44354.080289351848</v>
      </c>
      <c r="AU2327" s="1">
        <v>44354.080833333333</v>
      </c>
      <c r="AV2327" t="s">
        <v>71</v>
      </c>
      <c r="AW2327" t="s">
        <v>72</v>
      </c>
      <c r="AX2327" t="s">
        <v>73</v>
      </c>
    </row>
    <row r="2328" spans="1:50" x14ac:dyDescent="0.3">
      <c r="A2328" t="str">
        <f>"202170C0100"</f>
        <v>202170C0100</v>
      </c>
      <c r="B2328" t="str">
        <f>"202170C01002"</f>
        <v>202170C01002</v>
      </c>
      <c r="C2328" t="str">
        <f t="shared" si="111"/>
        <v>20</v>
      </c>
      <c r="D2328" t="s">
        <v>67</v>
      </c>
      <c r="E2328" t="str">
        <f t="shared" si="110"/>
        <v>010</v>
      </c>
      <c r="F2328" t="s">
        <v>2245</v>
      </c>
      <c r="G2328" t="str">
        <f>"2170"</f>
        <v>2170</v>
      </c>
      <c r="H2328" t="str">
        <f>"0001"</f>
        <v>0001</v>
      </c>
      <c r="I2328" t="s">
        <v>75</v>
      </c>
      <c r="J2328">
        <v>0</v>
      </c>
      <c r="K2328">
        <v>1</v>
      </c>
      <c r="L2328">
        <v>2</v>
      </c>
      <c r="M2328">
        <v>283</v>
      </c>
      <c r="N2328">
        <v>153</v>
      </c>
      <c r="O2328">
        <v>0</v>
      </c>
      <c r="P2328">
        <v>153</v>
      </c>
      <c r="Q2328">
        <v>10</v>
      </c>
      <c r="R2328">
        <v>11</v>
      </c>
      <c r="S2328">
        <v>3</v>
      </c>
      <c r="T2328">
        <v>3</v>
      </c>
      <c r="U2328">
        <v>42</v>
      </c>
      <c r="V2328">
        <v>1</v>
      </c>
      <c r="W2328">
        <v>0</v>
      </c>
      <c r="X2328">
        <v>42</v>
      </c>
      <c r="Y2328">
        <v>0</v>
      </c>
      <c r="Z2328">
        <v>4</v>
      </c>
      <c r="AA2328">
        <v>4</v>
      </c>
      <c r="AB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2</v>
      </c>
      <c r="AJ2328">
        <v>31</v>
      </c>
      <c r="AK2328">
        <v>153</v>
      </c>
      <c r="AL2328">
        <v>153</v>
      </c>
      <c r="AM2328">
        <v>392</v>
      </c>
      <c r="AN2328">
        <v>44</v>
      </c>
      <c r="AP2328">
        <v>1</v>
      </c>
      <c r="AR2328" t="s">
        <v>2420</v>
      </c>
      <c r="AS2328" s="1">
        <v>44354.074305555558</v>
      </c>
      <c r="AT2328" s="1">
        <v>44354.08185185185</v>
      </c>
      <c r="AU2328" s="1">
        <v>44354.082476851851</v>
      </c>
      <c r="AV2328" t="s">
        <v>71</v>
      </c>
      <c r="AW2328" t="s">
        <v>72</v>
      </c>
      <c r="AX2328" t="s">
        <v>73</v>
      </c>
    </row>
    <row r="2329" spans="1:50" x14ac:dyDescent="0.3">
      <c r="A2329" t="str">
        <f>"202231B0000"</f>
        <v>202231B0000</v>
      </c>
      <c r="B2329" t="str">
        <f>"202231B00002"</f>
        <v>202231B00002</v>
      </c>
      <c r="C2329" t="str">
        <f t="shared" si="111"/>
        <v>20</v>
      </c>
      <c r="D2329" t="s">
        <v>67</v>
      </c>
      <c r="E2329" t="str">
        <f t="shared" si="110"/>
        <v>010</v>
      </c>
      <c r="F2329" t="s">
        <v>2245</v>
      </c>
      <c r="G2329" t="str">
        <f>"2231"</f>
        <v>2231</v>
      </c>
      <c r="H2329" t="str">
        <f>"0000"</f>
        <v>0000</v>
      </c>
      <c r="I2329" t="s">
        <v>69</v>
      </c>
      <c r="J2329">
        <v>0</v>
      </c>
      <c r="K2329">
        <v>1</v>
      </c>
      <c r="L2329">
        <v>2</v>
      </c>
      <c r="M2329">
        <v>515</v>
      </c>
      <c r="N2329">
        <v>171</v>
      </c>
      <c r="O2329">
        <v>1</v>
      </c>
      <c r="P2329">
        <v>171</v>
      </c>
      <c r="Q2329">
        <v>8</v>
      </c>
      <c r="R2329">
        <v>39</v>
      </c>
      <c r="S2329">
        <v>2</v>
      </c>
      <c r="T2329">
        <v>23</v>
      </c>
      <c r="U2329">
        <v>9</v>
      </c>
      <c r="V2329">
        <v>1</v>
      </c>
      <c r="W2329">
        <v>4</v>
      </c>
      <c r="X2329">
        <v>57</v>
      </c>
      <c r="Y2329">
        <v>3</v>
      </c>
      <c r="Z2329">
        <v>2</v>
      </c>
      <c r="AA2329">
        <v>1</v>
      </c>
      <c r="AB2329">
        <v>1</v>
      </c>
      <c r="AD2329">
        <v>3</v>
      </c>
      <c r="AE2329">
        <v>1</v>
      </c>
      <c r="AF2329">
        <v>0</v>
      </c>
      <c r="AG2329">
        <v>0</v>
      </c>
      <c r="AH2329">
        <v>0</v>
      </c>
      <c r="AI2329">
        <v>0</v>
      </c>
      <c r="AJ2329">
        <v>17</v>
      </c>
      <c r="AK2329">
        <v>171</v>
      </c>
      <c r="AL2329">
        <v>171</v>
      </c>
      <c r="AM2329">
        <v>642</v>
      </c>
      <c r="AN2329">
        <v>44</v>
      </c>
      <c r="AP2329">
        <v>1</v>
      </c>
      <c r="AR2329" t="s">
        <v>2421</v>
      </c>
      <c r="AS2329" s="1">
        <v>44354.032638888886</v>
      </c>
      <c r="AT2329" s="1">
        <v>44354.040162037039</v>
      </c>
      <c r="AU2329" s="1">
        <v>44354.040659722225</v>
      </c>
      <c r="AV2329" t="s">
        <v>71</v>
      </c>
      <c r="AW2329" t="s">
        <v>72</v>
      </c>
      <c r="AX2329" t="s">
        <v>73</v>
      </c>
    </row>
    <row r="2330" spans="1:50" x14ac:dyDescent="0.3">
      <c r="A2330" t="str">
        <f>"202231C0100"</f>
        <v>202231C0100</v>
      </c>
      <c r="B2330" t="str">
        <f>"202231C01002"</f>
        <v>202231C01002</v>
      </c>
      <c r="C2330" t="str">
        <f t="shared" si="111"/>
        <v>20</v>
      </c>
      <c r="D2330" t="s">
        <v>67</v>
      </c>
      <c r="E2330" t="str">
        <f t="shared" si="110"/>
        <v>010</v>
      </c>
      <c r="F2330" t="s">
        <v>2245</v>
      </c>
      <c r="G2330" t="str">
        <f>"2231"</f>
        <v>2231</v>
      </c>
      <c r="H2330" t="str">
        <f>"0001"</f>
        <v>0001</v>
      </c>
      <c r="I2330" t="s">
        <v>75</v>
      </c>
      <c r="J2330">
        <v>0</v>
      </c>
      <c r="K2330">
        <v>1</v>
      </c>
      <c r="L2330">
        <v>2</v>
      </c>
      <c r="M2330">
        <v>534</v>
      </c>
      <c r="N2330">
        <v>152</v>
      </c>
      <c r="O2330">
        <v>7</v>
      </c>
      <c r="P2330">
        <v>152</v>
      </c>
      <c r="Q2330">
        <v>5</v>
      </c>
      <c r="R2330">
        <v>41</v>
      </c>
      <c r="S2330">
        <v>2</v>
      </c>
      <c r="T2330">
        <v>20</v>
      </c>
      <c r="U2330">
        <v>13</v>
      </c>
      <c r="V2330">
        <v>1</v>
      </c>
      <c r="W2330">
        <v>1</v>
      </c>
      <c r="X2330">
        <v>55</v>
      </c>
      <c r="Y2330">
        <v>2</v>
      </c>
      <c r="Z2330">
        <v>1</v>
      </c>
      <c r="AA2330">
        <v>0</v>
      </c>
      <c r="AB2330">
        <v>2</v>
      </c>
      <c r="AD2330" t="s">
        <v>77</v>
      </c>
      <c r="AE2330" t="s">
        <v>77</v>
      </c>
      <c r="AF2330" t="s">
        <v>77</v>
      </c>
      <c r="AG2330" t="s">
        <v>77</v>
      </c>
      <c r="AH2330" t="s">
        <v>77</v>
      </c>
      <c r="AI2330" t="s">
        <v>77</v>
      </c>
      <c r="AJ2330">
        <v>9</v>
      </c>
      <c r="AK2330">
        <v>152</v>
      </c>
      <c r="AL2330">
        <v>152</v>
      </c>
      <c r="AM2330">
        <v>642</v>
      </c>
      <c r="AN2330">
        <v>44</v>
      </c>
      <c r="AO2330" t="s">
        <v>78</v>
      </c>
      <c r="AP2330">
        <v>1</v>
      </c>
      <c r="AR2330" t="s">
        <v>2422</v>
      </c>
      <c r="AS2330" s="1">
        <v>44354.03402777778</v>
      </c>
      <c r="AT2330" s="1">
        <v>44354.041030092594</v>
      </c>
      <c r="AU2330" s="1">
        <v>44354.041481481479</v>
      </c>
      <c r="AV2330" t="s">
        <v>71</v>
      </c>
      <c r="AW2330" t="s">
        <v>72</v>
      </c>
      <c r="AX2330" t="s">
        <v>73</v>
      </c>
    </row>
    <row r="2331" spans="1:50" x14ac:dyDescent="0.3">
      <c r="A2331" t="str">
        <f>"202231C0200"</f>
        <v>202231C0200</v>
      </c>
      <c r="B2331" t="str">
        <f>"202231C02002"</f>
        <v>202231C02002</v>
      </c>
      <c r="C2331" t="str">
        <f t="shared" si="111"/>
        <v>20</v>
      </c>
      <c r="D2331" t="s">
        <v>67</v>
      </c>
      <c r="E2331" t="str">
        <f t="shared" si="110"/>
        <v>010</v>
      </c>
      <c r="F2331" t="s">
        <v>2245</v>
      </c>
      <c r="G2331" t="str">
        <f>"2231"</f>
        <v>2231</v>
      </c>
      <c r="H2331" t="str">
        <f>"0002"</f>
        <v>0002</v>
      </c>
      <c r="I2331" t="s">
        <v>75</v>
      </c>
      <c r="J2331">
        <v>0</v>
      </c>
      <c r="K2331">
        <v>1</v>
      </c>
      <c r="L2331">
        <v>2</v>
      </c>
      <c r="M2331">
        <v>525</v>
      </c>
      <c r="N2331">
        <v>161</v>
      </c>
      <c r="O2331">
        <v>5</v>
      </c>
      <c r="P2331">
        <v>161</v>
      </c>
      <c r="Q2331">
        <v>4</v>
      </c>
      <c r="R2331">
        <v>25</v>
      </c>
      <c r="S2331">
        <v>2</v>
      </c>
      <c r="T2331">
        <v>29</v>
      </c>
      <c r="U2331">
        <v>6</v>
      </c>
      <c r="V2331">
        <v>0</v>
      </c>
      <c r="W2331">
        <v>3</v>
      </c>
      <c r="X2331">
        <v>72</v>
      </c>
      <c r="Y2331">
        <v>2</v>
      </c>
      <c r="Z2331">
        <v>3</v>
      </c>
      <c r="AA2331">
        <v>1</v>
      </c>
      <c r="AB2331">
        <v>2</v>
      </c>
      <c r="AD2331">
        <v>1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11</v>
      </c>
      <c r="AK2331">
        <v>161</v>
      </c>
      <c r="AL2331">
        <v>161</v>
      </c>
      <c r="AM2331">
        <v>642</v>
      </c>
      <c r="AN2331">
        <v>44</v>
      </c>
      <c r="AP2331">
        <v>1</v>
      </c>
      <c r="AR2331" t="s">
        <v>2423</v>
      </c>
      <c r="AS2331" s="1">
        <v>44354.033333333333</v>
      </c>
      <c r="AT2331" s="1">
        <v>44354.040706018517</v>
      </c>
      <c r="AU2331" s="1">
        <v>44354.041747685187</v>
      </c>
      <c r="AV2331" t="s">
        <v>71</v>
      </c>
      <c r="AW2331" t="s">
        <v>72</v>
      </c>
      <c r="AX2331" t="s">
        <v>73</v>
      </c>
    </row>
    <row r="2332" spans="1:50" x14ac:dyDescent="0.3">
      <c r="A2332" t="str">
        <f>"202231E0100"</f>
        <v>202231E0100</v>
      </c>
      <c r="B2332" t="str">
        <f>"202231E01002"</f>
        <v>202231E01002</v>
      </c>
      <c r="C2332" t="str">
        <f t="shared" si="111"/>
        <v>20</v>
      </c>
      <c r="D2332" t="s">
        <v>67</v>
      </c>
      <c r="E2332" t="str">
        <f t="shared" si="110"/>
        <v>010</v>
      </c>
      <c r="F2332" t="s">
        <v>2245</v>
      </c>
      <c r="G2332" t="str">
        <f>"2231"</f>
        <v>2231</v>
      </c>
      <c r="H2332" t="str">
        <f>"0001"</f>
        <v>0001</v>
      </c>
      <c r="I2332" t="s">
        <v>109</v>
      </c>
      <c r="J2332">
        <v>0</v>
      </c>
      <c r="K2332">
        <v>1</v>
      </c>
      <c r="L2332">
        <v>2</v>
      </c>
      <c r="M2332">
        <v>311</v>
      </c>
      <c r="N2332">
        <v>106</v>
      </c>
      <c r="O2332">
        <v>6</v>
      </c>
      <c r="P2332">
        <v>106</v>
      </c>
      <c r="Q2332">
        <v>2</v>
      </c>
      <c r="R2332">
        <v>32</v>
      </c>
      <c r="S2332">
        <v>1</v>
      </c>
      <c r="T2332">
        <v>16</v>
      </c>
      <c r="U2332">
        <v>19</v>
      </c>
      <c r="V2332">
        <v>1</v>
      </c>
      <c r="W2332">
        <v>3</v>
      </c>
      <c r="X2332">
        <v>13</v>
      </c>
      <c r="Y2332">
        <v>3</v>
      </c>
      <c r="Z2332">
        <v>3</v>
      </c>
      <c r="AA2332">
        <v>2</v>
      </c>
      <c r="AB2332">
        <v>2</v>
      </c>
      <c r="AD2332">
        <v>0</v>
      </c>
      <c r="AE2332">
        <v>1</v>
      </c>
      <c r="AF2332">
        <v>0</v>
      </c>
      <c r="AG2332">
        <v>0</v>
      </c>
      <c r="AH2332">
        <v>0</v>
      </c>
      <c r="AI2332">
        <v>0</v>
      </c>
      <c r="AJ2332">
        <v>8</v>
      </c>
      <c r="AK2332">
        <v>106</v>
      </c>
      <c r="AL2332">
        <v>106</v>
      </c>
      <c r="AM2332">
        <v>373</v>
      </c>
      <c r="AN2332">
        <v>44</v>
      </c>
      <c r="AP2332">
        <v>1</v>
      </c>
      <c r="AR2332" t="s">
        <v>2424</v>
      </c>
      <c r="AS2332" s="1">
        <v>44354.034722222219</v>
      </c>
      <c r="AT2332" s="1">
        <v>44354.042037037034</v>
      </c>
      <c r="AU2332" s="1">
        <v>44354.042627314811</v>
      </c>
      <c r="AV2332" t="s">
        <v>71</v>
      </c>
      <c r="AW2332" t="s">
        <v>72</v>
      </c>
      <c r="AX2332" t="s">
        <v>73</v>
      </c>
    </row>
    <row r="2333" spans="1:50" x14ac:dyDescent="0.3">
      <c r="A2333" t="str">
        <f>"202232B0000"</f>
        <v>202232B0000</v>
      </c>
      <c r="B2333" t="str">
        <f>"202232B00002"</f>
        <v>202232B00002</v>
      </c>
      <c r="C2333" t="str">
        <f t="shared" si="111"/>
        <v>20</v>
      </c>
      <c r="D2333" t="s">
        <v>67</v>
      </c>
      <c r="E2333" t="str">
        <f t="shared" si="110"/>
        <v>010</v>
      </c>
      <c r="F2333" t="s">
        <v>2245</v>
      </c>
      <c r="G2333" t="str">
        <f>"2232"</f>
        <v>2232</v>
      </c>
      <c r="H2333" t="str">
        <f>"0000"</f>
        <v>0000</v>
      </c>
      <c r="I2333" t="s">
        <v>69</v>
      </c>
      <c r="J2333">
        <v>0</v>
      </c>
      <c r="K2333">
        <v>1</v>
      </c>
      <c r="L2333">
        <v>2</v>
      </c>
      <c r="M2333">
        <v>328</v>
      </c>
      <c r="N2333">
        <v>106</v>
      </c>
      <c r="O2333" t="s">
        <v>99</v>
      </c>
      <c r="P2333" t="s">
        <v>80</v>
      </c>
      <c r="Q2333">
        <v>1</v>
      </c>
      <c r="R2333">
        <v>45</v>
      </c>
      <c r="S2333">
        <v>1</v>
      </c>
      <c r="T2333">
        <v>9</v>
      </c>
      <c r="U2333">
        <v>12</v>
      </c>
      <c r="V2333">
        <v>0</v>
      </c>
      <c r="W2333">
        <v>31</v>
      </c>
      <c r="X2333" t="s">
        <v>77</v>
      </c>
      <c r="Y2333" t="s">
        <v>77</v>
      </c>
      <c r="Z2333" t="s">
        <v>77</v>
      </c>
      <c r="AA2333">
        <v>1</v>
      </c>
      <c r="AB2333" t="s">
        <v>77</v>
      </c>
      <c r="AD2333" t="s">
        <v>77</v>
      </c>
      <c r="AE2333">
        <v>1</v>
      </c>
      <c r="AF2333" t="s">
        <v>77</v>
      </c>
      <c r="AG2333" t="s">
        <v>77</v>
      </c>
      <c r="AH2333" t="s">
        <v>77</v>
      </c>
      <c r="AI2333" t="s">
        <v>77</v>
      </c>
      <c r="AJ2333">
        <v>3</v>
      </c>
      <c r="AK2333" t="s">
        <v>77</v>
      </c>
      <c r="AL2333">
        <v>104</v>
      </c>
      <c r="AM2333">
        <v>390</v>
      </c>
      <c r="AN2333">
        <v>44</v>
      </c>
      <c r="AO2333" t="s">
        <v>78</v>
      </c>
      <c r="AP2333">
        <v>1</v>
      </c>
      <c r="AR2333" t="s">
        <v>2425</v>
      </c>
      <c r="AS2333" s="1">
        <v>44353.986805555556</v>
      </c>
      <c r="AT2333" s="1">
        <v>44353.989594907405</v>
      </c>
      <c r="AU2333" s="1">
        <v>44353.99013888889</v>
      </c>
      <c r="AV2333" t="s">
        <v>71</v>
      </c>
      <c r="AW2333" t="s">
        <v>72</v>
      </c>
      <c r="AX2333" t="s">
        <v>73</v>
      </c>
    </row>
    <row r="2334" spans="1:50" x14ac:dyDescent="0.3">
      <c r="A2334" t="str">
        <f>"202232C0100"</f>
        <v>202232C0100</v>
      </c>
      <c r="B2334" t="str">
        <f>"202232C01002"</f>
        <v>202232C01002</v>
      </c>
      <c r="C2334" t="str">
        <f t="shared" si="111"/>
        <v>20</v>
      </c>
      <c r="D2334" t="s">
        <v>67</v>
      </c>
      <c r="E2334" t="str">
        <f t="shared" si="110"/>
        <v>010</v>
      </c>
      <c r="F2334" t="s">
        <v>2245</v>
      </c>
      <c r="G2334" t="str">
        <f>"2232"</f>
        <v>2232</v>
      </c>
      <c r="H2334" t="str">
        <f>"0001"</f>
        <v>0001</v>
      </c>
      <c r="I2334" t="s">
        <v>75</v>
      </c>
      <c r="J2334">
        <v>0</v>
      </c>
      <c r="K2334">
        <v>1</v>
      </c>
      <c r="L2334">
        <v>2</v>
      </c>
      <c r="M2334">
        <v>331</v>
      </c>
      <c r="N2334">
        <v>103</v>
      </c>
      <c r="O2334">
        <v>2</v>
      </c>
      <c r="P2334">
        <v>103</v>
      </c>
      <c r="Q2334">
        <v>2</v>
      </c>
      <c r="R2334">
        <v>33</v>
      </c>
      <c r="S2334">
        <v>2</v>
      </c>
      <c r="T2334">
        <v>17</v>
      </c>
      <c r="U2334">
        <v>8</v>
      </c>
      <c r="V2334">
        <v>0</v>
      </c>
      <c r="W2334">
        <v>2</v>
      </c>
      <c r="X2334">
        <v>29</v>
      </c>
      <c r="Y2334">
        <v>2</v>
      </c>
      <c r="Z2334">
        <v>1</v>
      </c>
      <c r="AA2334">
        <v>0</v>
      </c>
      <c r="AB2334">
        <v>1</v>
      </c>
      <c r="AD2334" t="s">
        <v>77</v>
      </c>
      <c r="AE2334" t="s">
        <v>77</v>
      </c>
      <c r="AF2334" t="s">
        <v>77</v>
      </c>
      <c r="AG2334" t="s">
        <v>77</v>
      </c>
      <c r="AH2334" t="s">
        <v>77</v>
      </c>
      <c r="AI2334" t="s">
        <v>77</v>
      </c>
      <c r="AJ2334">
        <v>6</v>
      </c>
      <c r="AK2334">
        <v>103</v>
      </c>
      <c r="AL2334">
        <v>103</v>
      </c>
      <c r="AM2334">
        <v>390</v>
      </c>
      <c r="AN2334">
        <v>44</v>
      </c>
      <c r="AO2334" t="s">
        <v>78</v>
      </c>
      <c r="AP2334">
        <v>1</v>
      </c>
      <c r="AR2334" t="s">
        <v>2426</v>
      </c>
      <c r="AS2334" s="1">
        <v>44353.98541666667</v>
      </c>
      <c r="AT2334" s="1">
        <v>44353.987627314818</v>
      </c>
      <c r="AU2334" s="1">
        <v>44353.988310185188</v>
      </c>
      <c r="AV2334" t="s">
        <v>71</v>
      </c>
      <c r="AW2334" t="s">
        <v>72</v>
      </c>
      <c r="AX2334" t="s">
        <v>73</v>
      </c>
    </row>
    <row r="2335" spans="1:50" x14ac:dyDescent="0.3">
      <c r="A2335" t="str">
        <f>"202232E0100"</f>
        <v>202232E0100</v>
      </c>
      <c r="B2335" t="str">
        <f>"202232E01002"</f>
        <v>202232E01002</v>
      </c>
      <c r="C2335" t="str">
        <f t="shared" si="111"/>
        <v>20</v>
      </c>
      <c r="D2335" t="s">
        <v>67</v>
      </c>
      <c r="E2335" t="str">
        <f t="shared" si="110"/>
        <v>010</v>
      </c>
      <c r="F2335" t="s">
        <v>2245</v>
      </c>
      <c r="G2335" t="str">
        <f>"2232"</f>
        <v>2232</v>
      </c>
      <c r="H2335" t="str">
        <f>"0001"</f>
        <v>0001</v>
      </c>
      <c r="I2335" t="s">
        <v>109</v>
      </c>
      <c r="J2335">
        <v>0</v>
      </c>
      <c r="K2335">
        <v>1</v>
      </c>
      <c r="L2335">
        <v>2</v>
      </c>
      <c r="M2335" t="s">
        <v>99</v>
      </c>
      <c r="N2335">
        <v>98</v>
      </c>
      <c r="O2335">
        <v>0</v>
      </c>
      <c r="P2335">
        <v>98</v>
      </c>
      <c r="Q2335">
        <v>2</v>
      </c>
      <c r="R2335">
        <v>47</v>
      </c>
      <c r="S2335">
        <v>1</v>
      </c>
      <c r="T2335">
        <v>6</v>
      </c>
      <c r="U2335">
        <v>5</v>
      </c>
      <c r="V2335">
        <v>0</v>
      </c>
      <c r="W2335">
        <v>0</v>
      </c>
      <c r="X2335">
        <v>25</v>
      </c>
      <c r="Y2335">
        <v>2</v>
      </c>
      <c r="Z2335">
        <v>1</v>
      </c>
      <c r="AA2335">
        <v>1</v>
      </c>
      <c r="AB2335">
        <v>1</v>
      </c>
      <c r="AD2335">
        <v>1</v>
      </c>
      <c r="AE2335">
        <v>0</v>
      </c>
      <c r="AF2335">
        <v>0</v>
      </c>
      <c r="AG2335">
        <v>1</v>
      </c>
      <c r="AH2335">
        <v>0</v>
      </c>
      <c r="AI2335">
        <v>0</v>
      </c>
      <c r="AJ2335">
        <v>6</v>
      </c>
      <c r="AK2335">
        <v>98</v>
      </c>
      <c r="AL2335">
        <v>99</v>
      </c>
      <c r="AM2335">
        <v>327</v>
      </c>
      <c r="AN2335">
        <v>44</v>
      </c>
      <c r="AP2335">
        <v>1</v>
      </c>
      <c r="AR2335" t="s">
        <v>2427</v>
      </c>
      <c r="AS2335" s="1">
        <v>44353.988194444442</v>
      </c>
      <c r="AT2335" s="1">
        <v>44353.992997685185</v>
      </c>
      <c r="AU2335" s="1">
        <v>44353.993611111109</v>
      </c>
      <c r="AV2335" t="s">
        <v>71</v>
      </c>
      <c r="AW2335" t="s">
        <v>72</v>
      </c>
      <c r="AX2335" t="s">
        <v>73</v>
      </c>
    </row>
    <row r="2336" spans="1:50" x14ac:dyDescent="0.3">
      <c r="A2336" t="str">
        <f>"202233B0000"</f>
        <v>202233B0000</v>
      </c>
      <c r="B2336" t="str">
        <f>"202233B00002"</f>
        <v>202233B00002</v>
      </c>
      <c r="C2336" t="str">
        <f t="shared" si="111"/>
        <v>20</v>
      </c>
      <c r="D2336" t="s">
        <v>67</v>
      </c>
      <c r="E2336" t="str">
        <f t="shared" si="110"/>
        <v>010</v>
      </c>
      <c r="F2336" t="s">
        <v>2245</v>
      </c>
      <c r="G2336" t="str">
        <f>"2233"</f>
        <v>2233</v>
      </c>
      <c r="H2336" t="str">
        <f>"0000"</f>
        <v>0000</v>
      </c>
      <c r="I2336" t="s">
        <v>69</v>
      </c>
      <c r="J2336">
        <v>0</v>
      </c>
      <c r="K2336">
        <v>1</v>
      </c>
      <c r="L2336">
        <v>2</v>
      </c>
      <c r="M2336">
        <v>228</v>
      </c>
      <c r="N2336">
        <v>64</v>
      </c>
      <c r="O2336">
        <v>2</v>
      </c>
      <c r="P2336">
        <v>64</v>
      </c>
      <c r="Q2336">
        <v>3</v>
      </c>
      <c r="R2336">
        <v>17</v>
      </c>
      <c r="S2336">
        <v>1</v>
      </c>
      <c r="T2336">
        <v>2</v>
      </c>
      <c r="U2336">
        <v>8</v>
      </c>
      <c r="V2336">
        <v>1</v>
      </c>
      <c r="W2336">
        <v>1</v>
      </c>
      <c r="X2336">
        <v>20</v>
      </c>
      <c r="Y2336">
        <v>1</v>
      </c>
      <c r="Z2336">
        <v>1</v>
      </c>
      <c r="AA2336">
        <v>0</v>
      </c>
      <c r="AB2336">
        <v>5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4</v>
      </c>
      <c r="AK2336">
        <v>64</v>
      </c>
      <c r="AL2336">
        <v>64</v>
      </c>
      <c r="AM2336">
        <v>248</v>
      </c>
      <c r="AN2336">
        <v>44</v>
      </c>
      <c r="AP2336">
        <v>1</v>
      </c>
      <c r="AR2336" t="s">
        <v>2428</v>
      </c>
      <c r="AS2336" s="1">
        <v>44353.988888888889</v>
      </c>
      <c r="AT2336" s="1">
        <v>44353.996481481481</v>
      </c>
      <c r="AU2336" s="1">
        <v>44353.997361111113</v>
      </c>
      <c r="AV2336" t="s">
        <v>71</v>
      </c>
      <c r="AW2336" t="s">
        <v>72</v>
      </c>
      <c r="AX2336" t="s">
        <v>73</v>
      </c>
    </row>
    <row r="2337" spans="1:50" x14ac:dyDescent="0.3">
      <c r="A2337" t="str">
        <f>"202233E0100"</f>
        <v>202233E0100</v>
      </c>
      <c r="B2337" t="str">
        <f>"202233E01002"</f>
        <v>202233E01002</v>
      </c>
      <c r="C2337" t="str">
        <f t="shared" si="111"/>
        <v>20</v>
      </c>
      <c r="D2337" t="s">
        <v>67</v>
      </c>
      <c r="E2337" t="str">
        <f t="shared" si="110"/>
        <v>010</v>
      </c>
      <c r="F2337" t="s">
        <v>2245</v>
      </c>
      <c r="G2337" t="str">
        <f>"2233"</f>
        <v>2233</v>
      </c>
      <c r="H2337" t="str">
        <f>"0001"</f>
        <v>0001</v>
      </c>
      <c r="I2337" t="s">
        <v>109</v>
      </c>
      <c r="J2337">
        <v>0</v>
      </c>
      <c r="K2337">
        <v>1</v>
      </c>
      <c r="L2337">
        <v>2</v>
      </c>
      <c r="M2337">
        <v>110</v>
      </c>
      <c r="N2337">
        <v>97</v>
      </c>
      <c r="O2337">
        <v>1</v>
      </c>
      <c r="P2337">
        <v>97</v>
      </c>
      <c r="Q2337">
        <v>1</v>
      </c>
      <c r="R2337">
        <v>17</v>
      </c>
      <c r="S2337">
        <v>2</v>
      </c>
      <c r="T2337">
        <v>16</v>
      </c>
      <c r="U2337">
        <v>9</v>
      </c>
      <c r="V2337">
        <v>1</v>
      </c>
      <c r="W2337">
        <v>2</v>
      </c>
      <c r="X2337">
        <v>40</v>
      </c>
      <c r="Y2337">
        <v>3</v>
      </c>
      <c r="Z2337">
        <v>1</v>
      </c>
      <c r="AA2337">
        <v>0</v>
      </c>
      <c r="AB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5</v>
      </c>
      <c r="AK2337">
        <v>97</v>
      </c>
      <c r="AL2337">
        <v>97</v>
      </c>
      <c r="AM2337">
        <v>163</v>
      </c>
      <c r="AN2337">
        <v>44</v>
      </c>
      <c r="AP2337">
        <v>1</v>
      </c>
      <c r="AR2337" t="s">
        <v>2429</v>
      </c>
      <c r="AS2337" s="1">
        <v>44353.987500000003</v>
      </c>
      <c r="AT2337" s="1">
        <v>44353.991712962961</v>
      </c>
      <c r="AU2337" s="1">
        <v>44353.992268518516</v>
      </c>
      <c r="AV2337" t="s">
        <v>71</v>
      </c>
      <c r="AW2337" t="s">
        <v>72</v>
      </c>
      <c r="AX2337" t="s">
        <v>73</v>
      </c>
    </row>
    <row r="2338" spans="1:50" x14ac:dyDescent="0.3">
      <c r="A2338" t="str">
        <f>"202311B0000"</f>
        <v>202311B0000</v>
      </c>
      <c r="B2338" t="str">
        <f>"202311B00002"</f>
        <v>202311B00002</v>
      </c>
      <c r="C2338" t="str">
        <f t="shared" si="111"/>
        <v>20</v>
      </c>
      <c r="D2338" t="s">
        <v>67</v>
      </c>
      <c r="E2338" t="str">
        <f t="shared" si="110"/>
        <v>010</v>
      </c>
      <c r="F2338" t="s">
        <v>2245</v>
      </c>
      <c r="G2338" t="str">
        <f>"2311"</f>
        <v>2311</v>
      </c>
      <c r="H2338" t="str">
        <f>"0000"</f>
        <v>0000</v>
      </c>
      <c r="I2338" t="s">
        <v>69</v>
      </c>
      <c r="J2338">
        <v>0</v>
      </c>
      <c r="K2338">
        <v>1</v>
      </c>
      <c r="L2338">
        <v>2</v>
      </c>
      <c r="M2338">
        <v>415</v>
      </c>
      <c r="N2338">
        <v>177</v>
      </c>
      <c r="O2338">
        <v>0</v>
      </c>
      <c r="P2338">
        <v>177</v>
      </c>
      <c r="Q2338">
        <v>5</v>
      </c>
      <c r="R2338">
        <v>8</v>
      </c>
      <c r="S2338">
        <v>6</v>
      </c>
      <c r="T2338">
        <v>4</v>
      </c>
      <c r="U2338">
        <v>37</v>
      </c>
      <c r="V2338">
        <v>2</v>
      </c>
      <c r="W2338">
        <v>2</v>
      </c>
      <c r="X2338">
        <v>92</v>
      </c>
      <c r="Y2338">
        <v>0</v>
      </c>
      <c r="Z2338">
        <v>4</v>
      </c>
      <c r="AA2338">
        <v>1</v>
      </c>
      <c r="AB2338">
        <v>0</v>
      </c>
      <c r="AD2338" t="s">
        <v>77</v>
      </c>
      <c r="AE2338" t="s">
        <v>77</v>
      </c>
      <c r="AF2338" t="s">
        <v>77</v>
      </c>
      <c r="AG2338" t="s">
        <v>77</v>
      </c>
      <c r="AH2338" t="s">
        <v>77</v>
      </c>
      <c r="AI2338" t="s">
        <v>77</v>
      </c>
      <c r="AJ2338">
        <v>15</v>
      </c>
      <c r="AK2338" t="s">
        <v>77</v>
      </c>
      <c r="AL2338">
        <v>176</v>
      </c>
      <c r="AM2338">
        <v>548</v>
      </c>
      <c r="AN2338">
        <v>44</v>
      </c>
      <c r="AO2338" t="s">
        <v>78</v>
      </c>
      <c r="AP2338">
        <v>1</v>
      </c>
      <c r="AR2338" t="s">
        <v>2430</v>
      </c>
      <c r="AS2338" s="1">
        <v>44353.990972222222</v>
      </c>
      <c r="AT2338" s="1">
        <v>44353.996168981481</v>
      </c>
      <c r="AU2338" s="1">
        <v>44354.000289351854</v>
      </c>
      <c r="AV2338" t="s">
        <v>71</v>
      </c>
      <c r="AW2338" t="s">
        <v>72</v>
      </c>
      <c r="AX2338" t="s">
        <v>73</v>
      </c>
    </row>
    <row r="2339" spans="1:50" x14ac:dyDescent="0.3">
      <c r="A2339" t="str">
        <f>"202311C0100"</f>
        <v>202311C0100</v>
      </c>
      <c r="B2339" t="str">
        <f>"202311C01002"</f>
        <v>202311C01002</v>
      </c>
      <c r="C2339" t="str">
        <f t="shared" si="111"/>
        <v>20</v>
      </c>
      <c r="D2339" t="s">
        <v>67</v>
      </c>
      <c r="E2339" t="str">
        <f t="shared" si="110"/>
        <v>010</v>
      </c>
      <c r="F2339" t="s">
        <v>2245</v>
      </c>
      <c r="G2339" t="str">
        <f>"2311"</f>
        <v>2311</v>
      </c>
      <c r="H2339" t="str">
        <f>"0001"</f>
        <v>0001</v>
      </c>
      <c r="I2339" t="s">
        <v>75</v>
      </c>
      <c r="J2339">
        <v>0</v>
      </c>
      <c r="K2339">
        <v>1</v>
      </c>
      <c r="L2339">
        <v>2</v>
      </c>
      <c r="AM2339">
        <v>548</v>
      </c>
      <c r="AN2339">
        <v>44</v>
      </c>
      <c r="AO2339" t="s">
        <v>143</v>
      </c>
      <c r="AP2339">
        <v>0</v>
      </c>
      <c r="AR2339" s="2" t="s">
        <v>2431</v>
      </c>
      <c r="AS2339" s="1">
        <v>44354.802777777775</v>
      </c>
      <c r="AT2339" s="1">
        <v>44354.821215277778</v>
      </c>
      <c r="AU2339" s="1">
        <v>44354.821215277778</v>
      </c>
      <c r="AV2339" t="s">
        <v>71</v>
      </c>
      <c r="AW2339" t="s">
        <v>72</v>
      </c>
      <c r="AX2339" t="s">
        <v>73</v>
      </c>
    </row>
    <row r="2340" spans="1:50" x14ac:dyDescent="0.3">
      <c r="A2340" t="str">
        <f>"202311C0200"</f>
        <v>202311C0200</v>
      </c>
      <c r="B2340" t="str">
        <f>"202311C02002"</f>
        <v>202311C02002</v>
      </c>
      <c r="C2340" t="str">
        <f t="shared" si="111"/>
        <v>20</v>
      </c>
      <c r="D2340" t="s">
        <v>67</v>
      </c>
      <c r="E2340" t="str">
        <f t="shared" si="110"/>
        <v>010</v>
      </c>
      <c r="F2340" t="s">
        <v>2245</v>
      </c>
      <c r="G2340" t="str">
        <f>"2311"</f>
        <v>2311</v>
      </c>
      <c r="H2340" t="str">
        <f>"0002"</f>
        <v>0002</v>
      </c>
      <c r="I2340" t="s">
        <v>75</v>
      </c>
      <c r="J2340">
        <v>0</v>
      </c>
      <c r="K2340">
        <v>1</v>
      </c>
      <c r="L2340">
        <v>2</v>
      </c>
      <c r="M2340">
        <v>409</v>
      </c>
      <c r="N2340">
        <v>183</v>
      </c>
      <c r="O2340">
        <v>0</v>
      </c>
      <c r="P2340">
        <v>183</v>
      </c>
      <c r="Q2340">
        <v>4</v>
      </c>
      <c r="R2340">
        <v>8</v>
      </c>
      <c r="S2340">
        <v>2</v>
      </c>
      <c r="T2340">
        <v>4</v>
      </c>
      <c r="U2340">
        <v>43</v>
      </c>
      <c r="V2340">
        <v>3</v>
      </c>
      <c r="W2340">
        <v>3</v>
      </c>
      <c r="X2340">
        <v>97</v>
      </c>
      <c r="Y2340">
        <v>2</v>
      </c>
      <c r="Z2340">
        <v>4</v>
      </c>
      <c r="AA2340">
        <v>4</v>
      </c>
      <c r="AB2340">
        <v>1</v>
      </c>
      <c r="AD2340" t="s">
        <v>77</v>
      </c>
      <c r="AE2340" t="s">
        <v>77</v>
      </c>
      <c r="AF2340" t="s">
        <v>77</v>
      </c>
      <c r="AG2340">
        <v>1</v>
      </c>
      <c r="AH2340">
        <v>1</v>
      </c>
      <c r="AI2340">
        <v>0</v>
      </c>
      <c r="AJ2340">
        <v>6</v>
      </c>
      <c r="AK2340">
        <v>183</v>
      </c>
      <c r="AL2340">
        <v>183</v>
      </c>
      <c r="AM2340">
        <v>548</v>
      </c>
      <c r="AN2340">
        <v>44</v>
      </c>
      <c r="AO2340" t="s">
        <v>78</v>
      </c>
      <c r="AP2340">
        <v>1</v>
      </c>
      <c r="AR2340" t="s">
        <v>2432</v>
      </c>
      <c r="AS2340" s="1">
        <v>44353.991666666669</v>
      </c>
      <c r="AT2340" s="1">
        <v>44353.996099537035</v>
      </c>
      <c r="AU2340" s="1">
        <v>44353.996712962966</v>
      </c>
      <c r="AV2340" t="s">
        <v>71</v>
      </c>
      <c r="AW2340" t="s">
        <v>72</v>
      </c>
      <c r="AX2340" t="s">
        <v>73</v>
      </c>
    </row>
    <row r="2341" spans="1:50" x14ac:dyDescent="0.3">
      <c r="A2341" t="str">
        <f>"202311E0100"</f>
        <v>202311E0100</v>
      </c>
      <c r="B2341" t="str">
        <f>"202311E01002"</f>
        <v>202311E01002</v>
      </c>
      <c r="C2341" t="str">
        <f t="shared" si="111"/>
        <v>20</v>
      </c>
      <c r="D2341" t="s">
        <v>67</v>
      </c>
      <c r="E2341" t="str">
        <f t="shared" si="110"/>
        <v>010</v>
      </c>
      <c r="F2341" t="s">
        <v>2245</v>
      </c>
      <c r="G2341" t="str">
        <f>"2311"</f>
        <v>2311</v>
      </c>
      <c r="H2341" t="str">
        <f>"0001"</f>
        <v>0001</v>
      </c>
      <c r="I2341" t="s">
        <v>109</v>
      </c>
      <c r="J2341">
        <v>0</v>
      </c>
      <c r="K2341">
        <v>1</v>
      </c>
      <c r="L2341">
        <v>2</v>
      </c>
      <c r="M2341">
        <v>129</v>
      </c>
      <c r="N2341">
        <v>0</v>
      </c>
      <c r="O2341">
        <v>0</v>
      </c>
      <c r="P2341">
        <v>77</v>
      </c>
      <c r="Q2341">
        <v>0</v>
      </c>
      <c r="R2341">
        <v>0</v>
      </c>
      <c r="S2341">
        <v>5</v>
      </c>
      <c r="T2341">
        <v>0</v>
      </c>
      <c r="U2341">
        <v>14</v>
      </c>
      <c r="V2341">
        <v>3</v>
      </c>
      <c r="W2341">
        <v>2</v>
      </c>
      <c r="X2341">
        <v>43</v>
      </c>
      <c r="Y2341">
        <v>2</v>
      </c>
      <c r="Z2341">
        <v>2</v>
      </c>
      <c r="AA2341">
        <v>2</v>
      </c>
      <c r="AB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4</v>
      </c>
      <c r="AK2341">
        <v>77</v>
      </c>
      <c r="AL2341">
        <v>77</v>
      </c>
      <c r="AM2341">
        <v>162</v>
      </c>
      <c r="AN2341">
        <v>44</v>
      </c>
      <c r="AP2341">
        <v>1</v>
      </c>
      <c r="AR2341" t="s">
        <v>2433</v>
      </c>
      <c r="AS2341" s="1">
        <v>44354.003472222219</v>
      </c>
      <c r="AT2341" s="1">
        <v>44354.009050925924</v>
      </c>
      <c r="AU2341" s="1">
        <v>44354.009525462963</v>
      </c>
      <c r="AV2341" t="s">
        <v>71</v>
      </c>
      <c r="AW2341" t="s">
        <v>72</v>
      </c>
      <c r="AX2341" t="s">
        <v>73</v>
      </c>
    </row>
    <row r="2342" spans="1:50" x14ac:dyDescent="0.3">
      <c r="A2342" t="str">
        <f>"202312B0000"</f>
        <v>202312B0000</v>
      </c>
      <c r="B2342" t="str">
        <f>"202312B00002"</f>
        <v>202312B00002</v>
      </c>
      <c r="C2342" t="str">
        <f t="shared" si="111"/>
        <v>20</v>
      </c>
      <c r="D2342" t="s">
        <v>67</v>
      </c>
      <c r="E2342" t="str">
        <f t="shared" si="110"/>
        <v>010</v>
      </c>
      <c r="F2342" t="s">
        <v>2245</v>
      </c>
      <c r="G2342" t="str">
        <f>"2312"</f>
        <v>2312</v>
      </c>
      <c r="H2342" t="str">
        <f>"0000"</f>
        <v>0000</v>
      </c>
      <c r="I2342" t="s">
        <v>69</v>
      </c>
      <c r="J2342">
        <v>0</v>
      </c>
      <c r="K2342">
        <v>1</v>
      </c>
      <c r="L2342">
        <v>2</v>
      </c>
      <c r="M2342">
        <v>421</v>
      </c>
      <c r="N2342">
        <v>182</v>
      </c>
      <c r="O2342">
        <v>1</v>
      </c>
      <c r="P2342">
        <v>182</v>
      </c>
      <c r="Q2342">
        <v>7</v>
      </c>
      <c r="R2342">
        <v>4</v>
      </c>
      <c r="S2342">
        <v>5</v>
      </c>
      <c r="T2342">
        <v>4</v>
      </c>
      <c r="U2342">
        <v>42</v>
      </c>
      <c r="V2342">
        <v>4</v>
      </c>
      <c r="W2342">
        <v>3</v>
      </c>
      <c r="X2342">
        <v>94</v>
      </c>
      <c r="Y2342">
        <v>1</v>
      </c>
      <c r="Z2342">
        <v>5</v>
      </c>
      <c r="AA2342">
        <v>4</v>
      </c>
      <c r="AB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9</v>
      </c>
      <c r="AK2342">
        <v>182</v>
      </c>
      <c r="AL2342">
        <v>182</v>
      </c>
      <c r="AM2342">
        <v>559</v>
      </c>
      <c r="AN2342">
        <v>44</v>
      </c>
      <c r="AP2342">
        <v>1</v>
      </c>
      <c r="AR2342" t="s">
        <v>2434</v>
      </c>
      <c r="AS2342" s="1">
        <v>44353.942361111112</v>
      </c>
      <c r="AT2342" s="1">
        <v>44353.944247685184</v>
      </c>
      <c r="AU2342" s="1">
        <v>44353.944687499999</v>
      </c>
      <c r="AV2342" t="s">
        <v>71</v>
      </c>
      <c r="AW2342" t="s">
        <v>72</v>
      </c>
      <c r="AX2342" t="s">
        <v>73</v>
      </c>
    </row>
    <row r="2343" spans="1:50" x14ac:dyDescent="0.3">
      <c r="A2343" t="str">
        <f>"202312C0100"</f>
        <v>202312C0100</v>
      </c>
      <c r="B2343" t="str">
        <f>"202312C01002"</f>
        <v>202312C01002</v>
      </c>
      <c r="C2343" t="str">
        <f t="shared" si="111"/>
        <v>20</v>
      </c>
      <c r="D2343" t="s">
        <v>67</v>
      </c>
      <c r="E2343" t="str">
        <f t="shared" si="110"/>
        <v>010</v>
      </c>
      <c r="F2343" t="s">
        <v>2245</v>
      </c>
      <c r="G2343" t="str">
        <f>"2312"</f>
        <v>2312</v>
      </c>
      <c r="H2343" t="str">
        <f>"0001"</f>
        <v>0001</v>
      </c>
      <c r="I2343" t="s">
        <v>75</v>
      </c>
      <c r="J2343">
        <v>0</v>
      </c>
      <c r="K2343">
        <v>1</v>
      </c>
      <c r="L2343">
        <v>2</v>
      </c>
      <c r="M2343">
        <v>429</v>
      </c>
      <c r="N2343">
        <v>173</v>
      </c>
      <c r="O2343">
        <v>2</v>
      </c>
      <c r="P2343">
        <v>173</v>
      </c>
      <c r="Q2343">
        <v>2</v>
      </c>
      <c r="R2343">
        <v>17</v>
      </c>
      <c r="S2343">
        <v>7</v>
      </c>
      <c r="T2343">
        <v>5</v>
      </c>
      <c r="U2343">
        <v>42</v>
      </c>
      <c r="V2343">
        <v>1</v>
      </c>
      <c r="W2343">
        <v>0</v>
      </c>
      <c r="X2343">
        <v>86</v>
      </c>
      <c r="Y2343">
        <v>1</v>
      </c>
      <c r="Z2343">
        <v>2</v>
      </c>
      <c r="AA2343">
        <v>3</v>
      </c>
      <c r="AB2343">
        <v>2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5</v>
      </c>
      <c r="AK2343">
        <v>173</v>
      </c>
      <c r="AL2343">
        <v>173</v>
      </c>
      <c r="AM2343">
        <v>558</v>
      </c>
      <c r="AN2343">
        <v>44</v>
      </c>
      <c r="AP2343">
        <v>1</v>
      </c>
      <c r="AR2343" t="s">
        <v>2435</v>
      </c>
      <c r="AS2343" s="1">
        <v>44353.945138888892</v>
      </c>
      <c r="AT2343" s="1">
        <v>44353.947881944441</v>
      </c>
      <c r="AU2343" s="1">
        <v>44353.94872685185</v>
      </c>
      <c r="AV2343" t="s">
        <v>71</v>
      </c>
      <c r="AW2343" t="s">
        <v>72</v>
      </c>
      <c r="AX2343" t="s">
        <v>73</v>
      </c>
    </row>
    <row r="2344" spans="1:50" x14ac:dyDescent="0.3">
      <c r="A2344" t="str">
        <f>"202313B0000"</f>
        <v>202313B0000</v>
      </c>
      <c r="B2344" t="str">
        <f>"202313B00002"</f>
        <v>202313B00002</v>
      </c>
      <c r="C2344" t="str">
        <f t="shared" si="111"/>
        <v>20</v>
      </c>
      <c r="D2344" t="s">
        <v>67</v>
      </c>
      <c r="E2344" t="str">
        <f t="shared" si="110"/>
        <v>010</v>
      </c>
      <c r="F2344" t="s">
        <v>2245</v>
      </c>
      <c r="G2344" t="str">
        <f>"2313"</f>
        <v>2313</v>
      </c>
      <c r="H2344" t="str">
        <f>"0000"</f>
        <v>0000</v>
      </c>
      <c r="I2344" t="s">
        <v>69</v>
      </c>
      <c r="J2344">
        <v>0</v>
      </c>
      <c r="K2344">
        <v>1</v>
      </c>
      <c r="L2344">
        <v>2</v>
      </c>
      <c r="M2344">
        <v>575</v>
      </c>
      <c r="N2344">
        <v>157</v>
      </c>
      <c r="O2344">
        <v>0</v>
      </c>
      <c r="P2344">
        <v>157</v>
      </c>
      <c r="Q2344">
        <v>4</v>
      </c>
      <c r="R2344">
        <v>18</v>
      </c>
      <c r="S2344">
        <v>8</v>
      </c>
      <c r="T2344">
        <v>5</v>
      </c>
      <c r="U2344">
        <v>62</v>
      </c>
      <c r="V2344">
        <v>5</v>
      </c>
      <c r="W2344">
        <v>0</v>
      </c>
      <c r="X2344">
        <v>34</v>
      </c>
      <c r="Y2344">
        <v>0</v>
      </c>
      <c r="Z2344">
        <v>0</v>
      </c>
      <c r="AA2344">
        <v>3</v>
      </c>
      <c r="AB2344">
        <v>1</v>
      </c>
      <c r="AD2344">
        <v>0</v>
      </c>
      <c r="AE2344">
        <v>0</v>
      </c>
      <c r="AF2344">
        <v>1</v>
      </c>
      <c r="AG2344">
        <v>1</v>
      </c>
      <c r="AH2344">
        <v>0</v>
      </c>
      <c r="AI2344">
        <v>0</v>
      </c>
      <c r="AJ2344">
        <v>15</v>
      </c>
      <c r="AK2344">
        <v>157</v>
      </c>
      <c r="AL2344">
        <v>157</v>
      </c>
      <c r="AM2344">
        <v>689</v>
      </c>
      <c r="AN2344">
        <v>44</v>
      </c>
      <c r="AP2344">
        <v>1</v>
      </c>
      <c r="AR2344" t="s">
        <v>2436</v>
      </c>
      <c r="AS2344" s="1">
        <v>44353.993055555555</v>
      </c>
      <c r="AT2344" s="1">
        <v>44353.999386574076</v>
      </c>
      <c r="AU2344" s="1">
        <v>44354.000081018516</v>
      </c>
      <c r="AV2344" t="s">
        <v>71</v>
      </c>
      <c r="AW2344" t="s">
        <v>72</v>
      </c>
      <c r="AX2344" t="s">
        <v>73</v>
      </c>
    </row>
    <row r="2345" spans="1:50" x14ac:dyDescent="0.3">
      <c r="A2345" t="str">
        <f>"202314B0000"</f>
        <v>202314B0000</v>
      </c>
      <c r="B2345" t="str">
        <f>"202314B00002"</f>
        <v>202314B00002</v>
      </c>
      <c r="C2345" t="str">
        <f t="shared" si="111"/>
        <v>20</v>
      </c>
      <c r="D2345" t="s">
        <v>67</v>
      </c>
      <c r="E2345" t="str">
        <f t="shared" si="110"/>
        <v>010</v>
      </c>
      <c r="F2345" t="s">
        <v>2245</v>
      </c>
      <c r="G2345" t="str">
        <f>"2314"</f>
        <v>2314</v>
      </c>
      <c r="H2345" t="str">
        <f>"0000"</f>
        <v>0000</v>
      </c>
      <c r="I2345" t="s">
        <v>69</v>
      </c>
      <c r="J2345">
        <v>0</v>
      </c>
      <c r="K2345">
        <v>1</v>
      </c>
      <c r="L2345">
        <v>2</v>
      </c>
      <c r="AM2345">
        <v>441</v>
      </c>
      <c r="AN2345">
        <v>44</v>
      </c>
      <c r="AO2345" t="s">
        <v>143</v>
      </c>
      <c r="AP2345">
        <v>0</v>
      </c>
      <c r="AR2345" t="s">
        <v>2437</v>
      </c>
      <c r="AS2345" s="1">
        <v>44354.800694444442</v>
      </c>
      <c r="AT2345" s="1">
        <v>44354.819768518515</v>
      </c>
      <c r="AU2345" s="1">
        <v>44354.819768518515</v>
      </c>
      <c r="AV2345" t="s">
        <v>71</v>
      </c>
      <c r="AW2345" t="s">
        <v>72</v>
      </c>
      <c r="AX2345" t="s">
        <v>73</v>
      </c>
    </row>
    <row r="2346" spans="1:50" x14ac:dyDescent="0.3">
      <c r="A2346" t="str">
        <f>"202314E0100"</f>
        <v>202314E0100</v>
      </c>
      <c r="B2346" t="str">
        <f>"202314E01002"</f>
        <v>202314E01002</v>
      </c>
      <c r="C2346" t="str">
        <f t="shared" si="111"/>
        <v>20</v>
      </c>
      <c r="D2346" t="s">
        <v>67</v>
      </c>
      <c r="E2346" t="str">
        <f t="shared" ref="E2346:E2355" si="112">"010"</f>
        <v>010</v>
      </c>
      <c r="F2346" t="s">
        <v>2245</v>
      </c>
      <c r="G2346" t="str">
        <f>"2314"</f>
        <v>2314</v>
      </c>
      <c r="H2346" t="str">
        <f>"0001"</f>
        <v>0001</v>
      </c>
      <c r="I2346" t="s">
        <v>109</v>
      </c>
      <c r="J2346">
        <v>0</v>
      </c>
      <c r="K2346">
        <v>1</v>
      </c>
      <c r="L2346">
        <v>2</v>
      </c>
      <c r="M2346">
        <v>384</v>
      </c>
      <c r="N2346">
        <v>245</v>
      </c>
      <c r="O2346">
        <v>1</v>
      </c>
      <c r="P2346">
        <v>245</v>
      </c>
      <c r="Q2346">
        <v>8</v>
      </c>
      <c r="R2346">
        <v>49</v>
      </c>
      <c r="S2346">
        <v>3</v>
      </c>
      <c r="T2346">
        <v>5</v>
      </c>
      <c r="U2346">
        <v>51</v>
      </c>
      <c r="V2346">
        <v>4</v>
      </c>
      <c r="W2346">
        <v>2</v>
      </c>
      <c r="X2346">
        <v>102</v>
      </c>
      <c r="Y2346">
        <v>2</v>
      </c>
      <c r="Z2346">
        <v>8</v>
      </c>
      <c r="AA2346">
        <v>5</v>
      </c>
      <c r="AB2346">
        <v>1</v>
      </c>
      <c r="AD2346">
        <v>0</v>
      </c>
      <c r="AE2346">
        <v>0</v>
      </c>
      <c r="AF2346">
        <v>0</v>
      </c>
      <c r="AG2346">
        <v>1</v>
      </c>
      <c r="AH2346">
        <v>0</v>
      </c>
      <c r="AI2346">
        <v>0</v>
      </c>
      <c r="AJ2346">
        <v>4</v>
      </c>
      <c r="AK2346">
        <v>245</v>
      </c>
      <c r="AL2346">
        <v>245</v>
      </c>
      <c r="AM2346">
        <v>585</v>
      </c>
      <c r="AN2346">
        <v>44</v>
      </c>
      <c r="AP2346">
        <v>1</v>
      </c>
      <c r="AR2346" t="s">
        <v>2438</v>
      </c>
      <c r="AS2346" s="1">
        <v>44353.989583333336</v>
      </c>
      <c r="AT2346" s="1">
        <v>44353.994363425925</v>
      </c>
      <c r="AU2346" s="1">
        <v>44353.995625000003</v>
      </c>
      <c r="AV2346" t="s">
        <v>71</v>
      </c>
      <c r="AW2346" t="s">
        <v>72</v>
      </c>
      <c r="AX2346" t="s">
        <v>73</v>
      </c>
    </row>
    <row r="2347" spans="1:50" x14ac:dyDescent="0.3">
      <c r="A2347" t="str">
        <f>"202315B0000"</f>
        <v>202315B0000</v>
      </c>
      <c r="B2347" t="str">
        <f>"202315B00002"</f>
        <v>202315B00002</v>
      </c>
      <c r="C2347" t="str">
        <f t="shared" si="111"/>
        <v>20</v>
      </c>
      <c r="D2347" t="s">
        <v>67</v>
      </c>
      <c r="E2347" t="str">
        <f t="shared" si="112"/>
        <v>010</v>
      </c>
      <c r="F2347" t="s">
        <v>2245</v>
      </c>
      <c r="G2347" t="str">
        <f>"2315"</f>
        <v>2315</v>
      </c>
      <c r="H2347" t="str">
        <f>"0000"</f>
        <v>0000</v>
      </c>
      <c r="I2347" t="s">
        <v>69</v>
      </c>
      <c r="J2347">
        <v>0</v>
      </c>
      <c r="K2347">
        <v>1</v>
      </c>
      <c r="L2347">
        <v>2</v>
      </c>
      <c r="M2347">
        <v>543</v>
      </c>
      <c r="N2347">
        <v>203</v>
      </c>
      <c r="O2347">
        <v>0</v>
      </c>
      <c r="P2347">
        <v>203</v>
      </c>
      <c r="Q2347">
        <v>6</v>
      </c>
      <c r="R2347">
        <v>18</v>
      </c>
      <c r="S2347">
        <v>7</v>
      </c>
      <c r="T2347">
        <v>6</v>
      </c>
      <c r="U2347">
        <v>43</v>
      </c>
      <c r="V2347">
        <v>1</v>
      </c>
      <c r="W2347">
        <v>0</v>
      </c>
      <c r="X2347">
        <v>99</v>
      </c>
      <c r="Y2347">
        <v>1</v>
      </c>
      <c r="Z2347">
        <v>4</v>
      </c>
      <c r="AA2347">
        <v>5</v>
      </c>
      <c r="AB2347">
        <v>1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12</v>
      </c>
      <c r="AK2347">
        <v>203</v>
      </c>
      <c r="AL2347">
        <v>203</v>
      </c>
      <c r="AM2347">
        <v>703</v>
      </c>
      <c r="AN2347">
        <v>44</v>
      </c>
      <c r="AP2347">
        <v>1</v>
      </c>
      <c r="AR2347" t="s">
        <v>2439</v>
      </c>
      <c r="AS2347" s="1">
        <v>44353.990277777775</v>
      </c>
      <c r="AT2347" s="1">
        <v>44353.994490740741</v>
      </c>
      <c r="AU2347" s="1">
        <v>44353.995081018518</v>
      </c>
      <c r="AV2347" t="s">
        <v>71</v>
      </c>
      <c r="AW2347" t="s">
        <v>72</v>
      </c>
      <c r="AX2347" t="s">
        <v>73</v>
      </c>
    </row>
    <row r="2348" spans="1:50" x14ac:dyDescent="0.3">
      <c r="A2348" t="str">
        <f>"202386B0000"</f>
        <v>202386B0000</v>
      </c>
      <c r="B2348" t="str">
        <f>"202386B00002"</f>
        <v>202386B00002</v>
      </c>
      <c r="C2348" t="str">
        <f t="shared" si="111"/>
        <v>20</v>
      </c>
      <c r="D2348" t="s">
        <v>67</v>
      </c>
      <c r="E2348" t="str">
        <f t="shared" si="112"/>
        <v>010</v>
      </c>
      <c r="F2348" t="s">
        <v>2245</v>
      </c>
      <c r="G2348" t="str">
        <f>"2386"</f>
        <v>2386</v>
      </c>
      <c r="H2348" t="str">
        <f>"0000"</f>
        <v>0000</v>
      </c>
      <c r="I2348" t="s">
        <v>69</v>
      </c>
      <c r="J2348">
        <v>0</v>
      </c>
      <c r="K2348">
        <v>1</v>
      </c>
      <c r="L2348">
        <v>2</v>
      </c>
      <c r="M2348">
        <v>389</v>
      </c>
      <c r="N2348">
        <v>171</v>
      </c>
      <c r="O2348">
        <v>0</v>
      </c>
      <c r="P2348">
        <v>171</v>
      </c>
      <c r="Q2348">
        <v>5</v>
      </c>
      <c r="R2348">
        <v>13</v>
      </c>
      <c r="S2348">
        <v>6</v>
      </c>
      <c r="T2348">
        <v>8</v>
      </c>
      <c r="U2348">
        <v>63</v>
      </c>
      <c r="V2348">
        <v>2</v>
      </c>
      <c r="W2348">
        <v>2</v>
      </c>
      <c r="X2348">
        <v>46</v>
      </c>
      <c r="Y2348">
        <v>12</v>
      </c>
      <c r="Z2348">
        <v>1</v>
      </c>
      <c r="AA2348">
        <v>6</v>
      </c>
      <c r="AB2348">
        <v>0</v>
      </c>
      <c r="AD2348" t="s">
        <v>77</v>
      </c>
      <c r="AE2348" t="s">
        <v>77</v>
      </c>
      <c r="AF2348" t="s">
        <v>77</v>
      </c>
      <c r="AG2348" t="s">
        <v>77</v>
      </c>
      <c r="AH2348" t="s">
        <v>77</v>
      </c>
      <c r="AI2348" t="s">
        <v>77</v>
      </c>
      <c r="AJ2348">
        <v>7</v>
      </c>
      <c r="AK2348">
        <v>171</v>
      </c>
      <c r="AL2348">
        <v>171</v>
      </c>
      <c r="AM2348">
        <v>516</v>
      </c>
      <c r="AN2348">
        <v>44</v>
      </c>
      <c r="AO2348" t="s">
        <v>78</v>
      </c>
      <c r="AP2348">
        <v>1</v>
      </c>
      <c r="AR2348" t="s">
        <v>2440</v>
      </c>
      <c r="AS2348" s="1">
        <v>44353.994444444441</v>
      </c>
      <c r="AT2348" s="1">
        <v>44354.012488425928</v>
      </c>
      <c r="AU2348" s="1">
        <v>44354.013078703705</v>
      </c>
      <c r="AV2348" t="s">
        <v>71</v>
      </c>
      <c r="AW2348" t="s">
        <v>72</v>
      </c>
      <c r="AX2348" t="s">
        <v>73</v>
      </c>
    </row>
    <row r="2349" spans="1:50" x14ac:dyDescent="0.3">
      <c r="A2349" t="str">
        <f>"202386C0100"</f>
        <v>202386C0100</v>
      </c>
      <c r="B2349" t="str">
        <f>"202386C01002"</f>
        <v>202386C01002</v>
      </c>
      <c r="C2349" t="str">
        <f t="shared" si="111"/>
        <v>20</v>
      </c>
      <c r="D2349" t="s">
        <v>67</v>
      </c>
      <c r="E2349" t="str">
        <f t="shared" si="112"/>
        <v>010</v>
      </c>
      <c r="F2349" t="s">
        <v>2245</v>
      </c>
      <c r="G2349" t="str">
        <f>"2386"</f>
        <v>2386</v>
      </c>
      <c r="H2349" t="str">
        <f>"0001"</f>
        <v>0001</v>
      </c>
      <c r="I2349" t="s">
        <v>75</v>
      </c>
      <c r="J2349">
        <v>0</v>
      </c>
      <c r="K2349">
        <v>1</v>
      </c>
      <c r="L2349">
        <v>2</v>
      </c>
      <c r="M2349">
        <v>400</v>
      </c>
      <c r="N2349">
        <v>159</v>
      </c>
      <c r="O2349" t="s">
        <v>80</v>
      </c>
      <c r="P2349">
        <v>159</v>
      </c>
      <c r="Q2349">
        <v>3</v>
      </c>
      <c r="R2349">
        <v>7</v>
      </c>
      <c r="S2349">
        <v>2</v>
      </c>
      <c r="T2349">
        <v>9</v>
      </c>
      <c r="U2349">
        <v>56</v>
      </c>
      <c r="V2349">
        <v>1</v>
      </c>
      <c r="W2349">
        <v>1</v>
      </c>
      <c r="X2349">
        <v>40</v>
      </c>
      <c r="Y2349">
        <v>25</v>
      </c>
      <c r="Z2349">
        <v>3</v>
      </c>
      <c r="AA2349">
        <v>2</v>
      </c>
      <c r="AB2349">
        <v>0</v>
      </c>
      <c r="AD2349" t="s">
        <v>77</v>
      </c>
      <c r="AE2349" t="s">
        <v>77</v>
      </c>
      <c r="AF2349" t="s">
        <v>77</v>
      </c>
      <c r="AG2349">
        <v>0</v>
      </c>
      <c r="AH2349">
        <v>1</v>
      </c>
      <c r="AI2349" t="s">
        <v>77</v>
      </c>
      <c r="AJ2349">
        <v>9</v>
      </c>
      <c r="AK2349">
        <v>159</v>
      </c>
      <c r="AL2349">
        <v>159</v>
      </c>
      <c r="AM2349">
        <v>515</v>
      </c>
      <c r="AN2349">
        <v>44</v>
      </c>
      <c r="AO2349" t="s">
        <v>78</v>
      </c>
      <c r="AP2349">
        <v>1</v>
      </c>
      <c r="AR2349" t="s">
        <v>2441</v>
      </c>
      <c r="AS2349" s="1">
        <v>44353.993750000001</v>
      </c>
      <c r="AT2349" s="1">
        <v>44353.999467592592</v>
      </c>
      <c r="AU2349" s="1">
        <v>44354.001030092593</v>
      </c>
      <c r="AV2349" t="s">
        <v>71</v>
      </c>
      <c r="AW2349" t="s">
        <v>72</v>
      </c>
      <c r="AX2349" t="s">
        <v>73</v>
      </c>
    </row>
    <row r="2350" spans="1:50" x14ac:dyDescent="0.3">
      <c r="A2350" t="str">
        <f>"202387B0000"</f>
        <v>202387B0000</v>
      </c>
      <c r="B2350" t="str">
        <f>"202387B00002"</f>
        <v>202387B00002</v>
      </c>
      <c r="C2350" t="str">
        <f t="shared" si="111"/>
        <v>20</v>
      </c>
      <c r="D2350" t="s">
        <v>67</v>
      </c>
      <c r="E2350" t="str">
        <f t="shared" si="112"/>
        <v>010</v>
      </c>
      <c r="F2350" t="s">
        <v>2245</v>
      </c>
      <c r="G2350" t="str">
        <f>"2387"</f>
        <v>2387</v>
      </c>
      <c r="H2350" t="str">
        <f>"0000"</f>
        <v>0000</v>
      </c>
      <c r="I2350" t="s">
        <v>69</v>
      </c>
      <c r="J2350">
        <v>0</v>
      </c>
      <c r="K2350">
        <v>1</v>
      </c>
      <c r="L2350">
        <v>2</v>
      </c>
      <c r="M2350">
        <v>443</v>
      </c>
      <c r="N2350">
        <v>321</v>
      </c>
      <c r="O2350">
        <v>0</v>
      </c>
      <c r="P2350">
        <v>321</v>
      </c>
      <c r="Q2350">
        <v>5</v>
      </c>
      <c r="R2350">
        <v>23</v>
      </c>
      <c r="S2350">
        <v>11</v>
      </c>
      <c r="T2350">
        <v>10</v>
      </c>
      <c r="U2350">
        <v>106</v>
      </c>
      <c r="V2350">
        <v>4</v>
      </c>
      <c r="W2350">
        <v>1</v>
      </c>
      <c r="X2350">
        <v>111</v>
      </c>
      <c r="Y2350">
        <v>11</v>
      </c>
      <c r="Z2350">
        <v>6</v>
      </c>
      <c r="AA2350">
        <v>20</v>
      </c>
      <c r="AB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13</v>
      </c>
      <c r="AK2350">
        <v>321</v>
      </c>
      <c r="AL2350">
        <v>321</v>
      </c>
      <c r="AM2350">
        <v>720</v>
      </c>
      <c r="AN2350">
        <v>44</v>
      </c>
      <c r="AP2350">
        <v>1</v>
      </c>
      <c r="AR2350" t="s">
        <v>2442</v>
      </c>
      <c r="AS2350" s="1">
        <v>44353.992361111108</v>
      </c>
      <c r="AT2350" s="1">
        <v>44353.996678240743</v>
      </c>
      <c r="AU2350" s="1">
        <v>44353.997349537036</v>
      </c>
      <c r="AV2350" t="s">
        <v>71</v>
      </c>
      <c r="AW2350" t="s">
        <v>72</v>
      </c>
      <c r="AX2350" t="s">
        <v>73</v>
      </c>
    </row>
    <row r="2351" spans="1:50" x14ac:dyDescent="0.3">
      <c r="A2351" t="str">
        <f>"202388B0000"</f>
        <v>202388B0000</v>
      </c>
      <c r="B2351" t="str">
        <f>"202388B00002"</f>
        <v>202388B00002</v>
      </c>
      <c r="C2351" t="str">
        <f t="shared" si="111"/>
        <v>20</v>
      </c>
      <c r="D2351" t="s">
        <v>67</v>
      </c>
      <c r="E2351" t="str">
        <f t="shared" si="112"/>
        <v>010</v>
      </c>
      <c r="F2351" t="s">
        <v>2245</v>
      </c>
      <c r="G2351" t="str">
        <f>"2388"</f>
        <v>2388</v>
      </c>
      <c r="H2351" t="str">
        <f>"0000"</f>
        <v>0000</v>
      </c>
      <c r="I2351" t="s">
        <v>69</v>
      </c>
      <c r="J2351">
        <v>0</v>
      </c>
      <c r="K2351">
        <v>1</v>
      </c>
      <c r="L2351">
        <v>2</v>
      </c>
      <c r="M2351">
        <v>326</v>
      </c>
      <c r="N2351">
        <v>169</v>
      </c>
      <c r="O2351">
        <v>0</v>
      </c>
      <c r="P2351">
        <v>169</v>
      </c>
      <c r="Q2351">
        <v>4</v>
      </c>
      <c r="R2351">
        <v>13</v>
      </c>
      <c r="S2351">
        <v>3</v>
      </c>
      <c r="T2351">
        <v>5</v>
      </c>
      <c r="U2351">
        <v>98</v>
      </c>
      <c r="V2351">
        <v>1</v>
      </c>
      <c r="W2351">
        <v>1</v>
      </c>
      <c r="X2351">
        <v>27</v>
      </c>
      <c r="Y2351">
        <v>0</v>
      </c>
      <c r="Z2351">
        <v>2</v>
      </c>
      <c r="AA2351">
        <v>7</v>
      </c>
      <c r="AB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8</v>
      </c>
      <c r="AK2351">
        <v>169</v>
      </c>
      <c r="AL2351">
        <v>169</v>
      </c>
      <c r="AM2351">
        <v>451</v>
      </c>
      <c r="AN2351">
        <v>44</v>
      </c>
      <c r="AP2351">
        <v>1</v>
      </c>
      <c r="AR2351" t="s">
        <v>2443</v>
      </c>
      <c r="AS2351" s="1">
        <v>44353.976388888892</v>
      </c>
      <c r="AT2351" s="1">
        <v>44353.97892361111</v>
      </c>
      <c r="AU2351" s="1">
        <v>44353.979502314818</v>
      </c>
      <c r="AV2351" t="s">
        <v>71</v>
      </c>
      <c r="AW2351" t="s">
        <v>72</v>
      </c>
      <c r="AX2351" t="s">
        <v>73</v>
      </c>
    </row>
    <row r="2352" spans="1:50" x14ac:dyDescent="0.3">
      <c r="A2352" t="str">
        <f>"202388C0100"</f>
        <v>202388C0100</v>
      </c>
      <c r="B2352" t="str">
        <f>"202388C01002"</f>
        <v>202388C01002</v>
      </c>
      <c r="C2352" t="str">
        <f t="shared" si="111"/>
        <v>20</v>
      </c>
      <c r="D2352" t="s">
        <v>67</v>
      </c>
      <c r="E2352" t="str">
        <f t="shared" si="112"/>
        <v>010</v>
      </c>
      <c r="F2352" t="s">
        <v>2245</v>
      </c>
      <c r="G2352" t="str">
        <f>"2388"</f>
        <v>2388</v>
      </c>
      <c r="H2352" t="str">
        <f>"0001"</f>
        <v>0001</v>
      </c>
      <c r="I2352" t="s">
        <v>75</v>
      </c>
      <c r="J2352">
        <v>0</v>
      </c>
      <c r="K2352">
        <v>1</v>
      </c>
      <c r="L2352">
        <v>2</v>
      </c>
      <c r="M2352">
        <v>321</v>
      </c>
      <c r="N2352">
        <v>173</v>
      </c>
      <c r="O2352">
        <v>3</v>
      </c>
      <c r="P2352" t="s">
        <v>80</v>
      </c>
      <c r="Q2352">
        <v>1</v>
      </c>
      <c r="R2352">
        <v>19</v>
      </c>
      <c r="S2352">
        <v>0</v>
      </c>
      <c r="T2352">
        <v>8</v>
      </c>
      <c r="U2352">
        <v>79</v>
      </c>
      <c r="V2352">
        <v>1</v>
      </c>
      <c r="W2352">
        <v>1</v>
      </c>
      <c r="X2352">
        <v>44</v>
      </c>
      <c r="Y2352">
        <v>1</v>
      </c>
      <c r="Z2352">
        <v>1</v>
      </c>
      <c r="AA2352">
        <v>8</v>
      </c>
      <c r="AB2352">
        <v>1</v>
      </c>
      <c r="AD2352" t="s">
        <v>77</v>
      </c>
      <c r="AE2352" t="s">
        <v>77</v>
      </c>
      <c r="AF2352" t="s">
        <v>77</v>
      </c>
      <c r="AG2352" t="s">
        <v>77</v>
      </c>
      <c r="AH2352">
        <v>1</v>
      </c>
      <c r="AI2352">
        <v>1</v>
      </c>
      <c r="AJ2352">
        <v>8</v>
      </c>
      <c r="AK2352">
        <v>173</v>
      </c>
      <c r="AL2352">
        <v>174</v>
      </c>
      <c r="AM2352">
        <v>450</v>
      </c>
      <c r="AN2352">
        <v>44</v>
      </c>
      <c r="AO2352" t="s">
        <v>78</v>
      </c>
      <c r="AP2352">
        <v>1</v>
      </c>
      <c r="AR2352" t="s">
        <v>2444</v>
      </c>
      <c r="AS2352" s="1">
        <v>44353.975694444445</v>
      </c>
      <c r="AT2352" s="1">
        <v>44353.978645833333</v>
      </c>
      <c r="AU2352" s="1">
        <v>44353.979351851849</v>
      </c>
      <c r="AV2352" t="s">
        <v>71</v>
      </c>
      <c r="AW2352" t="s">
        <v>72</v>
      </c>
      <c r="AX2352" t="s">
        <v>73</v>
      </c>
    </row>
    <row r="2353" spans="1:50" x14ac:dyDescent="0.3">
      <c r="A2353" t="str">
        <f>"202389B0000"</f>
        <v>202389B0000</v>
      </c>
      <c r="B2353" t="str">
        <f>"202389B00002"</f>
        <v>202389B00002</v>
      </c>
      <c r="C2353" t="str">
        <f t="shared" si="111"/>
        <v>20</v>
      </c>
      <c r="D2353" t="s">
        <v>67</v>
      </c>
      <c r="E2353" t="str">
        <f t="shared" si="112"/>
        <v>010</v>
      </c>
      <c r="F2353" t="s">
        <v>2245</v>
      </c>
      <c r="G2353" t="str">
        <f>"2389"</f>
        <v>2389</v>
      </c>
      <c r="H2353" t="str">
        <f>"0000"</f>
        <v>0000</v>
      </c>
      <c r="I2353" t="s">
        <v>69</v>
      </c>
      <c r="J2353">
        <v>0</v>
      </c>
      <c r="K2353">
        <v>1</v>
      </c>
      <c r="L2353">
        <v>2</v>
      </c>
      <c r="M2353">
        <v>174</v>
      </c>
      <c r="N2353">
        <v>114</v>
      </c>
      <c r="O2353">
        <v>3</v>
      </c>
      <c r="P2353">
        <v>114</v>
      </c>
      <c r="Q2353">
        <v>3</v>
      </c>
      <c r="R2353">
        <v>20</v>
      </c>
      <c r="S2353">
        <v>3</v>
      </c>
      <c r="T2353">
        <v>4</v>
      </c>
      <c r="U2353">
        <v>25</v>
      </c>
      <c r="V2353">
        <v>1</v>
      </c>
      <c r="W2353">
        <v>0</v>
      </c>
      <c r="X2353">
        <v>24</v>
      </c>
      <c r="Y2353">
        <v>24</v>
      </c>
      <c r="Z2353">
        <v>1</v>
      </c>
      <c r="AA2353">
        <v>3</v>
      </c>
      <c r="AB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6</v>
      </c>
      <c r="AK2353">
        <v>114</v>
      </c>
      <c r="AL2353">
        <v>114</v>
      </c>
      <c r="AM2353">
        <v>244</v>
      </c>
      <c r="AN2353">
        <v>44</v>
      </c>
      <c r="AP2353">
        <v>1</v>
      </c>
      <c r="AR2353" t="s">
        <v>2445</v>
      </c>
      <c r="AS2353" s="1">
        <v>44353.974999999999</v>
      </c>
      <c r="AT2353" s="1">
        <v>44353.977314814816</v>
      </c>
      <c r="AU2353" s="1">
        <v>44353.977905092594</v>
      </c>
      <c r="AV2353" t="s">
        <v>71</v>
      </c>
      <c r="AW2353" t="s">
        <v>72</v>
      </c>
      <c r="AX2353" t="s">
        <v>73</v>
      </c>
    </row>
    <row r="2354" spans="1:50" x14ac:dyDescent="0.3">
      <c r="A2354" t="str">
        <f>"202389E0100"</f>
        <v>202389E0100</v>
      </c>
      <c r="B2354" t="str">
        <f>"202389E01002"</f>
        <v>202389E01002</v>
      </c>
      <c r="C2354" t="str">
        <f t="shared" si="111"/>
        <v>20</v>
      </c>
      <c r="D2354" t="s">
        <v>67</v>
      </c>
      <c r="E2354" t="str">
        <f t="shared" si="112"/>
        <v>010</v>
      </c>
      <c r="F2354" t="s">
        <v>2245</v>
      </c>
      <c r="G2354" t="str">
        <f>"2389"</f>
        <v>2389</v>
      </c>
      <c r="H2354" t="str">
        <f>"0001"</f>
        <v>0001</v>
      </c>
      <c r="I2354" t="s">
        <v>109</v>
      </c>
      <c r="J2354">
        <v>0</v>
      </c>
      <c r="K2354">
        <v>1</v>
      </c>
      <c r="L2354">
        <v>2</v>
      </c>
      <c r="M2354">
        <v>314</v>
      </c>
      <c r="N2354">
        <v>267</v>
      </c>
      <c r="O2354">
        <v>3</v>
      </c>
      <c r="P2354">
        <v>267</v>
      </c>
      <c r="Q2354">
        <v>4</v>
      </c>
      <c r="R2354">
        <v>18</v>
      </c>
      <c r="S2354">
        <v>3</v>
      </c>
      <c r="T2354">
        <v>2</v>
      </c>
      <c r="U2354">
        <v>157</v>
      </c>
      <c r="V2354">
        <v>2</v>
      </c>
      <c r="W2354">
        <v>2</v>
      </c>
      <c r="X2354">
        <v>41</v>
      </c>
      <c r="Y2354">
        <v>0</v>
      </c>
      <c r="Z2354">
        <v>1</v>
      </c>
      <c r="AA2354">
        <v>23</v>
      </c>
      <c r="AB2354">
        <v>2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12</v>
      </c>
      <c r="AK2354">
        <v>267</v>
      </c>
      <c r="AL2354">
        <v>267</v>
      </c>
      <c r="AM2354">
        <v>537</v>
      </c>
      <c r="AN2354">
        <v>44</v>
      </c>
      <c r="AP2354">
        <v>1</v>
      </c>
      <c r="AR2354" t="s">
        <v>2446</v>
      </c>
      <c r="AS2354" s="1">
        <v>44354.095833333333</v>
      </c>
      <c r="AT2354" s="1">
        <v>44354.099120370367</v>
      </c>
      <c r="AU2354" s="1">
        <v>44354.099687499998</v>
      </c>
      <c r="AV2354" t="s">
        <v>71</v>
      </c>
      <c r="AW2354" t="s">
        <v>72</v>
      </c>
      <c r="AX2354" t="s">
        <v>73</v>
      </c>
    </row>
    <row r="2355" spans="1:50" x14ac:dyDescent="0.3">
      <c r="A2355" t="str">
        <f>"202390B0000"</f>
        <v>202390B0000</v>
      </c>
      <c r="B2355" t="str">
        <f>"202390B00002"</f>
        <v>202390B00002</v>
      </c>
      <c r="C2355" t="str">
        <f t="shared" si="111"/>
        <v>20</v>
      </c>
      <c r="D2355" t="s">
        <v>67</v>
      </c>
      <c r="E2355" t="str">
        <f t="shared" si="112"/>
        <v>010</v>
      </c>
      <c r="F2355" t="s">
        <v>2245</v>
      </c>
      <c r="G2355" t="str">
        <f>"2390"</f>
        <v>2390</v>
      </c>
      <c r="H2355" t="str">
        <f>"0000"</f>
        <v>0000</v>
      </c>
      <c r="I2355" t="s">
        <v>69</v>
      </c>
      <c r="J2355">
        <v>0</v>
      </c>
      <c r="K2355">
        <v>1</v>
      </c>
      <c r="L2355">
        <v>2</v>
      </c>
      <c r="M2355">
        <v>262</v>
      </c>
      <c r="N2355">
        <v>115</v>
      </c>
      <c r="O2355">
        <v>2</v>
      </c>
      <c r="P2355">
        <v>115</v>
      </c>
      <c r="Q2355">
        <v>13</v>
      </c>
      <c r="R2355">
        <v>7</v>
      </c>
      <c r="S2355">
        <v>6</v>
      </c>
      <c r="T2355">
        <v>5</v>
      </c>
      <c r="U2355">
        <v>18</v>
      </c>
      <c r="V2355">
        <v>3</v>
      </c>
      <c r="W2355">
        <v>2</v>
      </c>
      <c r="X2355">
        <v>42</v>
      </c>
      <c r="Y2355">
        <v>2</v>
      </c>
      <c r="Z2355">
        <v>1</v>
      </c>
      <c r="AA2355">
        <v>5</v>
      </c>
      <c r="AB2355">
        <v>5</v>
      </c>
      <c r="AD2355">
        <v>0</v>
      </c>
      <c r="AE2355">
        <v>0</v>
      </c>
      <c r="AF2355">
        <v>1</v>
      </c>
      <c r="AG2355">
        <v>0</v>
      </c>
      <c r="AH2355">
        <v>0</v>
      </c>
      <c r="AI2355">
        <v>0</v>
      </c>
      <c r="AJ2355">
        <v>5</v>
      </c>
      <c r="AK2355">
        <v>115</v>
      </c>
      <c r="AL2355">
        <v>115</v>
      </c>
      <c r="AM2355">
        <v>333</v>
      </c>
      <c r="AN2355">
        <v>44</v>
      </c>
      <c r="AP2355">
        <v>1</v>
      </c>
      <c r="AR2355" t="s">
        <v>2447</v>
      </c>
      <c r="AS2355" s="1">
        <v>44354.095138888886</v>
      </c>
      <c r="AT2355" s="1">
        <v>44354.098449074074</v>
      </c>
      <c r="AU2355" s="1">
        <v>44354.098935185182</v>
      </c>
      <c r="AV2355" t="s">
        <v>71</v>
      </c>
      <c r="AW2355" t="s">
        <v>72</v>
      </c>
      <c r="AX2355" t="s">
        <v>73</v>
      </c>
    </row>
    <row r="2356" spans="1:50" x14ac:dyDescent="0.3">
      <c r="A2356" t="str">
        <f>"200077B0000"</f>
        <v>200077B0000</v>
      </c>
      <c r="B2356" t="str">
        <f>"200077B00002"</f>
        <v>200077B00002</v>
      </c>
      <c r="C2356" t="str">
        <f t="shared" si="111"/>
        <v>20</v>
      </c>
      <c r="D2356" t="s">
        <v>67</v>
      </c>
      <c r="E2356" t="str">
        <f t="shared" ref="E2356:E2419" si="113">"011"</f>
        <v>011</v>
      </c>
      <c r="F2356" t="s">
        <v>2448</v>
      </c>
      <c r="G2356" t="str">
        <f>"0077"</f>
        <v>0077</v>
      </c>
      <c r="H2356" t="str">
        <f>"0000"</f>
        <v>0000</v>
      </c>
      <c r="I2356" t="s">
        <v>69</v>
      </c>
      <c r="J2356">
        <v>0</v>
      </c>
      <c r="K2356">
        <v>1</v>
      </c>
      <c r="L2356">
        <v>2</v>
      </c>
      <c r="M2356">
        <v>240</v>
      </c>
      <c r="N2356">
        <v>526</v>
      </c>
      <c r="O2356">
        <v>2</v>
      </c>
      <c r="P2356">
        <v>526</v>
      </c>
      <c r="Q2356">
        <v>16</v>
      </c>
      <c r="R2356">
        <v>120</v>
      </c>
      <c r="S2356">
        <v>1</v>
      </c>
      <c r="T2356">
        <v>4</v>
      </c>
      <c r="U2356">
        <v>5</v>
      </c>
      <c r="V2356">
        <v>3</v>
      </c>
      <c r="W2356">
        <v>0</v>
      </c>
      <c r="X2356">
        <v>346</v>
      </c>
      <c r="Y2356">
        <v>1</v>
      </c>
      <c r="Z2356">
        <v>0</v>
      </c>
      <c r="AA2356">
        <v>4</v>
      </c>
      <c r="AB2356">
        <v>13</v>
      </c>
      <c r="AD2356">
        <v>3</v>
      </c>
      <c r="AE2356">
        <v>2</v>
      </c>
      <c r="AF2356">
        <v>0</v>
      </c>
      <c r="AG2356">
        <v>0</v>
      </c>
      <c r="AH2356">
        <v>0</v>
      </c>
      <c r="AI2356">
        <v>0</v>
      </c>
      <c r="AJ2356">
        <v>8</v>
      </c>
      <c r="AK2356">
        <v>526</v>
      </c>
      <c r="AL2356">
        <v>526</v>
      </c>
      <c r="AM2356">
        <v>722</v>
      </c>
      <c r="AN2356">
        <v>44</v>
      </c>
      <c r="AP2356">
        <v>1</v>
      </c>
      <c r="AR2356" t="s">
        <v>2449</v>
      </c>
      <c r="AS2356" s="1">
        <v>44354.119444444441</v>
      </c>
      <c r="AT2356" s="1">
        <v>44354.121921296297</v>
      </c>
      <c r="AU2356" s="1">
        <v>44354.122604166667</v>
      </c>
      <c r="AV2356" t="s">
        <v>71</v>
      </c>
      <c r="AW2356" t="s">
        <v>72</v>
      </c>
      <c r="AX2356" t="s">
        <v>73</v>
      </c>
    </row>
    <row r="2357" spans="1:50" x14ac:dyDescent="0.3">
      <c r="A2357" t="str">
        <f>"200077C0100"</f>
        <v>200077C0100</v>
      </c>
      <c r="B2357" t="str">
        <f>"200077C01002"</f>
        <v>200077C01002</v>
      </c>
      <c r="C2357" t="str">
        <f t="shared" si="111"/>
        <v>20</v>
      </c>
      <c r="D2357" t="s">
        <v>67</v>
      </c>
      <c r="E2357" t="str">
        <f t="shared" si="113"/>
        <v>011</v>
      </c>
      <c r="F2357" t="s">
        <v>2448</v>
      </c>
      <c r="G2357" t="str">
        <f>"0077"</f>
        <v>0077</v>
      </c>
      <c r="H2357" t="str">
        <f>"0001"</f>
        <v>0001</v>
      </c>
      <c r="I2357" t="s">
        <v>75</v>
      </c>
      <c r="J2357">
        <v>0</v>
      </c>
      <c r="K2357">
        <v>1</v>
      </c>
      <c r="L2357">
        <v>2</v>
      </c>
      <c r="M2357">
        <v>251</v>
      </c>
      <c r="N2357">
        <v>513</v>
      </c>
      <c r="O2357">
        <v>1</v>
      </c>
      <c r="P2357">
        <v>513</v>
      </c>
      <c r="Q2357">
        <v>12</v>
      </c>
      <c r="R2357">
        <v>138</v>
      </c>
      <c r="S2357">
        <v>4</v>
      </c>
      <c r="T2357">
        <v>3</v>
      </c>
      <c r="U2357">
        <v>3</v>
      </c>
      <c r="V2357">
        <v>1</v>
      </c>
      <c r="W2357">
        <v>1</v>
      </c>
      <c r="X2357">
        <v>326</v>
      </c>
      <c r="Y2357">
        <v>4</v>
      </c>
      <c r="Z2357">
        <v>0</v>
      </c>
      <c r="AA2357">
        <v>3</v>
      </c>
      <c r="AB2357">
        <v>8</v>
      </c>
      <c r="AD2357">
        <v>4</v>
      </c>
      <c r="AE2357">
        <v>3</v>
      </c>
      <c r="AF2357">
        <v>0</v>
      </c>
      <c r="AG2357">
        <v>0</v>
      </c>
      <c r="AH2357">
        <v>0</v>
      </c>
      <c r="AI2357">
        <v>0</v>
      </c>
      <c r="AJ2357">
        <v>3</v>
      </c>
      <c r="AK2357">
        <v>513</v>
      </c>
      <c r="AL2357">
        <v>513</v>
      </c>
      <c r="AM2357">
        <v>721</v>
      </c>
      <c r="AN2357">
        <v>44</v>
      </c>
      <c r="AP2357">
        <v>1</v>
      </c>
      <c r="AR2357" t="s">
        <v>2450</v>
      </c>
      <c r="AS2357" s="1">
        <v>44354.1</v>
      </c>
      <c r="AT2357" s="1">
        <v>44354.103935185187</v>
      </c>
      <c r="AU2357" s="1">
        <v>44354.104456018518</v>
      </c>
      <c r="AV2357" t="s">
        <v>71</v>
      </c>
      <c r="AW2357" t="s">
        <v>72</v>
      </c>
      <c r="AX2357" t="s">
        <v>73</v>
      </c>
    </row>
    <row r="2358" spans="1:50" x14ac:dyDescent="0.3">
      <c r="A2358" t="str">
        <f>"200077C0200"</f>
        <v>200077C0200</v>
      </c>
      <c r="B2358" t="str">
        <f>"200077C02002"</f>
        <v>200077C02002</v>
      </c>
      <c r="C2358" t="str">
        <f t="shared" si="111"/>
        <v>20</v>
      </c>
      <c r="D2358" t="s">
        <v>67</v>
      </c>
      <c r="E2358" t="str">
        <f t="shared" si="113"/>
        <v>011</v>
      </c>
      <c r="F2358" t="s">
        <v>2448</v>
      </c>
      <c r="G2358" t="str">
        <f>"0077"</f>
        <v>0077</v>
      </c>
      <c r="H2358" t="str">
        <f>"0002"</f>
        <v>0002</v>
      </c>
      <c r="I2358" t="s">
        <v>75</v>
      </c>
      <c r="J2358">
        <v>0</v>
      </c>
      <c r="K2358">
        <v>1</v>
      </c>
      <c r="L2358">
        <v>2</v>
      </c>
      <c r="M2358">
        <v>258</v>
      </c>
      <c r="N2358">
        <v>507</v>
      </c>
      <c r="O2358">
        <v>0</v>
      </c>
      <c r="P2358">
        <v>507</v>
      </c>
      <c r="Q2358">
        <v>11</v>
      </c>
      <c r="R2358">
        <v>114</v>
      </c>
      <c r="S2358">
        <v>4</v>
      </c>
      <c r="T2358">
        <v>3</v>
      </c>
      <c r="U2358">
        <v>6</v>
      </c>
      <c r="V2358">
        <v>3</v>
      </c>
      <c r="W2358">
        <v>5</v>
      </c>
      <c r="X2358">
        <v>345</v>
      </c>
      <c r="Y2358">
        <v>1</v>
      </c>
      <c r="Z2358">
        <v>1</v>
      </c>
      <c r="AA2358">
        <v>2</v>
      </c>
      <c r="AB2358">
        <v>6</v>
      </c>
      <c r="AD2358">
        <v>1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5</v>
      </c>
      <c r="AK2358">
        <v>507</v>
      </c>
      <c r="AL2358">
        <v>507</v>
      </c>
      <c r="AM2358">
        <v>721</v>
      </c>
      <c r="AN2358">
        <v>44</v>
      </c>
      <c r="AP2358">
        <v>1</v>
      </c>
      <c r="AR2358" t="s">
        <v>2451</v>
      </c>
      <c r="AS2358" s="1">
        <v>44354.115972222222</v>
      </c>
      <c r="AT2358" s="1">
        <v>44354.118206018517</v>
      </c>
      <c r="AU2358" s="1">
        <v>44354.119363425925</v>
      </c>
      <c r="AV2358" t="s">
        <v>71</v>
      </c>
      <c r="AW2358" t="s">
        <v>72</v>
      </c>
      <c r="AX2358" t="s">
        <v>73</v>
      </c>
    </row>
    <row r="2359" spans="1:50" x14ac:dyDescent="0.3">
      <c r="A2359" t="str">
        <f>"200078B0000"</f>
        <v>200078B0000</v>
      </c>
      <c r="B2359" t="str">
        <f>"200078B00002"</f>
        <v>200078B00002</v>
      </c>
      <c r="C2359" t="str">
        <f t="shared" si="111"/>
        <v>20</v>
      </c>
      <c r="D2359" t="s">
        <v>67</v>
      </c>
      <c r="E2359" t="str">
        <f t="shared" si="113"/>
        <v>011</v>
      </c>
      <c r="F2359" t="s">
        <v>2448</v>
      </c>
      <c r="G2359" t="str">
        <f>"0078"</f>
        <v>0078</v>
      </c>
      <c r="H2359" t="str">
        <f>"0000"</f>
        <v>0000</v>
      </c>
      <c r="I2359" t="s">
        <v>69</v>
      </c>
      <c r="J2359">
        <v>0</v>
      </c>
      <c r="K2359">
        <v>1</v>
      </c>
      <c r="L2359">
        <v>2</v>
      </c>
      <c r="M2359">
        <v>137</v>
      </c>
      <c r="N2359">
        <v>373</v>
      </c>
      <c r="O2359">
        <v>1</v>
      </c>
      <c r="P2359">
        <v>373</v>
      </c>
      <c r="Q2359">
        <v>9</v>
      </c>
      <c r="R2359">
        <v>102</v>
      </c>
      <c r="S2359">
        <v>0</v>
      </c>
      <c r="T2359">
        <v>2</v>
      </c>
      <c r="U2359">
        <v>6</v>
      </c>
      <c r="V2359">
        <v>1</v>
      </c>
      <c r="W2359">
        <v>1</v>
      </c>
      <c r="X2359">
        <v>235</v>
      </c>
      <c r="Y2359">
        <v>0</v>
      </c>
      <c r="Z2359">
        <v>0</v>
      </c>
      <c r="AA2359">
        <v>0</v>
      </c>
      <c r="AB2359">
        <v>2</v>
      </c>
      <c r="AD2359">
        <v>5</v>
      </c>
      <c r="AE2359">
        <v>2</v>
      </c>
      <c r="AF2359">
        <v>0</v>
      </c>
      <c r="AG2359">
        <v>0</v>
      </c>
      <c r="AH2359">
        <v>0</v>
      </c>
      <c r="AI2359">
        <v>0</v>
      </c>
      <c r="AJ2359">
        <v>8</v>
      </c>
      <c r="AK2359">
        <v>373</v>
      </c>
      <c r="AL2359">
        <v>373</v>
      </c>
      <c r="AM2359">
        <v>466</v>
      </c>
      <c r="AN2359">
        <v>44</v>
      </c>
      <c r="AP2359">
        <v>1</v>
      </c>
      <c r="AR2359" t="s">
        <v>2452</v>
      </c>
      <c r="AS2359" s="1">
        <v>44354.117361111108</v>
      </c>
      <c r="AT2359" s="1">
        <v>44354.119270833333</v>
      </c>
      <c r="AU2359" s="1">
        <v>44354.119826388887</v>
      </c>
      <c r="AV2359" t="s">
        <v>71</v>
      </c>
      <c r="AW2359" t="s">
        <v>72</v>
      </c>
      <c r="AX2359" t="s">
        <v>73</v>
      </c>
    </row>
    <row r="2360" spans="1:50" x14ac:dyDescent="0.3">
      <c r="A2360" t="str">
        <f>"200078C0100"</f>
        <v>200078C0100</v>
      </c>
      <c r="B2360" t="str">
        <f>"200078C01002"</f>
        <v>200078C01002</v>
      </c>
      <c r="C2360" t="str">
        <f t="shared" si="111"/>
        <v>20</v>
      </c>
      <c r="D2360" t="s">
        <v>67</v>
      </c>
      <c r="E2360" t="str">
        <f t="shared" si="113"/>
        <v>011</v>
      </c>
      <c r="F2360" t="s">
        <v>2448</v>
      </c>
      <c r="G2360" t="str">
        <f>"0078"</f>
        <v>0078</v>
      </c>
      <c r="H2360" t="str">
        <f>"0001"</f>
        <v>0001</v>
      </c>
      <c r="I2360" t="s">
        <v>75</v>
      </c>
      <c r="J2360">
        <v>0</v>
      </c>
      <c r="K2360">
        <v>1</v>
      </c>
      <c r="L2360">
        <v>2</v>
      </c>
      <c r="M2360">
        <v>141</v>
      </c>
      <c r="N2360">
        <v>369</v>
      </c>
      <c r="O2360">
        <v>4</v>
      </c>
      <c r="P2360">
        <v>369</v>
      </c>
      <c r="Q2360">
        <v>7</v>
      </c>
      <c r="R2360">
        <v>106</v>
      </c>
      <c r="S2360">
        <v>1</v>
      </c>
      <c r="T2360">
        <v>1</v>
      </c>
      <c r="U2360">
        <v>3</v>
      </c>
      <c r="V2360">
        <v>2</v>
      </c>
      <c r="W2360">
        <v>2</v>
      </c>
      <c r="X2360">
        <v>223</v>
      </c>
      <c r="Y2360">
        <v>1</v>
      </c>
      <c r="Z2360">
        <v>4</v>
      </c>
      <c r="AA2360">
        <v>3</v>
      </c>
      <c r="AB2360">
        <v>5</v>
      </c>
      <c r="AD2360">
        <v>0</v>
      </c>
      <c r="AE2360">
        <v>3</v>
      </c>
      <c r="AF2360">
        <v>0</v>
      </c>
      <c r="AG2360">
        <v>0</v>
      </c>
      <c r="AH2360">
        <v>0</v>
      </c>
      <c r="AI2360">
        <v>0</v>
      </c>
      <c r="AJ2360">
        <v>8</v>
      </c>
      <c r="AK2360">
        <v>369</v>
      </c>
      <c r="AL2360">
        <v>369</v>
      </c>
      <c r="AM2360">
        <v>466</v>
      </c>
      <c r="AN2360">
        <v>44</v>
      </c>
      <c r="AP2360">
        <v>1</v>
      </c>
      <c r="AR2360" t="s">
        <v>2453</v>
      </c>
      <c r="AS2360" s="1">
        <v>44354.118055555555</v>
      </c>
      <c r="AT2360" s="1">
        <v>44354.120937500003</v>
      </c>
      <c r="AU2360" s="1">
        <v>44354.121793981481</v>
      </c>
      <c r="AV2360" t="s">
        <v>71</v>
      </c>
      <c r="AW2360" t="s">
        <v>72</v>
      </c>
      <c r="AX2360" t="s">
        <v>73</v>
      </c>
    </row>
    <row r="2361" spans="1:50" x14ac:dyDescent="0.3">
      <c r="A2361" t="str">
        <f>"200079B0000"</f>
        <v>200079B0000</v>
      </c>
      <c r="B2361" t="str">
        <f>"200079B00002"</f>
        <v>200079B00002</v>
      </c>
      <c r="C2361" t="str">
        <f t="shared" si="111"/>
        <v>20</v>
      </c>
      <c r="D2361" t="s">
        <v>67</v>
      </c>
      <c r="E2361" t="str">
        <f t="shared" si="113"/>
        <v>011</v>
      </c>
      <c r="F2361" t="s">
        <v>2448</v>
      </c>
      <c r="G2361" t="str">
        <f>"0079"</f>
        <v>0079</v>
      </c>
      <c r="H2361" t="str">
        <f>"0000"</f>
        <v>0000</v>
      </c>
      <c r="I2361" t="s">
        <v>69</v>
      </c>
      <c r="J2361">
        <v>0</v>
      </c>
      <c r="K2361">
        <v>1</v>
      </c>
      <c r="L2361">
        <v>2</v>
      </c>
      <c r="AM2361">
        <v>603</v>
      </c>
      <c r="AN2361">
        <v>44</v>
      </c>
      <c r="AO2361" t="s">
        <v>352</v>
      </c>
      <c r="AP2361">
        <v>0</v>
      </c>
      <c r="AR2361" t="s">
        <v>2454</v>
      </c>
      <c r="AS2361" s="1">
        <v>44354.423611111109</v>
      </c>
      <c r="AT2361" s="1">
        <v>44354.435219907406</v>
      </c>
      <c r="AU2361" s="1">
        <v>44354.435219907406</v>
      </c>
      <c r="AV2361" t="s">
        <v>71</v>
      </c>
      <c r="AW2361" t="s">
        <v>72</v>
      </c>
      <c r="AX2361" t="s">
        <v>73</v>
      </c>
    </row>
    <row r="2362" spans="1:50" x14ac:dyDescent="0.3">
      <c r="A2362" t="str">
        <f>"200079C0100"</f>
        <v>200079C0100</v>
      </c>
      <c r="B2362" t="str">
        <f>"200079C01002"</f>
        <v>200079C01002</v>
      </c>
      <c r="C2362" t="str">
        <f t="shared" si="111"/>
        <v>20</v>
      </c>
      <c r="D2362" t="s">
        <v>67</v>
      </c>
      <c r="E2362" t="str">
        <f t="shared" si="113"/>
        <v>011</v>
      </c>
      <c r="F2362" t="s">
        <v>2448</v>
      </c>
      <c r="G2362" t="str">
        <f>"0079"</f>
        <v>0079</v>
      </c>
      <c r="H2362" t="str">
        <f>"0001"</f>
        <v>0001</v>
      </c>
      <c r="I2362" t="s">
        <v>75</v>
      </c>
      <c r="J2362">
        <v>0</v>
      </c>
      <c r="K2362">
        <v>1</v>
      </c>
      <c r="L2362">
        <v>2</v>
      </c>
      <c r="AM2362">
        <v>602</v>
      </c>
      <c r="AN2362">
        <v>44</v>
      </c>
      <c r="AO2362" t="s">
        <v>352</v>
      </c>
      <c r="AP2362">
        <v>0</v>
      </c>
      <c r="AR2362" t="s">
        <v>2455</v>
      </c>
      <c r="AS2362" s="1">
        <v>44354.423611111109</v>
      </c>
      <c r="AT2362" s="1">
        <v>44354.43546296296</v>
      </c>
      <c r="AU2362" s="1">
        <v>44354.43546296296</v>
      </c>
      <c r="AV2362" t="s">
        <v>71</v>
      </c>
      <c r="AW2362" t="s">
        <v>72</v>
      </c>
      <c r="AX2362" t="s">
        <v>73</v>
      </c>
    </row>
    <row r="2363" spans="1:50" x14ac:dyDescent="0.3">
      <c r="A2363" t="str">
        <f>"200079C0200"</f>
        <v>200079C0200</v>
      </c>
      <c r="B2363" t="str">
        <f>"200079C02002"</f>
        <v>200079C02002</v>
      </c>
      <c r="C2363" t="str">
        <f t="shared" si="111"/>
        <v>20</v>
      </c>
      <c r="D2363" t="s">
        <v>67</v>
      </c>
      <c r="E2363" t="str">
        <f t="shared" si="113"/>
        <v>011</v>
      </c>
      <c r="F2363" t="s">
        <v>2448</v>
      </c>
      <c r="G2363" t="str">
        <f>"0079"</f>
        <v>0079</v>
      </c>
      <c r="H2363" t="str">
        <f>"0002"</f>
        <v>0002</v>
      </c>
      <c r="I2363" t="s">
        <v>75</v>
      </c>
      <c r="J2363">
        <v>0</v>
      </c>
      <c r="K2363">
        <v>1</v>
      </c>
      <c r="L2363">
        <v>2</v>
      </c>
      <c r="AM2363">
        <v>602</v>
      </c>
      <c r="AN2363">
        <v>44</v>
      </c>
      <c r="AO2363" t="s">
        <v>352</v>
      </c>
      <c r="AP2363">
        <v>0</v>
      </c>
      <c r="AR2363" t="s">
        <v>2456</v>
      </c>
      <c r="AS2363" s="1">
        <v>44354.423611111109</v>
      </c>
      <c r="AT2363" s="1">
        <v>44354.435682870368</v>
      </c>
      <c r="AU2363" s="1">
        <v>44354.435682870368</v>
      </c>
      <c r="AV2363" t="s">
        <v>71</v>
      </c>
      <c r="AW2363" t="s">
        <v>72</v>
      </c>
      <c r="AX2363" t="s">
        <v>73</v>
      </c>
    </row>
    <row r="2364" spans="1:50" x14ac:dyDescent="0.3">
      <c r="A2364" t="str">
        <f>"200080B0000"</f>
        <v>200080B0000</v>
      </c>
      <c r="B2364" t="str">
        <f>"200080B00002"</f>
        <v>200080B00002</v>
      </c>
      <c r="C2364" t="str">
        <f t="shared" si="111"/>
        <v>20</v>
      </c>
      <c r="D2364" t="s">
        <v>67</v>
      </c>
      <c r="E2364" t="str">
        <f t="shared" si="113"/>
        <v>011</v>
      </c>
      <c r="F2364" t="s">
        <v>2448</v>
      </c>
      <c r="G2364" t="str">
        <f>"0080"</f>
        <v>0080</v>
      </c>
      <c r="H2364" t="str">
        <f>"0000"</f>
        <v>0000</v>
      </c>
      <c r="I2364" t="s">
        <v>69</v>
      </c>
      <c r="J2364">
        <v>0</v>
      </c>
      <c r="K2364">
        <v>1</v>
      </c>
      <c r="L2364">
        <v>2</v>
      </c>
      <c r="M2364">
        <v>234</v>
      </c>
      <c r="N2364">
        <v>378</v>
      </c>
      <c r="O2364">
        <v>2</v>
      </c>
      <c r="P2364">
        <v>378</v>
      </c>
      <c r="Q2364">
        <v>16</v>
      </c>
      <c r="R2364">
        <v>76</v>
      </c>
      <c r="S2364">
        <v>1</v>
      </c>
      <c r="T2364">
        <v>3</v>
      </c>
      <c r="U2364">
        <v>9</v>
      </c>
      <c r="V2364">
        <v>0</v>
      </c>
      <c r="W2364">
        <v>1</v>
      </c>
      <c r="X2364">
        <v>246</v>
      </c>
      <c r="Y2364">
        <v>0</v>
      </c>
      <c r="Z2364">
        <v>0</v>
      </c>
      <c r="AA2364">
        <v>2</v>
      </c>
      <c r="AB2364">
        <v>14</v>
      </c>
      <c r="AD2364">
        <v>3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7</v>
      </c>
      <c r="AK2364">
        <v>378</v>
      </c>
      <c r="AL2364">
        <v>378</v>
      </c>
      <c r="AM2364">
        <v>568</v>
      </c>
      <c r="AN2364">
        <v>44</v>
      </c>
      <c r="AP2364">
        <v>1</v>
      </c>
      <c r="AR2364" t="s">
        <v>2457</v>
      </c>
      <c r="AS2364" s="1">
        <v>44354.06527777778</v>
      </c>
      <c r="AT2364" s="1">
        <v>44354.070208333331</v>
      </c>
      <c r="AU2364" s="1">
        <v>44354.070729166669</v>
      </c>
      <c r="AV2364" t="s">
        <v>71</v>
      </c>
      <c r="AW2364" t="s">
        <v>72</v>
      </c>
      <c r="AX2364" t="s">
        <v>73</v>
      </c>
    </row>
    <row r="2365" spans="1:50" x14ac:dyDescent="0.3">
      <c r="A2365" t="str">
        <f>"200080C0100"</f>
        <v>200080C0100</v>
      </c>
      <c r="B2365" t="str">
        <f>"200080C01002"</f>
        <v>200080C01002</v>
      </c>
      <c r="C2365" t="str">
        <f t="shared" si="111"/>
        <v>20</v>
      </c>
      <c r="D2365" t="s">
        <v>67</v>
      </c>
      <c r="E2365" t="str">
        <f t="shared" si="113"/>
        <v>011</v>
      </c>
      <c r="F2365" t="s">
        <v>2448</v>
      </c>
      <c r="G2365" t="str">
        <f>"0080"</f>
        <v>0080</v>
      </c>
      <c r="H2365" t="str">
        <f>"0001"</f>
        <v>0001</v>
      </c>
      <c r="I2365" t="s">
        <v>75</v>
      </c>
      <c r="J2365">
        <v>0</v>
      </c>
      <c r="K2365">
        <v>1</v>
      </c>
      <c r="L2365">
        <v>2</v>
      </c>
      <c r="M2365">
        <v>230</v>
      </c>
      <c r="N2365">
        <v>382</v>
      </c>
      <c r="O2365">
        <v>4</v>
      </c>
      <c r="P2365">
        <v>382</v>
      </c>
      <c r="Q2365">
        <v>10</v>
      </c>
      <c r="R2365">
        <v>103</v>
      </c>
      <c r="S2365">
        <v>2</v>
      </c>
      <c r="T2365">
        <v>1</v>
      </c>
      <c r="U2365">
        <v>3</v>
      </c>
      <c r="V2365">
        <v>2</v>
      </c>
      <c r="W2365">
        <v>1</v>
      </c>
      <c r="X2365">
        <v>222</v>
      </c>
      <c r="Y2365">
        <v>2</v>
      </c>
      <c r="Z2365">
        <v>6</v>
      </c>
      <c r="AA2365">
        <v>0</v>
      </c>
      <c r="AB2365">
        <v>15</v>
      </c>
      <c r="AD2365">
        <v>5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10</v>
      </c>
      <c r="AK2365">
        <v>382</v>
      </c>
      <c r="AL2365">
        <v>382</v>
      </c>
      <c r="AM2365">
        <v>568</v>
      </c>
      <c r="AN2365">
        <v>44</v>
      </c>
      <c r="AP2365">
        <v>1</v>
      </c>
      <c r="AR2365" t="s">
        <v>2458</v>
      </c>
      <c r="AS2365" s="1">
        <v>44354.05972222222</v>
      </c>
      <c r="AT2365" s="1">
        <v>44354.066192129627</v>
      </c>
      <c r="AU2365" s="1">
        <v>44354.067361111112</v>
      </c>
      <c r="AV2365" t="s">
        <v>71</v>
      </c>
      <c r="AW2365" t="s">
        <v>72</v>
      </c>
      <c r="AX2365" t="s">
        <v>73</v>
      </c>
    </row>
    <row r="2366" spans="1:50" x14ac:dyDescent="0.3">
      <c r="A2366" t="str">
        <f>"200081B0000"</f>
        <v>200081B0000</v>
      </c>
      <c r="B2366" t="str">
        <f>"200081B00002"</f>
        <v>200081B00002</v>
      </c>
      <c r="C2366" t="str">
        <f t="shared" si="111"/>
        <v>20</v>
      </c>
      <c r="D2366" t="s">
        <v>67</v>
      </c>
      <c r="E2366" t="str">
        <f t="shared" si="113"/>
        <v>011</v>
      </c>
      <c r="F2366" t="s">
        <v>2448</v>
      </c>
      <c r="G2366" t="str">
        <f>"0081"</f>
        <v>0081</v>
      </c>
      <c r="H2366" t="str">
        <f>"0000"</f>
        <v>0000</v>
      </c>
      <c r="I2366" t="s">
        <v>69</v>
      </c>
      <c r="J2366">
        <v>0</v>
      </c>
      <c r="K2366">
        <v>1</v>
      </c>
      <c r="L2366">
        <v>2</v>
      </c>
      <c r="AM2366">
        <v>149</v>
      </c>
      <c r="AN2366">
        <v>44</v>
      </c>
      <c r="AO2366" t="s">
        <v>143</v>
      </c>
      <c r="AP2366">
        <v>0</v>
      </c>
      <c r="AR2366" t="s">
        <v>2459</v>
      </c>
      <c r="AS2366" s="1">
        <v>44354.423611111109</v>
      </c>
      <c r="AT2366" s="1">
        <v>44354.435949074075</v>
      </c>
      <c r="AU2366" s="1">
        <v>44354.435949074075</v>
      </c>
      <c r="AV2366" t="s">
        <v>71</v>
      </c>
      <c r="AW2366" t="s">
        <v>72</v>
      </c>
      <c r="AX2366" t="s">
        <v>73</v>
      </c>
    </row>
    <row r="2367" spans="1:50" x14ac:dyDescent="0.3">
      <c r="A2367" t="str">
        <f>"200082B0000"</f>
        <v>200082B0000</v>
      </c>
      <c r="B2367" t="str">
        <f>"200082B00002"</f>
        <v>200082B00002</v>
      </c>
      <c r="C2367" t="str">
        <f t="shared" si="111"/>
        <v>20</v>
      </c>
      <c r="D2367" t="s">
        <v>67</v>
      </c>
      <c r="E2367" t="str">
        <f t="shared" si="113"/>
        <v>011</v>
      </c>
      <c r="F2367" t="s">
        <v>2448</v>
      </c>
      <c r="G2367" t="str">
        <f>"0082"</f>
        <v>0082</v>
      </c>
      <c r="H2367" t="str">
        <f>"0000"</f>
        <v>0000</v>
      </c>
      <c r="I2367" t="s">
        <v>69</v>
      </c>
      <c r="J2367">
        <v>0</v>
      </c>
      <c r="K2367">
        <v>1</v>
      </c>
      <c r="L2367">
        <v>2</v>
      </c>
      <c r="AM2367">
        <v>505</v>
      </c>
      <c r="AN2367">
        <v>44</v>
      </c>
      <c r="AO2367" t="s">
        <v>352</v>
      </c>
      <c r="AP2367">
        <v>0</v>
      </c>
      <c r="AR2367" t="s">
        <v>2460</v>
      </c>
      <c r="AS2367" s="1">
        <v>44354.423611111109</v>
      </c>
      <c r="AT2367" s="1">
        <v>44354.436562499999</v>
      </c>
      <c r="AU2367" s="1">
        <v>44354.436562499999</v>
      </c>
      <c r="AV2367" t="s">
        <v>71</v>
      </c>
      <c r="AW2367" t="s">
        <v>72</v>
      </c>
      <c r="AX2367" t="s">
        <v>73</v>
      </c>
    </row>
    <row r="2368" spans="1:50" x14ac:dyDescent="0.3">
      <c r="A2368" t="str">
        <f>"200082C0100"</f>
        <v>200082C0100</v>
      </c>
      <c r="B2368" t="str">
        <f>"200082C01002"</f>
        <v>200082C01002</v>
      </c>
      <c r="C2368" t="str">
        <f t="shared" si="111"/>
        <v>20</v>
      </c>
      <c r="D2368" t="s">
        <v>67</v>
      </c>
      <c r="E2368" t="str">
        <f t="shared" si="113"/>
        <v>011</v>
      </c>
      <c r="F2368" t="s">
        <v>2448</v>
      </c>
      <c r="G2368" t="str">
        <f>"0082"</f>
        <v>0082</v>
      </c>
      <c r="H2368" t="str">
        <f>"0001"</f>
        <v>0001</v>
      </c>
      <c r="I2368" t="s">
        <v>75</v>
      </c>
      <c r="J2368">
        <v>0</v>
      </c>
      <c r="K2368">
        <v>1</v>
      </c>
      <c r="L2368">
        <v>2</v>
      </c>
      <c r="M2368">
        <v>322</v>
      </c>
      <c r="N2368">
        <v>322</v>
      </c>
      <c r="O2368">
        <v>0</v>
      </c>
      <c r="P2368" t="s">
        <v>80</v>
      </c>
      <c r="Q2368">
        <v>6</v>
      </c>
      <c r="R2368">
        <v>76</v>
      </c>
      <c r="S2368">
        <v>4</v>
      </c>
      <c r="T2368">
        <v>3</v>
      </c>
      <c r="U2368">
        <v>0</v>
      </c>
      <c r="V2368">
        <v>3</v>
      </c>
      <c r="W2368" t="s">
        <v>77</v>
      </c>
      <c r="X2368">
        <v>207</v>
      </c>
      <c r="Y2368" t="s">
        <v>77</v>
      </c>
      <c r="Z2368">
        <v>2</v>
      </c>
      <c r="AA2368">
        <v>6</v>
      </c>
      <c r="AB2368">
        <v>4</v>
      </c>
      <c r="AD2368">
        <v>1</v>
      </c>
      <c r="AE2368" t="s">
        <v>77</v>
      </c>
      <c r="AF2368" t="s">
        <v>77</v>
      </c>
      <c r="AG2368" t="s">
        <v>77</v>
      </c>
      <c r="AH2368" t="s">
        <v>77</v>
      </c>
      <c r="AI2368" t="s">
        <v>77</v>
      </c>
      <c r="AJ2368">
        <v>10</v>
      </c>
      <c r="AK2368" t="s">
        <v>77</v>
      </c>
      <c r="AL2368">
        <v>322</v>
      </c>
      <c r="AM2368">
        <v>504</v>
      </c>
      <c r="AN2368">
        <v>44</v>
      </c>
      <c r="AO2368" t="s">
        <v>78</v>
      </c>
      <c r="AP2368">
        <v>1</v>
      </c>
      <c r="AR2368" t="s">
        <v>2461</v>
      </c>
      <c r="AS2368" s="1">
        <v>44354.074305555558</v>
      </c>
      <c r="AT2368" s="1">
        <v>44354.082175925927</v>
      </c>
      <c r="AU2368" s="1">
        <v>44354.082627314812</v>
      </c>
      <c r="AV2368" t="s">
        <v>71</v>
      </c>
      <c r="AW2368" t="s">
        <v>72</v>
      </c>
      <c r="AX2368" t="s">
        <v>73</v>
      </c>
    </row>
    <row r="2369" spans="1:50" x14ac:dyDescent="0.3">
      <c r="A2369" t="str">
        <f>"200083B0000"</f>
        <v>200083B0000</v>
      </c>
      <c r="B2369" t="str">
        <f>"200083B00002"</f>
        <v>200083B00002</v>
      </c>
      <c r="C2369" t="str">
        <f t="shared" si="111"/>
        <v>20</v>
      </c>
      <c r="D2369" t="s">
        <v>67</v>
      </c>
      <c r="E2369" t="str">
        <f t="shared" si="113"/>
        <v>011</v>
      </c>
      <c r="F2369" t="s">
        <v>2448</v>
      </c>
      <c r="G2369" t="str">
        <f>"0083"</f>
        <v>0083</v>
      </c>
      <c r="H2369" t="str">
        <f>"0000"</f>
        <v>0000</v>
      </c>
      <c r="I2369" t="s">
        <v>69</v>
      </c>
      <c r="J2369">
        <v>0</v>
      </c>
      <c r="K2369">
        <v>1</v>
      </c>
      <c r="L2369">
        <v>2</v>
      </c>
      <c r="M2369">
        <v>163</v>
      </c>
      <c r="N2369">
        <v>326</v>
      </c>
      <c r="O2369">
        <v>1</v>
      </c>
      <c r="P2369">
        <v>326</v>
      </c>
      <c r="Q2369">
        <v>0</v>
      </c>
      <c r="R2369">
        <v>72</v>
      </c>
      <c r="S2369">
        <v>1</v>
      </c>
      <c r="T2369">
        <v>2</v>
      </c>
      <c r="U2369">
        <v>0</v>
      </c>
      <c r="V2369">
        <v>1</v>
      </c>
      <c r="W2369">
        <v>2</v>
      </c>
      <c r="X2369">
        <v>223</v>
      </c>
      <c r="Y2369">
        <v>4</v>
      </c>
      <c r="Z2369">
        <v>3</v>
      </c>
      <c r="AA2369">
        <v>2</v>
      </c>
      <c r="AB2369">
        <v>11</v>
      </c>
      <c r="AD2369">
        <v>1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4</v>
      </c>
      <c r="AK2369">
        <v>326</v>
      </c>
      <c r="AL2369">
        <v>326</v>
      </c>
      <c r="AM2369">
        <v>445</v>
      </c>
      <c r="AN2369">
        <v>44</v>
      </c>
      <c r="AP2369">
        <v>1</v>
      </c>
      <c r="AR2369" t="s">
        <v>2462</v>
      </c>
      <c r="AS2369" s="1">
        <v>44354.030555555553</v>
      </c>
      <c r="AT2369" s="1">
        <v>44354.039837962962</v>
      </c>
      <c r="AU2369" s="1">
        <v>44354.04047453704</v>
      </c>
      <c r="AV2369" t="s">
        <v>71</v>
      </c>
      <c r="AW2369" t="s">
        <v>72</v>
      </c>
      <c r="AX2369" t="s">
        <v>73</v>
      </c>
    </row>
    <row r="2370" spans="1:50" x14ac:dyDescent="0.3">
      <c r="A2370" t="str">
        <f>"200083E0100"</f>
        <v>200083E0100</v>
      </c>
      <c r="B2370" t="str">
        <f>"200083E01002"</f>
        <v>200083E01002</v>
      </c>
      <c r="C2370" t="str">
        <f t="shared" si="111"/>
        <v>20</v>
      </c>
      <c r="D2370" t="s">
        <v>67</v>
      </c>
      <c r="E2370" t="str">
        <f t="shared" si="113"/>
        <v>011</v>
      </c>
      <c r="F2370" t="s">
        <v>2448</v>
      </c>
      <c r="G2370" t="str">
        <f>"0083"</f>
        <v>0083</v>
      </c>
      <c r="H2370" t="str">
        <f>"0001"</f>
        <v>0001</v>
      </c>
      <c r="I2370" t="s">
        <v>109</v>
      </c>
      <c r="J2370">
        <v>0</v>
      </c>
      <c r="K2370">
        <v>1</v>
      </c>
      <c r="L2370">
        <v>2</v>
      </c>
      <c r="M2370">
        <v>86</v>
      </c>
      <c r="N2370">
        <v>123</v>
      </c>
      <c r="O2370">
        <v>2</v>
      </c>
      <c r="P2370">
        <v>123</v>
      </c>
      <c r="Q2370">
        <v>1</v>
      </c>
      <c r="R2370">
        <v>25</v>
      </c>
      <c r="S2370">
        <v>1</v>
      </c>
      <c r="T2370">
        <v>1</v>
      </c>
      <c r="U2370">
        <v>0</v>
      </c>
      <c r="V2370">
        <v>0</v>
      </c>
      <c r="W2370">
        <v>0</v>
      </c>
      <c r="X2370">
        <v>93</v>
      </c>
      <c r="Y2370">
        <v>1</v>
      </c>
      <c r="Z2370">
        <v>0</v>
      </c>
      <c r="AA2370">
        <v>0</v>
      </c>
      <c r="AB2370">
        <v>1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123</v>
      </c>
      <c r="AL2370">
        <v>123</v>
      </c>
      <c r="AM2370">
        <v>165</v>
      </c>
      <c r="AN2370">
        <v>44</v>
      </c>
      <c r="AP2370">
        <v>1</v>
      </c>
      <c r="AR2370" t="s">
        <v>2463</v>
      </c>
      <c r="AS2370" s="1">
        <v>44354.02847222222</v>
      </c>
      <c r="AT2370" s="1">
        <v>44354.036030092589</v>
      </c>
      <c r="AU2370" s="1">
        <v>44354.036423611113</v>
      </c>
      <c r="AV2370" t="s">
        <v>71</v>
      </c>
      <c r="AW2370" t="s">
        <v>72</v>
      </c>
      <c r="AX2370" t="s">
        <v>73</v>
      </c>
    </row>
    <row r="2371" spans="1:50" x14ac:dyDescent="0.3">
      <c r="A2371" t="str">
        <f>"200084B0000"</f>
        <v>200084B0000</v>
      </c>
      <c r="B2371" t="str">
        <f>"200084B00002"</f>
        <v>200084B00002</v>
      </c>
      <c r="C2371" t="str">
        <f t="shared" si="111"/>
        <v>20</v>
      </c>
      <c r="D2371" t="s">
        <v>67</v>
      </c>
      <c r="E2371" t="str">
        <f t="shared" si="113"/>
        <v>011</v>
      </c>
      <c r="F2371" t="s">
        <v>2448</v>
      </c>
      <c r="G2371" t="str">
        <f>"0084"</f>
        <v>0084</v>
      </c>
      <c r="H2371" t="str">
        <f>"0000"</f>
        <v>0000</v>
      </c>
      <c r="I2371" t="s">
        <v>69</v>
      </c>
      <c r="J2371">
        <v>0</v>
      </c>
      <c r="K2371">
        <v>1</v>
      </c>
      <c r="L2371">
        <v>2</v>
      </c>
      <c r="M2371">
        <v>109</v>
      </c>
      <c r="N2371">
        <v>144</v>
      </c>
      <c r="O2371">
        <v>1</v>
      </c>
      <c r="P2371">
        <v>144</v>
      </c>
      <c r="Q2371">
        <v>5</v>
      </c>
      <c r="R2371">
        <v>16</v>
      </c>
      <c r="S2371">
        <v>0</v>
      </c>
      <c r="T2371">
        <v>0</v>
      </c>
      <c r="U2371">
        <v>0</v>
      </c>
      <c r="V2371">
        <v>0</v>
      </c>
      <c r="W2371">
        <v>1</v>
      </c>
      <c r="X2371">
        <v>111</v>
      </c>
      <c r="Y2371">
        <v>1</v>
      </c>
      <c r="Z2371">
        <v>0</v>
      </c>
      <c r="AA2371">
        <v>0</v>
      </c>
      <c r="AB2371">
        <v>4</v>
      </c>
      <c r="AD2371">
        <v>1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5</v>
      </c>
      <c r="AK2371">
        <v>144</v>
      </c>
      <c r="AL2371">
        <v>144</v>
      </c>
      <c r="AM2371">
        <v>209</v>
      </c>
      <c r="AN2371">
        <v>44</v>
      </c>
      <c r="AP2371">
        <v>1</v>
      </c>
      <c r="AR2371" t="s">
        <v>2464</v>
      </c>
      <c r="AS2371" s="1">
        <v>44354.061805555553</v>
      </c>
      <c r="AT2371" s="1">
        <v>44354.068055555559</v>
      </c>
      <c r="AU2371" s="1">
        <v>44354.068726851852</v>
      </c>
      <c r="AV2371" t="s">
        <v>71</v>
      </c>
      <c r="AW2371" t="s">
        <v>72</v>
      </c>
      <c r="AX2371" t="s">
        <v>73</v>
      </c>
    </row>
    <row r="2372" spans="1:50" x14ac:dyDescent="0.3">
      <c r="A2372" t="str">
        <f>"200084E0100"</f>
        <v>200084E0100</v>
      </c>
      <c r="B2372" t="str">
        <f>"200084E01002"</f>
        <v>200084E01002</v>
      </c>
      <c r="C2372" t="str">
        <f t="shared" si="111"/>
        <v>20</v>
      </c>
      <c r="D2372" t="s">
        <v>67</v>
      </c>
      <c r="E2372" t="str">
        <f t="shared" si="113"/>
        <v>011</v>
      </c>
      <c r="F2372" t="s">
        <v>2448</v>
      </c>
      <c r="G2372" t="str">
        <f>"0084"</f>
        <v>0084</v>
      </c>
      <c r="H2372" t="str">
        <f>"0001"</f>
        <v>0001</v>
      </c>
      <c r="I2372" t="s">
        <v>109</v>
      </c>
      <c r="J2372">
        <v>0</v>
      </c>
      <c r="K2372">
        <v>1</v>
      </c>
      <c r="L2372">
        <v>2</v>
      </c>
      <c r="M2372">
        <v>168</v>
      </c>
      <c r="N2372">
        <v>337</v>
      </c>
      <c r="O2372">
        <v>2</v>
      </c>
      <c r="P2372">
        <v>1</v>
      </c>
      <c r="Q2372">
        <v>5</v>
      </c>
      <c r="R2372">
        <v>102</v>
      </c>
      <c r="S2372">
        <v>2</v>
      </c>
      <c r="T2372">
        <v>1</v>
      </c>
      <c r="U2372">
        <v>1</v>
      </c>
      <c r="V2372">
        <v>5</v>
      </c>
      <c r="W2372">
        <v>3</v>
      </c>
      <c r="X2372">
        <v>197</v>
      </c>
      <c r="Y2372">
        <v>0</v>
      </c>
      <c r="Z2372">
        <v>2</v>
      </c>
      <c r="AA2372">
        <v>1</v>
      </c>
      <c r="AB2372">
        <v>3</v>
      </c>
      <c r="AD2372">
        <v>2</v>
      </c>
      <c r="AE2372">
        <v>2</v>
      </c>
      <c r="AF2372">
        <v>1</v>
      </c>
      <c r="AG2372">
        <v>0</v>
      </c>
      <c r="AH2372">
        <v>0</v>
      </c>
      <c r="AI2372">
        <v>0</v>
      </c>
      <c r="AJ2372">
        <v>4</v>
      </c>
      <c r="AK2372">
        <v>332</v>
      </c>
      <c r="AL2372">
        <v>331</v>
      </c>
      <c r="AM2372">
        <v>461</v>
      </c>
      <c r="AN2372">
        <v>44</v>
      </c>
      <c r="AP2372">
        <v>1</v>
      </c>
      <c r="AR2372" t="s">
        <v>2465</v>
      </c>
      <c r="AS2372" s="1">
        <v>44354.066666666666</v>
      </c>
      <c r="AT2372" s="1">
        <v>44354.072395833333</v>
      </c>
      <c r="AU2372" s="1">
        <v>44354.072881944441</v>
      </c>
      <c r="AV2372" t="s">
        <v>71</v>
      </c>
      <c r="AW2372" t="s">
        <v>72</v>
      </c>
      <c r="AX2372" t="s">
        <v>73</v>
      </c>
    </row>
    <row r="2373" spans="1:50" x14ac:dyDescent="0.3">
      <c r="A2373" t="str">
        <f>"200084E0101"</f>
        <v>200084E0101</v>
      </c>
      <c r="B2373" t="str">
        <f>"200084E01012"</f>
        <v>200084E01012</v>
      </c>
      <c r="C2373" t="str">
        <f t="shared" si="111"/>
        <v>20</v>
      </c>
      <c r="D2373" t="s">
        <v>67</v>
      </c>
      <c r="E2373" t="str">
        <f t="shared" si="113"/>
        <v>011</v>
      </c>
      <c r="F2373" t="s">
        <v>2448</v>
      </c>
      <c r="G2373" t="str">
        <f>"0084"</f>
        <v>0084</v>
      </c>
      <c r="H2373" t="str">
        <f>"0001"</f>
        <v>0001</v>
      </c>
      <c r="I2373" t="s">
        <v>109</v>
      </c>
      <c r="J2373">
        <v>1</v>
      </c>
      <c r="K2373">
        <v>1</v>
      </c>
      <c r="L2373">
        <v>2</v>
      </c>
      <c r="M2373" t="s">
        <v>80</v>
      </c>
      <c r="N2373" t="s">
        <v>80</v>
      </c>
      <c r="O2373" t="s">
        <v>80</v>
      </c>
      <c r="P2373" t="s">
        <v>80</v>
      </c>
      <c r="Q2373">
        <v>3</v>
      </c>
      <c r="R2373">
        <v>103</v>
      </c>
      <c r="S2373">
        <v>4</v>
      </c>
      <c r="T2373">
        <v>1</v>
      </c>
      <c r="U2373">
        <v>2</v>
      </c>
      <c r="V2373">
        <v>1</v>
      </c>
      <c r="W2373">
        <v>1</v>
      </c>
      <c r="X2373">
        <v>191</v>
      </c>
      <c r="Y2373">
        <v>0</v>
      </c>
      <c r="Z2373">
        <v>2</v>
      </c>
      <c r="AA2373">
        <v>1</v>
      </c>
      <c r="AB2373">
        <v>4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4</v>
      </c>
      <c r="AK2373" t="s">
        <v>99</v>
      </c>
      <c r="AL2373">
        <v>317</v>
      </c>
      <c r="AM2373">
        <v>460</v>
      </c>
      <c r="AN2373">
        <v>44</v>
      </c>
      <c r="AP2373">
        <v>1</v>
      </c>
      <c r="AR2373" t="s">
        <v>2466</v>
      </c>
      <c r="AS2373" s="1">
        <v>44354.068749999999</v>
      </c>
      <c r="AT2373" s="1">
        <v>44354.075972222221</v>
      </c>
      <c r="AU2373" s="1">
        <v>44354.076631944445</v>
      </c>
      <c r="AV2373" t="s">
        <v>71</v>
      </c>
      <c r="AW2373" t="s">
        <v>72</v>
      </c>
      <c r="AX2373" t="s">
        <v>73</v>
      </c>
    </row>
    <row r="2374" spans="1:50" x14ac:dyDescent="0.3">
      <c r="A2374" t="str">
        <f>"200085B0000"</f>
        <v>200085B0000</v>
      </c>
      <c r="B2374" t="str">
        <f>"200085B00002"</f>
        <v>200085B00002</v>
      </c>
      <c r="C2374" t="str">
        <f t="shared" si="111"/>
        <v>20</v>
      </c>
      <c r="D2374" t="s">
        <v>67</v>
      </c>
      <c r="E2374" t="str">
        <f t="shared" si="113"/>
        <v>011</v>
      </c>
      <c r="F2374" t="s">
        <v>2448</v>
      </c>
      <c r="G2374" t="str">
        <f>"0085"</f>
        <v>0085</v>
      </c>
      <c r="H2374" t="str">
        <f>"0000"</f>
        <v>0000</v>
      </c>
      <c r="I2374" t="s">
        <v>69</v>
      </c>
      <c r="J2374">
        <v>0</v>
      </c>
      <c r="K2374">
        <v>1</v>
      </c>
      <c r="L2374">
        <v>2</v>
      </c>
      <c r="M2374">
        <v>73</v>
      </c>
      <c r="N2374">
        <v>118</v>
      </c>
      <c r="O2374">
        <v>6</v>
      </c>
      <c r="P2374">
        <v>118</v>
      </c>
      <c r="Q2374">
        <v>1</v>
      </c>
      <c r="R2374">
        <v>16</v>
      </c>
      <c r="S2374">
        <v>2</v>
      </c>
      <c r="T2374">
        <v>1</v>
      </c>
      <c r="U2374">
        <v>0</v>
      </c>
      <c r="V2374">
        <v>0</v>
      </c>
      <c r="W2374">
        <v>1</v>
      </c>
      <c r="X2374">
        <v>86</v>
      </c>
      <c r="Y2374">
        <v>1</v>
      </c>
      <c r="Z2374">
        <v>4</v>
      </c>
      <c r="AA2374">
        <v>3</v>
      </c>
      <c r="AB2374">
        <v>1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2</v>
      </c>
      <c r="AK2374">
        <v>118</v>
      </c>
      <c r="AL2374">
        <v>118</v>
      </c>
      <c r="AM2374">
        <v>147</v>
      </c>
      <c r="AN2374">
        <v>44</v>
      </c>
      <c r="AP2374">
        <v>1</v>
      </c>
      <c r="AR2374" t="s">
        <v>2467</v>
      </c>
      <c r="AS2374" s="1">
        <v>44354.120833333334</v>
      </c>
      <c r="AT2374" s="1">
        <v>44354.123078703706</v>
      </c>
      <c r="AU2374" s="1">
        <v>44354.12358796296</v>
      </c>
      <c r="AV2374" t="s">
        <v>71</v>
      </c>
      <c r="AW2374" t="s">
        <v>72</v>
      </c>
      <c r="AX2374" t="s">
        <v>73</v>
      </c>
    </row>
    <row r="2375" spans="1:50" x14ac:dyDescent="0.3">
      <c r="A2375" t="str">
        <f>"200085E0100"</f>
        <v>200085E0100</v>
      </c>
      <c r="B2375" t="str">
        <f>"200085E01002"</f>
        <v>200085E01002</v>
      </c>
      <c r="C2375" t="str">
        <f t="shared" ref="C2375:C2438" si="114">"20"</f>
        <v>20</v>
      </c>
      <c r="D2375" t="s">
        <v>67</v>
      </c>
      <c r="E2375" t="str">
        <f t="shared" si="113"/>
        <v>011</v>
      </c>
      <c r="F2375" t="s">
        <v>2448</v>
      </c>
      <c r="G2375" t="str">
        <f>"0085"</f>
        <v>0085</v>
      </c>
      <c r="H2375" t="str">
        <f>"0001"</f>
        <v>0001</v>
      </c>
      <c r="I2375" t="s">
        <v>109</v>
      </c>
      <c r="J2375">
        <v>0</v>
      </c>
      <c r="K2375">
        <v>1</v>
      </c>
      <c r="L2375">
        <v>2</v>
      </c>
      <c r="M2375">
        <v>97</v>
      </c>
      <c r="N2375">
        <v>237</v>
      </c>
      <c r="O2375">
        <v>2</v>
      </c>
      <c r="P2375">
        <v>237</v>
      </c>
      <c r="Q2375">
        <v>3</v>
      </c>
      <c r="R2375">
        <v>38</v>
      </c>
      <c r="S2375">
        <v>0</v>
      </c>
      <c r="T2375">
        <v>0</v>
      </c>
      <c r="U2375">
        <v>1</v>
      </c>
      <c r="V2375">
        <v>1</v>
      </c>
      <c r="W2375">
        <v>2</v>
      </c>
      <c r="X2375">
        <v>182</v>
      </c>
      <c r="Y2375">
        <v>0</v>
      </c>
      <c r="Z2375">
        <v>1</v>
      </c>
      <c r="AA2375">
        <v>5</v>
      </c>
      <c r="AB2375">
        <v>3</v>
      </c>
      <c r="AD2375">
        <v>1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237</v>
      </c>
      <c r="AL2375">
        <v>237</v>
      </c>
      <c r="AM2375">
        <v>290</v>
      </c>
      <c r="AN2375">
        <v>44</v>
      </c>
      <c r="AP2375">
        <v>1</v>
      </c>
      <c r="AR2375" t="s">
        <v>2468</v>
      </c>
      <c r="AS2375" s="1">
        <v>44354.113888888889</v>
      </c>
      <c r="AT2375" s="1">
        <v>44354.116967592592</v>
      </c>
      <c r="AU2375" s="1">
        <v>44354.117384259262</v>
      </c>
      <c r="AV2375" t="s">
        <v>71</v>
      </c>
      <c r="AW2375" t="s">
        <v>72</v>
      </c>
      <c r="AX2375" t="s">
        <v>73</v>
      </c>
    </row>
    <row r="2376" spans="1:50" x14ac:dyDescent="0.3">
      <c r="A2376" t="str">
        <f>"200086B0000"</f>
        <v>200086B0000</v>
      </c>
      <c r="B2376" t="str">
        <f>"200086B00002"</f>
        <v>200086B00002</v>
      </c>
      <c r="C2376" t="str">
        <f t="shared" si="114"/>
        <v>20</v>
      </c>
      <c r="D2376" t="s">
        <v>67</v>
      </c>
      <c r="E2376" t="str">
        <f t="shared" si="113"/>
        <v>011</v>
      </c>
      <c r="F2376" t="s">
        <v>2448</v>
      </c>
      <c r="G2376" t="str">
        <f>"0086"</f>
        <v>0086</v>
      </c>
      <c r="H2376" t="str">
        <f>"0000"</f>
        <v>0000</v>
      </c>
      <c r="I2376" t="s">
        <v>69</v>
      </c>
      <c r="J2376">
        <v>0</v>
      </c>
      <c r="K2376">
        <v>1</v>
      </c>
      <c r="L2376">
        <v>2</v>
      </c>
      <c r="M2376">
        <v>155</v>
      </c>
      <c r="N2376">
        <v>405</v>
      </c>
      <c r="O2376">
        <v>0</v>
      </c>
      <c r="P2376">
        <v>405</v>
      </c>
      <c r="Q2376">
        <v>1</v>
      </c>
      <c r="R2376">
        <v>140</v>
      </c>
      <c r="S2376">
        <v>6</v>
      </c>
      <c r="T2376">
        <v>3</v>
      </c>
      <c r="U2376">
        <v>5</v>
      </c>
      <c r="V2376">
        <v>3</v>
      </c>
      <c r="W2376">
        <v>4</v>
      </c>
      <c r="X2376">
        <v>217</v>
      </c>
      <c r="Y2376">
        <v>2</v>
      </c>
      <c r="Z2376">
        <v>4</v>
      </c>
      <c r="AA2376">
        <v>3</v>
      </c>
      <c r="AB2376">
        <v>6</v>
      </c>
      <c r="AD2376">
        <v>0</v>
      </c>
      <c r="AE2376">
        <v>1</v>
      </c>
      <c r="AF2376">
        <v>0</v>
      </c>
      <c r="AG2376">
        <v>0</v>
      </c>
      <c r="AH2376">
        <v>0</v>
      </c>
      <c r="AI2376">
        <v>0</v>
      </c>
      <c r="AJ2376">
        <v>10</v>
      </c>
      <c r="AK2376">
        <v>405</v>
      </c>
      <c r="AL2376">
        <v>405</v>
      </c>
      <c r="AM2376">
        <v>517</v>
      </c>
      <c r="AN2376">
        <v>44</v>
      </c>
      <c r="AP2376">
        <v>1</v>
      </c>
      <c r="AR2376" t="s">
        <v>2469</v>
      </c>
      <c r="AS2376" s="1">
        <v>44354.114583333336</v>
      </c>
      <c r="AT2376" s="1">
        <v>44354.117743055554</v>
      </c>
      <c r="AU2376" s="1">
        <v>44354.118159722224</v>
      </c>
      <c r="AV2376" t="s">
        <v>71</v>
      </c>
      <c r="AW2376" t="s">
        <v>72</v>
      </c>
      <c r="AX2376" t="s">
        <v>73</v>
      </c>
    </row>
    <row r="2377" spans="1:50" x14ac:dyDescent="0.3">
      <c r="A2377" t="str">
        <f>"200086C0100"</f>
        <v>200086C0100</v>
      </c>
      <c r="B2377" t="str">
        <f>"200086C01002"</f>
        <v>200086C01002</v>
      </c>
      <c r="C2377" t="str">
        <f t="shared" si="114"/>
        <v>20</v>
      </c>
      <c r="D2377" t="s">
        <v>67</v>
      </c>
      <c r="E2377" t="str">
        <f t="shared" si="113"/>
        <v>011</v>
      </c>
      <c r="F2377" t="s">
        <v>2448</v>
      </c>
      <c r="G2377" t="str">
        <f>"0086"</f>
        <v>0086</v>
      </c>
      <c r="H2377" t="str">
        <f>"0001"</f>
        <v>0001</v>
      </c>
      <c r="I2377" t="s">
        <v>75</v>
      </c>
      <c r="J2377">
        <v>0</v>
      </c>
      <c r="K2377">
        <v>1</v>
      </c>
      <c r="L2377">
        <v>2</v>
      </c>
      <c r="M2377">
        <v>149</v>
      </c>
      <c r="N2377">
        <v>412</v>
      </c>
      <c r="O2377">
        <v>2</v>
      </c>
      <c r="P2377" t="s">
        <v>80</v>
      </c>
      <c r="Q2377">
        <v>3</v>
      </c>
      <c r="R2377">
        <v>139</v>
      </c>
      <c r="S2377">
        <v>7</v>
      </c>
      <c r="T2377">
        <v>0</v>
      </c>
      <c r="U2377">
        <v>5</v>
      </c>
      <c r="V2377">
        <v>0</v>
      </c>
      <c r="W2377">
        <v>3</v>
      </c>
      <c r="X2377">
        <v>229</v>
      </c>
      <c r="Y2377">
        <v>0</v>
      </c>
      <c r="Z2377">
        <v>2</v>
      </c>
      <c r="AA2377">
        <v>4</v>
      </c>
      <c r="AB2377">
        <v>7</v>
      </c>
      <c r="AD2377">
        <v>1</v>
      </c>
      <c r="AE2377">
        <v>3</v>
      </c>
      <c r="AF2377">
        <v>0</v>
      </c>
      <c r="AG2377">
        <v>1</v>
      </c>
      <c r="AH2377">
        <v>0</v>
      </c>
      <c r="AI2377">
        <v>0</v>
      </c>
      <c r="AJ2377">
        <v>9</v>
      </c>
      <c r="AK2377">
        <v>413</v>
      </c>
      <c r="AL2377">
        <v>413</v>
      </c>
      <c r="AM2377">
        <v>517</v>
      </c>
      <c r="AN2377">
        <v>44</v>
      </c>
      <c r="AP2377">
        <v>1</v>
      </c>
      <c r="AR2377" t="s">
        <v>2470</v>
      </c>
      <c r="AS2377" s="1">
        <v>44354.074999999997</v>
      </c>
      <c r="AT2377" s="1">
        <v>44354.08258101852</v>
      </c>
      <c r="AU2377" s="1">
        <v>44354.083287037036</v>
      </c>
      <c r="AV2377" t="s">
        <v>71</v>
      </c>
      <c r="AW2377" t="s">
        <v>72</v>
      </c>
      <c r="AX2377" t="s">
        <v>73</v>
      </c>
    </row>
    <row r="2378" spans="1:50" x14ac:dyDescent="0.3">
      <c r="A2378" t="str">
        <f>"200097B0000"</f>
        <v>200097B0000</v>
      </c>
      <c r="B2378" t="str">
        <f>"200097B00002"</f>
        <v>200097B00002</v>
      </c>
      <c r="C2378" t="str">
        <f t="shared" si="114"/>
        <v>20</v>
      </c>
      <c r="D2378" t="s">
        <v>67</v>
      </c>
      <c r="E2378" t="str">
        <f t="shared" si="113"/>
        <v>011</v>
      </c>
      <c r="F2378" t="s">
        <v>2448</v>
      </c>
      <c r="G2378" t="str">
        <f>"0097"</f>
        <v>0097</v>
      </c>
      <c r="H2378" t="str">
        <f>"0000"</f>
        <v>0000</v>
      </c>
      <c r="I2378" t="s">
        <v>69</v>
      </c>
      <c r="J2378">
        <v>0</v>
      </c>
      <c r="K2378">
        <v>1</v>
      </c>
      <c r="L2378">
        <v>2</v>
      </c>
      <c r="M2378" t="s">
        <v>80</v>
      </c>
      <c r="N2378" t="s">
        <v>80</v>
      </c>
      <c r="O2378" t="s">
        <v>80</v>
      </c>
      <c r="P2378" t="s">
        <v>80</v>
      </c>
      <c r="Q2378">
        <v>7</v>
      </c>
      <c r="R2378">
        <v>14</v>
      </c>
      <c r="S2378">
        <v>3</v>
      </c>
      <c r="T2378">
        <v>51</v>
      </c>
      <c r="U2378">
        <v>45</v>
      </c>
      <c r="V2378">
        <v>7</v>
      </c>
      <c r="W2378">
        <v>0</v>
      </c>
      <c r="X2378">
        <v>139</v>
      </c>
      <c r="Y2378">
        <v>0</v>
      </c>
      <c r="Z2378">
        <v>2</v>
      </c>
      <c r="AA2378">
        <v>2</v>
      </c>
      <c r="AB2378">
        <v>0</v>
      </c>
      <c r="AD2378">
        <v>0</v>
      </c>
      <c r="AE2378">
        <v>0</v>
      </c>
      <c r="AF2378">
        <v>0</v>
      </c>
      <c r="AG2378">
        <v>0</v>
      </c>
      <c r="AH2378">
        <v>1</v>
      </c>
      <c r="AI2378">
        <v>0</v>
      </c>
      <c r="AJ2378">
        <v>12</v>
      </c>
      <c r="AK2378">
        <v>284</v>
      </c>
      <c r="AL2378">
        <v>283</v>
      </c>
      <c r="AM2378">
        <v>502</v>
      </c>
      <c r="AN2378">
        <v>44</v>
      </c>
      <c r="AP2378">
        <v>1</v>
      </c>
      <c r="AR2378" t="s">
        <v>2471</v>
      </c>
      <c r="AS2378" s="1">
        <v>44354.289583333331</v>
      </c>
      <c r="AT2378" s="1">
        <v>44354.295659722222</v>
      </c>
      <c r="AU2378" s="1">
        <v>44354.296354166669</v>
      </c>
      <c r="AV2378" t="s">
        <v>71</v>
      </c>
      <c r="AW2378" t="s">
        <v>72</v>
      </c>
      <c r="AX2378" t="s">
        <v>73</v>
      </c>
    </row>
    <row r="2379" spans="1:50" x14ac:dyDescent="0.3">
      <c r="A2379" t="str">
        <f>"200097C0100"</f>
        <v>200097C0100</v>
      </c>
      <c r="B2379" t="str">
        <f>"200097C01002"</f>
        <v>200097C01002</v>
      </c>
      <c r="C2379" t="str">
        <f t="shared" si="114"/>
        <v>20</v>
      </c>
      <c r="D2379" t="s">
        <v>67</v>
      </c>
      <c r="E2379" t="str">
        <f t="shared" si="113"/>
        <v>011</v>
      </c>
      <c r="F2379" t="s">
        <v>2448</v>
      </c>
      <c r="G2379" t="str">
        <f>"0097"</f>
        <v>0097</v>
      </c>
      <c r="H2379" t="str">
        <f>"0001"</f>
        <v>0001</v>
      </c>
      <c r="I2379" t="s">
        <v>75</v>
      </c>
      <c r="J2379">
        <v>0</v>
      </c>
      <c r="K2379">
        <v>1</v>
      </c>
      <c r="L2379">
        <v>2</v>
      </c>
      <c r="M2379">
        <v>267</v>
      </c>
      <c r="N2379">
        <v>278</v>
      </c>
      <c r="O2379">
        <v>2</v>
      </c>
      <c r="P2379">
        <v>278</v>
      </c>
      <c r="Q2379">
        <v>7</v>
      </c>
      <c r="R2379">
        <v>21</v>
      </c>
      <c r="S2379">
        <v>3</v>
      </c>
      <c r="T2379">
        <v>44</v>
      </c>
      <c r="U2379">
        <v>59</v>
      </c>
      <c r="V2379">
        <v>7</v>
      </c>
      <c r="W2379">
        <v>2</v>
      </c>
      <c r="X2379">
        <v>117</v>
      </c>
      <c r="Y2379">
        <v>1</v>
      </c>
      <c r="Z2379">
        <v>0</v>
      </c>
      <c r="AA2379">
        <v>4</v>
      </c>
      <c r="AB2379">
        <v>0</v>
      </c>
      <c r="AD2379">
        <v>2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11</v>
      </c>
      <c r="AK2379">
        <v>278</v>
      </c>
      <c r="AL2379">
        <v>278</v>
      </c>
      <c r="AM2379">
        <v>501</v>
      </c>
      <c r="AN2379">
        <v>44</v>
      </c>
      <c r="AP2379">
        <v>1</v>
      </c>
      <c r="AR2379" t="s">
        <v>2472</v>
      </c>
      <c r="AS2379" s="1">
        <v>44354.286805555559</v>
      </c>
      <c r="AT2379" s="1">
        <v>44354.291724537034</v>
      </c>
      <c r="AU2379" s="1">
        <v>44354.292800925927</v>
      </c>
      <c r="AV2379" t="s">
        <v>71</v>
      </c>
      <c r="AW2379" t="s">
        <v>72</v>
      </c>
      <c r="AX2379" t="s">
        <v>73</v>
      </c>
    </row>
    <row r="2380" spans="1:50" x14ac:dyDescent="0.3">
      <c r="A2380" t="str">
        <f>"200098B0000"</f>
        <v>200098B0000</v>
      </c>
      <c r="B2380" t="str">
        <f>"200098B00002"</f>
        <v>200098B00002</v>
      </c>
      <c r="C2380" t="str">
        <f t="shared" si="114"/>
        <v>20</v>
      </c>
      <c r="D2380" t="s">
        <v>67</v>
      </c>
      <c r="E2380" t="str">
        <f t="shared" si="113"/>
        <v>011</v>
      </c>
      <c r="F2380" t="s">
        <v>2448</v>
      </c>
      <c r="G2380" t="str">
        <f>"0098"</f>
        <v>0098</v>
      </c>
      <c r="H2380" t="str">
        <f>"0000"</f>
        <v>0000</v>
      </c>
      <c r="I2380" t="s">
        <v>69</v>
      </c>
      <c r="J2380">
        <v>0</v>
      </c>
      <c r="K2380">
        <v>1</v>
      </c>
      <c r="L2380">
        <v>2</v>
      </c>
      <c r="M2380">
        <v>265</v>
      </c>
      <c r="N2380">
        <v>295</v>
      </c>
      <c r="O2380">
        <v>0</v>
      </c>
      <c r="P2380">
        <v>295</v>
      </c>
      <c r="Q2380">
        <v>3</v>
      </c>
      <c r="R2380">
        <v>11</v>
      </c>
      <c r="S2380">
        <v>1</v>
      </c>
      <c r="T2380">
        <v>58</v>
      </c>
      <c r="U2380">
        <v>52</v>
      </c>
      <c r="V2380">
        <v>6</v>
      </c>
      <c r="W2380">
        <v>0</v>
      </c>
      <c r="X2380">
        <v>125</v>
      </c>
      <c r="Y2380">
        <v>0</v>
      </c>
      <c r="Z2380">
        <v>1</v>
      </c>
      <c r="AA2380">
        <v>2</v>
      </c>
      <c r="AB2380">
        <v>1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35</v>
      </c>
      <c r="AK2380">
        <v>260</v>
      </c>
      <c r="AL2380">
        <v>295</v>
      </c>
      <c r="AM2380">
        <v>516</v>
      </c>
      <c r="AN2380">
        <v>44</v>
      </c>
      <c r="AP2380">
        <v>1</v>
      </c>
      <c r="AR2380" t="s">
        <v>2473</v>
      </c>
      <c r="AS2380" s="1">
        <v>44354.271527777775</v>
      </c>
      <c r="AT2380" s="1">
        <v>44354.279872685183</v>
      </c>
      <c r="AU2380" s="1">
        <v>44354.280416666668</v>
      </c>
      <c r="AV2380" t="s">
        <v>71</v>
      </c>
      <c r="AW2380" t="s">
        <v>72</v>
      </c>
      <c r="AX2380" t="s">
        <v>73</v>
      </c>
    </row>
    <row r="2381" spans="1:50" x14ac:dyDescent="0.3">
      <c r="A2381" t="str">
        <f>"200098C0100"</f>
        <v>200098C0100</v>
      </c>
      <c r="B2381" t="str">
        <f>"200098C01002"</f>
        <v>200098C01002</v>
      </c>
      <c r="C2381" t="str">
        <f t="shared" si="114"/>
        <v>20</v>
      </c>
      <c r="D2381" t="s">
        <v>67</v>
      </c>
      <c r="E2381" t="str">
        <f t="shared" si="113"/>
        <v>011</v>
      </c>
      <c r="F2381" t="s">
        <v>2448</v>
      </c>
      <c r="G2381" t="str">
        <f>"0098"</f>
        <v>0098</v>
      </c>
      <c r="H2381" t="str">
        <f>"0001"</f>
        <v>0001</v>
      </c>
      <c r="I2381" t="s">
        <v>75</v>
      </c>
      <c r="J2381">
        <v>0</v>
      </c>
      <c r="K2381">
        <v>1</v>
      </c>
      <c r="L2381">
        <v>2</v>
      </c>
      <c r="M2381">
        <v>251</v>
      </c>
      <c r="N2381">
        <v>310</v>
      </c>
      <c r="O2381">
        <v>6</v>
      </c>
      <c r="P2381" t="s">
        <v>80</v>
      </c>
      <c r="Q2381">
        <v>1</v>
      </c>
      <c r="R2381">
        <v>10</v>
      </c>
      <c r="S2381">
        <v>2</v>
      </c>
      <c r="T2381">
        <v>91</v>
      </c>
      <c r="U2381">
        <v>41</v>
      </c>
      <c r="V2381">
        <v>7</v>
      </c>
      <c r="W2381">
        <v>0</v>
      </c>
      <c r="X2381">
        <v>147</v>
      </c>
      <c r="Y2381">
        <v>0</v>
      </c>
      <c r="Z2381">
        <v>2</v>
      </c>
      <c r="AA2381">
        <v>1</v>
      </c>
      <c r="AB2381">
        <v>3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5</v>
      </c>
      <c r="AK2381">
        <v>310</v>
      </c>
      <c r="AL2381">
        <v>310</v>
      </c>
      <c r="AM2381">
        <v>516</v>
      </c>
      <c r="AN2381">
        <v>44</v>
      </c>
      <c r="AP2381">
        <v>1</v>
      </c>
      <c r="AR2381" t="s">
        <v>2474</v>
      </c>
      <c r="AS2381" s="1">
        <v>44354.274305555555</v>
      </c>
      <c r="AT2381" s="1">
        <v>44354.278009259258</v>
      </c>
      <c r="AU2381" s="1">
        <v>44354.279745370368</v>
      </c>
      <c r="AV2381" t="s">
        <v>71</v>
      </c>
      <c r="AW2381" t="s">
        <v>72</v>
      </c>
      <c r="AX2381" t="s">
        <v>73</v>
      </c>
    </row>
    <row r="2382" spans="1:50" x14ac:dyDescent="0.3">
      <c r="A2382" t="str">
        <f>"200098C0200"</f>
        <v>200098C0200</v>
      </c>
      <c r="B2382" t="str">
        <f>"200098C02002"</f>
        <v>200098C02002</v>
      </c>
      <c r="C2382" t="str">
        <f t="shared" si="114"/>
        <v>20</v>
      </c>
      <c r="D2382" t="s">
        <v>67</v>
      </c>
      <c r="E2382" t="str">
        <f t="shared" si="113"/>
        <v>011</v>
      </c>
      <c r="F2382" t="s">
        <v>2448</v>
      </c>
      <c r="G2382" t="str">
        <f>"0098"</f>
        <v>0098</v>
      </c>
      <c r="H2382" t="str">
        <f>"0002"</f>
        <v>0002</v>
      </c>
      <c r="I2382" t="s">
        <v>75</v>
      </c>
      <c r="J2382">
        <v>0</v>
      </c>
      <c r="K2382">
        <v>1</v>
      </c>
      <c r="L2382">
        <v>2</v>
      </c>
      <c r="M2382">
        <v>248</v>
      </c>
      <c r="N2382">
        <v>311</v>
      </c>
      <c r="O2382">
        <v>0</v>
      </c>
      <c r="P2382">
        <v>311</v>
      </c>
      <c r="Q2382">
        <v>2</v>
      </c>
      <c r="R2382">
        <v>15</v>
      </c>
      <c r="S2382">
        <v>3</v>
      </c>
      <c r="T2382">
        <v>72</v>
      </c>
      <c r="U2382">
        <v>60</v>
      </c>
      <c r="V2382">
        <v>5</v>
      </c>
      <c r="W2382">
        <v>1</v>
      </c>
      <c r="X2382">
        <v>139</v>
      </c>
      <c r="Y2382">
        <v>0</v>
      </c>
      <c r="Z2382">
        <v>4</v>
      </c>
      <c r="AA2382">
        <v>3</v>
      </c>
      <c r="AB2382">
        <v>1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7</v>
      </c>
      <c r="AK2382">
        <v>311</v>
      </c>
      <c r="AL2382">
        <v>312</v>
      </c>
      <c r="AM2382">
        <v>516</v>
      </c>
      <c r="AN2382">
        <v>44</v>
      </c>
      <c r="AP2382">
        <v>1</v>
      </c>
      <c r="AR2382" t="s">
        <v>2475</v>
      </c>
      <c r="AS2382" s="1">
        <v>44354.286111111112</v>
      </c>
      <c r="AT2382" s="1">
        <v>44354.293356481481</v>
      </c>
      <c r="AU2382" s="1">
        <v>44354.293715277781</v>
      </c>
      <c r="AV2382" t="s">
        <v>71</v>
      </c>
      <c r="AW2382" t="s">
        <v>72</v>
      </c>
      <c r="AX2382" t="s">
        <v>73</v>
      </c>
    </row>
    <row r="2383" spans="1:50" x14ac:dyDescent="0.3">
      <c r="A2383" t="str">
        <f>"200099B0000"</f>
        <v>200099B0000</v>
      </c>
      <c r="B2383" t="str">
        <f>"200099B00002"</f>
        <v>200099B00002</v>
      </c>
      <c r="C2383" t="str">
        <f t="shared" si="114"/>
        <v>20</v>
      </c>
      <c r="D2383" t="s">
        <v>67</v>
      </c>
      <c r="E2383" t="str">
        <f t="shared" si="113"/>
        <v>011</v>
      </c>
      <c r="F2383" t="s">
        <v>2448</v>
      </c>
      <c r="G2383" t="str">
        <f>"0099"</f>
        <v>0099</v>
      </c>
      <c r="H2383" t="str">
        <f>"0000"</f>
        <v>0000</v>
      </c>
      <c r="I2383" t="s">
        <v>69</v>
      </c>
      <c r="J2383">
        <v>0</v>
      </c>
      <c r="K2383">
        <v>1</v>
      </c>
      <c r="L2383">
        <v>2</v>
      </c>
      <c r="M2383">
        <v>211</v>
      </c>
      <c r="N2383">
        <v>315</v>
      </c>
      <c r="O2383">
        <v>2</v>
      </c>
      <c r="P2383">
        <v>315</v>
      </c>
      <c r="Q2383">
        <v>8</v>
      </c>
      <c r="R2383">
        <v>30</v>
      </c>
      <c r="S2383">
        <v>5</v>
      </c>
      <c r="T2383">
        <v>55</v>
      </c>
      <c r="U2383">
        <v>27</v>
      </c>
      <c r="V2383">
        <v>4</v>
      </c>
      <c r="W2383">
        <v>2</v>
      </c>
      <c r="X2383">
        <v>170</v>
      </c>
      <c r="Y2383">
        <v>0</v>
      </c>
      <c r="Z2383">
        <v>2</v>
      </c>
      <c r="AA2383">
        <v>1</v>
      </c>
      <c r="AB2383">
        <v>3</v>
      </c>
      <c r="AD2383">
        <v>2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6</v>
      </c>
      <c r="AK2383">
        <v>315</v>
      </c>
      <c r="AL2383">
        <v>315</v>
      </c>
      <c r="AM2383">
        <v>482</v>
      </c>
      <c r="AN2383">
        <v>44</v>
      </c>
      <c r="AP2383">
        <v>1</v>
      </c>
      <c r="AR2383" t="s">
        <v>2476</v>
      </c>
      <c r="AS2383" s="1">
        <v>44354.286111111112</v>
      </c>
      <c r="AT2383" s="1">
        <v>44354.292754629627</v>
      </c>
      <c r="AU2383" s="1">
        <v>44354.293020833335</v>
      </c>
      <c r="AV2383" t="s">
        <v>71</v>
      </c>
      <c r="AW2383" t="s">
        <v>72</v>
      </c>
      <c r="AX2383" t="s">
        <v>73</v>
      </c>
    </row>
    <row r="2384" spans="1:50" x14ac:dyDescent="0.3">
      <c r="A2384" t="str">
        <f>"200099C0100"</f>
        <v>200099C0100</v>
      </c>
      <c r="B2384" t="str">
        <f>"200099C01002"</f>
        <v>200099C01002</v>
      </c>
      <c r="C2384" t="str">
        <f t="shared" si="114"/>
        <v>20</v>
      </c>
      <c r="D2384" t="s">
        <v>67</v>
      </c>
      <c r="E2384" t="str">
        <f t="shared" si="113"/>
        <v>011</v>
      </c>
      <c r="F2384" t="s">
        <v>2448</v>
      </c>
      <c r="G2384" t="str">
        <f>"0099"</f>
        <v>0099</v>
      </c>
      <c r="H2384" t="str">
        <f>"0001"</f>
        <v>0001</v>
      </c>
      <c r="I2384" t="s">
        <v>75</v>
      </c>
      <c r="J2384">
        <v>0</v>
      </c>
      <c r="K2384">
        <v>1</v>
      </c>
      <c r="L2384">
        <v>2</v>
      </c>
      <c r="M2384">
        <v>197</v>
      </c>
      <c r="N2384">
        <v>328</v>
      </c>
      <c r="O2384">
        <v>3</v>
      </c>
      <c r="P2384">
        <v>328</v>
      </c>
      <c r="Q2384">
        <v>3</v>
      </c>
      <c r="R2384">
        <v>32</v>
      </c>
      <c r="S2384">
        <v>3</v>
      </c>
      <c r="T2384">
        <v>70</v>
      </c>
      <c r="U2384">
        <v>29</v>
      </c>
      <c r="V2384">
        <v>6</v>
      </c>
      <c r="W2384">
        <v>1</v>
      </c>
      <c r="X2384">
        <v>173</v>
      </c>
      <c r="Y2384">
        <v>1</v>
      </c>
      <c r="Z2384">
        <v>1</v>
      </c>
      <c r="AA2384">
        <v>2</v>
      </c>
      <c r="AB2384">
        <v>1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6</v>
      </c>
      <c r="AK2384">
        <v>328</v>
      </c>
      <c r="AL2384">
        <v>328</v>
      </c>
      <c r="AM2384">
        <v>481</v>
      </c>
      <c r="AN2384">
        <v>44</v>
      </c>
      <c r="AP2384">
        <v>1</v>
      </c>
      <c r="AR2384" t="s">
        <v>2477</v>
      </c>
      <c r="AS2384" s="1">
        <v>44354.289583333331</v>
      </c>
      <c r="AT2384" s="1">
        <v>44354.295868055553</v>
      </c>
      <c r="AU2384" s="1">
        <v>44354.296423611115</v>
      </c>
      <c r="AV2384" t="s">
        <v>71</v>
      </c>
      <c r="AW2384" t="s">
        <v>72</v>
      </c>
      <c r="AX2384" t="s">
        <v>73</v>
      </c>
    </row>
    <row r="2385" spans="1:50" x14ac:dyDescent="0.3">
      <c r="A2385" t="str">
        <f>"200100B0000"</f>
        <v>200100B0000</v>
      </c>
      <c r="B2385" t="str">
        <f>"200100B00002"</f>
        <v>200100B00002</v>
      </c>
      <c r="C2385" t="str">
        <f t="shared" si="114"/>
        <v>20</v>
      </c>
      <c r="D2385" t="s">
        <v>67</v>
      </c>
      <c r="E2385" t="str">
        <f t="shared" si="113"/>
        <v>011</v>
      </c>
      <c r="F2385" t="s">
        <v>2448</v>
      </c>
      <c r="G2385" t="str">
        <f>"0100"</f>
        <v>0100</v>
      </c>
      <c r="H2385" t="str">
        <f>"0000"</f>
        <v>0000</v>
      </c>
      <c r="I2385" t="s">
        <v>69</v>
      </c>
      <c r="J2385">
        <v>0</v>
      </c>
      <c r="K2385">
        <v>1</v>
      </c>
      <c r="L2385">
        <v>2</v>
      </c>
      <c r="M2385">
        <v>258</v>
      </c>
      <c r="N2385">
        <v>393</v>
      </c>
      <c r="O2385">
        <v>1</v>
      </c>
      <c r="P2385">
        <v>391</v>
      </c>
      <c r="Q2385">
        <v>4</v>
      </c>
      <c r="R2385">
        <v>14</v>
      </c>
      <c r="S2385">
        <v>2</v>
      </c>
      <c r="T2385">
        <v>79</v>
      </c>
      <c r="U2385">
        <v>41</v>
      </c>
      <c r="V2385">
        <v>6</v>
      </c>
      <c r="W2385">
        <v>2</v>
      </c>
      <c r="X2385">
        <v>233</v>
      </c>
      <c r="Y2385">
        <v>0</v>
      </c>
      <c r="Z2385">
        <v>2</v>
      </c>
      <c r="AA2385">
        <v>1</v>
      </c>
      <c r="AB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10</v>
      </c>
      <c r="AK2385">
        <v>391</v>
      </c>
      <c r="AL2385">
        <v>394</v>
      </c>
      <c r="AM2385">
        <v>607</v>
      </c>
      <c r="AN2385">
        <v>44</v>
      </c>
      <c r="AP2385">
        <v>1</v>
      </c>
      <c r="AR2385" t="s">
        <v>2478</v>
      </c>
      <c r="AS2385" s="1">
        <v>44354.004976851851</v>
      </c>
      <c r="AT2385" s="1">
        <v>44354.010277777779</v>
      </c>
      <c r="AU2385" s="1">
        <v>44354.010821759257</v>
      </c>
      <c r="AV2385" t="s">
        <v>269</v>
      </c>
      <c r="AW2385" t="s">
        <v>270</v>
      </c>
      <c r="AX2385" t="s">
        <v>73</v>
      </c>
    </row>
    <row r="2386" spans="1:50" x14ac:dyDescent="0.3">
      <c r="A2386" t="str">
        <f>"200100C0100"</f>
        <v>200100C0100</v>
      </c>
      <c r="B2386" t="str">
        <f>"200100C01002"</f>
        <v>200100C01002</v>
      </c>
      <c r="C2386" t="str">
        <f t="shared" si="114"/>
        <v>20</v>
      </c>
      <c r="D2386" t="s">
        <v>67</v>
      </c>
      <c r="E2386" t="str">
        <f t="shared" si="113"/>
        <v>011</v>
      </c>
      <c r="F2386" t="s">
        <v>2448</v>
      </c>
      <c r="G2386" t="str">
        <f>"0100"</f>
        <v>0100</v>
      </c>
      <c r="H2386" t="str">
        <f>"0001"</f>
        <v>0001</v>
      </c>
      <c r="I2386" t="s">
        <v>75</v>
      </c>
      <c r="J2386">
        <v>0</v>
      </c>
      <c r="K2386">
        <v>1</v>
      </c>
      <c r="L2386">
        <v>2</v>
      </c>
      <c r="M2386">
        <v>264</v>
      </c>
      <c r="N2386">
        <v>387</v>
      </c>
      <c r="O2386">
        <v>3</v>
      </c>
      <c r="P2386">
        <v>376</v>
      </c>
      <c r="Q2386">
        <v>6</v>
      </c>
      <c r="R2386">
        <v>28</v>
      </c>
      <c r="S2386">
        <v>4</v>
      </c>
      <c r="T2386">
        <v>71</v>
      </c>
      <c r="U2386">
        <v>25</v>
      </c>
      <c r="V2386">
        <v>7</v>
      </c>
      <c r="W2386">
        <v>0</v>
      </c>
      <c r="X2386">
        <v>231</v>
      </c>
      <c r="Y2386">
        <v>0</v>
      </c>
      <c r="Z2386">
        <v>0</v>
      </c>
      <c r="AA2386">
        <v>3</v>
      </c>
      <c r="AB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10</v>
      </c>
      <c r="AK2386">
        <v>386</v>
      </c>
      <c r="AL2386">
        <v>385</v>
      </c>
      <c r="AM2386">
        <v>607</v>
      </c>
      <c r="AN2386">
        <v>44</v>
      </c>
      <c r="AP2386">
        <v>1</v>
      </c>
      <c r="AR2386" t="s">
        <v>2479</v>
      </c>
      <c r="AS2386" s="1">
        <v>44354.274305555555</v>
      </c>
      <c r="AT2386" s="1">
        <v>44354.280243055553</v>
      </c>
      <c r="AU2386" s="1">
        <v>44354.281469907408</v>
      </c>
      <c r="AV2386" t="s">
        <v>71</v>
      </c>
      <c r="AW2386" t="s">
        <v>72</v>
      </c>
      <c r="AX2386" t="s">
        <v>73</v>
      </c>
    </row>
    <row r="2387" spans="1:50" x14ac:dyDescent="0.3">
      <c r="A2387" t="str">
        <f>"200101B0000"</f>
        <v>200101B0000</v>
      </c>
      <c r="B2387" t="str">
        <f>"200101B00002"</f>
        <v>200101B00002</v>
      </c>
      <c r="C2387" t="str">
        <f t="shared" si="114"/>
        <v>20</v>
      </c>
      <c r="D2387" t="s">
        <v>67</v>
      </c>
      <c r="E2387" t="str">
        <f t="shared" si="113"/>
        <v>011</v>
      </c>
      <c r="F2387" t="s">
        <v>2448</v>
      </c>
      <c r="G2387" t="str">
        <f>"0101"</f>
        <v>0101</v>
      </c>
      <c r="H2387" t="str">
        <f>"0000"</f>
        <v>0000</v>
      </c>
      <c r="I2387" t="s">
        <v>69</v>
      </c>
      <c r="J2387">
        <v>0</v>
      </c>
      <c r="K2387">
        <v>1</v>
      </c>
      <c r="L2387">
        <v>2</v>
      </c>
      <c r="M2387">
        <v>230</v>
      </c>
      <c r="N2387" t="s">
        <v>80</v>
      </c>
      <c r="O2387" t="s">
        <v>80</v>
      </c>
      <c r="P2387">
        <v>378</v>
      </c>
      <c r="Q2387">
        <v>4</v>
      </c>
      <c r="R2387">
        <v>40</v>
      </c>
      <c r="S2387">
        <v>9</v>
      </c>
      <c r="T2387">
        <v>45</v>
      </c>
      <c r="U2387">
        <v>48</v>
      </c>
      <c r="V2387">
        <v>3</v>
      </c>
      <c r="W2387">
        <v>1</v>
      </c>
      <c r="X2387">
        <v>210</v>
      </c>
      <c r="Y2387">
        <v>1</v>
      </c>
      <c r="Z2387">
        <v>3</v>
      </c>
      <c r="AA2387">
        <v>5</v>
      </c>
      <c r="AB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9</v>
      </c>
      <c r="AK2387">
        <v>378</v>
      </c>
      <c r="AL2387">
        <v>378</v>
      </c>
      <c r="AM2387">
        <v>566</v>
      </c>
      <c r="AN2387">
        <v>44</v>
      </c>
      <c r="AP2387">
        <v>1</v>
      </c>
      <c r="AR2387" t="s">
        <v>2480</v>
      </c>
      <c r="AS2387" s="1">
        <v>44354.286805555559</v>
      </c>
      <c r="AT2387" s="1">
        <v>44354.291307870371</v>
      </c>
      <c r="AU2387" s="1">
        <v>44354.291932870372</v>
      </c>
      <c r="AV2387" t="s">
        <v>71</v>
      </c>
      <c r="AW2387" t="s">
        <v>72</v>
      </c>
      <c r="AX2387" t="s">
        <v>73</v>
      </c>
    </row>
    <row r="2388" spans="1:50" x14ac:dyDescent="0.3">
      <c r="A2388" t="str">
        <f>"200101C0100"</f>
        <v>200101C0100</v>
      </c>
      <c r="B2388" t="str">
        <f>"200101C01002"</f>
        <v>200101C01002</v>
      </c>
      <c r="C2388" t="str">
        <f t="shared" si="114"/>
        <v>20</v>
      </c>
      <c r="D2388" t="s">
        <v>67</v>
      </c>
      <c r="E2388" t="str">
        <f t="shared" si="113"/>
        <v>011</v>
      </c>
      <c r="F2388" t="s">
        <v>2448</v>
      </c>
      <c r="G2388" t="str">
        <f>"0101"</f>
        <v>0101</v>
      </c>
      <c r="H2388" t="str">
        <f>"0001"</f>
        <v>0001</v>
      </c>
      <c r="I2388" t="s">
        <v>75</v>
      </c>
      <c r="J2388">
        <v>0</v>
      </c>
      <c r="K2388">
        <v>1</v>
      </c>
      <c r="L2388">
        <v>2</v>
      </c>
      <c r="M2388">
        <v>252</v>
      </c>
      <c r="N2388">
        <v>357</v>
      </c>
      <c r="O2388">
        <v>0</v>
      </c>
      <c r="P2388">
        <v>357</v>
      </c>
      <c r="Q2388">
        <v>5</v>
      </c>
      <c r="R2388">
        <v>39</v>
      </c>
      <c r="S2388">
        <v>3</v>
      </c>
      <c r="T2388">
        <v>46</v>
      </c>
      <c r="U2388">
        <v>53</v>
      </c>
      <c r="V2388">
        <v>3</v>
      </c>
      <c r="W2388">
        <v>1</v>
      </c>
      <c r="X2388">
        <v>186</v>
      </c>
      <c r="Y2388">
        <v>0</v>
      </c>
      <c r="Z2388">
        <v>1</v>
      </c>
      <c r="AA2388">
        <v>2</v>
      </c>
      <c r="AB2388">
        <v>3</v>
      </c>
      <c r="AD2388">
        <v>2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13</v>
      </c>
      <c r="AK2388">
        <v>357</v>
      </c>
      <c r="AL2388">
        <v>357</v>
      </c>
      <c r="AM2388">
        <v>565</v>
      </c>
      <c r="AN2388">
        <v>44</v>
      </c>
      <c r="AP2388">
        <v>1</v>
      </c>
      <c r="AR2388" t="s">
        <v>2481</v>
      </c>
      <c r="AS2388" s="1">
        <v>44354.286805555559</v>
      </c>
      <c r="AT2388" s="1">
        <v>44354.290694444448</v>
      </c>
      <c r="AU2388" s="1">
        <v>44354.291504629633</v>
      </c>
      <c r="AV2388" t="s">
        <v>71</v>
      </c>
      <c r="AW2388" t="s">
        <v>72</v>
      </c>
      <c r="AX2388" t="s">
        <v>73</v>
      </c>
    </row>
    <row r="2389" spans="1:50" x14ac:dyDescent="0.3">
      <c r="A2389" t="str">
        <f>"200102B0000"</f>
        <v>200102B0000</v>
      </c>
      <c r="B2389" t="str">
        <f>"200102B00002"</f>
        <v>200102B00002</v>
      </c>
      <c r="C2389" t="str">
        <f t="shared" si="114"/>
        <v>20</v>
      </c>
      <c r="D2389" t="s">
        <v>67</v>
      </c>
      <c r="E2389" t="str">
        <f t="shared" si="113"/>
        <v>011</v>
      </c>
      <c r="F2389" t="s">
        <v>2448</v>
      </c>
      <c r="G2389" t="str">
        <f>"0102"</f>
        <v>0102</v>
      </c>
      <c r="H2389" t="str">
        <f>"0000"</f>
        <v>0000</v>
      </c>
      <c r="I2389" t="s">
        <v>69</v>
      </c>
      <c r="J2389">
        <v>0</v>
      </c>
      <c r="K2389">
        <v>1</v>
      </c>
      <c r="L2389">
        <v>2</v>
      </c>
      <c r="M2389">
        <v>270</v>
      </c>
      <c r="N2389">
        <v>431</v>
      </c>
      <c r="O2389">
        <v>2</v>
      </c>
      <c r="P2389">
        <v>431</v>
      </c>
      <c r="Q2389">
        <v>7</v>
      </c>
      <c r="R2389">
        <v>29</v>
      </c>
      <c r="S2389">
        <v>6</v>
      </c>
      <c r="T2389">
        <v>71</v>
      </c>
      <c r="U2389">
        <v>40</v>
      </c>
      <c r="V2389">
        <v>1</v>
      </c>
      <c r="W2389">
        <v>2</v>
      </c>
      <c r="X2389">
        <v>258</v>
      </c>
      <c r="Y2389">
        <v>2</v>
      </c>
      <c r="Z2389">
        <v>0</v>
      </c>
      <c r="AA2389">
        <v>3</v>
      </c>
      <c r="AB2389">
        <v>3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9</v>
      </c>
      <c r="AK2389">
        <v>431</v>
      </c>
      <c r="AL2389">
        <v>431</v>
      </c>
      <c r="AM2389">
        <v>657</v>
      </c>
      <c r="AN2389">
        <v>44</v>
      </c>
      <c r="AP2389">
        <v>1</v>
      </c>
      <c r="AR2389" t="s">
        <v>2482</v>
      </c>
      <c r="AS2389" s="1">
        <v>44354.293055555558</v>
      </c>
      <c r="AT2389" s="1">
        <v>44354.297708333332</v>
      </c>
      <c r="AU2389" s="1">
        <v>44354.298252314817</v>
      </c>
      <c r="AV2389" t="s">
        <v>71</v>
      </c>
      <c r="AW2389" t="s">
        <v>72</v>
      </c>
      <c r="AX2389" t="s">
        <v>73</v>
      </c>
    </row>
    <row r="2390" spans="1:50" x14ac:dyDescent="0.3">
      <c r="A2390" t="str">
        <f>"200102C0100"</f>
        <v>200102C0100</v>
      </c>
      <c r="B2390" t="str">
        <f>"200102C01002"</f>
        <v>200102C01002</v>
      </c>
      <c r="C2390" t="str">
        <f t="shared" si="114"/>
        <v>20</v>
      </c>
      <c r="D2390" t="s">
        <v>67</v>
      </c>
      <c r="E2390" t="str">
        <f t="shared" si="113"/>
        <v>011</v>
      </c>
      <c r="F2390" t="s">
        <v>2448</v>
      </c>
      <c r="G2390" t="str">
        <f>"0102"</f>
        <v>0102</v>
      </c>
      <c r="H2390" t="str">
        <f>"0001"</f>
        <v>0001</v>
      </c>
      <c r="I2390" t="s">
        <v>75</v>
      </c>
      <c r="J2390">
        <v>0</v>
      </c>
      <c r="K2390">
        <v>1</v>
      </c>
      <c r="L2390">
        <v>2</v>
      </c>
      <c r="M2390">
        <v>266</v>
      </c>
      <c r="N2390">
        <v>3</v>
      </c>
      <c r="O2390">
        <v>3</v>
      </c>
      <c r="P2390" t="s">
        <v>80</v>
      </c>
      <c r="Q2390">
        <v>4</v>
      </c>
      <c r="R2390">
        <v>27</v>
      </c>
      <c r="S2390">
        <v>4</v>
      </c>
      <c r="T2390">
        <v>105</v>
      </c>
      <c r="U2390">
        <v>57</v>
      </c>
      <c r="V2390">
        <v>2</v>
      </c>
      <c r="W2390" t="s">
        <v>77</v>
      </c>
      <c r="X2390">
        <v>224</v>
      </c>
      <c r="Y2390" t="s">
        <v>77</v>
      </c>
      <c r="Z2390">
        <v>2</v>
      </c>
      <c r="AA2390" t="s">
        <v>77</v>
      </c>
      <c r="AB2390" t="s">
        <v>77</v>
      </c>
      <c r="AD2390" t="s">
        <v>77</v>
      </c>
      <c r="AE2390" t="s">
        <v>77</v>
      </c>
      <c r="AF2390" t="s">
        <v>77</v>
      </c>
      <c r="AG2390" t="s">
        <v>77</v>
      </c>
      <c r="AH2390">
        <v>1</v>
      </c>
      <c r="AI2390" t="s">
        <v>77</v>
      </c>
      <c r="AJ2390">
        <v>6</v>
      </c>
      <c r="AK2390" t="s">
        <v>77</v>
      </c>
      <c r="AL2390">
        <v>432</v>
      </c>
      <c r="AM2390">
        <v>657</v>
      </c>
      <c r="AN2390">
        <v>44</v>
      </c>
      <c r="AO2390" t="s">
        <v>78</v>
      </c>
      <c r="AP2390">
        <v>1</v>
      </c>
      <c r="AR2390" t="s">
        <v>2483</v>
      </c>
      <c r="AS2390" s="1">
        <v>44354.293055555558</v>
      </c>
      <c r="AT2390" s="1">
        <v>44354.299317129633</v>
      </c>
      <c r="AU2390" s="1">
        <v>44354.299872685187</v>
      </c>
      <c r="AV2390" t="s">
        <v>71</v>
      </c>
      <c r="AW2390" t="s">
        <v>72</v>
      </c>
      <c r="AX2390" t="s">
        <v>73</v>
      </c>
    </row>
    <row r="2391" spans="1:50" x14ac:dyDescent="0.3">
      <c r="A2391" t="str">
        <f>"200103B0000"</f>
        <v>200103B0000</v>
      </c>
      <c r="B2391" t="str">
        <f>"200103B00002"</f>
        <v>200103B00002</v>
      </c>
      <c r="C2391" t="str">
        <f t="shared" si="114"/>
        <v>20</v>
      </c>
      <c r="D2391" t="s">
        <v>67</v>
      </c>
      <c r="E2391" t="str">
        <f t="shared" si="113"/>
        <v>011</v>
      </c>
      <c r="F2391" t="s">
        <v>2448</v>
      </c>
      <c r="G2391" t="str">
        <f>"0103"</f>
        <v>0103</v>
      </c>
      <c r="H2391" t="str">
        <f>"0000"</f>
        <v>0000</v>
      </c>
      <c r="I2391" t="s">
        <v>69</v>
      </c>
      <c r="J2391">
        <v>0</v>
      </c>
      <c r="K2391">
        <v>1</v>
      </c>
      <c r="L2391">
        <v>2</v>
      </c>
      <c r="M2391">
        <v>257</v>
      </c>
      <c r="N2391">
        <v>375</v>
      </c>
      <c r="O2391">
        <v>4</v>
      </c>
      <c r="P2391">
        <v>375</v>
      </c>
      <c r="Q2391">
        <v>7</v>
      </c>
      <c r="R2391">
        <v>22</v>
      </c>
      <c r="S2391">
        <v>2</v>
      </c>
      <c r="T2391">
        <v>56</v>
      </c>
      <c r="U2391">
        <v>48</v>
      </c>
      <c r="V2391">
        <v>7</v>
      </c>
      <c r="W2391">
        <v>0</v>
      </c>
      <c r="X2391">
        <v>217</v>
      </c>
      <c r="Y2391">
        <v>0</v>
      </c>
      <c r="Z2391">
        <v>2</v>
      </c>
      <c r="AA2391">
        <v>5</v>
      </c>
      <c r="AB2391">
        <v>2</v>
      </c>
      <c r="AD2391">
        <v>1</v>
      </c>
      <c r="AE2391">
        <v>2</v>
      </c>
      <c r="AF2391">
        <v>0</v>
      </c>
      <c r="AG2391">
        <v>0</v>
      </c>
      <c r="AH2391">
        <v>0</v>
      </c>
      <c r="AI2391">
        <v>0</v>
      </c>
      <c r="AJ2391">
        <v>4</v>
      </c>
      <c r="AK2391">
        <v>375</v>
      </c>
      <c r="AL2391">
        <v>375</v>
      </c>
      <c r="AM2391">
        <v>592</v>
      </c>
      <c r="AN2391">
        <v>44</v>
      </c>
      <c r="AP2391">
        <v>1</v>
      </c>
      <c r="AR2391" t="s">
        <v>2484</v>
      </c>
      <c r="AS2391" s="1">
        <v>44354.286805555559</v>
      </c>
      <c r="AT2391" s="1">
        <v>44354.291365740741</v>
      </c>
      <c r="AU2391" s="1">
        <v>44354.292037037034</v>
      </c>
      <c r="AV2391" t="s">
        <v>71</v>
      </c>
      <c r="AW2391" t="s">
        <v>72</v>
      </c>
      <c r="AX2391" t="s">
        <v>73</v>
      </c>
    </row>
    <row r="2392" spans="1:50" x14ac:dyDescent="0.3">
      <c r="A2392" t="str">
        <f>"200103C0100"</f>
        <v>200103C0100</v>
      </c>
      <c r="B2392" t="str">
        <f>"200103C01002"</f>
        <v>200103C01002</v>
      </c>
      <c r="C2392" t="str">
        <f t="shared" si="114"/>
        <v>20</v>
      </c>
      <c r="D2392" t="s">
        <v>67</v>
      </c>
      <c r="E2392" t="str">
        <f t="shared" si="113"/>
        <v>011</v>
      </c>
      <c r="F2392" t="s">
        <v>2448</v>
      </c>
      <c r="G2392" t="str">
        <f>"0103"</f>
        <v>0103</v>
      </c>
      <c r="H2392" t="str">
        <f>"0001"</f>
        <v>0001</v>
      </c>
      <c r="I2392" t="s">
        <v>75</v>
      </c>
      <c r="J2392">
        <v>0</v>
      </c>
      <c r="K2392">
        <v>1</v>
      </c>
      <c r="L2392">
        <v>2</v>
      </c>
      <c r="M2392">
        <v>387</v>
      </c>
      <c r="N2392">
        <v>350</v>
      </c>
      <c r="O2392">
        <v>1</v>
      </c>
      <c r="P2392">
        <v>350</v>
      </c>
      <c r="Q2392">
        <v>2</v>
      </c>
      <c r="R2392">
        <v>16</v>
      </c>
      <c r="S2392">
        <v>3</v>
      </c>
      <c r="T2392">
        <v>52</v>
      </c>
      <c r="U2392">
        <v>54</v>
      </c>
      <c r="V2392">
        <v>10</v>
      </c>
      <c r="W2392">
        <v>0</v>
      </c>
      <c r="X2392">
        <v>184</v>
      </c>
      <c r="Y2392">
        <v>0</v>
      </c>
      <c r="Z2392">
        <v>3</v>
      </c>
      <c r="AA2392">
        <v>5</v>
      </c>
      <c r="AB2392">
        <v>3</v>
      </c>
      <c r="AD2392">
        <v>3</v>
      </c>
      <c r="AE2392">
        <v>0</v>
      </c>
      <c r="AF2392">
        <v>0</v>
      </c>
      <c r="AG2392">
        <v>0</v>
      </c>
      <c r="AH2392">
        <v>0</v>
      </c>
      <c r="AI2392">
        <v>16</v>
      </c>
      <c r="AJ2392">
        <v>0</v>
      </c>
      <c r="AK2392">
        <v>350</v>
      </c>
      <c r="AL2392">
        <v>351</v>
      </c>
      <c r="AM2392">
        <v>592</v>
      </c>
      <c r="AN2392">
        <v>44</v>
      </c>
      <c r="AP2392">
        <v>1</v>
      </c>
      <c r="AR2392" t="s">
        <v>2485</v>
      </c>
      <c r="AS2392" s="1">
        <v>44353.974305555559</v>
      </c>
      <c r="AT2392" s="1">
        <v>44353.976006944446</v>
      </c>
      <c r="AU2392" s="1">
        <v>44353.978310185186</v>
      </c>
      <c r="AV2392" t="s">
        <v>269</v>
      </c>
      <c r="AW2392" t="s">
        <v>270</v>
      </c>
      <c r="AX2392" t="s">
        <v>73</v>
      </c>
    </row>
    <row r="2393" spans="1:50" x14ac:dyDescent="0.3">
      <c r="A2393" t="str">
        <f>"200397B0000"</f>
        <v>200397B0000</v>
      </c>
      <c r="B2393" t="str">
        <f>"200397B00002"</f>
        <v>200397B00002</v>
      </c>
      <c r="C2393" t="str">
        <f t="shared" si="114"/>
        <v>20</v>
      </c>
      <c r="D2393" t="s">
        <v>67</v>
      </c>
      <c r="E2393" t="str">
        <f t="shared" si="113"/>
        <v>011</v>
      </c>
      <c r="F2393" t="s">
        <v>2448</v>
      </c>
      <c r="G2393" t="str">
        <f>"0397"</f>
        <v>0397</v>
      </c>
      <c r="H2393" t="str">
        <f>"0000"</f>
        <v>0000</v>
      </c>
      <c r="I2393" t="s">
        <v>69</v>
      </c>
      <c r="J2393">
        <v>0</v>
      </c>
      <c r="K2393">
        <v>1</v>
      </c>
      <c r="L2393">
        <v>2</v>
      </c>
      <c r="M2393">
        <v>305</v>
      </c>
      <c r="N2393">
        <v>343</v>
      </c>
      <c r="O2393">
        <v>0</v>
      </c>
      <c r="P2393">
        <v>343</v>
      </c>
      <c r="Q2393">
        <v>19</v>
      </c>
      <c r="R2393">
        <v>53</v>
      </c>
      <c r="S2393">
        <v>1</v>
      </c>
      <c r="T2393">
        <v>9</v>
      </c>
      <c r="U2393">
        <v>20</v>
      </c>
      <c r="V2393">
        <v>2</v>
      </c>
      <c r="W2393">
        <v>4</v>
      </c>
      <c r="X2393">
        <v>205</v>
      </c>
      <c r="Y2393">
        <v>3</v>
      </c>
      <c r="Z2393">
        <v>3</v>
      </c>
      <c r="AA2393">
        <v>5</v>
      </c>
      <c r="AB2393">
        <v>8</v>
      </c>
      <c r="AD2393">
        <v>2</v>
      </c>
      <c r="AE2393">
        <v>0</v>
      </c>
      <c r="AF2393">
        <v>0</v>
      </c>
      <c r="AG2393">
        <v>0</v>
      </c>
      <c r="AH2393">
        <v>0</v>
      </c>
      <c r="AI2393">
        <v>6</v>
      </c>
      <c r="AJ2393">
        <v>9</v>
      </c>
      <c r="AK2393">
        <v>343</v>
      </c>
      <c r="AL2393">
        <v>349</v>
      </c>
      <c r="AM2393">
        <v>604</v>
      </c>
      <c r="AN2393">
        <v>44</v>
      </c>
      <c r="AP2393">
        <v>1</v>
      </c>
      <c r="AR2393" t="s">
        <v>2486</v>
      </c>
      <c r="AS2393" s="1">
        <v>44354.011111111111</v>
      </c>
      <c r="AT2393" s="1">
        <v>44354.019618055558</v>
      </c>
      <c r="AU2393" s="1">
        <v>44354.021527777775</v>
      </c>
      <c r="AV2393" t="s">
        <v>71</v>
      </c>
      <c r="AW2393" t="s">
        <v>72</v>
      </c>
      <c r="AX2393" t="s">
        <v>73</v>
      </c>
    </row>
    <row r="2394" spans="1:50" x14ac:dyDescent="0.3">
      <c r="A2394" t="str">
        <f>"200397C0100"</f>
        <v>200397C0100</v>
      </c>
      <c r="B2394" t="str">
        <f>"200397C01002"</f>
        <v>200397C01002</v>
      </c>
      <c r="C2394" t="str">
        <f t="shared" si="114"/>
        <v>20</v>
      </c>
      <c r="D2394" t="s">
        <v>67</v>
      </c>
      <c r="E2394" t="str">
        <f t="shared" si="113"/>
        <v>011</v>
      </c>
      <c r="F2394" t="s">
        <v>2448</v>
      </c>
      <c r="G2394" t="str">
        <f>"0397"</f>
        <v>0397</v>
      </c>
      <c r="H2394" t="str">
        <f>"0001"</f>
        <v>0001</v>
      </c>
      <c r="I2394" t="s">
        <v>75</v>
      </c>
      <c r="J2394">
        <v>0</v>
      </c>
      <c r="K2394">
        <v>1</v>
      </c>
      <c r="L2394">
        <v>2</v>
      </c>
      <c r="M2394">
        <v>308</v>
      </c>
      <c r="N2394">
        <v>340</v>
      </c>
      <c r="O2394">
        <v>2</v>
      </c>
      <c r="P2394">
        <v>340</v>
      </c>
      <c r="Q2394">
        <v>20</v>
      </c>
      <c r="R2394">
        <v>50</v>
      </c>
      <c r="S2394">
        <v>1</v>
      </c>
      <c r="T2394">
        <v>8</v>
      </c>
      <c r="U2394">
        <v>28</v>
      </c>
      <c r="V2394">
        <v>3</v>
      </c>
      <c r="W2394">
        <v>3</v>
      </c>
      <c r="X2394">
        <v>199</v>
      </c>
      <c r="Y2394">
        <v>1</v>
      </c>
      <c r="Z2394">
        <v>6</v>
      </c>
      <c r="AA2394">
        <v>4</v>
      </c>
      <c r="AB2394">
        <v>4</v>
      </c>
      <c r="AD2394">
        <v>1</v>
      </c>
      <c r="AE2394">
        <v>2</v>
      </c>
      <c r="AF2394">
        <v>1</v>
      </c>
      <c r="AG2394">
        <v>0</v>
      </c>
      <c r="AH2394">
        <v>0</v>
      </c>
      <c r="AI2394">
        <v>0</v>
      </c>
      <c r="AJ2394">
        <v>9</v>
      </c>
      <c r="AK2394">
        <v>340</v>
      </c>
      <c r="AL2394">
        <v>340</v>
      </c>
      <c r="AM2394">
        <v>604</v>
      </c>
      <c r="AN2394">
        <v>44</v>
      </c>
      <c r="AP2394">
        <v>1</v>
      </c>
      <c r="AR2394" t="s">
        <v>2487</v>
      </c>
      <c r="AS2394" s="1">
        <v>44354.007638888892</v>
      </c>
      <c r="AT2394" s="1">
        <v>44354.013356481482</v>
      </c>
      <c r="AU2394" s="1">
        <v>44354.013831018521</v>
      </c>
      <c r="AV2394" t="s">
        <v>71</v>
      </c>
      <c r="AW2394" t="s">
        <v>72</v>
      </c>
      <c r="AX2394" t="s">
        <v>73</v>
      </c>
    </row>
    <row r="2395" spans="1:50" x14ac:dyDescent="0.3">
      <c r="A2395" t="str">
        <f>"200397C0200"</f>
        <v>200397C0200</v>
      </c>
      <c r="B2395" t="str">
        <f>"200397C02002"</f>
        <v>200397C02002</v>
      </c>
      <c r="C2395" t="str">
        <f t="shared" si="114"/>
        <v>20</v>
      </c>
      <c r="D2395" t="s">
        <v>67</v>
      </c>
      <c r="E2395" t="str">
        <f t="shared" si="113"/>
        <v>011</v>
      </c>
      <c r="F2395" t="s">
        <v>2448</v>
      </c>
      <c r="G2395" t="str">
        <f>"0397"</f>
        <v>0397</v>
      </c>
      <c r="H2395" t="str">
        <f>"0002"</f>
        <v>0002</v>
      </c>
      <c r="I2395" t="s">
        <v>75</v>
      </c>
      <c r="J2395">
        <v>0</v>
      </c>
      <c r="K2395">
        <v>1</v>
      </c>
      <c r="L2395">
        <v>2</v>
      </c>
      <c r="M2395">
        <v>309</v>
      </c>
      <c r="N2395">
        <v>339</v>
      </c>
      <c r="O2395">
        <v>2</v>
      </c>
      <c r="P2395">
        <v>339</v>
      </c>
      <c r="Q2395">
        <v>25</v>
      </c>
      <c r="R2395">
        <v>55</v>
      </c>
      <c r="S2395">
        <v>3</v>
      </c>
      <c r="T2395">
        <v>12</v>
      </c>
      <c r="U2395">
        <v>26</v>
      </c>
      <c r="V2395">
        <v>4</v>
      </c>
      <c r="W2395">
        <v>5</v>
      </c>
      <c r="X2395">
        <v>181</v>
      </c>
      <c r="Y2395">
        <v>8</v>
      </c>
      <c r="Z2395">
        <v>4</v>
      </c>
      <c r="AA2395">
        <v>1</v>
      </c>
      <c r="AB2395">
        <v>2</v>
      </c>
      <c r="AD2395">
        <v>1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12</v>
      </c>
      <c r="AK2395">
        <v>339</v>
      </c>
      <c r="AL2395">
        <v>339</v>
      </c>
      <c r="AM2395">
        <v>604</v>
      </c>
      <c r="AN2395">
        <v>44</v>
      </c>
      <c r="AP2395">
        <v>1</v>
      </c>
      <c r="AR2395" t="s">
        <v>2488</v>
      </c>
      <c r="AS2395" s="1">
        <v>44354.012499999997</v>
      </c>
      <c r="AT2395" s="1">
        <v>44354.020358796297</v>
      </c>
      <c r="AU2395" s="1">
        <v>44354.02103009259</v>
      </c>
      <c r="AV2395" t="s">
        <v>71</v>
      </c>
      <c r="AW2395" t="s">
        <v>72</v>
      </c>
      <c r="AX2395" t="s">
        <v>73</v>
      </c>
    </row>
    <row r="2396" spans="1:50" x14ac:dyDescent="0.3">
      <c r="A2396" t="str">
        <f>"200398B0000"</f>
        <v>200398B0000</v>
      </c>
      <c r="B2396" t="str">
        <f>"200398B00002"</f>
        <v>200398B00002</v>
      </c>
      <c r="C2396" t="str">
        <f t="shared" si="114"/>
        <v>20</v>
      </c>
      <c r="D2396" t="s">
        <v>67</v>
      </c>
      <c r="E2396" t="str">
        <f t="shared" si="113"/>
        <v>011</v>
      </c>
      <c r="F2396" t="s">
        <v>2448</v>
      </c>
      <c r="G2396" t="str">
        <f>"0398"</f>
        <v>0398</v>
      </c>
      <c r="H2396" t="str">
        <f>"0000"</f>
        <v>0000</v>
      </c>
      <c r="I2396" t="s">
        <v>69</v>
      </c>
      <c r="J2396">
        <v>0</v>
      </c>
      <c r="K2396">
        <v>1</v>
      </c>
      <c r="L2396">
        <v>2</v>
      </c>
      <c r="M2396">
        <v>222</v>
      </c>
      <c r="N2396">
        <v>273</v>
      </c>
      <c r="O2396">
        <v>3</v>
      </c>
      <c r="P2396">
        <v>273</v>
      </c>
      <c r="Q2396">
        <v>23</v>
      </c>
      <c r="R2396">
        <v>44</v>
      </c>
      <c r="S2396">
        <v>3</v>
      </c>
      <c r="T2396">
        <v>6</v>
      </c>
      <c r="U2396">
        <v>10</v>
      </c>
      <c r="V2396">
        <v>10</v>
      </c>
      <c r="W2396">
        <v>5</v>
      </c>
      <c r="X2396">
        <v>142</v>
      </c>
      <c r="Y2396">
        <v>7</v>
      </c>
      <c r="Z2396">
        <v>0</v>
      </c>
      <c r="AA2396">
        <v>6</v>
      </c>
      <c r="AB2396">
        <v>4</v>
      </c>
      <c r="AD2396">
        <v>2</v>
      </c>
      <c r="AE2396">
        <v>0</v>
      </c>
      <c r="AF2396">
        <v>0</v>
      </c>
      <c r="AG2396">
        <v>0</v>
      </c>
      <c r="AH2396">
        <v>0</v>
      </c>
      <c r="AI2396">
        <v>2</v>
      </c>
      <c r="AJ2396">
        <v>9</v>
      </c>
      <c r="AK2396">
        <v>273</v>
      </c>
      <c r="AL2396">
        <v>273</v>
      </c>
      <c r="AM2396">
        <v>451</v>
      </c>
      <c r="AN2396">
        <v>44</v>
      </c>
      <c r="AP2396">
        <v>1</v>
      </c>
      <c r="AR2396" t="s">
        <v>2489</v>
      </c>
      <c r="AS2396" s="1">
        <v>44353.945138888892</v>
      </c>
      <c r="AT2396" s="1">
        <v>44353.949537037035</v>
      </c>
      <c r="AU2396" s="1">
        <v>44353.950300925928</v>
      </c>
      <c r="AV2396" t="s">
        <v>71</v>
      </c>
      <c r="AW2396" t="s">
        <v>72</v>
      </c>
      <c r="AX2396" t="s">
        <v>73</v>
      </c>
    </row>
    <row r="2397" spans="1:50" x14ac:dyDescent="0.3">
      <c r="A2397" t="str">
        <f>"200398C0100"</f>
        <v>200398C0100</v>
      </c>
      <c r="B2397" t="str">
        <f>"200398C01002"</f>
        <v>200398C01002</v>
      </c>
      <c r="C2397" t="str">
        <f t="shared" si="114"/>
        <v>20</v>
      </c>
      <c r="D2397" t="s">
        <v>67</v>
      </c>
      <c r="E2397" t="str">
        <f t="shared" si="113"/>
        <v>011</v>
      </c>
      <c r="F2397" t="s">
        <v>2448</v>
      </c>
      <c r="G2397" t="str">
        <f>"0398"</f>
        <v>0398</v>
      </c>
      <c r="H2397" t="str">
        <f>"0001"</f>
        <v>0001</v>
      </c>
      <c r="I2397" t="s">
        <v>75</v>
      </c>
      <c r="J2397">
        <v>0</v>
      </c>
      <c r="K2397">
        <v>1</v>
      </c>
      <c r="L2397">
        <v>2</v>
      </c>
      <c r="M2397">
        <v>226</v>
      </c>
      <c r="N2397">
        <v>269</v>
      </c>
      <c r="O2397">
        <v>7</v>
      </c>
      <c r="P2397">
        <v>269</v>
      </c>
      <c r="Q2397">
        <v>21</v>
      </c>
      <c r="R2397">
        <v>25</v>
      </c>
      <c r="S2397">
        <v>1</v>
      </c>
      <c r="T2397">
        <v>3</v>
      </c>
      <c r="U2397">
        <v>10</v>
      </c>
      <c r="V2397">
        <v>2</v>
      </c>
      <c r="W2397">
        <v>5</v>
      </c>
      <c r="X2397">
        <v>180</v>
      </c>
      <c r="Y2397">
        <v>10</v>
      </c>
      <c r="Z2397">
        <v>1</v>
      </c>
      <c r="AA2397">
        <v>3</v>
      </c>
      <c r="AB2397">
        <v>1</v>
      </c>
      <c r="AD2397">
        <v>2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5</v>
      </c>
      <c r="AK2397">
        <v>269</v>
      </c>
      <c r="AL2397">
        <v>269</v>
      </c>
      <c r="AM2397">
        <v>451</v>
      </c>
      <c r="AN2397">
        <v>44</v>
      </c>
      <c r="AP2397">
        <v>1</v>
      </c>
      <c r="AR2397" t="s">
        <v>2490</v>
      </c>
      <c r="AS2397" s="1">
        <v>44353.947222222225</v>
      </c>
      <c r="AT2397" s="1">
        <v>44353.949895833335</v>
      </c>
      <c r="AU2397" s="1">
        <v>44353.95034722222</v>
      </c>
      <c r="AV2397" t="s">
        <v>71</v>
      </c>
      <c r="AW2397" t="s">
        <v>72</v>
      </c>
      <c r="AX2397" t="s">
        <v>73</v>
      </c>
    </row>
    <row r="2398" spans="1:50" x14ac:dyDescent="0.3">
      <c r="A2398" t="str">
        <f>"200399B0000"</f>
        <v>200399B0000</v>
      </c>
      <c r="B2398" t="str">
        <f>"200399B00002"</f>
        <v>200399B00002</v>
      </c>
      <c r="C2398" t="str">
        <f t="shared" si="114"/>
        <v>20</v>
      </c>
      <c r="D2398" t="s">
        <v>67</v>
      </c>
      <c r="E2398" t="str">
        <f t="shared" si="113"/>
        <v>011</v>
      </c>
      <c r="F2398" t="s">
        <v>2448</v>
      </c>
      <c r="G2398" t="str">
        <f>"0399"</f>
        <v>0399</v>
      </c>
      <c r="H2398" t="str">
        <f>"0000"</f>
        <v>0000</v>
      </c>
      <c r="I2398" t="s">
        <v>69</v>
      </c>
      <c r="J2398">
        <v>0</v>
      </c>
      <c r="K2398">
        <v>1</v>
      </c>
      <c r="L2398">
        <v>2</v>
      </c>
      <c r="M2398">
        <v>355</v>
      </c>
      <c r="N2398">
        <v>373</v>
      </c>
      <c r="O2398">
        <v>4</v>
      </c>
      <c r="P2398" t="s">
        <v>80</v>
      </c>
      <c r="Q2398">
        <v>44</v>
      </c>
      <c r="R2398">
        <v>48</v>
      </c>
      <c r="S2398">
        <v>0</v>
      </c>
      <c r="T2398">
        <v>2</v>
      </c>
      <c r="U2398">
        <v>20</v>
      </c>
      <c r="V2398">
        <v>13</v>
      </c>
      <c r="W2398">
        <v>21</v>
      </c>
      <c r="X2398">
        <v>199</v>
      </c>
      <c r="Y2398">
        <v>6</v>
      </c>
      <c r="Z2398">
        <v>3</v>
      </c>
      <c r="AA2398">
        <v>3</v>
      </c>
      <c r="AB2398">
        <v>2</v>
      </c>
      <c r="AD2398">
        <v>1</v>
      </c>
      <c r="AE2398" t="s">
        <v>77</v>
      </c>
      <c r="AF2398" t="s">
        <v>77</v>
      </c>
      <c r="AG2398" t="s">
        <v>77</v>
      </c>
      <c r="AH2398" t="s">
        <v>77</v>
      </c>
      <c r="AI2398" t="s">
        <v>77</v>
      </c>
      <c r="AJ2398">
        <v>11</v>
      </c>
      <c r="AK2398">
        <v>373</v>
      </c>
      <c r="AL2398">
        <v>373</v>
      </c>
      <c r="AM2398">
        <v>684</v>
      </c>
      <c r="AN2398">
        <v>44</v>
      </c>
      <c r="AO2398" t="s">
        <v>78</v>
      </c>
      <c r="AP2398">
        <v>1</v>
      </c>
      <c r="AR2398" t="s">
        <v>2491</v>
      </c>
      <c r="AS2398" s="1">
        <v>44354.034722222219</v>
      </c>
      <c r="AT2398" s="1">
        <v>44354.04383101852</v>
      </c>
      <c r="AU2398" s="1">
        <v>44354.04478009259</v>
      </c>
      <c r="AV2398" t="s">
        <v>71</v>
      </c>
      <c r="AW2398" t="s">
        <v>72</v>
      </c>
      <c r="AX2398" t="s">
        <v>73</v>
      </c>
    </row>
    <row r="2399" spans="1:50" x14ac:dyDescent="0.3">
      <c r="A2399" t="str">
        <f>"200399C0100"</f>
        <v>200399C0100</v>
      </c>
      <c r="B2399" t="str">
        <f>"200399C01002"</f>
        <v>200399C01002</v>
      </c>
      <c r="C2399" t="str">
        <f t="shared" si="114"/>
        <v>20</v>
      </c>
      <c r="D2399" t="s">
        <v>67</v>
      </c>
      <c r="E2399" t="str">
        <f t="shared" si="113"/>
        <v>011</v>
      </c>
      <c r="F2399" t="s">
        <v>2448</v>
      </c>
      <c r="G2399" t="str">
        <f>"0399"</f>
        <v>0399</v>
      </c>
      <c r="H2399" t="str">
        <f>"0001"</f>
        <v>0001</v>
      </c>
      <c r="I2399" t="s">
        <v>75</v>
      </c>
      <c r="J2399">
        <v>0</v>
      </c>
      <c r="K2399">
        <v>1</v>
      </c>
      <c r="L2399">
        <v>2</v>
      </c>
      <c r="M2399">
        <v>334</v>
      </c>
      <c r="N2399">
        <v>393</v>
      </c>
      <c r="O2399">
        <v>0</v>
      </c>
      <c r="P2399" t="s">
        <v>80</v>
      </c>
      <c r="Q2399">
        <v>39</v>
      </c>
      <c r="R2399">
        <v>31</v>
      </c>
      <c r="S2399">
        <v>6</v>
      </c>
      <c r="T2399">
        <v>5</v>
      </c>
      <c r="U2399">
        <v>22</v>
      </c>
      <c r="V2399">
        <v>6</v>
      </c>
      <c r="W2399">
        <v>18</v>
      </c>
      <c r="X2399">
        <v>241</v>
      </c>
      <c r="Y2399">
        <v>7</v>
      </c>
      <c r="Z2399">
        <v>1</v>
      </c>
      <c r="AA2399">
        <v>2</v>
      </c>
      <c r="AB2399">
        <v>7</v>
      </c>
      <c r="AD2399">
        <v>0</v>
      </c>
      <c r="AE2399">
        <v>0</v>
      </c>
      <c r="AF2399">
        <v>0</v>
      </c>
      <c r="AG2399">
        <v>0</v>
      </c>
      <c r="AH2399">
        <v>1</v>
      </c>
      <c r="AI2399">
        <v>0</v>
      </c>
      <c r="AJ2399">
        <v>7</v>
      </c>
      <c r="AK2399">
        <v>393</v>
      </c>
      <c r="AL2399">
        <v>393</v>
      </c>
      <c r="AM2399">
        <v>683</v>
      </c>
      <c r="AN2399">
        <v>44</v>
      </c>
      <c r="AP2399">
        <v>1</v>
      </c>
      <c r="AR2399" t="s">
        <v>2492</v>
      </c>
      <c r="AS2399" s="1">
        <v>44354.037499999999</v>
      </c>
      <c r="AT2399" s="1">
        <v>44354.046944444446</v>
      </c>
      <c r="AU2399" s="1">
        <v>44354.047430555554</v>
      </c>
      <c r="AV2399" t="s">
        <v>71</v>
      </c>
      <c r="AW2399" t="s">
        <v>72</v>
      </c>
      <c r="AX2399" t="s">
        <v>73</v>
      </c>
    </row>
    <row r="2400" spans="1:50" x14ac:dyDescent="0.3">
      <c r="A2400" t="str">
        <f>"200400B0000"</f>
        <v>200400B0000</v>
      </c>
      <c r="B2400" t="str">
        <f>"200400B00002"</f>
        <v>200400B00002</v>
      </c>
      <c r="C2400" t="str">
        <f t="shared" si="114"/>
        <v>20</v>
      </c>
      <c r="D2400" t="s">
        <v>67</v>
      </c>
      <c r="E2400" t="str">
        <f t="shared" si="113"/>
        <v>011</v>
      </c>
      <c r="F2400" t="s">
        <v>2448</v>
      </c>
      <c r="G2400" t="str">
        <f>"0400"</f>
        <v>0400</v>
      </c>
      <c r="H2400" t="str">
        <f>"0000"</f>
        <v>0000</v>
      </c>
      <c r="I2400" t="s">
        <v>69</v>
      </c>
      <c r="J2400">
        <v>0</v>
      </c>
      <c r="K2400">
        <v>1</v>
      </c>
      <c r="L2400">
        <v>2</v>
      </c>
      <c r="M2400">
        <v>398</v>
      </c>
      <c r="N2400">
        <v>392</v>
      </c>
      <c r="O2400">
        <v>0</v>
      </c>
      <c r="P2400">
        <v>392</v>
      </c>
      <c r="Q2400">
        <v>28</v>
      </c>
      <c r="R2400">
        <v>49</v>
      </c>
      <c r="S2400">
        <v>3</v>
      </c>
      <c r="T2400">
        <v>13</v>
      </c>
      <c r="U2400">
        <v>42</v>
      </c>
      <c r="V2400">
        <v>8</v>
      </c>
      <c r="W2400">
        <v>1</v>
      </c>
      <c r="X2400">
        <v>218</v>
      </c>
      <c r="Y2400">
        <v>4</v>
      </c>
      <c r="Z2400">
        <v>2</v>
      </c>
      <c r="AA2400">
        <v>5</v>
      </c>
      <c r="AB2400">
        <v>10</v>
      </c>
      <c r="AD2400">
        <v>0</v>
      </c>
      <c r="AE2400">
        <v>1</v>
      </c>
      <c r="AF2400">
        <v>0</v>
      </c>
      <c r="AG2400">
        <v>0</v>
      </c>
      <c r="AH2400">
        <v>1</v>
      </c>
      <c r="AI2400">
        <v>0</v>
      </c>
      <c r="AJ2400">
        <v>7</v>
      </c>
      <c r="AK2400">
        <v>392</v>
      </c>
      <c r="AL2400">
        <v>392</v>
      </c>
      <c r="AM2400">
        <v>748</v>
      </c>
      <c r="AN2400">
        <v>44</v>
      </c>
      <c r="AP2400">
        <v>1</v>
      </c>
      <c r="AR2400" t="s">
        <v>2493</v>
      </c>
      <c r="AS2400" s="1">
        <v>44354.073611111111</v>
      </c>
      <c r="AT2400" s="1">
        <v>44354.082407407404</v>
      </c>
      <c r="AU2400" s="1">
        <v>44354.08289351852</v>
      </c>
      <c r="AV2400" t="s">
        <v>71</v>
      </c>
      <c r="AW2400" t="s">
        <v>72</v>
      </c>
      <c r="AX2400" t="s">
        <v>73</v>
      </c>
    </row>
    <row r="2401" spans="1:50" x14ac:dyDescent="0.3">
      <c r="A2401" t="str">
        <f>"200400C0100"</f>
        <v>200400C0100</v>
      </c>
      <c r="B2401" t="str">
        <f>"200400C01002"</f>
        <v>200400C01002</v>
      </c>
      <c r="C2401" t="str">
        <f t="shared" si="114"/>
        <v>20</v>
      </c>
      <c r="D2401" t="s">
        <v>67</v>
      </c>
      <c r="E2401" t="str">
        <f t="shared" si="113"/>
        <v>011</v>
      </c>
      <c r="F2401" t="s">
        <v>2448</v>
      </c>
      <c r="G2401" t="str">
        <f>"0400"</f>
        <v>0400</v>
      </c>
      <c r="H2401" t="str">
        <f>"0001"</f>
        <v>0001</v>
      </c>
      <c r="I2401" t="s">
        <v>75</v>
      </c>
      <c r="J2401">
        <v>0</v>
      </c>
      <c r="K2401">
        <v>1</v>
      </c>
      <c r="L2401">
        <v>2</v>
      </c>
      <c r="M2401">
        <v>363</v>
      </c>
      <c r="N2401">
        <v>424</v>
      </c>
      <c r="O2401">
        <v>1</v>
      </c>
      <c r="P2401">
        <v>424</v>
      </c>
      <c r="Q2401">
        <v>30</v>
      </c>
      <c r="R2401">
        <v>62</v>
      </c>
      <c r="S2401">
        <v>10</v>
      </c>
      <c r="T2401">
        <v>12</v>
      </c>
      <c r="U2401">
        <v>32</v>
      </c>
      <c r="V2401">
        <v>12</v>
      </c>
      <c r="W2401">
        <v>5</v>
      </c>
      <c r="X2401">
        <v>210</v>
      </c>
      <c r="Y2401">
        <v>3</v>
      </c>
      <c r="Z2401">
        <v>3</v>
      </c>
      <c r="AA2401">
        <v>3</v>
      </c>
      <c r="AB2401">
        <v>20</v>
      </c>
      <c r="AD2401" t="s">
        <v>99</v>
      </c>
      <c r="AE2401" t="s">
        <v>99</v>
      </c>
      <c r="AF2401" t="s">
        <v>99</v>
      </c>
      <c r="AG2401" t="s">
        <v>99</v>
      </c>
      <c r="AH2401" t="s">
        <v>99</v>
      </c>
      <c r="AI2401">
        <v>0</v>
      </c>
      <c r="AJ2401">
        <v>23</v>
      </c>
      <c r="AK2401" t="s">
        <v>77</v>
      </c>
      <c r="AL2401">
        <v>425</v>
      </c>
      <c r="AM2401">
        <v>747</v>
      </c>
      <c r="AN2401">
        <v>44</v>
      </c>
      <c r="AO2401" t="s">
        <v>78</v>
      </c>
      <c r="AP2401">
        <v>1</v>
      </c>
      <c r="AR2401" t="s">
        <v>2494</v>
      </c>
      <c r="AS2401" s="1">
        <v>44354.074999999997</v>
      </c>
      <c r="AT2401" s="1">
        <v>44354.084548611114</v>
      </c>
      <c r="AU2401" s="1">
        <v>44354.086759259262</v>
      </c>
      <c r="AV2401" t="s">
        <v>71</v>
      </c>
      <c r="AW2401" t="s">
        <v>72</v>
      </c>
      <c r="AX2401" t="s">
        <v>73</v>
      </c>
    </row>
    <row r="2402" spans="1:50" x14ac:dyDescent="0.3">
      <c r="A2402" t="str">
        <f>"200400C0200"</f>
        <v>200400C0200</v>
      </c>
      <c r="B2402" t="str">
        <f>"200400C02002"</f>
        <v>200400C02002</v>
      </c>
      <c r="C2402" t="str">
        <f t="shared" si="114"/>
        <v>20</v>
      </c>
      <c r="D2402" t="s">
        <v>67</v>
      </c>
      <c r="E2402" t="str">
        <f t="shared" si="113"/>
        <v>011</v>
      </c>
      <c r="F2402" t="s">
        <v>2448</v>
      </c>
      <c r="G2402" t="str">
        <f>"0400"</f>
        <v>0400</v>
      </c>
      <c r="H2402" t="str">
        <f>"0002"</f>
        <v>0002</v>
      </c>
      <c r="I2402" t="s">
        <v>75</v>
      </c>
      <c r="J2402">
        <v>0</v>
      </c>
      <c r="K2402">
        <v>1</v>
      </c>
      <c r="L2402">
        <v>2</v>
      </c>
      <c r="M2402">
        <v>387</v>
      </c>
      <c r="N2402">
        <v>0</v>
      </c>
      <c r="O2402">
        <v>0</v>
      </c>
      <c r="P2402">
        <v>404</v>
      </c>
      <c r="Q2402">
        <v>25</v>
      </c>
      <c r="R2402">
        <v>34</v>
      </c>
      <c r="S2402">
        <v>2</v>
      </c>
      <c r="T2402">
        <v>14</v>
      </c>
      <c r="U2402">
        <v>55</v>
      </c>
      <c r="V2402">
        <v>6</v>
      </c>
      <c r="W2402">
        <v>2</v>
      </c>
      <c r="X2402">
        <v>222</v>
      </c>
      <c r="Y2402">
        <v>2</v>
      </c>
      <c r="Z2402">
        <v>5</v>
      </c>
      <c r="AA2402">
        <v>1</v>
      </c>
      <c r="AB2402">
        <v>9</v>
      </c>
      <c r="AD2402">
        <v>1</v>
      </c>
      <c r="AE2402">
        <v>2</v>
      </c>
      <c r="AF2402">
        <v>0</v>
      </c>
      <c r="AG2402">
        <v>0</v>
      </c>
      <c r="AH2402">
        <v>0</v>
      </c>
      <c r="AI2402">
        <v>2</v>
      </c>
      <c r="AJ2402">
        <v>21</v>
      </c>
      <c r="AK2402">
        <v>404</v>
      </c>
      <c r="AL2402">
        <v>403</v>
      </c>
      <c r="AM2402">
        <v>747</v>
      </c>
      <c r="AN2402">
        <v>44</v>
      </c>
      <c r="AP2402">
        <v>1</v>
      </c>
      <c r="AR2402" t="s">
        <v>2495</v>
      </c>
      <c r="AS2402" s="1">
        <v>44354.074305555558</v>
      </c>
      <c r="AT2402" s="1">
        <v>44354.082175925927</v>
      </c>
      <c r="AU2402" s="1">
        <v>44354.083055555559</v>
      </c>
      <c r="AV2402" t="s">
        <v>71</v>
      </c>
      <c r="AW2402" t="s">
        <v>72</v>
      </c>
      <c r="AX2402" t="s">
        <v>73</v>
      </c>
    </row>
    <row r="2403" spans="1:50" x14ac:dyDescent="0.3">
      <c r="A2403" t="str">
        <f>"200401B0000"</f>
        <v>200401B0000</v>
      </c>
      <c r="B2403" t="str">
        <f>"200401B00002"</f>
        <v>200401B00002</v>
      </c>
      <c r="C2403" t="str">
        <f t="shared" si="114"/>
        <v>20</v>
      </c>
      <c r="D2403" t="s">
        <v>67</v>
      </c>
      <c r="E2403" t="str">
        <f t="shared" si="113"/>
        <v>011</v>
      </c>
      <c r="F2403" t="s">
        <v>2448</v>
      </c>
      <c r="G2403" t="str">
        <f>"0401"</f>
        <v>0401</v>
      </c>
      <c r="H2403" t="str">
        <f>"0000"</f>
        <v>0000</v>
      </c>
      <c r="I2403" t="s">
        <v>69</v>
      </c>
      <c r="J2403">
        <v>0</v>
      </c>
      <c r="K2403">
        <v>1</v>
      </c>
      <c r="L2403">
        <v>2</v>
      </c>
      <c r="M2403">
        <v>281</v>
      </c>
      <c r="N2403">
        <v>278</v>
      </c>
      <c r="O2403">
        <v>3</v>
      </c>
      <c r="P2403">
        <v>278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3</v>
      </c>
      <c r="W2403">
        <v>4</v>
      </c>
      <c r="X2403">
        <v>155</v>
      </c>
      <c r="Y2403">
        <v>6</v>
      </c>
      <c r="Z2403">
        <v>0</v>
      </c>
      <c r="AA2403">
        <v>2</v>
      </c>
      <c r="AB2403">
        <v>14</v>
      </c>
      <c r="AD2403">
        <v>1</v>
      </c>
      <c r="AE2403">
        <v>0</v>
      </c>
      <c r="AF2403">
        <v>0</v>
      </c>
      <c r="AG2403">
        <v>0</v>
      </c>
      <c r="AH2403">
        <v>0</v>
      </c>
      <c r="AI2403">
        <v>1</v>
      </c>
      <c r="AJ2403">
        <v>92</v>
      </c>
      <c r="AK2403">
        <v>278</v>
      </c>
      <c r="AL2403">
        <v>278</v>
      </c>
      <c r="AM2403">
        <v>515</v>
      </c>
      <c r="AN2403">
        <v>44</v>
      </c>
      <c r="AP2403">
        <v>1</v>
      </c>
      <c r="AR2403" t="s">
        <v>2496</v>
      </c>
      <c r="AS2403" s="1">
        <v>44354.104166666664</v>
      </c>
      <c r="AT2403" s="1">
        <v>44354.107037037036</v>
      </c>
      <c r="AU2403" s="1">
        <v>44354.107314814813</v>
      </c>
      <c r="AV2403" t="s">
        <v>71</v>
      </c>
      <c r="AW2403" t="s">
        <v>72</v>
      </c>
      <c r="AX2403" t="s">
        <v>73</v>
      </c>
    </row>
    <row r="2404" spans="1:50" x14ac:dyDescent="0.3">
      <c r="A2404" t="str">
        <f>"200401C0100"</f>
        <v>200401C0100</v>
      </c>
      <c r="B2404" t="str">
        <f>"200401C01002"</f>
        <v>200401C01002</v>
      </c>
      <c r="C2404" t="str">
        <f t="shared" si="114"/>
        <v>20</v>
      </c>
      <c r="D2404" t="s">
        <v>67</v>
      </c>
      <c r="E2404" t="str">
        <f t="shared" si="113"/>
        <v>011</v>
      </c>
      <c r="F2404" t="s">
        <v>2448</v>
      </c>
      <c r="G2404" t="str">
        <f>"0401"</f>
        <v>0401</v>
      </c>
      <c r="H2404" t="str">
        <f>"0001"</f>
        <v>0001</v>
      </c>
      <c r="I2404" t="s">
        <v>75</v>
      </c>
      <c r="J2404">
        <v>0</v>
      </c>
      <c r="K2404">
        <v>1</v>
      </c>
      <c r="L2404">
        <v>2</v>
      </c>
      <c r="M2404">
        <v>276</v>
      </c>
      <c r="N2404">
        <v>282</v>
      </c>
      <c r="O2404">
        <v>5</v>
      </c>
      <c r="P2404">
        <v>282</v>
      </c>
      <c r="Q2404">
        <v>27</v>
      </c>
      <c r="R2404">
        <v>37</v>
      </c>
      <c r="S2404">
        <v>3</v>
      </c>
      <c r="T2404">
        <v>2</v>
      </c>
      <c r="U2404">
        <v>17</v>
      </c>
      <c r="V2404">
        <v>3</v>
      </c>
      <c r="W2404">
        <v>4</v>
      </c>
      <c r="X2404">
        <v>166</v>
      </c>
      <c r="Y2404">
        <v>4</v>
      </c>
      <c r="Z2404">
        <v>0</v>
      </c>
      <c r="AA2404">
        <v>0</v>
      </c>
      <c r="AB2404">
        <v>13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6</v>
      </c>
      <c r="AK2404">
        <v>282</v>
      </c>
      <c r="AL2404">
        <v>282</v>
      </c>
      <c r="AM2404">
        <v>514</v>
      </c>
      <c r="AN2404">
        <v>44</v>
      </c>
      <c r="AP2404">
        <v>1</v>
      </c>
      <c r="AR2404" t="s">
        <v>2497</v>
      </c>
      <c r="AS2404" s="1">
        <v>44354.250694444447</v>
      </c>
      <c r="AT2404" s="1">
        <v>44354.257847222223</v>
      </c>
      <c r="AU2404" s="1">
        <v>44354.25886574074</v>
      </c>
      <c r="AV2404" t="s">
        <v>71</v>
      </c>
      <c r="AW2404" t="s">
        <v>72</v>
      </c>
      <c r="AX2404" t="s">
        <v>73</v>
      </c>
    </row>
    <row r="2405" spans="1:50" x14ac:dyDescent="0.3">
      <c r="A2405" t="str">
        <f>"200402B0000"</f>
        <v>200402B0000</v>
      </c>
      <c r="B2405" t="str">
        <f>"200402B00002"</f>
        <v>200402B00002</v>
      </c>
      <c r="C2405" t="str">
        <f t="shared" si="114"/>
        <v>20</v>
      </c>
      <c r="D2405" t="s">
        <v>67</v>
      </c>
      <c r="E2405" t="str">
        <f t="shared" si="113"/>
        <v>011</v>
      </c>
      <c r="F2405" t="s">
        <v>2448</v>
      </c>
      <c r="G2405" t="str">
        <f>"0402"</f>
        <v>0402</v>
      </c>
      <c r="H2405" t="str">
        <f>"0000"</f>
        <v>0000</v>
      </c>
      <c r="I2405" t="s">
        <v>69</v>
      </c>
      <c r="J2405">
        <v>0</v>
      </c>
      <c r="K2405">
        <v>1</v>
      </c>
      <c r="L2405">
        <v>2</v>
      </c>
      <c r="M2405">
        <v>230</v>
      </c>
      <c r="N2405">
        <v>269</v>
      </c>
      <c r="O2405">
        <v>3</v>
      </c>
      <c r="P2405">
        <v>269</v>
      </c>
      <c r="Q2405">
        <v>31</v>
      </c>
      <c r="R2405">
        <v>34</v>
      </c>
      <c r="S2405">
        <v>1</v>
      </c>
      <c r="T2405">
        <v>2</v>
      </c>
      <c r="U2405">
        <v>13</v>
      </c>
      <c r="V2405">
        <v>4</v>
      </c>
      <c r="W2405">
        <v>9</v>
      </c>
      <c r="X2405">
        <v>138</v>
      </c>
      <c r="Y2405">
        <v>23</v>
      </c>
      <c r="Z2405">
        <v>2</v>
      </c>
      <c r="AA2405">
        <v>1</v>
      </c>
      <c r="AB2405">
        <v>9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 t="s">
        <v>99</v>
      </c>
      <c r="AK2405">
        <v>269</v>
      </c>
      <c r="AL2405">
        <v>267</v>
      </c>
      <c r="AM2405">
        <v>455</v>
      </c>
      <c r="AN2405">
        <v>44</v>
      </c>
      <c r="AO2405" t="s">
        <v>78</v>
      </c>
      <c r="AP2405">
        <v>1</v>
      </c>
      <c r="AR2405" t="s">
        <v>2498</v>
      </c>
      <c r="AS2405" s="1">
        <v>44353.975694444445</v>
      </c>
      <c r="AT2405" s="1">
        <v>44353.979664351849</v>
      </c>
      <c r="AU2405" s="1">
        <v>44353.980185185188</v>
      </c>
      <c r="AV2405" t="s">
        <v>71</v>
      </c>
      <c r="AW2405" t="s">
        <v>72</v>
      </c>
      <c r="AX2405" t="s">
        <v>73</v>
      </c>
    </row>
    <row r="2406" spans="1:50" x14ac:dyDescent="0.3">
      <c r="A2406" t="str">
        <f>"200402C0100"</f>
        <v>200402C0100</v>
      </c>
      <c r="B2406" t="str">
        <f>"200402C01002"</f>
        <v>200402C01002</v>
      </c>
      <c r="C2406" t="str">
        <f t="shared" si="114"/>
        <v>20</v>
      </c>
      <c r="D2406" t="s">
        <v>67</v>
      </c>
      <c r="E2406" t="str">
        <f t="shared" si="113"/>
        <v>011</v>
      </c>
      <c r="F2406" t="s">
        <v>2448</v>
      </c>
      <c r="G2406" t="str">
        <f>"0402"</f>
        <v>0402</v>
      </c>
      <c r="H2406" t="str">
        <f>"0001"</f>
        <v>0001</v>
      </c>
      <c r="I2406" t="s">
        <v>75</v>
      </c>
      <c r="J2406">
        <v>0</v>
      </c>
      <c r="K2406">
        <v>1</v>
      </c>
      <c r="L2406">
        <v>2</v>
      </c>
      <c r="M2406">
        <v>245</v>
      </c>
      <c r="N2406">
        <v>253</v>
      </c>
      <c r="O2406">
        <v>5</v>
      </c>
      <c r="P2406">
        <v>253</v>
      </c>
      <c r="Q2406">
        <v>36</v>
      </c>
      <c r="R2406">
        <v>33</v>
      </c>
      <c r="S2406">
        <v>1</v>
      </c>
      <c r="T2406">
        <v>6</v>
      </c>
      <c r="U2406">
        <v>8</v>
      </c>
      <c r="V2406">
        <v>3</v>
      </c>
      <c r="W2406">
        <v>4</v>
      </c>
      <c r="X2406">
        <v>131</v>
      </c>
      <c r="Y2406">
        <v>18</v>
      </c>
      <c r="Z2406">
        <v>1</v>
      </c>
      <c r="AA2406">
        <v>0</v>
      </c>
      <c r="AB2406">
        <v>4</v>
      </c>
      <c r="AD2406">
        <v>2</v>
      </c>
      <c r="AE2406">
        <v>0</v>
      </c>
      <c r="AF2406">
        <v>0</v>
      </c>
      <c r="AG2406">
        <v>0</v>
      </c>
      <c r="AH2406">
        <v>1</v>
      </c>
      <c r="AI2406">
        <v>0</v>
      </c>
      <c r="AJ2406">
        <v>5</v>
      </c>
      <c r="AK2406">
        <v>253</v>
      </c>
      <c r="AL2406">
        <v>253</v>
      </c>
      <c r="AM2406">
        <v>454</v>
      </c>
      <c r="AN2406">
        <v>44</v>
      </c>
      <c r="AP2406">
        <v>1</v>
      </c>
      <c r="AR2406" t="s">
        <v>2499</v>
      </c>
      <c r="AS2406" s="1">
        <v>44353.98333333333</v>
      </c>
      <c r="AT2406" s="1">
        <v>44353.985636574071</v>
      </c>
      <c r="AU2406" s="1">
        <v>44353.987592592595</v>
      </c>
      <c r="AV2406" t="s">
        <v>71</v>
      </c>
      <c r="AW2406" t="s">
        <v>72</v>
      </c>
      <c r="AX2406" t="s">
        <v>73</v>
      </c>
    </row>
    <row r="2407" spans="1:50" x14ac:dyDescent="0.3">
      <c r="A2407" t="str">
        <f>"200402S0100"</f>
        <v>200402S0100</v>
      </c>
      <c r="B2407" t="str">
        <f>"200402S01002EMR"</f>
        <v>200402S01002EMR</v>
      </c>
      <c r="C2407" t="str">
        <f t="shared" si="114"/>
        <v>20</v>
      </c>
      <c r="D2407" t="s">
        <v>67</v>
      </c>
      <c r="E2407" t="str">
        <f t="shared" si="113"/>
        <v>011</v>
      </c>
      <c r="F2407" t="s">
        <v>2448</v>
      </c>
      <c r="G2407" t="str">
        <f>"0402"</f>
        <v>0402</v>
      </c>
      <c r="H2407" t="str">
        <f>"0001"</f>
        <v>0001</v>
      </c>
      <c r="I2407" t="s">
        <v>85</v>
      </c>
      <c r="J2407">
        <v>0</v>
      </c>
      <c r="K2407">
        <v>1</v>
      </c>
      <c r="L2407" t="s">
        <v>86</v>
      </c>
      <c r="M2407">
        <v>743</v>
      </c>
      <c r="N2407">
        <v>82</v>
      </c>
      <c r="O2407">
        <v>0</v>
      </c>
      <c r="P2407">
        <v>82</v>
      </c>
      <c r="Q2407">
        <v>3</v>
      </c>
      <c r="R2407">
        <v>15</v>
      </c>
      <c r="S2407">
        <v>4</v>
      </c>
      <c r="T2407">
        <v>0</v>
      </c>
      <c r="U2407">
        <v>5</v>
      </c>
      <c r="V2407">
        <v>0</v>
      </c>
      <c r="W2407">
        <v>0</v>
      </c>
      <c r="X2407">
        <v>41</v>
      </c>
      <c r="Y2407">
        <v>2</v>
      </c>
      <c r="Z2407">
        <v>2</v>
      </c>
      <c r="AA2407">
        <v>0</v>
      </c>
      <c r="AB2407">
        <v>4</v>
      </c>
      <c r="AD2407">
        <v>1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5</v>
      </c>
      <c r="AK2407">
        <v>82</v>
      </c>
      <c r="AL2407">
        <v>82</v>
      </c>
      <c r="AM2407">
        <v>0</v>
      </c>
      <c r="AN2407">
        <v>44</v>
      </c>
      <c r="AP2407">
        <v>1</v>
      </c>
      <c r="AR2407" t="s">
        <v>2500</v>
      </c>
      <c r="AS2407" s="1">
        <v>44353.92083333333</v>
      </c>
      <c r="AT2407" s="1">
        <v>44354.550011574072</v>
      </c>
      <c r="AU2407" s="1">
        <v>44354.55096064815</v>
      </c>
      <c r="AV2407" t="s">
        <v>71</v>
      </c>
      <c r="AW2407" t="s">
        <v>72</v>
      </c>
      <c r="AX2407" t="s">
        <v>73</v>
      </c>
    </row>
    <row r="2408" spans="1:50" x14ac:dyDescent="0.3">
      <c r="A2408" t="str">
        <f>"200403B0000"</f>
        <v>200403B0000</v>
      </c>
      <c r="B2408" t="str">
        <f>"200403B00002"</f>
        <v>200403B00002</v>
      </c>
      <c r="C2408" t="str">
        <f t="shared" si="114"/>
        <v>20</v>
      </c>
      <c r="D2408" t="s">
        <v>67</v>
      </c>
      <c r="E2408" t="str">
        <f t="shared" si="113"/>
        <v>011</v>
      </c>
      <c r="F2408" t="s">
        <v>2448</v>
      </c>
      <c r="G2408" t="str">
        <f>"0403"</f>
        <v>0403</v>
      </c>
      <c r="H2408" t="str">
        <f>"0000"</f>
        <v>0000</v>
      </c>
      <c r="I2408" t="s">
        <v>69</v>
      </c>
      <c r="J2408">
        <v>0</v>
      </c>
      <c r="K2408">
        <v>1</v>
      </c>
      <c r="L2408">
        <v>2</v>
      </c>
      <c r="M2408">
        <v>279</v>
      </c>
      <c r="N2408">
        <v>401</v>
      </c>
      <c r="O2408">
        <v>0</v>
      </c>
      <c r="P2408">
        <v>401</v>
      </c>
      <c r="Q2408">
        <v>28</v>
      </c>
      <c r="R2408">
        <v>52</v>
      </c>
      <c r="S2408" t="s">
        <v>77</v>
      </c>
      <c r="T2408">
        <v>9</v>
      </c>
      <c r="U2408">
        <v>50</v>
      </c>
      <c r="V2408">
        <v>7</v>
      </c>
      <c r="W2408">
        <v>2</v>
      </c>
      <c r="X2408">
        <v>227</v>
      </c>
      <c r="Y2408" t="s">
        <v>77</v>
      </c>
      <c r="Z2408">
        <v>4</v>
      </c>
      <c r="AA2408">
        <v>4</v>
      </c>
      <c r="AB2408">
        <v>9</v>
      </c>
      <c r="AD2408" t="s">
        <v>77</v>
      </c>
      <c r="AE2408" t="s">
        <v>77</v>
      </c>
      <c r="AF2408" t="s">
        <v>77</v>
      </c>
      <c r="AG2408" t="s">
        <v>77</v>
      </c>
      <c r="AH2408" t="s">
        <v>77</v>
      </c>
      <c r="AI2408" t="s">
        <v>77</v>
      </c>
      <c r="AJ2408">
        <v>9</v>
      </c>
      <c r="AK2408">
        <v>401</v>
      </c>
      <c r="AL2408">
        <v>401</v>
      </c>
      <c r="AM2408">
        <v>636</v>
      </c>
      <c r="AN2408">
        <v>44</v>
      </c>
      <c r="AO2408" t="s">
        <v>78</v>
      </c>
      <c r="AP2408">
        <v>1</v>
      </c>
      <c r="AR2408" t="s">
        <v>2501</v>
      </c>
      <c r="AS2408" s="1">
        <v>44354.226388888892</v>
      </c>
      <c r="AT2408" s="1">
        <v>44354.232210648152</v>
      </c>
      <c r="AU2408" s="1">
        <v>44354.232881944445</v>
      </c>
      <c r="AV2408" t="s">
        <v>71</v>
      </c>
      <c r="AW2408" t="s">
        <v>72</v>
      </c>
      <c r="AX2408" t="s">
        <v>73</v>
      </c>
    </row>
    <row r="2409" spans="1:50" x14ac:dyDescent="0.3">
      <c r="A2409" t="str">
        <f>"200403C0100"</f>
        <v>200403C0100</v>
      </c>
      <c r="B2409" t="str">
        <f>"200403C01002"</f>
        <v>200403C01002</v>
      </c>
      <c r="C2409" t="str">
        <f t="shared" si="114"/>
        <v>20</v>
      </c>
      <c r="D2409" t="s">
        <v>67</v>
      </c>
      <c r="E2409" t="str">
        <f t="shared" si="113"/>
        <v>011</v>
      </c>
      <c r="F2409" t="s">
        <v>2448</v>
      </c>
      <c r="G2409" t="str">
        <f>"0403"</f>
        <v>0403</v>
      </c>
      <c r="H2409" t="str">
        <f>"0001"</f>
        <v>0001</v>
      </c>
      <c r="I2409" t="s">
        <v>75</v>
      </c>
      <c r="J2409">
        <v>0</v>
      </c>
      <c r="K2409">
        <v>1</v>
      </c>
      <c r="L2409">
        <v>2</v>
      </c>
      <c r="M2409">
        <v>272</v>
      </c>
      <c r="N2409">
        <v>407</v>
      </c>
      <c r="O2409">
        <v>1</v>
      </c>
      <c r="P2409">
        <v>408</v>
      </c>
      <c r="Q2409">
        <v>22</v>
      </c>
      <c r="R2409">
        <v>49</v>
      </c>
      <c r="S2409">
        <v>5</v>
      </c>
      <c r="T2409">
        <v>11</v>
      </c>
      <c r="U2409">
        <v>42</v>
      </c>
      <c r="V2409">
        <v>5</v>
      </c>
      <c r="W2409">
        <v>5</v>
      </c>
      <c r="X2409">
        <v>250</v>
      </c>
      <c r="Y2409">
        <v>1</v>
      </c>
      <c r="Z2409">
        <v>1</v>
      </c>
      <c r="AA2409">
        <v>3</v>
      </c>
      <c r="AB2409">
        <v>2</v>
      </c>
      <c r="AD2409">
        <v>2</v>
      </c>
      <c r="AE2409">
        <v>0</v>
      </c>
      <c r="AF2409">
        <v>0</v>
      </c>
      <c r="AG2409">
        <v>0</v>
      </c>
      <c r="AH2409">
        <v>0</v>
      </c>
      <c r="AI2409">
        <v>1</v>
      </c>
      <c r="AJ2409">
        <v>9</v>
      </c>
      <c r="AK2409">
        <v>408</v>
      </c>
      <c r="AL2409">
        <v>408</v>
      </c>
      <c r="AM2409">
        <v>636</v>
      </c>
      <c r="AN2409">
        <v>44</v>
      </c>
      <c r="AP2409">
        <v>1</v>
      </c>
      <c r="AR2409" t="s">
        <v>2502</v>
      </c>
      <c r="AS2409" s="1">
        <v>44354.226388888892</v>
      </c>
      <c r="AT2409" s="1">
        <v>44354.232083333336</v>
      </c>
      <c r="AU2409" s="1">
        <v>44354.23296296296</v>
      </c>
      <c r="AV2409" t="s">
        <v>71</v>
      </c>
      <c r="AW2409" t="s">
        <v>72</v>
      </c>
      <c r="AX2409" t="s">
        <v>73</v>
      </c>
    </row>
    <row r="2410" spans="1:50" x14ac:dyDescent="0.3">
      <c r="A2410" t="str">
        <f>"200404B0000"</f>
        <v>200404B0000</v>
      </c>
      <c r="B2410" t="str">
        <f>"200404B00002"</f>
        <v>200404B00002</v>
      </c>
      <c r="C2410" t="str">
        <f t="shared" si="114"/>
        <v>20</v>
      </c>
      <c r="D2410" t="s">
        <v>67</v>
      </c>
      <c r="E2410" t="str">
        <f t="shared" si="113"/>
        <v>011</v>
      </c>
      <c r="F2410" t="s">
        <v>2448</v>
      </c>
      <c r="G2410" t="str">
        <f>"0404"</f>
        <v>0404</v>
      </c>
      <c r="H2410" t="str">
        <f>"0000"</f>
        <v>0000</v>
      </c>
      <c r="I2410" t="s">
        <v>69</v>
      </c>
      <c r="J2410">
        <v>0</v>
      </c>
      <c r="K2410">
        <v>1</v>
      </c>
      <c r="L2410">
        <v>2</v>
      </c>
      <c r="M2410" t="s">
        <v>99</v>
      </c>
      <c r="N2410">
        <v>345</v>
      </c>
      <c r="O2410">
        <v>0</v>
      </c>
      <c r="P2410">
        <v>345</v>
      </c>
      <c r="Q2410">
        <v>20</v>
      </c>
      <c r="R2410">
        <v>70</v>
      </c>
      <c r="S2410">
        <v>2</v>
      </c>
      <c r="T2410">
        <v>8</v>
      </c>
      <c r="U2410">
        <v>22</v>
      </c>
      <c r="V2410">
        <v>2</v>
      </c>
      <c r="W2410">
        <v>3</v>
      </c>
      <c r="X2410">
        <v>194</v>
      </c>
      <c r="Y2410">
        <v>4</v>
      </c>
      <c r="Z2410">
        <v>4</v>
      </c>
      <c r="AA2410">
        <v>1</v>
      </c>
      <c r="AB2410">
        <v>6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10</v>
      </c>
      <c r="AK2410" t="s">
        <v>99</v>
      </c>
      <c r="AL2410">
        <v>346</v>
      </c>
      <c r="AM2410">
        <v>543</v>
      </c>
      <c r="AN2410">
        <v>44</v>
      </c>
      <c r="AP2410">
        <v>1</v>
      </c>
      <c r="AR2410" t="s">
        <v>2503</v>
      </c>
      <c r="AS2410" s="1">
        <v>44354.025000000001</v>
      </c>
      <c r="AT2410" s="1">
        <v>44354.032627314817</v>
      </c>
      <c r="AU2410" s="1">
        <v>44354.033113425925</v>
      </c>
      <c r="AV2410" t="s">
        <v>71</v>
      </c>
      <c r="AW2410" t="s">
        <v>72</v>
      </c>
      <c r="AX2410" t="s">
        <v>73</v>
      </c>
    </row>
    <row r="2411" spans="1:50" x14ac:dyDescent="0.3">
      <c r="A2411" t="str">
        <f>"200404C0100"</f>
        <v>200404C0100</v>
      </c>
      <c r="B2411" t="str">
        <f>"200404C01002"</f>
        <v>200404C01002</v>
      </c>
      <c r="C2411" t="str">
        <f t="shared" si="114"/>
        <v>20</v>
      </c>
      <c r="D2411" t="s">
        <v>67</v>
      </c>
      <c r="E2411" t="str">
        <f t="shared" si="113"/>
        <v>011</v>
      </c>
      <c r="F2411" t="s">
        <v>2448</v>
      </c>
      <c r="G2411" t="str">
        <f>"0404"</f>
        <v>0404</v>
      </c>
      <c r="H2411" t="str">
        <f>"0001"</f>
        <v>0001</v>
      </c>
      <c r="I2411" t="s">
        <v>75</v>
      </c>
      <c r="J2411">
        <v>0</v>
      </c>
      <c r="K2411">
        <v>1</v>
      </c>
      <c r="L2411">
        <v>2</v>
      </c>
      <c r="M2411" t="s">
        <v>80</v>
      </c>
      <c r="N2411" t="s">
        <v>80</v>
      </c>
      <c r="O2411" t="s">
        <v>80</v>
      </c>
      <c r="P2411" t="s">
        <v>80</v>
      </c>
      <c r="Q2411">
        <v>20</v>
      </c>
      <c r="R2411">
        <v>54</v>
      </c>
      <c r="S2411">
        <v>1</v>
      </c>
      <c r="T2411">
        <v>24</v>
      </c>
      <c r="U2411">
        <v>25</v>
      </c>
      <c r="V2411">
        <v>2</v>
      </c>
      <c r="W2411">
        <v>4</v>
      </c>
      <c r="X2411">
        <v>197</v>
      </c>
      <c r="Y2411">
        <v>2</v>
      </c>
      <c r="Z2411">
        <v>0</v>
      </c>
      <c r="AA2411">
        <v>0</v>
      </c>
      <c r="AB2411">
        <v>2</v>
      </c>
      <c r="AD2411">
        <v>1</v>
      </c>
      <c r="AE2411">
        <v>0</v>
      </c>
      <c r="AF2411">
        <v>0</v>
      </c>
      <c r="AG2411">
        <v>0</v>
      </c>
      <c r="AH2411">
        <v>0</v>
      </c>
      <c r="AI2411" t="s">
        <v>77</v>
      </c>
      <c r="AJ2411" t="s">
        <v>77</v>
      </c>
      <c r="AK2411" t="s">
        <v>77</v>
      </c>
      <c r="AL2411">
        <v>332</v>
      </c>
      <c r="AM2411">
        <v>543</v>
      </c>
      <c r="AN2411">
        <v>44</v>
      </c>
      <c r="AO2411" t="s">
        <v>78</v>
      </c>
      <c r="AP2411">
        <v>1</v>
      </c>
      <c r="AR2411" t="s">
        <v>2504</v>
      </c>
      <c r="AS2411" s="1">
        <v>44354.02847222222</v>
      </c>
      <c r="AT2411" s="1">
        <v>44354.03628472222</v>
      </c>
      <c r="AU2411" s="1">
        <v>44354.037210648145</v>
      </c>
      <c r="AV2411" t="s">
        <v>71</v>
      </c>
      <c r="AW2411" t="s">
        <v>72</v>
      </c>
      <c r="AX2411" t="s">
        <v>73</v>
      </c>
    </row>
    <row r="2412" spans="1:50" x14ac:dyDescent="0.3">
      <c r="A2412" t="str">
        <f>"200405B0000"</f>
        <v>200405B0000</v>
      </c>
      <c r="B2412" t="str">
        <f>"200405B00002"</f>
        <v>200405B00002</v>
      </c>
      <c r="C2412" t="str">
        <f t="shared" si="114"/>
        <v>20</v>
      </c>
      <c r="D2412" t="s">
        <v>67</v>
      </c>
      <c r="E2412" t="str">
        <f t="shared" si="113"/>
        <v>011</v>
      </c>
      <c r="F2412" t="s">
        <v>2448</v>
      </c>
      <c r="G2412" t="str">
        <f>"0405"</f>
        <v>0405</v>
      </c>
      <c r="H2412" t="str">
        <f>"0000"</f>
        <v>0000</v>
      </c>
      <c r="I2412" t="s">
        <v>69</v>
      </c>
      <c r="J2412">
        <v>0</v>
      </c>
      <c r="K2412">
        <v>1</v>
      </c>
      <c r="L2412">
        <v>2</v>
      </c>
      <c r="M2412">
        <v>253</v>
      </c>
      <c r="N2412">
        <v>277</v>
      </c>
      <c r="O2412">
        <v>5</v>
      </c>
      <c r="P2412">
        <v>277</v>
      </c>
      <c r="Q2412">
        <v>28</v>
      </c>
      <c r="R2412">
        <v>47</v>
      </c>
      <c r="S2412">
        <v>0</v>
      </c>
      <c r="T2412">
        <v>10</v>
      </c>
      <c r="U2412">
        <v>12</v>
      </c>
      <c r="V2412">
        <v>4</v>
      </c>
      <c r="W2412">
        <v>2</v>
      </c>
      <c r="X2412">
        <v>143</v>
      </c>
      <c r="Y2412">
        <v>19</v>
      </c>
      <c r="Z2412">
        <v>1</v>
      </c>
      <c r="AA2412">
        <v>0</v>
      </c>
      <c r="AB2412">
        <v>4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1</v>
      </c>
      <c r="AJ2412">
        <v>6</v>
      </c>
      <c r="AK2412">
        <v>277</v>
      </c>
      <c r="AL2412">
        <v>277</v>
      </c>
      <c r="AM2412">
        <v>486</v>
      </c>
      <c r="AN2412">
        <v>44</v>
      </c>
      <c r="AP2412">
        <v>1</v>
      </c>
      <c r="AR2412" t="s">
        <v>2505</v>
      </c>
      <c r="AS2412" s="1">
        <v>44353.972222222219</v>
      </c>
      <c r="AT2412" s="1">
        <v>44353.974212962959</v>
      </c>
      <c r="AU2412" s="1">
        <v>44353.974895833337</v>
      </c>
      <c r="AV2412" t="s">
        <v>71</v>
      </c>
      <c r="AW2412" t="s">
        <v>72</v>
      </c>
      <c r="AX2412" t="s">
        <v>73</v>
      </c>
    </row>
    <row r="2413" spans="1:50" x14ac:dyDescent="0.3">
      <c r="A2413" t="str">
        <f>"200405C0100"</f>
        <v>200405C0100</v>
      </c>
      <c r="B2413" t="str">
        <f>"200405C01002"</f>
        <v>200405C01002</v>
      </c>
      <c r="C2413" t="str">
        <f t="shared" si="114"/>
        <v>20</v>
      </c>
      <c r="D2413" t="s">
        <v>67</v>
      </c>
      <c r="E2413" t="str">
        <f t="shared" si="113"/>
        <v>011</v>
      </c>
      <c r="F2413" t="s">
        <v>2448</v>
      </c>
      <c r="G2413" t="str">
        <f>"0405"</f>
        <v>0405</v>
      </c>
      <c r="H2413" t="str">
        <f>"0001"</f>
        <v>0001</v>
      </c>
      <c r="I2413" t="s">
        <v>75</v>
      </c>
      <c r="J2413">
        <v>0</v>
      </c>
      <c r="K2413">
        <v>1</v>
      </c>
      <c r="L2413">
        <v>2</v>
      </c>
      <c r="M2413">
        <v>243</v>
      </c>
      <c r="N2413">
        <v>282</v>
      </c>
      <c r="O2413">
        <v>4</v>
      </c>
      <c r="P2413">
        <v>286</v>
      </c>
      <c r="Q2413">
        <v>40</v>
      </c>
      <c r="R2413">
        <v>56</v>
      </c>
      <c r="S2413">
        <v>1</v>
      </c>
      <c r="T2413">
        <v>3</v>
      </c>
      <c r="U2413">
        <v>18</v>
      </c>
      <c r="V2413">
        <v>2</v>
      </c>
      <c r="W2413">
        <v>3</v>
      </c>
      <c r="X2413">
        <v>135</v>
      </c>
      <c r="Y2413">
        <v>12</v>
      </c>
      <c r="Z2413">
        <v>1</v>
      </c>
      <c r="AA2413">
        <v>2</v>
      </c>
      <c r="AB2413">
        <v>10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3</v>
      </c>
      <c r="AK2413">
        <v>286</v>
      </c>
      <c r="AL2413">
        <v>286</v>
      </c>
      <c r="AM2413">
        <v>485</v>
      </c>
      <c r="AN2413">
        <v>44</v>
      </c>
      <c r="AP2413">
        <v>1</v>
      </c>
      <c r="AR2413" t="s">
        <v>2506</v>
      </c>
      <c r="AS2413" s="1">
        <v>44353.970833333333</v>
      </c>
      <c r="AT2413" s="1">
        <v>44353.972754629627</v>
      </c>
      <c r="AU2413" s="1">
        <v>44353.973252314812</v>
      </c>
      <c r="AV2413" t="s">
        <v>71</v>
      </c>
      <c r="AW2413" t="s">
        <v>72</v>
      </c>
      <c r="AX2413" t="s">
        <v>73</v>
      </c>
    </row>
    <row r="2414" spans="1:50" x14ac:dyDescent="0.3">
      <c r="A2414" t="str">
        <f>"200406B0000"</f>
        <v>200406B0000</v>
      </c>
      <c r="B2414" t="str">
        <f>"200406B00002"</f>
        <v>200406B00002</v>
      </c>
      <c r="C2414" t="str">
        <f t="shared" si="114"/>
        <v>20</v>
      </c>
      <c r="D2414" t="s">
        <v>67</v>
      </c>
      <c r="E2414" t="str">
        <f t="shared" si="113"/>
        <v>011</v>
      </c>
      <c r="F2414" t="s">
        <v>2448</v>
      </c>
      <c r="G2414" t="str">
        <f>"0406"</f>
        <v>0406</v>
      </c>
      <c r="H2414" t="str">
        <f>"0000"</f>
        <v>0000</v>
      </c>
      <c r="I2414" t="s">
        <v>69</v>
      </c>
      <c r="J2414">
        <v>0</v>
      </c>
      <c r="K2414">
        <v>1</v>
      </c>
      <c r="L2414">
        <v>2</v>
      </c>
      <c r="M2414">
        <v>301</v>
      </c>
      <c r="N2414">
        <v>394</v>
      </c>
      <c r="O2414">
        <v>4</v>
      </c>
      <c r="P2414">
        <v>394</v>
      </c>
      <c r="Q2414">
        <v>32</v>
      </c>
      <c r="R2414">
        <v>43</v>
      </c>
      <c r="S2414">
        <v>2</v>
      </c>
      <c r="T2414">
        <v>9</v>
      </c>
      <c r="U2414">
        <v>33</v>
      </c>
      <c r="V2414">
        <v>6</v>
      </c>
      <c r="W2414">
        <v>1</v>
      </c>
      <c r="X2414">
        <v>236</v>
      </c>
      <c r="Y2414">
        <v>5</v>
      </c>
      <c r="Z2414">
        <v>2</v>
      </c>
      <c r="AA2414">
        <v>3</v>
      </c>
      <c r="AB2414">
        <v>8</v>
      </c>
      <c r="AD2414">
        <v>1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13</v>
      </c>
      <c r="AK2414">
        <v>394</v>
      </c>
      <c r="AL2414">
        <v>394</v>
      </c>
      <c r="AM2414">
        <v>681</v>
      </c>
      <c r="AN2414">
        <v>44</v>
      </c>
      <c r="AP2414">
        <v>1</v>
      </c>
      <c r="AR2414" t="s">
        <v>2507</v>
      </c>
      <c r="AS2414" s="1">
        <v>44354.034722222219</v>
      </c>
      <c r="AT2414" s="1">
        <v>44354.041898148149</v>
      </c>
      <c r="AU2414" s="1">
        <v>44354.042488425926</v>
      </c>
      <c r="AV2414" t="s">
        <v>71</v>
      </c>
      <c r="AW2414" t="s">
        <v>72</v>
      </c>
      <c r="AX2414" t="s">
        <v>73</v>
      </c>
    </row>
    <row r="2415" spans="1:50" x14ac:dyDescent="0.3">
      <c r="A2415" t="str">
        <f>"200406C0100"</f>
        <v>200406C0100</v>
      </c>
      <c r="B2415" t="str">
        <f>"200406C01002"</f>
        <v>200406C01002</v>
      </c>
      <c r="C2415" t="str">
        <f t="shared" si="114"/>
        <v>20</v>
      </c>
      <c r="D2415" t="s">
        <v>67</v>
      </c>
      <c r="E2415" t="str">
        <f t="shared" si="113"/>
        <v>011</v>
      </c>
      <c r="F2415" t="s">
        <v>2448</v>
      </c>
      <c r="G2415" t="str">
        <f>"0406"</f>
        <v>0406</v>
      </c>
      <c r="H2415" t="str">
        <f>"0001"</f>
        <v>0001</v>
      </c>
      <c r="I2415" t="s">
        <v>75</v>
      </c>
      <c r="J2415">
        <v>0</v>
      </c>
      <c r="K2415">
        <v>1</v>
      </c>
      <c r="L2415">
        <v>2</v>
      </c>
      <c r="M2415">
        <v>325</v>
      </c>
      <c r="N2415">
        <v>400</v>
      </c>
      <c r="O2415">
        <v>5</v>
      </c>
      <c r="P2415">
        <v>400</v>
      </c>
      <c r="Q2415">
        <v>39</v>
      </c>
      <c r="R2415">
        <v>33</v>
      </c>
      <c r="S2415">
        <v>2</v>
      </c>
      <c r="T2415">
        <v>10</v>
      </c>
      <c r="U2415">
        <v>41</v>
      </c>
      <c r="V2415">
        <v>4</v>
      </c>
      <c r="W2415">
        <v>4</v>
      </c>
      <c r="X2415">
        <v>233</v>
      </c>
      <c r="Y2415">
        <v>7</v>
      </c>
      <c r="Z2415">
        <v>3</v>
      </c>
      <c r="AA2415">
        <v>4</v>
      </c>
      <c r="AB2415">
        <v>15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5</v>
      </c>
      <c r="AK2415">
        <v>400</v>
      </c>
      <c r="AL2415">
        <v>400</v>
      </c>
      <c r="AM2415">
        <v>681</v>
      </c>
      <c r="AN2415">
        <v>44</v>
      </c>
      <c r="AP2415">
        <v>1</v>
      </c>
      <c r="AR2415" t="s">
        <v>2508</v>
      </c>
      <c r="AS2415" s="1">
        <v>44354.034722222219</v>
      </c>
      <c r="AT2415" s="1">
        <v>44354.044629629629</v>
      </c>
      <c r="AU2415" s="1">
        <v>44354.04515046296</v>
      </c>
      <c r="AV2415" t="s">
        <v>71</v>
      </c>
      <c r="AW2415" t="s">
        <v>72</v>
      </c>
      <c r="AX2415" t="s">
        <v>73</v>
      </c>
    </row>
    <row r="2416" spans="1:50" x14ac:dyDescent="0.3">
      <c r="A2416" t="str">
        <f>"200407B0000"</f>
        <v>200407B0000</v>
      </c>
      <c r="B2416" t="str">
        <f>"200407B00002"</f>
        <v>200407B00002</v>
      </c>
      <c r="C2416" t="str">
        <f t="shared" si="114"/>
        <v>20</v>
      </c>
      <c r="D2416" t="s">
        <v>67</v>
      </c>
      <c r="E2416" t="str">
        <f t="shared" si="113"/>
        <v>011</v>
      </c>
      <c r="F2416" t="s">
        <v>2448</v>
      </c>
      <c r="G2416" t="str">
        <f>"0407"</f>
        <v>0407</v>
      </c>
      <c r="H2416" t="str">
        <f>"0000"</f>
        <v>0000</v>
      </c>
      <c r="I2416" t="s">
        <v>69</v>
      </c>
      <c r="J2416">
        <v>0</v>
      </c>
      <c r="K2416">
        <v>1</v>
      </c>
      <c r="L2416">
        <v>2</v>
      </c>
      <c r="M2416">
        <v>348</v>
      </c>
      <c r="N2416">
        <v>420</v>
      </c>
      <c r="O2416">
        <v>0</v>
      </c>
      <c r="P2416">
        <v>420</v>
      </c>
      <c r="Q2416">
        <v>42</v>
      </c>
      <c r="R2416">
        <v>61</v>
      </c>
      <c r="S2416">
        <v>4</v>
      </c>
      <c r="T2416">
        <v>7</v>
      </c>
      <c r="U2416">
        <v>36</v>
      </c>
      <c r="V2416">
        <v>6</v>
      </c>
      <c r="W2416">
        <v>4</v>
      </c>
      <c r="X2416">
        <v>233</v>
      </c>
      <c r="Y2416">
        <v>7</v>
      </c>
      <c r="Z2416">
        <v>0</v>
      </c>
      <c r="AA2416">
        <v>4</v>
      </c>
      <c r="AB2416">
        <v>4</v>
      </c>
      <c r="AD2416" t="s">
        <v>77</v>
      </c>
      <c r="AE2416">
        <v>2</v>
      </c>
      <c r="AF2416" t="s">
        <v>77</v>
      </c>
      <c r="AG2416" t="s">
        <v>77</v>
      </c>
      <c r="AH2416" t="s">
        <v>77</v>
      </c>
      <c r="AI2416" t="s">
        <v>77</v>
      </c>
      <c r="AJ2416">
        <v>10</v>
      </c>
      <c r="AK2416">
        <v>420</v>
      </c>
      <c r="AL2416">
        <v>420</v>
      </c>
      <c r="AM2416">
        <v>724</v>
      </c>
      <c r="AN2416">
        <v>44</v>
      </c>
      <c r="AO2416" t="s">
        <v>78</v>
      </c>
      <c r="AP2416">
        <v>1</v>
      </c>
      <c r="AR2416" t="s">
        <v>2509</v>
      </c>
      <c r="AS2416" s="1">
        <v>44354.075694444444</v>
      </c>
      <c r="AT2416" s="1">
        <v>44354.082303240742</v>
      </c>
      <c r="AU2416" s="1">
        <v>44354.082743055558</v>
      </c>
      <c r="AV2416" t="s">
        <v>71</v>
      </c>
      <c r="AW2416" t="s">
        <v>72</v>
      </c>
      <c r="AX2416" t="s">
        <v>73</v>
      </c>
    </row>
    <row r="2417" spans="1:50" x14ac:dyDescent="0.3">
      <c r="A2417" t="str">
        <f>"200407C0100"</f>
        <v>200407C0100</v>
      </c>
      <c r="B2417" t="str">
        <f>"200407C01002"</f>
        <v>200407C01002</v>
      </c>
      <c r="C2417" t="str">
        <f t="shared" si="114"/>
        <v>20</v>
      </c>
      <c r="D2417" t="s">
        <v>67</v>
      </c>
      <c r="E2417" t="str">
        <f t="shared" si="113"/>
        <v>011</v>
      </c>
      <c r="F2417" t="s">
        <v>2448</v>
      </c>
      <c r="G2417" t="str">
        <f>"0407"</f>
        <v>0407</v>
      </c>
      <c r="H2417" t="str">
        <f>"0001"</f>
        <v>0001</v>
      </c>
      <c r="I2417" t="s">
        <v>75</v>
      </c>
      <c r="J2417">
        <v>0</v>
      </c>
      <c r="K2417">
        <v>1</v>
      </c>
      <c r="L2417">
        <v>2</v>
      </c>
      <c r="M2417">
        <v>353</v>
      </c>
      <c r="N2417">
        <v>415</v>
      </c>
      <c r="O2417">
        <v>1</v>
      </c>
      <c r="P2417">
        <v>415</v>
      </c>
      <c r="Q2417">
        <v>48</v>
      </c>
      <c r="R2417">
        <v>48</v>
      </c>
      <c r="S2417">
        <v>1</v>
      </c>
      <c r="T2417">
        <v>6</v>
      </c>
      <c r="U2417">
        <v>35</v>
      </c>
      <c r="V2417">
        <v>3</v>
      </c>
      <c r="W2417">
        <v>1</v>
      </c>
      <c r="X2417">
        <v>237</v>
      </c>
      <c r="Y2417">
        <v>4</v>
      </c>
      <c r="Z2417">
        <v>5</v>
      </c>
      <c r="AA2417">
        <v>6</v>
      </c>
      <c r="AB2417">
        <v>6</v>
      </c>
      <c r="AD2417" t="s">
        <v>77</v>
      </c>
      <c r="AE2417" t="s">
        <v>77</v>
      </c>
      <c r="AF2417" t="s">
        <v>77</v>
      </c>
      <c r="AG2417" t="s">
        <v>77</v>
      </c>
      <c r="AH2417" t="s">
        <v>77</v>
      </c>
      <c r="AI2417" t="s">
        <v>77</v>
      </c>
      <c r="AJ2417" t="s">
        <v>77</v>
      </c>
      <c r="AK2417" t="s">
        <v>77</v>
      </c>
      <c r="AL2417">
        <v>400</v>
      </c>
      <c r="AM2417">
        <v>724</v>
      </c>
      <c r="AN2417">
        <v>44</v>
      </c>
      <c r="AO2417" t="s">
        <v>78</v>
      </c>
      <c r="AP2417">
        <v>1</v>
      </c>
      <c r="AR2417" t="s">
        <v>2510</v>
      </c>
      <c r="AS2417" s="1">
        <v>44354.07708333333</v>
      </c>
      <c r="AT2417" s="1">
        <v>44354.083807870367</v>
      </c>
      <c r="AU2417" s="1">
        <v>44354.084386574075</v>
      </c>
      <c r="AV2417" t="s">
        <v>71</v>
      </c>
      <c r="AW2417" t="s">
        <v>72</v>
      </c>
      <c r="AX2417" t="s">
        <v>73</v>
      </c>
    </row>
    <row r="2418" spans="1:50" x14ac:dyDescent="0.3">
      <c r="A2418" t="str">
        <f>"200407C0200"</f>
        <v>200407C0200</v>
      </c>
      <c r="B2418" t="str">
        <f>"200407C02002"</f>
        <v>200407C02002</v>
      </c>
      <c r="C2418" t="str">
        <f t="shared" si="114"/>
        <v>20</v>
      </c>
      <c r="D2418" t="s">
        <v>67</v>
      </c>
      <c r="E2418" t="str">
        <f t="shared" si="113"/>
        <v>011</v>
      </c>
      <c r="F2418" t="s">
        <v>2448</v>
      </c>
      <c r="G2418" t="str">
        <f>"0407"</f>
        <v>0407</v>
      </c>
      <c r="H2418" t="str">
        <f>"0002"</f>
        <v>0002</v>
      </c>
      <c r="I2418" t="s">
        <v>75</v>
      </c>
      <c r="J2418">
        <v>0</v>
      </c>
      <c r="K2418">
        <v>1</v>
      </c>
      <c r="L2418">
        <v>2</v>
      </c>
      <c r="M2418">
        <v>364</v>
      </c>
      <c r="N2418">
        <v>403</v>
      </c>
      <c r="O2418">
        <v>2</v>
      </c>
      <c r="P2418">
        <v>403</v>
      </c>
      <c r="Q2418">
        <v>44</v>
      </c>
      <c r="R2418">
        <v>50</v>
      </c>
      <c r="S2418">
        <v>0</v>
      </c>
      <c r="T2418">
        <v>6</v>
      </c>
      <c r="U2418">
        <v>27</v>
      </c>
      <c r="V2418">
        <v>4</v>
      </c>
      <c r="W2418">
        <v>7</v>
      </c>
      <c r="X2418">
        <v>235</v>
      </c>
      <c r="Y2418">
        <v>5</v>
      </c>
      <c r="Z2418">
        <v>3</v>
      </c>
      <c r="AA2418">
        <v>5</v>
      </c>
      <c r="AB2418">
        <v>5</v>
      </c>
      <c r="AD2418" t="s">
        <v>77</v>
      </c>
      <c r="AE2418" t="s">
        <v>77</v>
      </c>
      <c r="AF2418" t="s">
        <v>77</v>
      </c>
      <c r="AG2418" t="s">
        <v>77</v>
      </c>
      <c r="AH2418" t="s">
        <v>77</v>
      </c>
      <c r="AI2418" t="s">
        <v>77</v>
      </c>
      <c r="AJ2418">
        <v>12</v>
      </c>
      <c r="AK2418">
        <v>403</v>
      </c>
      <c r="AL2418">
        <v>403</v>
      </c>
      <c r="AM2418">
        <v>724</v>
      </c>
      <c r="AN2418">
        <v>44</v>
      </c>
      <c r="AO2418" t="s">
        <v>78</v>
      </c>
      <c r="AP2418">
        <v>1</v>
      </c>
      <c r="AR2418" t="s">
        <v>2511</v>
      </c>
      <c r="AS2418" s="1">
        <v>44354.083333333336</v>
      </c>
      <c r="AT2418" s="1">
        <v>44354.091087962966</v>
      </c>
      <c r="AU2418" s="1">
        <v>44354.091898148145</v>
      </c>
      <c r="AV2418" t="s">
        <v>71</v>
      </c>
      <c r="AW2418" t="s">
        <v>72</v>
      </c>
      <c r="AX2418" t="s">
        <v>73</v>
      </c>
    </row>
    <row r="2419" spans="1:50" x14ac:dyDescent="0.3">
      <c r="A2419" t="str">
        <f>"200408B0000"</f>
        <v>200408B0000</v>
      </c>
      <c r="B2419" t="str">
        <f>"200408B00002"</f>
        <v>200408B00002</v>
      </c>
      <c r="C2419" t="str">
        <f t="shared" si="114"/>
        <v>20</v>
      </c>
      <c r="D2419" t="s">
        <v>67</v>
      </c>
      <c r="E2419" t="str">
        <f t="shared" si="113"/>
        <v>011</v>
      </c>
      <c r="F2419" t="s">
        <v>2448</v>
      </c>
      <c r="G2419" t="str">
        <f>"0408"</f>
        <v>0408</v>
      </c>
      <c r="H2419" t="str">
        <f>"0000"</f>
        <v>0000</v>
      </c>
      <c r="I2419" t="s">
        <v>69</v>
      </c>
      <c r="J2419">
        <v>0</v>
      </c>
      <c r="K2419">
        <v>1</v>
      </c>
      <c r="L2419">
        <v>2</v>
      </c>
      <c r="M2419">
        <v>317</v>
      </c>
      <c r="N2419">
        <v>363</v>
      </c>
      <c r="O2419">
        <v>1</v>
      </c>
      <c r="P2419">
        <v>363</v>
      </c>
      <c r="Q2419">
        <v>29</v>
      </c>
      <c r="R2419">
        <v>57</v>
      </c>
      <c r="S2419">
        <v>2</v>
      </c>
      <c r="T2419">
        <v>16</v>
      </c>
      <c r="U2419">
        <v>50</v>
      </c>
      <c r="V2419">
        <v>1</v>
      </c>
      <c r="W2419">
        <v>2</v>
      </c>
      <c r="X2419">
        <v>184</v>
      </c>
      <c r="Y2419">
        <v>1</v>
      </c>
      <c r="Z2419" t="s">
        <v>77</v>
      </c>
      <c r="AA2419">
        <v>5</v>
      </c>
      <c r="AB2419">
        <v>4</v>
      </c>
      <c r="AD2419" t="s">
        <v>77</v>
      </c>
      <c r="AE2419" t="s">
        <v>77</v>
      </c>
      <c r="AF2419" t="s">
        <v>77</v>
      </c>
      <c r="AG2419" t="s">
        <v>77</v>
      </c>
      <c r="AH2419" t="s">
        <v>77</v>
      </c>
      <c r="AI2419" t="s">
        <v>77</v>
      </c>
      <c r="AJ2419">
        <v>12</v>
      </c>
      <c r="AK2419" t="s">
        <v>77</v>
      </c>
      <c r="AL2419">
        <v>363</v>
      </c>
      <c r="AM2419">
        <v>636</v>
      </c>
      <c r="AN2419">
        <v>44</v>
      </c>
      <c r="AO2419" t="s">
        <v>78</v>
      </c>
      <c r="AP2419">
        <v>1</v>
      </c>
      <c r="AR2419" t="s">
        <v>2512</v>
      </c>
      <c r="AS2419" s="1">
        <v>44354.024305555555</v>
      </c>
      <c r="AT2419" s="1">
        <v>44354.031655092593</v>
      </c>
      <c r="AU2419" s="1">
        <v>44354.032222222224</v>
      </c>
      <c r="AV2419" t="s">
        <v>71</v>
      </c>
      <c r="AW2419" t="s">
        <v>72</v>
      </c>
      <c r="AX2419" t="s">
        <v>73</v>
      </c>
    </row>
    <row r="2420" spans="1:50" x14ac:dyDescent="0.3">
      <c r="A2420" t="str">
        <f>"200408C0100"</f>
        <v>200408C0100</v>
      </c>
      <c r="B2420" t="str">
        <f>"200408C01002"</f>
        <v>200408C01002</v>
      </c>
      <c r="C2420" t="str">
        <f t="shared" si="114"/>
        <v>20</v>
      </c>
      <c r="D2420" t="s">
        <v>67</v>
      </c>
      <c r="E2420" t="str">
        <f t="shared" ref="E2420:E2483" si="115">"011"</f>
        <v>011</v>
      </c>
      <c r="F2420" t="s">
        <v>2448</v>
      </c>
      <c r="G2420" t="str">
        <f>"0408"</f>
        <v>0408</v>
      </c>
      <c r="H2420" t="str">
        <f>"0001"</f>
        <v>0001</v>
      </c>
      <c r="I2420" t="s">
        <v>75</v>
      </c>
      <c r="J2420">
        <v>0</v>
      </c>
      <c r="K2420">
        <v>1</v>
      </c>
      <c r="L2420">
        <v>2</v>
      </c>
      <c r="M2420">
        <v>315</v>
      </c>
      <c r="N2420">
        <v>365</v>
      </c>
      <c r="O2420">
        <v>0</v>
      </c>
      <c r="P2420">
        <v>365</v>
      </c>
      <c r="Q2420">
        <v>28</v>
      </c>
      <c r="R2420">
        <v>53</v>
      </c>
      <c r="S2420">
        <v>1</v>
      </c>
      <c r="T2420">
        <v>17</v>
      </c>
      <c r="U2420">
        <v>64</v>
      </c>
      <c r="V2420">
        <v>5</v>
      </c>
      <c r="W2420">
        <v>1</v>
      </c>
      <c r="X2420">
        <v>176</v>
      </c>
      <c r="Y2420">
        <v>3</v>
      </c>
      <c r="Z2420">
        <v>0</v>
      </c>
      <c r="AA2420">
        <v>6</v>
      </c>
      <c r="AB2420">
        <v>1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10</v>
      </c>
      <c r="AK2420">
        <v>365</v>
      </c>
      <c r="AL2420">
        <v>365</v>
      </c>
      <c r="AM2420">
        <v>636</v>
      </c>
      <c r="AN2420">
        <v>44</v>
      </c>
      <c r="AP2420">
        <v>1</v>
      </c>
      <c r="AR2420" t="s">
        <v>2513</v>
      </c>
      <c r="AS2420" s="1">
        <v>44354.022916666669</v>
      </c>
      <c r="AT2420" s="1">
        <v>44354.029918981483</v>
      </c>
      <c r="AU2420" s="1">
        <v>44354.030173611114</v>
      </c>
      <c r="AV2420" t="s">
        <v>71</v>
      </c>
      <c r="AW2420" t="s">
        <v>72</v>
      </c>
      <c r="AX2420" t="s">
        <v>73</v>
      </c>
    </row>
    <row r="2421" spans="1:50" x14ac:dyDescent="0.3">
      <c r="A2421" t="str">
        <f>"200408C0200"</f>
        <v>200408C0200</v>
      </c>
      <c r="B2421" t="str">
        <f>"200408C02002"</f>
        <v>200408C02002</v>
      </c>
      <c r="C2421" t="str">
        <f t="shared" si="114"/>
        <v>20</v>
      </c>
      <c r="D2421" t="s">
        <v>67</v>
      </c>
      <c r="E2421" t="str">
        <f t="shared" si="115"/>
        <v>011</v>
      </c>
      <c r="F2421" t="s">
        <v>2448</v>
      </c>
      <c r="G2421" t="str">
        <f>"0408"</f>
        <v>0408</v>
      </c>
      <c r="H2421" t="str">
        <f>"0002"</f>
        <v>0002</v>
      </c>
      <c r="I2421" t="s">
        <v>75</v>
      </c>
      <c r="J2421">
        <v>0</v>
      </c>
      <c r="K2421">
        <v>1</v>
      </c>
      <c r="L2421">
        <v>2</v>
      </c>
      <c r="M2421">
        <v>295</v>
      </c>
      <c r="N2421">
        <v>384</v>
      </c>
      <c r="O2421">
        <v>1</v>
      </c>
      <c r="P2421">
        <v>384</v>
      </c>
      <c r="Q2421">
        <v>23</v>
      </c>
      <c r="R2421">
        <v>63</v>
      </c>
      <c r="S2421">
        <v>5</v>
      </c>
      <c r="T2421">
        <v>18</v>
      </c>
      <c r="U2421">
        <v>56</v>
      </c>
      <c r="V2421">
        <v>3</v>
      </c>
      <c r="W2421">
        <v>2</v>
      </c>
      <c r="X2421">
        <v>189</v>
      </c>
      <c r="Y2421">
        <v>6</v>
      </c>
      <c r="Z2421">
        <v>2</v>
      </c>
      <c r="AA2421">
        <v>2</v>
      </c>
      <c r="AB2421">
        <v>0</v>
      </c>
      <c r="AD2421">
        <v>1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14</v>
      </c>
      <c r="AK2421">
        <v>384</v>
      </c>
      <c r="AL2421">
        <v>384</v>
      </c>
      <c r="AM2421">
        <v>635</v>
      </c>
      <c r="AN2421">
        <v>44</v>
      </c>
      <c r="AP2421">
        <v>1</v>
      </c>
      <c r="AR2421" t="s">
        <v>2514</v>
      </c>
      <c r="AS2421" s="1">
        <v>44354.029166666667</v>
      </c>
      <c r="AT2421" s="1">
        <v>44354.037685185183</v>
      </c>
      <c r="AU2421" s="1">
        <v>44354.038182870368</v>
      </c>
      <c r="AV2421" t="s">
        <v>71</v>
      </c>
      <c r="AW2421" t="s">
        <v>72</v>
      </c>
      <c r="AX2421" t="s">
        <v>73</v>
      </c>
    </row>
    <row r="2422" spans="1:50" x14ac:dyDescent="0.3">
      <c r="A2422" t="str">
        <f>"200409B0000"</f>
        <v>200409B0000</v>
      </c>
      <c r="B2422" t="str">
        <f>"200409B00002"</f>
        <v>200409B00002</v>
      </c>
      <c r="C2422" t="str">
        <f t="shared" si="114"/>
        <v>20</v>
      </c>
      <c r="D2422" t="s">
        <v>67</v>
      </c>
      <c r="E2422" t="str">
        <f t="shared" si="115"/>
        <v>011</v>
      </c>
      <c r="F2422" t="s">
        <v>2448</v>
      </c>
      <c r="G2422" t="str">
        <f>"0409"</f>
        <v>0409</v>
      </c>
      <c r="H2422" t="str">
        <f>"0000"</f>
        <v>0000</v>
      </c>
      <c r="I2422" t="s">
        <v>69</v>
      </c>
      <c r="J2422">
        <v>0</v>
      </c>
      <c r="K2422">
        <v>1</v>
      </c>
      <c r="L2422">
        <v>2</v>
      </c>
      <c r="M2422">
        <v>320</v>
      </c>
      <c r="N2422">
        <v>404</v>
      </c>
      <c r="O2422">
        <v>3</v>
      </c>
      <c r="P2422">
        <v>404</v>
      </c>
      <c r="Q2422">
        <v>9</v>
      </c>
      <c r="R2422">
        <v>120</v>
      </c>
      <c r="S2422">
        <v>1</v>
      </c>
      <c r="T2422">
        <v>3</v>
      </c>
      <c r="U2422">
        <v>40</v>
      </c>
      <c r="V2422">
        <v>34</v>
      </c>
      <c r="W2422">
        <v>1</v>
      </c>
      <c r="X2422">
        <v>147</v>
      </c>
      <c r="Y2422">
        <v>2</v>
      </c>
      <c r="Z2422">
        <v>6</v>
      </c>
      <c r="AA2422">
        <v>6</v>
      </c>
      <c r="AB2422">
        <v>23</v>
      </c>
      <c r="AD2422">
        <v>0</v>
      </c>
      <c r="AE2422">
        <v>1</v>
      </c>
      <c r="AF2422">
        <v>0</v>
      </c>
      <c r="AG2422">
        <v>0</v>
      </c>
      <c r="AH2422">
        <v>0</v>
      </c>
      <c r="AI2422">
        <v>0</v>
      </c>
      <c r="AJ2422">
        <v>11</v>
      </c>
      <c r="AK2422">
        <v>404</v>
      </c>
      <c r="AL2422">
        <v>404</v>
      </c>
      <c r="AM2422">
        <v>680</v>
      </c>
      <c r="AN2422">
        <v>44</v>
      </c>
      <c r="AP2422">
        <v>1</v>
      </c>
      <c r="AR2422" t="s">
        <v>2515</v>
      </c>
      <c r="AS2422" s="1">
        <v>44354.210416666669</v>
      </c>
      <c r="AT2422" s="1">
        <v>44354.214560185188</v>
      </c>
      <c r="AU2422" s="1">
        <v>44354.215243055558</v>
      </c>
      <c r="AV2422" t="s">
        <v>71</v>
      </c>
      <c r="AW2422" t="s">
        <v>72</v>
      </c>
      <c r="AX2422" t="s">
        <v>73</v>
      </c>
    </row>
    <row r="2423" spans="1:50" x14ac:dyDescent="0.3">
      <c r="A2423" t="str">
        <f>"200409C0100"</f>
        <v>200409C0100</v>
      </c>
      <c r="B2423" t="str">
        <f>"200409C01002"</f>
        <v>200409C01002</v>
      </c>
      <c r="C2423" t="str">
        <f t="shared" si="114"/>
        <v>20</v>
      </c>
      <c r="D2423" t="s">
        <v>67</v>
      </c>
      <c r="E2423" t="str">
        <f t="shared" si="115"/>
        <v>011</v>
      </c>
      <c r="F2423" t="s">
        <v>2448</v>
      </c>
      <c r="G2423" t="str">
        <f>"0409"</f>
        <v>0409</v>
      </c>
      <c r="H2423" t="str">
        <f>"0001"</f>
        <v>0001</v>
      </c>
      <c r="I2423" t="s">
        <v>75</v>
      </c>
      <c r="J2423">
        <v>0</v>
      </c>
      <c r="K2423">
        <v>1</v>
      </c>
      <c r="L2423">
        <v>2</v>
      </c>
      <c r="M2423">
        <v>323</v>
      </c>
      <c r="N2423">
        <v>401</v>
      </c>
      <c r="O2423">
        <v>0</v>
      </c>
      <c r="P2423">
        <v>401</v>
      </c>
      <c r="Q2423">
        <v>1</v>
      </c>
      <c r="R2423">
        <v>108</v>
      </c>
      <c r="S2423">
        <v>1</v>
      </c>
      <c r="T2423">
        <v>4</v>
      </c>
      <c r="U2423">
        <v>40</v>
      </c>
      <c r="V2423">
        <v>30</v>
      </c>
      <c r="W2423">
        <v>3</v>
      </c>
      <c r="X2423">
        <v>143</v>
      </c>
      <c r="Y2423">
        <v>11</v>
      </c>
      <c r="Z2423">
        <v>3</v>
      </c>
      <c r="AA2423">
        <v>7</v>
      </c>
      <c r="AB2423">
        <v>35</v>
      </c>
      <c r="AD2423">
        <v>1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14</v>
      </c>
      <c r="AK2423">
        <v>401</v>
      </c>
      <c r="AL2423">
        <v>401</v>
      </c>
      <c r="AM2423">
        <v>680</v>
      </c>
      <c r="AN2423">
        <v>44</v>
      </c>
      <c r="AP2423">
        <v>1</v>
      </c>
      <c r="AR2423" t="s">
        <v>2516</v>
      </c>
      <c r="AS2423" s="1">
        <v>44354.209722222222</v>
      </c>
      <c r="AT2423" s="1">
        <v>44354.214189814818</v>
      </c>
      <c r="AU2423" s="1">
        <v>44354.214953703704</v>
      </c>
      <c r="AV2423" t="s">
        <v>71</v>
      </c>
      <c r="AW2423" t="s">
        <v>72</v>
      </c>
      <c r="AX2423" t="s">
        <v>73</v>
      </c>
    </row>
    <row r="2424" spans="1:50" x14ac:dyDescent="0.3">
      <c r="A2424" t="str">
        <f>"200409E0100"</f>
        <v>200409E0100</v>
      </c>
      <c r="B2424" t="str">
        <f>"200409E01002"</f>
        <v>200409E01002</v>
      </c>
      <c r="C2424" t="str">
        <f t="shared" si="114"/>
        <v>20</v>
      </c>
      <c r="D2424" t="s">
        <v>67</v>
      </c>
      <c r="E2424" t="str">
        <f t="shared" si="115"/>
        <v>011</v>
      </c>
      <c r="F2424" t="s">
        <v>2448</v>
      </c>
      <c r="G2424" t="str">
        <f>"0409"</f>
        <v>0409</v>
      </c>
      <c r="H2424" t="str">
        <f>"0001"</f>
        <v>0001</v>
      </c>
      <c r="I2424" t="s">
        <v>109</v>
      </c>
      <c r="J2424">
        <v>0</v>
      </c>
      <c r="K2424">
        <v>1</v>
      </c>
      <c r="L2424">
        <v>2</v>
      </c>
      <c r="M2424">
        <v>172</v>
      </c>
      <c r="N2424">
        <v>210</v>
      </c>
      <c r="O2424">
        <v>0</v>
      </c>
      <c r="P2424">
        <v>210</v>
      </c>
      <c r="Q2424">
        <v>13</v>
      </c>
      <c r="R2424">
        <v>30</v>
      </c>
      <c r="S2424">
        <v>5</v>
      </c>
      <c r="T2424">
        <v>3</v>
      </c>
      <c r="U2424">
        <v>45</v>
      </c>
      <c r="V2424">
        <v>8</v>
      </c>
      <c r="W2424">
        <v>0</v>
      </c>
      <c r="X2424">
        <v>92</v>
      </c>
      <c r="Y2424">
        <v>1</v>
      </c>
      <c r="Z2424">
        <v>2</v>
      </c>
      <c r="AA2424">
        <v>0</v>
      </c>
      <c r="AB2424">
        <v>6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5</v>
      </c>
      <c r="AK2424">
        <v>210</v>
      </c>
      <c r="AL2424">
        <v>210</v>
      </c>
      <c r="AM2424">
        <v>338</v>
      </c>
      <c r="AN2424">
        <v>44</v>
      </c>
      <c r="AP2424">
        <v>1</v>
      </c>
      <c r="AR2424" t="s">
        <v>2517</v>
      </c>
      <c r="AS2424" s="1">
        <v>44354.265972222223</v>
      </c>
      <c r="AT2424" s="1">
        <v>44354.269467592596</v>
      </c>
      <c r="AU2424" s="1">
        <v>44354.269988425927</v>
      </c>
      <c r="AV2424" t="s">
        <v>71</v>
      </c>
      <c r="AW2424" t="s">
        <v>72</v>
      </c>
      <c r="AX2424" t="s">
        <v>73</v>
      </c>
    </row>
    <row r="2425" spans="1:50" x14ac:dyDescent="0.3">
      <c r="A2425" t="str">
        <f>"200410B0000"</f>
        <v>200410B0000</v>
      </c>
      <c r="B2425" t="str">
        <f>"200410B00002"</f>
        <v>200410B00002</v>
      </c>
      <c r="C2425" t="str">
        <f t="shared" si="114"/>
        <v>20</v>
      </c>
      <c r="D2425" t="s">
        <v>67</v>
      </c>
      <c r="E2425" t="str">
        <f t="shared" si="115"/>
        <v>011</v>
      </c>
      <c r="F2425" t="s">
        <v>2448</v>
      </c>
      <c r="G2425" t="str">
        <f>"0410"</f>
        <v>0410</v>
      </c>
      <c r="H2425" t="str">
        <f>"0000"</f>
        <v>0000</v>
      </c>
      <c r="I2425" t="s">
        <v>69</v>
      </c>
      <c r="J2425">
        <v>0</v>
      </c>
      <c r="K2425">
        <v>1</v>
      </c>
      <c r="L2425">
        <v>2</v>
      </c>
      <c r="AM2425">
        <v>620</v>
      </c>
      <c r="AN2425">
        <v>44</v>
      </c>
      <c r="AO2425" t="s">
        <v>352</v>
      </c>
      <c r="AP2425">
        <v>0</v>
      </c>
      <c r="AR2425" t="s">
        <v>2518</v>
      </c>
      <c r="AS2425" s="1">
        <v>44354.423611111109</v>
      </c>
      <c r="AT2425" s="1">
        <v>44354.437083333331</v>
      </c>
      <c r="AU2425" s="1">
        <v>44354.437083333331</v>
      </c>
      <c r="AV2425" t="s">
        <v>71</v>
      </c>
      <c r="AW2425" t="s">
        <v>72</v>
      </c>
      <c r="AX2425" t="s">
        <v>73</v>
      </c>
    </row>
    <row r="2426" spans="1:50" x14ac:dyDescent="0.3">
      <c r="A2426" t="str">
        <f>"200410C0100"</f>
        <v>200410C0100</v>
      </c>
      <c r="B2426" t="str">
        <f>"200410C01002"</f>
        <v>200410C01002</v>
      </c>
      <c r="C2426" t="str">
        <f t="shared" si="114"/>
        <v>20</v>
      </c>
      <c r="D2426" t="s">
        <v>67</v>
      </c>
      <c r="E2426" t="str">
        <f t="shared" si="115"/>
        <v>011</v>
      </c>
      <c r="F2426" t="s">
        <v>2448</v>
      </c>
      <c r="G2426" t="str">
        <f>"0410"</f>
        <v>0410</v>
      </c>
      <c r="H2426" t="str">
        <f>"0001"</f>
        <v>0001</v>
      </c>
      <c r="I2426" t="s">
        <v>75</v>
      </c>
      <c r="J2426">
        <v>0</v>
      </c>
      <c r="K2426">
        <v>1</v>
      </c>
      <c r="L2426">
        <v>2</v>
      </c>
      <c r="M2426">
        <v>358</v>
      </c>
      <c r="N2426">
        <v>306</v>
      </c>
      <c r="O2426">
        <v>1</v>
      </c>
      <c r="P2426" t="s">
        <v>80</v>
      </c>
      <c r="Q2426">
        <v>7</v>
      </c>
      <c r="R2426">
        <v>64</v>
      </c>
      <c r="S2426">
        <v>5</v>
      </c>
      <c r="T2426">
        <v>3</v>
      </c>
      <c r="U2426">
        <v>32</v>
      </c>
      <c r="V2426">
        <v>0</v>
      </c>
      <c r="W2426">
        <v>4</v>
      </c>
      <c r="X2426">
        <v>169</v>
      </c>
      <c r="Y2426">
        <v>4</v>
      </c>
      <c r="Z2426">
        <v>4</v>
      </c>
      <c r="AA2426">
        <v>0</v>
      </c>
      <c r="AB2426">
        <v>4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296</v>
      </c>
      <c r="AM2426">
        <v>619</v>
      </c>
      <c r="AN2426">
        <v>44</v>
      </c>
      <c r="AP2426">
        <v>1</v>
      </c>
      <c r="AR2426" t="s">
        <v>2519</v>
      </c>
      <c r="AS2426" s="1">
        <v>44354.154166666667</v>
      </c>
      <c r="AT2426" s="1">
        <v>44354.159351851849</v>
      </c>
      <c r="AU2426" s="1">
        <v>44354.159942129627</v>
      </c>
      <c r="AV2426" t="s">
        <v>71</v>
      </c>
      <c r="AW2426" t="s">
        <v>72</v>
      </c>
      <c r="AX2426" t="s">
        <v>73</v>
      </c>
    </row>
    <row r="2427" spans="1:50" x14ac:dyDescent="0.3">
      <c r="A2427" t="str">
        <f>"200411B0000"</f>
        <v>200411B0000</v>
      </c>
      <c r="B2427" t="str">
        <f>"200411B00002"</f>
        <v>200411B00002</v>
      </c>
      <c r="C2427" t="str">
        <f t="shared" si="114"/>
        <v>20</v>
      </c>
      <c r="D2427" t="s">
        <v>67</v>
      </c>
      <c r="E2427" t="str">
        <f t="shared" si="115"/>
        <v>011</v>
      </c>
      <c r="F2427" t="s">
        <v>2448</v>
      </c>
      <c r="G2427" t="str">
        <f>"0411"</f>
        <v>0411</v>
      </c>
      <c r="H2427" t="str">
        <f>"0000"</f>
        <v>0000</v>
      </c>
      <c r="I2427" t="s">
        <v>69</v>
      </c>
      <c r="J2427">
        <v>0</v>
      </c>
      <c r="K2427">
        <v>1</v>
      </c>
      <c r="L2427">
        <v>2</v>
      </c>
      <c r="M2427">
        <v>277</v>
      </c>
      <c r="N2427">
        <v>210</v>
      </c>
      <c r="O2427">
        <v>1</v>
      </c>
      <c r="P2427">
        <v>210</v>
      </c>
      <c r="Q2427">
        <v>11</v>
      </c>
      <c r="R2427">
        <v>19</v>
      </c>
      <c r="S2427">
        <v>2</v>
      </c>
      <c r="T2427">
        <v>5</v>
      </c>
      <c r="U2427">
        <v>36</v>
      </c>
      <c r="V2427">
        <v>4</v>
      </c>
      <c r="W2427">
        <v>0</v>
      </c>
      <c r="X2427">
        <v>122</v>
      </c>
      <c r="Y2427">
        <v>1</v>
      </c>
      <c r="Z2427">
        <v>1</v>
      </c>
      <c r="AA2427">
        <v>2</v>
      </c>
      <c r="AB2427">
        <v>3</v>
      </c>
      <c r="AD2427">
        <v>0</v>
      </c>
      <c r="AE2427">
        <v>0</v>
      </c>
      <c r="AF2427">
        <v>0</v>
      </c>
      <c r="AG2427">
        <v>0</v>
      </c>
      <c r="AH2427">
        <v>2</v>
      </c>
      <c r="AI2427">
        <v>0</v>
      </c>
      <c r="AJ2427">
        <v>2</v>
      </c>
      <c r="AK2427">
        <v>210</v>
      </c>
      <c r="AL2427">
        <v>210</v>
      </c>
      <c r="AM2427">
        <v>443</v>
      </c>
      <c r="AN2427">
        <v>44</v>
      </c>
      <c r="AP2427">
        <v>1</v>
      </c>
      <c r="AR2427" t="s">
        <v>2520</v>
      </c>
      <c r="AS2427" s="1">
        <v>44354.158333333333</v>
      </c>
      <c r="AT2427" s="1">
        <v>44354.161168981482</v>
      </c>
      <c r="AU2427" s="1">
        <v>44354.161759259259</v>
      </c>
      <c r="AV2427" t="s">
        <v>71</v>
      </c>
      <c r="AW2427" t="s">
        <v>72</v>
      </c>
      <c r="AX2427" t="s">
        <v>73</v>
      </c>
    </row>
    <row r="2428" spans="1:50" x14ac:dyDescent="0.3">
      <c r="A2428" t="str">
        <f>"200411C0100"</f>
        <v>200411C0100</v>
      </c>
      <c r="B2428" t="str">
        <f>"200411C01002"</f>
        <v>200411C01002</v>
      </c>
      <c r="C2428" t="str">
        <f t="shared" si="114"/>
        <v>20</v>
      </c>
      <c r="D2428" t="s">
        <v>67</v>
      </c>
      <c r="E2428" t="str">
        <f t="shared" si="115"/>
        <v>011</v>
      </c>
      <c r="F2428" t="s">
        <v>2448</v>
      </c>
      <c r="G2428" t="str">
        <f>"0411"</f>
        <v>0411</v>
      </c>
      <c r="H2428" t="str">
        <f>"0001"</f>
        <v>0001</v>
      </c>
      <c r="I2428" t="s">
        <v>75</v>
      </c>
      <c r="J2428">
        <v>0</v>
      </c>
      <c r="K2428">
        <v>1</v>
      </c>
      <c r="L2428">
        <v>2</v>
      </c>
      <c r="M2428">
        <v>265</v>
      </c>
      <c r="N2428">
        <v>122</v>
      </c>
      <c r="O2428">
        <v>1</v>
      </c>
      <c r="P2428">
        <v>222</v>
      </c>
      <c r="Q2428">
        <v>19</v>
      </c>
      <c r="R2428">
        <v>26</v>
      </c>
      <c r="S2428">
        <v>2</v>
      </c>
      <c r="T2428">
        <v>4</v>
      </c>
      <c r="U2428">
        <v>43</v>
      </c>
      <c r="V2428">
        <v>1</v>
      </c>
      <c r="W2428">
        <v>1</v>
      </c>
      <c r="X2428">
        <v>111</v>
      </c>
      <c r="Y2428">
        <v>1</v>
      </c>
      <c r="Z2428">
        <v>1</v>
      </c>
      <c r="AA2428">
        <v>3</v>
      </c>
      <c r="AB2428">
        <v>5</v>
      </c>
      <c r="AD2428">
        <v>0</v>
      </c>
      <c r="AE2428">
        <v>2</v>
      </c>
      <c r="AF2428">
        <v>0</v>
      </c>
      <c r="AG2428">
        <v>0</v>
      </c>
      <c r="AH2428">
        <v>1</v>
      </c>
      <c r="AI2428">
        <v>0</v>
      </c>
      <c r="AJ2428">
        <v>2</v>
      </c>
      <c r="AK2428">
        <v>222</v>
      </c>
      <c r="AL2428">
        <v>222</v>
      </c>
      <c r="AM2428">
        <v>443</v>
      </c>
      <c r="AN2428">
        <v>44</v>
      </c>
      <c r="AP2428">
        <v>1</v>
      </c>
      <c r="AR2428" s="2" t="s">
        <v>2521</v>
      </c>
      <c r="AS2428" s="1">
        <v>44354.156944444447</v>
      </c>
      <c r="AT2428" s="1">
        <v>44354.160416666666</v>
      </c>
      <c r="AU2428" s="1">
        <v>44354.160798611112</v>
      </c>
      <c r="AV2428" t="s">
        <v>71</v>
      </c>
      <c r="AW2428" t="s">
        <v>72</v>
      </c>
      <c r="AX2428" t="s">
        <v>73</v>
      </c>
    </row>
    <row r="2429" spans="1:50" x14ac:dyDescent="0.3">
      <c r="A2429" t="str">
        <f>"200412B0000"</f>
        <v>200412B0000</v>
      </c>
      <c r="B2429" t="str">
        <f>"200412B00002"</f>
        <v>200412B00002</v>
      </c>
      <c r="C2429" t="str">
        <f t="shared" si="114"/>
        <v>20</v>
      </c>
      <c r="D2429" t="s">
        <v>67</v>
      </c>
      <c r="E2429" t="str">
        <f t="shared" si="115"/>
        <v>011</v>
      </c>
      <c r="F2429" t="s">
        <v>2448</v>
      </c>
      <c r="G2429" t="str">
        <f>"0412"</f>
        <v>0412</v>
      </c>
      <c r="H2429" t="str">
        <f>"0000"</f>
        <v>0000</v>
      </c>
      <c r="I2429" t="s">
        <v>69</v>
      </c>
      <c r="J2429">
        <v>0</v>
      </c>
      <c r="K2429">
        <v>1</v>
      </c>
      <c r="L2429">
        <v>2</v>
      </c>
      <c r="M2429">
        <v>199</v>
      </c>
      <c r="N2429">
        <v>260</v>
      </c>
      <c r="O2429">
        <v>0</v>
      </c>
      <c r="P2429" t="s">
        <v>80</v>
      </c>
      <c r="Q2429">
        <v>14</v>
      </c>
      <c r="R2429">
        <v>29</v>
      </c>
      <c r="S2429">
        <v>0</v>
      </c>
      <c r="T2429">
        <v>3</v>
      </c>
      <c r="U2429">
        <v>66</v>
      </c>
      <c r="V2429">
        <v>3</v>
      </c>
      <c r="W2429">
        <v>4</v>
      </c>
      <c r="X2429">
        <v>132</v>
      </c>
      <c r="Y2429">
        <v>0</v>
      </c>
      <c r="Z2429">
        <v>4</v>
      </c>
      <c r="AA2429">
        <v>0</v>
      </c>
      <c r="AB2429">
        <v>1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4</v>
      </c>
      <c r="AK2429">
        <v>260</v>
      </c>
      <c r="AL2429">
        <v>260</v>
      </c>
      <c r="AM2429">
        <v>415</v>
      </c>
      <c r="AN2429">
        <v>44</v>
      </c>
      <c r="AP2429">
        <v>1</v>
      </c>
      <c r="AR2429" t="s">
        <v>2522</v>
      </c>
      <c r="AS2429" s="1">
        <v>44354.162499999999</v>
      </c>
      <c r="AT2429" s="1">
        <v>44354.16510416667</v>
      </c>
      <c r="AU2429" s="1">
        <v>44354.165682870371</v>
      </c>
      <c r="AV2429" t="s">
        <v>71</v>
      </c>
      <c r="AW2429" t="s">
        <v>72</v>
      </c>
      <c r="AX2429" t="s">
        <v>73</v>
      </c>
    </row>
    <row r="2430" spans="1:50" x14ac:dyDescent="0.3">
      <c r="A2430" t="str">
        <f>"200412C0100"</f>
        <v>200412C0100</v>
      </c>
      <c r="B2430" t="str">
        <f>"200412C01002"</f>
        <v>200412C01002</v>
      </c>
      <c r="C2430" t="str">
        <f t="shared" si="114"/>
        <v>20</v>
      </c>
      <c r="D2430" t="s">
        <v>67</v>
      </c>
      <c r="E2430" t="str">
        <f t="shared" si="115"/>
        <v>011</v>
      </c>
      <c r="F2430" t="s">
        <v>2448</v>
      </c>
      <c r="G2430" t="str">
        <f>"0412"</f>
        <v>0412</v>
      </c>
      <c r="H2430" t="str">
        <f>"0001"</f>
        <v>0001</v>
      </c>
      <c r="I2430" t="s">
        <v>75</v>
      </c>
      <c r="J2430">
        <v>0</v>
      </c>
      <c r="K2430">
        <v>1</v>
      </c>
      <c r="L2430">
        <v>2</v>
      </c>
      <c r="M2430">
        <v>201</v>
      </c>
      <c r="N2430">
        <v>0</v>
      </c>
      <c r="O2430">
        <v>0</v>
      </c>
      <c r="P2430">
        <v>254</v>
      </c>
      <c r="Q2430">
        <v>11</v>
      </c>
      <c r="R2430">
        <v>41</v>
      </c>
      <c r="S2430">
        <v>1</v>
      </c>
      <c r="T2430">
        <v>4</v>
      </c>
      <c r="U2430">
        <v>62</v>
      </c>
      <c r="V2430">
        <v>0</v>
      </c>
      <c r="W2430">
        <v>1</v>
      </c>
      <c r="X2430">
        <v>121</v>
      </c>
      <c r="Y2430">
        <v>0</v>
      </c>
      <c r="Z2430">
        <v>7</v>
      </c>
      <c r="AA2430">
        <v>1</v>
      </c>
      <c r="AB2430">
        <v>2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6</v>
      </c>
      <c r="AK2430">
        <v>257</v>
      </c>
      <c r="AL2430">
        <v>257</v>
      </c>
      <c r="AM2430">
        <v>414</v>
      </c>
      <c r="AN2430">
        <v>44</v>
      </c>
      <c r="AP2430">
        <v>1</v>
      </c>
      <c r="AR2430" t="s">
        <v>2523</v>
      </c>
      <c r="AS2430" s="1">
        <v>44354.165972222225</v>
      </c>
      <c r="AT2430" s="1">
        <v>44354.168645833335</v>
      </c>
      <c r="AU2430" s="1">
        <v>44354.16914351852</v>
      </c>
      <c r="AV2430" t="s">
        <v>71</v>
      </c>
      <c r="AW2430" t="s">
        <v>72</v>
      </c>
      <c r="AX2430" t="s">
        <v>73</v>
      </c>
    </row>
    <row r="2431" spans="1:50" x14ac:dyDescent="0.3">
      <c r="A2431" t="str">
        <f>"200412E0100"</f>
        <v>200412E0100</v>
      </c>
      <c r="B2431" t="str">
        <f>"200412E01002"</f>
        <v>200412E01002</v>
      </c>
      <c r="C2431" t="str">
        <f t="shared" si="114"/>
        <v>20</v>
      </c>
      <c r="D2431" t="s">
        <v>67</v>
      </c>
      <c r="E2431" t="str">
        <f t="shared" si="115"/>
        <v>011</v>
      </c>
      <c r="F2431" t="s">
        <v>2448</v>
      </c>
      <c r="G2431" t="str">
        <f>"0412"</f>
        <v>0412</v>
      </c>
      <c r="H2431" t="str">
        <f>"0001"</f>
        <v>0001</v>
      </c>
      <c r="I2431" t="s">
        <v>109</v>
      </c>
      <c r="J2431">
        <v>0</v>
      </c>
      <c r="K2431">
        <v>1</v>
      </c>
      <c r="L2431">
        <v>2</v>
      </c>
      <c r="M2431">
        <v>141</v>
      </c>
      <c r="N2431">
        <v>170</v>
      </c>
      <c r="O2431">
        <v>4</v>
      </c>
      <c r="P2431">
        <v>166</v>
      </c>
      <c r="Q2431">
        <v>14</v>
      </c>
      <c r="R2431">
        <v>22</v>
      </c>
      <c r="S2431">
        <v>1</v>
      </c>
      <c r="T2431">
        <v>9</v>
      </c>
      <c r="U2431">
        <v>4</v>
      </c>
      <c r="V2431">
        <v>2</v>
      </c>
      <c r="W2431">
        <v>0</v>
      </c>
      <c r="X2431">
        <v>108</v>
      </c>
      <c r="Y2431">
        <v>0</v>
      </c>
      <c r="Z2431">
        <v>2</v>
      </c>
      <c r="AA2431">
        <v>1</v>
      </c>
      <c r="AB2431">
        <v>3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166</v>
      </c>
      <c r="AM2431">
        <v>267</v>
      </c>
      <c r="AN2431">
        <v>44</v>
      </c>
      <c r="AP2431">
        <v>1</v>
      </c>
      <c r="AR2431" t="s">
        <v>2524</v>
      </c>
      <c r="AS2431" s="1">
        <v>44354.165277777778</v>
      </c>
      <c r="AT2431" s="1">
        <v>44354.167754629627</v>
      </c>
      <c r="AU2431" s="1">
        <v>44354.168692129628</v>
      </c>
      <c r="AV2431" t="s">
        <v>71</v>
      </c>
      <c r="AW2431" t="s">
        <v>72</v>
      </c>
      <c r="AX2431" t="s">
        <v>73</v>
      </c>
    </row>
    <row r="2432" spans="1:50" x14ac:dyDescent="0.3">
      <c r="A2432" t="str">
        <f>"200413B0000"</f>
        <v>200413B0000</v>
      </c>
      <c r="B2432" t="str">
        <f>"200413B00002"</f>
        <v>200413B00002</v>
      </c>
      <c r="C2432" t="str">
        <f t="shared" si="114"/>
        <v>20</v>
      </c>
      <c r="D2432" t="s">
        <v>67</v>
      </c>
      <c r="E2432" t="str">
        <f t="shared" si="115"/>
        <v>011</v>
      </c>
      <c r="F2432" t="s">
        <v>2448</v>
      </c>
      <c r="G2432" t="str">
        <f>"0413"</f>
        <v>0413</v>
      </c>
      <c r="H2432" t="str">
        <f>"0000"</f>
        <v>0000</v>
      </c>
      <c r="I2432" t="s">
        <v>69</v>
      </c>
      <c r="J2432">
        <v>0</v>
      </c>
      <c r="K2432">
        <v>1</v>
      </c>
      <c r="L2432">
        <v>2</v>
      </c>
      <c r="M2432">
        <v>218</v>
      </c>
      <c r="N2432">
        <v>308</v>
      </c>
      <c r="O2432">
        <v>0</v>
      </c>
      <c r="P2432">
        <v>308</v>
      </c>
      <c r="Q2432">
        <v>22</v>
      </c>
      <c r="R2432">
        <v>30</v>
      </c>
      <c r="S2432">
        <v>4</v>
      </c>
      <c r="T2432">
        <v>2</v>
      </c>
      <c r="U2432">
        <v>59</v>
      </c>
      <c r="V2432">
        <v>4</v>
      </c>
      <c r="W2432">
        <v>0</v>
      </c>
      <c r="X2432">
        <v>159</v>
      </c>
      <c r="Y2432">
        <v>1</v>
      </c>
      <c r="Z2432">
        <v>6</v>
      </c>
      <c r="AA2432">
        <v>4</v>
      </c>
      <c r="AB2432">
        <v>9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8</v>
      </c>
      <c r="AK2432">
        <v>308</v>
      </c>
      <c r="AL2432">
        <v>308</v>
      </c>
      <c r="AM2432">
        <v>482</v>
      </c>
      <c r="AN2432">
        <v>44</v>
      </c>
      <c r="AP2432">
        <v>1</v>
      </c>
      <c r="AR2432" t="s">
        <v>2525</v>
      </c>
      <c r="AS2432" s="1">
        <v>44354.154861111114</v>
      </c>
      <c r="AT2432" s="1">
        <v>44354.158321759256</v>
      </c>
      <c r="AU2432" s="1">
        <v>44354.159108796295</v>
      </c>
      <c r="AV2432" t="s">
        <v>71</v>
      </c>
      <c r="AW2432" t="s">
        <v>72</v>
      </c>
      <c r="AX2432" t="s">
        <v>73</v>
      </c>
    </row>
    <row r="2433" spans="1:50" x14ac:dyDescent="0.3">
      <c r="A2433" t="str">
        <f>"200414B0000"</f>
        <v>200414B0000</v>
      </c>
      <c r="B2433" t="str">
        <f>"200414B00002"</f>
        <v>200414B00002</v>
      </c>
      <c r="C2433" t="str">
        <f t="shared" si="114"/>
        <v>20</v>
      </c>
      <c r="D2433" t="s">
        <v>67</v>
      </c>
      <c r="E2433" t="str">
        <f t="shared" si="115"/>
        <v>011</v>
      </c>
      <c r="F2433" t="s">
        <v>2448</v>
      </c>
      <c r="G2433" t="str">
        <f>"0414"</f>
        <v>0414</v>
      </c>
      <c r="H2433" t="str">
        <f>"0000"</f>
        <v>0000</v>
      </c>
      <c r="I2433" t="s">
        <v>69</v>
      </c>
      <c r="J2433">
        <v>0</v>
      </c>
      <c r="K2433">
        <v>1</v>
      </c>
      <c r="L2433">
        <v>2</v>
      </c>
      <c r="M2433">
        <v>213</v>
      </c>
      <c r="N2433">
        <v>231</v>
      </c>
      <c r="O2433">
        <v>1</v>
      </c>
      <c r="P2433">
        <v>231</v>
      </c>
      <c r="Q2433">
        <v>18</v>
      </c>
      <c r="R2433">
        <v>31</v>
      </c>
      <c r="S2433">
        <v>0</v>
      </c>
      <c r="T2433">
        <v>3</v>
      </c>
      <c r="U2433">
        <v>37</v>
      </c>
      <c r="V2433">
        <v>4</v>
      </c>
      <c r="W2433">
        <v>0</v>
      </c>
      <c r="X2433">
        <v>110</v>
      </c>
      <c r="Y2433">
        <v>6</v>
      </c>
      <c r="Z2433">
        <v>8</v>
      </c>
      <c r="AA2433">
        <v>2</v>
      </c>
      <c r="AB2433">
        <v>4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8</v>
      </c>
      <c r="AK2433">
        <v>231</v>
      </c>
      <c r="AL2433">
        <v>231</v>
      </c>
      <c r="AM2433">
        <v>400</v>
      </c>
      <c r="AN2433">
        <v>44</v>
      </c>
      <c r="AP2433">
        <v>1</v>
      </c>
      <c r="AR2433" t="s">
        <v>2526</v>
      </c>
      <c r="AS2433" s="1">
        <v>44354.232638888891</v>
      </c>
      <c r="AT2433" s="1">
        <v>44354.237280092595</v>
      </c>
      <c r="AU2433" s="1">
        <v>44354.237835648149</v>
      </c>
      <c r="AV2433" t="s">
        <v>71</v>
      </c>
      <c r="AW2433" t="s">
        <v>72</v>
      </c>
      <c r="AX2433" t="s">
        <v>73</v>
      </c>
    </row>
    <row r="2434" spans="1:50" x14ac:dyDescent="0.3">
      <c r="A2434" t="str">
        <f>"200414C0100"</f>
        <v>200414C0100</v>
      </c>
      <c r="B2434" t="str">
        <f>"200414C01002"</f>
        <v>200414C01002</v>
      </c>
      <c r="C2434" t="str">
        <f t="shared" si="114"/>
        <v>20</v>
      </c>
      <c r="D2434" t="s">
        <v>67</v>
      </c>
      <c r="E2434" t="str">
        <f t="shared" si="115"/>
        <v>011</v>
      </c>
      <c r="F2434" t="s">
        <v>2448</v>
      </c>
      <c r="G2434" t="str">
        <f>"0414"</f>
        <v>0414</v>
      </c>
      <c r="H2434" t="str">
        <f>"0001"</f>
        <v>0001</v>
      </c>
      <c r="I2434" t="s">
        <v>75</v>
      </c>
      <c r="J2434">
        <v>0</v>
      </c>
      <c r="K2434">
        <v>1</v>
      </c>
      <c r="L2434">
        <v>2</v>
      </c>
      <c r="M2434">
        <v>223</v>
      </c>
      <c r="N2434">
        <v>222</v>
      </c>
      <c r="O2434">
        <v>2</v>
      </c>
      <c r="P2434">
        <v>221</v>
      </c>
      <c r="Q2434">
        <v>8</v>
      </c>
      <c r="R2434">
        <v>22</v>
      </c>
      <c r="S2434">
        <v>2</v>
      </c>
      <c r="T2434">
        <v>4</v>
      </c>
      <c r="U2434">
        <v>28</v>
      </c>
      <c r="V2434">
        <v>3</v>
      </c>
      <c r="W2434">
        <v>1</v>
      </c>
      <c r="X2434">
        <v>136</v>
      </c>
      <c r="Y2434">
        <v>2</v>
      </c>
      <c r="Z2434">
        <v>5</v>
      </c>
      <c r="AA2434">
        <v>1</v>
      </c>
      <c r="AB2434">
        <v>4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5</v>
      </c>
      <c r="AK2434">
        <v>221</v>
      </c>
      <c r="AL2434">
        <v>221</v>
      </c>
      <c r="AM2434">
        <v>400</v>
      </c>
      <c r="AN2434">
        <v>44</v>
      </c>
      <c r="AP2434">
        <v>1</v>
      </c>
      <c r="AR2434" t="s">
        <v>2527</v>
      </c>
      <c r="AS2434" s="1">
        <v>44354.232638888891</v>
      </c>
      <c r="AT2434" s="1">
        <v>44354.237905092596</v>
      </c>
      <c r="AU2434" s="1">
        <v>44354.239062499997</v>
      </c>
      <c r="AV2434" t="s">
        <v>71</v>
      </c>
      <c r="AW2434" t="s">
        <v>72</v>
      </c>
      <c r="AX2434" t="s">
        <v>73</v>
      </c>
    </row>
    <row r="2435" spans="1:50" x14ac:dyDescent="0.3">
      <c r="A2435" t="str">
        <f>"200414E0100"</f>
        <v>200414E0100</v>
      </c>
      <c r="B2435" t="str">
        <f>"200414E01002"</f>
        <v>200414E01002</v>
      </c>
      <c r="C2435" t="str">
        <f t="shared" si="114"/>
        <v>20</v>
      </c>
      <c r="D2435" t="s">
        <v>67</v>
      </c>
      <c r="E2435" t="str">
        <f t="shared" si="115"/>
        <v>011</v>
      </c>
      <c r="F2435" t="s">
        <v>2448</v>
      </c>
      <c r="G2435" t="str">
        <f>"0414"</f>
        <v>0414</v>
      </c>
      <c r="H2435" t="str">
        <f>"0001"</f>
        <v>0001</v>
      </c>
      <c r="I2435" t="s">
        <v>109</v>
      </c>
      <c r="J2435">
        <v>0</v>
      </c>
      <c r="K2435">
        <v>1</v>
      </c>
      <c r="L2435">
        <v>2</v>
      </c>
      <c r="M2435">
        <v>82</v>
      </c>
      <c r="N2435">
        <v>93</v>
      </c>
      <c r="O2435">
        <v>1</v>
      </c>
      <c r="P2435">
        <v>93</v>
      </c>
      <c r="Q2435">
        <v>2</v>
      </c>
      <c r="R2435">
        <v>19</v>
      </c>
      <c r="S2435">
        <v>0</v>
      </c>
      <c r="T2435">
        <v>2</v>
      </c>
      <c r="U2435">
        <v>44</v>
      </c>
      <c r="V2435">
        <v>0</v>
      </c>
      <c r="W2435">
        <v>0</v>
      </c>
      <c r="X2435">
        <v>20</v>
      </c>
      <c r="Y2435">
        <v>1</v>
      </c>
      <c r="Z2435">
        <v>3</v>
      </c>
      <c r="AA2435">
        <v>0</v>
      </c>
      <c r="AB2435">
        <v>1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1</v>
      </c>
      <c r="AK2435">
        <v>93</v>
      </c>
      <c r="AL2435">
        <v>93</v>
      </c>
      <c r="AM2435">
        <v>131</v>
      </c>
      <c r="AN2435">
        <v>44</v>
      </c>
      <c r="AP2435">
        <v>1</v>
      </c>
      <c r="AR2435" s="2" t="s">
        <v>2528</v>
      </c>
      <c r="AS2435" s="1">
        <v>44354.23333333333</v>
      </c>
      <c r="AT2435" s="1">
        <v>44354.237592592595</v>
      </c>
      <c r="AU2435" s="1">
        <v>44354.238356481481</v>
      </c>
      <c r="AV2435" t="s">
        <v>71</v>
      </c>
      <c r="AW2435" t="s">
        <v>72</v>
      </c>
      <c r="AX2435" t="s">
        <v>73</v>
      </c>
    </row>
    <row r="2436" spans="1:50" x14ac:dyDescent="0.3">
      <c r="A2436" t="str">
        <f>"200415B0000"</f>
        <v>200415B0000</v>
      </c>
      <c r="B2436" t="str">
        <f>"200415B00002"</f>
        <v>200415B00002</v>
      </c>
      <c r="C2436" t="str">
        <f t="shared" si="114"/>
        <v>20</v>
      </c>
      <c r="D2436" t="s">
        <v>67</v>
      </c>
      <c r="E2436" t="str">
        <f t="shared" si="115"/>
        <v>011</v>
      </c>
      <c r="F2436" t="s">
        <v>2448</v>
      </c>
      <c r="G2436" t="str">
        <f>"0415"</f>
        <v>0415</v>
      </c>
      <c r="H2436" t="str">
        <f>"0000"</f>
        <v>0000</v>
      </c>
      <c r="I2436" t="s">
        <v>69</v>
      </c>
      <c r="J2436">
        <v>0</v>
      </c>
      <c r="K2436">
        <v>1</v>
      </c>
      <c r="L2436">
        <v>2</v>
      </c>
      <c r="M2436">
        <v>286</v>
      </c>
      <c r="N2436">
        <v>320</v>
      </c>
      <c r="O2436">
        <v>2</v>
      </c>
      <c r="P2436">
        <v>320</v>
      </c>
      <c r="Q2436">
        <v>21</v>
      </c>
      <c r="R2436">
        <v>44</v>
      </c>
      <c r="S2436">
        <v>0</v>
      </c>
      <c r="T2436">
        <v>2</v>
      </c>
      <c r="U2436">
        <v>47</v>
      </c>
      <c r="V2436">
        <v>2</v>
      </c>
      <c r="W2436">
        <v>1</v>
      </c>
      <c r="X2436">
        <v>187</v>
      </c>
      <c r="Y2436">
        <v>1</v>
      </c>
      <c r="Z2436">
        <v>5</v>
      </c>
      <c r="AA2436">
        <v>1</v>
      </c>
      <c r="AB2436">
        <v>1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8</v>
      </c>
      <c r="AK2436">
        <v>320</v>
      </c>
      <c r="AL2436">
        <v>320</v>
      </c>
      <c r="AM2436">
        <v>562</v>
      </c>
      <c r="AN2436">
        <v>44</v>
      </c>
      <c r="AP2436">
        <v>1</v>
      </c>
      <c r="AR2436" t="s">
        <v>2529</v>
      </c>
      <c r="AS2436" s="1">
        <v>44353.987500000003</v>
      </c>
      <c r="AT2436" s="1">
        <v>44353.990624999999</v>
      </c>
      <c r="AU2436" s="1">
        <v>44353.99145833333</v>
      </c>
      <c r="AV2436" t="s">
        <v>71</v>
      </c>
      <c r="AW2436" t="s">
        <v>72</v>
      </c>
      <c r="AX2436" t="s">
        <v>73</v>
      </c>
    </row>
    <row r="2437" spans="1:50" x14ac:dyDescent="0.3">
      <c r="A2437" t="str">
        <f>"200415C0100"</f>
        <v>200415C0100</v>
      </c>
      <c r="B2437" t="str">
        <f>"200415C01002"</f>
        <v>200415C01002</v>
      </c>
      <c r="C2437" t="str">
        <f t="shared" si="114"/>
        <v>20</v>
      </c>
      <c r="D2437" t="s">
        <v>67</v>
      </c>
      <c r="E2437" t="str">
        <f t="shared" si="115"/>
        <v>011</v>
      </c>
      <c r="F2437" t="s">
        <v>2448</v>
      </c>
      <c r="G2437" t="str">
        <f>"0415"</f>
        <v>0415</v>
      </c>
      <c r="H2437" t="str">
        <f>"0001"</f>
        <v>0001</v>
      </c>
      <c r="I2437" t="s">
        <v>75</v>
      </c>
      <c r="J2437">
        <v>0</v>
      </c>
      <c r="K2437">
        <v>1</v>
      </c>
      <c r="L2437">
        <v>2</v>
      </c>
      <c r="M2437" t="s">
        <v>80</v>
      </c>
      <c r="N2437" t="s">
        <v>80</v>
      </c>
      <c r="O2437" t="s">
        <v>80</v>
      </c>
      <c r="P2437" t="s">
        <v>80</v>
      </c>
      <c r="Q2437">
        <v>19</v>
      </c>
      <c r="R2437">
        <v>47</v>
      </c>
      <c r="S2437">
        <v>1</v>
      </c>
      <c r="T2437">
        <v>2</v>
      </c>
      <c r="U2437">
        <v>53</v>
      </c>
      <c r="V2437">
        <v>3</v>
      </c>
      <c r="W2437">
        <v>2</v>
      </c>
      <c r="X2437">
        <v>151</v>
      </c>
      <c r="Y2437">
        <v>0</v>
      </c>
      <c r="Z2437">
        <v>3</v>
      </c>
      <c r="AA2437">
        <v>2</v>
      </c>
      <c r="AB2437">
        <v>3</v>
      </c>
      <c r="AD2437">
        <v>1</v>
      </c>
      <c r="AE2437">
        <v>1</v>
      </c>
      <c r="AF2437">
        <v>0</v>
      </c>
      <c r="AG2437">
        <v>0</v>
      </c>
      <c r="AH2437">
        <v>0</v>
      </c>
      <c r="AI2437">
        <v>0</v>
      </c>
      <c r="AJ2437">
        <v>14</v>
      </c>
      <c r="AK2437">
        <v>302</v>
      </c>
      <c r="AL2437">
        <v>302</v>
      </c>
      <c r="AM2437">
        <v>561</v>
      </c>
      <c r="AN2437">
        <v>44</v>
      </c>
      <c r="AP2437">
        <v>1</v>
      </c>
      <c r="AR2437" t="s">
        <v>2530</v>
      </c>
      <c r="AS2437" s="1">
        <v>44353.986805555556</v>
      </c>
      <c r="AT2437" s="1">
        <v>44353.989502314813</v>
      </c>
      <c r="AU2437" s="1">
        <v>44353.991319444445</v>
      </c>
      <c r="AV2437" t="s">
        <v>71</v>
      </c>
      <c r="AW2437" t="s">
        <v>72</v>
      </c>
      <c r="AX2437" t="s">
        <v>73</v>
      </c>
    </row>
    <row r="2438" spans="1:50" x14ac:dyDescent="0.3">
      <c r="A2438" t="str">
        <f>"200415C0200"</f>
        <v>200415C0200</v>
      </c>
      <c r="B2438" t="str">
        <f>"200415C02002"</f>
        <v>200415C02002</v>
      </c>
      <c r="C2438" t="str">
        <f t="shared" si="114"/>
        <v>20</v>
      </c>
      <c r="D2438" t="s">
        <v>67</v>
      </c>
      <c r="E2438" t="str">
        <f t="shared" si="115"/>
        <v>011</v>
      </c>
      <c r="F2438" t="s">
        <v>2448</v>
      </c>
      <c r="G2438" t="str">
        <f>"0415"</f>
        <v>0415</v>
      </c>
      <c r="H2438" t="str">
        <f>"0002"</f>
        <v>0002</v>
      </c>
      <c r="I2438" t="s">
        <v>75</v>
      </c>
      <c r="J2438">
        <v>0</v>
      </c>
      <c r="K2438">
        <v>1</v>
      </c>
      <c r="L2438">
        <v>2</v>
      </c>
      <c r="M2438">
        <v>310</v>
      </c>
      <c r="N2438">
        <v>295</v>
      </c>
      <c r="O2438">
        <v>0</v>
      </c>
      <c r="P2438">
        <v>295</v>
      </c>
      <c r="Q2438">
        <v>17</v>
      </c>
      <c r="R2438">
        <v>43</v>
      </c>
      <c r="S2438">
        <v>2</v>
      </c>
      <c r="T2438">
        <v>1</v>
      </c>
      <c r="U2438">
        <v>47</v>
      </c>
      <c r="V2438">
        <v>4</v>
      </c>
      <c r="W2438">
        <v>0</v>
      </c>
      <c r="X2438">
        <v>167</v>
      </c>
      <c r="Y2438">
        <v>0</v>
      </c>
      <c r="Z2438">
        <v>3</v>
      </c>
      <c r="AA2438">
        <v>2</v>
      </c>
      <c r="AB2438">
        <v>4</v>
      </c>
      <c r="AD2438">
        <v>1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295</v>
      </c>
      <c r="AL2438">
        <v>291</v>
      </c>
      <c r="AM2438">
        <v>561</v>
      </c>
      <c r="AN2438">
        <v>44</v>
      </c>
      <c r="AP2438">
        <v>1</v>
      </c>
      <c r="AR2438" t="s">
        <v>2531</v>
      </c>
      <c r="AS2438" s="1">
        <v>44353.988888888889</v>
      </c>
      <c r="AT2438" s="1">
        <v>44353.995335648149</v>
      </c>
      <c r="AU2438" s="1">
        <v>44353.995879629627</v>
      </c>
      <c r="AV2438" t="s">
        <v>71</v>
      </c>
      <c r="AW2438" t="s">
        <v>72</v>
      </c>
      <c r="AX2438" t="s">
        <v>73</v>
      </c>
    </row>
    <row r="2439" spans="1:50" x14ac:dyDescent="0.3">
      <c r="A2439" t="str">
        <f>"200416B0000"</f>
        <v>200416B0000</v>
      </c>
      <c r="B2439" t="str">
        <f>"200416B00002"</f>
        <v>200416B00002</v>
      </c>
      <c r="C2439" t="str">
        <f t="shared" ref="C2439:C2502" si="116">"20"</f>
        <v>20</v>
      </c>
      <c r="D2439" t="s">
        <v>67</v>
      </c>
      <c r="E2439" t="str">
        <f t="shared" si="115"/>
        <v>011</v>
      </c>
      <c r="F2439" t="s">
        <v>2448</v>
      </c>
      <c r="G2439" t="str">
        <f>"0416"</f>
        <v>0416</v>
      </c>
      <c r="H2439" t="str">
        <f>"0000"</f>
        <v>0000</v>
      </c>
      <c r="I2439" t="s">
        <v>69</v>
      </c>
      <c r="J2439">
        <v>0</v>
      </c>
      <c r="K2439">
        <v>1</v>
      </c>
      <c r="L2439">
        <v>2</v>
      </c>
      <c r="M2439">
        <v>185</v>
      </c>
      <c r="N2439">
        <v>279</v>
      </c>
      <c r="O2439">
        <v>1</v>
      </c>
      <c r="P2439" t="s">
        <v>80</v>
      </c>
      <c r="Q2439">
        <v>11</v>
      </c>
      <c r="R2439">
        <v>96</v>
      </c>
      <c r="S2439">
        <v>2</v>
      </c>
      <c r="T2439">
        <v>3</v>
      </c>
      <c r="U2439">
        <v>46</v>
      </c>
      <c r="V2439">
        <v>2</v>
      </c>
      <c r="W2439">
        <v>0</v>
      </c>
      <c r="X2439">
        <v>60</v>
      </c>
      <c r="Y2439">
        <v>38</v>
      </c>
      <c r="Z2439">
        <v>4</v>
      </c>
      <c r="AA2439">
        <v>1</v>
      </c>
      <c r="AB2439">
        <v>6</v>
      </c>
      <c r="AD2439">
        <v>1</v>
      </c>
      <c r="AE2439">
        <v>1</v>
      </c>
      <c r="AF2439">
        <v>0</v>
      </c>
      <c r="AG2439">
        <v>0</v>
      </c>
      <c r="AH2439">
        <v>0</v>
      </c>
      <c r="AI2439">
        <v>2</v>
      </c>
      <c r="AJ2439">
        <v>6</v>
      </c>
      <c r="AK2439">
        <v>279</v>
      </c>
      <c r="AL2439">
        <v>279</v>
      </c>
      <c r="AM2439">
        <v>420</v>
      </c>
      <c r="AN2439">
        <v>44</v>
      </c>
      <c r="AP2439">
        <v>1</v>
      </c>
      <c r="AR2439" t="s">
        <v>2532</v>
      </c>
      <c r="AS2439" s="1">
        <v>44354.254861111112</v>
      </c>
      <c r="AT2439" s="1">
        <v>44354.261006944442</v>
      </c>
      <c r="AU2439" s="1">
        <v>44354.261631944442</v>
      </c>
      <c r="AV2439" t="s">
        <v>71</v>
      </c>
      <c r="AW2439" t="s">
        <v>72</v>
      </c>
      <c r="AX2439" t="s">
        <v>73</v>
      </c>
    </row>
    <row r="2440" spans="1:50" x14ac:dyDescent="0.3">
      <c r="A2440" t="str">
        <f>"200416E0100"</f>
        <v>200416E0100</v>
      </c>
      <c r="B2440" t="str">
        <f>"200416E01002"</f>
        <v>200416E01002</v>
      </c>
      <c r="C2440" t="str">
        <f t="shared" si="116"/>
        <v>20</v>
      </c>
      <c r="D2440" t="s">
        <v>67</v>
      </c>
      <c r="E2440" t="str">
        <f t="shared" si="115"/>
        <v>011</v>
      </c>
      <c r="F2440" t="s">
        <v>2448</v>
      </c>
      <c r="G2440" t="str">
        <f>"0416"</f>
        <v>0416</v>
      </c>
      <c r="H2440" t="str">
        <f>"0001"</f>
        <v>0001</v>
      </c>
      <c r="I2440" t="s">
        <v>109</v>
      </c>
      <c r="J2440">
        <v>0</v>
      </c>
      <c r="K2440">
        <v>1</v>
      </c>
      <c r="L2440">
        <v>2</v>
      </c>
      <c r="M2440">
        <v>117</v>
      </c>
      <c r="N2440">
        <v>122</v>
      </c>
      <c r="O2440">
        <v>0</v>
      </c>
      <c r="P2440">
        <v>122</v>
      </c>
      <c r="Q2440">
        <v>31</v>
      </c>
      <c r="R2440">
        <v>12</v>
      </c>
      <c r="S2440">
        <v>1</v>
      </c>
      <c r="T2440">
        <v>4</v>
      </c>
      <c r="U2440">
        <v>12</v>
      </c>
      <c r="V2440">
        <v>1</v>
      </c>
      <c r="W2440">
        <v>0</v>
      </c>
      <c r="X2440">
        <v>46</v>
      </c>
      <c r="Y2440">
        <v>1</v>
      </c>
      <c r="Z2440">
        <v>3</v>
      </c>
      <c r="AA2440">
        <v>2</v>
      </c>
      <c r="AB2440">
        <v>4</v>
      </c>
      <c r="AD2440">
        <v>0</v>
      </c>
      <c r="AE2440">
        <v>1</v>
      </c>
      <c r="AF2440">
        <v>0</v>
      </c>
      <c r="AG2440">
        <v>0</v>
      </c>
      <c r="AH2440">
        <v>0</v>
      </c>
      <c r="AI2440">
        <v>0</v>
      </c>
      <c r="AJ2440">
        <v>4</v>
      </c>
      <c r="AK2440">
        <v>122</v>
      </c>
      <c r="AL2440">
        <v>122</v>
      </c>
      <c r="AM2440">
        <v>195</v>
      </c>
      <c r="AN2440">
        <v>44</v>
      </c>
      <c r="AP2440">
        <v>1</v>
      </c>
      <c r="AR2440" t="s">
        <v>2533</v>
      </c>
      <c r="AS2440" s="1">
        <v>44354.250694444447</v>
      </c>
      <c r="AT2440" s="1">
        <v>44354.254849537036</v>
      </c>
      <c r="AU2440" s="1">
        <v>44354.255543981482</v>
      </c>
      <c r="AV2440" t="s">
        <v>71</v>
      </c>
      <c r="AW2440" t="s">
        <v>72</v>
      </c>
      <c r="AX2440" t="s">
        <v>73</v>
      </c>
    </row>
    <row r="2441" spans="1:50" x14ac:dyDescent="0.3">
      <c r="A2441" t="str">
        <f>"200417B0000"</f>
        <v>200417B0000</v>
      </c>
      <c r="B2441" t="str">
        <f>"200417B00002"</f>
        <v>200417B00002</v>
      </c>
      <c r="C2441" t="str">
        <f t="shared" si="116"/>
        <v>20</v>
      </c>
      <c r="D2441" t="s">
        <v>67</v>
      </c>
      <c r="E2441" t="str">
        <f t="shared" si="115"/>
        <v>011</v>
      </c>
      <c r="F2441" t="s">
        <v>2448</v>
      </c>
      <c r="G2441" t="str">
        <f>"0417"</f>
        <v>0417</v>
      </c>
      <c r="H2441" t="str">
        <f>"0000"</f>
        <v>0000</v>
      </c>
      <c r="I2441" t="s">
        <v>69</v>
      </c>
      <c r="J2441">
        <v>0</v>
      </c>
      <c r="K2441">
        <v>1</v>
      </c>
      <c r="L2441">
        <v>2</v>
      </c>
      <c r="M2441">
        <v>290</v>
      </c>
      <c r="N2441">
        <v>340</v>
      </c>
      <c r="O2441">
        <v>0</v>
      </c>
      <c r="P2441">
        <v>2</v>
      </c>
      <c r="Q2441">
        <v>17</v>
      </c>
      <c r="R2441">
        <v>71</v>
      </c>
      <c r="S2441">
        <v>2</v>
      </c>
      <c r="T2441">
        <v>8</v>
      </c>
      <c r="U2441">
        <v>46</v>
      </c>
      <c r="V2441">
        <v>3</v>
      </c>
      <c r="W2441">
        <v>2</v>
      </c>
      <c r="X2441">
        <v>148</v>
      </c>
      <c r="Y2441">
        <v>2</v>
      </c>
      <c r="Z2441">
        <v>16</v>
      </c>
      <c r="AA2441">
        <v>4</v>
      </c>
      <c r="AB2441">
        <v>7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14</v>
      </c>
      <c r="AK2441">
        <v>340</v>
      </c>
      <c r="AL2441">
        <v>340</v>
      </c>
      <c r="AM2441">
        <v>586</v>
      </c>
      <c r="AN2441">
        <v>44</v>
      </c>
      <c r="AP2441">
        <v>1</v>
      </c>
      <c r="AR2441" t="s">
        <v>2534</v>
      </c>
      <c r="AS2441" s="1">
        <v>44354.150694444441</v>
      </c>
      <c r="AT2441" s="1">
        <v>44354.154340277775</v>
      </c>
      <c r="AU2441" s="1">
        <v>44354.154826388891</v>
      </c>
      <c r="AV2441" t="s">
        <v>71</v>
      </c>
      <c r="AW2441" t="s">
        <v>72</v>
      </c>
      <c r="AX2441" t="s">
        <v>73</v>
      </c>
    </row>
    <row r="2442" spans="1:50" x14ac:dyDescent="0.3">
      <c r="A2442" t="str">
        <f>"200417E0100"</f>
        <v>200417E0100</v>
      </c>
      <c r="B2442" t="str">
        <f>"200417E01002"</f>
        <v>200417E01002</v>
      </c>
      <c r="C2442" t="str">
        <f t="shared" si="116"/>
        <v>20</v>
      </c>
      <c r="D2442" t="s">
        <v>67</v>
      </c>
      <c r="E2442" t="str">
        <f t="shared" si="115"/>
        <v>011</v>
      </c>
      <c r="F2442" t="s">
        <v>2448</v>
      </c>
      <c r="G2442" t="str">
        <f>"0417"</f>
        <v>0417</v>
      </c>
      <c r="H2442" t="str">
        <f>"0001"</f>
        <v>0001</v>
      </c>
      <c r="I2442" t="s">
        <v>109</v>
      </c>
      <c r="J2442">
        <v>0</v>
      </c>
      <c r="K2442">
        <v>1</v>
      </c>
      <c r="L2442">
        <v>2</v>
      </c>
      <c r="M2442">
        <v>114</v>
      </c>
      <c r="N2442">
        <v>109</v>
      </c>
      <c r="O2442">
        <v>3</v>
      </c>
      <c r="P2442">
        <v>109</v>
      </c>
      <c r="Q2442">
        <v>13</v>
      </c>
      <c r="R2442">
        <v>38</v>
      </c>
      <c r="S2442">
        <v>0</v>
      </c>
      <c r="T2442">
        <v>1</v>
      </c>
      <c r="U2442">
        <v>9</v>
      </c>
      <c r="V2442">
        <v>1</v>
      </c>
      <c r="W2442">
        <v>0</v>
      </c>
      <c r="X2442">
        <v>39</v>
      </c>
      <c r="Y2442">
        <v>2</v>
      </c>
      <c r="Z2442">
        <v>0</v>
      </c>
      <c r="AA2442">
        <v>0</v>
      </c>
      <c r="AB2442">
        <v>2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4</v>
      </c>
      <c r="AK2442">
        <v>109</v>
      </c>
      <c r="AL2442">
        <v>109</v>
      </c>
      <c r="AM2442">
        <v>179</v>
      </c>
      <c r="AN2442">
        <v>44</v>
      </c>
      <c r="AP2442">
        <v>1</v>
      </c>
      <c r="AR2442" t="s">
        <v>2535</v>
      </c>
      <c r="AS2442" s="1">
        <v>44353.986805555556</v>
      </c>
      <c r="AT2442" s="1">
        <v>44353.989803240744</v>
      </c>
      <c r="AU2442" s="1">
        <v>44353.990636574075</v>
      </c>
      <c r="AV2442" t="s">
        <v>71</v>
      </c>
      <c r="AW2442" t="s">
        <v>72</v>
      </c>
      <c r="AX2442" t="s">
        <v>73</v>
      </c>
    </row>
    <row r="2443" spans="1:50" x14ac:dyDescent="0.3">
      <c r="A2443" t="str">
        <f>"200418B0000"</f>
        <v>200418B0000</v>
      </c>
      <c r="B2443" t="str">
        <f>"200418B00002"</f>
        <v>200418B00002</v>
      </c>
      <c r="C2443" t="str">
        <f t="shared" si="116"/>
        <v>20</v>
      </c>
      <c r="D2443" t="s">
        <v>67</v>
      </c>
      <c r="E2443" t="str">
        <f t="shared" si="115"/>
        <v>011</v>
      </c>
      <c r="F2443" t="s">
        <v>2448</v>
      </c>
      <c r="G2443" t="str">
        <f>"0418"</f>
        <v>0418</v>
      </c>
      <c r="H2443" t="str">
        <f>"0000"</f>
        <v>0000</v>
      </c>
      <c r="I2443" t="s">
        <v>69</v>
      </c>
      <c r="J2443">
        <v>0</v>
      </c>
      <c r="K2443">
        <v>1</v>
      </c>
      <c r="L2443">
        <v>2</v>
      </c>
      <c r="M2443">
        <v>157</v>
      </c>
      <c r="N2443">
        <v>205</v>
      </c>
      <c r="O2443">
        <v>0</v>
      </c>
      <c r="P2443">
        <v>205</v>
      </c>
      <c r="Q2443">
        <v>14</v>
      </c>
      <c r="R2443">
        <v>20</v>
      </c>
      <c r="S2443">
        <v>1</v>
      </c>
      <c r="T2443">
        <v>4</v>
      </c>
      <c r="U2443">
        <v>52</v>
      </c>
      <c r="V2443">
        <v>4</v>
      </c>
      <c r="W2443">
        <v>0</v>
      </c>
      <c r="X2443">
        <v>100</v>
      </c>
      <c r="Y2443">
        <v>0</v>
      </c>
      <c r="Z2443">
        <v>0</v>
      </c>
      <c r="AA2443">
        <v>4</v>
      </c>
      <c r="AB2443">
        <v>3</v>
      </c>
      <c r="AD2443">
        <v>0</v>
      </c>
      <c r="AE2443">
        <v>1</v>
      </c>
      <c r="AF2443">
        <v>0</v>
      </c>
      <c r="AG2443">
        <v>0</v>
      </c>
      <c r="AH2443">
        <v>0</v>
      </c>
      <c r="AI2443">
        <v>0</v>
      </c>
      <c r="AJ2443">
        <v>2</v>
      </c>
      <c r="AK2443">
        <v>205</v>
      </c>
      <c r="AL2443">
        <v>205</v>
      </c>
      <c r="AM2443">
        <v>318</v>
      </c>
      <c r="AN2443">
        <v>44</v>
      </c>
      <c r="AP2443">
        <v>1</v>
      </c>
      <c r="AR2443" t="s">
        <v>2536</v>
      </c>
      <c r="AS2443" s="1">
        <v>44354.151388888888</v>
      </c>
      <c r="AT2443" s="1">
        <v>44354.157106481478</v>
      </c>
      <c r="AU2443" s="1">
        <v>44354.160844907405</v>
      </c>
      <c r="AV2443" t="s">
        <v>71</v>
      </c>
      <c r="AW2443" t="s">
        <v>72</v>
      </c>
      <c r="AX2443" t="s">
        <v>73</v>
      </c>
    </row>
    <row r="2444" spans="1:50" x14ac:dyDescent="0.3">
      <c r="A2444" t="str">
        <f>"200419B0000"</f>
        <v>200419B0000</v>
      </c>
      <c r="B2444" t="str">
        <f>"200419B00002"</f>
        <v>200419B00002</v>
      </c>
      <c r="C2444" t="str">
        <f t="shared" si="116"/>
        <v>20</v>
      </c>
      <c r="D2444" t="s">
        <v>67</v>
      </c>
      <c r="E2444" t="str">
        <f t="shared" si="115"/>
        <v>011</v>
      </c>
      <c r="F2444" t="s">
        <v>2448</v>
      </c>
      <c r="G2444" t="str">
        <f>"0419"</f>
        <v>0419</v>
      </c>
      <c r="H2444" t="str">
        <f>"0000"</f>
        <v>0000</v>
      </c>
      <c r="I2444" t="s">
        <v>69</v>
      </c>
      <c r="J2444">
        <v>0</v>
      </c>
      <c r="K2444">
        <v>1</v>
      </c>
      <c r="L2444">
        <v>2</v>
      </c>
      <c r="M2444">
        <v>176</v>
      </c>
      <c r="N2444">
        <v>220</v>
      </c>
      <c r="O2444">
        <v>10</v>
      </c>
      <c r="P2444">
        <v>220</v>
      </c>
      <c r="Q2444">
        <v>9</v>
      </c>
      <c r="R2444">
        <v>16</v>
      </c>
      <c r="S2444">
        <v>3</v>
      </c>
      <c r="T2444">
        <v>2</v>
      </c>
      <c r="U2444">
        <v>90</v>
      </c>
      <c r="V2444">
        <v>2</v>
      </c>
      <c r="W2444">
        <v>1</v>
      </c>
      <c r="X2444">
        <v>87</v>
      </c>
      <c r="Y2444">
        <v>1</v>
      </c>
      <c r="Z2444">
        <v>1</v>
      </c>
      <c r="AA2444">
        <v>3</v>
      </c>
      <c r="AB2444">
        <v>3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2</v>
      </c>
      <c r="AK2444" t="s">
        <v>99</v>
      </c>
      <c r="AL2444">
        <v>220</v>
      </c>
      <c r="AM2444">
        <v>352</v>
      </c>
      <c r="AN2444">
        <v>44</v>
      </c>
      <c r="AP2444">
        <v>1</v>
      </c>
      <c r="AR2444" t="s">
        <v>2537</v>
      </c>
      <c r="AS2444" s="1">
        <v>44354.263194444444</v>
      </c>
      <c r="AT2444" s="1">
        <v>44354.268842592595</v>
      </c>
      <c r="AU2444" s="1">
        <v>44354.26972222222</v>
      </c>
      <c r="AV2444" t="s">
        <v>71</v>
      </c>
      <c r="AW2444" t="s">
        <v>72</v>
      </c>
      <c r="AX2444" t="s">
        <v>73</v>
      </c>
    </row>
    <row r="2445" spans="1:50" x14ac:dyDescent="0.3">
      <c r="A2445" t="str">
        <f>"200419E0100"</f>
        <v>200419E0100</v>
      </c>
      <c r="B2445" t="str">
        <f>"200419E01002"</f>
        <v>200419E01002</v>
      </c>
      <c r="C2445" t="str">
        <f t="shared" si="116"/>
        <v>20</v>
      </c>
      <c r="D2445" t="s">
        <v>67</v>
      </c>
      <c r="E2445" t="str">
        <f t="shared" si="115"/>
        <v>011</v>
      </c>
      <c r="F2445" t="s">
        <v>2448</v>
      </c>
      <c r="G2445" t="str">
        <f>"0419"</f>
        <v>0419</v>
      </c>
      <c r="H2445" t="str">
        <f>"0001"</f>
        <v>0001</v>
      </c>
      <c r="I2445" t="s">
        <v>109</v>
      </c>
      <c r="J2445">
        <v>0</v>
      </c>
      <c r="K2445">
        <v>1</v>
      </c>
      <c r="L2445">
        <v>2</v>
      </c>
      <c r="M2445">
        <v>127</v>
      </c>
      <c r="N2445">
        <v>128</v>
      </c>
      <c r="O2445">
        <v>8</v>
      </c>
      <c r="P2445">
        <v>128</v>
      </c>
      <c r="Q2445">
        <v>21</v>
      </c>
      <c r="R2445">
        <v>1</v>
      </c>
      <c r="S2445">
        <v>2</v>
      </c>
      <c r="T2445">
        <v>5</v>
      </c>
      <c r="U2445">
        <v>38</v>
      </c>
      <c r="V2445">
        <v>2</v>
      </c>
      <c r="W2445">
        <v>2</v>
      </c>
      <c r="X2445">
        <v>51</v>
      </c>
      <c r="Y2445">
        <v>0</v>
      </c>
      <c r="Z2445">
        <v>0</v>
      </c>
      <c r="AA2445">
        <v>0</v>
      </c>
      <c r="AB2445">
        <v>3</v>
      </c>
      <c r="AD2445" t="s">
        <v>77</v>
      </c>
      <c r="AE2445" t="s">
        <v>77</v>
      </c>
      <c r="AF2445" t="s">
        <v>77</v>
      </c>
      <c r="AG2445" t="s">
        <v>77</v>
      </c>
      <c r="AH2445" t="s">
        <v>77</v>
      </c>
      <c r="AI2445" t="s">
        <v>77</v>
      </c>
      <c r="AJ2445">
        <v>3</v>
      </c>
      <c r="AK2445">
        <v>128</v>
      </c>
      <c r="AL2445">
        <v>128</v>
      </c>
      <c r="AM2445">
        <v>211</v>
      </c>
      <c r="AN2445">
        <v>44</v>
      </c>
      <c r="AO2445" t="s">
        <v>78</v>
      </c>
      <c r="AP2445">
        <v>1</v>
      </c>
      <c r="AR2445" t="s">
        <v>2538</v>
      </c>
      <c r="AS2445" s="1">
        <v>44354.209027777775</v>
      </c>
      <c r="AT2445" s="1">
        <v>44354.212453703702</v>
      </c>
      <c r="AU2445" s="1">
        <v>44354.213368055556</v>
      </c>
      <c r="AV2445" t="s">
        <v>71</v>
      </c>
      <c r="AW2445" t="s">
        <v>72</v>
      </c>
      <c r="AX2445" t="s">
        <v>73</v>
      </c>
    </row>
    <row r="2446" spans="1:50" x14ac:dyDescent="0.3">
      <c r="A2446" t="str">
        <f>"200420B0000"</f>
        <v>200420B0000</v>
      </c>
      <c r="B2446" t="str">
        <f>"200420B00002"</f>
        <v>200420B00002</v>
      </c>
      <c r="C2446" t="str">
        <f t="shared" si="116"/>
        <v>20</v>
      </c>
      <c r="D2446" t="s">
        <v>67</v>
      </c>
      <c r="E2446" t="str">
        <f t="shared" si="115"/>
        <v>011</v>
      </c>
      <c r="F2446" t="s">
        <v>2448</v>
      </c>
      <c r="G2446" t="str">
        <f>"0420"</f>
        <v>0420</v>
      </c>
      <c r="H2446" t="str">
        <f>"0000"</f>
        <v>0000</v>
      </c>
      <c r="I2446" t="s">
        <v>69</v>
      </c>
      <c r="J2446">
        <v>0</v>
      </c>
      <c r="K2446">
        <v>1</v>
      </c>
      <c r="L2446">
        <v>2</v>
      </c>
      <c r="M2446">
        <v>408</v>
      </c>
      <c r="N2446">
        <v>321</v>
      </c>
      <c r="O2446">
        <v>4</v>
      </c>
      <c r="P2446">
        <v>321</v>
      </c>
      <c r="Q2446">
        <v>31</v>
      </c>
      <c r="R2446">
        <v>42</v>
      </c>
      <c r="S2446">
        <v>0</v>
      </c>
      <c r="T2446">
        <v>4</v>
      </c>
      <c r="U2446">
        <v>69</v>
      </c>
      <c r="V2446">
        <v>5</v>
      </c>
      <c r="W2446">
        <v>4</v>
      </c>
      <c r="X2446">
        <v>137</v>
      </c>
      <c r="Y2446">
        <v>2</v>
      </c>
      <c r="Z2446">
        <v>3</v>
      </c>
      <c r="AA2446">
        <v>0</v>
      </c>
      <c r="AB2446">
        <v>11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13</v>
      </c>
      <c r="AK2446">
        <v>321</v>
      </c>
      <c r="AL2446">
        <v>321</v>
      </c>
      <c r="AM2446">
        <v>685</v>
      </c>
      <c r="AN2446">
        <v>44</v>
      </c>
      <c r="AP2446">
        <v>1</v>
      </c>
      <c r="AR2446" t="s">
        <v>2539</v>
      </c>
      <c r="AS2446" s="1">
        <v>44354.212500000001</v>
      </c>
      <c r="AT2446" s="1">
        <v>44354.217499999999</v>
      </c>
      <c r="AU2446" s="1">
        <v>44354.21770833333</v>
      </c>
      <c r="AV2446" t="s">
        <v>71</v>
      </c>
      <c r="AW2446" t="s">
        <v>72</v>
      </c>
      <c r="AX2446" t="s">
        <v>73</v>
      </c>
    </row>
    <row r="2447" spans="1:50" x14ac:dyDescent="0.3">
      <c r="A2447" t="str">
        <f>"200420C0100"</f>
        <v>200420C0100</v>
      </c>
      <c r="B2447" t="str">
        <f>"200420C01002"</f>
        <v>200420C01002</v>
      </c>
      <c r="C2447" t="str">
        <f t="shared" si="116"/>
        <v>20</v>
      </c>
      <c r="D2447" t="s">
        <v>67</v>
      </c>
      <c r="E2447" t="str">
        <f t="shared" si="115"/>
        <v>011</v>
      </c>
      <c r="F2447" t="s">
        <v>2448</v>
      </c>
      <c r="G2447" t="str">
        <f>"0420"</f>
        <v>0420</v>
      </c>
      <c r="H2447" t="str">
        <f>"0001"</f>
        <v>0001</v>
      </c>
      <c r="I2447" t="s">
        <v>75</v>
      </c>
      <c r="J2447">
        <v>0</v>
      </c>
      <c r="K2447">
        <v>1</v>
      </c>
      <c r="L2447">
        <v>2</v>
      </c>
      <c r="M2447">
        <v>427</v>
      </c>
      <c r="N2447">
        <v>302</v>
      </c>
      <c r="O2447">
        <v>1</v>
      </c>
      <c r="P2447">
        <v>302</v>
      </c>
      <c r="Q2447">
        <v>19</v>
      </c>
      <c r="R2447">
        <v>43</v>
      </c>
      <c r="S2447">
        <v>6</v>
      </c>
      <c r="T2447">
        <v>7</v>
      </c>
      <c r="U2447">
        <v>49</v>
      </c>
      <c r="V2447">
        <v>3</v>
      </c>
      <c r="W2447">
        <v>1</v>
      </c>
      <c r="X2447">
        <v>150</v>
      </c>
      <c r="Y2447">
        <v>1</v>
      </c>
      <c r="Z2447">
        <v>5</v>
      </c>
      <c r="AA2447">
        <v>3</v>
      </c>
      <c r="AB2447">
        <v>8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7</v>
      </c>
      <c r="AK2447">
        <v>302</v>
      </c>
      <c r="AL2447">
        <v>302</v>
      </c>
      <c r="AM2447">
        <v>685</v>
      </c>
      <c r="AN2447">
        <v>44</v>
      </c>
      <c r="AP2447">
        <v>1</v>
      </c>
      <c r="AR2447" t="s">
        <v>2540</v>
      </c>
      <c r="AS2447" s="1">
        <v>44354.175000000003</v>
      </c>
      <c r="AT2447" s="1">
        <v>44354.177766203706</v>
      </c>
      <c r="AU2447" s="1">
        <v>44354.17863425926</v>
      </c>
      <c r="AV2447" t="s">
        <v>71</v>
      </c>
      <c r="AW2447" t="s">
        <v>72</v>
      </c>
      <c r="AX2447" t="s">
        <v>73</v>
      </c>
    </row>
    <row r="2448" spans="1:50" x14ac:dyDescent="0.3">
      <c r="A2448" t="str">
        <f>"200420C0200"</f>
        <v>200420C0200</v>
      </c>
      <c r="B2448" t="str">
        <f>"200420C02002"</f>
        <v>200420C02002</v>
      </c>
      <c r="C2448" t="str">
        <f t="shared" si="116"/>
        <v>20</v>
      </c>
      <c r="D2448" t="s">
        <v>67</v>
      </c>
      <c r="E2448" t="str">
        <f t="shared" si="115"/>
        <v>011</v>
      </c>
      <c r="F2448" t="s">
        <v>2448</v>
      </c>
      <c r="G2448" t="str">
        <f>"0420"</f>
        <v>0420</v>
      </c>
      <c r="H2448" t="str">
        <f>"0002"</f>
        <v>0002</v>
      </c>
      <c r="I2448" t="s">
        <v>75</v>
      </c>
      <c r="J2448">
        <v>0</v>
      </c>
      <c r="K2448">
        <v>1</v>
      </c>
      <c r="L2448">
        <v>2</v>
      </c>
      <c r="M2448">
        <v>426</v>
      </c>
      <c r="N2448">
        <v>320</v>
      </c>
      <c r="O2448">
        <v>5</v>
      </c>
      <c r="P2448">
        <v>320</v>
      </c>
      <c r="Q2448">
        <v>30</v>
      </c>
      <c r="R2448">
        <v>48</v>
      </c>
      <c r="S2448">
        <v>4</v>
      </c>
      <c r="T2448">
        <v>3</v>
      </c>
      <c r="U2448">
        <v>69</v>
      </c>
      <c r="V2448">
        <v>0</v>
      </c>
      <c r="W2448">
        <v>4</v>
      </c>
      <c r="X2448">
        <v>136</v>
      </c>
      <c r="Y2448">
        <v>2</v>
      </c>
      <c r="Z2448">
        <v>2</v>
      </c>
      <c r="AA2448">
        <v>3</v>
      </c>
      <c r="AB2448">
        <v>16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3</v>
      </c>
      <c r="AK2448">
        <v>320</v>
      </c>
      <c r="AL2448">
        <v>320</v>
      </c>
      <c r="AM2448">
        <v>684</v>
      </c>
      <c r="AN2448">
        <v>44</v>
      </c>
      <c r="AP2448">
        <v>1</v>
      </c>
      <c r="AR2448" t="s">
        <v>2541</v>
      </c>
      <c r="AS2448" s="1">
        <v>44354.226388888892</v>
      </c>
      <c r="AT2448" s="1">
        <v>44354.233981481484</v>
      </c>
      <c r="AU2448" s="1">
        <v>44354.234733796293</v>
      </c>
      <c r="AV2448" t="s">
        <v>71</v>
      </c>
      <c r="AW2448" t="s">
        <v>72</v>
      </c>
      <c r="AX2448" t="s">
        <v>73</v>
      </c>
    </row>
    <row r="2449" spans="1:50" x14ac:dyDescent="0.3">
      <c r="A2449" t="str">
        <f>"200420E0100"</f>
        <v>200420E0100</v>
      </c>
      <c r="B2449" t="str">
        <f>"200420E01002"</f>
        <v>200420E01002</v>
      </c>
      <c r="C2449" t="str">
        <f t="shared" si="116"/>
        <v>20</v>
      </c>
      <c r="D2449" t="s">
        <v>67</v>
      </c>
      <c r="E2449" t="str">
        <f t="shared" si="115"/>
        <v>011</v>
      </c>
      <c r="F2449" t="s">
        <v>2448</v>
      </c>
      <c r="G2449" t="str">
        <f>"0420"</f>
        <v>0420</v>
      </c>
      <c r="H2449" t="str">
        <f>"0001"</f>
        <v>0001</v>
      </c>
      <c r="I2449" t="s">
        <v>109</v>
      </c>
      <c r="J2449">
        <v>0</v>
      </c>
      <c r="K2449">
        <v>1</v>
      </c>
      <c r="L2449">
        <v>2</v>
      </c>
      <c r="M2449">
        <v>104</v>
      </c>
      <c r="N2449">
        <v>90</v>
      </c>
      <c r="O2449">
        <v>1</v>
      </c>
      <c r="P2449">
        <v>90</v>
      </c>
      <c r="Q2449">
        <v>16</v>
      </c>
      <c r="R2449">
        <v>3</v>
      </c>
      <c r="S2449">
        <v>0</v>
      </c>
      <c r="T2449">
        <v>1</v>
      </c>
      <c r="U2449">
        <v>29</v>
      </c>
      <c r="V2449">
        <v>3</v>
      </c>
      <c r="W2449">
        <v>0</v>
      </c>
      <c r="X2449">
        <v>34</v>
      </c>
      <c r="Y2449">
        <v>0</v>
      </c>
      <c r="Z2449">
        <v>0</v>
      </c>
      <c r="AA2449">
        <v>0</v>
      </c>
      <c r="AB2449">
        <v>2</v>
      </c>
      <c r="AD2449">
        <v>1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1</v>
      </c>
      <c r="AK2449">
        <v>90</v>
      </c>
      <c r="AL2449">
        <v>90</v>
      </c>
      <c r="AM2449">
        <v>150</v>
      </c>
      <c r="AN2449">
        <v>44</v>
      </c>
      <c r="AP2449">
        <v>1</v>
      </c>
      <c r="AR2449" t="s">
        <v>2542</v>
      </c>
      <c r="AS2449" s="1">
        <v>44354.254861111112</v>
      </c>
      <c r="AT2449" s="1">
        <v>44354.259664351855</v>
      </c>
      <c r="AU2449" s="1">
        <v>44354.260763888888</v>
      </c>
      <c r="AV2449" t="s">
        <v>71</v>
      </c>
      <c r="AW2449" t="s">
        <v>72</v>
      </c>
      <c r="AX2449" t="s">
        <v>73</v>
      </c>
    </row>
    <row r="2450" spans="1:50" x14ac:dyDescent="0.3">
      <c r="A2450" t="str">
        <f>"200421B0000"</f>
        <v>200421B0000</v>
      </c>
      <c r="B2450" t="str">
        <f>"200421B00002"</f>
        <v>200421B00002</v>
      </c>
      <c r="C2450" t="str">
        <f t="shared" si="116"/>
        <v>20</v>
      </c>
      <c r="D2450" t="s">
        <v>67</v>
      </c>
      <c r="E2450" t="str">
        <f t="shared" si="115"/>
        <v>011</v>
      </c>
      <c r="F2450" t="s">
        <v>2448</v>
      </c>
      <c r="G2450" t="str">
        <f>"0421"</f>
        <v>0421</v>
      </c>
      <c r="H2450" t="str">
        <f>"0000"</f>
        <v>0000</v>
      </c>
      <c r="I2450" t="s">
        <v>69</v>
      </c>
      <c r="J2450">
        <v>0</v>
      </c>
      <c r="K2450">
        <v>1</v>
      </c>
      <c r="L2450">
        <v>2</v>
      </c>
      <c r="M2450">
        <v>94</v>
      </c>
      <c r="N2450">
        <v>121</v>
      </c>
      <c r="O2450">
        <v>3</v>
      </c>
      <c r="P2450">
        <v>121</v>
      </c>
      <c r="Q2450">
        <v>15</v>
      </c>
      <c r="R2450">
        <v>24</v>
      </c>
      <c r="S2450">
        <v>0</v>
      </c>
      <c r="T2450">
        <v>1</v>
      </c>
      <c r="U2450">
        <v>2</v>
      </c>
      <c r="V2450">
        <v>1</v>
      </c>
      <c r="W2450">
        <v>1</v>
      </c>
      <c r="X2450">
        <v>64</v>
      </c>
      <c r="Y2450">
        <v>0</v>
      </c>
      <c r="Z2450">
        <v>8</v>
      </c>
      <c r="AA2450">
        <v>1</v>
      </c>
      <c r="AB2450">
        <v>2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2</v>
      </c>
      <c r="AK2450">
        <v>121</v>
      </c>
      <c r="AL2450">
        <v>121</v>
      </c>
      <c r="AM2450">
        <v>171</v>
      </c>
      <c r="AN2450">
        <v>44</v>
      </c>
      <c r="AP2450">
        <v>1</v>
      </c>
      <c r="AR2450" t="s">
        <v>2543</v>
      </c>
      <c r="AS2450" s="1">
        <v>44353.950694444444</v>
      </c>
      <c r="AT2450" s="1">
        <v>44353.953043981484</v>
      </c>
      <c r="AU2450" s="1">
        <v>44353.953611111108</v>
      </c>
      <c r="AV2450" t="s">
        <v>71</v>
      </c>
      <c r="AW2450" t="s">
        <v>72</v>
      </c>
      <c r="AX2450" t="s">
        <v>73</v>
      </c>
    </row>
    <row r="2451" spans="1:50" x14ac:dyDescent="0.3">
      <c r="A2451" t="str">
        <f>"200661B0000"</f>
        <v>200661B0000</v>
      </c>
      <c r="B2451" t="str">
        <f>"200661B00002"</f>
        <v>200661B00002</v>
      </c>
      <c r="C2451" t="str">
        <f t="shared" si="116"/>
        <v>20</v>
      </c>
      <c r="D2451" t="s">
        <v>67</v>
      </c>
      <c r="E2451" t="str">
        <f t="shared" si="115"/>
        <v>011</v>
      </c>
      <c r="F2451" t="s">
        <v>2448</v>
      </c>
      <c r="G2451" t="str">
        <f>"0661"</f>
        <v>0661</v>
      </c>
      <c r="H2451" t="str">
        <f>"0000"</f>
        <v>0000</v>
      </c>
      <c r="I2451" t="s">
        <v>69</v>
      </c>
      <c r="J2451">
        <v>0</v>
      </c>
      <c r="K2451">
        <v>1</v>
      </c>
      <c r="L2451">
        <v>2</v>
      </c>
      <c r="AM2451">
        <v>556</v>
      </c>
      <c r="AN2451">
        <v>44</v>
      </c>
      <c r="AO2451" t="s">
        <v>352</v>
      </c>
      <c r="AP2451">
        <v>0</v>
      </c>
      <c r="AR2451" t="s">
        <v>2544</v>
      </c>
      <c r="AS2451" s="1">
        <v>44354.381249999999</v>
      </c>
      <c r="AT2451" s="1">
        <v>44354.382592592592</v>
      </c>
      <c r="AU2451" s="1">
        <v>44354.382592592592</v>
      </c>
      <c r="AV2451" t="s">
        <v>71</v>
      </c>
      <c r="AW2451" t="s">
        <v>72</v>
      </c>
      <c r="AX2451" t="s">
        <v>73</v>
      </c>
    </row>
    <row r="2452" spans="1:50" x14ac:dyDescent="0.3">
      <c r="A2452" t="str">
        <f>"200661C0100"</f>
        <v>200661C0100</v>
      </c>
      <c r="B2452" t="str">
        <f>"200661C01002"</f>
        <v>200661C01002</v>
      </c>
      <c r="C2452" t="str">
        <f t="shared" si="116"/>
        <v>20</v>
      </c>
      <c r="D2452" t="s">
        <v>67</v>
      </c>
      <c r="E2452" t="str">
        <f t="shared" si="115"/>
        <v>011</v>
      </c>
      <c r="F2452" t="s">
        <v>2448</v>
      </c>
      <c r="G2452" t="str">
        <f>"0661"</f>
        <v>0661</v>
      </c>
      <c r="H2452" t="str">
        <f>"0001"</f>
        <v>0001</v>
      </c>
      <c r="I2452" t="s">
        <v>75</v>
      </c>
      <c r="J2452">
        <v>0</v>
      </c>
      <c r="K2452">
        <v>1</v>
      </c>
      <c r="L2452">
        <v>2</v>
      </c>
      <c r="AM2452">
        <v>556</v>
      </c>
      <c r="AN2452">
        <v>44</v>
      </c>
      <c r="AO2452" t="s">
        <v>352</v>
      </c>
      <c r="AP2452">
        <v>0</v>
      </c>
      <c r="AR2452" t="s">
        <v>2545</v>
      </c>
      <c r="AS2452" s="1">
        <v>44354.423611111109</v>
      </c>
      <c r="AT2452" s="1">
        <v>44354.437569444446</v>
      </c>
      <c r="AU2452" s="1">
        <v>44354.437569444446</v>
      </c>
      <c r="AV2452" t="s">
        <v>71</v>
      </c>
      <c r="AW2452" t="s">
        <v>72</v>
      </c>
      <c r="AX2452" t="s">
        <v>73</v>
      </c>
    </row>
    <row r="2453" spans="1:50" x14ac:dyDescent="0.3">
      <c r="A2453" t="str">
        <f>"200662B0000"</f>
        <v>200662B0000</v>
      </c>
      <c r="B2453" t="str">
        <f>"200662B00002"</f>
        <v>200662B00002</v>
      </c>
      <c r="C2453" t="str">
        <f t="shared" si="116"/>
        <v>20</v>
      </c>
      <c r="D2453" t="s">
        <v>67</v>
      </c>
      <c r="E2453" t="str">
        <f t="shared" si="115"/>
        <v>011</v>
      </c>
      <c r="F2453" t="s">
        <v>2448</v>
      </c>
      <c r="G2453" t="str">
        <f>"0662"</f>
        <v>0662</v>
      </c>
      <c r="H2453" t="str">
        <f>"0000"</f>
        <v>0000</v>
      </c>
      <c r="I2453" t="s">
        <v>69</v>
      </c>
      <c r="J2453">
        <v>0</v>
      </c>
      <c r="K2453">
        <v>1</v>
      </c>
      <c r="L2453">
        <v>2</v>
      </c>
      <c r="AM2453">
        <v>598</v>
      </c>
      <c r="AN2453">
        <v>44</v>
      </c>
      <c r="AO2453" t="s">
        <v>352</v>
      </c>
      <c r="AP2453">
        <v>0</v>
      </c>
      <c r="AR2453" t="s">
        <v>2546</v>
      </c>
      <c r="AS2453" s="1">
        <v>44354.381249999999</v>
      </c>
      <c r="AT2453" s="1">
        <v>44354.382384259261</v>
      </c>
      <c r="AU2453" s="1">
        <v>44354.382384259261</v>
      </c>
      <c r="AV2453" t="s">
        <v>71</v>
      </c>
      <c r="AW2453" t="s">
        <v>72</v>
      </c>
      <c r="AX2453" t="s">
        <v>73</v>
      </c>
    </row>
    <row r="2454" spans="1:50" x14ac:dyDescent="0.3">
      <c r="A2454" t="str">
        <f>"200662C0100"</f>
        <v>200662C0100</v>
      </c>
      <c r="B2454" t="str">
        <f>"200662C01002"</f>
        <v>200662C01002</v>
      </c>
      <c r="C2454" t="str">
        <f t="shared" si="116"/>
        <v>20</v>
      </c>
      <c r="D2454" t="s">
        <v>67</v>
      </c>
      <c r="E2454" t="str">
        <f t="shared" si="115"/>
        <v>011</v>
      </c>
      <c r="F2454" t="s">
        <v>2448</v>
      </c>
      <c r="G2454" t="str">
        <f>"0662"</f>
        <v>0662</v>
      </c>
      <c r="H2454" t="str">
        <f>"0001"</f>
        <v>0001</v>
      </c>
      <c r="I2454" t="s">
        <v>75</v>
      </c>
      <c r="J2454">
        <v>0</v>
      </c>
      <c r="K2454">
        <v>1</v>
      </c>
      <c r="L2454">
        <v>2</v>
      </c>
      <c r="AM2454">
        <v>598</v>
      </c>
      <c r="AN2454">
        <v>44</v>
      </c>
      <c r="AO2454" t="s">
        <v>352</v>
      </c>
      <c r="AP2454">
        <v>0</v>
      </c>
      <c r="AR2454" t="s">
        <v>2547</v>
      </c>
      <c r="AS2454" s="1">
        <v>44354.423611111109</v>
      </c>
      <c r="AT2454" s="1">
        <v>44354.43822916667</v>
      </c>
      <c r="AU2454" s="1">
        <v>44354.43822916667</v>
      </c>
      <c r="AV2454" t="s">
        <v>71</v>
      </c>
      <c r="AW2454" t="s">
        <v>72</v>
      </c>
      <c r="AX2454" t="s">
        <v>73</v>
      </c>
    </row>
    <row r="2455" spans="1:50" x14ac:dyDescent="0.3">
      <c r="A2455" t="str">
        <f>"201139B0000"</f>
        <v>201139B0000</v>
      </c>
      <c r="B2455" t="str">
        <f>"201139B00002"</f>
        <v>201139B00002</v>
      </c>
      <c r="C2455" t="str">
        <f t="shared" si="116"/>
        <v>20</v>
      </c>
      <c r="D2455" t="s">
        <v>67</v>
      </c>
      <c r="E2455" t="str">
        <f t="shared" si="115"/>
        <v>011</v>
      </c>
      <c r="F2455" t="s">
        <v>2448</v>
      </c>
      <c r="G2455" t="str">
        <f>"1139"</f>
        <v>1139</v>
      </c>
      <c r="H2455" t="str">
        <f>"0000"</f>
        <v>0000</v>
      </c>
      <c r="I2455" t="s">
        <v>69</v>
      </c>
      <c r="J2455">
        <v>0</v>
      </c>
      <c r="K2455">
        <v>1</v>
      </c>
      <c r="L2455">
        <v>2</v>
      </c>
      <c r="M2455">
        <v>147</v>
      </c>
      <c r="N2455">
        <v>365</v>
      </c>
      <c r="O2455">
        <v>2</v>
      </c>
      <c r="P2455">
        <v>365</v>
      </c>
      <c r="Q2455">
        <v>3</v>
      </c>
      <c r="R2455">
        <v>26</v>
      </c>
      <c r="S2455">
        <v>154</v>
      </c>
      <c r="T2455">
        <v>1</v>
      </c>
      <c r="U2455">
        <v>28</v>
      </c>
      <c r="V2455">
        <v>5</v>
      </c>
      <c r="W2455">
        <v>3</v>
      </c>
      <c r="X2455">
        <v>91</v>
      </c>
      <c r="Y2455">
        <v>2</v>
      </c>
      <c r="Z2455">
        <v>0</v>
      </c>
      <c r="AA2455">
        <v>32</v>
      </c>
      <c r="AB2455">
        <v>2</v>
      </c>
      <c r="AD2455">
        <v>2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16</v>
      </c>
      <c r="AK2455">
        <v>365</v>
      </c>
      <c r="AL2455">
        <v>365</v>
      </c>
      <c r="AM2455">
        <v>468</v>
      </c>
      <c r="AN2455">
        <v>44</v>
      </c>
      <c r="AP2455">
        <v>1</v>
      </c>
      <c r="AR2455" t="s">
        <v>2548</v>
      </c>
      <c r="AS2455" s="1">
        <v>44354.274305555555</v>
      </c>
      <c r="AT2455" s="1">
        <v>44354.278078703705</v>
      </c>
      <c r="AU2455" s="1">
        <v>44354.278715277775</v>
      </c>
      <c r="AV2455" t="s">
        <v>71</v>
      </c>
      <c r="AW2455" t="s">
        <v>72</v>
      </c>
      <c r="AX2455" t="s">
        <v>73</v>
      </c>
    </row>
    <row r="2456" spans="1:50" x14ac:dyDescent="0.3">
      <c r="A2456" t="str">
        <f>"201139C0100"</f>
        <v>201139C0100</v>
      </c>
      <c r="B2456" t="str">
        <f>"201139C01002"</f>
        <v>201139C01002</v>
      </c>
      <c r="C2456" t="str">
        <f t="shared" si="116"/>
        <v>20</v>
      </c>
      <c r="D2456" t="s">
        <v>67</v>
      </c>
      <c r="E2456" t="str">
        <f t="shared" si="115"/>
        <v>011</v>
      </c>
      <c r="F2456" t="s">
        <v>2448</v>
      </c>
      <c r="G2456" t="str">
        <f>"1139"</f>
        <v>1139</v>
      </c>
      <c r="H2456" t="str">
        <f>"0001"</f>
        <v>0001</v>
      </c>
      <c r="I2456" t="s">
        <v>75</v>
      </c>
      <c r="J2456">
        <v>0</v>
      </c>
      <c r="K2456">
        <v>1</v>
      </c>
      <c r="L2456">
        <v>2</v>
      </c>
      <c r="M2456">
        <v>157</v>
      </c>
      <c r="N2456">
        <v>354</v>
      </c>
      <c r="O2456">
        <v>1</v>
      </c>
      <c r="P2456">
        <v>354</v>
      </c>
      <c r="Q2456">
        <v>1</v>
      </c>
      <c r="R2456">
        <v>15</v>
      </c>
      <c r="S2456">
        <v>162</v>
      </c>
      <c r="T2456">
        <v>3</v>
      </c>
      <c r="U2456">
        <v>26</v>
      </c>
      <c r="V2456">
        <v>13</v>
      </c>
      <c r="W2456">
        <v>1</v>
      </c>
      <c r="X2456">
        <v>65</v>
      </c>
      <c r="Y2456">
        <v>0</v>
      </c>
      <c r="Z2456">
        <v>1</v>
      </c>
      <c r="AA2456">
        <v>32</v>
      </c>
      <c r="AB2456">
        <v>10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25</v>
      </c>
      <c r="AK2456">
        <v>354</v>
      </c>
      <c r="AL2456">
        <v>354</v>
      </c>
      <c r="AM2456">
        <v>467</v>
      </c>
      <c r="AN2456">
        <v>44</v>
      </c>
      <c r="AP2456">
        <v>1</v>
      </c>
      <c r="AR2456" t="s">
        <v>2549</v>
      </c>
      <c r="AS2456" s="1">
        <v>44354.271527777775</v>
      </c>
      <c r="AT2456" s="1">
        <v>44354.276006944441</v>
      </c>
      <c r="AU2456" s="1">
        <v>44354.276979166665</v>
      </c>
      <c r="AV2456" t="s">
        <v>71</v>
      </c>
      <c r="AW2456" t="s">
        <v>72</v>
      </c>
      <c r="AX2456" t="s">
        <v>73</v>
      </c>
    </row>
    <row r="2457" spans="1:50" x14ac:dyDescent="0.3">
      <c r="A2457" t="str">
        <f>"201140B0000"</f>
        <v>201140B0000</v>
      </c>
      <c r="B2457" t="str">
        <f>"201140B00002"</f>
        <v>201140B00002</v>
      </c>
      <c r="C2457" t="str">
        <f t="shared" si="116"/>
        <v>20</v>
      </c>
      <c r="D2457" t="s">
        <v>67</v>
      </c>
      <c r="E2457" t="str">
        <f t="shared" si="115"/>
        <v>011</v>
      </c>
      <c r="F2457" t="s">
        <v>2448</v>
      </c>
      <c r="G2457" t="str">
        <f>"1140"</f>
        <v>1140</v>
      </c>
      <c r="H2457" t="str">
        <f>"0000"</f>
        <v>0000</v>
      </c>
      <c r="I2457" t="s">
        <v>69</v>
      </c>
      <c r="J2457">
        <v>0</v>
      </c>
      <c r="K2457">
        <v>1</v>
      </c>
      <c r="L2457">
        <v>2</v>
      </c>
      <c r="M2457">
        <v>179</v>
      </c>
      <c r="N2457">
        <v>386</v>
      </c>
      <c r="O2457">
        <v>0</v>
      </c>
      <c r="P2457">
        <v>386</v>
      </c>
      <c r="Q2457">
        <v>0</v>
      </c>
      <c r="R2457">
        <v>24</v>
      </c>
      <c r="S2457">
        <v>166</v>
      </c>
      <c r="T2457">
        <v>1</v>
      </c>
      <c r="U2457">
        <v>46</v>
      </c>
      <c r="V2457">
        <v>7</v>
      </c>
      <c r="W2457">
        <v>1</v>
      </c>
      <c r="X2457">
        <v>85</v>
      </c>
      <c r="Y2457">
        <v>0</v>
      </c>
      <c r="Z2457">
        <v>2</v>
      </c>
      <c r="AA2457">
        <v>17</v>
      </c>
      <c r="AB2457">
        <v>6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31</v>
      </c>
      <c r="AK2457">
        <v>386</v>
      </c>
      <c r="AL2457">
        <v>386</v>
      </c>
      <c r="AM2457">
        <v>521</v>
      </c>
      <c r="AN2457">
        <v>44</v>
      </c>
      <c r="AP2457">
        <v>1</v>
      </c>
      <c r="AR2457" t="s">
        <v>2550</v>
      </c>
      <c r="AS2457" s="1">
        <v>44354.293749999997</v>
      </c>
      <c r="AT2457" s="1">
        <v>44354.296597222223</v>
      </c>
      <c r="AU2457" s="1">
        <v>44354.299537037034</v>
      </c>
      <c r="AV2457" t="s">
        <v>71</v>
      </c>
      <c r="AW2457" t="s">
        <v>72</v>
      </c>
      <c r="AX2457" t="s">
        <v>73</v>
      </c>
    </row>
    <row r="2458" spans="1:50" x14ac:dyDescent="0.3">
      <c r="A2458" t="str">
        <f>"201140C0100"</f>
        <v>201140C0100</v>
      </c>
      <c r="B2458" t="str">
        <f>"201140C01002"</f>
        <v>201140C01002</v>
      </c>
      <c r="C2458" t="str">
        <f t="shared" si="116"/>
        <v>20</v>
      </c>
      <c r="D2458" t="s">
        <v>67</v>
      </c>
      <c r="E2458" t="str">
        <f t="shared" si="115"/>
        <v>011</v>
      </c>
      <c r="F2458" t="s">
        <v>2448</v>
      </c>
      <c r="G2458" t="str">
        <f>"1140"</f>
        <v>1140</v>
      </c>
      <c r="H2458" t="str">
        <f>"0001"</f>
        <v>0001</v>
      </c>
      <c r="I2458" t="s">
        <v>75</v>
      </c>
      <c r="J2458">
        <v>0</v>
      </c>
      <c r="K2458">
        <v>1</v>
      </c>
      <c r="L2458">
        <v>2</v>
      </c>
      <c r="M2458">
        <v>191</v>
      </c>
      <c r="N2458">
        <v>374</v>
      </c>
      <c r="O2458">
        <v>0</v>
      </c>
      <c r="P2458">
        <v>374</v>
      </c>
      <c r="Q2458">
        <v>2</v>
      </c>
      <c r="R2458">
        <v>36</v>
      </c>
      <c r="S2458">
        <v>158</v>
      </c>
      <c r="T2458">
        <v>1</v>
      </c>
      <c r="U2458">
        <v>55</v>
      </c>
      <c r="V2458">
        <v>3</v>
      </c>
      <c r="W2458">
        <v>1</v>
      </c>
      <c r="X2458">
        <v>75</v>
      </c>
      <c r="Y2458">
        <v>2</v>
      </c>
      <c r="Z2458">
        <v>2</v>
      </c>
      <c r="AA2458">
        <v>18</v>
      </c>
      <c r="AB2458">
        <v>2</v>
      </c>
      <c r="AD2458">
        <v>1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18</v>
      </c>
      <c r="AK2458">
        <v>374</v>
      </c>
      <c r="AL2458">
        <v>374</v>
      </c>
      <c r="AM2458">
        <v>521</v>
      </c>
      <c r="AN2458">
        <v>44</v>
      </c>
      <c r="AP2458">
        <v>1</v>
      </c>
      <c r="AR2458" t="s">
        <v>2551</v>
      </c>
      <c r="AS2458" s="1">
        <v>44354.280555555553</v>
      </c>
      <c r="AT2458" s="1">
        <v>44354.285439814812</v>
      </c>
      <c r="AU2458" s="1">
        <v>44354.285891203705</v>
      </c>
      <c r="AV2458" t="s">
        <v>71</v>
      </c>
      <c r="AW2458" t="s">
        <v>72</v>
      </c>
      <c r="AX2458" t="s">
        <v>73</v>
      </c>
    </row>
    <row r="2459" spans="1:50" x14ac:dyDescent="0.3">
      <c r="A2459" t="str">
        <f>"201141B0000"</f>
        <v>201141B0000</v>
      </c>
      <c r="B2459" t="str">
        <f>"201141B00002"</f>
        <v>201141B00002</v>
      </c>
      <c r="C2459" t="str">
        <f t="shared" si="116"/>
        <v>20</v>
      </c>
      <c r="D2459" t="s">
        <v>67</v>
      </c>
      <c r="E2459" t="str">
        <f t="shared" si="115"/>
        <v>011</v>
      </c>
      <c r="F2459" t="s">
        <v>2448</v>
      </c>
      <c r="G2459" t="str">
        <f>"1141"</f>
        <v>1141</v>
      </c>
      <c r="H2459" t="str">
        <f>"0000"</f>
        <v>0000</v>
      </c>
      <c r="I2459" t="s">
        <v>69</v>
      </c>
      <c r="J2459">
        <v>0</v>
      </c>
      <c r="K2459">
        <v>1</v>
      </c>
      <c r="L2459">
        <v>2</v>
      </c>
      <c r="M2459">
        <v>214</v>
      </c>
      <c r="N2459">
        <v>427</v>
      </c>
      <c r="O2459">
        <v>0</v>
      </c>
      <c r="P2459" t="s">
        <v>80</v>
      </c>
      <c r="Q2459">
        <v>7</v>
      </c>
      <c r="R2459">
        <v>32</v>
      </c>
      <c r="S2459">
        <v>201</v>
      </c>
      <c r="T2459">
        <v>1</v>
      </c>
      <c r="U2459">
        <v>21</v>
      </c>
      <c r="V2459">
        <v>9</v>
      </c>
      <c r="W2459">
        <v>1</v>
      </c>
      <c r="X2459">
        <v>101</v>
      </c>
      <c r="Y2459">
        <v>1</v>
      </c>
      <c r="Z2459">
        <v>0</v>
      </c>
      <c r="AA2459">
        <v>20</v>
      </c>
      <c r="AB2459">
        <v>4</v>
      </c>
      <c r="AD2459">
        <v>4</v>
      </c>
      <c r="AE2459">
        <v>0</v>
      </c>
      <c r="AF2459">
        <v>0</v>
      </c>
      <c r="AG2459">
        <v>0</v>
      </c>
      <c r="AH2459">
        <v>0</v>
      </c>
      <c r="AI2459">
        <v>7</v>
      </c>
      <c r="AJ2459">
        <v>18</v>
      </c>
      <c r="AK2459">
        <v>427</v>
      </c>
      <c r="AL2459">
        <v>427</v>
      </c>
      <c r="AM2459">
        <v>597</v>
      </c>
      <c r="AN2459">
        <v>44</v>
      </c>
      <c r="AP2459">
        <v>1</v>
      </c>
      <c r="AR2459" t="s">
        <v>2552</v>
      </c>
      <c r="AS2459" s="1">
        <v>44354.274305555555</v>
      </c>
      <c r="AT2459" s="1">
        <v>44354.277395833335</v>
      </c>
      <c r="AU2459" s="1">
        <v>44354.277777777781</v>
      </c>
      <c r="AV2459" t="s">
        <v>71</v>
      </c>
      <c r="AW2459" t="s">
        <v>72</v>
      </c>
      <c r="AX2459" t="s">
        <v>73</v>
      </c>
    </row>
    <row r="2460" spans="1:50" x14ac:dyDescent="0.3">
      <c r="A2460" t="str">
        <f>"201141C0100"</f>
        <v>201141C0100</v>
      </c>
      <c r="B2460" t="str">
        <f>"201141C01002"</f>
        <v>201141C01002</v>
      </c>
      <c r="C2460" t="str">
        <f t="shared" si="116"/>
        <v>20</v>
      </c>
      <c r="D2460" t="s">
        <v>67</v>
      </c>
      <c r="E2460" t="str">
        <f t="shared" si="115"/>
        <v>011</v>
      </c>
      <c r="F2460" t="s">
        <v>2448</v>
      </c>
      <c r="G2460" t="str">
        <f>"1141"</f>
        <v>1141</v>
      </c>
      <c r="H2460" t="str">
        <f>"0001"</f>
        <v>0001</v>
      </c>
      <c r="I2460" t="s">
        <v>75</v>
      </c>
      <c r="J2460">
        <v>0</v>
      </c>
      <c r="K2460">
        <v>1</v>
      </c>
      <c r="L2460">
        <v>2</v>
      </c>
      <c r="M2460">
        <v>184</v>
      </c>
      <c r="N2460">
        <v>456</v>
      </c>
      <c r="O2460">
        <v>1</v>
      </c>
      <c r="P2460">
        <v>456</v>
      </c>
      <c r="Q2460">
        <v>3</v>
      </c>
      <c r="R2460">
        <v>15</v>
      </c>
      <c r="S2460">
        <v>205</v>
      </c>
      <c r="T2460">
        <v>2</v>
      </c>
      <c r="U2460">
        <v>46</v>
      </c>
      <c r="V2460">
        <v>7</v>
      </c>
      <c r="W2460">
        <v>1</v>
      </c>
      <c r="X2460">
        <v>114</v>
      </c>
      <c r="Y2460">
        <v>1</v>
      </c>
      <c r="Z2460">
        <v>2</v>
      </c>
      <c r="AA2460">
        <v>13</v>
      </c>
      <c r="AB2460">
        <v>5</v>
      </c>
      <c r="AD2460">
        <v>1</v>
      </c>
      <c r="AE2460">
        <v>0</v>
      </c>
      <c r="AF2460">
        <v>0</v>
      </c>
      <c r="AG2460">
        <v>0</v>
      </c>
      <c r="AH2460">
        <v>0</v>
      </c>
      <c r="AI2460">
        <v>8</v>
      </c>
      <c r="AJ2460">
        <v>33</v>
      </c>
      <c r="AK2460">
        <v>456</v>
      </c>
      <c r="AL2460">
        <v>456</v>
      </c>
      <c r="AM2460">
        <v>596</v>
      </c>
      <c r="AN2460">
        <v>44</v>
      </c>
      <c r="AP2460">
        <v>1</v>
      </c>
      <c r="AR2460" t="s">
        <v>2553</v>
      </c>
      <c r="AS2460" s="1">
        <v>44354.272222222222</v>
      </c>
      <c r="AT2460" s="1">
        <v>44354.278981481482</v>
      </c>
      <c r="AU2460" s="1">
        <v>44354.279641203706</v>
      </c>
      <c r="AV2460" t="s">
        <v>71</v>
      </c>
      <c r="AW2460" t="s">
        <v>72</v>
      </c>
      <c r="AX2460" t="s">
        <v>73</v>
      </c>
    </row>
    <row r="2461" spans="1:50" x14ac:dyDescent="0.3">
      <c r="A2461" t="str">
        <f>"201142B0000"</f>
        <v>201142B0000</v>
      </c>
      <c r="B2461" t="str">
        <f>"201142B00002"</f>
        <v>201142B00002</v>
      </c>
      <c r="C2461" t="str">
        <f t="shared" si="116"/>
        <v>20</v>
      </c>
      <c r="D2461" t="s">
        <v>67</v>
      </c>
      <c r="E2461" t="str">
        <f t="shared" si="115"/>
        <v>011</v>
      </c>
      <c r="F2461" t="s">
        <v>2448</v>
      </c>
      <c r="G2461" t="str">
        <f>"1142"</f>
        <v>1142</v>
      </c>
      <c r="H2461" t="str">
        <f>"0000"</f>
        <v>0000</v>
      </c>
      <c r="I2461" t="s">
        <v>69</v>
      </c>
      <c r="J2461">
        <v>0</v>
      </c>
      <c r="K2461">
        <v>1</v>
      </c>
      <c r="L2461">
        <v>2</v>
      </c>
      <c r="M2461">
        <v>133</v>
      </c>
      <c r="N2461">
        <v>326</v>
      </c>
      <c r="O2461">
        <v>5</v>
      </c>
      <c r="P2461">
        <v>326</v>
      </c>
      <c r="Q2461">
        <v>2</v>
      </c>
      <c r="R2461">
        <v>6</v>
      </c>
      <c r="S2461">
        <v>169</v>
      </c>
      <c r="T2461">
        <v>0</v>
      </c>
      <c r="U2461">
        <v>46</v>
      </c>
      <c r="V2461">
        <v>3</v>
      </c>
      <c r="W2461">
        <v>0</v>
      </c>
      <c r="X2461">
        <v>61</v>
      </c>
      <c r="Y2461">
        <v>0</v>
      </c>
      <c r="Z2461">
        <v>0</v>
      </c>
      <c r="AA2461">
        <v>26</v>
      </c>
      <c r="AB2461">
        <v>4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2</v>
      </c>
      <c r="AJ2461">
        <v>7</v>
      </c>
      <c r="AK2461">
        <v>326</v>
      </c>
      <c r="AL2461">
        <v>326</v>
      </c>
      <c r="AM2461">
        <v>415</v>
      </c>
      <c r="AN2461">
        <v>44</v>
      </c>
      <c r="AP2461">
        <v>1</v>
      </c>
      <c r="AR2461" t="s">
        <v>2554</v>
      </c>
      <c r="AS2461" s="1">
        <v>44354.271527777775</v>
      </c>
      <c r="AT2461" s="1">
        <v>44354.279409722221</v>
      </c>
      <c r="AU2461" s="1">
        <v>44354.280104166668</v>
      </c>
      <c r="AV2461" t="s">
        <v>71</v>
      </c>
      <c r="AW2461" t="s">
        <v>72</v>
      </c>
      <c r="AX2461" t="s">
        <v>73</v>
      </c>
    </row>
    <row r="2462" spans="1:50" x14ac:dyDescent="0.3">
      <c r="A2462" t="str">
        <f>"201142E0100"</f>
        <v>201142E0100</v>
      </c>
      <c r="B2462" t="str">
        <f>"201142E01002"</f>
        <v>201142E01002</v>
      </c>
      <c r="C2462" t="str">
        <f t="shared" si="116"/>
        <v>20</v>
      </c>
      <c r="D2462" t="s">
        <v>67</v>
      </c>
      <c r="E2462" t="str">
        <f t="shared" si="115"/>
        <v>011</v>
      </c>
      <c r="F2462" t="s">
        <v>2448</v>
      </c>
      <c r="G2462" t="str">
        <f>"1142"</f>
        <v>1142</v>
      </c>
      <c r="H2462" t="str">
        <f>"0001"</f>
        <v>0001</v>
      </c>
      <c r="I2462" t="s">
        <v>109</v>
      </c>
      <c r="J2462">
        <v>0</v>
      </c>
      <c r="K2462">
        <v>1</v>
      </c>
      <c r="L2462">
        <v>2</v>
      </c>
      <c r="M2462">
        <v>177</v>
      </c>
      <c r="N2462">
        <v>443</v>
      </c>
      <c r="O2462">
        <v>1</v>
      </c>
      <c r="P2462" t="s">
        <v>80</v>
      </c>
      <c r="Q2462">
        <v>0</v>
      </c>
      <c r="R2462">
        <v>2</v>
      </c>
      <c r="S2462">
        <v>218</v>
      </c>
      <c r="T2462">
        <v>0</v>
      </c>
      <c r="U2462">
        <v>3</v>
      </c>
      <c r="V2462">
        <v>0</v>
      </c>
      <c r="W2462">
        <v>2</v>
      </c>
      <c r="X2462">
        <v>212</v>
      </c>
      <c r="Y2462">
        <v>0</v>
      </c>
      <c r="Z2462">
        <v>0</v>
      </c>
      <c r="AA2462">
        <v>4</v>
      </c>
      <c r="AB2462">
        <v>2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443</v>
      </c>
      <c r="AL2462">
        <v>443</v>
      </c>
      <c r="AM2462">
        <v>576</v>
      </c>
      <c r="AN2462">
        <v>44</v>
      </c>
      <c r="AP2462">
        <v>1</v>
      </c>
      <c r="AR2462" t="s">
        <v>2555</v>
      </c>
      <c r="AS2462" s="1">
        <v>44354.271527777775</v>
      </c>
      <c r="AT2462" s="1">
        <v>44354.276296296295</v>
      </c>
      <c r="AU2462" s="1">
        <v>44354.276932870373</v>
      </c>
      <c r="AV2462" t="s">
        <v>71</v>
      </c>
      <c r="AW2462" t="s">
        <v>72</v>
      </c>
      <c r="AX2462" t="s">
        <v>73</v>
      </c>
    </row>
    <row r="2463" spans="1:50" x14ac:dyDescent="0.3">
      <c r="A2463" t="str">
        <f>"201142E0101"</f>
        <v>201142E0101</v>
      </c>
      <c r="B2463" t="str">
        <f>"201142E01012"</f>
        <v>201142E01012</v>
      </c>
      <c r="C2463" t="str">
        <f t="shared" si="116"/>
        <v>20</v>
      </c>
      <c r="D2463" t="s">
        <v>67</v>
      </c>
      <c r="E2463" t="str">
        <f t="shared" si="115"/>
        <v>011</v>
      </c>
      <c r="F2463" t="s">
        <v>2448</v>
      </c>
      <c r="G2463" t="str">
        <f>"1142"</f>
        <v>1142</v>
      </c>
      <c r="H2463" t="str">
        <f>"0001"</f>
        <v>0001</v>
      </c>
      <c r="I2463" t="s">
        <v>109</v>
      </c>
      <c r="J2463">
        <v>1</v>
      </c>
      <c r="K2463">
        <v>1</v>
      </c>
      <c r="L2463">
        <v>2</v>
      </c>
      <c r="M2463">
        <v>142</v>
      </c>
      <c r="N2463">
        <v>477</v>
      </c>
      <c r="O2463">
        <v>2</v>
      </c>
      <c r="P2463">
        <v>477</v>
      </c>
      <c r="Q2463">
        <v>0</v>
      </c>
      <c r="R2463">
        <v>5</v>
      </c>
      <c r="S2463">
        <v>257</v>
      </c>
      <c r="T2463">
        <v>0</v>
      </c>
      <c r="U2463">
        <v>2</v>
      </c>
      <c r="V2463">
        <v>1</v>
      </c>
      <c r="W2463">
        <v>5</v>
      </c>
      <c r="X2463">
        <v>193</v>
      </c>
      <c r="Y2463">
        <v>0</v>
      </c>
      <c r="Z2463">
        <v>0</v>
      </c>
      <c r="AA2463">
        <v>4</v>
      </c>
      <c r="AB2463">
        <v>4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6</v>
      </c>
      <c r="AK2463">
        <v>477</v>
      </c>
      <c r="AL2463">
        <v>477</v>
      </c>
      <c r="AM2463">
        <v>575</v>
      </c>
      <c r="AN2463">
        <v>44</v>
      </c>
      <c r="AP2463">
        <v>1</v>
      </c>
      <c r="AR2463" t="s">
        <v>2556</v>
      </c>
      <c r="AS2463" s="1">
        <v>44354.263194444444</v>
      </c>
      <c r="AT2463" s="1">
        <v>44354.266805555555</v>
      </c>
      <c r="AU2463" s="1">
        <v>44354.26761574074</v>
      </c>
      <c r="AV2463" t="s">
        <v>71</v>
      </c>
      <c r="AW2463" t="s">
        <v>72</v>
      </c>
      <c r="AX2463" t="s">
        <v>73</v>
      </c>
    </row>
    <row r="2464" spans="1:50" x14ac:dyDescent="0.3">
      <c r="A2464" t="str">
        <f>"201143B0000"</f>
        <v>201143B0000</v>
      </c>
      <c r="B2464" t="str">
        <f>"201143B00002"</f>
        <v>201143B00002</v>
      </c>
      <c r="C2464" t="str">
        <f t="shared" si="116"/>
        <v>20</v>
      </c>
      <c r="D2464" t="s">
        <v>67</v>
      </c>
      <c r="E2464" t="str">
        <f t="shared" si="115"/>
        <v>011</v>
      </c>
      <c r="F2464" t="s">
        <v>2448</v>
      </c>
      <c r="G2464" t="str">
        <f>"1143"</f>
        <v>1143</v>
      </c>
      <c r="H2464" t="str">
        <f>"0000"</f>
        <v>0000</v>
      </c>
      <c r="I2464" t="s">
        <v>69</v>
      </c>
      <c r="J2464">
        <v>0</v>
      </c>
      <c r="K2464">
        <v>1</v>
      </c>
      <c r="L2464">
        <v>2</v>
      </c>
      <c r="M2464">
        <v>115</v>
      </c>
      <c r="N2464">
        <v>155</v>
      </c>
      <c r="O2464">
        <v>0</v>
      </c>
      <c r="P2464">
        <v>155</v>
      </c>
      <c r="Q2464">
        <v>0</v>
      </c>
      <c r="R2464">
        <v>13</v>
      </c>
      <c r="S2464">
        <v>51</v>
      </c>
      <c r="T2464">
        <v>2</v>
      </c>
      <c r="U2464">
        <v>0</v>
      </c>
      <c r="V2464">
        <v>1</v>
      </c>
      <c r="W2464">
        <v>0</v>
      </c>
      <c r="X2464">
        <v>68</v>
      </c>
      <c r="Y2464">
        <v>6</v>
      </c>
      <c r="Z2464">
        <v>0</v>
      </c>
      <c r="AA2464">
        <v>1</v>
      </c>
      <c r="AB2464">
        <v>11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2</v>
      </c>
      <c r="AK2464">
        <v>155</v>
      </c>
      <c r="AL2464">
        <v>155</v>
      </c>
      <c r="AM2464">
        <v>226</v>
      </c>
      <c r="AN2464">
        <v>44</v>
      </c>
      <c r="AP2464">
        <v>1</v>
      </c>
      <c r="AR2464" t="s">
        <v>2557</v>
      </c>
      <c r="AS2464" s="1">
        <v>44354.271527777775</v>
      </c>
      <c r="AT2464" s="1">
        <v>44354.277071759258</v>
      </c>
      <c r="AU2464" s="1">
        <v>44354.277615740742</v>
      </c>
      <c r="AV2464" t="s">
        <v>71</v>
      </c>
      <c r="AW2464" t="s">
        <v>72</v>
      </c>
      <c r="AX2464" t="s">
        <v>73</v>
      </c>
    </row>
    <row r="2465" spans="1:50" x14ac:dyDescent="0.3">
      <c r="A2465" t="str">
        <f>"201143E0100"</f>
        <v>201143E0100</v>
      </c>
      <c r="B2465" t="str">
        <f>"201143E01002"</f>
        <v>201143E01002</v>
      </c>
      <c r="C2465" t="str">
        <f t="shared" si="116"/>
        <v>20</v>
      </c>
      <c r="D2465" t="s">
        <v>67</v>
      </c>
      <c r="E2465" t="str">
        <f t="shared" si="115"/>
        <v>011</v>
      </c>
      <c r="F2465" t="s">
        <v>2448</v>
      </c>
      <c r="G2465" t="str">
        <f>"1143"</f>
        <v>1143</v>
      </c>
      <c r="H2465" t="str">
        <f>"0001"</f>
        <v>0001</v>
      </c>
      <c r="I2465" t="s">
        <v>109</v>
      </c>
      <c r="J2465">
        <v>0</v>
      </c>
      <c r="K2465">
        <v>1</v>
      </c>
      <c r="L2465">
        <v>2</v>
      </c>
      <c r="M2465">
        <v>122</v>
      </c>
      <c r="N2465">
        <v>165</v>
      </c>
      <c r="O2465">
        <v>0</v>
      </c>
      <c r="P2465">
        <v>165</v>
      </c>
      <c r="Q2465">
        <v>0</v>
      </c>
      <c r="R2465">
        <v>22</v>
      </c>
      <c r="S2465">
        <v>71</v>
      </c>
      <c r="T2465">
        <v>2</v>
      </c>
      <c r="U2465">
        <v>1</v>
      </c>
      <c r="V2465">
        <v>2</v>
      </c>
      <c r="W2465">
        <v>0</v>
      </c>
      <c r="X2465">
        <v>58</v>
      </c>
      <c r="Y2465">
        <v>0</v>
      </c>
      <c r="Z2465">
        <v>4</v>
      </c>
      <c r="AA2465">
        <v>0</v>
      </c>
      <c r="AB2465">
        <v>1</v>
      </c>
      <c r="AD2465">
        <v>0</v>
      </c>
      <c r="AE2465">
        <v>0</v>
      </c>
      <c r="AF2465">
        <v>0</v>
      </c>
      <c r="AG2465">
        <v>1</v>
      </c>
      <c r="AH2465">
        <v>0</v>
      </c>
      <c r="AI2465">
        <v>0</v>
      </c>
      <c r="AJ2465">
        <v>3</v>
      </c>
      <c r="AK2465">
        <v>165</v>
      </c>
      <c r="AL2465">
        <v>165</v>
      </c>
      <c r="AM2465">
        <v>243</v>
      </c>
      <c r="AN2465">
        <v>44</v>
      </c>
      <c r="AP2465">
        <v>1</v>
      </c>
      <c r="AR2465" s="2" t="s">
        <v>2558</v>
      </c>
      <c r="AS2465" s="1">
        <v>44354.239583333336</v>
      </c>
      <c r="AT2465" s="1">
        <v>44354.242106481484</v>
      </c>
      <c r="AU2465" s="1">
        <v>44354.242777777778</v>
      </c>
      <c r="AV2465" t="s">
        <v>71</v>
      </c>
      <c r="AW2465" t="s">
        <v>72</v>
      </c>
      <c r="AX2465" t="s">
        <v>73</v>
      </c>
    </row>
    <row r="2466" spans="1:50" x14ac:dyDescent="0.3">
      <c r="A2466" t="str">
        <f>"201143E0200"</f>
        <v>201143E0200</v>
      </c>
      <c r="B2466" t="str">
        <f>"201143E02002"</f>
        <v>201143E02002</v>
      </c>
      <c r="C2466" t="str">
        <f t="shared" si="116"/>
        <v>20</v>
      </c>
      <c r="D2466" t="s">
        <v>67</v>
      </c>
      <c r="E2466" t="str">
        <f t="shared" si="115"/>
        <v>011</v>
      </c>
      <c r="F2466" t="s">
        <v>2448</v>
      </c>
      <c r="G2466" t="str">
        <f>"1143"</f>
        <v>1143</v>
      </c>
      <c r="H2466" t="str">
        <f>"0002"</f>
        <v>0002</v>
      </c>
      <c r="I2466" t="s">
        <v>109</v>
      </c>
      <c r="J2466">
        <v>0</v>
      </c>
      <c r="K2466">
        <v>1</v>
      </c>
      <c r="L2466">
        <v>2</v>
      </c>
      <c r="M2466">
        <v>54</v>
      </c>
      <c r="N2466">
        <v>78</v>
      </c>
      <c r="O2466">
        <v>4</v>
      </c>
      <c r="P2466">
        <v>78</v>
      </c>
      <c r="Q2466">
        <v>1</v>
      </c>
      <c r="R2466">
        <v>19</v>
      </c>
      <c r="S2466">
        <v>29</v>
      </c>
      <c r="T2466">
        <v>1</v>
      </c>
      <c r="U2466">
        <v>0</v>
      </c>
      <c r="V2466">
        <v>0</v>
      </c>
      <c r="W2466">
        <v>1</v>
      </c>
      <c r="X2466">
        <v>18</v>
      </c>
      <c r="Y2466">
        <v>0</v>
      </c>
      <c r="Z2466">
        <v>1</v>
      </c>
      <c r="AA2466">
        <v>2</v>
      </c>
      <c r="AB2466">
        <v>2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4</v>
      </c>
      <c r="AK2466">
        <v>78</v>
      </c>
      <c r="AL2466">
        <v>78</v>
      </c>
      <c r="AM2466">
        <v>88</v>
      </c>
      <c r="AN2466">
        <v>44</v>
      </c>
      <c r="AP2466">
        <v>1</v>
      </c>
      <c r="AR2466" t="s">
        <v>2559</v>
      </c>
      <c r="AS2466" s="1">
        <v>44354.28125</v>
      </c>
      <c r="AT2466" s="1">
        <v>44354.287442129629</v>
      </c>
      <c r="AU2466" s="1">
        <v>44354.287962962961</v>
      </c>
      <c r="AV2466" t="s">
        <v>71</v>
      </c>
      <c r="AW2466" t="s">
        <v>72</v>
      </c>
      <c r="AX2466" t="s">
        <v>73</v>
      </c>
    </row>
    <row r="2467" spans="1:50" x14ac:dyDescent="0.3">
      <c r="A2467" t="str">
        <f>"201144B0000"</f>
        <v>201144B0000</v>
      </c>
      <c r="B2467" t="str">
        <f>"201144B00002"</f>
        <v>201144B00002</v>
      </c>
      <c r="C2467" t="str">
        <f t="shared" si="116"/>
        <v>20</v>
      </c>
      <c r="D2467" t="s">
        <v>67</v>
      </c>
      <c r="E2467" t="str">
        <f t="shared" si="115"/>
        <v>011</v>
      </c>
      <c r="F2467" t="s">
        <v>2448</v>
      </c>
      <c r="G2467" t="str">
        <f>"1144"</f>
        <v>1144</v>
      </c>
      <c r="H2467" t="str">
        <f>"0000"</f>
        <v>0000</v>
      </c>
      <c r="I2467" t="s">
        <v>69</v>
      </c>
      <c r="J2467">
        <v>0</v>
      </c>
      <c r="K2467">
        <v>1</v>
      </c>
      <c r="L2467">
        <v>2</v>
      </c>
      <c r="M2467">
        <v>185</v>
      </c>
      <c r="N2467">
        <v>258</v>
      </c>
      <c r="O2467">
        <v>0</v>
      </c>
      <c r="P2467">
        <v>258</v>
      </c>
      <c r="Q2467">
        <v>12</v>
      </c>
      <c r="R2467">
        <v>12</v>
      </c>
      <c r="S2467">
        <v>110</v>
      </c>
      <c r="T2467">
        <v>1</v>
      </c>
      <c r="U2467">
        <v>5</v>
      </c>
      <c r="V2467">
        <v>2</v>
      </c>
      <c r="W2467">
        <v>2</v>
      </c>
      <c r="X2467">
        <v>68</v>
      </c>
      <c r="Y2467">
        <v>1</v>
      </c>
      <c r="Z2467">
        <v>5</v>
      </c>
      <c r="AA2467">
        <v>34</v>
      </c>
      <c r="AB2467">
        <v>2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4</v>
      </c>
      <c r="AK2467">
        <v>258</v>
      </c>
      <c r="AL2467">
        <v>258</v>
      </c>
      <c r="AM2467">
        <v>399</v>
      </c>
      <c r="AN2467">
        <v>44</v>
      </c>
      <c r="AP2467">
        <v>1</v>
      </c>
      <c r="AR2467" t="s">
        <v>2560</v>
      </c>
      <c r="AS2467" s="1">
        <v>44354.241666666669</v>
      </c>
      <c r="AT2467" s="1">
        <v>44354.245497685188</v>
      </c>
      <c r="AU2467" s="1">
        <v>44354.24628472222</v>
      </c>
      <c r="AV2467" t="s">
        <v>71</v>
      </c>
      <c r="AW2467" t="s">
        <v>72</v>
      </c>
      <c r="AX2467" t="s">
        <v>73</v>
      </c>
    </row>
    <row r="2468" spans="1:50" x14ac:dyDescent="0.3">
      <c r="A2468" t="str">
        <f>"201144E0100"</f>
        <v>201144E0100</v>
      </c>
      <c r="B2468" t="str">
        <f>"201144E01002"</f>
        <v>201144E01002</v>
      </c>
      <c r="C2468" t="str">
        <f t="shared" si="116"/>
        <v>20</v>
      </c>
      <c r="D2468" t="s">
        <v>67</v>
      </c>
      <c r="E2468" t="str">
        <f t="shared" si="115"/>
        <v>011</v>
      </c>
      <c r="F2468" t="s">
        <v>2448</v>
      </c>
      <c r="G2468" t="str">
        <f>"1144"</f>
        <v>1144</v>
      </c>
      <c r="H2468" t="str">
        <f>"0001"</f>
        <v>0001</v>
      </c>
      <c r="I2468" t="s">
        <v>109</v>
      </c>
      <c r="J2468">
        <v>0</v>
      </c>
      <c r="K2468">
        <v>1</v>
      </c>
      <c r="L2468">
        <v>2</v>
      </c>
      <c r="M2468">
        <v>204</v>
      </c>
      <c r="N2468">
        <v>415</v>
      </c>
      <c r="O2468">
        <v>1</v>
      </c>
      <c r="P2468">
        <v>415</v>
      </c>
      <c r="Q2468">
        <v>1</v>
      </c>
      <c r="R2468">
        <v>22</v>
      </c>
      <c r="S2468">
        <v>165</v>
      </c>
      <c r="T2468">
        <v>0</v>
      </c>
      <c r="U2468">
        <v>1</v>
      </c>
      <c r="V2468">
        <v>1</v>
      </c>
      <c r="W2468">
        <v>1</v>
      </c>
      <c r="X2468">
        <v>161</v>
      </c>
      <c r="Y2468">
        <v>0</v>
      </c>
      <c r="Z2468">
        <v>4</v>
      </c>
      <c r="AA2468">
        <v>39</v>
      </c>
      <c r="AB2468">
        <v>1</v>
      </c>
      <c r="AD2468">
        <v>0</v>
      </c>
      <c r="AE2468">
        <v>0</v>
      </c>
      <c r="AF2468">
        <v>1</v>
      </c>
      <c r="AG2468">
        <v>2</v>
      </c>
      <c r="AH2468">
        <v>0</v>
      </c>
      <c r="AI2468">
        <v>0</v>
      </c>
      <c r="AJ2468">
        <v>15</v>
      </c>
      <c r="AK2468">
        <v>414</v>
      </c>
      <c r="AL2468">
        <v>414</v>
      </c>
      <c r="AM2468">
        <v>575</v>
      </c>
      <c r="AN2468">
        <v>44</v>
      </c>
      <c r="AP2468">
        <v>1</v>
      </c>
      <c r="AR2468" t="s">
        <v>2561</v>
      </c>
      <c r="AS2468" s="1">
        <v>44354.238888888889</v>
      </c>
      <c r="AT2468" s="1">
        <v>44354.242361111108</v>
      </c>
      <c r="AU2468" s="1">
        <v>44354.242928240739</v>
      </c>
      <c r="AV2468" t="s">
        <v>71</v>
      </c>
      <c r="AW2468" t="s">
        <v>72</v>
      </c>
      <c r="AX2468" t="s">
        <v>73</v>
      </c>
    </row>
    <row r="2469" spans="1:50" x14ac:dyDescent="0.3">
      <c r="A2469" t="str">
        <f>"201144E0200"</f>
        <v>201144E0200</v>
      </c>
      <c r="B2469" t="str">
        <f>"201144E02002"</f>
        <v>201144E02002</v>
      </c>
      <c r="C2469" t="str">
        <f t="shared" si="116"/>
        <v>20</v>
      </c>
      <c r="D2469" t="s">
        <v>67</v>
      </c>
      <c r="E2469" t="str">
        <f t="shared" si="115"/>
        <v>011</v>
      </c>
      <c r="F2469" t="s">
        <v>2448</v>
      </c>
      <c r="G2469" t="str">
        <f>"1144"</f>
        <v>1144</v>
      </c>
      <c r="H2469" t="str">
        <f>"0002"</f>
        <v>0002</v>
      </c>
      <c r="I2469" t="s">
        <v>109</v>
      </c>
      <c r="J2469">
        <v>0</v>
      </c>
      <c r="K2469">
        <v>1</v>
      </c>
      <c r="L2469">
        <v>2</v>
      </c>
      <c r="M2469">
        <v>90</v>
      </c>
      <c r="N2469">
        <v>123</v>
      </c>
      <c r="O2469">
        <v>0</v>
      </c>
      <c r="P2469">
        <v>123</v>
      </c>
      <c r="Q2469">
        <v>1</v>
      </c>
      <c r="R2469">
        <v>9</v>
      </c>
      <c r="S2469">
        <v>81</v>
      </c>
      <c r="T2469">
        <v>0</v>
      </c>
      <c r="U2469">
        <v>1</v>
      </c>
      <c r="V2469">
        <v>0</v>
      </c>
      <c r="W2469">
        <v>0</v>
      </c>
      <c r="X2469">
        <v>28</v>
      </c>
      <c r="Y2469">
        <v>0</v>
      </c>
      <c r="Z2469">
        <v>1</v>
      </c>
      <c r="AA2469">
        <v>1</v>
      </c>
      <c r="AB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1</v>
      </c>
      <c r="AK2469">
        <v>123</v>
      </c>
      <c r="AL2469">
        <v>123</v>
      </c>
      <c r="AM2469">
        <v>169</v>
      </c>
      <c r="AN2469">
        <v>44</v>
      </c>
      <c r="AP2469">
        <v>1</v>
      </c>
      <c r="AR2469" t="s">
        <v>2562</v>
      </c>
      <c r="AS2469" s="1">
        <v>44354.241666666669</v>
      </c>
      <c r="AT2469" s="1">
        <v>44354.246261574073</v>
      </c>
      <c r="AU2469" s="1">
        <v>44354.247523148151</v>
      </c>
      <c r="AV2469" t="s">
        <v>71</v>
      </c>
      <c r="AW2469" t="s">
        <v>72</v>
      </c>
      <c r="AX2469" t="s">
        <v>73</v>
      </c>
    </row>
    <row r="2470" spans="1:50" x14ac:dyDescent="0.3">
      <c r="A2470" t="str">
        <f>"201145B0000"</f>
        <v>201145B0000</v>
      </c>
      <c r="B2470" t="str">
        <f>"201145B00002"</f>
        <v>201145B00002</v>
      </c>
      <c r="C2470" t="str">
        <f t="shared" si="116"/>
        <v>20</v>
      </c>
      <c r="D2470" t="s">
        <v>67</v>
      </c>
      <c r="E2470" t="str">
        <f t="shared" si="115"/>
        <v>011</v>
      </c>
      <c r="F2470" t="s">
        <v>2448</v>
      </c>
      <c r="G2470" t="str">
        <f>"1145"</f>
        <v>1145</v>
      </c>
      <c r="H2470" t="str">
        <f>"0000"</f>
        <v>0000</v>
      </c>
      <c r="I2470" t="s">
        <v>69</v>
      </c>
      <c r="J2470">
        <v>0</v>
      </c>
      <c r="K2470">
        <v>1</v>
      </c>
      <c r="L2470">
        <v>2</v>
      </c>
      <c r="M2470">
        <v>255</v>
      </c>
      <c r="N2470">
        <v>387</v>
      </c>
      <c r="O2470">
        <v>7</v>
      </c>
      <c r="P2470">
        <v>387</v>
      </c>
      <c r="Q2470">
        <v>3</v>
      </c>
      <c r="R2470">
        <v>26</v>
      </c>
      <c r="S2470">
        <v>25</v>
      </c>
      <c r="T2470">
        <v>1</v>
      </c>
      <c r="U2470">
        <v>2</v>
      </c>
      <c r="V2470">
        <v>45</v>
      </c>
      <c r="W2470">
        <v>1</v>
      </c>
      <c r="X2470">
        <v>148</v>
      </c>
      <c r="Y2470">
        <v>2</v>
      </c>
      <c r="Z2470">
        <v>9</v>
      </c>
      <c r="AA2470">
        <v>11</v>
      </c>
      <c r="AB2470">
        <v>4</v>
      </c>
      <c r="AD2470">
        <v>0</v>
      </c>
      <c r="AE2470">
        <v>0</v>
      </c>
      <c r="AF2470">
        <v>0</v>
      </c>
      <c r="AG2470">
        <v>1</v>
      </c>
      <c r="AH2470">
        <v>0</v>
      </c>
      <c r="AI2470">
        <v>1</v>
      </c>
      <c r="AJ2470">
        <v>8</v>
      </c>
      <c r="AK2470">
        <v>387</v>
      </c>
      <c r="AL2470">
        <v>287</v>
      </c>
      <c r="AM2470">
        <v>598</v>
      </c>
      <c r="AN2470">
        <v>44</v>
      </c>
      <c r="AP2470">
        <v>1</v>
      </c>
      <c r="AR2470" t="s">
        <v>2563</v>
      </c>
      <c r="AS2470" s="1">
        <v>44354.23333333333</v>
      </c>
      <c r="AT2470" s="1">
        <v>44354.244201388887</v>
      </c>
      <c r="AU2470" s="1">
        <v>44354.284039351849</v>
      </c>
      <c r="AV2470" t="s">
        <v>71</v>
      </c>
      <c r="AW2470" t="s">
        <v>72</v>
      </c>
      <c r="AX2470" t="s">
        <v>73</v>
      </c>
    </row>
    <row r="2471" spans="1:50" x14ac:dyDescent="0.3">
      <c r="A2471" t="str">
        <f>"201145E0100"</f>
        <v>201145E0100</v>
      </c>
      <c r="B2471" t="str">
        <f>"201145E01002"</f>
        <v>201145E01002</v>
      </c>
      <c r="C2471" t="str">
        <f t="shared" si="116"/>
        <v>20</v>
      </c>
      <c r="D2471" t="s">
        <v>67</v>
      </c>
      <c r="E2471" t="str">
        <f t="shared" si="115"/>
        <v>011</v>
      </c>
      <c r="F2471" t="s">
        <v>2448</v>
      </c>
      <c r="G2471" t="str">
        <f>"1145"</f>
        <v>1145</v>
      </c>
      <c r="H2471" t="str">
        <f>"0001"</f>
        <v>0001</v>
      </c>
      <c r="I2471" t="s">
        <v>109</v>
      </c>
      <c r="J2471">
        <v>0</v>
      </c>
      <c r="K2471">
        <v>1</v>
      </c>
      <c r="L2471">
        <v>2</v>
      </c>
      <c r="M2471">
        <v>152</v>
      </c>
      <c r="N2471">
        <v>244</v>
      </c>
      <c r="O2471">
        <v>0</v>
      </c>
      <c r="P2471">
        <v>244</v>
      </c>
      <c r="Q2471">
        <v>1</v>
      </c>
      <c r="R2471">
        <v>17</v>
      </c>
      <c r="S2471">
        <v>113</v>
      </c>
      <c r="T2471">
        <v>0</v>
      </c>
      <c r="U2471">
        <v>4</v>
      </c>
      <c r="V2471">
        <v>1</v>
      </c>
      <c r="W2471">
        <v>1</v>
      </c>
      <c r="X2471">
        <v>89</v>
      </c>
      <c r="Y2471">
        <v>0</v>
      </c>
      <c r="Z2471">
        <v>1</v>
      </c>
      <c r="AA2471">
        <v>10</v>
      </c>
      <c r="AB2471">
        <v>0</v>
      </c>
      <c r="AD2471">
        <v>1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6</v>
      </c>
      <c r="AK2471">
        <v>244</v>
      </c>
      <c r="AL2471">
        <v>244</v>
      </c>
      <c r="AM2471">
        <v>352</v>
      </c>
      <c r="AN2471">
        <v>44</v>
      </c>
      <c r="AP2471">
        <v>1</v>
      </c>
      <c r="AR2471" t="s">
        <v>2564</v>
      </c>
      <c r="AS2471" s="1">
        <v>44354.262499999997</v>
      </c>
      <c r="AT2471" s="1">
        <v>44354.267650462964</v>
      </c>
      <c r="AU2471" s="1">
        <v>44354.269062500003</v>
      </c>
      <c r="AV2471" t="s">
        <v>71</v>
      </c>
      <c r="AW2471" t="s">
        <v>72</v>
      </c>
      <c r="AX2471" t="s">
        <v>73</v>
      </c>
    </row>
    <row r="2472" spans="1:50" x14ac:dyDescent="0.3">
      <c r="A2472" t="str">
        <f>"201146B0000"</f>
        <v>201146B0000</v>
      </c>
      <c r="B2472" t="str">
        <f>"201146B00002"</f>
        <v>201146B00002</v>
      </c>
      <c r="C2472" t="str">
        <f t="shared" si="116"/>
        <v>20</v>
      </c>
      <c r="D2472" t="s">
        <v>67</v>
      </c>
      <c r="E2472" t="str">
        <f t="shared" si="115"/>
        <v>011</v>
      </c>
      <c r="F2472" t="s">
        <v>2448</v>
      </c>
      <c r="G2472" t="str">
        <f>"1146"</f>
        <v>1146</v>
      </c>
      <c r="H2472" t="str">
        <f>"0000"</f>
        <v>0000</v>
      </c>
      <c r="I2472" t="s">
        <v>69</v>
      </c>
      <c r="J2472">
        <v>0</v>
      </c>
      <c r="K2472">
        <v>1</v>
      </c>
      <c r="L2472">
        <v>2</v>
      </c>
      <c r="M2472">
        <v>83</v>
      </c>
      <c r="N2472">
        <v>132</v>
      </c>
      <c r="O2472">
        <v>0</v>
      </c>
      <c r="P2472">
        <v>132</v>
      </c>
      <c r="Q2472">
        <v>0</v>
      </c>
      <c r="R2472">
        <v>0</v>
      </c>
      <c r="S2472">
        <v>88</v>
      </c>
      <c r="T2472">
        <v>0</v>
      </c>
      <c r="U2472">
        <v>3</v>
      </c>
      <c r="V2472">
        <v>2</v>
      </c>
      <c r="W2472">
        <v>1</v>
      </c>
      <c r="X2472">
        <v>31</v>
      </c>
      <c r="Y2472">
        <v>0</v>
      </c>
      <c r="Z2472">
        <v>1</v>
      </c>
      <c r="AA2472">
        <v>2</v>
      </c>
      <c r="AB2472">
        <v>0</v>
      </c>
      <c r="AD2472">
        <v>0</v>
      </c>
      <c r="AE2472">
        <v>0</v>
      </c>
      <c r="AF2472">
        <v>1</v>
      </c>
      <c r="AG2472">
        <v>0</v>
      </c>
      <c r="AH2472">
        <v>0</v>
      </c>
      <c r="AI2472">
        <v>0</v>
      </c>
      <c r="AJ2472">
        <v>3</v>
      </c>
      <c r="AK2472">
        <v>132</v>
      </c>
      <c r="AL2472">
        <v>132</v>
      </c>
      <c r="AM2472">
        <v>171</v>
      </c>
      <c r="AN2472">
        <v>44</v>
      </c>
      <c r="AP2472">
        <v>1</v>
      </c>
      <c r="AR2472" t="s">
        <v>2565</v>
      </c>
      <c r="AS2472" s="1">
        <v>44354.146527777775</v>
      </c>
      <c r="AT2472" s="1">
        <v>44354.1484837963</v>
      </c>
      <c r="AU2472" s="1">
        <v>44354.149375000001</v>
      </c>
      <c r="AV2472" t="s">
        <v>71</v>
      </c>
      <c r="AW2472" t="s">
        <v>72</v>
      </c>
      <c r="AX2472" t="s">
        <v>73</v>
      </c>
    </row>
    <row r="2473" spans="1:50" x14ac:dyDescent="0.3">
      <c r="A2473" t="str">
        <f>"201146E0100"</f>
        <v>201146E0100</v>
      </c>
      <c r="B2473" t="str">
        <f>"201146E01002"</f>
        <v>201146E01002</v>
      </c>
      <c r="C2473" t="str">
        <f t="shared" si="116"/>
        <v>20</v>
      </c>
      <c r="D2473" t="s">
        <v>67</v>
      </c>
      <c r="E2473" t="str">
        <f t="shared" si="115"/>
        <v>011</v>
      </c>
      <c r="F2473" t="s">
        <v>2448</v>
      </c>
      <c r="G2473" t="str">
        <f>"1146"</f>
        <v>1146</v>
      </c>
      <c r="H2473" t="str">
        <f>"0001"</f>
        <v>0001</v>
      </c>
      <c r="I2473" t="s">
        <v>109</v>
      </c>
      <c r="J2473">
        <v>0</v>
      </c>
      <c r="K2473">
        <v>1</v>
      </c>
      <c r="L2473">
        <v>2</v>
      </c>
      <c r="M2473">
        <v>77</v>
      </c>
      <c r="N2473">
        <v>170</v>
      </c>
      <c r="O2473">
        <v>1</v>
      </c>
      <c r="P2473">
        <v>170</v>
      </c>
      <c r="Q2473">
        <v>0</v>
      </c>
      <c r="R2473">
        <v>10</v>
      </c>
      <c r="S2473">
        <v>76</v>
      </c>
      <c r="T2473">
        <v>1</v>
      </c>
      <c r="U2473">
        <v>0</v>
      </c>
      <c r="V2473">
        <v>2</v>
      </c>
      <c r="W2473">
        <v>1</v>
      </c>
      <c r="X2473">
        <v>73</v>
      </c>
      <c r="Y2473">
        <v>0</v>
      </c>
      <c r="Z2473">
        <v>2</v>
      </c>
      <c r="AA2473">
        <v>0</v>
      </c>
      <c r="AB2473">
        <v>1</v>
      </c>
      <c r="AD2473" t="s">
        <v>77</v>
      </c>
      <c r="AE2473" t="s">
        <v>77</v>
      </c>
      <c r="AF2473" t="s">
        <v>77</v>
      </c>
      <c r="AG2473" t="s">
        <v>77</v>
      </c>
      <c r="AH2473" t="s">
        <v>77</v>
      </c>
      <c r="AI2473" t="s">
        <v>77</v>
      </c>
      <c r="AJ2473">
        <v>4</v>
      </c>
      <c r="AK2473">
        <v>170</v>
      </c>
      <c r="AL2473">
        <v>170</v>
      </c>
      <c r="AM2473">
        <v>203</v>
      </c>
      <c r="AN2473">
        <v>44</v>
      </c>
      <c r="AO2473" t="s">
        <v>78</v>
      </c>
      <c r="AP2473">
        <v>1</v>
      </c>
      <c r="AR2473" t="s">
        <v>2566</v>
      </c>
      <c r="AS2473" s="1">
        <v>44354.212500000001</v>
      </c>
      <c r="AT2473" s="1">
        <v>44354.217916666668</v>
      </c>
      <c r="AU2473" s="1">
        <v>44354.218321759261</v>
      </c>
      <c r="AV2473" t="s">
        <v>71</v>
      </c>
      <c r="AW2473" t="s">
        <v>72</v>
      </c>
      <c r="AX2473" t="s">
        <v>73</v>
      </c>
    </row>
    <row r="2474" spans="1:50" x14ac:dyDescent="0.3">
      <c r="A2474" t="str">
        <f>"201146E0200"</f>
        <v>201146E0200</v>
      </c>
      <c r="B2474" t="str">
        <f>"201146E02002"</f>
        <v>201146E02002</v>
      </c>
      <c r="C2474" t="str">
        <f t="shared" si="116"/>
        <v>20</v>
      </c>
      <c r="D2474" t="s">
        <v>67</v>
      </c>
      <c r="E2474" t="str">
        <f t="shared" si="115"/>
        <v>011</v>
      </c>
      <c r="F2474" t="s">
        <v>2448</v>
      </c>
      <c r="G2474" t="str">
        <f>"1146"</f>
        <v>1146</v>
      </c>
      <c r="H2474" t="str">
        <f>"0002"</f>
        <v>0002</v>
      </c>
      <c r="I2474" t="s">
        <v>109</v>
      </c>
      <c r="J2474">
        <v>0</v>
      </c>
      <c r="K2474">
        <v>1</v>
      </c>
      <c r="L2474">
        <v>2</v>
      </c>
      <c r="M2474">
        <v>85</v>
      </c>
      <c r="N2474">
        <v>158</v>
      </c>
      <c r="O2474">
        <v>1</v>
      </c>
      <c r="P2474">
        <v>158</v>
      </c>
      <c r="Q2474">
        <v>0</v>
      </c>
      <c r="R2474">
        <v>2</v>
      </c>
      <c r="S2474">
        <v>133</v>
      </c>
      <c r="T2474">
        <v>0</v>
      </c>
      <c r="U2474">
        <v>0</v>
      </c>
      <c r="V2474">
        <v>1</v>
      </c>
      <c r="W2474">
        <v>1</v>
      </c>
      <c r="X2474">
        <v>3</v>
      </c>
      <c r="Y2474">
        <v>0</v>
      </c>
      <c r="Z2474">
        <v>0</v>
      </c>
      <c r="AA2474">
        <v>13</v>
      </c>
      <c r="AB2474">
        <v>4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1</v>
      </c>
      <c r="AK2474">
        <v>158</v>
      </c>
      <c r="AL2474">
        <v>158</v>
      </c>
      <c r="AM2474">
        <v>199</v>
      </c>
      <c r="AN2474">
        <v>44</v>
      </c>
      <c r="AP2474">
        <v>1</v>
      </c>
      <c r="AR2474" t="s">
        <v>2567</v>
      </c>
      <c r="AS2474" s="1">
        <v>44354.143750000003</v>
      </c>
      <c r="AT2474" s="1">
        <v>44354.146469907406</v>
      </c>
      <c r="AU2474" s="1">
        <v>44354.146782407406</v>
      </c>
      <c r="AV2474" t="s">
        <v>71</v>
      </c>
      <c r="AW2474" t="s">
        <v>72</v>
      </c>
      <c r="AX2474" t="s">
        <v>73</v>
      </c>
    </row>
    <row r="2475" spans="1:50" x14ac:dyDescent="0.3">
      <c r="A2475" t="str">
        <f>"201147B0000"</f>
        <v>201147B0000</v>
      </c>
      <c r="B2475" t="str">
        <f>"201147B00002"</f>
        <v>201147B00002</v>
      </c>
      <c r="C2475" t="str">
        <f t="shared" si="116"/>
        <v>20</v>
      </c>
      <c r="D2475" t="s">
        <v>67</v>
      </c>
      <c r="E2475" t="str">
        <f t="shared" si="115"/>
        <v>011</v>
      </c>
      <c r="F2475" t="s">
        <v>2448</v>
      </c>
      <c r="G2475" t="str">
        <f>"1147"</f>
        <v>1147</v>
      </c>
      <c r="H2475" t="str">
        <f>"0000"</f>
        <v>0000</v>
      </c>
      <c r="I2475" t="s">
        <v>69</v>
      </c>
      <c r="J2475">
        <v>0</v>
      </c>
      <c r="K2475">
        <v>1</v>
      </c>
      <c r="L2475">
        <v>2</v>
      </c>
      <c r="M2475">
        <v>105</v>
      </c>
      <c r="N2475">
        <v>191</v>
      </c>
      <c r="O2475">
        <v>0</v>
      </c>
      <c r="P2475">
        <v>191</v>
      </c>
      <c r="Q2475">
        <v>0</v>
      </c>
      <c r="R2475">
        <v>8</v>
      </c>
      <c r="S2475">
        <v>54</v>
      </c>
      <c r="T2475">
        <v>1</v>
      </c>
      <c r="U2475">
        <v>0</v>
      </c>
      <c r="V2475">
        <v>1</v>
      </c>
      <c r="W2475">
        <v>1</v>
      </c>
      <c r="X2475">
        <v>57</v>
      </c>
      <c r="Y2475">
        <v>0</v>
      </c>
      <c r="Z2475">
        <v>1</v>
      </c>
      <c r="AA2475">
        <v>27</v>
      </c>
      <c r="AB2475">
        <v>36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5</v>
      </c>
      <c r="AK2475">
        <v>0</v>
      </c>
      <c r="AL2475">
        <v>191</v>
      </c>
      <c r="AM2475">
        <v>252</v>
      </c>
      <c r="AN2475">
        <v>44</v>
      </c>
      <c r="AP2475">
        <v>1</v>
      </c>
      <c r="AR2475" t="s">
        <v>2568</v>
      </c>
      <c r="AS2475" s="1">
        <v>44354.212500000001</v>
      </c>
      <c r="AT2475" s="1">
        <v>44354.21638888889</v>
      </c>
      <c r="AU2475" s="1">
        <v>44354.217164351852</v>
      </c>
      <c r="AV2475" t="s">
        <v>71</v>
      </c>
      <c r="AW2475" t="s">
        <v>72</v>
      </c>
      <c r="AX2475" t="s">
        <v>73</v>
      </c>
    </row>
    <row r="2476" spans="1:50" x14ac:dyDescent="0.3">
      <c r="A2476" t="str">
        <f>"201147E0100"</f>
        <v>201147E0100</v>
      </c>
      <c r="B2476" t="str">
        <f>"201147E01002"</f>
        <v>201147E01002</v>
      </c>
      <c r="C2476" t="str">
        <f t="shared" si="116"/>
        <v>20</v>
      </c>
      <c r="D2476" t="s">
        <v>67</v>
      </c>
      <c r="E2476" t="str">
        <f t="shared" si="115"/>
        <v>011</v>
      </c>
      <c r="F2476" t="s">
        <v>2448</v>
      </c>
      <c r="G2476" t="str">
        <f>"1147"</f>
        <v>1147</v>
      </c>
      <c r="H2476" t="str">
        <f>"0001"</f>
        <v>0001</v>
      </c>
      <c r="I2476" t="s">
        <v>109</v>
      </c>
      <c r="J2476">
        <v>0</v>
      </c>
      <c r="K2476">
        <v>1</v>
      </c>
      <c r="L2476">
        <v>2</v>
      </c>
      <c r="M2476">
        <v>176</v>
      </c>
      <c r="N2476">
        <v>233</v>
      </c>
      <c r="O2476">
        <v>0</v>
      </c>
      <c r="P2476">
        <v>233</v>
      </c>
      <c r="Q2476">
        <v>3</v>
      </c>
      <c r="R2476">
        <v>29</v>
      </c>
      <c r="S2476">
        <v>88</v>
      </c>
      <c r="T2476">
        <v>0</v>
      </c>
      <c r="U2476">
        <v>8</v>
      </c>
      <c r="V2476">
        <v>2</v>
      </c>
      <c r="W2476">
        <v>0</v>
      </c>
      <c r="X2476">
        <v>43</v>
      </c>
      <c r="Y2476">
        <v>0</v>
      </c>
      <c r="Z2476">
        <v>1</v>
      </c>
      <c r="AA2476">
        <v>23</v>
      </c>
      <c r="AB2476">
        <v>32</v>
      </c>
      <c r="AD2476">
        <v>0</v>
      </c>
      <c r="AE2476">
        <v>1</v>
      </c>
      <c r="AF2476">
        <v>0</v>
      </c>
      <c r="AG2476">
        <v>0</v>
      </c>
      <c r="AH2476">
        <v>0</v>
      </c>
      <c r="AI2476">
        <v>0</v>
      </c>
      <c r="AJ2476">
        <v>3</v>
      </c>
      <c r="AK2476">
        <v>233</v>
      </c>
      <c r="AL2476">
        <v>233</v>
      </c>
      <c r="AM2476">
        <v>365</v>
      </c>
      <c r="AN2476">
        <v>44</v>
      </c>
      <c r="AP2476">
        <v>1</v>
      </c>
      <c r="AR2476" t="s">
        <v>2569</v>
      </c>
      <c r="AS2476" s="1">
        <v>44354.212500000001</v>
      </c>
      <c r="AT2476" s="1">
        <v>44354.217615740738</v>
      </c>
      <c r="AU2476" s="1">
        <v>44354.218043981484</v>
      </c>
      <c r="AV2476" t="s">
        <v>71</v>
      </c>
      <c r="AW2476" t="s">
        <v>72</v>
      </c>
      <c r="AX2476" t="s">
        <v>73</v>
      </c>
    </row>
    <row r="2477" spans="1:50" x14ac:dyDescent="0.3">
      <c r="A2477" t="str">
        <f>"201147E0200"</f>
        <v>201147E0200</v>
      </c>
      <c r="B2477" t="str">
        <f>"201147E02002"</f>
        <v>201147E02002</v>
      </c>
      <c r="C2477" t="str">
        <f t="shared" si="116"/>
        <v>20</v>
      </c>
      <c r="D2477" t="s">
        <v>67</v>
      </c>
      <c r="E2477" t="str">
        <f t="shared" si="115"/>
        <v>011</v>
      </c>
      <c r="F2477" t="s">
        <v>2448</v>
      </c>
      <c r="G2477" t="str">
        <f>"1147"</f>
        <v>1147</v>
      </c>
      <c r="H2477" t="str">
        <f>"0002"</f>
        <v>0002</v>
      </c>
      <c r="I2477" t="s">
        <v>109</v>
      </c>
      <c r="J2477">
        <v>0</v>
      </c>
      <c r="K2477">
        <v>1</v>
      </c>
      <c r="L2477">
        <v>2</v>
      </c>
      <c r="M2477">
        <v>78</v>
      </c>
      <c r="N2477">
        <v>146</v>
      </c>
      <c r="O2477">
        <v>0</v>
      </c>
      <c r="P2477">
        <v>146</v>
      </c>
      <c r="Q2477">
        <v>1</v>
      </c>
      <c r="R2477">
        <v>3</v>
      </c>
      <c r="S2477">
        <v>68</v>
      </c>
      <c r="T2477">
        <v>0</v>
      </c>
      <c r="U2477">
        <v>1</v>
      </c>
      <c r="V2477">
        <v>0</v>
      </c>
      <c r="W2477">
        <v>0</v>
      </c>
      <c r="X2477">
        <v>41</v>
      </c>
      <c r="Y2477">
        <v>0</v>
      </c>
      <c r="Z2477">
        <v>1</v>
      </c>
      <c r="AA2477">
        <v>31</v>
      </c>
      <c r="AB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146</v>
      </c>
      <c r="AL2477">
        <v>146</v>
      </c>
      <c r="AM2477">
        <v>180</v>
      </c>
      <c r="AN2477">
        <v>44</v>
      </c>
      <c r="AP2477">
        <v>1</v>
      </c>
      <c r="AR2477" t="s">
        <v>2570</v>
      </c>
      <c r="AS2477" s="1">
        <v>44354.212500000001</v>
      </c>
      <c r="AT2477" s="1">
        <v>44354.216412037036</v>
      </c>
      <c r="AU2477" s="1">
        <v>44354.216921296298</v>
      </c>
      <c r="AV2477" t="s">
        <v>71</v>
      </c>
      <c r="AW2477" t="s">
        <v>72</v>
      </c>
      <c r="AX2477" t="s">
        <v>73</v>
      </c>
    </row>
    <row r="2478" spans="1:50" x14ac:dyDescent="0.3">
      <c r="A2478" t="str">
        <f>"201148B0000"</f>
        <v>201148B0000</v>
      </c>
      <c r="B2478" t="str">
        <f>"201148B00002"</f>
        <v>201148B00002</v>
      </c>
      <c r="C2478" t="str">
        <f t="shared" si="116"/>
        <v>20</v>
      </c>
      <c r="D2478" t="s">
        <v>67</v>
      </c>
      <c r="E2478" t="str">
        <f t="shared" si="115"/>
        <v>011</v>
      </c>
      <c r="F2478" t="s">
        <v>2448</v>
      </c>
      <c r="G2478" t="str">
        <f>"1148"</f>
        <v>1148</v>
      </c>
      <c r="H2478" t="str">
        <f>"0000"</f>
        <v>0000</v>
      </c>
      <c r="I2478" t="s">
        <v>69</v>
      </c>
      <c r="J2478">
        <v>0</v>
      </c>
      <c r="K2478">
        <v>1</v>
      </c>
      <c r="L2478">
        <v>2</v>
      </c>
      <c r="M2478">
        <v>244</v>
      </c>
      <c r="N2478">
        <v>445</v>
      </c>
      <c r="O2478" t="s">
        <v>80</v>
      </c>
      <c r="P2478">
        <v>445</v>
      </c>
      <c r="Q2478">
        <v>2</v>
      </c>
      <c r="R2478">
        <v>19</v>
      </c>
      <c r="S2478">
        <v>223</v>
      </c>
      <c r="T2478">
        <v>1</v>
      </c>
      <c r="U2478">
        <v>6</v>
      </c>
      <c r="V2478">
        <v>10</v>
      </c>
      <c r="W2478">
        <v>2</v>
      </c>
      <c r="X2478">
        <v>122</v>
      </c>
      <c r="Y2478">
        <v>4</v>
      </c>
      <c r="Z2478">
        <v>3</v>
      </c>
      <c r="AA2478">
        <v>8</v>
      </c>
      <c r="AB2478">
        <v>35</v>
      </c>
      <c r="AD2478">
        <v>1</v>
      </c>
      <c r="AE2478">
        <v>0</v>
      </c>
      <c r="AF2478">
        <v>0</v>
      </c>
      <c r="AG2478">
        <v>2</v>
      </c>
      <c r="AH2478">
        <v>0</v>
      </c>
      <c r="AI2478">
        <v>2</v>
      </c>
      <c r="AJ2478">
        <v>9</v>
      </c>
      <c r="AK2478">
        <v>445</v>
      </c>
      <c r="AL2478">
        <v>449</v>
      </c>
      <c r="AM2478">
        <v>645</v>
      </c>
      <c r="AN2478">
        <v>44</v>
      </c>
      <c r="AP2478">
        <v>1</v>
      </c>
      <c r="AR2478" t="s">
        <v>2571</v>
      </c>
      <c r="AS2478" s="1">
        <v>44354.254166666666</v>
      </c>
      <c r="AT2478" s="1">
        <v>44354.259062500001</v>
      </c>
      <c r="AU2478" s="1">
        <v>44354.259525462963</v>
      </c>
      <c r="AV2478" t="s">
        <v>71</v>
      </c>
      <c r="AW2478" t="s">
        <v>72</v>
      </c>
      <c r="AX2478" t="s">
        <v>73</v>
      </c>
    </row>
    <row r="2479" spans="1:50" x14ac:dyDescent="0.3">
      <c r="A2479" t="str">
        <f>"201148E0100"</f>
        <v>201148E0100</v>
      </c>
      <c r="B2479" t="str">
        <f>"201148E01002"</f>
        <v>201148E01002</v>
      </c>
      <c r="C2479" t="str">
        <f t="shared" si="116"/>
        <v>20</v>
      </c>
      <c r="D2479" t="s">
        <v>67</v>
      </c>
      <c r="E2479" t="str">
        <f t="shared" si="115"/>
        <v>011</v>
      </c>
      <c r="F2479" t="s">
        <v>2448</v>
      </c>
      <c r="G2479" t="str">
        <f>"1148"</f>
        <v>1148</v>
      </c>
      <c r="H2479" t="str">
        <f>"0001"</f>
        <v>0001</v>
      </c>
      <c r="I2479" t="s">
        <v>109</v>
      </c>
      <c r="J2479">
        <v>0</v>
      </c>
      <c r="K2479">
        <v>1</v>
      </c>
      <c r="L2479">
        <v>2</v>
      </c>
      <c r="M2479">
        <v>63</v>
      </c>
      <c r="N2479">
        <v>80</v>
      </c>
      <c r="O2479">
        <v>0</v>
      </c>
      <c r="P2479">
        <v>80</v>
      </c>
      <c r="Q2479" t="s">
        <v>77</v>
      </c>
      <c r="R2479">
        <v>7</v>
      </c>
      <c r="S2479">
        <v>45</v>
      </c>
      <c r="T2479" t="s">
        <v>77</v>
      </c>
      <c r="U2479" t="s">
        <v>77</v>
      </c>
      <c r="V2479" t="s">
        <v>77</v>
      </c>
      <c r="W2479" t="s">
        <v>77</v>
      </c>
      <c r="X2479">
        <v>27</v>
      </c>
      <c r="Y2479" t="s">
        <v>77</v>
      </c>
      <c r="Z2479" t="s">
        <v>77</v>
      </c>
      <c r="AA2479" t="s">
        <v>77</v>
      </c>
      <c r="AB2479" t="s">
        <v>77</v>
      </c>
      <c r="AD2479">
        <v>1</v>
      </c>
      <c r="AE2479" t="s">
        <v>77</v>
      </c>
      <c r="AF2479" t="s">
        <v>77</v>
      </c>
      <c r="AG2479" t="s">
        <v>77</v>
      </c>
      <c r="AH2479" t="s">
        <v>77</v>
      </c>
      <c r="AI2479" t="s">
        <v>77</v>
      </c>
      <c r="AJ2479" t="s">
        <v>77</v>
      </c>
      <c r="AK2479" t="s">
        <v>77</v>
      </c>
      <c r="AL2479">
        <v>80</v>
      </c>
      <c r="AM2479">
        <v>99</v>
      </c>
      <c r="AN2479">
        <v>44</v>
      </c>
      <c r="AO2479" t="s">
        <v>78</v>
      </c>
      <c r="AP2479">
        <v>1</v>
      </c>
      <c r="AR2479" t="s">
        <v>2572</v>
      </c>
      <c r="AS2479" s="1">
        <v>44354.254861111112</v>
      </c>
      <c r="AT2479" s="1">
        <v>44354.260497685187</v>
      </c>
      <c r="AU2479" s="1">
        <v>44354.260914351849</v>
      </c>
      <c r="AV2479" t="s">
        <v>71</v>
      </c>
      <c r="AW2479" t="s">
        <v>72</v>
      </c>
      <c r="AX2479" t="s">
        <v>73</v>
      </c>
    </row>
    <row r="2480" spans="1:50" x14ac:dyDescent="0.3">
      <c r="A2480" t="str">
        <f>"201149B0000"</f>
        <v>201149B0000</v>
      </c>
      <c r="B2480" t="str">
        <f>"201149B00002"</f>
        <v>201149B00002</v>
      </c>
      <c r="C2480" t="str">
        <f t="shared" si="116"/>
        <v>20</v>
      </c>
      <c r="D2480" t="s">
        <v>67</v>
      </c>
      <c r="E2480" t="str">
        <f t="shared" si="115"/>
        <v>011</v>
      </c>
      <c r="F2480" t="s">
        <v>2448</v>
      </c>
      <c r="G2480" t="str">
        <f>"1149"</f>
        <v>1149</v>
      </c>
      <c r="H2480" t="str">
        <f>"0000"</f>
        <v>0000</v>
      </c>
      <c r="I2480" t="s">
        <v>69</v>
      </c>
      <c r="J2480">
        <v>0</v>
      </c>
      <c r="K2480">
        <v>1</v>
      </c>
      <c r="L2480">
        <v>2</v>
      </c>
      <c r="M2480">
        <v>153</v>
      </c>
      <c r="N2480">
        <v>324</v>
      </c>
      <c r="O2480">
        <v>0</v>
      </c>
      <c r="P2480">
        <v>324</v>
      </c>
      <c r="Q2480">
        <v>3</v>
      </c>
      <c r="R2480">
        <v>12</v>
      </c>
      <c r="S2480">
        <v>103</v>
      </c>
      <c r="T2480">
        <v>1</v>
      </c>
      <c r="U2480">
        <v>8</v>
      </c>
      <c r="V2480">
        <v>15</v>
      </c>
      <c r="W2480">
        <v>4</v>
      </c>
      <c r="X2480">
        <v>82</v>
      </c>
      <c r="Y2480">
        <v>0</v>
      </c>
      <c r="Z2480">
        <v>0</v>
      </c>
      <c r="AA2480">
        <v>32</v>
      </c>
      <c r="AB2480">
        <v>50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14</v>
      </c>
      <c r="AK2480">
        <v>324</v>
      </c>
      <c r="AL2480">
        <v>324</v>
      </c>
      <c r="AM2480">
        <v>433</v>
      </c>
      <c r="AN2480">
        <v>44</v>
      </c>
      <c r="AP2480">
        <v>1</v>
      </c>
      <c r="AR2480" t="s">
        <v>2573</v>
      </c>
      <c r="AS2480" s="1">
        <v>44354.15</v>
      </c>
      <c r="AT2480" s="1">
        <v>44354.153877314813</v>
      </c>
      <c r="AU2480" s="1">
        <v>44354.154317129629</v>
      </c>
      <c r="AV2480" t="s">
        <v>71</v>
      </c>
      <c r="AW2480" t="s">
        <v>72</v>
      </c>
      <c r="AX2480" t="s">
        <v>73</v>
      </c>
    </row>
    <row r="2481" spans="1:50" x14ac:dyDescent="0.3">
      <c r="A2481" t="str">
        <f>"201149C0100"</f>
        <v>201149C0100</v>
      </c>
      <c r="B2481" t="str">
        <f>"201149C01002"</f>
        <v>201149C01002</v>
      </c>
      <c r="C2481" t="str">
        <f t="shared" si="116"/>
        <v>20</v>
      </c>
      <c r="D2481" t="s">
        <v>67</v>
      </c>
      <c r="E2481" t="str">
        <f t="shared" si="115"/>
        <v>011</v>
      </c>
      <c r="F2481" t="s">
        <v>2448</v>
      </c>
      <c r="G2481" t="str">
        <f>"1149"</f>
        <v>1149</v>
      </c>
      <c r="H2481" t="str">
        <f>"0001"</f>
        <v>0001</v>
      </c>
      <c r="I2481" t="s">
        <v>75</v>
      </c>
      <c r="J2481">
        <v>0</v>
      </c>
      <c r="K2481">
        <v>1</v>
      </c>
      <c r="L2481">
        <v>2</v>
      </c>
      <c r="M2481">
        <v>138</v>
      </c>
      <c r="N2481">
        <v>339</v>
      </c>
      <c r="O2481">
        <v>1</v>
      </c>
      <c r="P2481">
        <v>339</v>
      </c>
      <c r="Q2481">
        <v>2</v>
      </c>
      <c r="R2481">
        <v>5</v>
      </c>
      <c r="S2481">
        <v>95</v>
      </c>
      <c r="T2481">
        <v>2</v>
      </c>
      <c r="U2481">
        <v>12</v>
      </c>
      <c r="V2481">
        <v>14</v>
      </c>
      <c r="W2481">
        <v>8</v>
      </c>
      <c r="X2481">
        <v>87</v>
      </c>
      <c r="Y2481">
        <v>0</v>
      </c>
      <c r="Z2481">
        <v>1</v>
      </c>
      <c r="AA2481">
        <v>31</v>
      </c>
      <c r="AB2481">
        <v>71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11</v>
      </c>
      <c r="AK2481">
        <v>339</v>
      </c>
      <c r="AL2481">
        <v>339</v>
      </c>
      <c r="AM2481">
        <v>433</v>
      </c>
      <c r="AN2481">
        <v>44</v>
      </c>
      <c r="AP2481">
        <v>1</v>
      </c>
      <c r="AR2481" t="s">
        <v>2574</v>
      </c>
      <c r="AS2481" s="1">
        <v>44354.144444444442</v>
      </c>
      <c r="AT2481" s="1">
        <v>44354.146620370368</v>
      </c>
      <c r="AU2481" s="1">
        <v>44354.147418981483</v>
      </c>
      <c r="AV2481" t="s">
        <v>71</v>
      </c>
      <c r="AW2481" t="s">
        <v>72</v>
      </c>
      <c r="AX2481" t="s">
        <v>73</v>
      </c>
    </row>
    <row r="2482" spans="1:50" x14ac:dyDescent="0.3">
      <c r="A2482" t="str">
        <f>"201150B0000"</f>
        <v>201150B0000</v>
      </c>
      <c r="B2482" t="str">
        <f>"201150B00002"</f>
        <v>201150B00002</v>
      </c>
      <c r="C2482" t="str">
        <f t="shared" si="116"/>
        <v>20</v>
      </c>
      <c r="D2482" t="s">
        <v>67</v>
      </c>
      <c r="E2482" t="str">
        <f t="shared" si="115"/>
        <v>011</v>
      </c>
      <c r="F2482" t="s">
        <v>2448</v>
      </c>
      <c r="G2482" t="str">
        <f>"1150"</f>
        <v>1150</v>
      </c>
      <c r="H2482" t="str">
        <f>"0000"</f>
        <v>0000</v>
      </c>
      <c r="I2482" t="s">
        <v>69</v>
      </c>
      <c r="J2482">
        <v>0</v>
      </c>
      <c r="K2482">
        <v>1</v>
      </c>
      <c r="L2482">
        <v>2</v>
      </c>
      <c r="M2482">
        <v>203</v>
      </c>
      <c r="N2482">
        <v>285</v>
      </c>
      <c r="O2482">
        <v>0</v>
      </c>
      <c r="P2482">
        <v>285</v>
      </c>
      <c r="Q2482">
        <v>3</v>
      </c>
      <c r="R2482">
        <v>17</v>
      </c>
      <c r="S2482">
        <v>107</v>
      </c>
      <c r="T2482">
        <v>2</v>
      </c>
      <c r="U2482">
        <v>5</v>
      </c>
      <c r="V2482">
        <v>6</v>
      </c>
      <c r="W2482">
        <v>0</v>
      </c>
      <c r="X2482">
        <v>80</v>
      </c>
      <c r="Y2482">
        <v>1</v>
      </c>
      <c r="Z2482">
        <v>9</v>
      </c>
      <c r="AA2482">
        <v>16</v>
      </c>
      <c r="AB2482">
        <v>13</v>
      </c>
      <c r="AD2482">
        <v>1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25</v>
      </c>
      <c r="AK2482">
        <v>285</v>
      </c>
      <c r="AL2482">
        <v>285</v>
      </c>
      <c r="AM2482">
        <v>444</v>
      </c>
      <c r="AN2482">
        <v>44</v>
      </c>
      <c r="AP2482">
        <v>1</v>
      </c>
      <c r="AR2482" t="s">
        <v>2575</v>
      </c>
      <c r="AS2482" s="1">
        <v>44354.059027777781</v>
      </c>
      <c r="AT2482" s="1">
        <v>44354.066041666665</v>
      </c>
      <c r="AU2482" s="1">
        <v>44354.066296296296</v>
      </c>
      <c r="AV2482" t="s">
        <v>71</v>
      </c>
      <c r="AW2482" t="s">
        <v>72</v>
      </c>
      <c r="AX2482" t="s">
        <v>73</v>
      </c>
    </row>
    <row r="2483" spans="1:50" x14ac:dyDescent="0.3">
      <c r="A2483" t="str">
        <f>"201150C0100"</f>
        <v>201150C0100</v>
      </c>
      <c r="B2483" t="str">
        <f>"201150C01002"</f>
        <v>201150C01002</v>
      </c>
      <c r="C2483" t="str">
        <f t="shared" si="116"/>
        <v>20</v>
      </c>
      <c r="D2483" t="s">
        <v>67</v>
      </c>
      <c r="E2483" t="str">
        <f t="shared" si="115"/>
        <v>011</v>
      </c>
      <c r="F2483" t="s">
        <v>2448</v>
      </c>
      <c r="G2483" t="str">
        <f>"1150"</f>
        <v>1150</v>
      </c>
      <c r="H2483" t="str">
        <f>"0001"</f>
        <v>0001</v>
      </c>
      <c r="I2483" t="s">
        <v>75</v>
      </c>
      <c r="J2483">
        <v>0</v>
      </c>
      <c r="K2483">
        <v>1</v>
      </c>
      <c r="L2483">
        <v>2</v>
      </c>
      <c r="M2483">
        <v>209</v>
      </c>
      <c r="N2483">
        <v>277</v>
      </c>
      <c r="O2483">
        <v>8</v>
      </c>
      <c r="P2483">
        <v>277</v>
      </c>
      <c r="Q2483">
        <v>1</v>
      </c>
      <c r="R2483">
        <v>7</v>
      </c>
      <c r="S2483">
        <v>95</v>
      </c>
      <c r="T2483">
        <v>1</v>
      </c>
      <c r="U2483">
        <v>4</v>
      </c>
      <c r="V2483">
        <v>3</v>
      </c>
      <c r="W2483">
        <v>0</v>
      </c>
      <c r="X2483">
        <v>112</v>
      </c>
      <c r="Y2483">
        <v>0</v>
      </c>
      <c r="Z2483">
        <v>4</v>
      </c>
      <c r="AA2483">
        <v>18</v>
      </c>
      <c r="AB2483">
        <v>15</v>
      </c>
      <c r="AD2483" t="s">
        <v>77</v>
      </c>
      <c r="AE2483" t="s">
        <v>77</v>
      </c>
      <c r="AF2483" t="s">
        <v>77</v>
      </c>
      <c r="AG2483" t="s">
        <v>77</v>
      </c>
      <c r="AH2483" t="s">
        <v>77</v>
      </c>
      <c r="AI2483" t="s">
        <v>77</v>
      </c>
      <c r="AJ2483">
        <v>17</v>
      </c>
      <c r="AK2483" t="s">
        <v>77</v>
      </c>
      <c r="AL2483">
        <v>277</v>
      </c>
      <c r="AM2483">
        <v>443</v>
      </c>
      <c r="AN2483">
        <v>44</v>
      </c>
      <c r="AO2483" t="s">
        <v>78</v>
      </c>
      <c r="AP2483">
        <v>1</v>
      </c>
      <c r="AR2483" t="s">
        <v>2576</v>
      </c>
      <c r="AS2483" s="1">
        <v>44354.058333333334</v>
      </c>
      <c r="AT2483" s="1">
        <v>44354.064618055556</v>
      </c>
      <c r="AU2483" s="1">
        <v>44354.06517361111</v>
      </c>
      <c r="AV2483" t="s">
        <v>71</v>
      </c>
      <c r="AW2483" t="s">
        <v>72</v>
      </c>
      <c r="AX2483" t="s">
        <v>73</v>
      </c>
    </row>
    <row r="2484" spans="1:50" x14ac:dyDescent="0.3">
      <c r="A2484" t="str">
        <f>"201151B0000"</f>
        <v>201151B0000</v>
      </c>
      <c r="B2484" t="str">
        <f>"201151B00002"</f>
        <v>201151B00002</v>
      </c>
      <c r="C2484" t="str">
        <f t="shared" si="116"/>
        <v>20</v>
      </c>
      <c r="D2484" t="s">
        <v>67</v>
      </c>
      <c r="E2484" t="str">
        <f t="shared" ref="E2484:E2547" si="117">"011"</f>
        <v>011</v>
      </c>
      <c r="F2484" t="s">
        <v>2448</v>
      </c>
      <c r="G2484" t="str">
        <f>"1151"</f>
        <v>1151</v>
      </c>
      <c r="H2484" t="str">
        <f>"0000"</f>
        <v>0000</v>
      </c>
      <c r="I2484" t="s">
        <v>69</v>
      </c>
      <c r="J2484">
        <v>0</v>
      </c>
      <c r="K2484">
        <v>1</v>
      </c>
      <c r="L2484">
        <v>2</v>
      </c>
      <c r="M2484">
        <v>151</v>
      </c>
      <c r="N2484">
        <v>466</v>
      </c>
      <c r="O2484">
        <v>0</v>
      </c>
      <c r="P2484">
        <v>466</v>
      </c>
      <c r="Q2484">
        <v>1</v>
      </c>
      <c r="R2484">
        <v>29</v>
      </c>
      <c r="S2484">
        <v>199</v>
      </c>
      <c r="T2484">
        <v>0</v>
      </c>
      <c r="U2484">
        <v>7</v>
      </c>
      <c r="V2484">
        <v>1</v>
      </c>
      <c r="W2484">
        <v>0</v>
      </c>
      <c r="X2484">
        <v>34</v>
      </c>
      <c r="Y2484">
        <v>0</v>
      </c>
      <c r="Z2484">
        <v>7</v>
      </c>
      <c r="AA2484">
        <v>178</v>
      </c>
      <c r="AB2484">
        <v>3</v>
      </c>
      <c r="AD2484" t="s">
        <v>77</v>
      </c>
      <c r="AE2484" t="s">
        <v>77</v>
      </c>
      <c r="AF2484" t="s">
        <v>77</v>
      </c>
      <c r="AG2484" t="s">
        <v>77</v>
      </c>
      <c r="AH2484" t="s">
        <v>77</v>
      </c>
      <c r="AI2484" t="s">
        <v>77</v>
      </c>
      <c r="AJ2484">
        <v>7</v>
      </c>
      <c r="AK2484">
        <v>466</v>
      </c>
      <c r="AL2484">
        <v>466</v>
      </c>
      <c r="AM2484">
        <v>573</v>
      </c>
      <c r="AN2484">
        <v>44</v>
      </c>
      <c r="AO2484" t="s">
        <v>78</v>
      </c>
      <c r="AP2484">
        <v>1</v>
      </c>
      <c r="AR2484" t="s">
        <v>2577</v>
      </c>
      <c r="AS2484" s="1">
        <v>44354.250694444447</v>
      </c>
      <c r="AT2484" s="1">
        <v>44354.256053240744</v>
      </c>
      <c r="AU2484" s="1">
        <v>44354.256886574076</v>
      </c>
      <c r="AV2484" t="s">
        <v>71</v>
      </c>
      <c r="AW2484" t="s">
        <v>72</v>
      </c>
      <c r="AX2484" t="s">
        <v>73</v>
      </c>
    </row>
    <row r="2485" spans="1:50" x14ac:dyDescent="0.3">
      <c r="A2485" t="str">
        <f>"201151C0100"</f>
        <v>201151C0100</v>
      </c>
      <c r="B2485" t="str">
        <f>"201151C01002"</f>
        <v>201151C01002</v>
      </c>
      <c r="C2485" t="str">
        <f t="shared" si="116"/>
        <v>20</v>
      </c>
      <c r="D2485" t="s">
        <v>67</v>
      </c>
      <c r="E2485" t="str">
        <f t="shared" si="117"/>
        <v>011</v>
      </c>
      <c r="F2485" t="s">
        <v>2448</v>
      </c>
      <c r="G2485" t="str">
        <f>"1151"</f>
        <v>1151</v>
      </c>
      <c r="H2485" t="str">
        <f>"0001"</f>
        <v>0001</v>
      </c>
      <c r="I2485" t="s">
        <v>75</v>
      </c>
      <c r="J2485">
        <v>0</v>
      </c>
      <c r="K2485">
        <v>1</v>
      </c>
      <c r="L2485">
        <v>2</v>
      </c>
      <c r="M2485">
        <v>158</v>
      </c>
      <c r="N2485">
        <v>459</v>
      </c>
      <c r="O2485">
        <v>0</v>
      </c>
      <c r="P2485">
        <v>459</v>
      </c>
      <c r="Q2485">
        <v>2</v>
      </c>
      <c r="R2485">
        <v>29</v>
      </c>
      <c r="S2485">
        <v>214</v>
      </c>
      <c r="T2485">
        <v>0</v>
      </c>
      <c r="U2485">
        <v>18</v>
      </c>
      <c r="V2485">
        <v>0</v>
      </c>
      <c r="W2485">
        <v>2</v>
      </c>
      <c r="X2485">
        <v>24</v>
      </c>
      <c r="Y2485">
        <v>0</v>
      </c>
      <c r="Z2485">
        <v>4</v>
      </c>
      <c r="AA2485">
        <v>152</v>
      </c>
      <c r="AB2485">
        <v>3</v>
      </c>
      <c r="AD2485" t="s">
        <v>77</v>
      </c>
      <c r="AE2485" t="s">
        <v>77</v>
      </c>
      <c r="AF2485" t="s">
        <v>77</v>
      </c>
      <c r="AG2485" t="s">
        <v>77</v>
      </c>
      <c r="AH2485" t="s">
        <v>77</v>
      </c>
      <c r="AI2485" t="s">
        <v>77</v>
      </c>
      <c r="AJ2485">
        <v>11</v>
      </c>
      <c r="AK2485">
        <v>459</v>
      </c>
      <c r="AL2485">
        <v>459</v>
      </c>
      <c r="AM2485">
        <v>573</v>
      </c>
      <c r="AN2485">
        <v>44</v>
      </c>
      <c r="AO2485" t="s">
        <v>78</v>
      </c>
      <c r="AP2485">
        <v>1</v>
      </c>
      <c r="AR2485" t="s">
        <v>2578</v>
      </c>
      <c r="AS2485" s="1">
        <v>44354.226388888892</v>
      </c>
      <c r="AT2485" s="1">
        <v>44354.233587962961</v>
      </c>
      <c r="AU2485" s="1">
        <v>44354.234664351854</v>
      </c>
      <c r="AV2485" t="s">
        <v>71</v>
      </c>
      <c r="AW2485" t="s">
        <v>72</v>
      </c>
      <c r="AX2485" t="s">
        <v>73</v>
      </c>
    </row>
    <row r="2486" spans="1:50" x14ac:dyDescent="0.3">
      <c r="A2486" t="str">
        <f>"201152B0000"</f>
        <v>201152B0000</v>
      </c>
      <c r="B2486" t="str">
        <f>"201152B00002"</f>
        <v>201152B00002</v>
      </c>
      <c r="C2486" t="str">
        <f t="shared" si="116"/>
        <v>20</v>
      </c>
      <c r="D2486" t="s">
        <v>67</v>
      </c>
      <c r="E2486" t="str">
        <f t="shared" si="117"/>
        <v>011</v>
      </c>
      <c r="F2486" t="s">
        <v>2448</v>
      </c>
      <c r="G2486" t="str">
        <f>"1152"</f>
        <v>1152</v>
      </c>
      <c r="H2486" t="str">
        <f>"0000"</f>
        <v>0000</v>
      </c>
      <c r="I2486" t="s">
        <v>69</v>
      </c>
      <c r="J2486">
        <v>0</v>
      </c>
      <c r="K2486">
        <v>1</v>
      </c>
      <c r="L2486">
        <v>2</v>
      </c>
      <c r="M2486">
        <v>93</v>
      </c>
      <c r="N2486">
        <v>226</v>
      </c>
      <c r="O2486">
        <v>2</v>
      </c>
      <c r="P2486" t="s">
        <v>80</v>
      </c>
      <c r="Q2486">
        <v>0</v>
      </c>
      <c r="R2486">
        <v>13</v>
      </c>
      <c r="S2486">
        <v>110</v>
      </c>
      <c r="T2486">
        <v>0</v>
      </c>
      <c r="U2486">
        <v>5</v>
      </c>
      <c r="V2486">
        <v>0</v>
      </c>
      <c r="W2486">
        <v>0</v>
      </c>
      <c r="X2486">
        <v>91</v>
      </c>
      <c r="Y2486">
        <v>0</v>
      </c>
      <c r="Z2486">
        <v>0</v>
      </c>
      <c r="AA2486">
        <v>4</v>
      </c>
      <c r="AB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3</v>
      </c>
      <c r="AK2486">
        <v>226</v>
      </c>
      <c r="AL2486">
        <v>226</v>
      </c>
      <c r="AM2486">
        <v>275</v>
      </c>
      <c r="AN2486">
        <v>44</v>
      </c>
      <c r="AP2486">
        <v>1</v>
      </c>
      <c r="AR2486" t="s">
        <v>2579</v>
      </c>
      <c r="AS2486" s="1">
        <v>44354.056944444441</v>
      </c>
      <c r="AT2486" s="1">
        <v>44354.0627662037</v>
      </c>
      <c r="AU2486" s="1">
        <v>44354.063263888886</v>
      </c>
      <c r="AV2486" t="s">
        <v>71</v>
      </c>
      <c r="AW2486" t="s">
        <v>72</v>
      </c>
      <c r="AX2486" t="s">
        <v>73</v>
      </c>
    </row>
    <row r="2487" spans="1:50" x14ac:dyDescent="0.3">
      <c r="A2487" t="str">
        <f>"201152E0100"</f>
        <v>201152E0100</v>
      </c>
      <c r="B2487" t="str">
        <f>"201152E01002"</f>
        <v>201152E01002</v>
      </c>
      <c r="C2487" t="str">
        <f t="shared" si="116"/>
        <v>20</v>
      </c>
      <c r="D2487" t="s">
        <v>67</v>
      </c>
      <c r="E2487" t="str">
        <f t="shared" si="117"/>
        <v>011</v>
      </c>
      <c r="F2487" t="s">
        <v>2448</v>
      </c>
      <c r="G2487" t="str">
        <f>"1152"</f>
        <v>1152</v>
      </c>
      <c r="H2487" t="str">
        <f>"0001"</f>
        <v>0001</v>
      </c>
      <c r="I2487" t="s">
        <v>109</v>
      </c>
      <c r="J2487">
        <v>0</v>
      </c>
      <c r="K2487">
        <v>1</v>
      </c>
      <c r="L2487">
        <v>2</v>
      </c>
      <c r="M2487">
        <v>52</v>
      </c>
      <c r="N2487">
        <v>160</v>
      </c>
      <c r="O2487">
        <v>1</v>
      </c>
      <c r="P2487">
        <v>160</v>
      </c>
      <c r="Q2487">
        <v>0</v>
      </c>
      <c r="R2487">
        <v>2</v>
      </c>
      <c r="S2487">
        <v>79</v>
      </c>
      <c r="T2487">
        <v>1</v>
      </c>
      <c r="U2487">
        <v>1</v>
      </c>
      <c r="V2487">
        <v>0</v>
      </c>
      <c r="W2487">
        <v>0</v>
      </c>
      <c r="X2487">
        <v>37</v>
      </c>
      <c r="Y2487">
        <v>0</v>
      </c>
      <c r="Z2487">
        <v>0</v>
      </c>
      <c r="AA2487">
        <v>37</v>
      </c>
      <c r="AB2487">
        <v>0</v>
      </c>
      <c r="AD2487">
        <v>0</v>
      </c>
      <c r="AE2487">
        <v>0</v>
      </c>
      <c r="AF2487">
        <v>1</v>
      </c>
      <c r="AG2487">
        <v>0</v>
      </c>
      <c r="AH2487">
        <v>0</v>
      </c>
      <c r="AI2487">
        <v>0</v>
      </c>
      <c r="AJ2487">
        <v>2</v>
      </c>
      <c r="AK2487">
        <v>160</v>
      </c>
      <c r="AL2487">
        <v>160</v>
      </c>
      <c r="AM2487">
        <v>168</v>
      </c>
      <c r="AN2487">
        <v>44</v>
      </c>
      <c r="AP2487">
        <v>1</v>
      </c>
      <c r="AR2487" t="s">
        <v>2580</v>
      </c>
      <c r="AS2487" s="1">
        <v>44354.254166666666</v>
      </c>
      <c r="AT2487" s="1">
        <v>44354.268043981479</v>
      </c>
      <c r="AU2487" s="1">
        <v>44354.268703703703</v>
      </c>
      <c r="AV2487" t="s">
        <v>71</v>
      </c>
      <c r="AW2487" t="s">
        <v>72</v>
      </c>
      <c r="AX2487" t="s">
        <v>73</v>
      </c>
    </row>
    <row r="2488" spans="1:50" x14ac:dyDescent="0.3">
      <c r="A2488" t="str">
        <f>"201152E0200"</f>
        <v>201152E0200</v>
      </c>
      <c r="B2488" t="str">
        <f>"201152E02002"</f>
        <v>201152E02002</v>
      </c>
      <c r="C2488" t="str">
        <f t="shared" si="116"/>
        <v>20</v>
      </c>
      <c r="D2488" t="s">
        <v>67</v>
      </c>
      <c r="E2488" t="str">
        <f t="shared" si="117"/>
        <v>011</v>
      </c>
      <c r="F2488" t="s">
        <v>2448</v>
      </c>
      <c r="G2488" t="str">
        <f>"1152"</f>
        <v>1152</v>
      </c>
      <c r="H2488" t="str">
        <f>"0002"</f>
        <v>0002</v>
      </c>
      <c r="I2488" t="s">
        <v>109</v>
      </c>
      <c r="J2488">
        <v>0</v>
      </c>
      <c r="K2488">
        <v>1</v>
      </c>
      <c r="L2488">
        <v>2</v>
      </c>
      <c r="M2488">
        <v>104</v>
      </c>
      <c r="N2488">
        <v>147</v>
      </c>
      <c r="O2488">
        <v>2</v>
      </c>
      <c r="P2488">
        <v>147</v>
      </c>
      <c r="Q2488">
        <v>0</v>
      </c>
      <c r="R2488">
        <v>3</v>
      </c>
      <c r="S2488">
        <v>124</v>
      </c>
      <c r="T2488">
        <v>0</v>
      </c>
      <c r="U2488">
        <v>1</v>
      </c>
      <c r="V2488">
        <v>0</v>
      </c>
      <c r="W2488">
        <v>0</v>
      </c>
      <c r="X2488">
        <v>9</v>
      </c>
      <c r="Y2488">
        <v>0</v>
      </c>
      <c r="Z2488">
        <v>0</v>
      </c>
      <c r="AA2488">
        <v>9</v>
      </c>
      <c r="AB2488">
        <v>1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147</v>
      </c>
      <c r="AL2488">
        <v>147</v>
      </c>
      <c r="AM2488">
        <v>207</v>
      </c>
      <c r="AN2488">
        <v>44</v>
      </c>
      <c r="AP2488">
        <v>1</v>
      </c>
      <c r="AR2488" t="s">
        <v>2581</v>
      </c>
      <c r="AS2488" s="1">
        <v>44354.254166666666</v>
      </c>
      <c r="AT2488" s="1">
        <v>44354.266909722224</v>
      </c>
      <c r="AU2488" s="1">
        <v>44354.267476851855</v>
      </c>
      <c r="AV2488" t="s">
        <v>71</v>
      </c>
      <c r="AW2488" t="s">
        <v>72</v>
      </c>
      <c r="AX2488" t="s">
        <v>73</v>
      </c>
    </row>
    <row r="2489" spans="1:50" x14ac:dyDescent="0.3">
      <c r="A2489" t="str">
        <f>"201153B0000"</f>
        <v>201153B0000</v>
      </c>
      <c r="B2489" t="str">
        <f>"201153B00002"</f>
        <v>201153B00002</v>
      </c>
      <c r="C2489" t="str">
        <f t="shared" si="116"/>
        <v>20</v>
      </c>
      <c r="D2489" t="s">
        <v>67</v>
      </c>
      <c r="E2489" t="str">
        <f t="shared" si="117"/>
        <v>011</v>
      </c>
      <c r="F2489" t="s">
        <v>2448</v>
      </c>
      <c r="G2489" t="str">
        <f>"1153"</f>
        <v>1153</v>
      </c>
      <c r="H2489" t="str">
        <f>"0000"</f>
        <v>0000</v>
      </c>
      <c r="I2489" t="s">
        <v>69</v>
      </c>
      <c r="J2489">
        <v>0</v>
      </c>
      <c r="K2489">
        <v>1</v>
      </c>
      <c r="L2489">
        <v>2</v>
      </c>
      <c r="M2489">
        <v>217</v>
      </c>
      <c r="N2489">
        <v>531</v>
      </c>
      <c r="O2489">
        <v>3</v>
      </c>
      <c r="P2489">
        <v>531</v>
      </c>
      <c r="Q2489">
        <v>0</v>
      </c>
      <c r="R2489">
        <v>21</v>
      </c>
      <c r="S2489">
        <v>223</v>
      </c>
      <c r="T2489">
        <v>1</v>
      </c>
      <c r="U2489">
        <v>12</v>
      </c>
      <c r="V2489">
        <v>7</v>
      </c>
      <c r="W2489">
        <v>0</v>
      </c>
      <c r="X2489">
        <v>103</v>
      </c>
      <c r="Y2489">
        <v>0</v>
      </c>
      <c r="Z2489">
        <v>5</v>
      </c>
      <c r="AA2489">
        <v>134</v>
      </c>
      <c r="AB2489">
        <v>7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18</v>
      </c>
      <c r="AK2489">
        <v>533</v>
      </c>
      <c r="AL2489">
        <v>531</v>
      </c>
      <c r="AM2489">
        <v>704</v>
      </c>
      <c r="AN2489">
        <v>44</v>
      </c>
      <c r="AP2489">
        <v>1</v>
      </c>
      <c r="AR2489" t="s">
        <v>2582</v>
      </c>
      <c r="AS2489" s="1">
        <v>44354.145138888889</v>
      </c>
      <c r="AT2489" s="1">
        <v>44354.148252314815</v>
      </c>
      <c r="AU2489" s="1">
        <v>44354.148738425924</v>
      </c>
      <c r="AV2489" t="s">
        <v>71</v>
      </c>
      <c r="AW2489" t="s">
        <v>72</v>
      </c>
      <c r="AX2489" t="s">
        <v>73</v>
      </c>
    </row>
    <row r="2490" spans="1:50" x14ac:dyDescent="0.3">
      <c r="A2490" t="str">
        <f>"201154B0000"</f>
        <v>201154B0000</v>
      </c>
      <c r="B2490" t="str">
        <f>"201154B00002"</f>
        <v>201154B00002</v>
      </c>
      <c r="C2490" t="str">
        <f t="shared" si="116"/>
        <v>20</v>
      </c>
      <c r="D2490" t="s">
        <v>67</v>
      </c>
      <c r="E2490" t="str">
        <f t="shared" si="117"/>
        <v>011</v>
      </c>
      <c r="F2490" t="s">
        <v>2448</v>
      </c>
      <c r="G2490" t="str">
        <f>"1154"</f>
        <v>1154</v>
      </c>
      <c r="H2490" t="str">
        <f>"0000"</f>
        <v>0000</v>
      </c>
      <c r="I2490" t="s">
        <v>69</v>
      </c>
      <c r="J2490">
        <v>0</v>
      </c>
      <c r="K2490">
        <v>1</v>
      </c>
      <c r="L2490">
        <v>2</v>
      </c>
      <c r="M2490">
        <v>218</v>
      </c>
      <c r="N2490">
        <v>378</v>
      </c>
      <c r="O2490">
        <v>0</v>
      </c>
      <c r="P2490">
        <v>378</v>
      </c>
      <c r="Q2490">
        <v>3</v>
      </c>
      <c r="R2490">
        <v>25</v>
      </c>
      <c r="S2490">
        <v>187</v>
      </c>
      <c r="T2490">
        <v>2</v>
      </c>
      <c r="U2490">
        <v>2</v>
      </c>
      <c r="V2490">
        <v>2</v>
      </c>
      <c r="W2490">
        <v>0</v>
      </c>
      <c r="X2490">
        <v>105</v>
      </c>
      <c r="Y2490">
        <v>0</v>
      </c>
      <c r="Z2490">
        <v>5</v>
      </c>
      <c r="AA2490">
        <v>27</v>
      </c>
      <c r="AB2490">
        <v>16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4</v>
      </c>
      <c r="AK2490">
        <v>4</v>
      </c>
      <c r="AL2490">
        <v>378</v>
      </c>
      <c r="AM2490">
        <v>552</v>
      </c>
      <c r="AN2490">
        <v>44</v>
      </c>
      <c r="AP2490">
        <v>1</v>
      </c>
      <c r="AR2490" t="s">
        <v>2583</v>
      </c>
      <c r="AS2490" s="1">
        <v>44354.279861111114</v>
      </c>
      <c r="AT2490" s="1">
        <v>44354.28466435185</v>
      </c>
      <c r="AU2490" s="1">
        <v>44354.285034722219</v>
      </c>
      <c r="AV2490" t="s">
        <v>71</v>
      </c>
      <c r="AW2490" t="s">
        <v>72</v>
      </c>
      <c r="AX2490" t="s">
        <v>73</v>
      </c>
    </row>
    <row r="2491" spans="1:50" x14ac:dyDescent="0.3">
      <c r="A2491" t="str">
        <f>"201154C0100"</f>
        <v>201154C0100</v>
      </c>
      <c r="B2491" t="str">
        <f>"201154C01002"</f>
        <v>201154C01002</v>
      </c>
      <c r="C2491" t="str">
        <f t="shared" si="116"/>
        <v>20</v>
      </c>
      <c r="D2491" t="s">
        <v>67</v>
      </c>
      <c r="E2491" t="str">
        <f t="shared" si="117"/>
        <v>011</v>
      </c>
      <c r="F2491" t="s">
        <v>2448</v>
      </c>
      <c r="G2491" t="str">
        <f>"1154"</f>
        <v>1154</v>
      </c>
      <c r="H2491" t="str">
        <f>"0001"</f>
        <v>0001</v>
      </c>
      <c r="I2491" t="s">
        <v>75</v>
      </c>
      <c r="J2491">
        <v>0</v>
      </c>
      <c r="K2491">
        <v>1</v>
      </c>
      <c r="L2491">
        <v>2</v>
      </c>
      <c r="M2491" t="s">
        <v>99</v>
      </c>
      <c r="N2491">
        <v>401</v>
      </c>
      <c r="O2491">
        <v>0</v>
      </c>
      <c r="P2491">
        <v>401</v>
      </c>
      <c r="Q2491">
        <v>0</v>
      </c>
      <c r="R2491">
        <v>34</v>
      </c>
      <c r="S2491">
        <v>203</v>
      </c>
      <c r="T2491">
        <v>0</v>
      </c>
      <c r="U2491">
        <v>2</v>
      </c>
      <c r="V2491">
        <v>1</v>
      </c>
      <c r="W2491">
        <v>0</v>
      </c>
      <c r="X2491">
        <v>104</v>
      </c>
      <c r="Y2491">
        <v>0</v>
      </c>
      <c r="Z2491">
        <v>3</v>
      </c>
      <c r="AA2491">
        <v>30</v>
      </c>
      <c r="AB2491">
        <v>14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10</v>
      </c>
      <c r="AK2491">
        <v>401</v>
      </c>
      <c r="AL2491">
        <v>401</v>
      </c>
      <c r="AM2491">
        <v>551</v>
      </c>
      <c r="AN2491">
        <v>44</v>
      </c>
      <c r="AP2491">
        <v>1</v>
      </c>
      <c r="AR2491" t="s">
        <v>2584</v>
      </c>
      <c r="AS2491" s="1">
        <v>44354.287499999999</v>
      </c>
      <c r="AT2491" s="1">
        <v>44354.290370370371</v>
      </c>
      <c r="AU2491" s="1">
        <v>44354.292025462964</v>
      </c>
      <c r="AV2491" t="s">
        <v>71</v>
      </c>
      <c r="AW2491" t="s">
        <v>72</v>
      </c>
      <c r="AX2491" t="s">
        <v>73</v>
      </c>
    </row>
    <row r="2492" spans="1:50" x14ac:dyDescent="0.3">
      <c r="A2492" t="str">
        <f>"201155B0000"</f>
        <v>201155B0000</v>
      </c>
      <c r="B2492" t="str">
        <f>"201155B00002"</f>
        <v>201155B00002</v>
      </c>
      <c r="C2492" t="str">
        <f t="shared" si="116"/>
        <v>20</v>
      </c>
      <c r="D2492" t="s">
        <v>67</v>
      </c>
      <c r="E2492" t="str">
        <f t="shared" si="117"/>
        <v>011</v>
      </c>
      <c r="F2492" t="s">
        <v>2448</v>
      </c>
      <c r="G2492" t="str">
        <f>"1155"</f>
        <v>1155</v>
      </c>
      <c r="H2492" t="str">
        <f>"0000"</f>
        <v>0000</v>
      </c>
      <c r="I2492" t="s">
        <v>69</v>
      </c>
      <c r="J2492">
        <v>0</v>
      </c>
      <c r="K2492">
        <v>1</v>
      </c>
      <c r="L2492">
        <v>2</v>
      </c>
      <c r="M2492">
        <v>147</v>
      </c>
      <c r="N2492">
        <v>419</v>
      </c>
      <c r="O2492">
        <v>1</v>
      </c>
      <c r="P2492">
        <v>419</v>
      </c>
      <c r="Q2492">
        <v>0</v>
      </c>
      <c r="R2492">
        <v>21</v>
      </c>
      <c r="S2492">
        <v>203</v>
      </c>
      <c r="T2492">
        <v>1</v>
      </c>
      <c r="U2492">
        <v>6</v>
      </c>
      <c r="V2492">
        <v>4</v>
      </c>
      <c r="W2492">
        <v>0</v>
      </c>
      <c r="X2492">
        <v>132</v>
      </c>
      <c r="Y2492">
        <v>1</v>
      </c>
      <c r="Z2492">
        <v>1</v>
      </c>
      <c r="AA2492">
        <v>38</v>
      </c>
      <c r="AB2492">
        <v>5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7</v>
      </c>
      <c r="AK2492">
        <v>419</v>
      </c>
      <c r="AL2492">
        <v>419</v>
      </c>
      <c r="AM2492">
        <v>522</v>
      </c>
      <c r="AN2492">
        <v>44</v>
      </c>
      <c r="AP2492">
        <v>1</v>
      </c>
      <c r="AR2492" t="s">
        <v>2585</v>
      </c>
      <c r="AS2492" s="1">
        <v>44354.247916666667</v>
      </c>
      <c r="AT2492" s="1">
        <v>44354.252129629633</v>
      </c>
      <c r="AU2492" s="1">
        <v>44354.253009259257</v>
      </c>
      <c r="AV2492" t="s">
        <v>71</v>
      </c>
      <c r="AW2492" t="s">
        <v>72</v>
      </c>
      <c r="AX2492" t="s">
        <v>73</v>
      </c>
    </row>
    <row r="2493" spans="1:50" x14ac:dyDescent="0.3">
      <c r="A2493" t="str">
        <f>"201155C0100"</f>
        <v>201155C0100</v>
      </c>
      <c r="B2493" t="str">
        <f>"201155C01002"</f>
        <v>201155C01002</v>
      </c>
      <c r="C2493" t="str">
        <f t="shared" si="116"/>
        <v>20</v>
      </c>
      <c r="D2493" t="s">
        <v>67</v>
      </c>
      <c r="E2493" t="str">
        <f t="shared" si="117"/>
        <v>011</v>
      </c>
      <c r="F2493" t="s">
        <v>2448</v>
      </c>
      <c r="G2493" t="str">
        <f>"1155"</f>
        <v>1155</v>
      </c>
      <c r="H2493" t="str">
        <f>"0001"</f>
        <v>0001</v>
      </c>
      <c r="I2493" t="s">
        <v>75</v>
      </c>
      <c r="J2493">
        <v>0</v>
      </c>
      <c r="K2493">
        <v>1</v>
      </c>
      <c r="L2493">
        <v>2</v>
      </c>
      <c r="M2493">
        <v>154</v>
      </c>
      <c r="N2493">
        <v>412</v>
      </c>
      <c r="O2493">
        <v>1</v>
      </c>
      <c r="P2493">
        <v>412</v>
      </c>
      <c r="Q2493">
        <v>6</v>
      </c>
      <c r="R2493">
        <v>16</v>
      </c>
      <c r="S2493">
        <v>218</v>
      </c>
      <c r="T2493">
        <v>0</v>
      </c>
      <c r="U2493">
        <v>4</v>
      </c>
      <c r="V2493">
        <v>7</v>
      </c>
      <c r="W2493">
        <v>1</v>
      </c>
      <c r="X2493">
        <v>126</v>
      </c>
      <c r="Y2493">
        <v>0</v>
      </c>
      <c r="Z2493">
        <v>4</v>
      </c>
      <c r="AA2493">
        <v>20</v>
      </c>
      <c r="AB2493">
        <v>4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6</v>
      </c>
      <c r="AK2493">
        <v>412</v>
      </c>
      <c r="AL2493">
        <v>412</v>
      </c>
      <c r="AM2493">
        <v>522</v>
      </c>
      <c r="AN2493">
        <v>44</v>
      </c>
      <c r="AP2493">
        <v>1</v>
      </c>
      <c r="AR2493" t="s">
        <v>2586</v>
      </c>
      <c r="AS2493" s="1">
        <v>44354.240972222222</v>
      </c>
      <c r="AT2493" s="1">
        <v>44354.248935185184</v>
      </c>
      <c r="AU2493" s="1">
        <v>44354.249641203707</v>
      </c>
      <c r="AV2493" t="s">
        <v>71</v>
      </c>
      <c r="AW2493" t="s">
        <v>72</v>
      </c>
      <c r="AX2493" t="s">
        <v>73</v>
      </c>
    </row>
    <row r="2494" spans="1:50" x14ac:dyDescent="0.3">
      <c r="A2494" t="str">
        <f>"201156B0000"</f>
        <v>201156B0000</v>
      </c>
      <c r="B2494" t="str">
        <f>"201156B00002"</f>
        <v>201156B00002</v>
      </c>
      <c r="C2494" t="str">
        <f t="shared" si="116"/>
        <v>20</v>
      </c>
      <c r="D2494" t="s">
        <v>67</v>
      </c>
      <c r="E2494" t="str">
        <f t="shared" si="117"/>
        <v>011</v>
      </c>
      <c r="F2494" t="s">
        <v>2448</v>
      </c>
      <c r="G2494" t="str">
        <f>"1156"</f>
        <v>1156</v>
      </c>
      <c r="H2494" t="str">
        <f>"0000"</f>
        <v>0000</v>
      </c>
      <c r="I2494" t="s">
        <v>69</v>
      </c>
      <c r="J2494">
        <v>0</v>
      </c>
      <c r="K2494">
        <v>1</v>
      </c>
      <c r="L2494">
        <v>2</v>
      </c>
      <c r="M2494">
        <v>255</v>
      </c>
      <c r="N2494">
        <v>516</v>
      </c>
      <c r="O2494">
        <v>0</v>
      </c>
      <c r="P2494">
        <v>516</v>
      </c>
      <c r="Q2494">
        <v>2</v>
      </c>
      <c r="R2494">
        <v>11</v>
      </c>
      <c r="S2494">
        <v>216</v>
      </c>
      <c r="T2494">
        <v>0</v>
      </c>
      <c r="U2494">
        <v>4</v>
      </c>
      <c r="V2494">
        <v>13</v>
      </c>
      <c r="W2494">
        <v>2</v>
      </c>
      <c r="X2494">
        <v>193</v>
      </c>
      <c r="Y2494">
        <v>0</v>
      </c>
      <c r="Z2494">
        <v>2</v>
      </c>
      <c r="AA2494">
        <v>13</v>
      </c>
      <c r="AB2494">
        <v>42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18</v>
      </c>
      <c r="AK2494">
        <v>516</v>
      </c>
      <c r="AL2494">
        <v>516</v>
      </c>
      <c r="AM2494">
        <v>727</v>
      </c>
      <c r="AN2494">
        <v>44</v>
      </c>
      <c r="AP2494">
        <v>1</v>
      </c>
      <c r="AR2494" t="s">
        <v>2587</v>
      </c>
      <c r="AS2494" s="1">
        <v>44354.274305555555</v>
      </c>
      <c r="AT2494" s="1">
        <v>44354.276967592596</v>
      </c>
      <c r="AU2494" s="1">
        <v>44354.27820601852</v>
      </c>
      <c r="AV2494" t="s">
        <v>71</v>
      </c>
      <c r="AW2494" t="s">
        <v>72</v>
      </c>
      <c r="AX2494" t="s">
        <v>73</v>
      </c>
    </row>
    <row r="2495" spans="1:50" x14ac:dyDescent="0.3">
      <c r="A2495" t="str">
        <f>"201156E0100"</f>
        <v>201156E0100</v>
      </c>
      <c r="B2495" t="str">
        <f>"201156E01002"</f>
        <v>201156E01002</v>
      </c>
      <c r="C2495" t="str">
        <f t="shared" si="116"/>
        <v>20</v>
      </c>
      <c r="D2495" t="s">
        <v>67</v>
      </c>
      <c r="E2495" t="str">
        <f t="shared" si="117"/>
        <v>011</v>
      </c>
      <c r="F2495" t="s">
        <v>2448</v>
      </c>
      <c r="G2495" t="str">
        <f>"1156"</f>
        <v>1156</v>
      </c>
      <c r="H2495" t="str">
        <f>"0001"</f>
        <v>0001</v>
      </c>
      <c r="I2495" t="s">
        <v>109</v>
      </c>
      <c r="J2495">
        <v>0</v>
      </c>
      <c r="K2495">
        <v>1</v>
      </c>
      <c r="L2495">
        <v>2</v>
      </c>
      <c r="M2495" t="s">
        <v>80</v>
      </c>
      <c r="N2495" t="s">
        <v>80</v>
      </c>
      <c r="O2495" t="s">
        <v>80</v>
      </c>
      <c r="P2495" t="s">
        <v>80</v>
      </c>
      <c r="Q2495">
        <v>3</v>
      </c>
      <c r="R2495">
        <v>26</v>
      </c>
      <c r="S2495">
        <v>108</v>
      </c>
      <c r="T2495" t="s">
        <v>77</v>
      </c>
      <c r="U2495">
        <v>2</v>
      </c>
      <c r="V2495">
        <v>2</v>
      </c>
      <c r="W2495">
        <v>2</v>
      </c>
      <c r="X2495">
        <v>92</v>
      </c>
      <c r="Y2495">
        <v>3</v>
      </c>
      <c r="Z2495">
        <v>3</v>
      </c>
      <c r="AA2495">
        <v>27</v>
      </c>
      <c r="AB2495">
        <v>1</v>
      </c>
      <c r="AD2495" t="s">
        <v>77</v>
      </c>
      <c r="AE2495" t="s">
        <v>77</v>
      </c>
      <c r="AF2495" t="s">
        <v>77</v>
      </c>
      <c r="AG2495">
        <v>1</v>
      </c>
      <c r="AH2495" t="s">
        <v>77</v>
      </c>
      <c r="AI2495">
        <v>10</v>
      </c>
      <c r="AJ2495" t="s">
        <v>77</v>
      </c>
      <c r="AK2495">
        <v>278</v>
      </c>
      <c r="AL2495">
        <v>280</v>
      </c>
      <c r="AM2495">
        <v>363</v>
      </c>
      <c r="AN2495">
        <v>44</v>
      </c>
      <c r="AO2495" t="s">
        <v>78</v>
      </c>
      <c r="AP2495">
        <v>1</v>
      </c>
      <c r="AR2495" s="2" t="s">
        <v>2588</v>
      </c>
      <c r="AS2495" s="1">
        <v>44354.226388888892</v>
      </c>
      <c r="AT2495" s="1">
        <v>44354.229907407411</v>
      </c>
      <c r="AU2495" s="1">
        <v>44354.230694444443</v>
      </c>
      <c r="AV2495" t="s">
        <v>71</v>
      </c>
      <c r="AW2495" t="s">
        <v>72</v>
      </c>
      <c r="AX2495" t="s">
        <v>73</v>
      </c>
    </row>
    <row r="2496" spans="1:50" x14ac:dyDescent="0.3">
      <c r="A2496" t="str">
        <f>"201157B0000"</f>
        <v>201157B0000</v>
      </c>
      <c r="B2496" t="str">
        <f>"201157B00002"</f>
        <v>201157B00002</v>
      </c>
      <c r="C2496" t="str">
        <f t="shared" si="116"/>
        <v>20</v>
      </c>
      <c r="D2496" t="s">
        <v>67</v>
      </c>
      <c r="E2496" t="str">
        <f t="shared" si="117"/>
        <v>011</v>
      </c>
      <c r="F2496" t="s">
        <v>2448</v>
      </c>
      <c r="G2496" t="str">
        <f>"1157"</f>
        <v>1157</v>
      </c>
      <c r="H2496" t="str">
        <f>"0000"</f>
        <v>0000</v>
      </c>
      <c r="I2496" t="s">
        <v>69</v>
      </c>
      <c r="J2496">
        <v>0</v>
      </c>
      <c r="K2496">
        <v>1</v>
      </c>
      <c r="L2496">
        <v>2</v>
      </c>
      <c r="M2496">
        <v>254</v>
      </c>
      <c r="N2496">
        <v>424</v>
      </c>
      <c r="O2496">
        <v>0</v>
      </c>
      <c r="P2496">
        <v>424</v>
      </c>
      <c r="Q2496">
        <v>0</v>
      </c>
      <c r="R2496">
        <v>19</v>
      </c>
      <c r="S2496">
        <v>161</v>
      </c>
      <c r="T2496">
        <v>0</v>
      </c>
      <c r="U2496">
        <v>8</v>
      </c>
      <c r="V2496">
        <v>14</v>
      </c>
      <c r="W2496">
        <v>0</v>
      </c>
      <c r="X2496">
        <v>178</v>
      </c>
      <c r="Y2496">
        <v>0</v>
      </c>
      <c r="Z2496">
        <v>5</v>
      </c>
      <c r="AA2496">
        <v>9</v>
      </c>
      <c r="AB2496">
        <v>13</v>
      </c>
      <c r="AD2496">
        <v>0</v>
      </c>
      <c r="AE2496">
        <v>0</v>
      </c>
      <c r="AF2496">
        <v>0</v>
      </c>
      <c r="AG2496">
        <v>1</v>
      </c>
      <c r="AH2496">
        <v>0</v>
      </c>
      <c r="AI2496">
        <v>0</v>
      </c>
      <c r="AJ2496">
        <v>10</v>
      </c>
      <c r="AK2496">
        <v>424</v>
      </c>
      <c r="AL2496">
        <v>418</v>
      </c>
      <c r="AM2496">
        <v>634</v>
      </c>
      <c r="AN2496">
        <v>44</v>
      </c>
      <c r="AP2496">
        <v>1</v>
      </c>
      <c r="AR2496" t="s">
        <v>2589</v>
      </c>
      <c r="AS2496" s="1">
        <v>44354.279861111114</v>
      </c>
      <c r="AT2496" s="1">
        <v>44354.284317129626</v>
      </c>
      <c r="AU2496" s="1">
        <v>44354.285324074073</v>
      </c>
      <c r="AV2496" t="s">
        <v>71</v>
      </c>
      <c r="AW2496" t="s">
        <v>72</v>
      </c>
      <c r="AX2496" t="s">
        <v>73</v>
      </c>
    </row>
    <row r="2497" spans="1:50" x14ac:dyDescent="0.3">
      <c r="A2497" t="str">
        <f>"201157C0100"</f>
        <v>201157C0100</v>
      </c>
      <c r="B2497" t="str">
        <f>"201157C01002"</f>
        <v>201157C01002</v>
      </c>
      <c r="C2497" t="str">
        <f t="shared" si="116"/>
        <v>20</v>
      </c>
      <c r="D2497" t="s">
        <v>67</v>
      </c>
      <c r="E2497" t="str">
        <f t="shared" si="117"/>
        <v>011</v>
      </c>
      <c r="F2497" t="s">
        <v>2448</v>
      </c>
      <c r="G2497" t="str">
        <f>"1157"</f>
        <v>1157</v>
      </c>
      <c r="H2497" t="str">
        <f>"0001"</f>
        <v>0001</v>
      </c>
      <c r="I2497" t="s">
        <v>75</v>
      </c>
      <c r="J2497">
        <v>0</v>
      </c>
      <c r="K2497">
        <v>1</v>
      </c>
      <c r="L2497">
        <v>2</v>
      </c>
      <c r="M2497">
        <v>258</v>
      </c>
      <c r="N2497">
        <v>420</v>
      </c>
      <c r="O2497">
        <v>0</v>
      </c>
      <c r="P2497">
        <v>420</v>
      </c>
      <c r="Q2497">
        <v>5</v>
      </c>
      <c r="R2497">
        <v>40</v>
      </c>
      <c r="S2497">
        <v>201</v>
      </c>
      <c r="T2497">
        <v>0</v>
      </c>
      <c r="U2497">
        <v>4</v>
      </c>
      <c r="V2497">
        <v>13</v>
      </c>
      <c r="W2497">
        <v>3</v>
      </c>
      <c r="X2497">
        <v>117</v>
      </c>
      <c r="Y2497">
        <v>1</v>
      </c>
      <c r="Z2497">
        <v>2</v>
      </c>
      <c r="AA2497">
        <v>5</v>
      </c>
      <c r="AB2497">
        <v>8</v>
      </c>
      <c r="AD2497">
        <v>1</v>
      </c>
      <c r="AE2497">
        <v>1</v>
      </c>
      <c r="AF2497">
        <v>0</v>
      </c>
      <c r="AG2497">
        <v>1</v>
      </c>
      <c r="AH2497">
        <v>0</v>
      </c>
      <c r="AI2497">
        <v>0</v>
      </c>
      <c r="AJ2497">
        <v>18</v>
      </c>
      <c r="AK2497">
        <v>420</v>
      </c>
      <c r="AL2497">
        <v>420</v>
      </c>
      <c r="AM2497">
        <v>634</v>
      </c>
      <c r="AN2497">
        <v>44</v>
      </c>
      <c r="AP2497">
        <v>1</v>
      </c>
      <c r="AR2497" t="s">
        <v>2590</v>
      </c>
      <c r="AS2497" s="1">
        <v>44354.279861111114</v>
      </c>
      <c r="AT2497" s="1">
        <v>44354.285844907405</v>
      </c>
      <c r="AU2497" s="1">
        <v>44354.286597222221</v>
      </c>
      <c r="AV2497" t="s">
        <v>71</v>
      </c>
      <c r="AW2497" t="s">
        <v>72</v>
      </c>
      <c r="AX2497" t="s">
        <v>73</v>
      </c>
    </row>
    <row r="2498" spans="1:50" x14ac:dyDescent="0.3">
      <c r="A2498" t="str">
        <f>"201158B0000"</f>
        <v>201158B0000</v>
      </c>
      <c r="B2498" t="str">
        <f>"201158B00002"</f>
        <v>201158B00002</v>
      </c>
      <c r="C2498" t="str">
        <f t="shared" si="116"/>
        <v>20</v>
      </c>
      <c r="D2498" t="s">
        <v>67</v>
      </c>
      <c r="E2498" t="str">
        <f t="shared" si="117"/>
        <v>011</v>
      </c>
      <c r="F2498" t="s">
        <v>2448</v>
      </c>
      <c r="G2498" t="str">
        <f>"1158"</f>
        <v>1158</v>
      </c>
      <c r="H2498" t="str">
        <f>"0000"</f>
        <v>0000</v>
      </c>
      <c r="I2498" t="s">
        <v>69</v>
      </c>
      <c r="J2498">
        <v>0</v>
      </c>
      <c r="K2498">
        <v>1</v>
      </c>
      <c r="L2498">
        <v>2</v>
      </c>
      <c r="M2498">
        <v>238</v>
      </c>
      <c r="N2498">
        <v>356</v>
      </c>
      <c r="O2498">
        <v>10</v>
      </c>
      <c r="P2498">
        <v>356</v>
      </c>
      <c r="Q2498">
        <v>1</v>
      </c>
      <c r="R2498">
        <v>50</v>
      </c>
      <c r="S2498">
        <v>93</v>
      </c>
      <c r="T2498">
        <v>2</v>
      </c>
      <c r="U2498">
        <v>5</v>
      </c>
      <c r="V2498">
        <v>6</v>
      </c>
      <c r="W2498">
        <v>1</v>
      </c>
      <c r="X2498">
        <v>127</v>
      </c>
      <c r="Y2498">
        <v>0</v>
      </c>
      <c r="Z2498">
        <v>3</v>
      </c>
      <c r="AA2498">
        <v>26</v>
      </c>
      <c r="AB2498">
        <v>26</v>
      </c>
      <c r="AD2498">
        <v>0</v>
      </c>
      <c r="AE2498">
        <v>0</v>
      </c>
      <c r="AF2498">
        <v>1</v>
      </c>
      <c r="AG2498">
        <v>0</v>
      </c>
      <c r="AH2498">
        <v>0</v>
      </c>
      <c r="AI2498">
        <v>0</v>
      </c>
      <c r="AJ2498">
        <v>15</v>
      </c>
      <c r="AK2498">
        <v>356</v>
      </c>
      <c r="AL2498">
        <v>356</v>
      </c>
      <c r="AM2498">
        <v>550</v>
      </c>
      <c r="AN2498">
        <v>44</v>
      </c>
      <c r="AP2498">
        <v>1</v>
      </c>
      <c r="AR2498" t="s">
        <v>2591</v>
      </c>
      <c r="AS2498" s="1">
        <v>44354.227777777778</v>
      </c>
      <c r="AT2498" s="1">
        <v>44354.235497685186</v>
      </c>
      <c r="AU2498" s="1">
        <v>44354.235729166663</v>
      </c>
      <c r="AV2498" t="s">
        <v>71</v>
      </c>
      <c r="AW2498" t="s">
        <v>72</v>
      </c>
      <c r="AX2498" t="s">
        <v>73</v>
      </c>
    </row>
    <row r="2499" spans="1:50" x14ac:dyDescent="0.3">
      <c r="A2499" t="str">
        <f>"201158C0100"</f>
        <v>201158C0100</v>
      </c>
      <c r="B2499" t="str">
        <f>"201158C01002"</f>
        <v>201158C01002</v>
      </c>
      <c r="C2499" t="str">
        <f t="shared" si="116"/>
        <v>20</v>
      </c>
      <c r="D2499" t="s">
        <v>67</v>
      </c>
      <c r="E2499" t="str">
        <f t="shared" si="117"/>
        <v>011</v>
      </c>
      <c r="F2499" t="s">
        <v>2448</v>
      </c>
      <c r="G2499" t="str">
        <f>"1158"</f>
        <v>1158</v>
      </c>
      <c r="H2499" t="str">
        <f>"0001"</f>
        <v>0001</v>
      </c>
      <c r="I2499" t="s">
        <v>75</v>
      </c>
      <c r="J2499">
        <v>0</v>
      </c>
      <c r="K2499">
        <v>1</v>
      </c>
      <c r="L2499">
        <v>2</v>
      </c>
      <c r="M2499">
        <v>390</v>
      </c>
      <c r="N2499">
        <v>390</v>
      </c>
      <c r="O2499">
        <v>0</v>
      </c>
      <c r="P2499">
        <v>390</v>
      </c>
      <c r="Q2499">
        <v>5</v>
      </c>
      <c r="R2499">
        <v>44</v>
      </c>
      <c r="S2499">
        <v>145</v>
      </c>
      <c r="T2499">
        <v>3</v>
      </c>
      <c r="U2499">
        <v>6</v>
      </c>
      <c r="V2499">
        <v>8</v>
      </c>
      <c r="W2499">
        <v>2</v>
      </c>
      <c r="X2499">
        <v>96</v>
      </c>
      <c r="Y2499">
        <v>0</v>
      </c>
      <c r="Z2499">
        <v>5</v>
      </c>
      <c r="AA2499">
        <v>12</v>
      </c>
      <c r="AB2499">
        <v>42</v>
      </c>
      <c r="AD2499">
        <v>0</v>
      </c>
      <c r="AE2499">
        <v>0</v>
      </c>
      <c r="AF2499">
        <v>1</v>
      </c>
      <c r="AG2499">
        <v>4</v>
      </c>
      <c r="AH2499">
        <v>0</v>
      </c>
      <c r="AI2499">
        <v>0</v>
      </c>
      <c r="AJ2499">
        <v>17</v>
      </c>
      <c r="AK2499">
        <v>390</v>
      </c>
      <c r="AL2499">
        <v>390</v>
      </c>
      <c r="AM2499">
        <v>549</v>
      </c>
      <c r="AN2499">
        <v>44</v>
      </c>
      <c r="AP2499">
        <v>1</v>
      </c>
      <c r="AR2499" t="s">
        <v>2592</v>
      </c>
      <c r="AS2499" s="1">
        <v>44354.226388888892</v>
      </c>
      <c r="AT2499" s="1">
        <v>44354.231782407405</v>
      </c>
      <c r="AU2499" s="1">
        <v>44354.232303240744</v>
      </c>
      <c r="AV2499" t="s">
        <v>71</v>
      </c>
      <c r="AW2499" t="s">
        <v>72</v>
      </c>
      <c r="AX2499" t="s">
        <v>73</v>
      </c>
    </row>
    <row r="2500" spans="1:50" x14ac:dyDescent="0.3">
      <c r="A2500" t="str">
        <f>"201158E0100"</f>
        <v>201158E0100</v>
      </c>
      <c r="B2500" t="str">
        <f>"201158E01002"</f>
        <v>201158E01002</v>
      </c>
      <c r="C2500" t="str">
        <f t="shared" si="116"/>
        <v>20</v>
      </c>
      <c r="D2500" t="s">
        <v>67</v>
      </c>
      <c r="E2500" t="str">
        <f t="shared" si="117"/>
        <v>011</v>
      </c>
      <c r="F2500" t="s">
        <v>2448</v>
      </c>
      <c r="G2500" t="str">
        <f>"1158"</f>
        <v>1158</v>
      </c>
      <c r="H2500" t="str">
        <f>"0001"</f>
        <v>0001</v>
      </c>
      <c r="I2500" t="s">
        <v>109</v>
      </c>
      <c r="J2500">
        <v>0</v>
      </c>
      <c r="K2500">
        <v>1</v>
      </c>
      <c r="L2500">
        <v>2</v>
      </c>
      <c r="M2500">
        <v>80</v>
      </c>
      <c r="N2500">
        <v>152</v>
      </c>
      <c r="O2500">
        <v>8</v>
      </c>
      <c r="P2500">
        <v>152</v>
      </c>
      <c r="Q2500">
        <v>0</v>
      </c>
      <c r="R2500">
        <v>0</v>
      </c>
      <c r="S2500">
        <v>54</v>
      </c>
      <c r="T2500">
        <v>0</v>
      </c>
      <c r="U2500">
        <v>1</v>
      </c>
      <c r="V2500">
        <v>0</v>
      </c>
      <c r="W2500">
        <v>1</v>
      </c>
      <c r="X2500">
        <v>92</v>
      </c>
      <c r="Y2500">
        <v>0</v>
      </c>
      <c r="Z2500">
        <v>0</v>
      </c>
      <c r="AA2500">
        <v>1</v>
      </c>
      <c r="AB2500">
        <v>2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152</v>
      </c>
      <c r="AL2500">
        <v>151</v>
      </c>
      <c r="AM2500">
        <v>188</v>
      </c>
      <c r="AN2500">
        <v>44</v>
      </c>
      <c r="AP2500">
        <v>1</v>
      </c>
      <c r="AR2500" t="s">
        <v>2593</v>
      </c>
      <c r="AS2500" s="1">
        <v>44354.227777777778</v>
      </c>
      <c r="AT2500" s="1">
        <v>44354.239444444444</v>
      </c>
      <c r="AU2500" s="1">
        <v>44354.240069444444</v>
      </c>
      <c r="AV2500" t="s">
        <v>71</v>
      </c>
      <c r="AW2500" t="s">
        <v>72</v>
      </c>
      <c r="AX2500" t="s">
        <v>73</v>
      </c>
    </row>
    <row r="2501" spans="1:50" x14ac:dyDescent="0.3">
      <c r="A2501" t="str">
        <f>"201159B0000"</f>
        <v>201159B0000</v>
      </c>
      <c r="B2501" t="str">
        <f>"201159B00002"</f>
        <v>201159B00002</v>
      </c>
      <c r="C2501" t="str">
        <f t="shared" si="116"/>
        <v>20</v>
      </c>
      <c r="D2501" t="s">
        <v>67</v>
      </c>
      <c r="E2501" t="str">
        <f t="shared" si="117"/>
        <v>011</v>
      </c>
      <c r="F2501" t="s">
        <v>2448</v>
      </c>
      <c r="G2501" t="str">
        <f>"1159"</f>
        <v>1159</v>
      </c>
      <c r="H2501" t="str">
        <f>"0000"</f>
        <v>0000</v>
      </c>
      <c r="I2501" t="s">
        <v>69</v>
      </c>
      <c r="J2501">
        <v>0</v>
      </c>
      <c r="K2501">
        <v>1</v>
      </c>
      <c r="L2501">
        <v>2</v>
      </c>
      <c r="M2501">
        <v>180</v>
      </c>
      <c r="N2501">
        <v>392</v>
      </c>
      <c r="O2501">
        <v>0</v>
      </c>
      <c r="P2501">
        <v>392</v>
      </c>
      <c r="Q2501">
        <v>0</v>
      </c>
      <c r="R2501">
        <v>15</v>
      </c>
      <c r="S2501">
        <v>167</v>
      </c>
      <c r="T2501">
        <v>0</v>
      </c>
      <c r="U2501">
        <v>6</v>
      </c>
      <c r="V2501">
        <v>19</v>
      </c>
      <c r="W2501">
        <v>0</v>
      </c>
      <c r="X2501">
        <v>109</v>
      </c>
      <c r="Y2501">
        <v>0</v>
      </c>
      <c r="Z2501">
        <v>2</v>
      </c>
      <c r="AA2501">
        <v>37</v>
      </c>
      <c r="AB2501">
        <v>25</v>
      </c>
      <c r="AD2501">
        <v>0</v>
      </c>
      <c r="AE2501">
        <v>0</v>
      </c>
      <c r="AF2501">
        <v>0</v>
      </c>
      <c r="AG2501">
        <v>1</v>
      </c>
      <c r="AH2501">
        <v>0</v>
      </c>
      <c r="AI2501">
        <v>0</v>
      </c>
      <c r="AJ2501">
        <v>11</v>
      </c>
      <c r="AK2501">
        <v>392</v>
      </c>
      <c r="AL2501">
        <v>392</v>
      </c>
      <c r="AM2501">
        <v>528</v>
      </c>
      <c r="AN2501">
        <v>44</v>
      </c>
      <c r="AP2501">
        <v>1</v>
      </c>
      <c r="AR2501" t="s">
        <v>2594</v>
      </c>
      <c r="AS2501" s="1">
        <v>44354.239583333336</v>
      </c>
      <c r="AT2501" s="1">
        <v>44354.242766203701</v>
      </c>
      <c r="AU2501" s="1">
        <v>44354.243483796294</v>
      </c>
      <c r="AV2501" t="s">
        <v>71</v>
      </c>
      <c r="AW2501" t="s">
        <v>72</v>
      </c>
      <c r="AX2501" t="s">
        <v>73</v>
      </c>
    </row>
    <row r="2502" spans="1:50" x14ac:dyDescent="0.3">
      <c r="A2502" t="str">
        <f>"201159C0100"</f>
        <v>201159C0100</v>
      </c>
      <c r="B2502" t="str">
        <f>"201159C01002"</f>
        <v>201159C01002</v>
      </c>
      <c r="C2502" t="str">
        <f t="shared" si="116"/>
        <v>20</v>
      </c>
      <c r="D2502" t="s">
        <v>67</v>
      </c>
      <c r="E2502" t="str">
        <f t="shared" si="117"/>
        <v>011</v>
      </c>
      <c r="F2502" t="s">
        <v>2448</v>
      </c>
      <c r="G2502" t="str">
        <f>"1159"</f>
        <v>1159</v>
      </c>
      <c r="H2502" t="str">
        <f>"0001"</f>
        <v>0001</v>
      </c>
      <c r="I2502" t="s">
        <v>75</v>
      </c>
      <c r="J2502">
        <v>0</v>
      </c>
      <c r="K2502">
        <v>1</v>
      </c>
      <c r="L2502">
        <v>2</v>
      </c>
      <c r="M2502">
        <v>187</v>
      </c>
      <c r="N2502">
        <v>384</v>
      </c>
      <c r="O2502">
        <v>0</v>
      </c>
      <c r="P2502">
        <v>384</v>
      </c>
      <c r="Q2502">
        <v>2</v>
      </c>
      <c r="R2502">
        <v>22</v>
      </c>
      <c r="S2502">
        <v>151</v>
      </c>
      <c r="T2502">
        <v>1</v>
      </c>
      <c r="U2502">
        <v>5</v>
      </c>
      <c r="V2502">
        <v>11</v>
      </c>
      <c r="W2502">
        <v>0</v>
      </c>
      <c r="X2502">
        <v>123</v>
      </c>
      <c r="Y2502">
        <v>2</v>
      </c>
      <c r="Z2502">
        <v>2</v>
      </c>
      <c r="AA2502">
        <v>38</v>
      </c>
      <c r="AB2502">
        <v>18</v>
      </c>
      <c r="AD2502">
        <v>0</v>
      </c>
      <c r="AE2502">
        <v>0</v>
      </c>
      <c r="AF2502">
        <v>0</v>
      </c>
      <c r="AG2502">
        <v>1</v>
      </c>
      <c r="AH2502">
        <v>0</v>
      </c>
      <c r="AI2502">
        <v>0</v>
      </c>
      <c r="AJ2502">
        <v>8</v>
      </c>
      <c r="AK2502">
        <v>384</v>
      </c>
      <c r="AL2502">
        <v>384</v>
      </c>
      <c r="AM2502">
        <v>527</v>
      </c>
      <c r="AN2502">
        <v>44</v>
      </c>
      <c r="AP2502">
        <v>1</v>
      </c>
      <c r="AR2502" t="s">
        <v>2595</v>
      </c>
      <c r="AS2502" s="1">
        <v>44354.237500000003</v>
      </c>
      <c r="AT2502" s="1">
        <v>44354.241296296299</v>
      </c>
      <c r="AU2502" s="1">
        <v>44354.241793981484</v>
      </c>
      <c r="AV2502" t="s">
        <v>71</v>
      </c>
      <c r="AW2502" t="s">
        <v>72</v>
      </c>
      <c r="AX2502" t="s">
        <v>73</v>
      </c>
    </row>
    <row r="2503" spans="1:50" x14ac:dyDescent="0.3">
      <c r="A2503" t="str">
        <f>"201160B0000"</f>
        <v>201160B0000</v>
      </c>
      <c r="B2503" t="str">
        <f>"201160B00002"</f>
        <v>201160B00002</v>
      </c>
      <c r="C2503" t="str">
        <f t="shared" ref="C2503:C2566" si="118">"20"</f>
        <v>20</v>
      </c>
      <c r="D2503" t="s">
        <v>67</v>
      </c>
      <c r="E2503" t="str">
        <f t="shared" si="117"/>
        <v>011</v>
      </c>
      <c r="F2503" t="s">
        <v>2448</v>
      </c>
      <c r="G2503" t="str">
        <f>"1160"</f>
        <v>1160</v>
      </c>
      <c r="H2503" t="str">
        <f>"0000"</f>
        <v>0000</v>
      </c>
      <c r="I2503" t="s">
        <v>69</v>
      </c>
      <c r="J2503">
        <v>0</v>
      </c>
      <c r="K2503">
        <v>1</v>
      </c>
      <c r="L2503">
        <v>2</v>
      </c>
      <c r="M2503">
        <v>193</v>
      </c>
      <c r="N2503">
        <v>499</v>
      </c>
      <c r="O2503">
        <v>0</v>
      </c>
      <c r="P2503">
        <v>499</v>
      </c>
      <c r="Q2503">
        <v>0</v>
      </c>
      <c r="R2503">
        <v>16</v>
      </c>
      <c r="S2503">
        <v>322</v>
      </c>
      <c r="T2503">
        <v>1</v>
      </c>
      <c r="U2503">
        <v>40</v>
      </c>
      <c r="V2503">
        <v>0</v>
      </c>
      <c r="W2503">
        <v>1</v>
      </c>
      <c r="X2503">
        <v>83</v>
      </c>
      <c r="Y2503">
        <v>0</v>
      </c>
      <c r="Z2503">
        <v>0</v>
      </c>
      <c r="AA2503">
        <v>10</v>
      </c>
      <c r="AB2503">
        <v>8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2</v>
      </c>
      <c r="AJ2503">
        <v>16</v>
      </c>
      <c r="AK2503">
        <v>499</v>
      </c>
      <c r="AL2503">
        <v>499</v>
      </c>
      <c r="AM2503">
        <v>648</v>
      </c>
      <c r="AN2503">
        <v>44</v>
      </c>
      <c r="AP2503">
        <v>1</v>
      </c>
      <c r="AR2503" t="s">
        <v>2596</v>
      </c>
      <c r="AS2503" s="1">
        <v>44354.212500000001</v>
      </c>
      <c r="AT2503" s="1">
        <v>44354.219247685185</v>
      </c>
      <c r="AU2503" s="1">
        <v>44354.220370370371</v>
      </c>
      <c r="AV2503" t="s">
        <v>71</v>
      </c>
      <c r="AW2503" t="s">
        <v>72</v>
      </c>
      <c r="AX2503" t="s">
        <v>73</v>
      </c>
    </row>
    <row r="2504" spans="1:50" x14ac:dyDescent="0.3">
      <c r="A2504" t="str">
        <f>"201160C0100"</f>
        <v>201160C0100</v>
      </c>
      <c r="B2504" t="str">
        <f>"201160C01002"</f>
        <v>201160C01002</v>
      </c>
      <c r="C2504" t="str">
        <f t="shared" si="118"/>
        <v>20</v>
      </c>
      <c r="D2504" t="s">
        <v>67</v>
      </c>
      <c r="E2504" t="str">
        <f t="shared" si="117"/>
        <v>011</v>
      </c>
      <c r="F2504" t="s">
        <v>2448</v>
      </c>
      <c r="G2504" t="str">
        <f>"1160"</f>
        <v>1160</v>
      </c>
      <c r="H2504" t="str">
        <f>"0001"</f>
        <v>0001</v>
      </c>
      <c r="I2504" t="s">
        <v>75</v>
      </c>
      <c r="J2504">
        <v>0</v>
      </c>
      <c r="K2504">
        <v>1</v>
      </c>
      <c r="L2504">
        <v>2</v>
      </c>
      <c r="M2504">
        <v>192</v>
      </c>
      <c r="N2504">
        <v>500</v>
      </c>
      <c r="O2504">
        <v>0</v>
      </c>
      <c r="P2504">
        <v>500</v>
      </c>
      <c r="Q2504">
        <v>0</v>
      </c>
      <c r="R2504">
        <v>9</v>
      </c>
      <c r="S2504">
        <v>337</v>
      </c>
      <c r="T2504">
        <v>3</v>
      </c>
      <c r="U2504">
        <v>25</v>
      </c>
      <c r="V2504">
        <v>1</v>
      </c>
      <c r="W2504">
        <v>1</v>
      </c>
      <c r="X2504">
        <v>82</v>
      </c>
      <c r="Y2504">
        <v>0</v>
      </c>
      <c r="Z2504">
        <v>0</v>
      </c>
      <c r="AA2504">
        <v>25</v>
      </c>
      <c r="AB2504">
        <v>12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1</v>
      </c>
      <c r="AJ2504">
        <v>4</v>
      </c>
      <c r="AK2504">
        <v>500</v>
      </c>
      <c r="AL2504">
        <v>500</v>
      </c>
      <c r="AM2504">
        <v>648</v>
      </c>
      <c r="AN2504">
        <v>44</v>
      </c>
      <c r="AP2504">
        <v>1</v>
      </c>
      <c r="AR2504" t="s">
        <v>2597</v>
      </c>
      <c r="AS2504" s="1">
        <v>44354.209027777775</v>
      </c>
      <c r="AT2504" s="1">
        <v>44354.212835648148</v>
      </c>
      <c r="AU2504" s="1">
        <v>44354.213564814818</v>
      </c>
      <c r="AV2504" t="s">
        <v>71</v>
      </c>
      <c r="AW2504" t="s">
        <v>72</v>
      </c>
      <c r="AX2504" t="s">
        <v>73</v>
      </c>
    </row>
    <row r="2505" spans="1:50" x14ac:dyDescent="0.3">
      <c r="A2505" t="str">
        <f>"201161B0000"</f>
        <v>201161B0000</v>
      </c>
      <c r="B2505" t="str">
        <f>"201161B00002"</f>
        <v>201161B00002</v>
      </c>
      <c r="C2505" t="str">
        <f t="shared" si="118"/>
        <v>20</v>
      </c>
      <c r="D2505" t="s">
        <v>67</v>
      </c>
      <c r="E2505" t="str">
        <f t="shared" si="117"/>
        <v>011</v>
      </c>
      <c r="F2505" t="s">
        <v>2448</v>
      </c>
      <c r="G2505" t="str">
        <f>"1161"</f>
        <v>1161</v>
      </c>
      <c r="H2505" t="str">
        <f>"0000"</f>
        <v>0000</v>
      </c>
      <c r="I2505" t="s">
        <v>69</v>
      </c>
      <c r="J2505">
        <v>0</v>
      </c>
      <c r="K2505">
        <v>1</v>
      </c>
      <c r="L2505">
        <v>2</v>
      </c>
      <c r="M2505">
        <v>129</v>
      </c>
      <c r="N2505">
        <v>454</v>
      </c>
      <c r="O2505">
        <v>0</v>
      </c>
      <c r="P2505">
        <v>454</v>
      </c>
      <c r="Q2505">
        <v>9</v>
      </c>
      <c r="R2505">
        <v>2</v>
      </c>
      <c r="S2505">
        <v>206</v>
      </c>
      <c r="T2505">
        <v>0</v>
      </c>
      <c r="U2505">
        <v>1</v>
      </c>
      <c r="V2505">
        <v>9</v>
      </c>
      <c r="W2505">
        <v>0</v>
      </c>
      <c r="X2505">
        <v>151</v>
      </c>
      <c r="Y2505">
        <v>0</v>
      </c>
      <c r="Z2505">
        <v>0</v>
      </c>
      <c r="AA2505">
        <v>1</v>
      </c>
      <c r="AB2505">
        <v>66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9</v>
      </c>
      <c r="AK2505">
        <v>454</v>
      </c>
      <c r="AL2505">
        <v>454</v>
      </c>
      <c r="AM2505">
        <v>539</v>
      </c>
      <c r="AN2505">
        <v>44</v>
      </c>
      <c r="AP2505">
        <v>1</v>
      </c>
      <c r="AR2505" t="s">
        <v>2598</v>
      </c>
      <c r="AS2505" s="1">
        <v>44354.212500000001</v>
      </c>
      <c r="AT2505" s="1">
        <v>44354.216493055559</v>
      </c>
      <c r="AU2505" s="1">
        <v>44354.216990740744</v>
      </c>
      <c r="AV2505" t="s">
        <v>71</v>
      </c>
      <c r="AW2505" t="s">
        <v>72</v>
      </c>
      <c r="AX2505" t="s">
        <v>73</v>
      </c>
    </row>
    <row r="2506" spans="1:50" x14ac:dyDescent="0.3">
      <c r="A2506" t="str">
        <f>"201161C0100"</f>
        <v>201161C0100</v>
      </c>
      <c r="B2506" t="str">
        <f>"201161C01002"</f>
        <v>201161C01002</v>
      </c>
      <c r="C2506" t="str">
        <f t="shared" si="118"/>
        <v>20</v>
      </c>
      <c r="D2506" t="s">
        <v>67</v>
      </c>
      <c r="E2506" t="str">
        <f t="shared" si="117"/>
        <v>011</v>
      </c>
      <c r="F2506" t="s">
        <v>2448</v>
      </c>
      <c r="G2506" t="str">
        <f>"1161"</f>
        <v>1161</v>
      </c>
      <c r="H2506" t="str">
        <f>"0001"</f>
        <v>0001</v>
      </c>
      <c r="I2506" t="s">
        <v>75</v>
      </c>
      <c r="J2506">
        <v>0</v>
      </c>
      <c r="K2506">
        <v>1</v>
      </c>
      <c r="L2506">
        <v>2</v>
      </c>
      <c r="M2506">
        <v>143</v>
      </c>
      <c r="N2506">
        <v>439</v>
      </c>
      <c r="O2506">
        <v>2</v>
      </c>
      <c r="P2506">
        <v>439</v>
      </c>
      <c r="Q2506">
        <v>5</v>
      </c>
      <c r="R2506">
        <v>4</v>
      </c>
      <c r="S2506">
        <v>207</v>
      </c>
      <c r="T2506">
        <v>0</v>
      </c>
      <c r="U2506">
        <v>3</v>
      </c>
      <c r="V2506">
        <v>18</v>
      </c>
      <c r="W2506">
        <v>0</v>
      </c>
      <c r="X2506">
        <v>110</v>
      </c>
      <c r="Y2506">
        <v>0</v>
      </c>
      <c r="Z2506">
        <v>1</v>
      </c>
      <c r="AA2506">
        <v>0</v>
      </c>
      <c r="AB2506">
        <v>78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13</v>
      </c>
      <c r="AK2506">
        <v>439</v>
      </c>
      <c r="AL2506">
        <v>439</v>
      </c>
      <c r="AM2506">
        <v>538</v>
      </c>
      <c r="AN2506">
        <v>44</v>
      </c>
      <c r="AP2506">
        <v>1</v>
      </c>
      <c r="AR2506" t="s">
        <v>2599</v>
      </c>
      <c r="AS2506" s="1">
        <v>44354.212500000001</v>
      </c>
      <c r="AT2506" s="1">
        <v>44354.217546296299</v>
      </c>
      <c r="AU2506" s="1">
        <v>44354.21837962963</v>
      </c>
      <c r="AV2506" t="s">
        <v>71</v>
      </c>
      <c r="AW2506" t="s">
        <v>72</v>
      </c>
      <c r="AX2506" t="s">
        <v>73</v>
      </c>
    </row>
    <row r="2507" spans="1:50" x14ac:dyDescent="0.3">
      <c r="A2507" t="str">
        <f>"201189B0000"</f>
        <v>201189B0000</v>
      </c>
      <c r="B2507" t="str">
        <f>"201189B00002"</f>
        <v>201189B00002</v>
      </c>
      <c r="C2507" t="str">
        <f t="shared" si="118"/>
        <v>20</v>
      </c>
      <c r="D2507" t="s">
        <v>67</v>
      </c>
      <c r="E2507" t="str">
        <f t="shared" si="117"/>
        <v>011</v>
      </c>
      <c r="F2507" t="s">
        <v>2448</v>
      </c>
      <c r="G2507" t="str">
        <f t="shared" ref="G2507:G2512" si="119">"1189"</f>
        <v>1189</v>
      </c>
      <c r="H2507" t="str">
        <f>"0000"</f>
        <v>0000</v>
      </c>
      <c r="I2507" t="s">
        <v>69</v>
      </c>
      <c r="J2507">
        <v>0</v>
      </c>
      <c r="K2507">
        <v>1</v>
      </c>
      <c r="L2507">
        <v>2</v>
      </c>
      <c r="M2507">
        <v>425</v>
      </c>
      <c r="N2507">
        <v>349</v>
      </c>
      <c r="O2507">
        <v>0</v>
      </c>
      <c r="P2507">
        <v>349</v>
      </c>
      <c r="Q2507">
        <v>6</v>
      </c>
      <c r="R2507">
        <v>35</v>
      </c>
      <c r="S2507">
        <v>9</v>
      </c>
      <c r="T2507">
        <v>4</v>
      </c>
      <c r="U2507">
        <v>5</v>
      </c>
      <c r="V2507">
        <v>3</v>
      </c>
      <c r="W2507">
        <v>2</v>
      </c>
      <c r="X2507">
        <v>259</v>
      </c>
      <c r="Y2507">
        <v>1</v>
      </c>
      <c r="Z2507">
        <v>9</v>
      </c>
      <c r="AA2507">
        <v>7</v>
      </c>
      <c r="AB2507">
        <v>3</v>
      </c>
      <c r="AD2507">
        <v>1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5</v>
      </c>
      <c r="AK2507">
        <v>349</v>
      </c>
      <c r="AL2507">
        <v>349</v>
      </c>
      <c r="AM2507">
        <v>730</v>
      </c>
      <c r="AN2507">
        <v>44</v>
      </c>
      <c r="AP2507">
        <v>1</v>
      </c>
      <c r="AR2507" t="s">
        <v>2600</v>
      </c>
      <c r="AS2507" s="1">
        <v>44354.168749999997</v>
      </c>
      <c r="AT2507" s="1">
        <v>44354.171053240738</v>
      </c>
      <c r="AU2507" s="1">
        <v>44354.172106481485</v>
      </c>
      <c r="AV2507" t="s">
        <v>71</v>
      </c>
      <c r="AW2507" t="s">
        <v>72</v>
      </c>
      <c r="AX2507" t="s">
        <v>73</v>
      </c>
    </row>
    <row r="2508" spans="1:50" x14ac:dyDescent="0.3">
      <c r="A2508" t="str">
        <f>"201189E0100"</f>
        <v>201189E0100</v>
      </c>
      <c r="B2508" t="str">
        <f>"201189E01002"</f>
        <v>201189E01002</v>
      </c>
      <c r="C2508" t="str">
        <f t="shared" si="118"/>
        <v>20</v>
      </c>
      <c r="D2508" t="s">
        <v>67</v>
      </c>
      <c r="E2508" t="str">
        <f t="shared" si="117"/>
        <v>011</v>
      </c>
      <c r="F2508" t="s">
        <v>2448</v>
      </c>
      <c r="G2508" t="str">
        <f t="shared" si="119"/>
        <v>1189</v>
      </c>
      <c r="H2508" t="str">
        <f>"0001"</f>
        <v>0001</v>
      </c>
      <c r="I2508" t="s">
        <v>109</v>
      </c>
      <c r="J2508">
        <v>0</v>
      </c>
      <c r="K2508">
        <v>1</v>
      </c>
      <c r="L2508">
        <v>2</v>
      </c>
      <c r="M2508">
        <v>133</v>
      </c>
      <c r="N2508">
        <v>168</v>
      </c>
      <c r="O2508">
        <v>0</v>
      </c>
      <c r="P2508">
        <v>168</v>
      </c>
      <c r="Q2508">
        <v>7</v>
      </c>
      <c r="R2508">
        <v>29</v>
      </c>
      <c r="S2508">
        <v>3</v>
      </c>
      <c r="T2508">
        <v>3</v>
      </c>
      <c r="U2508">
        <v>6</v>
      </c>
      <c r="V2508">
        <v>4</v>
      </c>
      <c r="W2508">
        <v>0</v>
      </c>
      <c r="X2508">
        <v>99</v>
      </c>
      <c r="Y2508">
        <v>2</v>
      </c>
      <c r="Z2508">
        <v>1</v>
      </c>
      <c r="AA2508">
        <v>4</v>
      </c>
      <c r="AB2508">
        <v>1</v>
      </c>
      <c r="AD2508" t="s">
        <v>77</v>
      </c>
      <c r="AE2508" t="s">
        <v>77</v>
      </c>
      <c r="AF2508" t="s">
        <v>77</v>
      </c>
      <c r="AG2508" t="s">
        <v>77</v>
      </c>
      <c r="AH2508" t="s">
        <v>77</v>
      </c>
      <c r="AI2508" t="s">
        <v>77</v>
      </c>
      <c r="AJ2508" t="s">
        <v>77</v>
      </c>
      <c r="AK2508">
        <v>168</v>
      </c>
      <c r="AL2508">
        <v>159</v>
      </c>
      <c r="AM2508">
        <v>257</v>
      </c>
      <c r="AN2508">
        <v>44</v>
      </c>
      <c r="AO2508" t="s">
        <v>78</v>
      </c>
      <c r="AP2508">
        <v>1</v>
      </c>
      <c r="AR2508" t="s">
        <v>2601</v>
      </c>
      <c r="AS2508" s="1">
        <v>44354.255555555559</v>
      </c>
      <c r="AT2508" s="1">
        <v>44354.261516203704</v>
      </c>
      <c r="AU2508" s="1">
        <v>44354.262094907404</v>
      </c>
      <c r="AV2508" t="s">
        <v>71</v>
      </c>
      <c r="AW2508" t="s">
        <v>72</v>
      </c>
      <c r="AX2508" t="s">
        <v>73</v>
      </c>
    </row>
    <row r="2509" spans="1:50" x14ac:dyDescent="0.3">
      <c r="A2509" t="str">
        <f>"201189E0200"</f>
        <v>201189E0200</v>
      </c>
      <c r="B2509" t="str">
        <f>"201189E02002"</f>
        <v>201189E02002</v>
      </c>
      <c r="C2509" t="str">
        <f t="shared" si="118"/>
        <v>20</v>
      </c>
      <c r="D2509" t="s">
        <v>67</v>
      </c>
      <c r="E2509" t="str">
        <f t="shared" si="117"/>
        <v>011</v>
      </c>
      <c r="F2509" t="s">
        <v>2448</v>
      </c>
      <c r="G2509" t="str">
        <f t="shared" si="119"/>
        <v>1189</v>
      </c>
      <c r="H2509" t="str">
        <f>"0002"</f>
        <v>0002</v>
      </c>
      <c r="I2509" t="s">
        <v>109</v>
      </c>
      <c r="J2509">
        <v>0</v>
      </c>
      <c r="K2509">
        <v>1</v>
      </c>
      <c r="L2509">
        <v>2</v>
      </c>
      <c r="M2509">
        <v>209</v>
      </c>
      <c r="N2509">
        <v>91</v>
      </c>
      <c r="O2509">
        <v>0</v>
      </c>
      <c r="P2509">
        <v>91</v>
      </c>
      <c r="Q2509">
        <v>3</v>
      </c>
      <c r="R2509">
        <v>6</v>
      </c>
      <c r="S2509">
        <v>2</v>
      </c>
      <c r="T2509">
        <v>2</v>
      </c>
      <c r="U2509">
        <v>1</v>
      </c>
      <c r="V2509">
        <v>2</v>
      </c>
      <c r="W2509">
        <v>1</v>
      </c>
      <c r="X2509">
        <v>64</v>
      </c>
      <c r="Y2509">
        <v>0</v>
      </c>
      <c r="Z2509">
        <v>1</v>
      </c>
      <c r="AA2509">
        <v>1</v>
      </c>
      <c r="AB2509">
        <v>3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5</v>
      </c>
      <c r="AK2509">
        <v>91</v>
      </c>
      <c r="AL2509">
        <v>91</v>
      </c>
      <c r="AM2509">
        <v>256</v>
      </c>
      <c r="AN2509">
        <v>44</v>
      </c>
      <c r="AP2509">
        <v>1</v>
      </c>
      <c r="AR2509" t="s">
        <v>2602</v>
      </c>
      <c r="AS2509" s="1">
        <v>44354.270833333336</v>
      </c>
      <c r="AT2509" s="1">
        <v>44354.276030092595</v>
      </c>
      <c r="AU2509" s="1">
        <v>44354.276388888888</v>
      </c>
      <c r="AV2509" t="s">
        <v>71</v>
      </c>
      <c r="AW2509" t="s">
        <v>72</v>
      </c>
      <c r="AX2509" t="s">
        <v>73</v>
      </c>
    </row>
    <row r="2510" spans="1:50" x14ac:dyDescent="0.3">
      <c r="A2510" t="str">
        <f>"201189E0300"</f>
        <v>201189E0300</v>
      </c>
      <c r="B2510" t="str">
        <f>"201189E03002"</f>
        <v>201189E03002</v>
      </c>
      <c r="C2510" t="str">
        <f t="shared" si="118"/>
        <v>20</v>
      </c>
      <c r="D2510" t="s">
        <v>67</v>
      </c>
      <c r="E2510" t="str">
        <f t="shared" si="117"/>
        <v>011</v>
      </c>
      <c r="F2510" t="s">
        <v>2448</v>
      </c>
      <c r="G2510" t="str">
        <f t="shared" si="119"/>
        <v>1189</v>
      </c>
      <c r="H2510" t="str">
        <f>"0003"</f>
        <v>0003</v>
      </c>
      <c r="I2510" t="s">
        <v>109</v>
      </c>
      <c r="J2510">
        <v>0</v>
      </c>
      <c r="K2510">
        <v>1</v>
      </c>
      <c r="L2510">
        <v>2</v>
      </c>
      <c r="M2510">
        <v>146</v>
      </c>
      <c r="N2510">
        <v>120</v>
      </c>
      <c r="O2510">
        <v>0</v>
      </c>
      <c r="P2510">
        <v>120</v>
      </c>
      <c r="Q2510">
        <v>2</v>
      </c>
      <c r="R2510">
        <v>18</v>
      </c>
      <c r="S2510">
        <v>1</v>
      </c>
      <c r="T2510">
        <v>4</v>
      </c>
      <c r="U2510">
        <v>3</v>
      </c>
      <c r="V2510">
        <v>2</v>
      </c>
      <c r="W2510">
        <v>4</v>
      </c>
      <c r="X2510">
        <v>77</v>
      </c>
      <c r="Y2510">
        <v>1</v>
      </c>
      <c r="Z2510">
        <v>3</v>
      </c>
      <c r="AA2510">
        <v>1</v>
      </c>
      <c r="AB2510">
        <v>0</v>
      </c>
      <c r="AD2510">
        <v>1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3</v>
      </c>
      <c r="AK2510">
        <v>120</v>
      </c>
      <c r="AL2510">
        <v>120</v>
      </c>
      <c r="AM2510">
        <v>222</v>
      </c>
      <c r="AN2510">
        <v>44</v>
      </c>
      <c r="AP2510">
        <v>1</v>
      </c>
      <c r="AR2510" t="s">
        <v>2603</v>
      </c>
      <c r="AS2510" s="1">
        <v>44354.280555555553</v>
      </c>
      <c r="AT2510" s="1">
        <v>44354.286666666667</v>
      </c>
      <c r="AU2510" s="1">
        <v>44354.287476851852</v>
      </c>
      <c r="AV2510" t="s">
        <v>71</v>
      </c>
      <c r="AW2510" t="s">
        <v>72</v>
      </c>
      <c r="AX2510" t="s">
        <v>73</v>
      </c>
    </row>
    <row r="2511" spans="1:50" x14ac:dyDescent="0.3">
      <c r="A2511" t="str">
        <f>"201189E0400"</f>
        <v>201189E0400</v>
      </c>
      <c r="B2511" t="str">
        <f>"201189E04002"</f>
        <v>201189E04002</v>
      </c>
      <c r="C2511" t="str">
        <f t="shared" si="118"/>
        <v>20</v>
      </c>
      <c r="D2511" t="s">
        <v>67</v>
      </c>
      <c r="E2511" t="str">
        <f t="shared" si="117"/>
        <v>011</v>
      </c>
      <c r="F2511" t="s">
        <v>2448</v>
      </c>
      <c r="G2511" t="str">
        <f t="shared" si="119"/>
        <v>1189</v>
      </c>
      <c r="H2511" t="str">
        <f>"0004"</f>
        <v>0004</v>
      </c>
      <c r="I2511" t="s">
        <v>109</v>
      </c>
      <c r="J2511">
        <v>0</v>
      </c>
      <c r="K2511">
        <v>1</v>
      </c>
      <c r="L2511">
        <v>2</v>
      </c>
      <c r="M2511">
        <v>215</v>
      </c>
      <c r="N2511">
        <v>122</v>
      </c>
      <c r="O2511">
        <v>0</v>
      </c>
      <c r="P2511">
        <v>122</v>
      </c>
      <c r="Q2511">
        <v>4</v>
      </c>
      <c r="R2511">
        <v>12</v>
      </c>
      <c r="S2511">
        <v>1</v>
      </c>
      <c r="T2511">
        <v>2</v>
      </c>
      <c r="U2511">
        <v>2</v>
      </c>
      <c r="V2511">
        <v>2</v>
      </c>
      <c r="W2511">
        <v>3</v>
      </c>
      <c r="X2511">
        <v>87</v>
      </c>
      <c r="Y2511">
        <v>0</v>
      </c>
      <c r="Z2511">
        <v>2</v>
      </c>
      <c r="AA2511">
        <v>0</v>
      </c>
      <c r="AB2511">
        <v>2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4</v>
      </c>
      <c r="AK2511">
        <v>122</v>
      </c>
      <c r="AL2511">
        <v>121</v>
      </c>
      <c r="AM2511">
        <v>293</v>
      </c>
      <c r="AN2511">
        <v>44</v>
      </c>
      <c r="AP2511">
        <v>1</v>
      </c>
      <c r="AR2511" t="s">
        <v>2604</v>
      </c>
      <c r="AS2511" s="1">
        <v>44354.147916666669</v>
      </c>
      <c r="AT2511" s="1">
        <v>44354.150902777779</v>
      </c>
      <c r="AU2511" s="1">
        <v>44354.151365740741</v>
      </c>
      <c r="AV2511" t="s">
        <v>71</v>
      </c>
      <c r="AW2511" t="s">
        <v>72</v>
      </c>
      <c r="AX2511" t="s">
        <v>73</v>
      </c>
    </row>
    <row r="2512" spans="1:50" x14ac:dyDescent="0.3">
      <c r="A2512" t="str">
        <f>"201189E0500"</f>
        <v>201189E0500</v>
      </c>
      <c r="B2512" t="str">
        <f>"201189E05002"</f>
        <v>201189E05002</v>
      </c>
      <c r="C2512" t="str">
        <f t="shared" si="118"/>
        <v>20</v>
      </c>
      <c r="D2512" t="s">
        <v>67</v>
      </c>
      <c r="E2512" t="str">
        <f t="shared" si="117"/>
        <v>011</v>
      </c>
      <c r="F2512" t="s">
        <v>2448</v>
      </c>
      <c r="G2512" t="str">
        <f t="shared" si="119"/>
        <v>1189</v>
      </c>
      <c r="H2512" t="str">
        <f>"0005"</f>
        <v>0005</v>
      </c>
      <c r="I2512" t="s">
        <v>109</v>
      </c>
      <c r="J2512">
        <v>0</v>
      </c>
      <c r="K2512">
        <v>1</v>
      </c>
      <c r="L2512">
        <v>2</v>
      </c>
      <c r="M2512">
        <v>99</v>
      </c>
      <c r="N2512">
        <v>130</v>
      </c>
      <c r="O2512">
        <v>2</v>
      </c>
      <c r="P2512">
        <v>130</v>
      </c>
      <c r="Q2512">
        <v>2</v>
      </c>
      <c r="R2512">
        <v>48</v>
      </c>
      <c r="S2512">
        <v>3</v>
      </c>
      <c r="T2512">
        <v>0</v>
      </c>
      <c r="U2512">
        <v>6</v>
      </c>
      <c r="V2512">
        <v>0</v>
      </c>
      <c r="W2512">
        <v>0</v>
      </c>
      <c r="X2512">
        <v>60</v>
      </c>
      <c r="Y2512">
        <v>0</v>
      </c>
      <c r="Z2512">
        <v>2</v>
      </c>
      <c r="AA2512">
        <v>1</v>
      </c>
      <c r="AB2512">
        <v>1</v>
      </c>
      <c r="AD2512">
        <v>1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6</v>
      </c>
      <c r="AK2512">
        <v>130</v>
      </c>
      <c r="AL2512">
        <v>130</v>
      </c>
      <c r="AM2512">
        <v>185</v>
      </c>
      <c r="AN2512">
        <v>44</v>
      </c>
      <c r="AP2512">
        <v>1</v>
      </c>
      <c r="AR2512" t="s">
        <v>2605</v>
      </c>
      <c r="AS2512" s="1">
        <v>44354.265972222223</v>
      </c>
      <c r="AT2512" s="1">
        <v>44354.269375000003</v>
      </c>
      <c r="AU2512" s="1">
        <v>44354.269814814812</v>
      </c>
      <c r="AV2512" t="s">
        <v>71</v>
      </c>
      <c r="AW2512" t="s">
        <v>72</v>
      </c>
      <c r="AX2512" t="s">
        <v>73</v>
      </c>
    </row>
    <row r="2513" spans="1:50" x14ac:dyDescent="0.3">
      <c r="A2513" t="str">
        <f>"201192B0000"</f>
        <v>201192B0000</v>
      </c>
      <c r="B2513" t="str">
        <f>"201192B00002"</f>
        <v>201192B00002</v>
      </c>
      <c r="C2513" t="str">
        <f t="shared" si="118"/>
        <v>20</v>
      </c>
      <c r="D2513" t="s">
        <v>67</v>
      </c>
      <c r="E2513" t="str">
        <f t="shared" si="117"/>
        <v>011</v>
      </c>
      <c r="F2513" t="s">
        <v>2448</v>
      </c>
      <c r="G2513" t="str">
        <f>"1192"</f>
        <v>1192</v>
      </c>
      <c r="H2513" t="str">
        <f>"0000"</f>
        <v>0000</v>
      </c>
      <c r="I2513" t="s">
        <v>69</v>
      </c>
      <c r="J2513">
        <v>0</v>
      </c>
      <c r="K2513">
        <v>1</v>
      </c>
      <c r="L2513">
        <v>2</v>
      </c>
      <c r="M2513">
        <v>378</v>
      </c>
      <c r="N2513">
        <v>0</v>
      </c>
      <c r="O2513">
        <v>0</v>
      </c>
      <c r="P2513">
        <v>167</v>
      </c>
      <c r="Q2513">
        <v>2</v>
      </c>
      <c r="R2513">
        <v>50</v>
      </c>
      <c r="S2513">
        <v>5</v>
      </c>
      <c r="T2513">
        <v>3</v>
      </c>
      <c r="U2513">
        <v>6</v>
      </c>
      <c r="V2513">
        <v>1</v>
      </c>
      <c r="W2513">
        <v>0</v>
      </c>
      <c r="X2513">
        <v>78</v>
      </c>
      <c r="Y2513">
        <v>1</v>
      </c>
      <c r="Z2513">
        <v>2</v>
      </c>
      <c r="AA2513">
        <v>7</v>
      </c>
      <c r="AB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12</v>
      </c>
      <c r="AK2513">
        <v>167</v>
      </c>
      <c r="AL2513">
        <v>167</v>
      </c>
      <c r="AM2513">
        <v>501</v>
      </c>
      <c r="AN2513">
        <v>44</v>
      </c>
      <c r="AP2513">
        <v>1</v>
      </c>
      <c r="AR2513" t="s">
        <v>2606</v>
      </c>
      <c r="AS2513" s="1">
        <v>44353.927083333336</v>
      </c>
      <c r="AT2513" s="1">
        <v>44353.930439814816</v>
      </c>
      <c r="AU2513" s="1">
        <v>44353.931307870371</v>
      </c>
      <c r="AV2513" t="s">
        <v>71</v>
      </c>
      <c r="AW2513" t="s">
        <v>72</v>
      </c>
      <c r="AX2513" t="s">
        <v>73</v>
      </c>
    </row>
    <row r="2514" spans="1:50" x14ac:dyDescent="0.3">
      <c r="A2514" t="str">
        <f>"201192E0100"</f>
        <v>201192E0100</v>
      </c>
      <c r="B2514" t="str">
        <f>"201192E01002"</f>
        <v>201192E01002</v>
      </c>
      <c r="C2514" t="str">
        <f t="shared" si="118"/>
        <v>20</v>
      </c>
      <c r="D2514" t="s">
        <v>67</v>
      </c>
      <c r="E2514" t="str">
        <f t="shared" si="117"/>
        <v>011</v>
      </c>
      <c r="F2514" t="s">
        <v>2448</v>
      </c>
      <c r="G2514" t="str">
        <f>"1192"</f>
        <v>1192</v>
      </c>
      <c r="H2514" t="str">
        <f>"0001"</f>
        <v>0001</v>
      </c>
      <c r="I2514" t="s">
        <v>109</v>
      </c>
      <c r="J2514">
        <v>0</v>
      </c>
      <c r="K2514">
        <v>1</v>
      </c>
      <c r="L2514">
        <v>2</v>
      </c>
      <c r="M2514">
        <v>295</v>
      </c>
      <c r="N2514">
        <v>147</v>
      </c>
      <c r="O2514">
        <v>0</v>
      </c>
      <c r="P2514">
        <v>147</v>
      </c>
      <c r="Q2514">
        <v>10</v>
      </c>
      <c r="R2514">
        <v>68</v>
      </c>
      <c r="S2514">
        <v>6</v>
      </c>
      <c r="T2514">
        <v>1</v>
      </c>
      <c r="U2514">
        <v>0</v>
      </c>
      <c r="V2514">
        <v>1</v>
      </c>
      <c r="W2514">
        <v>2</v>
      </c>
      <c r="X2514">
        <v>49</v>
      </c>
      <c r="Y2514">
        <v>1</v>
      </c>
      <c r="Z2514">
        <v>1</v>
      </c>
      <c r="AA2514">
        <v>2</v>
      </c>
      <c r="AB2514">
        <v>0</v>
      </c>
      <c r="AD2514">
        <v>0</v>
      </c>
      <c r="AE2514">
        <v>1</v>
      </c>
      <c r="AF2514">
        <v>0</v>
      </c>
      <c r="AG2514">
        <v>0</v>
      </c>
      <c r="AH2514">
        <v>0</v>
      </c>
      <c r="AI2514">
        <v>0</v>
      </c>
      <c r="AJ2514">
        <v>5</v>
      </c>
      <c r="AK2514">
        <v>147</v>
      </c>
      <c r="AL2514">
        <v>147</v>
      </c>
      <c r="AM2514">
        <v>398</v>
      </c>
      <c r="AN2514">
        <v>44</v>
      </c>
      <c r="AP2514">
        <v>1</v>
      </c>
      <c r="AR2514" t="s">
        <v>2607</v>
      </c>
      <c r="AS2514" s="1">
        <v>44354.250694444447</v>
      </c>
      <c r="AT2514" s="1">
        <v>44354.255196759259</v>
      </c>
      <c r="AU2514" s="1">
        <v>44354.256203703706</v>
      </c>
      <c r="AV2514" t="s">
        <v>71</v>
      </c>
      <c r="AW2514" t="s">
        <v>72</v>
      </c>
      <c r="AX2514" t="s">
        <v>73</v>
      </c>
    </row>
    <row r="2515" spans="1:50" x14ac:dyDescent="0.3">
      <c r="A2515" t="str">
        <f>"201338B0000"</f>
        <v>201338B0000</v>
      </c>
      <c r="B2515" t="str">
        <f>"201338B00002"</f>
        <v>201338B00002</v>
      </c>
      <c r="C2515" t="str">
        <f t="shared" si="118"/>
        <v>20</v>
      </c>
      <c r="D2515" t="s">
        <v>67</v>
      </c>
      <c r="E2515" t="str">
        <f t="shared" si="117"/>
        <v>011</v>
      </c>
      <c r="F2515" t="s">
        <v>2448</v>
      </c>
      <c r="G2515" t="str">
        <f>"1338"</f>
        <v>1338</v>
      </c>
      <c r="H2515" t="str">
        <f>"0000"</f>
        <v>0000</v>
      </c>
      <c r="I2515" t="s">
        <v>69</v>
      </c>
      <c r="J2515">
        <v>0</v>
      </c>
      <c r="K2515">
        <v>1</v>
      </c>
      <c r="L2515">
        <v>2</v>
      </c>
      <c r="M2515">
        <v>264</v>
      </c>
      <c r="N2515">
        <v>253</v>
      </c>
      <c r="O2515">
        <v>0</v>
      </c>
      <c r="P2515">
        <v>253</v>
      </c>
      <c r="Q2515">
        <v>1</v>
      </c>
      <c r="R2515">
        <v>151</v>
      </c>
      <c r="S2515">
        <v>1</v>
      </c>
      <c r="T2515">
        <v>1</v>
      </c>
      <c r="U2515">
        <v>6</v>
      </c>
      <c r="V2515">
        <v>3</v>
      </c>
      <c r="W2515">
        <v>1</v>
      </c>
      <c r="X2515">
        <v>75</v>
      </c>
      <c r="Y2515">
        <v>2</v>
      </c>
      <c r="Z2515">
        <v>4</v>
      </c>
      <c r="AA2515">
        <v>1</v>
      </c>
      <c r="AB2515">
        <v>0</v>
      </c>
      <c r="AD2515">
        <v>1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6</v>
      </c>
      <c r="AK2515">
        <v>253</v>
      </c>
      <c r="AL2515">
        <v>253</v>
      </c>
      <c r="AM2515">
        <v>473</v>
      </c>
      <c r="AN2515">
        <v>44</v>
      </c>
      <c r="AP2515">
        <v>1</v>
      </c>
      <c r="AR2515" t="s">
        <v>2608</v>
      </c>
      <c r="AS2515" s="1">
        <v>44354.11041666667</v>
      </c>
      <c r="AT2515" s="1">
        <v>44354.114502314813</v>
      </c>
      <c r="AU2515" s="1">
        <v>44354.115046296298</v>
      </c>
      <c r="AV2515" t="s">
        <v>71</v>
      </c>
      <c r="AW2515" t="s">
        <v>72</v>
      </c>
      <c r="AX2515" t="s">
        <v>73</v>
      </c>
    </row>
    <row r="2516" spans="1:50" x14ac:dyDescent="0.3">
      <c r="A2516" t="str">
        <f>"201338C0100"</f>
        <v>201338C0100</v>
      </c>
      <c r="B2516" t="str">
        <f>"201338C01002"</f>
        <v>201338C01002</v>
      </c>
      <c r="C2516" t="str">
        <f t="shared" si="118"/>
        <v>20</v>
      </c>
      <c r="D2516" t="s">
        <v>67</v>
      </c>
      <c r="E2516" t="str">
        <f t="shared" si="117"/>
        <v>011</v>
      </c>
      <c r="F2516" t="s">
        <v>2448</v>
      </c>
      <c r="G2516" t="str">
        <f>"1338"</f>
        <v>1338</v>
      </c>
      <c r="H2516" t="str">
        <f>"0001"</f>
        <v>0001</v>
      </c>
      <c r="I2516" t="s">
        <v>75</v>
      </c>
      <c r="J2516">
        <v>0</v>
      </c>
      <c r="K2516">
        <v>1</v>
      </c>
      <c r="L2516">
        <v>2</v>
      </c>
      <c r="M2516">
        <v>266</v>
      </c>
      <c r="N2516">
        <v>249</v>
      </c>
      <c r="O2516">
        <v>0</v>
      </c>
      <c r="P2516">
        <v>250</v>
      </c>
      <c r="Q2516">
        <v>1</v>
      </c>
      <c r="R2516">
        <v>117</v>
      </c>
      <c r="S2516">
        <v>2</v>
      </c>
      <c r="T2516">
        <v>1</v>
      </c>
      <c r="U2516">
        <v>3</v>
      </c>
      <c r="V2516">
        <v>5</v>
      </c>
      <c r="W2516">
        <v>0</v>
      </c>
      <c r="X2516">
        <v>93</v>
      </c>
      <c r="Y2516">
        <v>2</v>
      </c>
      <c r="Z2516">
        <v>1</v>
      </c>
      <c r="AA2516">
        <v>9</v>
      </c>
      <c r="AB2516">
        <v>1</v>
      </c>
      <c r="AD2516">
        <v>2</v>
      </c>
      <c r="AE2516">
        <v>0</v>
      </c>
      <c r="AF2516">
        <v>3</v>
      </c>
      <c r="AG2516">
        <v>1</v>
      </c>
      <c r="AH2516">
        <v>0</v>
      </c>
      <c r="AI2516">
        <v>0</v>
      </c>
      <c r="AJ2516">
        <v>9</v>
      </c>
      <c r="AK2516">
        <v>250</v>
      </c>
      <c r="AL2516">
        <v>250</v>
      </c>
      <c r="AM2516">
        <v>472</v>
      </c>
      <c r="AN2516">
        <v>44</v>
      </c>
      <c r="AP2516">
        <v>1</v>
      </c>
      <c r="AR2516" t="s">
        <v>2609</v>
      </c>
      <c r="AS2516" s="1">
        <v>44354.111805555556</v>
      </c>
      <c r="AT2516" s="1">
        <v>44354.115543981483</v>
      </c>
      <c r="AU2516" s="1">
        <v>44354.115972222222</v>
      </c>
      <c r="AV2516" t="s">
        <v>71</v>
      </c>
      <c r="AW2516" t="s">
        <v>72</v>
      </c>
      <c r="AX2516" t="s">
        <v>73</v>
      </c>
    </row>
    <row r="2517" spans="1:50" x14ac:dyDescent="0.3">
      <c r="A2517" t="str">
        <f>"201339B0000"</f>
        <v>201339B0000</v>
      </c>
      <c r="B2517" t="str">
        <f>"201339B00002"</f>
        <v>201339B00002</v>
      </c>
      <c r="C2517" t="str">
        <f t="shared" si="118"/>
        <v>20</v>
      </c>
      <c r="D2517" t="s">
        <v>67</v>
      </c>
      <c r="E2517" t="str">
        <f t="shared" si="117"/>
        <v>011</v>
      </c>
      <c r="F2517" t="s">
        <v>2448</v>
      </c>
      <c r="G2517" t="str">
        <f>"1339"</f>
        <v>1339</v>
      </c>
      <c r="H2517" t="str">
        <f>"0000"</f>
        <v>0000</v>
      </c>
      <c r="I2517" t="s">
        <v>69</v>
      </c>
      <c r="J2517">
        <v>0</v>
      </c>
      <c r="K2517">
        <v>1</v>
      </c>
      <c r="L2517">
        <v>2</v>
      </c>
      <c r="M2517">
        <v>181</v>
      </c>
      <c r="N2517">
        <v>180</v>
      </c>
      <c r="O2517">
        <v>0</v>
      </c>
      <c r="P2517">
        <v>180</v>
      </c>
      <c r="Q2517">
        <v>1</v>
      </c>
      <c r="R2517">
        <v>73</v>
      </c>
      <c r="S2517">
        <v>0</v>
      </c>
      <c r="T2517">
        <v>0</v>
      </c>
      <c r="U2517">
        <v>0</v>
      </c>
      <c r="V2517">
        <v>3</v>
      </c>
      <c r="W2517">
        <v>0</v>
      </c>
      <c r="X2517">
        <v>87</v>
      </c>
      <c r="Y2517">
        <v>1</v>
      </c>
      <c r="Z2517">
        <v>4</v>
      </c>
      <c r="AA2517">
        <v>4</v>
      </c>
      <c r="AB2517">
        <v>1</v>
      </c>
      <c r="AD2517">
        <v>0</v>
      </c>
      <c r="AE2517">
        <v>1</v>
      </c>
      <c r="AF2517">
        <v>0</v>
      </c>
      <c r="AG2517">
        <v>0</v>
      </c>
      <c r="AH2517">
        <v>0</v>
      </c>
      <c r="AI2517">
        <v>0</v>
      </c>
      <c r="AJ2517">
        <v>5</v>
      </c>
      <c r="AK2517">
        <v>180</v>
      </c>
      <c r="AL2517">
        <v>180</v>
      </c>
      <c r="AM2517">
        <v>317</v>
      </c>
      <c r="AN2517">
        <v>44</v>
      </c>
      <c r="AP2517">
        <v>1</v>
      </c>
      <c r="AR2517" t="s">
        <v>2610</v>
      </c>
      <c r="AS2517" s="1">
        <v>44354.112500000003</v>
      </c>
      <c r="AT2517" s="1">
        <v>44354.116307870368</v>
      </c>
      <c r="AU2517" s="1">
        <v>44354.1169212963</v>
      </c>
      <c r="AV2517" t="s">
        <v>71</v>
      </c>
      <c r="AW2517" t="s">
        <v>72</v>
      </c>
      <c r="AX2517" t="s">
        <v>73</v>
      </c>
    </row>
    <row r="2518" spans="1:50" x14ac:dyDescent="0.3">
      <c r="A2518" t="str">
        <f>"201339E0100"</f>
        <v>201339E0100</v>
      </c>
      <c r="B2518" t="str">
        <f>"201339E01002"</f>
        <v>201339E01002</v>
      </c>
      <c r="C2518" t="str">
        <f t="shared" si="118"/>
        <v>20</v>
      </c>
      <c r="D2518" t="s">
        <v>67</v>
      </c>
      <c r="E2518" t="str">
        <f t="shared" si="117"/>
        <v>011</v>
      </c>
      <c r="F2518" t="s">
        <v>2448</v>
      </c>
      <c r="G2518" t="str">
        <f>"1339"</f>
        <v>1339</v>
      </c>
      <c r="H2518" t="str">
        <f>"0001"</f>
        <v>0001</v>
      </c>
      <c r="I2518" t="s">
        <v>109</v>
      </c>
      <c r="J2518">
        <v>0</v>
      </c>
      <c r="K2518">
        <v>1</v>
      </c>
      <c r="L2518">
        <v>2</v>
      </c>
      <c r="M2518">
        <v>198</v>
      </c>
      <c r="N2518" t="s">
        <v>80</v>
      </c>
      <c r="O2518" t="s">
        <v>80</v>
      </c>
      <c r="P2518" t="s">
        <v>80</v>
      </c>
      <c r="Q2518">
        <v>2</v>
      </c>
      <c r="R2518">
        <v>95</v>
      </c>
      <c r="S2518">
        <v>7</v>
      </c>
      <c r="T2518">
        <v>0</v>
      </c>
      <c r="U2518">
        <v>4</v>
      </c>
      <c r="V2518">
        <v>0</v>
      </c>
      <c r="W2518">
        <v>2</v>
      </c>
      <c r="X2518">
        <v>112</v>
      </c>
      <c r="Y2518">
        <v>0</v>
      </c>
      <c r="Z2518">
        <v>4</v>
      </c>
      <c r="AA2518">
        <v>5</v>
      </c>
      <c r="AB2518">
        <v>0</v>
      </c>
      <c r="AD2518">
        <v>2</v>
      </c>
      <c r="AE2518">
        <v>0</v>
      </c>
      <c r="AF2518">
        <v>0</v>
      </c>
      <c r="AG2518">
        <v>2</v>
      </c>
      <c r="AH2518">
        <v>0</v>
      </c>
      <c r="AI2518">
        <v>0</v>
      </c>
      <c r="AJ2518">
        <v>0</v>
      </c>
      <c r="AK2518">
        <v>246</v>
      </c>
      <c r="AL2518">
        <v>235</v>
      </c>
      <c r="AM2518">
        <v>400</v>
      </c>
      <c r="AN2518">
        <v>44</v>
      </c>
      <c r="AP2518">
        <v>1</v>
      </c>
      <c r="AR2518" t="s">
        <v>2611</v>
      </c>
      <c r="AS2518" s="1">
        <v>44354.123611111114</v>
      </c>
      <c r="AT2518" s="1">
        <v>44354.125474537039</v>
      </c>
      <c r="AU2518" s="1">
        <v>44354.12636574074</v>
      </c>
      <c r="AV2518" t="s">
        <v>71</v>
      </c>
      <c r="AW2518" t="s">
        <v>72</v>
      </c>
      <c r="AX2518" t="s">
        <v>73</v>
      </c>
    </row>
    <row r="2519" spans="1:50" x14ac:dyDescent="0.3">
      <c r="A2519" t="str">
        <f>"201340B0000"</f>
        <v>201340B0000</v>
      </c>
      <c r="B2519" t="str">
        <f>"201340B00002"</f>
        <v>201340B00002</v>
      </c>
      <c r="C2519" t="str">
        <f t="shared" si="118"/>
        <v>20</v>
      </c>
      <c r="D2519" t="s">
        <v>67</v>
      </c>
      <c r="E2519" t="str">
        <f t="shared" si="117"/>
        <v>011</v>
      </c>
      <c r="F2519" t="s">
        <v>2448</v>
      </c>
      <c r="G2519" t="str">
        <f>"1340"</f>
        <v>1340</v>
      </c>
      <c r="H2519" t="str">
        <f>"0000"</f>
        <v>0000</v>
      </c>
      <c r="I2519" t="s">
        <v>69</v>
      </c>
      <c r="J2519">
        <v>0</v>
      </c>
      <c r="K2519">
        <v>1</v>
      </c>
      <c r="L2519">
        <v>2</v>
      </c>
      <c r="M2519">
        <v>144</v>
      </c>
      <c r="N2519">
        <v>145</v>
      </c>
      <c r="O2519">
        <v>0</v>
      </c>
      <c r="P2519">
        <v>145</v>
      </c>
      <c r="Q2519">
        <v>1</v>
      </c>
      <c r="R2519">
        <v>20</v>
      </c>
      <c r="S2519">
        <v>0</v>
      </c>
      <c r="T2519">
        <v>0</v>
      </c>
      <c r="U2519">
        <v>0</v>
      </c>
      <c r="V2519">
        <v>0</v>
      </c>
      <c r="W2519">
        <v>1</v>
      </c>
      <c r="X2519">
        <v>115</v>
      </c>
      <c r="Y2519">
        <v>0</v>
      </c>
      <c r="Z2519">
        <v>2</v>
      </c>
      <c r="AA2519">
        <v>3</v>
      </c>
      <c r="AB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3</v>
      </c>
      <c r="AK2519">
        <v>145</v>
      </c>
      <c r="AL2519">
        <v>145</v>
      </c>
      <c r="AM2519">
        <v>245</v>
      </c>
      <c r="AN2519">
        <v>44</v>
      </c>
      <c r="AP2519">
        <v>1</v>
      </c>
      <c r="AR2519" t="s">
        <v>2612</v>
      </c>
      <c r="AS2519" s="1">
        <v>44354.162499999999</v>
      </c>
      <c r="AT2519" s="1">
        <v>44354.164780092593</v>
      </c>
      <c r="AU2519" s="1">
        <v>44354.165266203701</v>
      </c>
      <c r="AV2519" t="s">
        <v>71</v>
      </c>
      <c r="AW2519" t="s">
        <v>72</v>
      </c>
      <c r="AX2519" t="s">
        <v>73</v>
      </c>
    </row>
    <row r="2520" spans="1:50" x14ac:dyDescent="0.3">
      <c r="A2520" t="str">
        <f>"201340E0100"</f>
        <v>201340E0100</v>
      </c>
      <c r="B2520" t="str">
        <f>"201340E01002"</f>
        <v>201340E01002</v>
      </c>
      <c r="C2520" t="str">
        <f t="shared" si="118"/>
        <v>20</v>
      </c>
      <c r="D2520" t="s">
        <v>67</v>
      </c>
      <c r="E2520" t="str">
        <f t="shared" si="117"/>
        <v>011</v>
      </c>
      <c r="F2520" t="s">
        <v>2448</v>
      </c>
      <c r="G2520" t="str">
        <f>"1340"</f>
        <v>1340</v>
      </c>
      <c r="H2520" t="str">
        <f>"0001"</f>
        <v>0001</v>
      </c>
      <c r="I2520" t="s">
        <v>109</v>
      </c>
      <c r="J2520">
        <v>0</v>
      </c>
      <c r="K2520">
        <v>1</v>
      </c>
      <c r="L2520">
        <v>2</v>
      </c>
      <c r="M2520">
        <v>221</v>
      </c>
      <c r="N2520">
        <v>129</v>
      </c>
      <c r="O2520">
        <v>0</v>
      </c>
      <c r="P2520">
        <v>129</v>
      </c>
      <c r="Q2520">
        <v>1</v>
      </c>
      <c r="R2520">
        <v>68</v>
      </c>
      <c r="S2520">
        <v>0</v>
      </c>
      <c r="T2520">
        <v>2</v>
      </c>
      <c r="U2520">
        <v>0</v>
      </c>
      <c r="V2520">
        <v>2</v>
      </c>
      <c r="W2520">
        <v>0</v>
      </c>
      <c r="X2520">
        <v>51</v>
      </c>
      <c r="Y2520">
        <v>0</v>
      </c>
      <c r="Z2520">
        <v>1</v>
      </c>
      <c r="AA2520">
        <v>2</v>
      </c>
      <c r="AB2520" t="s">
        <v>77</v>
      </c>
      <c r="AD2520" t="s">
        <v>77</v>
      </c>
      <c r="AE2520" t="s">
        <v>77</v>
      </c>
      <c r="AF2520" t="s">
        <v>77</v>
      </c>
      <c r="AG2520" t="s">
        <v>77</v>
      </c>
      <c r="AH2520" t="s">
        <v>77</v>
      </c>
      <c r="AI2520" t="s">
        <v>77</v>
      </c>
      <c r="AJ2520">
        <v>2</v>
      </c>
      <c r="AK2520">
        <v>129</v>
      </c>
      <c r="AL2520">
        <v>129</v>
      </c>
      <c r="AM2520">
        <v>306</v>
      </c>
      <c r="AN2520">
        <v>44</v>
      </c>
      <c r="AO2520" t="s">
        <v>78</v>
      </c>
      <c r="AP2520">
        <v>1</v>
      </c>
      <c r="AR2520" t="s">
        <v>2613</v>
      </c>
      <c r="AS2520" s="1">
        <v>44354.171527777777</v>
      </c>
      <c r="AT2520" s="1">
        <v>44354.174837962964</v>
      </c>
      <c r="AU2520" s="1">
        <v>44354.175555555557</v>
      </c>
      <c r="AV2520" t="s">
        <v>71</v>
      </c>
      <c r="AW2520" t="s">
        <v>72</v>
      </c>
      <c r="AX2520" t="s">
        <v>73</v>
      </c>
    </row>
    <row r="2521" spans="1:50" x14ac:dyDescent="0.3">
      <c r="A2521" t="str">
        <f>"201342B0000"</f>
        <v>201342B0000</v>
      </c>
      <c r="B2521" t="str">
        <f>"201342B00002"</f>
        <v>201342B00002</v>
      </c>
      <c r="C2521" t="str">
        <f t="shared" si="118"/>
        <v>20</v>
      </c>
      <c r="D2521" t="s">
        <v>67</v>
      </c>
      <c r="E2521" t="str">
        <f t="shared" si="117"/>
        <v>011</v>
      </c>
      <c r="F2521" t="s">
        <v>2448</v>
      </c>
      <c r="G2521" t="str">
        <f>"1342"</f>
        <v>1342</v>
      </c>
      <c r="H2521" t="str">
        <f>"0000"</f>
        <v>0000</v>
      </c>
      <c r="I2521" t="s">
        <v>69</v>
      </c>
      <c r="J2521">
        <v>0</v>
      </c>
      <c r="K2521">
        <v>1</v>
      </c>
      <c r="L2521">
        <v>2</v>
      </c>
      <c r="M2521">
        <v>185</v>
      </c>
      <c r="N2521">
        <v>265</v>
      </c>
      <c r="O2521">
        <v>5</v>
      </c>
      <c r="P2521">
        <v>265</v>
      </c>
      <c r="Q2521">
        <v>2</v>
      </c>
      <c r="R2521">
        <v>135</v>
      </c>
      <c r="S2521">
        <v>3</v>
      </c>
      <c r="T2521">
        <v>2</v>
      </c>
      <c r="U2521">
        <v>0</v>
      </c>
      <c r="V2521">
        <v>0</v>
      </c>
      <c r="W2521">
        <v>2</v>
      </c>
      <c r="X2521">
        <v>118</v>
      </c>
      <c r="Y2521">
        <v>0</v>
      </c>
      <c r="Z2521">
        <v>0</v>
      </c>
      <c r="AA2521">
        <v>1</v>
      </c>
      <c r="AB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2</v>
      </c>
      <c r="AK2521">
        <v>265</v>
      </c>
      <c r="AL2521">
        <v>265</v>
      </c>
      <c r="AM2521">
        <v>406</v>
      </c>
      <c r="AN2521">
        <v>44</v>
      </c>
      <c r="AP2521">
        <v>1</v>
      </c>
      <c r="AR2521" t="s">
        <v>2614</v>
      </c>
      <c r="AS2521" s="1">
        <v>44354.10833333333</v>
      </c>
      <c r="AT2521" s="1">
        <v>44354.111701388887</v>
      </c>
      <c r="AU2521" s="1">
        <v>44354.112604166665</v>
      </c>
      <c r="AV2521" t="s">
        <v>71</v>
      </c>
      <c r="AW2521" t="s">
        <v>72</v>
      </c>
      <c r="AX2521" t="s">
        <v>73</v>
      </c>
    </row>
    <row r="2522" spans="1:50" x14ac:dyDescent="0.3">
      <c r="A2522" t="str">
        <f>"201343B0000"</f>
        <v>201343B0000</v>
      </c>
      <c r="B2522" t="str">
        <f>"201343B00002"</f>
        <v>201343B00002</v>
      </c>
      <c r="C2522" t="str">
        <f t="shared" si="118"/>
        <v>20</v>
      </c>
      <c r="D2522" t="s">
        <v>67</v>
      </c>
      <c r="E2522" t="str">
        <f t="shared" si="117"/>
        <v>011</v>
      </c>
      <c r="F2522" t="s">
        <v>2448</v>
      </c>
      <c r="G2522" t="str">
        <f>"1343"</f>
        <v>1343</v>
      </c>
      <c r="H2522" t="str">
        <f>"0000"</f>
        <v>0000</v>
      </c>
      <c r="I2522" t="s">
        <v>69</v>
      </c>
      <c r="J2522">
        <v>0</v>
      </c>
      <c r="K2522">
        <v>1</v>
      </c>
      <c r="L2522">
        <v>2</v>
      </c>
      <c r="M2522">
        <v>261</v>
      </c>
      <c r="N2522">
        <v>370</v>
      </c>
      <c r="O2522">
        <v>0</v>
      </c>
      <c r="P2522">
        <v>370</v>
      </c>
      <c r="Q2522">
        <v>1</v>
      </c>
      <c r="R2522">
        <v>128</v>
      </c>
      <c r="S2522">
        <v>6</v>
      </c>
      <c r="T2522">
        <v>0</v>
      </c>
      <c r="U2522">
        <v>4</v>
      </c>
      <c r="V2522">
        <v>3</v>
      </c>
      <c r="W2522">
        <v>0</v>
      </c>
      <c r="X2522">
        <v>219</v>
      </c>
      <c r="Y2522">
        <v>1</v>
      </c>
      <c r="Z2522">
        <v>2</v>
      </c>
      <c r="AA2522">
        <v>2</v>
      </c>
      <c r="AB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4</v>
      </c>
      <c r="AK2522">
        <v>370</v>
      </c>
      <c r="AL2522">
        <v>370</v>
      </c>
      <c r="AM2522">
        <v>587</v>
      </c>
      <c r="AN2522">
        <v>44</v>
      </c>
      <c r="AP2522">
        <v>1</v>
      </c>
      <c r="AR2522" t="s">
        <v>2615</v>
      </c>
      <c r="AS2522" s="1">
        <v>44354.103472222225</v>
      </c>
      <c r="AT2522" s="1">
        <v>44354.106041666666</v>
      </c>
      <c r="AU2522" s="1">
        <v>44354.106608796297</v>
      </c>
      <c r="AV2522" t="s">
        <v>71</v>
      </c>
      <c r="AW2522" t="s">
        <v>72</v>
      </c>
      <c r="AX2522" t="s">
        <v>73</v>
      </c>
    </row>
    <row r="2523" spans="1:50" x14ac:dyDescent="0.3">
      <c r="A2523" t="str">
        <f>"201343C0100"</f>
        <v>201343C0100</v>
      </c>
      <c r="B2523" t="str">
        <f>"201343C01002"</f>
        <v>201343C01002</v>
      </c>
      <c r="C2523" t="str">
        <f t="shared" si="118"/>
        <v>20</v>
      </c>
      <c r="D2523" t="s">
        <v>67</v>
      </c>
      <c r="E2523" t="str">
        <f t="shared" si="117"/>
        <v>011</v>
      </c>
      <c r="F2523" t="s">
        <v>2448</v>
      </c>
      <c r="G2523" t="str">
        <f>"1343"</f>
        <v>1343</v>
      </c>
      <c r="H2523" t="str">
        <f>"0001"</f>
        <v>0001</v>
      </c>
      <c r="I2523" t="s">
        <v>75</v>
      </c>
      <c r="J2523">
        <v>0</v>
      </c>
      <c r="K2523">
        <v>1</v>
      </c>
      <c r="L2523">
        <v>2</v>
      </c>
      <c r="M2523">
        <v>303</v>
      </c>
      <c r="N2523">
        <v>328</v>
      </c>
      <c r="O2523" t="s">
        <v>80</v>
      </c>
      <c r="P2523">
        <v>328</v>
      </c>
      <c r="Q2523">
        <v>1</v>
      </c>
      <c r="R2523">
        <v>124</v>
      </c>
      <c r="S2523">
        <v>6</v>
      </c>
      <c r="T2523">
        <v>2</v>
      </c>
      <c r="U2523">
        <v>4</v>
      </c>
      <c r="V2523">
        <v>4</v>
      </c>
      <c r="W2523">
        <v>3</v>
      </c>
      <c r="X2523">
        <v>173</v>
      </c>
      <c r="Y2523">
        <v>0</v>
      </c>
      <c r="Z2523">
        <v>4</v>
      </c>
      <c r="AA2523">
        <v>1</v>
      </c>
      <c r="AB2523">
        <v>1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3</v>
      </c>
      <c r="AK2523">
        <v>328</v>
      </c>
      <c r="AL2523">
        <v>326</v>
      </c>
      <c r="AM2523">
        <v>587</v>
      </c>
      <c r="AN2523">
        <v>44</v>
      </c>
      <c r="AP2523">
        <v>1</v>
      </c>
      <c r="AR2523" t="s">
        <v>2616</v>
      </c>
      <c r="AS2523" s="1">
        <v>44354.107638888891</v>
      </c>
      <c r="AT2523" s="1">
        <v>44354.110543981478</v>
      </c>
      <c r="AU2523" s="1">
        <v>44354.111018518517</v>
      </c>
      <c r="AV2523" t="s">
        <v>71</v>
      </c>
      <c r="AW2523" t="s">
        <v>72</v>
      </c>
      <c r="AX2523" t="s">
        <v>73</v>
      </c>
    </row>
    <row r="2524" spans="1:50" x14ac:dyDescent="0.3">
      <c r="A2524" t="str">
        <f>"201344B0000"</f>
        <v>201344B0000</v>
      </c>
      <c r="B2524" t="str">
        <f>"201344B00002"</f>
        <v>201344B00002</v>
      </c>
      <c r="C2524" t="str">
        <f t="shared" si="118"/>
        <v>20</v>
      </c>
      <c r="D2524" t="s">
        <v>67</v>
      </c>
      <c r="E2524" t="str">
        <f t="shared" si="117"/>
        <v>011</v>
      </c>
      <c r="F2524" t="s">
        <v>2448</v>
      </c>
      <c r="G2524" t="str">
        <f>"1344"</f>
        <v>1344</v>
      </c>
      <c r="H2524" t="str">
        <f>"0000"</f>
        <v>0000</v>
      </c>
      <c r="I2524" t="s">
        <v>69</v>
      </c>
      <c r="J2524">
        <v>0</v>
      </c>
      <c r="K2524">
        <v>1</v>
      </c>
      <c r="L2524">
        <v>2</v>
      </c>
      <c r="M2524">
        <v>231</v>
      </c>
      <c r="N2524">
        <v>407</v>
      </c>
      <c r="O2524">
        <v>0</v>
      </c>
      <c r="P2524">
        <v>0</v>
      </c>
      <c r="Q2524">
        <v>3</v>
      </c>
      <c r="R2524">
        <v>145</v>
      </c>
      <c r="S2524">
        <v>5</v>
      </c>
      <c r="T2524">
        <v>3</v>
      </c>
      <c r="U2524">
        <v>2</v>
      </c>
      <c r="V2524">
        <v>2</v>
      </c>
      <c r="W2524">
        <v>2</v>
      </c>
      <c r="X2524">
        <v>227</v>
      </c>
      <c r="Y2524">
        <v>0</v>
      </c>
      <c r="Z2524">
        <v>2</v>
      </c>
      <c r="AA2524">
        <v>3</v>
      </c>
      <c r="AB2524">
        <v>0</v>
      </c>
      <c r="AD2524">
        <v>1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12</v>
      </c>
      <c r="AK2524">
        <v>407</v>
      </c>
      <c r="AL2524">
        <v>407</v>
      </c>
      <c r="AM2524">
        <v>594</v>
      </c>
      <c r="AN2524">
        <v>44</v>
      </c>
      <c r="AP2524">
        <v>1</v>
      </c>
      <c r="AR2524" t="s">
        <v>2617</v>
      </c>
      <c r="AS2524" s="1">
        <v>44354.12222222222</v>
      </c>
      <c r="AT2524" s="1">
        <v>44354.124120370368</v>
      </c>
      <c r="AU2524" s="1">
        <v>44354.124525462961</v>
      </c>
      <c r="AV2524" t="s">
        <v>71</v>
      </c>
      <c r="AW2524" t="s">
        <v>72</v>
      </c>
      <c r="AX2524" t="s">
        <v>73</v>
      </c>
    </row>
    <row r="2525" spans="1:50" x14ac:dyDescent="0.3">
      <c r="A2525" t="str">
        <f>"201344E0100"</f>
        <v>201344E0100</v>
      </c>
      <c r="B2525" t="str">
        <f>"201344E01002"</f>
        <v>201344E01002</v>
      </c>
      <c r="C2525" t="str">
        <f t="shared" si="118"/>
        <v>20</v>
      </c>
      <c r="D2525" t="s">
        <v>67</v>
      </c>
      <c r="E2525" t="str">
        <f t="shared" si="117"/>
        <v>011</v>
      </c>
      <c r="F2525" t="s">
        <v>2448</v>
      </c>
      <c r="G2525" t="str">
        <f>"1344"</f>
        <v>1344</v>
      </c>
      <c r="H2525" t="str">
        <f>"0001"</f>
        <v>0001</v>
      </c>
      <c r="I2525" t="s">
        <v>109</v>
      </c>
      <c r="J2525">
        <v>0</v>
      </c>
      <c r="K2525">
        <v>1</v>
      </c>
      <c r="L2525">
        <v>2</v>
      </c>
      <c r="M2525">
        <v>177</v>
      </c>
      <c r="N2525">
        <v>245</v>
      </c>
      <c r="O2525">
        <v>6</v>
      </c>
      <c r="P2525">
        <v>245</v>
      </c>
      <c r="Q2525">
        <v>1</v>
      </c>
      <c r="R2525">
        <v>116</v>
      </c>
      <c r="S2525">
        <v>3</v>
      </c>
      <c r="T2525" t="s">
        <v>77</v>
      </c>
      <c r="U2525">
        <v>4</v>
      </c>
      <c r="V2525">
        <v>6</v>
      </c>
      <c r="W2525" t="s">
        <v>77</v>
      </c>
      <c r="X2525">
        <v>107</v>
      </c>
      <c r="Y2525" t="s">
        <v>77</v>
      </c>
      <c r="Z2525">
        <v>2</v>
      </c>
      <c r="AA2525">
        <v>1</v>
      </c>
      <c r="AB2525" t="s">
        <v>77</v>
      </c>
      <c r="AD2525" t="s">
        <v>77</v>
      </c>
      <c r="AE2525" t="s">
        <v>77</v>
      </c>
      <c r="AF2525" t="s">
        <v>77</v>
      </c>
      <c r="AG2525" t="s">
        <v>77</v>
      </c>
      <c r="AH2525" t="s">
        <v>77</v>
      </c>
      <c r="AI2525" t="s">
        <v>77</v>
      </c>
      <c r="AJ2525">
        <v>5</v>
      </c>
      <c r="AK2525">
        <v>245</v>
      </c>
      <c r="AL2525">
        <v>245</v>
      </c>
      <c r="AM2525">
        <v>378</v>
      </c>
      <c r="AN2525">
        <v>44</v>
      </c>
      <c r="AO2525" t="s">
        <v>78</v>
      </c>
      <c r="AP2525">
        <v>1</v>
      </c>
      <c r="AR2525" t="s">
        <v>2618</v>
      </c>
      <c r="AS2525" s="1">
        <v>44354.254861111112</v>
      </c>
      <c r="AT2525" s="1">
        <v>44354.259918981479</v>
      </c>
      <c r="AU2525" s="1">
        <v>44354.261458333334</v>
      </c>
      <c r="AV2525" t="s">
        <v>71</v>
      </c>
      <c r="AW2525" t="s">
        <v>72</v>
      </c>
      <c r="AX2525" t="s">
        <v>73</v>
      </c>
    </row>
    <row r="2526" spans="1:50" x14ac:dyDescent="0.3">
      <c r="A2526" t="str">
        <f>"201344E0101"</f>
        <v>201344E0101</v>
      </c>
      <c r="B2526" t="str">
        <f>"201344E01012"</f>
        <v>201344E01012</v>
      </c>
      <c r="C2526" t="str">
        <f t="shared" si="118"/>
        <v>20</v>
      </c>
      <c r="D2526" t="s">
        <v>67</v>
      </c>
      <c r="E2526" t="str">
        <f t="shared" si="117"/>
        <v>011</v>
      </c>
      <c r="F2526" t="s">
        <v>2448</v>
      </c>
      <c r="G2526" t="str">
        <f>"1344"</f>
        <v>1344</v>
      </c>
      <c r="H2526" t="str">
        <f>"0001"</f>
        <v>0001</v>
      </c>
      <c r="I2526" t="s">
        <v>109</v>
      </c>
      <c r="J2526">
        <v>1</v>
      </c>
      <c r="K2526">
        <v>1</v>
      </c>
      <c r="L2526">
        <v>2</v>
      </c>
      <c r="M2526">
        <v>187</v>
      </c>
      <c r="N2526">
        <v>234</v>
      </c>
      <c r="O2526">
        <v>6</v>
      </c>
      <c r="P2526">
        <v>234</v>
      </c>
      <c r="Q2526">
        <v>2</v>
      </c>
      <c r="R2526">
        <v>132</v>
      </c>
      <c r="S2526">
        <v>3</v>
      </c>
      <c r="T2526">
        <v>1</v>
      </c>
      <c r="U2526">
        <v>0</v>
      </c>
      <c r="V2526">
        <v>2</v>
      </c>
      <c r="W2526">
        <v>1</v>
      </c>
      <c r="X2526">
        <v>87</v>
      </c>
      <c r="Y2526">
        <v>0</v>
      </c>
      <c r="Z2526">
        <v>3</v>
      </c>
      <c r="AA2526">
        <v>1</v>
      </c>
      <c r="AB2526">
        <v>0</v>
      </c>
      <c r="AD2526" t="s">
        <v>77</v>
      </c>
      <c r="AE2526" t="s">
        <v>77</v>
      </c>
      <c r="AF2526" t="s">
        <v>77</v>
      </c>
      <c r="AG2526" t="s">
        <v>77</v>
      </c>
      <c r="AH2526" t="s">
        <v>77</v>
      </c>
      <c r="AI2526" t="s">
        <v>77</v>
      </c>
      <c r="AJ2526">
        <v>4</v>
      </c>
      <c r="AK2526">
        <v>134</v>
      </c>
      <c r="AL2526">
        <v>236</v>
      </c>
      <c r="AM2526">
        <v>377</v>
      </c>
      <c r="AN2526">
        <v>44</v>
      </c>
      <c r="AO2526" t="s">
        <v>78</v>
      </c>
      <c r="AP2526">
        <v>1</v>
      </c>
      <c r="AR2526" t="s">
        <v>2619</v>
      </c>
      <c r="AS2526" s="1">
        <v>44354.254861111112</v>
      </c>
      <c r="AT2526" s="1">
        <v>44354.262106481481</v>
      </c>
      <c r="AU2526" s="1">
        <v>44354.262476851851</v>
      </c>
      <c r="AV2526" t="s">
        <v>71</v>
      </c>
      <c r="AW2526" t="s">
        <v>72</v>
      </c>
      <c r="AX2526" t="s">
        <v>73</v>
      </c>
    </row>
    <row r="2527" spans="1:50" x14ac:dyDescent="0.3">
      <c r="A2527" t="str">
        <f>"201544B0000"</f>
        <v>201544B0000</v>
      </c>
      <c r="B2527" t="str">
        <f>"201544B00002"</f>
        <v>201544B00002</v>
      </c>
      <c r="C2527" t="str">
        <f t="shared" si="118"/>
        <v>20</v>
      </c>
      <c r="D2527" t="s">
        <v>67</v>
      </c>
      <c r="E2527" t="str">
        <f t="shared" si="117"/>
        <v>011</v>
      </c>
      <c r="F2527" t="s">
        <v>2448</v>
      </c>
      <c r="G2527" t="str">
        <f>"1544"</f>
        <v>1544</v>
      </c>
      <c r="H2527" t="str">
        <f>"0000"</f>
        <v>0000</v>
      </c>
      <c r="I2527" t="s">
        <v>69</v>
      </c>
      <c r="J2527">
        <v>0</v>
      </c>
      <c r="K2527">
        <v>1</v>
      </c>
      <c r="L2527">
        <v>2</v>
      </c>
      <c r="M2527">
        <v>303</v>
      </c>
      <c r="N2527">
        <v>396</v>
      </c>
      <c r="O2527">
        <v>1</v>
      </c>
      <c r="P2527">
        <v>396</v>
      </c>
      <c r="Q2527">
        <v>64</v>
      </c>
      <c r="R2527">
        <v>13</v>
      </c>
      <c r="S2527">
        <v>4</v>
      </c>
      <c r="T2527">
        <v>4</v>
      </c>
      <c r="U2527">
        <v>3</v>
      </c>
      <c r="V2527">
        <v>4</v>
      </c>
      <c r="W2527">
        <v>0</v>
      </c>
      <c r="X2527">
        <v>286</v>
      </c>
      <c r="Y2527">
        <v>3</v>
      </c>
      <c r="Z2527">
        <v>0</v>
      </c>
      <c r="AA2527">
        <v>4</v>
      </c>
      <c r="AB2527">
        <v>1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10</v>
      </c>
      <c r="AK2527">
        <v>396</v>
      </c>
      <c r="AL2527">
        <v>396</v>
      </c>
      <c r="AM2527">
        <v>655</v>
      </c>
      <c r="AN2527">
        <v>44</v>
      </c>
      <c r="AP2527">
        <v>1</v>
      </c>
      <c r="AR2527" t="s">
        <v>2620</v>
      </c>
      <c r="AS2527" s="1">
        <v>44354.24722222222</v>
      </c>
      <c r="AT2527" s="1">
        <v>44354.250150462962</v>
      </c>
      <c r="AU2527" s="1">
        <v>44354.250891203701</v>
      </c>
      <c r="AV2527" t="s">
        <v>71</v>
      </c>
      <c r="AW2527" t="s">
        <v>72</v>
      </c>
      <c r="AX2527" t="s">
        <v>73</v>
      </c>
    </row>
    <row r="2528" spans="1:50" x14ac:dyDescent="0.3">
      <c r="A2528" t="str">
        <f>"201544C0100"</f>
        <v>201544C0100</v>
      </c>
      <c r="B2528" t="str">
        <f>"201544C01002"</f>
        <v>201544C01002</v>
      </c>
      <c r="C2528" t="str">
        <f t="shared" si="118"/>
        <v>20</v>
      </c>
      <c r="D2528" t="s">
        <v>67</v>
      </c>
      <c r="E2528" t="str">
        <f t="shared" si="117"/>
        <v>011</v>
      </c>
      <c r="F2528" t="s">
        <v>2448</v>
      </c>
      <c r="G2528" t="str">
        <f>"1544"</f>
        <v>1544</v>
      </c>
      <c r="H2528" t="str">
        <f>"0001"</f>
        <v>0001</v>
      </c>
      <c r="I2528" t="s">
        <v>75</v>
      </c>
      <c r="J2528">
        <v>0</v>
      </c>
      <c r="K2528">
        <v>1</v>
      </c>
      <c r="L2528">
        <v>2</v>
      </c>
      <c r="M2528">
        <v>302</v>
      </c>
      <c r="N2528">
        <v>395</v>
      </c>
      <c r="O2528">
        <v>0</v>
      </c>
      <c r="P2528">
        <v>395</v>
      </c>
      <c r="Q2528">
        <v>39</v>
      </c>
      <c r="R2528">
        <v>15</v>
      </c>
      <c r="S2528">
        <v>3</v>
      </c>
      <c r="T2528">
        <v>5</v>
      </c>
      <c r="U2528">
        <v>4</v>
      </c>
      <c r="V2528">
        <v>6</v>
      </c>
      <c r="W2528">
        <v>0</v>
      </c>
      <c r="X2528">
        <v>305</v>
      </c>
      <c r="Y2528">
        <v>4</v>
      </c>
      <c r="Z2528">
        <v>2</v>
      </c>
      <c r="AA2528">
        <v>2</v>
      </c>
      <c r="AB2528">
        <v>2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8</v>
      </c>
      <c r="AK2528">
        <v>395</v>
      </c>
      <c r="AL2528">
        <v>395</v>
      </c>
      <c r="AM2528">
        <v>654</v>
      </c>
      <c r="AN2528">
        <v>44</v>
      </c>
      <c r="AP2528">
        <v>1</v>
      </c>
      <c r="AR2528" t="s">
        <v>2621</v>
      </c>
      <c r="AS2528" s="1">
        <v>44354.250694444447</v>
      </c>
      <c r="AT2528" s="1">
        <v>44354.256956018522</v>
      </c>
      <c r="AU2528" s="1">
        <v>44354.257754629631</v>
      </c>
      <c r="AV2528" t="s">
        <v>71</v>
      </c>
      <c r="AW2528" t="s">
        <v>72</v>
      </c>
      <c r="AX2528" t="s">
        <v>73</v>
      </c>
    </row>
    <row r="2529" spans="1:50" x14ac:dyDescent="0.3">
      <c r="A2529" t="str">
        <f>"201545B0000"</f>
        <v>201545B0000</v>
      </c>
      <c r="B2529" t="str">
        <f>"201545B00002"</f>
        <v>201545B00002</v>
      </c>
      <c r="C2529" t="str">
        <f t="shared" si="118"/>
        <v>20</v>
      </c>
      <c r="D2529" t="s">
        <v>67</v>
      </c>
      <c r="E2529" t="str">
        <f t="shared" si="117"/>
        <v>011</v>
      </c>
      <c r="F2529" t="s">
        <v>2448</v>
      </c>
      <c r="G2529" t="str">
        <f>"1545"</f>
        <v>1545</v>
      </c>
      <c r="H2529" t="str">
        <f>"0000"</f>
        <v>0000</v>
      </c>
      <c r="I2529" t="s">
        <v>69</v>
      </c>
      <c r="J2529">
        <v>0</v>
      </c>
      <c r="K2529">
        <v>1</v>
      </c>
      <c r="L2529">
        <v>2</v>
      </c>
      <c r="M2529">
        <v>237</v>
      </c>
      <c r="N2529">
        <v>317</v>
      </c>
      <c r="O2529">
        <v>2</v>
      </c>
      <c r="P2529">
        <v>317</v>
      </c>
      <c r="Q2529">
        <v>37</v>
      </c>
      <c r="R2529">
        <v>8</v>
      </c>
      <c r="S2529">
        <v>1</v>
      </c>
      <c r="T2529">
        <v>1</v>
      </c>
      <c r="U2529">
        <v>5</v>
      </c>
      <c r="V2529">
        <v>1</v>
      </c>
      <c r="W2529">
        <v>0</v>
      </c>
      <c r="X2529">
        <v>257</v>
      </c>
      <c r="Y2529">
        <v>0</v>
      </c>
      <c r="Z2529">
        <v>1</v>
      </c>
      <c r="AA2529">
        <v>2</v>
      </c>
      <c r="AB2529">
        <v>0</v>
      </c>
      <c r="AD2529">
        <v>0</v>
      </c>
      <c r="AE2529">
        <v>0</v>
      </c>
      <c r="AF2529">
        <v>1</v>
      </c>
      <c r="AG2529">
        <v>0</v>
      </c>
      <c r="AH2529">
        <v>0</v>
      </c>
      <c r="AI2529">
        <v>0</v>
      </c>
      <c r="AJ2529">
        <v>3</v>
      </c>
      <c r="AK2529">
        <v>317</v>
      </c>
      <c r="AL2529">
        <v>317</v>
      </c>
      <c r="AM2529">
        <v>510</v>
      </c>
      <c r="AN2529">
        <v>44</v>
      </c>
      <c r="AP2529">
        <v>1</v>
      </c>
      <c r="AR2529" t="s">
        <v>2622</v>
      </c>
      <c r="AS2529" s="1">
        <v>44354.28125</v>
      </c>
      <c r="AT2529" s="1">
        <v>44354.287187499998</v>
      </c>
      <c r="AU2529" s="1">
        <v>44354.287743055553</v>
      </c>
      <c r="AV2529" t="s">
        <v>71</v>
      </c>
      <c r="AW2529" t="s">
        <v>72</v>
      </c>
      <c r="AX2529" t="s">
        <v>73</v>
      </c>
    </row>
    <row r="2530" spans="1:50" x14ac:dyDescent="0.3">
      <c r="A2530" t="str">
        <f>"201545C0100"</f>
        <v>201545C0100</v>
      </c>
      <c r="B2530" t="str">
        <f>"201545C01002"</f>
        <v>201545C01002</v>
      </c>
      <c r="C2530" t="str">
        <f t="shared" si="118"/>
        <v>20</v>
      </c>
      <c r="D2530" t="s">
        <v>67</v>
      </c>
      <c r="E2530" t="str">
        <f t="shared" si="117"/>
        <v>011</v>
      </c>
      <c r="F2530" t="s">
        <v>2448</v>
      </c>
      <c r="G2530" t="str">
        <f>"1545"</f>
        <v>1545</v>
      </c>
      <c r="H2530" t="str">
        <f>"0001"</f>
        <v>0001</v>
      </c>
      <c r="I2530" t="s">
        <v>75</v>
      </c>
      <c r="J2530">
        <v>0</v>
      </c>
      <c r="K2530">
        <v>1</v>
      </c>
      <c r="L2530">
        <v>2</v>
      </c>
      <c r="M2530">
        <v>264</v>
      </c>
      <c r="N2530">
        <v>289</v>
      </c>
      <c r="O2530">
        <v>2</v>
      </c>
      <c r="P2530">
        <v>289</v>
      </c>
      <c r="Q2530">
        <v>30</v>
      </c>
      <c r="R2530">
        <v>5</v>
      </c>
      <c r="S2530">
        <v>1</v>
      </c>
      <c r="T2530">
        <v>1</v>
      </c>
      <c r="U2530">
        <v>0</v>
      </c>
      <c r="V2530">
        <v>0</v>
      </c>
      <c r="W2530">
        <v>0</v>
      </c>
      <c r="X2530">
        <v>239</v>
      </c>
      <c r="Y2530">
        <v>1</v>
      </c>
      <c r="Z2530">
        <v>2</v>
      </c>
      <c r="AA2530">
        <v>2</v>
      </c>
      <c r="AB2530">
        <v>0</v>
      </c>
      <c r="AD2530">
        <v>1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7</v>
      </c>
      <c r="AK2530">
        <v>289</v>
      </c>
      <c r="AL2530">
        <v>289</v>
      </c>
      <c r="AM2530">
        <v>509</v>
      </c>
      <c r="AN2530">
        <v>44</v>
      </c>
      <c r="AP2530">
        <v>1</v>
      </c>
      <c r="AR2530" t="s">
        <v>2623</v>
      </c>
      <c r="AS2530" s="1">
        <v>44354.286805555559</v>
      </c>
      <c r="AT2530" s="1">
        <v>44354.291493055556</v>
      </c>
      <c r="AU2530" s="1">
        <v>44354.292430555557</v>
      </c>
      <c r="AV2530" t="s">
        <v>71</v>
      </c>
      <c r="AW2530" t="s">
        <v>72</v>
      </c>
      <c r="AX2530" t="s">
        <v>73</v>
      </c>
    </row>
    <row r="2531" spans="1:50" x14ac:dyDescent="0.3">
      <c r="A2531" t="str">
        <f>"201545C0200"</f>
        <v>201545C0200</v>
      </c>
      <c r="B2531" t="str">
        <f>"201545C02002"</f>
        <v>201545C02002</v>
      </c>
      <c r="C2531" t="str">
        <f t="shared" si="118"/>
        <v>20</v>
      </c>
      <c r="D2531" t="s">
        <v>67</v>
      </c>
      <c r="E2531" t="str">
        <f t="shared" si="117"/>
        <v>011</v>
      </c>
      <c r="F2531" t="s">
        <v>2448</v>
      </c>
      <c r="G2531" t="str">
        <f>"1545"</f>
        <v>1545</v>
      </c>
      <c r="H2531" t="str">
        <f>"0002"</f>
        <v>0002</v>
      </c>
      <c r="I2531" t="s">
        <v>75</v>
      </c>
      <c r="J2531">
        <v>0</v>
      </c>
      <c r="K2531">
        <v>1</v>
      </c>
      <c r="L2531">
        <v>2</v>
      </c>
      <c r="M2531">
        <v>247</v>
      </c>
      <c r="N2531">
        <v>305</v>
      </c>
      <c r="O2531">
        <v>1</v>
      </c>
      <c r="P2531">
        <v>305</v>
      </c>
      <c r="Q2531">
        <v>33</v>
      </c>
      <c r="R2531">
        <v>6</v>
      </c>
      <c r="S2531">
        <v>3</v>
      </c>
      <c r="T2531">
        <v>3</v>
      </c>
      <c r="U2531">
        <v>5</v>
      </c>
      <c r="V2531">
        <v>0</v>
      </c>
      <c r="W2531">
        <v>0</v>
      </c>
      <c r="X2531">
        <v>239</v>
      </c>
      <c r="Y2531">
        <v>1</v>
      </c>
      <c r="Z2531">
        <v>2</v>
      </c>
      <c r="AA2531">
        <v>1</v>
      </c>
      <c r="AB2531">
        <v>1</v>
      </c>
      <c r="AD2531">
        <v>1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10</v>
      </c>
      <c r="AK2531">
        <v>305</v>
      </c>
      <c r="AL2531">
        <v>305</v>
      </c>
      <c r="AM2531">
        <v>509</v>
      </c>
      <c r="AN2531">
        <v>44</v>
      </c>
      <c r="AP2531">
        <v>1</v>
      </c>
      <c r="AR2531" t="s">
        <v>2624</v>
      </c>
      <c r="AS2531" s="1">
        <v>44354.23541666667</v>
      </c>
      <c r="AT2531" s="1">
        <v>44354.240162037036</v>
      </c>
      <c r="AU2531" s="1">
        <v>44354.240740740737</v>
      </c>
      <c r="AV2531" t="s">
        <v>71</v>
      </c>
      <c r="AW2531" t="s">
        <v>72</v>
      </c>
      <c r="AX2531" t="s">
        <v>73</v>
      </c>
    </row>
    <row r="2532" spans="1:50" x14ac:dyDescent="0.3">
      <c r="A2532" t="str">
        <f>"201546B0000"</f>
        <v>201546B0000</v>
      </c>
      <c r="B2532" t="str">
        <f>"201546B00002"</f>
        <v>201546B00002</v>
      </c>
      <c r="C2532" t="str">
        <f t="shared" si="118"/>
        <v>20</v>
      </c>
      <c r="D2532" t="s">
        <v>67</v>
      </c>
      <c r="E2532" t="str">
        <f t="shared" si="117"/>
        <v>011</v>
      </c>
      <c r="F2532" t="s">
        <v>2448</v>
      </c>
      <c r="G2532" t="str">
        <f>"1546"</f>
        <v>1546</v>
      </c>
      <c r="H2532" t="str">
        <f>"0000"</f>
        <v>0000</v>
      </c>
      <c r="I2532" t="s">
        <v>69</v>
      </c>
      <c r="J2532">
        <v>0</v>
      </c>
      <c r="K2532">
        <v>1</v>
      </c>
      <c r="L2532">
        <v>2</v>
      </c>
      <c r="M2532">
        <v>218</v>
      </c>
      <c r="N2532">
        <v>335</v>
      </c>
      <c r="O2532">
        <v>3</v>
      </c>
      <c r="P2532">
        <v>335</v>
      </c>
      <c r="Q2532">
        <v>39</v>
      </c>
      <c r="R2532">
        <v>4</v>
      </c>
      <c r="S2532">
        <v>3</v>
      </c>
      <c r="T2532">
        <v>3</v>
      </c>
      <c r="U2532">
        <v>2</v>
      </c>
      <c r="V2532">
        <v>1</v>
      </c>
      <c r="W2532">
        <v>0</v>
      </c>
      <c r="X2532">
        <v>265</v>
      </c>
      <c r="Y2532">
        <v>0</v>
      </c>
      <c r="Z2532">
        <v>2</v>
      </c>
      <c r="AA2532">
        <v>4</v>
      </c>
      <c r="AB2532">
        <v>0</v>
      </c>
      <c r="AD2532">
        <v>1</v>
      </c>
      <c r="AE2532">
        <v>1</v>
      </c>
      <c r="AF2532">
        <v>0</v>
      </c>
      <c r="AG2532">
        <v>0</v>
      </c>
      <c r="AH2532">
        <v>0</v>
      </c>
      <c r="AI2532">
        <v>0</v>
      </c>
      <c r="AJ2532">
        <v>10</v>
      </c>
      <c r="AK2532">
        <v>335</v>
      </c>
      <c r="AL2532">
        <v>335</v>
      </c>
      <c r="AM2532">
        <v>509</v>
      </c>
      <c r="AN2532">
        <v>44</v>
      </c>
      <c r="AP2532">
        <v>1</v>
      </c>
      <c r="AR2532" t="s">
        <v>2625</v>
      </c>
      <c r="AS2532" s="1">
        <v>44354.280555555553</v>
      </c>
      <c r="AT2532" s="1">
        <v>44354.286608796298</v>
      </c>
      <c r="AU2532" s="1">
        <v>44354.287372685183</v>
      </c>
      <c r="AV2532" t="s">
        <v>71</v>
      </c>
      <c r="AW2532" t="s">
        <v>72</v>
      </c>
      <c r="AX2532" t="s">
        <v>73</v>
      </c>
    </row>
    <row r="2533" spans="1:50" x14ac:dyDescent="0.3">
      <c r="A2533" t="str">
        <f>"201546C0100"</f>
        <v>201546C0100</v>
      </c>
      <c r="B2533" t="str">
        <f>"201546C01002"</f>
        <v>201546C01002</v>
      </c>
      <c r="C2533" t="str">
        <f t="shared" si="118"/>
        <v>20</v>
      </c>
      <c r="D2533" t="s">
        <v>67</v>
      </c>
      <c r="E2533" t="str">
        <f t="shared" si="117"/>
        <v>011</v>
      </c>
      <c r="F2533" t="s">
        <v>2448</v>
      </c>
      <c r="G2533" t="str">
        <f>"1546"</f>
        <v>1546</v>
      </c>
      <c r="H2533" t="str">
        <f>"0001"</f>
        <v>0001</v>
      </c>
      <c r="I2533" t="s">
        <v>75</v>
      </c>
      <c r="J2533">
        <v>0</v>
      </c>
      <c r="K2533">
        <v>1</v>
      </c>
      <c r="L2533">
        <v>2</v>
      </c>
      <c r="M2533">
        <v>223</v>
      </c>
      <c r="N2533">
        <v>330</v>
      </c>
      <c r="O2533" t="s">
        <v>80</v>
      </c>
      <c r="P2533">
        <v>330</v>
      </c>
      <c r="Q2533">
        <v>45</v>
      </c>
      <c r="R2533">
        <v>18</v>
      </c>
      <c r="S2533">
        <v>0</v>
      </c>
      <c r="T2533">
        <v>0</v>
      </c>
      <c r="U2533">
        <v>3</v>
      </c>
      <c r="V2533">
        <v>2</v>
      </c>
      <c r="W2533">
        <v>0</v>
      </c>
      <c r="X2533">
        <v>252</v>
      </c>
      <c r="Y2533">
        <v>0</v>
      </c>
      <c r="Z2533">
        <v>1</v>
      </c>
      <c r="AA2533">
        <v>2</v>
      </c>
      <c r="AB2533">
        <v>0</v>
      </c>
      <c r="AD2533">
        <v>3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4</v>
      </c>
      <c r="AK2533">
        <v>330</v>
      </c>
      <c r="AL2533">
        <v>330</v>
      </c>
      <c r="AM2533">
        <v>509</v>
      </c>
      <c r="AN2533">
        <v>44</v>
      </c>
      <c r="AP2533">
        <v>1</v>
      </c>
      <c r="AR2533" t="s">
        <v>2626</v>
      </c>
      <c r="AS2533" s="1">
        <v>44354.263194444444</v>
      </c>
      <c r="AT2533" s="1">
        <v>44354.267384259256</v>
      </c>
      <c r="AU2533" s="1">
        <v>44354.26798611111</v>
      </c>
      <c r="AV2533" t="s">
        <v>71</v>
      </c>
      <c r="AW2533" t="s">
        <v>72</v>
      </c>
      <c r="AX2533" t="s">
        <v>73</v>
      </c>
    </row>
    <row r="2534" spans="1:50" x14ac:dyDescent="0.3">
      <c r="A2534" t="str">
        <f>"201547B0000"</f>
        <v>201547B0000</v>
      </c>
      <c r="B2534" t="str">
        <f>"201547B00002"</f>
        <v>201547B00002</v>
      </c>
      <c r="C2534" t="str">
        <f t="shared" si="118"/>
        <v>20</v>
      </c>
      <c r="D2534" t="s">
        <v>67</v>
      </c>
      <c r="E2534" t="str">
        <f t="shared" si="117"/>
        <v>011</v>
      </c>
      <c r="F2534" t="s">
        <v>2448</v>
      </c>
      <c r="G2534" t="str">
        <f>"1547"</f>
        <v>1547</v>
      </c>
      <c r="H2534" t="str">
        <f>"0000"</f>
        <v>0000</v>
      </c>
      <c r="I2534" t="s">
        <v>69</v>
      </c>
      <c r="J2534">
        <v>0</v>
      </c>
      <c r="K2534">
        <v>1</v>
      </c>
      <c r="L2534">
        <v>2</v>
      </c>
      <c r="M2534">
        <v>225</v>
      </c>
      <c r="N2534">
        <v>303</v>
      </c>
      <c r="O2534">
        <v>1</v>
      </c>
      <c r="P2534">
        <v>303</v>
      </c>
      <c r="Q2534">
        <v>37</v>
      </c>
      <c r="R2534">
        <v>11</v>
      </c>
      <c r="S2534">
        <v>3</v>
      </c>
      <c r="T2534">
        <v>0</v>
      </c>
      <c r="U2534">
        <v>1</v>
      </c>
      <c r="V2534">
        <v>0</v>
      </c>
      <c r="W2534">
        <v>0</v>
      </c>
      <c r="X2534">
        <v>234</v>
      </c>
      <c r="Y2534">
        <v>0</v>
      </c>
      <c r="Z2534">
        <v>3</v>
      </c>
      <c r="AA2534">
        <v>2</v>
      </c>
      <c r="AB2534">
        <v>1</v>
      </c>
      <c r="AD2534">
        <v>1</v>
      </c>
      <c r="AE2534">
        <v>2</v>
      </c>
      <c r="AF2534">
        <v>0</v>
      </c>
      <c r="AG2534">
        <v>0</v>
      </c>
      <c r="AH2534">
        <v>0</v>
      </c>
      <c r="AI2534">
        <v>0</v>
      </c>
      <c r="AJ2534">
        <v>8</v>
      </c>
      <c r="AK2534">
        <v>303</v>
      </c>
      <c r="AL2534">
        <v>303</v>
      </c>
      <c r="AM2534">
        <v>484</v>
      </c>
      <c r="AN2534">
        <v>44</v>
      </c>
      <c r="AP2534">
        <v>1</v>
      </c>
      <c r="AR2534" t="s">
        <v>2627</v>
      </c>
      <c r="AS2534" s="1">
        <v>44353.848668981482</v>
      </c>
      <c r="AT2534" s="1">
        <v>44353.852222222224</v>
      </c>
      <c r="AU2534" s="1">
        <v>44353.853530092594</v>
      </c>
      <c r="AV2534" t="s">
        <v>269</v>
      </c>
      <c r="AW2534" t="s">
        <v>270</v>
      </c>
      <c r="AX2534" t="s">
        <v>73</v>
      </c>
    </row>
    <row r="2535" spans="1:50" x14ac:dyDescent="0.3">
      <c r="A2535" t="str">
        <f>"201547C0100"</f>
        <v>201547C0100</v>
      </c>
      <c r="B2535" t="str">
        <f>"201547C01002"</f>
        <v>201547C01002</v>
      </c>
      <c r="C2535" t="str">
        <f t="shared" si="118"/>
        <v>20</v>
      </c>
      <c r="D2535" t="s">
        <v>67</v>
      </c>
      <c r="E2535" t="str">
        <f t="shared" si="117"/>
        <v>011</v>
      </c>
      <c r="F2535" t="s">
        <v>2448</v>
      </c>
      <c r="G2535" t="str">
        <f>"1547"</f>
        <v>1547</v>
      </c>
      <c r="H2535" t="str">
        <f>"0001"</f>
        <v>0001</v>
      </c>
      <c r="I2535" t="s">
        <v>75</v>
      </c>
      <c r="J2535">
        <v>0</v>
      </c>
      <c r="K2535">
        <v>1</v>
      </c>
      <c r="L2535">
        <v>2</v>
      </c>
      <c r="M2535">
        <v>237</v>
      </c>
      <c r="N2535">
        <v>291</v>
      </c>
      <c r="O2535">
        <v>3</v>
      </c>
      <c r="P2535">
        <v>291</v>
      </c>
      <c r="Q2535">
        <v>34</v>
      </c>
      <c r="R2535">
        <v>11</v>
      </c>
      <c r="S2535">
        <v>0</v>
      </c>
      <c r="T2535">
        <v>0</v>
      </c>
      <c r="U2535">
        <v>6</v>
      </c>
      <c r="V2535">
        <v>1</v>
      </c>
      <c r="W2535">
        <v>0</v>
      </c>
      <c r="X2535">
        <v>224</v>
      </c>
      <c r="Y2535">
        <v>0</v>
      </c>
      <c r="Z2535">
        <v>2</v>
      </c>
      <c r="AA2535">
        <v>0</v>
      </c>
      <c r="AB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7</v>
      </c>
      <c r="AK2535">
        <v>291</v>
      </c>
      <c r="AL2535">
        <v>285</v>
      </c>
      <c r="AM2535">
        <v>484</v>
      </c>
      <c r="AN2535">
        <v>44</v>
      </c>
      <c r="AP2535">
        <v>1</v>
      </c>
      <c r="AR2535" t="s">
        <v>2628</v>
      </c>
      <c r="AS2535" s="1">
        <v>44353.83734953704</v>
      </c>
      <c r="AT2535" s="1">
        <v>44353.845277777778</v>
      </c>
      <c r="AU2535" s="1">
        <v>44353.845833333333</v>
      </c>
      <c r="AV2535" t="s">
        <v>269</v>
      </c>
      <c r="AW2535" t="s">
        <v>270</v>
      </c>
      <c r="AX2535" t="s">
        <v>73</v>
      </c>
    </row>
    <row r="2536" spans="1:50" x14ac:dyDescent="0.3">
      <c r="A2536" t="str">
        <f>"201548B0000"</f>
        <v>201548B0000</v>
      </c>
      <c r="B2536" t="str">
        <f>"201548B00002"</f>
        <v>201548B00002</v>
      </c>
      <c r="C2536" t="str">
        <f t="shared" si="118"/>
        <v>20</v>
      </c>
      <c r="D2536" t="s">
        <v>67</v>
      </c>
      <c r="E2536" t="str">
        <f t="shared" si="117"/>
        <v>011</v>
      </c>
      <c r="F2536" t="s">
        <v>2448</v>
      </c>
      <c r="G2536" t="str">
        <f>"1548"</f>
        <v>1548</v>
      </c>
      <c r="H2536" t="str">
        <f>"0000"</f>
        <v>0000</v>
      </c>
      <c r="I2536" t="s">
        <v>69</v>
      </c>
      <c r="J2536">
        <v>0</v>
      </c>
      <c r="K2536">
        <v>1</v>
      </c>
      <c r="L2536">
        <v>2</v>
      </c>
      <c r="M2536">
        <v>336</v>
      </c>
      <c r="N2536">
        <v>386</v>
      </c>
      <c r="O2536">
        <v>0</v>
      </c>
      <c r="P2536">
        <v>386</v>
      </c>
      <c r="Q2536">
        <v>35</v>
      </c>
      <c r="R2536">
        <v>9</v>
      </c>
      <c r="S2536">
        <v>0</v>
      </c>
      <c r="T2536">
        <v>1</v>
      </c>
      <c r="U2536">
        <v>3</v>
      </c>
      <c r="V2536">
        <v>3</v>
      </c>
      <c r="W2536">
        <v>1</v>
      </c>
      <c r="X2536">
        <v>311</v>
      </c>
      <c r="Y2536">
        <v>2</v>
      </c>
      <c r="Z2536">
        <v>1</v>
      </c>
      <c r="AA2536">
        <v>4</v>
      </c>
      <c r="AB2536">
        <v>3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13</v>
      </c>
      <c r="AK2536">
        <v>386</v>
      </c>
      <c r="AL2536">
        <v>386</v>
      </c>
      <c r="AM2536">
        <v>678</v>
      </c>
      <c r="AN2536">
        <v>44</v>
      </c>
      <c r="AP2536">
        <v>1</v>
      </c>
      <c r="AR2536" t="s">
        <v>2629</v>
      </c>
      <c r="AS2536" s="1">
        <v>44354.251388888886</v>
      </c>
      <c r="AT2536" s="1">
        <v>44354.257627314815</v>
      </c>
      <c r="AU2536" s="1">
        <v>44354.261701388888</v>
      </c>
      <c r="AV2536" t="s">
        <v>71</v>
      </c>
      <c r="AW2536" t="s">
        <v>72</v>
      </c>
      <c r="AX2536" t="s">
        <v>73</v>
      </c>
    </row>
    <row r="2537" spans="1:50" x14ac:dyDescent="0.3">
      <c r="A2537" t="str">
        <f>"201548C0100"</f>
        <v>201548C0100</v>
      </c>
      <c r="B2537" t="str">
        <f>"201548C01002"</f>
        <v>201548C01002</v>
      </c>
      <c r="C2537" t="str">
        <f t="shared" si="118"/>
        <v>20</v>
      </c>
      <c r="D2537" t="s">
        <v>67</v>
      </c>
      <c r="E2537" t="str">
        <f t="shared" si="117"/>
        <v>011</v>
      </c>
      <c r="F2537" t="s">
        <v>2448</v>
      </c>
      <c r="G2537" t="str">
        <f>"1548"</f>
        <v>1548</v>
      </c>
      <c r="H2537" t="str">
        <f>"0001"</f>
        <v>0001</v>
      </c>
      <c r="I2537" t="s">
        <v>75</v>
      </c>
      <c r="J2537">
        <v>0</v>
      </c>
      <c r="K2537">
        <v>1</v>
      </c>
      <c r="L2537">
        <v>2</v>
      </c>
      <c r="M2537">
        <v>338</v>
      </c>
      <c r="N2537">
        <v>383</v>
      </c>
      <c r="O2537">
        <v>0</v>
      </c>
      <c r="P2537">
        <v>383</v>
      </c>
      <c r="Q2537">
        <v>43</v>
      </c>
      <c r="R2537">
        <v>12</v>
      </c>
      <c r="S2537">
        <v>4</v>
      </c>
      <c r="T2537">
        <v>0</v>
      </c>
      <c r="U2537">
        <v>2</v>
      </c>
      <c r="V2537">
        <v>6</v>
      </c>
      <c r="W2537">
        <v>2</v>
      </c>
      <c r="X2537">
        <v>305</v>
      </c>
      <c r="Y2537">
        <v>0</v>
      </c>
      <c r="Z2537">
        <v>0</v>
      </c>
      <c r="AA2537">
        <v>2</v>
      </c>
      <c r="AB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7</v>
      </c>
      <c r="AK2537">
        <v>383</v>
      </c>
      <c r="AL2537">
        <v>383</v>
      </c>
      <c r="AM2537">
        <v>677</v>
      </c>
      <c r="AN2537">
        <v>44</v>
      </c>
      <c r="AP2537">
        <v>1</v>
      </c>
      <c r="AR2537" t="s">
        <v>2630</v>
      </c>
      <c r="AS2537" s="1">
        <v>44354.24722222222</v>
      </c>
      <c r="AT2537" s="1">
        <v>44354.251215277778</v>
      </c>
      <c r="AU2537" s="1">
        <v>44354.251689814817</v>
      </c>
      <c r="AV2537" t="s">
        <v>71</v>
      </c>
      <c r="AW2537" t="s">
        <v>72</v>
      </c>
      <c r="AX2537" t="s">
        <v>73</v>
      </c>
    </row>
    <row r="2538" spans="1:50" x14ac:dyDescent="0.3">
      <c r="A2538" t="str">
        <f>"201549B0000"</f>
        <v>201549B0000</v>
      </c>
      <c r="B2538" t="str">
        <f>"201549B00002"</f>
        <v>201549B00002</v>
      </c>
      <c r="C2538" t="str">
        <f t="shared" si="118"/>
        <v>20</v>
      </c>
      <c r="D2538" t="s">
        <v>67</v>
      </c>
      <c r="E2538" t="str">
        <f t="shared" si="117"/>
        <v>011</v>
      </c>
      <c r="F2538" t="s">
        <v>2448</v>
      </c>
      <c r="G2538" t="str">
        <f>"1549"</f>
        <v>1549</v>
      </c>
      <c r="H2538" t="str">
        <f>"0000"</f>
        <v>0000</v>
      </c>
      <c r="I2538" t="s">
        <v>69</v>
      </c>
      <c r="J2538">
        <v>0</v>
      </c>
      <c r="K2538">
        <v>1</v>
      </c>
      <c r="L2538">
        <v>2</v>
      </c>
      <c r="AM2538">
        <v>510</v>
      </c>
      <c r="AN2538">
        <v>44</v>
      </c>
      <c r="AO2538" t="s">
        <v>143</v>
      </c>
      <c r="AP2538">
        <v>0</v>
      </c>
      <c r="AR2538" t="s">
        <v>2631</v>
      </c>
      <c r="AS2538" s="1">
        <v>44354.423611111109</v>
      </c>
      <c r="AT2538" s="1">
        <v>44354.43954861111</v>
      </c>
      <c r="AU2538" s="1">
        <v>44354.43954861111</v>
      </c>
      <c r="AV2538" t="s">
        <v>71</v>
      </c>
      <c r="AW2538" t="s">
        <v>72</v>
      </c>
      <c r="AX2538" t="s">
        <v>73</v>
      </c>
    </row>
    <row r="2539" spans="1:50" x14ac:dyDescent="0.3">
      <c r="A2539" t="str">
        <f>"201549C0100"</f>
        <v>201549C0100</v>
      </c>
      <c r="B2539" t="str">
        <f>"201549C01002"</f>
        <v>201549C01002</v>
      </c>
      <c r="C2539" t="str">
        <f t="shared" si="118"/>
        <v>20</v>
      </c>
      <c r="D2539" t="s">
        <v>67</v>
      </c>
      <c r="E2539" t="str">
        <f t="shared" si="117"/>
        <v>011</v>
      </c>
      <c r="F2539" t="s">
        <v>2448</v>
      </c>
      <c r="G2539" t="str">
        <f>"1549"</f>
        <v>1549</v>
      </c>
      <c r="H2539" t="str">
        <f>"0001"</f>
        <v>0001</v>
      </c>
      <c r="I2539" t="s">
        <v>75</v>
      </c>
      <c r="J2539">
        <v>0</v>
      </c>
      <c r="K2539">
        <v>1</v>
      </c>
      <c r="L2539">
        <v>2</v>
      </c>
      <c r="M2539">
        <v>221</v>
      </c>
      <c r="N2539">
        <v>333</v>
      </c>
      <c r="O2539">
        <v>2</v>
      </c>
      <c r="P2539" t="s">
        <v>80</v>
      </c>
      <c r="Q2539">
        <v>34</v>
      </c>
      <c r="R2539">
        <v>12</v>
      </c>
      <c r="S2539">
        <v>3</v>
      </c>
      <c r="T2539">
        <v>3</v>
      </c>
      <c r="U2539">
        <v>2</v>
      </c>
      <c r="V2539">
        <v>3</v>
      </c>
      <c r="W2539">
        <v>2</v>
      </c>
      <c r="X2539">
        <v>251</v>
      </c>
      <c r="Y2539">
        <v>0</v>
      </c>
      <c r="Z2539">
        <v>2</v>
      </c>
      <c r="AA2539">
        <v>6</v>
      </c>
      <c r="AB2539">
        <v>3</v>
      </c>
      <c r="AD2539">
        <v>0</v>
      </c>
      <c r="AE2539">
        <v>3</v>
      </c>
      <c r="AF2539">
        <v>0</v>
      </c>
      <c r="AG2539">
        <v>0</v>
      </c>
      <c r="AH2539">
        <v>0</v>
      </c>
      <c r="AI2539">
        <v>0</v>
      </c>
      <c r="AJ2539">
        <v>9</v>
      </c>
      <c r="AK2539">
        <v>333</v>
      </c>
      <c r="AL2539">
        <v>333</v>
      </c>
      <c r="AM2539">
        <v>510</v>
      </c>
      <c r="AN2539">
        <v>44</v>
      </c>
      <c r="AP2539">
        <v>1</v>
      </c>
      <c r="AR2539" t="s">
        <v>2632</v>
      </c>
      <c r="AS2539" s="1">
        <v>44354.24722222222</v>
      </c>
      <c r="AT2539" s="1">
        <v>44354.251157407409</v>
      </c>
      <c r="AU2539" s="1">
        <v>44354.251770833333</v>
      </c>
      <c r="AV2539" t="s">
        <v>71</v>
      </c>
      <c r="AW2539" t="s">
        <v>72</v>
      </c>
      <c r="AX2539" t="s">
        <v>73</v>
      </c>
    </row>
    <row r="2540" spans="1:50" x14ac:dyDescent="0.3">
      <c r="A2540" t="str">
        <f>"201549E0100"</f>
        <v>201549E0100</v>
      </c>
      <c r="B2540" t="str">
        <f>"201549E01002"</f>
        <v>201549E01002</v>
      </c>
      <c r="C2540" t="str">
        <f t="shared" si="118"/>
        <v>20</v>
      </c>
      <c r="D2540" t="s">
        <v>67</v>
      </c>
      <c r="E2540" t="str">
        <f t="shared" si="117"/>
        <v>011</v>
      </c>
      <c r="F2540" t="s">
        <v>2448</v>
      </c>
      <c r="G2540" t="str">
        <f>"1549"</f>
        <v>1549</v>
      </c>
      <c r="H2540" t="str">
        <f>"0001"</f>
        <v>0001</v>
      </c>
      <c r="I2540" t="s">
        <v>109</v>
      </c>
      <c r="J2540">
        <v>0</v>
      </c>
      <c r="K2540">
        <v>1</v>
      </c>
      <c r="L2540">
        <v>2</v>
      </c>
      <c r="M2540">
        <v>205</v>
      </c>
      <c r="N2540">
        <v>264</v>
      </c>
      <c r="O2540">
        <v>1</v>
      </c>
      <c r="P2540">
        <v>264</v>
      </c>
      <c r="Q2540">
        <v>19</v>
      </c>
      <c r="R2540">
        <v>6</v>
      </c>
      <c r="S2540">
        <v>2</v>
      </c>
      <c r="T2540">
        <v>2</v>
      </c>
      <c r="U2540">
        <v>4</v>
      </c>
      <c r="V2540">
        <v>1</v>
      </c>
      <c r="W2540">
        <v>1</v>
      </c>
      <c r="X2540">
        <v>211</v>
      </c>
      <c r="Y2540">
        <v>1</v>
      </c>
      <c r="Z2540">
        <v>7</v>
      </c>
      <c r="AA2540">
        <v>2</v>
      </c>
      <c r="AB2540">
        <v>3</v>
      </c>
      <c r="AD2540">
        <v>1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4</v>
      </c>
      <c r="AK2540">
        <v>264</v>
      </c>
      <c r="AL2540">
        <v>264</v>
      </c>
      <c r="AM2540">
        <v>425</v>
      </c>
      <c r="AN2540">
        <v>44</v>
      </c>
      <c r="AP2540">
        <v>1</v>
      </c>
      <c r="AR2540" t="s">
        <v>2633</v>
      </c>
      <c r="AS2540" s="1">
        <v>44354.23541666667</v>
      </c>
      <c r="AT2540" s="1">
        <v>44354.239282407405</v>
      </c>
      <c r="AU2540" s="1">
        <v>44354.239849537036</v>
      </c>
      <c r="AV2540" t="s">
        <v>71</v>
      </c>
      <c r="AW2540" t="s">
        <v>72</v>
      </c>
      <c r="AX2540" t="s">
        <v>73</v>
      </c>
    </row>
    <row r="2541" spans="1:50" x14ac:dyDescent="0.3">
      <c r="A2541" t="str">
        <f>"201550B0000"</f>
        <v>201550B0000</v>
      </c>
      <c r="B2541" t="str">
        <f>"201550B00002"</f>
        <v>201550B00002</v>
      </c>
      <c r="C2541" t="str">
        <f t="shared" si="118"/>
        <v>20</v>
      </c>
      <c r="D2541" t="s">
        <v>67</v>
      </c>
      <c r="E2541" t="str">
        <f t="shared" si="117"/>
        <v>011</v>
      </c>
      <c r="F2541" t="s">
        <v>2448</v>
      </c>
      <c r="G2541" t="str">
        <f>"1550"</f>
        <v>1550</v>
      </c>
      <c r="H2541" t="str">
        <f>"0000"</f>
        <v>0000</v>
      </c>
      <c r="I2541" t="s">
        <v>69</v>
      </c>
      <c r="J2541">
        <v>0</v>
      </c>
      <c r="K2541">
        <v>1</v>
      </c>
      <c r="L2541">
        <v>2</v>
      </c>
      <c r="M2541">
        <v>304</v>
      </c>
      <c r="N2541">
        <v>708</v>
      </c>
      <c r="O2541">
        <v>0</v>
      </c>
      <c r="P2541">
        <v>404</v>
      </c>
      <c r="Q2541">
        <v>40</v>
      </c>
      <c r="R2541">
        <v>15</v>
      </c>
      <c r="S2541">
        <v>2</v>
      </c>
      <c r="T2541">
        <v>5</v>
      </c>
      <c r="U2541">
        <v>5</v>
      </c>
      <c r="V2541">
        <v>3</v>
      </c>
      <c r="W2541">
        <v>2</v>
      </c>
      <c r="X2541">
        <v>295</v>
      </c>
      <c r="Y2541">
        <v>1</v>
      </c>
      <c r="Z2541">
        <v>6</v>
      </c>
      <c r="AA2541">
        <v>6</v>
      </c>
      <c r="AB2541">
        <v>2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22</v>
      </c>
      <c r="AK2541">
        <v>404</v>
      </c>
      <c r="AL2541">
        <v>404</v>
      </c>
      <c r="AM2541">
        <v>664</v>
      </c>
      <c r="AN2541">
        <v>44</v>
      </c>
      <c r="AP2541">
        <v>1</v>
      </c>
      <c r="AR2541" t="s">
        <v>2634</v>
      </c>
      <c r="AS2541" s="1">
        <v>44354.293749999997</v>
      </c>
      <c r="AT2541" s="1">
        <v>44354.296574074076</v>
      </c>
      <c r="AU2541" s="1">
        <v>44354.297314814816</v>
      </c>
      <c r="AV2541" t="s">
        <v>71</v>
      </c>
      <c r="AW2541" t="s">
        <v>72</v>
      </c>
      <c r="AX2541" t="s">
        <v>73</v>
      </c>
    </row>
    <row r="2542" spans="1:50" x14ac:dyDescent="0.3">
      <c r="A2542" t="str">
        <f>"201550E0100"</f>
        <v>201550E0100</v>
      </c>
      <c r="B2542" t="str">
        <f>"201550E01002"</f>
        <v>201550E01002</v>
      </c>
      <c r="C2542" t="str">
        <f t="shared" si="118"/>
        <v>20</v>
      </c>
      <c r="D2542" t="s">
        <v>67</v>
      </c>
      <c r="E2542" t="str">
        <f t="shared" si="117"/>
        <v>011</v>
      </c>
      <c r="F2542" t="s">
        <v>2448</v>
      </c>
      <c r="G2542" t="str">
        <f>"1550"</f>
        <v>1550</v>
      </c>
      <c r="H2542" t="str">
        <f>"0001"</f>
        <v>0001</v>
      </c>
      <c r="I2542" t="s">
        <v>109</v>
      </c>
      <c r="J2542">
        <v>0</v>
      </c>
      <c r="K2542">
        <v>1</v>
      </c>
      <c r="L2542">
        <v>2</v>
      </c>
      <c r="M2542" t="s">
        <v>80</v>
      </c>
      <c r="N2542" t="s">
        <v>80</v>
      </c>
      <c r="O2542" t="s">
        <v>80</v>
      </c>
      <c r="P2542" t="s">
        <v>80</v>
      </c>
      <c r="Q2542">
        <v>43</v>
      </c>
      <c r="R2542">
        <v>15</v>
      </c>
      <c r="S2542">
        <v>4</v>
      </c>
      <c r="T2542">
        <v>0</v>
      </c>
      <c r="U2542">
        <v>1</v>
      </c>
      <c r="V2542">
        <v>3</v>
      </c>
      <c r="W2542">
        <v>1</v>
      </c>
      <c r="X2542">
        <v>211</v>
      </c>
      <c r="Y2542">
        <v>1</v>
      </c>
      <c r="Z2542">
        <v>0</v>
      </c>
      <c r="AA2542">
        <v>9</v>
      </c>
      <c r="AB2542">
        <v>1</v>
      </c>
      <c r="AD2542" t="s">
        <v>77</v>
      </c>
      <c r="AE2542" t="s">
        <v>77</v>
      </c>
      <c r="AF2542" t="s">
        <v>77</v>
      </c>
      <c r="AG2542" t="s">
        <v>77</v>
      </c>
      <c r="AH2542" t="s">
        <v>77</v>
      </c>
      <c r="AI2542" t="s">
        <v>77</v>
      </c>
      <c r="AJ2542" t="s">
        <v>77</v>
      </c>
      <c r="AK2542">
        <v>289</v>
      </c>
      <c r="AL2542">
        <v>289</v>
      </c>
      <c r="AM2542">
        <v>431</v>
      </c>
      <c r="AN2542">
        <v>44</v>
      </c>
      <c r="AO2542" t="s">
        <v>78</v>
      </c>
      <c r="AP2542">
        <v>1</v>
      </c>
      <c r="AR2542" t="s">
        <v>2635</v>
      </c>
      <c r="AS2542" s="1">
        <v>44354.102083333331</v>
      </c>
      <c r="AT2542" s="1">
        <v>44354.104386574072</v>
      </c>
      <c r="AU2542" s="1">
        <v>44354.104895833334</v>
      </c>
      <c r="AV2542" t="s">
        <v>71</v>
      </c>
      <c r="AW2542" t="s">
        <v>72</v>
      </c>
      <c r="AX2542" t="s">
        <v>73</v>
      </c>
    </row>
    <row r="2543" spans="1:50" x14ac:dyDescent="0.3">
      <c r="A2543" t="str">
        <f>"201550E0101"</f>
        <v>201550E0101</v>
      </c>
      <c r="B2543" t="str">
        <f>"201550E01012"</f>
        <v>201550E01012</v>
      </c>
      <c r="C2543" t="str">
        <f t="shared" si="118"/>
        <v>20</v>
      </c>
      <c r="D2543" t="s">
        <v>67</v>
      </c>
      <c r="E2543" t="str">
        <f t="shared" si="117"/>
        <v>011</v>
      </c>
      <c r="F2543" t="s">
        <v>2448</v>
      </c>
      <c r="G2543" t="str">
        <f>"1550"</f>
        <v>1550</v>
      </c>
      <c r="H2543" t="str">
        <f>"0001"</f>
        <v>0001</v>
      </c>
      <c r="I2543" t="s">
        <v>109</v>
      </c>
      <c r="J2543">
        <v>1</v>
      </c>
      <c r="K2543">
        <v>1</v>
      </c>
      <c r="L2543">
        <v>2</v>
      </c>
      <c r="M2543">
        <v>210</v>
      </c>
      <c r="N2543">
        <v>264</v>
      </c>
      <c r="O2543">
        <v>0</v>
      </c>
      <c r="P2543">
        <v>264</v>
      </c>
      <c r="Q2543">
        <v>64</v>
      </c>
      <c r="R2543">
        <v>11</v>
      </c>
      <c r="S2543">
        <v>2</v>
      </c>
      <c r="T2543">
        <v>3</v>
      </c>
      <c r="U2543">
        <v>2</v>
      </c>
      <c r="V2543">
        <v>0</v>
      </c>
      <c r="W2543">
        <v>2</v>
      </c>
      <c r="X2543">
        <v>166</v>
      </c>
      <c r="Y2543">
        <v>2</v>
      </c>
      <c r="Z2543">
        <v>2</v>
      </c>
      <c r="AA2543">
        <v>2</v>
      </c>
      <c r="AB2543">
        <v>1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264</v>
      </c>
      <c r="AL2543">
        <v>257</v>
      </c>
      <c r="AM2543">
        <v>431</v>
      </c>
      <c r="AN2543">
        <v>44</v>
      </c>
      <c r="AP2543">
        <v>1</v>
      </c>
      <c r="AR2543" t="s">
        <v>2636</v>
      </c>
      <c r="AS2543" s="1">
        <v>44354.23333333333</v>
      </c>
      <c r="AT2543" s="1">
        <v>44354.239953703705</v>
      </c>
      <c r="AU2543" s="1">
        <v>44354.240254629629</v>
      </c>
      <c r="AV2543" t="s">
        <v>71</v>
      </c>
      <c r="AW2543" t="s">
        <v>72</v>
      </c>
      <c r="AX2543" t="s">
        <v>73</v>
      </c>
    </row>
    <row r="2544" spans="1:50" x14ac:dyDescent="0.3">
      <c r="A2544" t="str">
        <f>"201550E0200"</f>
        <v>201550E0200</v>
      </c>
      <c r="B2544" t="str">
        <f>"201550E02002"</f>
        <v>201550E02002</v>
      </c>
      <c r="C2544" t="str">
        <f t="shared" si="118"/>
        <v>20</v>
      </c>
      <c r="D2544" t="s">
        <v>67</v>
      </c>
      <c r="E2544" t="str">
        <f t="shared" si="117"/>
        <v>011</v>
      </c>
      <c r="F2544" t="s">
        <v>2448</v>
      </c>
      <c r="G2544" t="str">
        <f>"1550"</f>
        <v>1550</v>
      </c>
      <c r="H2544" t="str">
        <f>"0002"</f>
        <v>0002</v>
      </c>
      <c r="I2544" t="s">
        <v>109</v>
      </c>
      <c r="J2544">
        <v>0</v>
      </c>
      <c r="K2544">
        <v>1</v>
      </c>
      <c r="L2544">
        <v>2</v>
      </c>
      <c r="M2544">
        <v>158</v>
      </c>
      <c r="N2544">
        <v>312</v>
      </c>
      <c r="O2544">
        <v>5</v>
      </c>
      <c r="P2544">
        <v>312</v>
      </c>
      <c r="Q2544">
        <v>27</v>
      </c>
      <c r="R2544">
        <v>9</v>
      </c>
      <c r="S2544">
        <v>1</v>
      </c>
      <c r="T2544">
        <v>2</v>
      </c>
      <c r="U2544">
        <v>4</v>
      </c>
      <c r="V2544">
        <v>1</v>
      </c>
      <c r="W2544">
        <v>0</v>
      </c>
      <c r="X2544">
        <v>260</v>
      </c>
      <c r="Y2544">
        <v>0</v>
      </c>
      <c r="Z2544">
        <v>0</v>
      </c>
      <c r="AA2544">
        <v>1</v>
      </c>
      <c r="AB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 t="s">
        <v>77</v>
      </c>
      <c r="AJ2544">
        <v>7</v>
      </c>
      <c r="AK2544">
        <v>312</v>
      </c>
      <c r="AL2544">
        <v>312</v>
      </c>
      <c r="AM2544">
        <v>426</v>
      </c>
      <c r="AN2544">
        <v>44</v>
      </c>
      <c r="AO2544" t="s">
        <v>78</v>
      </c>
      <c r="AP2544">
        <v>1</v>
      </c>
      <c r="AR2544" t="s">
        <v>2637</v>
      </c>
      <c r="AS2544" s="1">
        <v>44354.102777777778</v>
      </c>
      <c r="AT2544" s="1">
        <v>44354.105763888889</v>
      </c>
      <c r="AU2544" s="1">
        <v>44354.106863425928</v>
      </c>
      <c r="AV2544" t="s">
        <v>71</v>
      </c>
      <c r="AW2544" t="s">
        <v>72</v>
      </c>
      <c r="AX2544" t="s">
        <v>73</v>
      </c>
    </row>
    <row r="2545" spans="1:50" x14ac:dyDescent="0.3">
      <c r="A2545" t="str">
        <f>"201551B0000"</f>
        <v>201551B0000</v>
      </c>
      <c r="B2545" t="str">
        <f>"201551B00002"</f>
        <v>201551B00002</v>
      </c>
      <c r="C2545" t="str">
        <f t="shared" si="118"/>
        <v>20</v>
      </c>
      <c r="D2545" t="s">
        <v>67</v>
      </c>
      <c r="E2545" t="str">
        <f t="shared" si="117"/>
        <v>011</v>
      </c>
      <c r="F2545" t="s">
        <v>2448</v>
      </c>
      <c r="G2545" t="str">
        <f>"1551"</f>
        <v>1551</v>
      </c>
      <c r="H2545" t="str">
        <f>"0000"</f>
        <v>0000</v>
      </c>
      <c r="I2545" t="s">
        <v>69</v>
      </c>
      <c r="J2545">
        <v>0</v>
      </c>
      <c r="K2545">
        <v>1</v>
      </c>
      <c r="L2545">
        <v>2</v>
      </c>
      <c r="M2545">
        <v>98</v>
      </c>
      <c r="N2545">
        <v>162</v>
      </c>
      <c r="O2545">
        <v>1</v>
      </c>
      <c r="P2545">
        <v>0</v>
      </c>
      <c r="Q2545">
        <v>27</v>
      </c>
      <c r="R2545">
        <v>7</v>
      </c>
      <c r="S2545">
        <v>1</v>
      </c>
      <c r="T2545">
        <v>1</v>
      </c>
      <c r="U2545">
        <v>0</v>
      </c>
      <c r="V2545">
        <v>3</v>
      </c>
      <c r="W2545">
        <v>1</v>
      </c>
      <c r="X2545">
        <v>116</v>
      </c>
      <c r="Y2545">
        <v>0</v>
      </c>
      <c r="Z2545">
        <v>0</v>
      </c>
      <c r="AA2545">
        <v>2</v>
      </c>
      <c r="AB2545">
        <v>0</v>
      </c>
      <c r="AD2545" t="s">
        <v>77</v>
      </c>
      <c r="AE2545" t="s">
        <v>77</v>
      </c>
      <c r="AF2545" t="s">
        <v>77</v>
      </c>
      <c r="AG2545" t="s">
        <v>77</v>
      </c>
      <c r="AH2545" t="s">
        <v>77</v>
      </c>
      <c r="AI2545" t="s">
        <v>77</v>
      </c>
      <c r="AJ2545" t="s">
        <v>77</v>
      </c>
      <c r="AK2545">
        <v>161</v>
      </c>
      <c r="AL2545">
        <v>158</v>
      </c>
      <c r="AM2545">
        <v>215</v>
      </c>
      <c r="AN2545">
        <v>44</v>
      </c>
      <c r="AO2545" t="s">
        <v>78</v>
      </c>
      <c r="AP2545">
        <v>1</v>
      </c>
      <c r="AR2545" t="s">
        <v>2638</v>
      </c>
      <c r="AS2545" s="1">
        <v>44353.981608796297</v>
      </c>
      <c r="AT2545" s="1">
        <v>44353.983553240738</v>
      </c>
      <c r="AU2545" s="1">
        <v>44353.9844212963</v>
      </c>
      <c r="AV2545" t="s">
        <v>269</v>
      </c>
      <c r="AW2545" t="s">
        <v>270</v>
      </c>
      <c r="AX2545" t="s">
        <v>73</v>
      </c>
    </row>
    <row r="2546" spans="1:50" x14ac:dyDescent="0.3">
      <c r="A2546" t="str">
        <f>"201552B0000"</f>
        <v>201552B0000</v>
      </c>
      <c r="B2546" t="str">
        <f>"201552B00002"</f>
        <v>201552B00002</v>
      </c>
      <c r="C2546" t="str">
        <f t="shared" si="118"/>
        <v>20</v>
      </c>
      <c r="D2546" t="s">
        <v>67</v>
      </c>
      <c r="E2546" t="str">
        <f t="shared" si="117"/>
        <v>011</v>
      </c>
      <c r="F2546" t="s">
        <v>2448</v>
      </c>
      <c r="G2546" t="str">
        <f>"1552"</f>
        <v>1552</v>
      </c>
      <c r="H2546" t="str">
        <f>"0000"</f>
        <v>0000</v>
      </c>
      <c r="I2546" t="s">
        <v>69</v>
      </c>
      <c r="J2546">
        <v>0</v>
      </c>
      <c r="K2546">
        <v>1</v>
      </c>
      <c r="L2546">
        <v>2</v>
      </c>
      <c r="M2546">
        <v>101</v>
      </c>
      <c r="N2546">
        <v>159</v>
      </c>
      <c r="O2546">
        <v>0</v>
      </c>
      <c r="P2546">
        <v>159</v>
      </c>
      <c r="Q2546">
        <v>29</v>
      </c>
      <c r="R2546">
        <v>50</v>
      </c>
      <c r="S2546">
        <v>0</v>
      </c>
      <c r="T2546">
        <v>0</v>
      </c>
      <c r="U2546">
        <v>2</v>
      </c>
      <c r="V2546">
        <v>2</v>
      </c>
      <c r="W2546">
        <v>0</v>
      </c>
      <c r="X2546">
        <v>61</v>
      </c>
      <c r="Y2546">
        <v>1</v>
      </c>
      <c r="Z2546">
        <v>2</v>
      </c>
      <c r="AA2546">
        <v>4</v>
      </c>
      <c r="AB2546">
        <v>0</v>
      </c>
      <c r="AD2546">
        <v>0</v>
      </c>
      <c r="AE2546">
        <v>1</v>
      </c>
      <c r="AF2546">
        <v>1</v>
      </c>
      <c r="AG2546">
        <v>0</v>
      </c>
      <c r="AH2546">
        <v>0</v>
      </c>
      <c r="AI2546">
        <v>0</v>
      </c>
      <c r="AJ2546">
        <v>6</v>
      </c>
      <c r="AK2546">
        <v>159</v>
      </c>
      <c r="AL2546">
        <v>159</v>
      </c>
      <c r="AM2546">
        <v>216</v>
      </c>
      <c r="AN2546">
        <v>44</v>
      </c>
      <c r="AP2546">
        <v>1</v>
      </c>
      <c r="AR2546" t="s">
        <v>2639</v>
      </c>
      <c r="AS2546" s="1">
        <v>44354.293749999997</v>
      </c>
      <c r="AT2546" s="1">
        <v>44354.297488425924</v>
      </c>
      <c r="AU2546" s="1">
        <v>44354.298078703701</v>
      </c>
      <c r="AV2546" t="s">
        <v>71</v>
      </c>
      <c r="AW2546" t="s">
        <v>72</v>
      </c>
      <c r="AX2546" t="s">
        <v>73</v>
      </c>
    </row>
    <row r="2547" spans="1:50" x14ac:dyDescent="0.3">
      <c r="A2547" t="str">
        <f>"201552E0100"</f>
        <v>201552E0100</v>
      </c>
      <c r="B2547" t="str">
        <f>"201552E01002"</f>
        <v>201552E01002</v>
      </c>
      <c r="C2547" t="str">
        <f t="shared" si="118"/>
        <v>20</v>
      </c>
      <c r="D2547" t="s">
        <v>67</v>
      </c>
      <c r="E2547" t="str">
        <f t="shared" si="117"/>
        <v>011</v>
      </c>
      <c r="F2547" t="s">
        <v>2448</v>
      </c>
      <c r="G2547" t="str">
        <f>"1552"</f>
        <v>1552</v>
      </c>
      <c r="H2547" t="str">
        <f>"0001"</f>
        <v>0001</v>
      </c>
      <c r="I2547" t="s">
        <v>109</v>
      </c>
      <c r="J2547">
        <v>0</v>
      </c>
      <c r="K2547">
        <v>1</v>
      </c>
      <c r="L2547">
        <v>2</v>
      </c>
      <c r="M2547">
        <v>209</v>
      </c>
      <c r="N2547">
        <v>531</v>
      </c>
      <c r="O2547">
        <v>0</v>
      </c>
      <c r="P2547">
        <v>322</v>
      </c>
      <c r="Q2547">
        <v>19</v>
      </c>
      <c r="R2547">
        <v>13</v>
      </c>
      <c r="S2547">
        <v>1</v>
      </c>
      <c r="T2547">
        <v>4</v>
      </c>
      <c r="U2547">
        <v>5</v>
      </c>
      <c r="V2547">
        <v>4</v>
      </c>
      <c r="W2547">
        <v>0</v>
      </c>
      <c r="X2547">
        <v>265</v>
      </c>
      <c r="Y2547">
        <v>0</v>
      </c>
      <c r="Z2547">
        <v>0</v>
      </c>
      <c r="AA2547">
        <v>3</v>
      </c>
      <c r="AB2547">
        <v>1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7</v>
      </c>
      <c r="AK2547">
        <v>322</v>
      </c>
      <c r="AL2547">
        <v>322</v>
      </c>
      <c r="AM2547">
        <v>487</v>
      </c>
      <c r="AN2547">
        <v>44</v>
      </c>
      <c r="AP2547">
        <v>1</v>
      </c>
      <c r="AR2547" t="s">
        <v>2640</v>
      </c>
      <c r="AS2547" s="1">
        <v>44354.293749999997</v>
      </c>
      <c r="AT2547" s="1">
        <v>44354.296701388892</v>
      </c>
      <c r="AU2547" s="1">
        <v>44354.29724537037</v>
      </c>
      <c r="AV2547" t="s">
        <v>71</v>
      </c>
      <c r="AW2547" t="s">
        <v>72</v>
      </c>
      <c r="AX2547" t="s">
        <v>73</v>
      </c>
    </row>
    <row r="2548" spans="1:50" x14ac:dyDescent="0.3">
      <c r="A2548" t="str">
        <f>"201810B0000"</f>
        <v>201810B0000</v>
      </c>
      <c r="B2548" t="str">
        <f>"201810B00002"</f>
        <v>201810B00002</v>
      </c>
      <c r="C2548" t="str">
        <f t="shared" si="118"/>
        <v>20</v>
      </c>
      <c r="D2548" t="s">
        <v>67</v>
      </c>
      <c r="E2548" t="str">
        <f t="shared" ref="E2548:E2611" si="120">"011"</f>
        <v>011</v>
      </c>
      <c r="F2548" t="s">
        <v>2448</v>
      </c>
      <c r="G2548" t="str">
        <f>"1810"</f>
        <v>1810</v>
      </c>
      <c r="H2548" t="str">
        <f>"0000"</f>
        <v>0000</v>
      </c>
      <c r="I2548" t="s">
        <v>69</v>
      </c>
      <c r="J2548">
        <v>0</v>
      </c>
      <c r="K2548">
        <v>1</v>
      </c>
      <c r="L2548">
        <v>2</v>
      </c>
      <c r="M2548">
        <v>312</v>
      </c>
      <c r="N2548">
        <v>375</v>
      </c>
      <c r="O2548">
        <v>0</v>
      </c>
      <c r="P2548">
        <v>375</v>
      </c>
      <c r="Q2548">
        <v>2</v>
      </c>
      <c r="R2548">
        <v>125</v>
      </c>
      <c r="S2548">
        <v>7</v>
      </c>
      <c r="T2548">
        <v>4</v>
      </c>
      <c r="U2548">
        <v>4</v>
      </c>
      <c r="V2548">
        <v>7</v>
      </c>
      <c r="W2548">
        <v>3</v>
      </c>
      <c r="X2548">
        <v>171</v>
      </c>
      <c r="Y2548">
        <v>3</v>
      </c>
      <c r="Z2548">
        <v>7</v>
      </c>
      <c r="AA2548">
        <v>9</v>
      </c>
      <c r="AB2548">
        <v>1</v>
      </c>
      <c r="AD2548">
        <v>1</v>
      </c>
      <c r="AE2548">
        <v>1</v>
      </c>
      <c r="AF2548">
        <v>0</v>
      </c>
      <c r="AG2548">
        <v>0</v>
      </c>
      <c r="AH2548">
        <v>1</v>
      </c>
      <c r="AI2548">
        <v>0</v>
      </c>
      <c r="AJ2548">
        <v>29</v>
      </c>
      <c r="AK2548">
        <v>375</v>
      </c>
      <c r="AL2548">
        <v>375</v>
      </c>
      <c r="AM2548">
        <v>643</v>
      </c>
      <c r="AN2548">
        <v>44</v>
      </c>
      <c r="AP2548">
        <v>1</v>
      </c>
      <c r="AR2548" t="s">
        <v>2641</v>
      </c>
      <c r="AS2548" s="1">
        <v>44354.263194444444</v>
      </c>
      <c r="AT2548" s="1">
        <v>44354.266747685186</v>
      </c>
      <c r="AU2548" s="1">
        <v>44354.267175925925</v>
      </c>
      <c r="AV2548" t="s">
        <v>71</v>
      </c>
      <c r="AW2548" t="s">
        <v>72</v>
      </c>
      <c r="AX2548" t="s">
        <v>73</v>
      </c>
    </row>
    <row r="2549" spans="1:50" x14ac:dyDescent="0.3">
      <c r="A2549" t="str">
        <f>"201810C0100"</f>
        <v>201810C0100</v>
      </c>
      <c r="B2549" t="str">
        <f>"201810C01002"</f>
        <v>201810C01002</v>
      </c>
      <c r="C2549" t="str">
        <f t="shared" si="118"/>
        <v>20</v>
      </c>
      <c r="D2549" t="s">
        <v>67</v>
      </c>
      <c r="E2549" t="str">
        <f t="shared" si="120"/>
        <v>011</v>
      </c>
      <c r="F2549" t="s">
        <v>2448</v>
      </c>
      <c r="G2549" t="str">
        <f>"1810"</f>
        <v>1810</v>
      </c>
      <c r="H2549" t="str">
        <f>"0001"</f>
        <v>0001</v>
      </c>
      <c r="I2549" t="s">
        <v>75</v>
      </c>
      <c r="J2549">
        <v>0</v>
      </c>
      <c r="K2549">
        <v>1</v>
      </c>
      <c r="L2549">
        <v>2</v>
      </c>
      <c r="M2549">
        <v>330</v>
      </c>
      <c r="N2549">
        <v>357</v>
      </c>
      <c r="O2549">
        <v>0</v>
      </c>
      <c r="P2549" t="s">
        <v>80</v>
      </c>
      <c r="Q2549">
        <v>5</v>
      </c>
      <c r="R2549">
        <v>134</v>
      </c>
      <c r="S2549">
        <v>5</v>
      </c>
      <c r="T2549">
        <v>4</v>
      </c>
      <c r="U2549">
        <v>6</v>
      </c>
      <c r="V2549">
        <v>2</v>
      </c>
      <c r="W2549">
        <v>1</v>
      </c>
      <c r="X2549">
        <v>158</v>
      </c>
      <c r="Y2549">
        <v>2</v>
      </c>
      <c r="Z2549">
        <v>7</v>
      </c>
      <c r="AA2549">
        <v>11</v>
      </c>
      <c r="AB2549">
        <v>1</v>
      </c>
      <c r="AD2549">
        <v>5</v>
      </c>
      <c r="AE2549">
        <v>2</v>
      </c>
      <c r="AF2549" t="s">
        <v>77</v>
      </c>
      <c r="AG2549" t="s">
        <v>77</v>
      </c>
      <c r="AH2549" t="s">
        <v>77</v>
      </c>
      <c r="AI2549" t="s">
        <v>77</v>
      </c>
      <c r="AJ2549" t="s">
        <v>77</v>
      </c>
      <c r="AK2549" t="s">
        <v>77</v>
      </c>
      <c r="AL2549">
        <v>343</v>
      </c>
      <c r="AM2549">
        <v>643</v>
      </c>
      <c r="AN2549">
        <v>44</v>
      </c>
      <c r="AO2549" t="s">
        <v>78</v>
      </c>
      <c r="AP2549">
        <v>1</v>
      </c>
      <c r="AR2549" t="s">
        <v>2642</v>
      </c>
      <c r="AS2549" s="1">
        <v>44354.226388888892</v>
      </c>
      <c r="AT2549" s="1">
        <v>44354.233240740738</v>
      </c>
      <c r="AU2549" s="1">
        <v>44354.233738425923</v>
      </c>
      <c r="AV2549" t="s">
        <v>71</v>
      </c>
      <c r="AW2549" t="s">
        <v>72</v>
      </c>
      <c r="AX2549" t="s">
        <v>73</v>
      </c>
    </row>
    <row r="2550" spans="1:50" x14ac:dyDescent="0.3">
      <c r="A2550" t="str">
        <f>"201810C0200"</f>
        <v>201810C0200</v>
      </c>
      <c r="B2550" t="str">
        <f>"201810C02002"</f>
        <v>201810C02002</v>
      </c>
      <c r="C2550" t="str">
        <f t="shared" si="118"/>
        <v>20</v>
      </c>
      <c r="D2550" t="s">
        <v>67</v>
      </c>
      <c r="E2550" t="str">
        <f t="shared" si="120"/>
        <v>011</v>
      </c>
      <c r="F2550" t="s">
        <v>2448</v>
      </c>
      <c r="G2550" t="str">
        <f>"1810"</f>
        <v>1810</v>
      </c>
      <c r="H2550" t="str">
        <f>"0002"</f>
        <v>0002</v>
      </c>
      <c r="I2550" t="s">
        <v>75</v>
      </c>
      <c r="J2550">
        <v>0</v>
      </c>
      <c r="K2550">
        <v>1</v>
      </c>
      <c r="L2550">
        <v>2</v>
      </c>
      <c r="M2550">
        <v>333</v>
      </c>
      <c r="N2550" t="s">
        <v>99</v>
      </c>
      <c r="O2550">
        <v>1</v>
      </c>
      <c r="P2550">
        <v>352</v>
      </c>
      <c r="Q2550">
        <v>2</v>
      </c>
      <c r="R2550">
        <v>135</v>
      </c>
      <c r="S2550">
        <v>4</v>
      </c>
      <c r="T2550">
        <v>8</v>
      </c>
      <c r="U2550">
        <v>4</v>
      </c>
      <c r="V2550">
        <v>4</v>
      </c>
      <c r="W2550">
        <v>2</v>
      </c>
      <c r="X2550">
        <v>148</v>
      </c>
      <c r="Y2550">
        <v>1</v>
      </c>
      <c r="Z2550">
        <v>6</v>
      </c>
      <c r="AA2550">
        <v>6</v>
      </c>
      <c r="AB2550">
        <v>3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25</v>
      </c>
      <c r="AK2550">
        <v>352</v>
      </c>
      <c r="AL2550">
        <v>348</v>
      </c>
      <c r="AM2550">
        <v>642</v>
      </c>
      <c r="AN2550">
        <v>44</v>
      </c>
      <c r="AP2550">
        <v>1</v>
      </c>
      <c r="AR2550" t="s">
        <v>2643</v>
      </c>
      <c r="AS2550" s="1">
        <v>44354.226388888892</v>
      </c>
      <c r="AT2550" s="1">
        <v>44354.23641203704</v>
      </c>
      <c r="AU2550" s="1">
        <v>44354.237557870372</v>
      </c>
      <c r="AV2550" t="s">
        <v>71</v>
      </c>
      <c r="AW2550" t="s">
        <v>72</v>
      </c>
      <c r="AX2550" t="s">
        <v>73</v>
      </c>
    </row>
    <row r="2551" spans="1:50" x14ac:dyDescent="0.3">
      <c r="A2551" t="str">
        <f>"201811B0000"</f>
        <v>201811B0000</v>
      </c>
      <c r="B2551" t="str">
        <f>"201811B00002"</f>
        <v>201811B00002</v>
      </c>
      <c r="C2551" t="str">
        <f t="shared" si="118"/>
        <v>20</v>
      </c>
      <c r="D2551" t="s">
        <v>67</v>
      </c>
      <c r="E2551" t="str">
        <f t="shared" si="120"/>
        <v>011</v>
      </c>
      <c r="F2551" t="s">
        <v>2448</v>
      </c>
      <c r="G2551" t="str">
        <f>"1811"</f>
        <v>1811</v>
      </c>
      <c r="H2551" t="str">
        <f>"0000"</f>
        <v>0000</v>
      </c>
      <c r="I2551" t="s">
        <v>69</v>
      </c>
      <c r="J2551">
        <v>0</v>
      </c>
      <c r="K2551">
        <v>1</v>
      </c>
      <c r="L2551">
        <v>2</v>
      </c>
      <c r="M2551">
        <v>396</v>
      </c>
      <c r="N2551">
        <v>345</v>
      </c>
      <c r="O2551">
        <v>0</v>
      </c>
      <c r="P2551">
        <v>345</v>
      </c>
      <c r="Q2551">
        <v>5</v>
      </c>
      <c r="R2551">
        <v>49</v>
      </c>
      <c r="S2551">
        <v>0</v>
      </c>
      <c r="T2551">
        <v>3</v>
      </c>
      <c r="U2551">
        <v>3</v>
      </c>
      <c r="V2551">
        <v>2</v>
      </c>
      <c r="W2551">
        <v>2</v>
      </c>
      <c r="X2551">
        <v>272</v>
      </c>
      <c r="Y2551">
        <v>1</v>
      </c>
      <c r="Z2551">
        <v>3</v>
      </c>
      <c r="AA2551">
        <v>1</v>
      </c>
      <c r="AB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4</v>
      </c>
      <c r="AK2551">
        <v>345</v>
      </c>
      <c r="AL2551">
        <v>345</v>
      </c>
      <c r="AM2551">
        <v>697</v>
      </c>
      <c r="AN2551">
        <v>44</v>
      </c>
      <c r="AP2551">
        <v>1</v>
      </c>
      <c r="AR2551" t="s">
        <v>2644</v>
      </c>
      <c r="AS2551" s="1">
        <v>44354.209027777775</v>
      </c>
      <c r="AT2551" s="1">
        <v>44354.211145833331</v>
      </c>
      <c r="AU2551" s="1">
        <v>44354.211585648147</v>
      </c>
      <c r="AV2551" t="s">
        <v>71</v>
      </c>
      <c r="AW2551" t="s">
        <v>72</v>
      </c>
      <c r="AX2551" t="s">
        <v>73</v>
      </c>
    </row>
    <row r="2552" spans="1:50" x14ac:dyDescent="0.3">
      <c r="A2552" t="str">
        <f>"201811E0100"</f>
        <v>201811E0100</v>
      </c>
      <c r="B2552" t="str">
        <f>"201811E01002"</f>
        <v>201811E01002</v>
      </c>
      <c r="C2552" t="str">
        <f t="shared" si="118"/>
        <v>20</v>
      </c>
      <c r="D2552" t="s">
        <v>67</v>
      </c>
      <c r="E2552" t="str">
        <f t="shared" si="120"/>
        <v>011</v>
      </c>
      <c r="F2552" t="s">
        <v>2448</v>
      </c>
      <c r="G2552" t="str">
        <f>"1811"</f>
        <v>1811</v>
      </c>
      <c r="H2552" t="str">
        <f>"0001"</f>
        <v>0001</v>
      </c>
      <c r="I2552" t="s">
        <v>109</v>
      </c>
      <c r="J2552">
        <v>0</v>
      </c>
      <c r="K2552">
        <v>1</v>
      </c>
      <c r="L2552">
        <v>2</v>
      </c>
      <c r="M2552">
        <v>112</v>
      </c>
      <c r="N2552">
        <v>101</v>
      </c>
      <c r="O2552">
        <v>3</v>
      </c>
      <c r="P2552">
        <v>101</v>
      </c>
      <c r="Q2552">
        <v>2</v>
      </c>
      <c r="R2552">
        <v>4</v>
      </c>
      <c r="S2552">
        <v>0</v>
      </c>
      <c r="T2552">
        <v>1</v>
      </c>
      <c r="U2552">
        <v>1</v>
      </c>
      <c r="V2552">
        <v>0</v>
      </c>
      <c r="W2552">
        <v>0</v>
      </c>
      <c r="X2552">
        <v>88</v>
      </c>
      <c r="Y2552">
        <v>0</v>
      </c>
      <c r="Z2552">
        <v>2</v>
      </c>
      <c r="AA2552">
        <v>1</v>
      </c>
      <c r="AB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2</v>
      </c>
      <c r="AK2552">
        <v>101</v>
      </c>
      <c r="AL2552">
        <v>101</v>
      </c>
      <c r="AM2552">
        <v>169</v>
      </c>
      <c r="AN2552">
        <v>44</v>
      </c>
      <c r="AP2552">
        <v>1</v>
      </c>
      <c r="AR2552" t="s">
        <v>2645</v>
      </c>
      <c r="AS2552" s="1">
        <v>44354.174305555556</v>
      </c>
      <c r="AT2552" s="1">
        <v>44354.177997685183</v>
      </c>
      <c r="AU2552" s="1">
        <v>44354.181909722225</v>
      </c>
      <c r="AV2552" t="s">
        <v>71</v>
      </c>
      <c r="AW2552" t="s">
        <v>72</v>
      </c>
      <c r="AX2552" t="s">
        <v>73</v>
      </c>
    </row>
    <row r="2553" spans="1:50" x14ac:dyDescent="0.3">
      <c r="A2553" t="str">
        <f>"201812B0000"</f>
        <v>201812B0000</v>
      </c>
      <c r="B2553" t="str">
        <f>"201812B00002"</f>
        <v>201812B00002</v>
      </c>
      <c r="C2553" t="str">
        <f t="shared" si="118"/>
        <v>20</v>
      </c>
      <c r="D2553" t="s">
        <v>67</v>
      </c>
      <c r="E2553" t="str">
        <f t="shared" si="120"/>
        <v>011</v>
      </c>
      <c r="F2553" t="s">
        <v>2448</v>
      </c>
      <c r="G2553" t="str">
        <f>"1812"</f>
        <v>1812</v>
      </c>
      <c r="H2553" t="str">
        <f>"0000"</f>
        <v>0000</v>
      </c>
      <c r="I2553" t="s">
        <v>69</v>
      </c>
      <c r="J2553">
        <v>0</v>
      </c>
      <c r="K2553">
        <v>1</v>
      </c>
      <c r="L2553">
        <v>2</v>
      </c>
      <c r="AM2553">
        <v>541</v>
      </c>
      <c r="AN2553">
        <v>44</v>
      </c>
      <c r="AO2553" t="s">
        <v>352</v>
      </c>
      <c r="AP2553">
        <v>0</v>
      </c>
      <c r="AR2553" t="s">
        <v>2646</v>
      </c>
      <c r="AS2553" s="1">
        <v>44354.440972222219</v>
      </c>
      <c r="AT2553" s="1">
        <v>44354.457407407404</v>
      </c>
      <c r="AU2553" s="1">
        <v>44354.457407407404</v>
      </c>
      <c r="AV2553" t="s">
        <v>71</v>
      </c>
      <c r="AW2553" t="s">
        <v>72</v>
      </c>
      <c r="AX2553" t="s">
        <v>73</v>
      </c>
    </row>
    <row r="2554" spans="1:50" x14ac:dyDescent="0.3">
      <c r="A2554" t="str">
        <f>"201812E0100"</f>
        <v>201812E0100</v>
      </c>
      <c r="B2554" t="str">
        <f>"201812E01002"</f>
        <v>201812E01002</v>
      </c>
      <c r="C2554" t="str">
        <f t="shared" si="118"/>
        <v>20</v>
      </c>
      <c r="D2554" t="s">
        <v>67</v>
      </c>
      <c r="E2554" t="str">
        <f t="shared" si="120"/>
        <v>011</v>
      </c>
      <c r="F2554" t="s">
        <v>2448</v>
      </c>
      <c r="G2554" t="str">
        <f>"1812"</f>
        <v>1812</v>
      </c>
      <c r="H2554" t="str">
        <f>"0001"</f>
        <v>0001</v>
      </c>
      <c r="I2554" t="s">
        <v>109</v>
      </c>
      <c r="J2554">
        <v>0</v>
      </c>
      <c r="K2554">
        <v>1</v>
      </c>
      <c r="L2554">
        <v>2</v>
      </c>
      <c r="M2554">
        <v>268</v>
      </c>
      <c r="N2554">
        <v>253</v>
      </c>
      <c r="O2554">
        <v>0</v>
      </c>
      <c r="P2554">
        <v>253</v>
      </c>
      <c r="Q2554">
        <v>11</v>
      </c>
      <c r="R2554">
        <v>62</v>
      </c>
      <c r="S2554">
        <v>5</v>
      </c>
      <c r="T2554">
        <v>2</v>
      </c>
      <c r="U2554">
        <v>1</v>
      </c>
      <c r="V2554">
        <v>7</v>
      </c>
      <c r="W2554">
        <v>1</v>
      </c>
      <c r="X2554">
        <v>156</v>
      </c>
      <c r="Y2554">
        <v>0</v>
      </c>
      <c r="Z2554">
        <v>2</v>
      </c>
      <c r="AA2554">
        <v>0</v>
      </c>
      <c r="AB2554">
        <v>2</v>
      </c>
      <c r="AD2554" t="s">
        <v>77</v>
      </c>
      <c r="AE2554" t="s">
        <v>77</v>
      </c>
      <c r="AF2554" t="s">
        <v>77</v>
      </c>
      <c r="AG2554">
        <v>1</v>
      </c>
      <c r="AH2554" t="s">
        <v>77</v>
      </c>
      <c r="AI2554" t="s">
        <v>77</v>
      </c>
      <c r="AJ2554">
        <v>3</v>
      </c>
      <c r="AK2554">
        <v>253</v>
      </c>
      <c r="AL2554">
        <v>253</v>
      </c>
      <c r="AM2554">
        <v>477</v>
      </c>
      <c r="AN2554">
        <v>44</v>
      </c>
      <c r="AO2554" t="s">
        <v>78</v>
      </c>
      <c r="AP2554">
        <v>1</v>
      </c>
      <c r="AR2554" t="s">
        <v>2647</v>
      </c>
      <c r="AS2554" s="1">
        <v>44354.171527777777</v>
      </c>
      <c r="AT2554" s="1">
        <v>44354.174421296295</v>
      </c>
      <c r="AU2554" s="1">
        <v>44354.175763888888</v>
      </c>
      <c r="AV2554" t="s">
        <v>71</v>
      </c>
      <c r="AW2554" t="s">
        <v>72</v>
      </c>
      <c r="AX2554" t="s">
        <v>73</v>
      </c>
    </row>
    <row r="2555" spans="1:50" x14ac:dyDescent="0.3">
      <c r="A2555" t="str">
        <f>"201812E0200"</f>
        <v>201812E0200</v>
      </c>
      <c r="B2555" t="str">
        <f>"201812E02002"</f>
        <v>201812E02002</v>
      </c>
      <c r="C2555" t="str">
        <f t="shared" si="118"/>
        <v>20</v>
      </c>
      <c r="D2555" t="s">
        <v>67</v>
      </c>
      <c r="E2555" t="str">
        <f t="shared" si="120"/>
        <v>011</v>
      </c>
      <c r="F2555" t="s">
        <v>2448</v>
      </c>
      <c r="G2555" t="str">
        <f>"1812"</f>
        <v>1812</v>
      </c>
      <c r="H2555" t="str">
        <f>"0002"</f>
        <v>0002</v>
      </c>
      <c r="I2555" t="s">
        <v>109</v>
      </c>
      <c r="J2555">
        <v>0</v>
      </c>
      <c r="K2555">
        <v>1</v>
      </c>
      <c r="L2555">
        <v>2</v>
      </c>
      <c r="M2555">
        <v>83</v>
      </c>
      <c r="N2555">
        <v>107</v>
      </c>
      <c r="O2555">
        <v>4</v>
      </c>
      <c r="P2555">
        <v>0</v>
      </c>
      <c r="Q2555">
        <v>6</v>
      </c>
      <c r="R2555">
        <v>11</v>
      </c>
      <c r="S2555" t="s">
        <v>77</v>
      </c>
      <c r="T2555" t="s">
        <v>77</v>
      </c>
      <c r="U2555">
        <v>1</v>
      </c>
      <c r="V2555">
        <v>2</v>
      </c>
      <c r="W2555">
        <v>1</v>
      </c>
      <c r="X2555">
        <v>80</v>
      </c>
      <c r="Y2555">
        <v>1</v>
      </c>
      <c r="Z2555">
        <v>1</v>
      </c>
      <c r="AA2555">
        <v>2</v>
      </c>
      <c r="AB2555" t="s">
        <v>77</v>
      </c>
      <c r="AD2555" t="s">
        <v>77</v>
      </c>
      <c r="AE2555" t="s">
        <v>77</v>
      </c>
      <c r="AF2555" t="s">
        <v>77</v>
      </c>
      <c r="AG2555" t="s">
        <v>77</v>
      </c>
      <c r="AH2555" t="s">
        <v>77</v>
      </c>
      <c r="AI2555" t="s">
        <v>77</v>
      </c>
      <c r="AJ2555" t="s">
        <v>77</v>
      </c>
      <c r="AK2555">
        <v>107</v>
      </c>
      <c r="AL2555">
        <v>105</v>
      </c>
      <c r="AM2555">
        <v>146</v>
      </c>
      <c r="AN2555">
        <v>44</v>
      </c>
      <c r="AO2555" t="s">
        <v>78</v>
      </c>
      <c r="AP2555">
        <v>1</v>
      </c>
      <c r="AR2555" t="s">
        <v>2648</v>
      </c>
      <c r="AS2555" s="1">
        <v>44354.205555555556</v>
      </c>
      <c r="AT2555" s="1">
        <v>44354.210370370369</v>
      </c>
      <c r="AU2555" s="1">
        <v>44354.210833333331</v>
      </c>
      <c r="AV2555" t="s">
        <v>71</v>
      </c>
      <c r="AW2555" t="s">
        <v>72</v>
      </c>
      <c r="AX2555" t="s">
        <v>73</v>
      </c>
    </row>
    <row r="2556" spans="1:50" x14ac:dyDescent="0.3">
      <c r="A2556" t="str">
        <f>"201813B0000"</f>
        <v>201813B0000</v>
      </c>
      <c r="B2556" t="str">
        <f>"201813B00002"</f>
        <v>201813B00002</v>
      </c>
      <c r="C2556" t="str">
        <f t="shared" si="118"/>
        <v>20</v>
      </c>
      <c r="D2556" t="s">
        <v>67</v>
      </c>
      <c r="E2556" t="str">
        <f t="shared" si="120"/>
        <v>011</v>
      </c>
      <c r="F2556" t="s">
        <v>2448</v>
      </c>
      <c r="G2556" t="str">
        <f>"1813"</f>
        <v>1813</v>
      </c>
      <c r="H2556" t="str">
        <f>"0000"</f>
        <v>0000</v>
      </c>
      <c r="I2556" t="s">
        <v>69</v>
      </c>
      <c r="J2556">
        <v>0</v>
      </c>
      <c r="K2556">
        <v>1</v>
      </c>
      <c r="L2556">
        <v>2</v>
      </c>
      <c r="M2556">
        <v>141</v>
      </c>
      <c r="N2556">
        <v>146</v>
      </c>
      <c r="O2556">
        <v>0</v>
      </c>
      <c r="P2556">
        <v>146</v>
      </c>
      <c r="Q2556">
        <v>0</v>
      </c>
      <c r="R2556">
        <v>4</v>
      </c>
      <c r="S2556">
        <v>0</v>
      </c>
      <c r="T2556">
        <v>0</v>
      </c>
      <c r="U2556">
        <v>2</v>
      </c>
      <c r="V2556">
        <v>0</v>
      </c>
      <c r="W2556">
        <v>0</v>
      </c>
      <c r="X2556">
        <v>137</v>
      </c>
      <c r="Y2556">
        <v>0</v>
      </c>
      <c r="Z2556">
        <v>1</v>
      </c>
      <c r="AA2556">
        <v>1</v>
      </c>
      <c r="AB2556">
        <v>1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146</v>
      </c>
      <c r="AL2556">
        <v>146</v>
      </c>
      <c r="AM2556">
        <v>243</v>
      </c>
      <c r="AN2556">
        <v>44</v>
      </c>
      <c r="AP2556">
        <v>1</v>
      </c>
      <c r="AR2556" t="s">
        <v>2649</v>
      </c>
      <c r="AS2556" s="1">
        <v>44354.167361111111</v>
      </c>
      <c r="AT2556" s="1">
        <v>44354.169768518521</v>
      </c>
      <c r="AU2556" s="1">
        <v>44354.170034722221</v>
      </c>
      <c r="AV2556" t="s">
        <v>71</v>
      </c>
      <c r="AW2556" t="s">
        <v>72</v>
      </c>
      <c r="AX2556" t="s">
        <v>73</v>
      </c>
    </row>
    <row r="2557" spans="1:50" x14ac:dyDescent="0.3">
      <c r="A2557" t="str">
        <f>"201814B0000"</f>
        <v>201814B0000</v>
      </c>
      <c r="B2557" t="str">
        <f>"201814B00002"</f>
        <v>201814B00002</v>
      </c>
      <c r="C2557" t="str">
        <f t="shared" si="118"/>
        <v>20</v>
      </c>
      <c r="D2557" t="s">
        <v>67</v>
      </c>
      <c r="E2557" t="str">
        <f t="shared" si="120"/>
        <v>011</v>
      </c>
      <c r="F2557" t="s">
        <v>2448</v>
      </c>
      <c r="G2557" t="str">
        <f>"1814"</f>
        <v>1814</v>
      </c>
      <c r="H2557" t="str">
        <f>"0000"</f>
        <v>0000</v>
      </c>
      <c r="I2557" t="s">
        <v>69</v>
      </c>
      <c r="J2557">
        <v>0</v>
      </c>
      <c r="K2557">
        <v>1</v>
      </c>
      <c r="L2557">
        <v>2</v>
      </c>
      <c r="M2557">
        <v>99</v>
      </c>
      <c r="N2557">
        <v>104</v>
      </c>
      <c r="O2557">
        <v>2</v>
      </c>
      <c r="P2557">
        <v>104</v>
      </c>
      <c r="Q2557">
        <v>0</v>
      </c>
      <c r="R2557">
        <v>8</v>
      </c>
      <c r="S2557">
        <v>0</v>
      </c>
      <c r="T2557">
        <v>4</v>
      </c>
      <c r="U2557">
        <v>1</v>
      </c>
      <c r="V2557">
        <v>2</v>
      </c>
      <c r="W2557">
        <v>0</v>
      </c>
      <c r="X2557">
        <v>81</v>
      </c>
      <c r="Y2557">
        <v>1</v>
      </c>
      <c r="Z2557">
        <v>1</v>
      </c>
      <c r="AA2557">
        <v>2</v>
      </c>
      <c r="AB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4</v>
      </c>
      <c r="AK2557">
        <v>104</v>
      </c>
      <c r="AL2557">
        <v>104</v>
      </c>
      <c r="AM2557">
        <v>160</v>
      </c>
      <c r="AN2557">
        <v>44</v>
      </c>
      <c r="AP2557">
        <v>1</v>
      </c>
      <c r="AR2557" t="s">
        <v>2650</v>
      </c>
      <c r="AS2557" s="1">
        <v>44353.836736111109</v>
      </c>
      <c r="AT2557" s="1">
        <v>44354.039189814815</v>
      </c>
      <c r="AU2557" s="1">
        <v>44354.039687500001</v>
      </c>
      <c r="AV2557" t="s">
        <v>269</v>
      </c>
      <c r="AW2557" t="s">
        <v>270</v>
      </c>
      <c r="AX2557" t="s">
        <v>73</v>
      </c>
    </row>
    <row r="2558" spans="1:50" x14ac:dyDescent="0.3">
      <c r="A2558" t="str">
        <f>"201815B0000"</f>
        <v>201815B0000</v>
      </c>
      <c r="B2558" t="str">
        <f>"201815B00002"</f>
        <v>201815B00002</v>
      </c>
      <c r="C2558" t="str">
        <f t="shared" si="118"/>
        <v>20</v>
      </c>
      <c r="D2558" t="s">
        <v>67</v>
      </c>
      <c r="E2558" t="str">
        <f t="shared" si="120"/>
        <v>011</v>
      </c>
      <c r="F2558" t="s">
        <v>2448</v>
      </c>
      <c r="G2558" t="str">
        <f>"1815"</f>
        <v>1815</v>
      </c>
      <c r="H2558" t="str">
        <f>"0000"</f>
        <v>0000</v>
      </c>
      <c r="I2558" t="s">
        <v>69</v>
      </c>
      <c r="J2558">
        <v>0</v>
      </c>
      <c r="K2558">
        <v>1</v>
      </c>
      <c r="L2558">
        <v>2</v>
      </c>
      <c r="M2558">
        <v>129</v>
      </c>
      <c r="N2558">
        <v>145</v>
      </c>
      <c r="O2558">
        <v>3</v>
      </c>
      <c r="P2558">
        <v>142</v>
      </c>
      <c r="Q2558">
        <v>5</v>
      </c>
      <c r="R2558">
        <v>32</v>
      </c>
      <c r="S2558">
        <v>4</v>
      </c>
      <c r="T2558">
        <v>1</v>
      </c>
      <c r="U2558">
        <v>1</v>
      </c>
      <c r="V2558">
        <v>1</v>
      </c>
      <c r="W2558">
        <v>2</v>
      </c>
      <c r="X2558">
        <v>76</v>
      </c>
      <c r="Y2558">
        <v>0</v>
      </c>
      <c r="Z2558">
        <v>1</v>
      </c>
      <c r="AA2558">
        <v>1</v>
      </c>
      <c r="AB2558">
        <v>3</v>
      </c>
      <c r="AD2558">
        <v>1</v>
      </c>
      <c r="AE2558">
        <v>1</v>
      </c>
      <c r="AF2558">
        <v>0</v>
      </c>
      <c r="AG2558">
        <v>0</v>
      </c>
      <c r="AH2558">
        <v>0</v>
      </c>
      <c r="AI2558">
        <v>0</v>
      </c>
      <c r="AJ2558">
        <v>13</v>
      </c>
      <c r="AK2558">
        <v>142</v>
      </c>
      <c r="AL2558">
        <v>142</v>
      </c>
      <c r="AM2558">
        <v>227</v>
      </c>
      <c r="AN2558">
        <v>44</v>
      </c>
      <c r="AP2558">
        <v>1</v>
      </c>
      <c r="AR2558" t="s">
        <v>2651</v>
      </c>
      <c r="AS2558" s="1">
        <v>44354.022222222222</v>
      </c>
      <c r="AT2558" s="1">
        <v>44354.029606481483</v>
      </c>
      <c r="AU2558" s="1">
        <v>44354.030219907407</v>
      </c>
      <c r="AV2558" t="s">
        <v>71</v>
      </c>
      <c r="AW2558" t="s">
        <v>72</v>
      </c>
      <c r="AX2558" t="s">
        <v>73</v>
      </c>
    </row>
    <row r="2559" spans="1:50" x14ac:dyDescent="0.3">
      <c r="A2559" t="str">
        <f>"201815E0100"</f>
        <v>201815E0100</v>
      </c>
      <c r="B2559" t="str">
        <f>"201815E01002"</f>
        <v>201815E01002</v>
      </c>
      <c r="C2559" t="str">
        <f t="shared" si="118"/>
        <v>20</v>
      </c>
      <c r="D2559" t="s">
        <v>67</v>
      </c>
      <c r="E2559" t="str">
        <f t="shared" si="120"/>
        <v>011</v>
      </c>
      <c r="F2559" t="s">
        <v>2448</v>
      </c>
      <c r="G2559" t="str">
        <f>"1815"</f>
        <v>1815</v>
      </c>
      <c r="H2559" t="str">
        <f>"0001"</f>
        <v>0001</v>
      </c>
      <c r="I2559" t="s">
        <v>109</v>
      </c>
      <c r="J2559">
        <v>0</v>
      </c>
      <c r="K2559">
        <v>1</v>
      </c>
      <c r="L2559">
        <v>2</v>
      </c>
      <c r="M2559">
        <v>9</v>
      </c>
      <c r="N2559">
        <v>154</v>
      </c>
      <c r="O2559">
        <v>1</v>
      </c>
      <c r="P2559" t="s">
        <v>80</v>
      </c>
      <c r="Q2559">
        <v>3</v>
      </c>
      <c r="R2559">
        <v>46</v>
      </c>
      <c r="S2559">
        <v>2</v>
      </c>
      <c r="T2559">
        <v>1</v>
      </c>
      <c r="U2559">
        <v>1</v>
      </c>
      <c r="V2559">
        <v>0</v>
      </c>
      <c r="W2559">
        <v>2</v>
      </c>
      <c r="X2559">
        <v>74</v>
      </c>
      <c r="Y2559">
        <v>0</v>
      </c>
      <c r="Z2559">
        <v>6</v>
      </c>
      <c r="AA2559">
        <v>9</v>
      </c>
      <c r="AB2559">
        <v>1</v>
      </c>
      <c r="AD2559" t="s">
        <v>77</v>
      </c>
      <c r="AE2559" t="s">
        <v>77</v>
      </c>
      <c r="AF2559" t="s">
        <v>77</v>
      </c>
      <c r="AG2559" t="s">
        <v>77</v>
      </c>
      <c r="AH2559" t="s">
        <v>77</v>
      </c>
      <c r="AI2559" t="s">
        <v>77</v>
      </c>
      <c r="AJ2559" t="s">
        <v>77</v>
      </c>
      <c r="AK2559" t="s">
        <v>77</v>
      </c>
      <c r="AL2559">
        <v>145</v>
      </c>
      <c r="AM2559">
        <v>265</v>
      </c>
      <c r="AN2559">
        <v>44</v>
      </c>
      <c r="AO2559" t="s">
        <v>78</v>
      </c>
      <c r="AP2559">
        <v>1</v>
      </c>
      <c r="AR2559" t="s">
        <v>2652</v>
      </c>
      <c r="AS2559" s="1">
        <v>44354.01458333333</v>
      </c>
      <c r="AT2559" s="1">
        <v>44354.021979166668</v>
      </c>
      <c r="AU2559" s="1">
        <v>44354.022615740738</v>
      </c>
      <c r="AV2559" t="s">
        <v>71</v>
      </c>
      <c r="AW2559" t="s">
        <v>72</v>
      </c>
      <c r="AX2559" t="s">
        <v>73</v>
      </c>
    </row>
    <row r="2560" spans="1:50" x14ac:dyDescent="0.3">
      <c r="A2560" t="str">
        <f>"201815E0200"</f>
        <v>201815E0200</v>
      </c>
      <c r="B2560" t="str">
        <f>"201815E02002"</f>
        <v>201815E02002</v>
      </c>
      <c r="C2560" t="str">
        <f t="shared" si="118"/>
        <v>20</v>
      </c>
      <c r="D2560" t="s">
        <v>67</v>
      </c>
      <c r="E2560" t="str">
        <f t="shared" si="120"/>
        <v>011</v>
      </c>
      <c r="F2560" t="s">
        <v>2448</v>
      </c>
      <c r="G2560" t="str">
        <f>"1815"</f>
        <v>1815</v>
      </c>
      <c r="H2560" t="str">
        <f>"0002"</f>
        <v>0002</v>
      </c>
      <c r="I2560" t="s">
        <v>109</v>
      </c>
      <c r="J2560">
        <v>0</v>
      </c>
      <c r="K2560">
        <v>1</v>
      </c>
      <c r="L2560">
        <v>2</v>
      </c>
      <c r="M2560">
        <v>227</v>
      </c>
      <c r="N2560">
        <v>213</v>
      </c>
      <c r="O2560">
        <v>2</v>
      </c>
      <c r="P2560">
        <v>213</v>
      </c>
      <c r="Q2560">
        <v>4</v>
      </c>
      <c r="R2560">
        <v>63</v>
      </c>
      <c r="S2560">
        <v>4</v>
      </c>
      <c r="T2560">
        <v>6</v>
      </c>
      <c r="U2560">
        <v>2</v>
      </c>
      <c r="V2560">
        <v>1</v>
      </c>
      <c r="W2560">
        <v>4</v>
      </c>
      <c r="X2560">
        <v>111</v>
      </c>
      <c r="Y2560">
        <v>0</v>
      </c>
      <c r="Z2560">
        <v>2</v>
      </c>
      <c r="AA2560">
        <v>3</v>
      </c>
      <c r="AB2560">
        <v>1</v>
      </c>
      <c r="AD2560">
        <v>0</v>
      </c>
      <c r="AE2560">
        <v>0</v>
      </c>
      <c r="AF2560" t="s">
        <v>99</v>
      </c>
      <c r="AG2560">
        <v>0</v>
      </c>
      <c r="AH2560">
        <v>0</v>
      </c>
      <c r="AI2560" t="s">
        <v>77</v>
      </c>
      <c r="AJ2560">
        <v>10</v>
      </c>
      <c r="AK2560" t="s">
        <v>77</v>
      </c>
      <c r="AL2560">
        <v>211</v>
      </c>
      <c r="AM2560">
        <v>396</v>
      </c>
      <c r="AN2560">
        <v>44</v>
      </c>
      <c r="AO2560" t="s">
        <v>78</v>
      </c>
      <c r="AP2560">
        <v>1</v>
      </c>
      <c r="AR2560" t="s">
        <v>2653</v>
      </c>
      <c r="AS2560" s="1">
        <v>44354.019444444442</v>
      </c>
      <c r="AT2560" s="1">
        <v>44354.033020833333</v>
      </c>
      <c r="AU2560" s="1">
        <v>44354.052627314813</v>
      </c>
      <c r="AV2560" t="s">
        <v>71</v>
      </c>
      <c r="AW2560" t="s">
        <v>72</v>
      </c>
      <c r="AX2560" t="s">
        <v>73</v>
      </c>
    </row>
    <row r="2561" spans="1:50" x14ac:dyDescent="0.3">
      <c r="A2561" t="str">
        <f>"201888B0000"</f>
        <v>201888B0000</v>
      </c>
      <c r="B2561" t="str">
        <f>"201888B00002"</f>
        <v>201888B00002</v>
      </c>
      <c r="C2561" t="str">
        <f t="shared" si="118"/>
        <v>20</v>
      </c>
      <c r="D2561" t="s">
        <v>67</v>
      </c>
      <c r="E2561" t="str">
        <f t="shared" si="120"/>
        <v>011</v>
      </c>
      <c r="F2561" t="s">
        <v>2448</v>
      </c>
      <c r="G2561" t="str">
        <f>"1888"</f>
        <v>1888</v>
      </c>
      <c r="H2561" t="str">
        <f>"0000"</f>
        <v>0000</v>
      </c>
      <c r="I2561" t="s">
        <v>69</v>
      </c>
      <c r="J2561">
        <v>0</v>
      </c>
      <c r="K2561">
        <v>1</v>
      </c>
      <c r="L2561">
        <v>2</v>
      </c>
      <c r="M2561">
        <v>174</v>
      </c>
      <c r="N2561">
        <v>592</v>
      </c>
      <c r="O2561">
        <v>1</v>
      </c>
      <c r="P2561">
        <v>592</v>
      </c>
      <c r="Q2561">
        <v>5</v>
      </c>
      <c r="R2561">
        <v>136</v>
      </c>
      <c r="S2561">
        <v>7</v>
      </c>
      <c r="T2561">
        <v>19</v>
      </c>
      <c r="U2561">
        <v>6</v>
      </c>
      <c r="V2561">
        <v>1</v>
      </c>
      <c r="W2561">
        <v>0</v>
      </c>
      <c r="X2561">
        <v>402</v>
      </c>
      <c r="Y2561">
        <v>0</v>
      </c>
      <c r="Z2561">
        <v>0</v>
      </c>
      <c r="AA2561">
        <v>3</v>
      </c>
      <c r="AB2561">
        <v>0</v>
      </c>
      <c r="AD2561" t="s">
        <v>77</v>
      </c>
      <c r="AE2561" t="s">
        <v>77</v>
      </c>
      <c r="AF2561" t="s">
        <v>77</v>
      </c>
      <c r="AG2561" t="s">
        <v>77</v>
      </c>
      <c r="AH2561" t="s">
        <v>77</v>
      </c>
      <c r="AI2561" t="s">
        <v>77</v>
      </c>
      <c r="AJ2561">
        <v>13</v>
      </c>
      <c r="AK2561">
        <v>592</v>
      </c>
      <c r="AL2561">
        <v>592</v>
      </c>
      <c r="AM2561">
        <v>722</v>
      </c>
      <c r="AN2561">
        <v>44</v>
      </c>
      <c r="AO2561" t="s">
        <v>78</v>
      </c>
      <c r="AP2561">
        <v>1</v>
      </c>
      <c r="AR2561" t="s">
        <v>2654</v>
      </c>
      <c r="AS2561" s="1">
        <v>44354.23333333333</v>
      </c>
      <c r="AT2561" s="1">
        <v>44354.237754629627</v>
      </c>
      <c r="AU2561" s="1">
        <v>44354.238217592596</v>
      </c>
      <c r="AV2561" t="s">
        <v>71</v>
      </c>
      <c r="AW2561" t="s">
        <v>72</v>
      </c>
      <c r="AX2561" t="s">
        <v>73</v>
      </c>
    </row>
    <row r="2562" spans="1:50" x14ac:dyDescent="0.3">
      <c r="A2562" t="str">
        <f>"201889B0000"</f>
        <v>201889B0000</v>
      </c>
      <c r="B2562" t="str">
        <f>"201889B00002"</f>
        <v>201889B00002</v>
      </c>
      <c r="C2562" t="str">
        <f t="shared" si="118"/>
        <v>20</v>
      </c>
      <c r="D2562" t="s">
        <v>67</v>
      </c>
      <c r="E2562" t="str">
        <f t="shared" si="120"/>
        <v>011</v>
      </c>
      <c r="F2562" t="s">
        <v>2448</v>
      </c>
      <c r="G2562" t="str">
        <f>"1889"</f>
        <v>1889</v>
      </c>
      <c r="H2562" t="str">
        <f>"0000"</f>
        <v>0000</v>
      </c>
      <c r="I2562" t="s">
        <v>69</v>
      </c>
      <c r="J2562">
        <v>0</v>
      </c>
      <c r="K2562">
        <v>1</v>
      </c>
      <c r="L2562">
        <v>2</v>
      </c>
      <c r="M2562">
        <v>146</v>
      </c>
      <c r="N2562">
        <v>442</v>
      </c>
      <c r="O2562">
        <v>6</v>
      </c>
      <c r="P2562">
        <v>442</v>
      </c>
      <c r="Q2562">
        <v>2</v>
      </c>
      <c r="R2562">
        <v>96</v>
      </c>
      <c r="S2562">
        <v>8</v>
      </c>
      <c r="T2562">
        <v>10</v>
      </c>
      <c r="U2562">
        <v>2</v>
      </c>
      <c r="V2562">
        <v>4</v>
      </c>
      <c r="W2562">
        <v>2</v>
      </c>
      <c r="X2562">
        <v>300</v>
      </c>
      <c r="Y2562" t="s">
        <v>77</v>
      </c>
      <c r="Z2562">
        <v>2</v>
      </c>
      <c r="AA2562">
        <v>4</v>
      </c>
      <c r="AB2562">
        <v>1</v>
      </c>
      <c r="AD2562">
        <v>3</v>
      </c>
      <c r="AE2562" t="s">
        <v>77</v>
      </c>
      <c r="AF2562" t="s">
        <v>77</v>
      </c>
      <c r="AG2562" t="s">
        <v>77</v>
      </c>
      <c r="AH2562" t="s">
        <v>77</v>
      </c>
      <c r="AI2562" t="s">
        <v>77</v>
      </c>
      <c r="AJ2562">
        <v>8</v>
      </c>
      <c r="AK2562">
        <v>442</v>
      </c>
      <c r="AL2562">
        <v>442</v>
      </c>
      <c r="AM2562">
        <v>544</v>
      </c>
      <c r="AN2562">
        <v>44</v>
      </c>
      <c r="AO2562" t="s">
        <v>78</v>
      </c>
      <c r="AP2562">
        <v>1</v>
      </c>
      <c r="AR2562" t="s">
        <v>2655</v>
      </c>
      <c r="AS2562" s="1">
        <v>44354.205555555556</v>
      </c>
      <c r="AT2562" s="1">
        <v>44354.212476851855</v>
      </c>
      <c r="AU2562" s="1">
        <v>44354.214398148149</v>
      </c>
      <c r="AV2562" t="s">
        <v>71</v>
      </c>
      <c r="AW2562" t="s">
        <v>72</v>
      </c>
      <c r="AX2562" t="s">
        <v>73</v>
      </c>
    </row>
    <row r="2563" spans="1:50" x14ac:dyDescent="0.3">
      <c r="A2563" t="str">
        <f>"201889C0100"</f>
        <v>201889C0100</v>
      </c>
      <c r="B2563" t="str">
        <f>"201889C01002"</f>
        <v>201889C01002</v>
      </c>
      <c r="C2563" t="str">
        <f t="shared" si="118"/>
        <v>20</v>
      </c>
      <c r="D2563" t="s">
        <v>67</v>
      </c>
      <c r="E2563" t="str">
        <f t="shared" si="120"/>
        <v>011</v>
      </c>
      <c r="F2563" t="s">
        <v>2448</v>
      </c>
      <c r="G2563" t="str">
        <f>"1889"</f>
        <v>1889</v>
      </c>
      <c r="H2563" t="str">
        <f>"0001"</f>
        <v>0001</v>
      </c>
      <c r="I2563" t="s">
        <v>75</v>
      </c>
      <c r="J2563">
        <v>0</v>
      </c>
      <c r="K2563">
        <v>1</v>
      </c>
      <c r="L2563">
        <v>2</v>
      </c>
      <c r="M2563">
        <v>139</v>
      </c>
      <c r="N2563">
        <v>449</v>
      </c>
      <c r="O2563">
        <v>4</v>
      </c>
      <c r="P2563" t="s">
        <v>80</v>
      </c>
      <c r="Q2563">
        <v>1</v>
      </c>
      <c r="R2563">
        <v>72</v>
      </c>
      <c r="S2563">
        <v>3</v>
      </c>
      <c r="T2563">
        <v>1</v>
      </c>
      <c r="U2563">
        <v>6</v>
      </c>
      <c r="V2563">
        <v>1</v>
      </c>
      <c r="W2563">
        <v>0</v>
      </c>
      <c r="X2563">
        <v>348</v>
      </c>
      <c r="Y2563">
        <v>0</v>
      </c>
      <c r="Z2563">
        <v>2</v>
      </c>
      <c r="AA2563">
        <v>2</v>
      </c>
      <c r="AB2563">
        <v>3</v>
      </c>
      <c r="AD2563">
        <v>2</v>
      </c>
      <c r="AE2563" t="s">
        <v>77</v>
      </c>
      <c r="AF2563" t="s">
        <v>77</v>
      </c>
      <c r="AG2563" t="s">
        <v>77</v>
      </c>
      <c r="AH2563" t="s">
        <v>77</v>
      </c>
      <c r="AI2563" t="s">
        <v>77</v>
      </c>
      <c r="AJ2563">
        <v>8</v>
      </c>
      <c r="AK2563">
        <v>449</v>
      </c>
      <c r="AL2563">
        <v>449</v>
      </c>
      <c r="AM2563">
        <v>544</v>
      </c>
      <c r="AN2563">
        <v>44</v>
      </c>
      <c r="AO2563" t="s">
        <v>78</v>
      </c>
      <c r="AP2563">
        <v>1</v>
      </c>
      <c r="AR2563" t="s">
        <v>2656</v>
      </c>
      <c r="AS2563" s="1">
        <v>44354.23333333333</v>
      </c>
      <c r="AT2563" s="1">
        <v>44354.238425925927</v>
      </c>
      <c r="AU2563" s="1">
        <v>44354.238935185182</v>
      </c>
      <c r="AV2563" t="s">
        <v>71</v>
      </c>
      <c r="AW2563" t="s">
        <v>72</v>
      </c>
      <c r="AX2563" t="s">
        <v>73</v>
      </c>
    </row>
    <row r="2564" spans="1:50" x14ac:dyDescent="0.3">
      <c r="A2564" t="str">
        <f>"201890B0000"</f>
        <v>201890B0000</v>
      </c>
      <c r="B2564" t="str">
        <f>"201890B00002"</f>
        <v>201890B00002</v>
      </c>
      <c r="C2564" t="str">
        <f t="shared" si="118"/>
        <v>20</v>
      </c>
      <c r="D2564" t="s">
        <v>67</v>
      </c>
      <c r="E2564" t="str">
        <f t="shared" si="120"/>
        <v>011</v>
      </c>
      <c r="F2564" t="s">
        <v>2448</v>
      </c>
      <c r="G2564" t="str">
        <f>"1890"</f>
        <v>1890</v>
      </c>
      <c r="H2564" t="str">
        <f>"0000"</f>
        <v>0000</v>
      </c>
      <c r="I2564" t="s">
        <v>69</v>
      </c>
      <c r="J2564">
        <v>0</v>
      </c>
      <c r="K2564">
        <v>1</v>
      </c>
      <c r="L2564">
        <v>2</v>
      </c>
      <c r="M2564">
        <v>247</v>
      </c>
      <c r="N2564">
        <v>305</v>
      </c>
      <c r="O2564">
        <v>1</v>
      </c>
      <c r="P2564">
        <v>305</v>
      </c>
      <c r="Q2564">
        <v>4</v>
      </c>
      <c r="R2564">
        <v>71</v>
      </c>
      <c r="S2564">
        <v>2</v>
      </c>
      <c r="T2564">
        <v>2</v>
      </c>
      <c r="U2564">
        <v>13</v>
      </c>
      <c r="V2564">
        <v>2</v>
      </c>
      <c r="W2564">
        <v>0</v>
      </c>
      <c r="X2564">
        <v>191</v>
      </c>
      <c r="Y2564">
        <v>1</v>
      </c>
      <c r="Z2564">
        <v>2</v>
      </c>
      <c r="AA2564">
        <v>2</v>
      </c>
      <c r="AB2564">
        <v>3</v>
      </c>
      <c r="AD2564">
        <v>2</v>
      </c>
      <c r="AE2564">
        <v>0</v>
      </c>
      <c r="AF2564">
        <v>0</v>
      </c>
      <c r="AG2564">
        <v>0</v>
      </c>
      <c r="AH2564">
        <v>0</v>
      </c>
      <c r="AI2564">
        <v>1</v>
      </c>
      <c r="AJ2564">
        <v>9</v>
      </c>
      <c r="AK2564">
        <v>0</v>
      </c>
      <c r="AL2564">
        <v>305</v>
      </c>
      <c r="AM2564">
        <v>508</v>
      </c>
      <c r="AN2564">
        <v>44</v>
      </c>
      <c r="AP2564">
        <v>1</v>
      </c>
      <c r="AR2564" t="s">
        <v>2657</v>
      </c>
      <c r="AS2564" s="1">
        <v>44354.07916666667</v>
      </c>
      <c r="AT2564" s="1">
        <v>44354.104039351849</v>
      </c>
      <c r="AU2564" s="1">
        <v>44354.104594907411</v>
      </c>
      <c r="AV2564" t="s">
        <v>71</v>
      </c>
      <c r="AW2564" t="s">
        <v>72</v>
      </c>
      <c r="AX2564" t="s">
        <v>73</v>
      </c>
    </row>
    <row r="2565" spans="1:50" x14ac:dyDescent="0.3">
      <c r="A2565" t="str">
        <f>"201890C0100"</f>
        <v>201890C0100</v>
      </c>
      <c r="B2565" t="str">
        <f>"201890C01002"</f>
        <v>201890C01002</v>
      </c>
      <c r="C2565" t="str">
        <f t="shared" si="118"/>
        <v>20</v>
      </c>
      <c r="D2565" t="s">
        <v>67</v>
      </c>
      <c r="E2565" t="str">
        <f t="shared" si="120"/>
        <v>011</v>
      </c>
      <c r="F2565" t="s">
        <v>2448</v>
      </c>
      <c r="G2565" t="str">
        <f>"1890"</f>
        <v>1890</v>
      </c>
      <c r="H2565" t="str">
        <f>"0001"</f>
        <v>0001</v>
      </c>
      <c r="I2565" t="s">
        <v>75</v>
      </c>
      <c r="J2565">
        <v>0</v>
      </c>
      <c r="K2565">
        <v>1</v>
      </c>
      <c r="L2565">
        <v>2</v>
      </c>
      <c r="M2565">
        <v>217</v>
      </c>
      <c r="N2565">
        <v>335</v>
      </c>
      <c r="O2565">
        <v>1</v>
      </c>
      <c r="P2565">
        <v>335</v>
      </c>
      <c r="Q2565">
        <v>3</v>
      </c>
      <c r="R2565">
        <v>77</v>
      </c>
      <c r="S2565">
        <v>3</v>
      </c>
      <c r="T2565">
        <v>0</v>
      </c>
      <c r="U2565">
        <v>12</v>
      </c>
      <c r="V2565">
        <v>2</v>
      </c>
      <c r="W2565">
        <v>4</v>
      </c>
      <c r="X2565">
        <v>213</v>
      </c>
      <c r="Y2565">
        <v>0</v>
      </c>
      <c r="Z2565">
        <v>7</v>
      </c>
      <c r="AA2565">
        <v>7</v>
      </c>
      <c r="AB2565">
        <v>2</v>
      </c>
      <c r="AD2565">
        <v>2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3</v>
      </c>
      <c r="AK2565">
        <v>335</v>
      </c>
      <c r="AL2565">
        <v>335</v>
      </c>
      <c r="AM2565">
        <v>508</v>
      </c>
      <c r="AN2565">
        <v>44</v>
      </c>
      <c r="AP2565">
        <v>1</v>
      </c>
      <c r="AR2565" t="s">
        <v>2658</v>
      </c>
      <c r="AS2565" s="1">
        <v>44354.077777777777</v>
      </c>
      <c r="AT2565" s="1">
        <v>44354.086284722223</v>
      </c>
      <c r="AU2565" s="1">
        <v>44354.086712962962</v>
      </c>
      <c r="AV2565" t="s">
        <v>71</v>
      </c>
      <c r="AW2565" t="s">
        <v>72</v>
      </c>
      <c r="AX2565" t="s">
        <v>73</v>
      </c>
    </row>
    <row r="2566" spans="1:50" x14ac:dyDescent="0.3">
      <c r="A2566" t="str">
        <f>"201890C0200"</f>
        <v>201890C0200</v>
      </c>
      <c r="B2566" t="str">
        <f>"201890C02002"</f>
        <v>201890C02002</v>
      </c>
      <c r="C2566" t="str">
        <f t="shared" si="118"/>
        <v>20</v>
      </c>
      <c r="D2566" t="s">
        <v>67</v>
      </c>
      <c r="E2566" t="str">
        <f t="shared" si="120"/>
        <v>011</v>
      </c>
      <c r="F2566" t="s">
        <v>2448</v>
      </c>
      <c r="G2566" t="str">
        <f>"1890"</f>
        <v>1890</v>
      </c>
      <c r="H2566" t="str">
        <f>"0002"</f>
        <v>0002</v>
      </c>
      <c r="I2566" t="s">
        <v>75</v>
      </c>
      <c r="J2566">
        <v>0</v>
      </c>
      <c r="K2566">
        <v>1</v>
      </c>
      <c r="L2566">
        <v>2</v>
      </c>
      <c r="M2566">
        <v>233</v>
      </c>
      <c r="N2566">
        <v>317</v>
      </c>
      <c r="O2566">
        <v>2</v>
      </c>
      <c r="P2566">
        <v>317</v>
      </c>
      <c r="Q2566">
        <v>6</v>
      </c>
      <c r="R2566">
        <v>59</v>
      </c>
      <c r="S2566">
        <v>3</v>
      </c>
      <c r="T2566">
        <v>4</v>
      </c>
      <c r="U2566">
        <v>10</v>
      </c>
      <c r="V2566">
        <v>0</v>
      </c>
      <c r="W2566">
        <v>2</v>
      </c>
      <c r="X2566">
        <v>212</v>
      </c>
      <c r="Y2566">
        <v>0</v>
      </c>
      <c r="Z2566">
        <v>2</v>
      </c>
      <c r="AA2566">
        <v>6</v>
      </c>
      <c r="AB2566">
        <v>2</v>
      </c>
      <c r="AD2566">
        <v>2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9</v>
      </c>
      <c r="AK2566">
        <v>317</v>
      </c>
      <c r="AL2566">
        <v>317</v>
      </c>
      <c r="AM2566">
        <v>507</v>
      </c>
      <c r="AN2566">
        <v>44</v>
      </c>
      <c r="AP2566">
        <v>1</v>
      </c>
      <c r="AR2566" t="s">
        <v>2659</v>
      </c>
      <c r="AS2566" s="1">
        <v>44354.082638888889</v>
      </c>
      <c r="AT2566" s="1">
        <v>44354.089733796296</v>
      </c>
      <c r="AU2566" s="1">
        <v>44354.090243055558</v>
      </c>
      <c r="AV2566" t="s">
        <v>71</v>
      </c>
      <c r="AW2566" t="s">
        <v>72</v>
      </c>
      <c r="AX2566" t="s">
        <v>73</v>
      </c>
    </row>
    <row r="2567" spans="1:50" x14ac:dyDescent="0.3">
      <c r="A2567" t="str">
        <f>"201891B0000"</f>
        <v>201891B0000</v>
      </c>
      <c r="B2567" t="str">
        <f>"201891B00002"</f>
        <v>201891B00002</v>
      </c>
      <c r="C2567" t="str">
        <f t="shared" ref="C2567:C2630" si="121">"20"</f>
        <v>20</v>
      </c>
      <c r="D2567" t="s">
        <v>67</v>
      </c>
      <c r="E2567" t="str">
        <f t="shared" si="120"/>
        <v>011</v>
      </c>
      <c r="F2567" t="s">
        <v>2448</v>
      </c>
      <c r="G2567" t="str">
        <f>"1891"</f>
        <v>1891</v>
      </c>
      <c r="H2567" t="str">
        <f>"0000"</f>
        <v>0000</v>
      </c>
      <c r="I2567" t="s">
        <v>69</v>
      </c>
      <c r="J2567">
        <v>0</v>
      </c>
      <c r="K2567">
        <v>1</v>
      </c>
      <c r="L2567">
        <v>2</v>
      </c>
      <c r="M2567" t="s">
        <v>99</v>
      </c>
      <c r="N2567">
        <v>428</v>
      </c>
      <c r="O2567">
        <v>2</v>
      </c>
      <c r="P2567">
        <v>428</v>
      </c>
      <c r="Q2567">
        <v>8</v>
      </c>
      <c r="R2567">
        <v>74</v>
      </c>
      <c r="S2567">
        <v>3</v>
      </c>
      <c r="T2567">
        <v>6</v>
      </c>
      <c r="U2567">
        <v>11</v>
      </c>
      <c r="V2567">
        <v>4</v>
      </c>
      <c r="W2567">
        <v>1</v>
      </c>
      <c r="X2567">
        <v>298</v>
      </c>
      <c r="Y2567">
        <v>4</v>
      </c>
      <c r="Z2567">
        <v>3</v>
      </c>
      <c r="AA2567">
        <v>7</v>
      </c>
      <c r="AB2567">
        <v>2</v>
      </c>
      <c r="AD2567">
        <v>2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5</v>
      </c>
      <c r="AK2567">
        <v>428</v>
      </c>
      <c r="AL2567">
        <v>428</v>
      </c>
      <c r="AM2567">
        <v>712</v>
      </c>
      <c r="AN2567">
        <v>44</v>
      </c>
      <c r="AP2567">
        <v>1</v>
      </c>
      <c r="AR2567" t="s">
        <v>2660</v>
      </c>
      <c r="AS2567" s="1">
        <v>44354.037499999999</v>
      </c>
      <c r="AT2567" s="1">
        <v>44354.046979166669</v>
      </c>
      <c r="AU2567" s="1">
        <v>44354.047511574077</v>
      </c>
      <c r="AV2567" t="s">
        <v>71</v>
      </c>
      <c r="AW2567" t="s">
        <v>72</v>
      </c>
      <c r="AX2567" t="s">
        <v>73</v>
      </c>
    </row>
    <row r="2568" spans="1:50" x14ac:dyDescent="0.3">
      <c r="A2568" t="str">
        <f>"201891C0100"</f>
        <v>201891C0100</v>
      </c>
      <c r="B2568" t="str">
        <f>"201891C01002"</f>
        <v>201891C01002</v>
      </c>
      <c r="C2568" t="str">
        <f t="shared" si="121"/>
        <v>20</v>
      </c>
      <c r="D2568" t="s">
        <v>67</v>
      </c>
      <c r="E2568" t="str">
        <f t="shared" si="120"/>
        <v>011</v>
      </c>
      <c r="F2568" t="s">
        <v>2448</v>
      </c>
      <c r="G2568" t="str">
        <f>"1891"</f>
        <v>1891</v>
      </c>
      <c r="H2568" t="str">
        <f>"0001"</f>
        <v>0001</v>
      </c>
      <c r="I2568" t="s">
        <v>75</v>
      </c>
      <c r="J2568">
        <v>0</v>
      </c>
      <c r="K2568">
        <v>1</v>
      </c>
      <c r="L2568">
        <v>2</v>
      </c>
      <c r="M2568">
        <v>288</v>
      </c>
      <c r="N2568">
        <v>468</v>
      </c>
      <c r="O2568">
        <v>0</v>
      </c>
      <c r="P2568">
        <v>468</v>
      </c>
      <c r="Q2568">
        <v>4</v>
      </c>
      <c r="R2568">
        <v>87</v>
      </c>
      <c r="S2568">
        <v>4</v>
      </c>
      <c r="T2568">
        <v>2</v>
      </c>
      <c r="U2568">
        <v>5</v>
      </c>
      <c r="V2568">
        <v>1</v>
      </c>
      <c r="W2568">
        <v>3</v>
      </c>
      <c r="X2568">
        <v>348</v>
      </c>
      <c r="Y2568">
        <v>2</v>
      </c>
      <c r="Z2568">
        <v>2</v>
      </c>
      <c r="AA2568">
        <v>1</v>
      </c>
      <c r="AB2568">
        <v>0</v>
      </c>
      <c r="AD2568">
        <v>2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7</v>
      </c>
      <c r="AK2568">
        <v>468</v>
      </c>
      <c r="AL2568">
        <v>468</v>
      </c>
      <c r="AM2568">
        <v>712</v>
      </c>
      <c r="AN2568">
        <v>44</v>
      </c>
      <c r="AP2568">
        <v>1</v>
      </c>
      <c r="AR2568" t="s">
        <v>2661</v>
      </c>
      <c r="AS2568" s="1">
        <v>44354.039583333331</v>
      </c>
      <c r="AT2568" s="1">
        <v>44354.049212962964</v>
      </c>
      <c r="AU2568" s="1">
        <v>44354.050011574072</v>
      </c>
      <c r="AV2568" t="s">
        <v>71</v>
      </c>
      <c r="AW2568" t="s">
        <v>72</v>
      </c>
      <c r="AX2568" t="s">
        <v>73</v>
      </c>
    </row>
    <row r="2569" spans="1:50" x14ac:dyDescent="0.3">
      <c r="A2569" t="str">
        <f>"201892B0000"</f>
        <v>201892B0000</v>
      </c>
      <c r="B2569" t="str">
        <f>"201892B00002"</f>
        <v>201892B00002</v>
      </c>
      <c r="C2569" t="str">
        <f t="shared" si="121"/>
        <v>20</v>
      </c>
      <c r="D2569" t="s">
        <v>67</v>
      </c>
      <c r="E2569" t="str">
        <f t="shared" si="120"/>
        <v>011</v>
      </c>
      <c r="F2569" t="s">
        <v>2448</v>
      </c>
      <c r="G2569" t="str">
        <f>"1892"</f>
        <v>1892</v>
      </c>
      <c r="H2569" t="str">
        <f>"0000"</f>
        <v>0000</v>
      </c>
      <c r="I2569" t="s">
        <v>69</v>
      </c>
      <c r="J2569">
        <v>0</v>
      </c>
      <c r="K2569">
        <v>1</v>
      </c>
      <c r="L2569">
        <v>2</v>
      </c>
      <c r="M2569">
        <v>235</v>
      </c>
      <c r="N2569">
        <v>358</v>
      </c>
      <c r="O2569">
        <v>1</v>
      </c>
      <c r="P2569">
        <v>358</v>
      </c>
      <c r="Q2569">
        <v>6</v>
      </c>
      <c r="R2569">
        <v>64</v>
      </c>
      <c r="S2569">
        <v>0</v>
      </c>
      <c r="T2569">
        <v>4</v>
      </c>
      <c r="U2569">
        <v>8</v>
      </c>
      <c r="V2569">
        <v>1</v>
      </c>
      <c r="W2569">
        <v>3</v>
      </c>
      <c r="X2569">
        <v>251</v>
      </c>
      <c r="Y2569">
        <v>3</v>
      </c>
      <c r="Z2569">
        <v>2</v>
      </c>
      <c r="AA2569">
        <v>1</v>
      </c>
      <c r="AB2569">
        <v>3</v>
      </c>
      <c r="AD2569">
        <v>1</v>
      </c>
      <c r="AE2569">
        <v>0</v>
      </c>
      <c r="AF2569">
        <v>0</v>
      </c>
      <c r="AG2569">
        <v>1</v>
      </c>
      <c r="AH2569">
        <v>0</v>
      </c>
      <c r="AI2569">
        <v>0</v>
      </c>
      <c r="AJ2569">
        <v>10</v>
      </c>
      <c r="AK2569">
        <v>358</v>
      </c>
      <c r="AL2569">
        <v>358</v>
      </c>
      <c r="AM2569">
        <v>549</v>
      </c>
      <c r="AN2569">
        <v>44</v>
      </c>
      <c r="AP2569">
        <v>1</v>
      </c>
      <c r="AR2569" t="s">
        <v>2662</v>
      </c>
      <c r="AS2569" s="1">
        <v>44354.23333333333</v>
      </c>
      <c r="AT2569" s="1">
        <v>44354.237164351849</v>
      </c>
      <c r="AU2569" s="1">
        <v>44354.237986111111</v>
      </c>
      <c r="AV2569" t="s">
        <v>71</v>
      </c>
      <c r="AW2569" t="s">
        <v>72</v>
      </c>
      <c r="AX2569" t="s">
        <v>73</v>
      </c>
    </row>
    <row r="2570" spans="1:50" x14ac:dyDescent="0.3">
      <c r="A2570" t="str">
        <f>"201892C0100"</f>
        <v>201892C0100</v>
      </c>
      <c r="B2570" t="str">
        <f>"201892C01002"</f>
        <v>201892C01002</v>
      </c>
      <c r="C2570" t="str">
        <f t="shared" si="121"/>
        <v>20</v>
      </c>
      <c r="D2570" t="s">
        <v>67</v>
      </c>
      <c r="E2570" t="str">
        <f t="shared" si="120"/>
        <v>011</v>
      </c>
      <c r="F2570" t="s">
        <v>2448</v>
      </c>
      <c r="G2570" t="str">
        <f>"1892"</f>
        <v>1892</v>
      </c>
      <c r="H2570" t="str">
        <f>"0001"</f>
        <v>0001</v>
      </c>
      <c r="I2570" t="s">
        <v>75</v>
      </c>
      <c r="J2570">
        <v>0</v>
      </c>
      <c r="K2570">
        <v>1</v>
      </c>
      <c r="L2570">
        <v>2</v>
      </c>
      <c r="M2570">
        <v>254</v>
      </c>
      <c r="N2570">
        <v>339</v>
      </c>
      <c r="O2570">
        <v>0</v>
      </c>
      <c r="P2570">
        <v>339</v>
      </c>
      <c r="Q2570">
        <v>3</v>
      </c>
      <c r="R2570">
        <v>56</v>
      </c>
      <c r="S2570">
        <v>0</v>
      </c>
      <c r="T2570">
        <v>0</v>
      </c>
      <c r="U2570">
        <v>10</v>
      </c>
      <c r="V2570">
        <v>0</v>
      </c>
      <c r="W2570">
        <v>3</v>
      </c>
      <c r="X2570">
        <v>250</v>
      </c>
      <c r="Y2570">
        <v>0</v>
      </c>
      <c r="Z2570">
        <v>1</v>
      </c>
      <c r="AA2570">
        <v>4</v>
      </c>
      <c r="AB2570">
        <v>1</v>
      </c>
      <c r="AD2570">
        <v>2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9</v>
      </c>
      <c r="AK2570">
        <v>339</v>
      </c>
      <c r="AL2570">
        <v>339</v>
      </c>
      <c r="AM2570">
        <v>549</v>
      </c>
      <c r="AN2570">
        <v>44</v>
      </c>
      <c r="AP2570">
        <v>1</v>
      </c>
      <c r="AR2570" t="s">
        <v>2663</v>
      </c>
      <c r="AS2570" s="1">
        <v>44354.081250000003</v>
      </c>
      <c r="AT2570" s="1">
        <v>44354.088854166665</v>
      </c>
      <c r="AU2570" s="1">
        <v>44354.089201388888</v>
      </c>
      <c r="AV2570" t="s">
        <v>71</v>
      </c>
      <c r="AW2570" t="s">
        <v>72</v>
      </c>
      <c r="AX2570" t="s">
        <v>73</v>
      </c>
    </row>
    <row r="2571" spans="1:50" x14ac:dyDescent="0.3">
      <c r="A2571" t="str">
        <f>"201893B0000"</f>
        <v>201893B0000</v>
      </c>
      <c r="B2571" t="str">
        <f>"201893B00002"</f>
        <v>201893B00002</v>
      </c>
      <c r="C2571" t="str">
        <f t="shared" si="121"/>
        <v>20</v>
      </c>
      <c r="D2571" t="s">
        <v>67</v>
      </c>
      <c r="E2571" t="str">
        <f t="shared" si="120"/>
        <v>011</v>
      </c>
      <c r="F2571" t="s">
        <v>2448</v>
      </c>
      <c r="G2571" t="str">
        <f>"1893"</f>
        <v>1893</v>
      </c>
      <c r="H2571" t="str">
        <f>"0000"</f>
        <v>0000</v>
      </c>
      <c r="I2571" t="s">
        <v>69</v>
      </c>
      <c r="J2571">
        <v>0</v>
      </c>
      <c r="K2571">
        <v>1</v>
      </c>
      <c r="L2571">
        <v>2</v>
      </c>
      <c r="M2571">
        <v>329</v>
      </c>
      <c r="N2571">
        <v>317</v>
      </c>
      <c r="O2571">
        <v>0</v>
      </c>
      <c r="P2571">
        <v>317</v>
      </c>
      <c r="Q2571">
        <v>7</v>
      </c>
      <c r="R2571">
        <v>62</v>
      </c>
      <c r="S2571">
        <v>4</v>
      </c>
      <c r="T2571">
        <v>12</v>
      </c>
      <c r="U2571">
        <v>9</v>
      </c>
      <c r="V2571">
        <v>3</v>
      </c>
      <c r="W2571">
        <v>1</v>
      </c>
      <c r="X2571">
        <v>196</v>
      </c>
      <c r="Y2571">
        <v>1</v>
      </c>
      <c r="Z2571">
        <v>3</v>
      </c>
      <c r="AA2571">
        <v>8</v>
      </c>
      <c r="AB2571">
        <v>1</v>
      </c>
      <c r="AD2571">
        <v>1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10</v>
      </c>
      <c r="AK2571">
        <v>317</v>
      </c>
      <c r="AL2571">
        <v>318</v>
      </c>
      <c r="AM2571">
        <v>602</v>
      </c>
      <c r="AN2571">
        <v>44</v>
      </c>
      <c r="AP2571">
        <v>1</v>
      </c>
      <c r="AR2571" t="s">
        <v>2664</v>
      </c>
      <c r="AS2571" s="1">
        <v>44353.896874999999</v>
      </c>
      <c r="AT2571" s="1">
        <v>44353.899039351854</v>
      </c>
      <c r="AU2571" s="1">
        <v>44353.899965277778</v>
      </c>
      <c r="AV2571" t="s">
        <v>269</v>
      </c>
      <c r="AW2571" t="s">
        <v>270</v>
      </c>
      <c r="AX2571" t="s">
        <v>73</v>
      </c>
    </row>
    <row r="2572" spans="1:50" x14ac:dyDescent="0.3">
      <c r="A2572" t="str">
        <f>"201893C0100"</f>
        <v>201893C0100</v>
      </c>
      <c r="B2572" t="str">
        <f>"201893C01002"</f>
        <v>201893C01002</v>
      </c>
      <c r="C2572" t="str">
        <f t="shared" si="121"/>
        <v>20</v>
      </c>
      <c r="D2572" t="s">
        <v>67</v>
      </c>
      <c r="E2572" t="str">
        <f t="shared" si="120"/>
        <v>011</v>
      </c>
      <c r="F2572" t="s">
        <v>2448</v>
      </c>
      <c r="G2572" t="str">
        <f>"1893"</f>
        <v>1893</v>
      </c>
      <c r="H2572" t="str">
        <f>"0001"</f>
        <v>0001</v>
      </c>
      <c r="I2572" t="s">
        <v>75</v>
      </c>
      <c r="J2572">
        <v>0</v>
      </c>
      <c r="K2572">
        <v>1</v>
      </c>
      <c r="L2572">
        <v>2</v>
      </c>
      <c r="M2572">
        <v>333</v>
      </c>
      <c r="N2572">
        <v>319</v>
      </c>
      <c r="O2572">
        <v>0</v>
      </c>
      <c r="P2572">
        <v>314</v>
      </c>
      <c r="Q2572">
        <v>4</v>
      </c>
      <c r="R2572">
        <v>74</v>
      </c>
      <c r="S2572">
        <v>2</v>
      </c>
      <c r="T2572">
        <v>10</v>
      </c>
      <c r="U2572">
        <v>6</v>
      </c>
      <c r="V2572">
        <v>5</v>
      </c>
      <c r="W2572">
        <v>0</v>
      </c>
      <c r="X2572">
        <v>191</v>
      </c>
      <c r="Y2572">
        <v>2</v>
      </c>
      <c r="Z2572">
        <v>1</v>
      </c>
      <c r="AA2572">
        <v>5</v>
      </c>
      <c r="AB2572">
        <v>3</v>
      </c>
      <c r="AD2572">
        <v>0</v>
      </c>
      <c r="AE2572">
        <v>0</v>
      </c>
      <c r="AF2572">
        <v>0</v>
      </c>
      <c r="AG2572">
        <v>1</v>
      </c>
      <c r="AH2572">
        <v>1</v>
      </c>
      <c r="AI2572">
        <v>1</v>
      </c>
      <c r="AJ2572">
        <v>9</v>
      </c>
      <c r="AK2572">
        <v>314</v>
      </c>
      <c r="AL2572">
        <v>315</v>
      </c>
      <c r="AM2572">
        <v>602</v>
      </c>
      <c r="AN2572">
        <v>44</v>
      </c>
      <c r="AP2572">
        <v>1</v>
      </c>
      <c r="AR2572" t="s">
        <v>2665</v>
      </c>
      <c r="AS2572" s="1">
        <v>44353.918217592596</v>
      </c>
      <c r="AT2572" s="1">
        <v>44353.92050925926</v>
      </c>
      <c r="AU2572" s="1">
        <v>44353.921759259261</v>
      </c>
      <c r="AV2572" t="s">
        <v>269</v>
      </c>
      <c r="AW2572" t="s">
        <v>270</v>
      </c>
      <c r="AX2572" t="s">
        <v>73</v>
      </c>
    </row>
    <row r="2573" spans="1:50" x14ac:dyDescent="0.3">
      <c r="A2573" t="str">
        <f>"201893C0200"</f>
        <v>201893C0200</v>
      </c>
      <c r="B2573" t="str">
        <f>"201893C02002"</f>
        <v>201893C02002</v>
      </c>
      <c r="C2573" t="str">
        <f t="shared" si="121"/>
        <v>20</v>
      </c>
      <c r="D2573" t="s">
        <v>67</v>
      </c>
      <c r="E2573" t="str">
        <f t="shared" si="120"/>
        <v>011</v>
      </c>
      <c r="F2573" t="s">
        <v>2448</v>
      </c>
      <c r="G2573" t="str">
        <f>"1893"</f>
        <v>1893</v>
      </c>
      <c r="H2573" t="str">
        <f>"0002"</f>
        <v>0002</v>
      </c>
      <c r="I2573" t="s">
        <v>75</v>
      </c>
      <c r="J2573">
        <v>0</v>
      </c>
      <c r="K2573">
        <v>1</v>
      </c>
      <c r="L2573">
        <v>2</v>
      </c>
      <c r="M2573">
        <v>305</v>
      </c>
      <c r="N2573">
        <v>340</v>
      </c>
      <c r="O2573">
        <v>2</v>
      </c>
      <c r="P2573">
        <v>317</v>
      </c>
      <c r="Q2573">
        <v>5</v>
      </c>
      <c r="R2573">
        <v>62</v>
      </c>
      <c r="S2573">
        <v>1</v>
      </c>
      <c r="T2573">
        <v>10</v>
      </c>
      <c r="U2573">
        <v>10</v>
      </c>
      <c r="V2573">
        <v>3</v>
      </c>
      <c r="W2573">
        <v>4</v>
      </c>
      <c r="X2573">
        <v>213</v>
      </c>
      <c r="Y2573">
        <v>0</v>
      </c>
      <c r="Z2573">
        <v>1</v>
      </c>
      <c r="AA2573">
        <v>2</v>
      </c>
      <c r="AB2573">
        <v>5</v>
      </c>
      <c r="AD2573">
        <v>1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317</v>
      </c>
      <c r="AL2573">
        <v>317</v>
      </c>
      <c r="AM2573">
        <v>602</v>
      </c>
      <c r="AN2573">
        <v>44</v>
      </c>
      <c r="AP2573">
        <v>1</v>
      </c>
      <c r="AR2573" t="s">
        <v>2666</v>
      </c>
      <c r="AS2573" s="1">
        <v>44353.913275462961</v>
      </c>
      <c r="AT2573" s="1">
        <v>44353.914930555555</v>
      </c>
      <c r="AU2573" s="1">
        <v>44353.916030092594</v>
      </c>
      <c r="AV2573" t="s">
        <v>269</v>
      </c>
      <c r="AW2573" t="s">
        <v>270</v>
      </c>
      <c r="AX2573" t="s">
        <v>73</v>
      </c>
    </row>
    <row r="2574" spans="1:50" x14ac:dyDescent="0.3">
      <c r="A2574" t="str">
        <f>"201894B0000"</f>
        <v>201894B0000</v>
      </c>
      <c r="B2574" t="str">
        <f>"201894B00002"</f>
        <v>201894B00002</v>
      </c>
      <c r="C2574" t="str">
        <f t="shared" si="121"/>
        <v>20</v>
      </c>
      <c r="D2574" t="s">
        <v>67</v>
      </c>
      <c r="E2574" t="str">
        <f t="shared" si="120"/>
        <v>011</v>
      </c>
      <c r="F2574" t="s">
        <v>2448</v>
      </c>
      <c r="G2574" t="str">
        <f>"1894"</f>
        <v>1894</v>
      </c>
      <c r="H2574" t="str">
        <f>"0000"</f>
        <v>0000</v>
      </c>
      <c r="I2574" t="s">
        <v>69</v>
      </c>
      <c r="J2574">
        <v>0</v>
      </c>
      <c r="K2574">
        <v>1</v>
      </c>
      <c r="L2574">
        <v>2</v>
      </c>
      <c r="M2574">
        <v>197</v>
      </c>
      <c r="N2574">
        <v>386</v>
      </c>
      <c r="O2574">
        <v>0</v>
      </c>
      <c r="P2574">
        <v>386</v>
      </c>
      <c r="Q2574">
        <v>2</v>
      </c>
      <c r="R2574">
        <v>90</v>
      </c>
      <c r="S2574">
        <v>6</v>
      </c>
      <c r="T2574">
        <v>5</v>
      </c>
      <c r="U2574">
        <v>9</v>
      </c>
      <c r="V2574">
        <v>1</v>
      </c>
      <c r="W2574">
        <v>3</v>
      </c>
      <c r="X2574">
        <v>237</v>
      </c>
      <c r="Y2574">
        <v>0</v>
      </c>
      <c r="Z2574">
        <v>4</v>
      </c>
      <c r="AA2574">
        <v>7</v>
      </c>
      <c r="AB2574">
        <v>2</v>
      </c>
      <c r="AD2574">
        <v>1</v>
      </c>
      <c r="AE2574">
        <v>0</v>
      </c>
      <c r="AF2574">
        <v>0</v>
      </c>
      <c r="AG2574">
        <v>1</v>
      </c>
      <c r="AH2574">
        <v>0</v>
      </c>
      <c r="AI2574">
        <v>0</v>
      </c>
      <c r="AJ2574">
        <v>18</v>
      </c>
      <c r="AK2574">
        <v>386</v>
      </c>
      <c r="AL2574">
        <v>386</v>
      </c>
      <c r="AM2574">
        <v>539</v>
      </c>
      <c r="AN2574">
        <v>44</v>
      </c>
      <c r="AP2574">
        <v>1</v>
      </c>
      <c r="AR2574" t="s">
        <v>2667</v>
      </c>
      <c r="AS2574" s="1">
        <v>44354.159722222219</v>
      </c>
      <c r="AT2574" s="1">
        <v>44354.16233796296</v>
      </c>
      <c r="AU2574" s="1">
        <v>44354.16306712963</v>
      </c>
      <c r="AV2574" t="s">
        <v>71</v>
      </c>
      <c r="AW2574" t="s">
        <v>72</v>
      </c>
      <c r="AX2574" t="s">
        <v>73</v>
      </c>
    </row>
    <row r="2575" spans="1:50" x14ac:dyDescent="0.3">
      <c r="A2575" t="str">
        <f>"201894C0100"</f>
        <v>201894C0100</v>
      </c>
      <c r="B2575" t="str">
        <f>"201894C01002"</f>
        <v>201894C01002</v>
      </c>
      <c r="C2575" t="str">
        <f t="shared" si="121"/>
        <v>20</v>
      </c>
      <c r="D2575" t="s">
        <v>67</v>
      </c>
      <c r="E2575" t="str">
        <f t="shared" si="120"/>
        <v>011</v>
      </c>
      <c r="F2575" t="s">
        <v>2448</v>
      </c>
      <c r="G2575" t="str">
        <f>"1894"</f>
        <v>1894</v>
      </c>
      <c r="H2575" t="str">
        <f>"0001"</f>
        <v>0001</v>
      </c>
      <c r="I2575" t="s">
        <v>75</v>
      </c>
      <c r="J2575">
        <v>0</v>
      </c>
      <c r="K2575">
        <v>1</v>
      </c>
      <c r="L2575">
        <v>2</v>
      </c>
      <c r="M2575">
        <v>224</v>
      </c>
      <c r="N2575">
        <v>358</v>
      </c>
      <c r="O2575">
        <v>2</v>
      </c>
      <c r="P2575">
        <v>358</v>
      </c>
      <c r="Q2575">
        <v>5</v>
      </c>
      <c r="R2575">
        <v>73</v>
      </c>
      <c r="S2575">
        <v>3</v>
      </c>
      <c r="T2575">
        <v>4</v>
      </c>
      <c r="U2575">
        <v>32</v>
      </c>
      <c r="V2575">
        <v>0</v>
      </c>
      <c r="W2575">
        <v>2</v>
      </c>
      <c r="X2575">
        <v>222</v>
      </c>
      <c r="Y2575">
        <v>0</v>
      </c>
      <c r="Z2575">
        <v>0</v>
      </c>
      <c r="AA2575">
        <v>3</v>
      </c>
      <c r="AB2575">
        <v>3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11</v>
      </c>
      <c r="AK2575">
        <v>358</v>
      </c>
      <c r="AL2575">
        <v>358</v>
      </c>
      <c r="AM2575">
        <v>538</v>
      </c>
      <c r="AN2575">
        <v>44</v>
      </c>
      <c r="AP2575">
        <v>1</v>
      </c>
      <c r="AR2575" t="s">
        <v>2668</v>
      </c>
      <c r="AS2575" s="1">
        <v>44354.160416666666</v>
      </c>
      <c r="AT2575" s="1">
        <v>44354.163807870369</v>
      </c>
      <c r="AU2575" s="1">
        <v>44354.164652777778</v>
      </c>
      <c r="AV2575" t="s">
        <v>71</v>
      </c>
      <c r="AW2575" t="s">
        <v>72</v>
      </c>
      <c r="AX2575" t="s">
        <v>73</v>
      </c>
    </row>
    <row r="2576" spans="1:50" x14ac:dyDescent="0.3">
      <c r="A2576" t="str">
        <f>"201894E0100"</f>
        <v>201894E0100</v>
      </c>
      <c r="B2576" t="str">
        <f>"201894E01002"</f>
        <v>201894E01002</v>
      </c>
      <c r="C2576" t="str">
        <f t="shared" si="121"/>
        <v>20</v>
      </c>
      <c r="D2576" t="s">
        <v>67</v>
      </c>
      <c r="E2576" t="str">
        <f t="shared" si="120"/>
        <v>011</v>
      </c>
      <c r="F2576" t="s">
        <v>2448</v>
      </c>
      <c r="G2576" t="str">
        <f>"1894"</f>
        <v>1894</v>
      </c>
      <c r="H2576" t="str">
        <f>"0001"</f>
        <v>0001</v>
      </c>
      <c r="I2576" t="s">
        <v>109</v>
      </c>
      <c r="J2576">
        <v>0</v>
      </c>
      <c r="K2576">
        <v>1</v>
      </c>
      <c r="L2576">
        <v>2</v>
      </c>
      <c r="M2576">
        <v>122</v>
      </c>
      <c r="N2576">
        <v>298</v>
      </c>
      <c r="O2576">
        <v>0</v>
      </c>
      <c r="P2576">
        <v>298</v>
      </c>
      <c r="Q2576">
        <v>2</v>
      </c>
      <c r="R2576">
        <v>76</v>
      </c>
      <c r="S2576">
        <v>1</v>
      </c>
      <c r="T2576">
        <v>1</v>
      </c>
      <c r="U2576">
        <v>6</v>
      </c>
      <c r="V2576">
        <v>2</v>
      </c>
      <c r="W2576">
        <v>1</v>
      </c>
      <c r="X2576">
        <v>200</v>
      </c>
      <c r="Y2576">
        <v>0</v>
      </c>
      <c r="Z2576">
        <v>1</v>
      </c>
      <c r="AA2576">
        <v>1</v>
      </c>
      <c r="AB2576">
        <v>0</v>
      </c>
      <c r="AD2576">
        <v>2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5</v>
      </c>
      <c r="AK2576">
        <v>298</v>
      </c>
      <c r="AL2576">
        <v>298</v>
      </c>
      <c r="AM2576">
        <v>376</v>
      </c>
      <c r="AN2576">
        <v>44</v>
      </c>
      <c r="AP2576">
        <v>1</v>
      </c>
      <c r="AR2576" t="s">
        <v>2669</v>
      </c>
      <c r="AS2576" s="1">
        <v>44354.210416666669</v>
      </c>
      <c r="AT2576" s="1">
        <v>44354.214328703703</v>
      </c>
      <c r="AU2576" s="1">
        <v>44354.215162037035</v>
      </c>
      <c r="AV2576" t="s">
        <v>71</v>
      </c>
      <c r="AW2576" t="s">
        <v>72</v>
      </c>
      <c r="AX2576" t="s">
        <v>73</v>
      </c>
    </row>
    <row r="2577" spans="1:50" x14ac:dyDescent="0.3">
      <c r="A2577" t="str">
        <f>"201895B0000"</f>
        <v>201895B0000</v>
      </c>
      <c r="B2577" t="str">
        <f>"201895B00002"</f>
        <v>201895B00002</v>
      </c>
      <c r="C2577" t="str">
        <f t="shared" si="121"/>
        <v>20</v>
      </c>
      <c r="D2577" t="s">
        <v>67</v>
      </c>
      <c r="E2577" t="str">
        <f t="shared" si="120"/>
        <v>011</v>
      </c>
      <c r="F2577" t="s">
        <v>2448</v>
      </c>
      <c r="G2577" t="str">
        <f>"1895"</f>
        <v>1895</v>
      </c>
      <c r="H2577" t="str">
        <f>"0000"</f>
        <v>0000</v>
      </c>
      <c r="I2577" t="s">
        <v>69</v>
      </c>
      <c r="J2577">
        <v>0</v>
      </c>
      <c r="K2577">
        <v>1</v>
      </c>
      <c r="L2577">
        <v>2</v>
      </c>
      <c r="M2577">
        <v>147</v>
      </c>
      <c r="N2577">
        <v>402</v>
      </c>
      <c r="O2577">
        <v>2</v>
      </c>
      <c r="P2577">
        <v>402</v>
      </c>
      <c r="Q2577">
        <v>3</v>
      </c>
      <c r="R2577">
        <v>158</v>
      </c>
      <c r="S2577">
        <v>0</v>
      </c>
      <c r="T2577">
        <v>3</v>
      </c>
      <c r="U2577">
        <v>3</v>
      </c>
      <c r="V2577">
        <v>0</v>
      </c>
      <c r="W2577">
        <v>1</v>
      </c>
      <c r="X2577">
        <v>227</v>
      </c>
      <c r="Y2577">
        <v>0</v>
      </c>
      <c r="Z2577">
        <v>0</v>
      </c>
      <c r="AA2577">
        <v>1</v>
      </c>
      <c r="AB2577">
        <v>0</v>
      </c>
      <c r="AD2577">
        <v>2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4</v>
      </c>
      <c r="AK2577">
        <v>402</v>
      </c>
      <c r="AL2577">
        <v>402</v>
      </c>
      <c r="AM2577">
        <v>505</v>
      </c>
      <c r="AN2577">
        <v>44</v>
      </c>
      <c r="AP2577">
        <v>1</v>
      </c>
      <c r="AR2577" t="s">
        <v>2670</v>
      </c>
      <c r="AS2577" s="1">
        <v>44354.105555555558</v>
      </c>
      <c r="AT2577" s="1">
        <v>44354.10796296296</v>
      </c>
      <c r="AU2577" s="1">
        <v>44354.108854166669</v>
      </c>
      <c r="AV2577" t="s">
        <v>71</v>
      </c>
      <c r="AW2577" t="s">
        <v>72</v>
      </c>
      <c r="AX2577" t="s">
        <v>73</v>
      </c>
    </row>
    <row r="2578" spans="1:50" x14ac:dyDescent="0.3">
      <c r="A2578" t="str">
        <f>"201895C0100"</f>
        <v>201895C0100</v>
      </c>
      <c r="B2578" t="str">
        <f>"201895C01002"</f>
        <v>201895C01002</v>
      </c>
      <c r="C2578" t="str">
        <f t="shared" si="121"/>
        <v>20</v>
      </c>
      <c r="D2578" t="s">
        <v>67</v>
      </c>
      <c r="E2578" t="str">
        <f t="shared" si="120"/>
        <v>011</v>
      </c>
      <c r="F2578" t="s">
        <v>2448</v>
      </c>
      <c r="G2578" t="str">
        <f>"1895"</f>
        <v>1895</v>
      </c>
      <c r="H2578" t="str">
        <f>"0001"</f>
        <v>0001</v>
      </c>
      <c r="I2578" t="s">
        <v>75</v>
      </c>
      <c r="J2578">
        <v>0</v>
      </c>
      <c r="K2578">
        <v>1</v>
      </c>
      <c r="L2578">
        <v>2</v>
      </c>
      <c r="M2578">
        <v>153</v>
      </c>
      <c r="N2578">
        <v>395</v>
      </c>
      <c r="O2578">
        <v>2</v>
      </c>
      <c r="P2578">
        <v>395</v>
      </c>
      <c r="Q2578">
        <v>1</v>
      </c>
      <c r="R2578">
        <v>136</v>
      </c>
      <c r="S2578">
        <v>3</v>
      </c>
      <c r="T2578">
        <v>4</v>
      </c>
      <c r="U2578">
        <v>2</v>
      </c>
      <c r="V2578">
        <v>0</v>
      </c>
      <c r="W2578">
        <v>1</v>
      </c>
      <c r="X2578">
        <v>236</v>
      </c>
      <c r="Y2578">
        <v>0</v>
      </c>
      <c r="Z2578">
        <v>1</v>
      </c>
      <c r="AA2578">
        <v>4</v>
      </c>
      <c r="AB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6</v>
      </c>
      <c r="AK2578">
        <v>395</v>
      </c>
      <c r="AL2578">
        <v>394</v>
      </c>
      <c r="AM2578">
        <v>504</v>
      </c>
      <c r="AN2578">
        <v>44</v>
      </c>
      <c r="AP2578">
        <v>1</v>
      </c>
      <c r="AR2578" t="s">
        <v>2671</v>
      </c>
      <c r="AS2578" s="1">
        <v>44353.965636574074</v>
      </c>
      <c r="AT2578" s="1">
        <v>44354.040069444447</v>
      </c>
      <c r="AU2578" s="1">
        <v>44354.04047453704</v>
      </c>
      <c r="AV2578" t="s">
        <v>269</v>
      </c>
      <c r="AW2578" t="s">
        <v>270</v>
      </c>
      <c r="AX2578" t="s">
        <v>73</v>
      </c>
    </row>
    <row r="2579" spans="1:50" x14ac:dyDescent="0.3">
      <c r="A2579" t="str">
        <f>"201895E0100"</f>
        <v>201895E0100</v>
      </c>
      <c r="B2579" t="str">
        <f>"201895E01002"</f>
        <v>201895E01002</v>
      </c>
      <c r="C2579" t="str">
        <f t="shared" si="121"/>
        <v>20</v>
      </c>
      <c r="D2579" t="s">
        <v>67</v>
      </c>
      <c r="E2579" t="str">
        <f t="shared" si="120"/>
        <v>011</v>
      </c>
      <c r="F2579" t="s">
        <v>2448</v>
      </c>
      <c r="G2579" t="str">
        <f>"1895"</f>
        <v>1895</v>
      </c>
      <c r="H2579" t="str">
        <f>"0001"</f>
        <v>0001</v>
      </c>
      <c r="I2579" t="s">
        <v>109</v>
      </c>
      <c r="J2579">
        <v>0</v>
      </c>
      <c r="K2579">
        <v>1</v>
      </c>
      <c r="L2579">
        <v>2</v>
      </c>
      <c r="M2579">
        <v>104</v>
      </c>
      <c r="N2579">
        <v>344</v>
      </c>
      <c r="O2579">
        <v>2</v>
      </c>
      <c r="P2579">
        <v>344</v>
      </c>
      <c r="Q2579">
        <v>1</v>
      </c>
      <c r="R2579">
        <v>122</v>
      </c>
      <c r="S2579">
        <v>9</v>
      </c>
      <c r="T2579">
        <v>1</v>
      </c>
      <c r="U2579">
        <v>2</v>
      </c>
      <c r="V2579">
        <v>3</v>
      </c>
      <c r="W2579">
        <v>2</v>
      </c>
      <c r="X2579">
        <v>194</v>
      </c>
      <c r="Y2579">
        <v>0</v>
      </c>
      <c r="Z2579">
        <v>4</v>
      </c>
      <c r="AA2579">
        <v>0</v>
      </c>
      <c r="AB2579">
        <v>0</v>
      </c>
      <c r="AD2579">
        <v>2</v>
      </c>
      <c r="AE2579">
        <v>1</v>
      </c>
      <c r="AF2579">
        <v>0</v>
      </c>
      <c r="AG2579">
        <v>0</v>
      </c>
      <c r="AH2579">
        <v>0</v>
      </c>
      <c r="AI2579">
        <v>0</v>
      </c>
      <c r="AJ2579">
        <v>3</v>
      </c>
      <c r="AK2579">
        <v>344</v>
      </c>
      <c r="AL2579">
        <v>344</v>
      </c>
      <c r="AM2579">
        <v>404</v>
      </c>
      <c r="AN2579">
        <v>44</v>
      </c>
      <c r="AP2579">
        <v>1</v>
      </c>
      <c r="AR2579" t="s">
        <v>2672</v>
      </c>
      <c r="AS2579" s="1">
        <v>44354.121527777781</v>
      </c>
      <c r="AT2579" s="1">
        <v>44354.124085648145</v>
      </c>
      <c r="AU2579" s="1">
        <v>44354.12431712963</v>
      </c>
      <c r="AV2579" t="s">
        <v>71</v>
      </c>
      <c r="AW2579" t="s">
        <v>72</v>
      </c>
      <c r="AX2579" t="s">
        <v>73</v>
      </c>
    </row>
    <row r="2580" spans="1:50" x14ac:dyDescent="0.3">
      <c r="A2580" t="str">
        <f>"201896B0000"</f>
        <v>201896B0000</v>
      </c>
      <c r="B2580" t="str">
        <f>"201896B00002"</f>
        <v>201896B00002</v>
      </c>
      <c r="C2580" t="str">
        <f t="shared" si="121"/>
        <v>20</v>
      </c>
      <c r="D2580" t="s">
        <v>67</v>
      </c>
      <c r="E2580" t="str">
        <f t="shared" si="120"/>
        <v>011</v>
      </c>
      <c r="F2580" t="s">
        <v>2448</v>
      </c>
      <c r="G2580" t="str">
        <f>"1896"</f>
        <v>1896</v>
      </c>
      <c r="H2580" t="str">
        <f>"0000"</f>
        <v>0000</v>
      </c>
      <c r="I2580" t="s">
        <v>69</v>
      </c>
      <c r="J2580">
        <v>0</v>
      </c>
      <c r="K2580">
        <v>1</v>
      </c>
      <c r="L2580">
        <v>2</v>
      </c>
      <c r="M2580">
        <v>157</v>
      </c>
      <c r="N2580">
        <v>0</v>
      </c>
      <c r="O2580">
        <v>0</v>
      </c>
      <c r="P2580">
        <v>600</v>
      </c>
      <c r="Q2580">
        <v>0</v>
      </c>
      <c r="R2580">
        <v>237</v>
      </c>
      <c r="S2580">
        <v>3</v>
      </c>
      <c r="T2580">
        <v>4</v>
      </c>
      <c r="U2580">
        <v>8</v>
      </c>
      <c r="V2580">
        <v>1</v>
      </c>
      <c r="W2580">
        <v>1</v>
      </c>
      <c r="X2580">
        <v>332</v>
      </c>
      <c r="Y2580">
        <v>1</v>
      </c>
      <c r="Z2580">
        <v>2</v>
      </c>
      <c r="AA2580">
        <v>4</v>
      </c>
      <c r="AB2580">
        <v>2</v>
      </c>
      <c r="AD2580">
        <v>2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3</v>
      </c>
      <c r="AK2580">
        <v>600</v>
      </c>
      <c r="AL2580">
        <v>600</v>
      </c>
      <c r="AM2580">
        <v>713</v>
      </c>
      <c r="AN2580">
        <v>44</v>
      </c>
      <c r="AP2580">
        <v>1</v>
      </c>
      <c r="AR2580" t="s">
        <v>2673</v>
      </c>
      <c r="AS2580" s="1">
        <v>44354.205555555556</v>
      </c>
      <c r="AT2580" s="1">
        <v>44354.210428240738</v>
      </c>
      <c r="AU2580" s="1">
        <v>44354.210752314815</v>
      </c>
      <c r="AV2580" t="s">
        <v>71</v>
      </c>
      <c r="AW2580" t="s">
        <v>72</v>
      </c>
      <c r="AX2580" t="s">
        <v>73</v>
      </c>
    </row>
    <row r="2581" spans="1:50" x14ac:dyDescent="0.3">
      <c r="A2581" t="str">
        <f>"201897B0000"</f>
        <v>201897B0000</v>
      </c>
      <c r="B2581" t="str">
        <f>"201897B00002"</f>
        <v>201897B00002</v>
      </c>
      <c r="C2581" t="str">
        <f t="shared" si="121"/>
        <v>20</v>
      </c>
      <c r="D2581" t="s">
        <v>67</v>
      </c>
      <c r="E2581" t="str">
        <f t="shared" si="120"/>
        <v>011</v>
      </c>
      <c r="F2581" t="s">
        <v>2448</v>
      </c>
      <c r="G2581" t="str">
        <f>"1897"</f>
        <v>1897</v>
      </c>
      <c r="H2581" t="str">
        <f>"0000"</f>
        <v>0000</v>
      </c>
      <c r="I2581" t="s">
        <v>69</v>
      </c>
      <c r="J2581">
        <v>0</v>
      </c>
      <c r="K2581">
        <v>1</v>
      </c>
      <c r="L2581">
        <v>2</v>
      </c>
      <c r="M2581">
        <v>168</v>
      </c>
      <c r="N2581">
        <v>511</v>
      </c>
      <c r="O2581">
        <v>0</v>
      </c>
      <c r="P2581">
        <v>511</v>
      </c>
      <c r="Q2581">
        <v>5</v>
      </c>
      <c r="R2581">
        <v>62</v>
      </c>
      <c r="S2581">
        <v>4</v>
      </c>
      <c r="T2581">
        <v>11</v>
      </c>
      <c r="U2581">
        <v>9</v>
      </c>
      <c r="V2581">
        <v>0</v>
      </c>
      <c r="W2581">
        <v>0</v>
      </c>
      <c r="X2581">
        <v>405</v>
      </c>
      <c r="Y2581">
        <v>1</v>
      </c>
      <c r="Z2581">
        <v>3</v>
      </c>
      <c r="AA2581">
        <v>2</v>
      </c>
      <c r="AB2581">
        <v>1</v>
      </c>
      <c r="AD2581">
        <v>2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6</v>
      </c>
      <c r="AK2581">
        <v>511</v>
      </c>
      <c r="AL2581">
        <v>511</v>
      </c>
      <c r="AM2581">
        <v>635</v>
      </c>
      <c r="AN2581">
        <v>44</v>
      </c>
      <c r="AP2581">
        <v>1</v>
      </c>
      <c r="AR2581" t="s">
        <v>2674</v>
      </c>
      <c r="AS2581" s="1">
        <v>44353.856874999998</v>
      </c>
      <c r="AT2581" s="1">
        <v>44353.994016203702</v>
      </c>
      <c r="AU2581" s="1">
        <v>44353.994930555556</v>
      </c>
      <c r="AV2581" t="s">
        <v>269</v>
      </c>
      <c r="AW2581" t="s">
        <v>270</v>
      </c>
      <c r="AX2581" t="s">
        <v>73</v>
      </c>
    </row>
    <row r="2582" spans="1:50" x14ac:dyDescent="0.3">
      <c r="A2582" t="str">
        <f>"202077B0000"</f>
        <v>202077B0000</v>
      </c>
      <c r="B2582" t="str">
        <f>"202077B00002"</f>
        <v>202077B00002</v>
      </c>
      <c r="C2582" t="str">
        <f t="shared" si="121"/>
        <v>20</v>
      </c>
      <c r="D2582" t="s">
        <v>67</v>
      </c>
      <c r="E2582" t="str">
        <f t="shared" si="120"/>
        <v>011</v>
      </c>
      <c r="F2582" t="s">
        <v>2448</v>
      </c>
      <c r="G2582" t="str">
        <f>"2077"</f>
        <v>2077</v>
      </c>
      <c r="H2582" t="str">
        <f>"0000"</f>
        <v>0000</v>
      </c>
      <c r="I2582" t="s">
        <v>69</v>
      </c>
      <c r="J2582">
        <v>0</v>
      </c>
      <c r="K2582">
        <v>1</v>
      </c>
      <c r="L2582">
        <v>2</v>
      </c>
      <c r="M2582">
        <v>189</v>
      </c>
      <c r="N2582">
        <v>625</v>
      </c>
      <c r="O2582">
        <v>2</v>
      </c>
      <c r="P2582">
        <v>436</v>
      </c>
      <c r="Q2582">
        <v>4</v>
      </c>
      <c r="R2582">
        <v>146</v>
      </c>
      <c r="S2582">
        <v>8</v>
      </c>
      <c r="T2582">
        <v>2</v>
      </c>
      <c r="U2582">
        <v>52</v>
      </c>
      <c r="V2582">
        <v>3</v>
      </c>
      <c r="W2582" t="s">
        <v>99</v>
      </c>
      <c r="X2582">
        <v>194</v>
      </c>
      <c r="Y2582">
        <v>0</v>
      </c>
      <c r="Z2582">
        <v>1</v>
      </c>
      <c r="AA2582">
        <v>4</v>
      </c>
      <c r="AB2582">
        <v>4</v>
      </c>
      <c r="AD2582">
        <v>2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16</v>
      </c>
      <c r="AK2582">
        <v>436</v>
      </c>
      <c r="AL2582">
        <v>436</v>
      </c>
      <c r="AM2582">
        <v>579</v>
      </c>
      <c r="AN2582">
        <v>46</v>
      </c>
      <c r="AO2582" t="s">
        <v>78</v>
      </c>
      <c r="AP2582">
        <v>1</v>
      </c>
      <c r="AR2582" t="s">
        <v>2675</v>
      </c>
      <c r="AS2582" s="1">
        <v>44354.237500000003</v>
      </c>
      <c r="AT2582" s="1">
        <v>44354.2425</v>
      </c>
      <c r="AU2582" s="1">
        <v>44354.243159722224</v>
      </c>
      <c r="AV2582" t="s">
        <v>71</v>
      </c>
      <c r="AW2582" t="s">
        <v>72</v>
      </c>
      <c r="AX2582" t="s">
        <v>73</v>
      </c>
    </row>
    <row r="2583" spans="1:50" x14ac:dyDescent="0.3">
      <c r="A2583" t="str">
        <f>"202078B0000"</f>
        <v>202078B0000</v>
      </c>
      <c r="B2583" t="str">
        <f>"202078B00002"</f>
        <v>202078B00002</v>
      </c>
      <c r="C2583" t="str">
        <f t="shared" si="121"/>
        <v>20</v>
      </c>
      <c r="D2583" t="s">
        <v>67</v>
      </c>
      <c r="E2583" t="str">
        <f t="shared" si="120"/>
        <v>011</v>
      </c>
      <c r="F2583" t="s">
        <v>2448</v>
      </c>
      <c r="G2583" t="str">
        <f>"2078"</f>
        <v>2078</v>
      </c>
      <c r="H2583" t="str">
        <f>"0000"</f>
        <v>0000</v>
      </c>
      <c r="I2583" t="s">
        <v>69</v>
      </c>
      <c r="J2583">
        <v>0</v>
      </c>
      <c r="K2583">
        <v>1</v>
      </c>
      <c r="L2583">
        <v>2</v>
      </c>
      <c r="M2583">
        <v>104</v>
      </c>
      <c r="N2583">
        <v>321</v>
      </c>
      <c r="O2583">
        <v>2</v>
      </c>
      <c r="P2583">
        <v>321</v>
      </c>
      <c r="Q2583">
        <v>1</v>
      </c>
      <c r="R2583">
        <v>95</v>
      </c>
      <c r="S2583">
        <v>5</v>
      </c>
      <c r="T2583">
        <v>2</v>
      </c>
      <c r="U2583">
        <v>30</v>
      </c>
      <c r="V2583">
        <v>1</v>
      </c>
      <c r="W2583">
        <v>2</v>
      </c>
      <c r="X2583">
        <v>165</v>
      </c>
      <c r="Y2583">
        <v>0</v>
      </c>
      <c r="Z2583">
        <v>1</v>
      </c>
      <c r="AA2583">
        <v>0</v>
      </c>
      <c r="AB2583">
        <v>4</v>
      </c>
      <c r="AD2583">
        <v>2</v>
      </c>
      <c r="AE2583">
        <v>0</v>
      </c>
      <c r="AF2583">
        <v>0</v>
      </c>
      <c r="AG2583">
        <v>1</v>
      </c>
      <c r="AH2583">
        <v>0</v>
      </c>
      <c r="AI2583">
        <v>0</v>
      </c>
      <c r="AJ2583">
        <v>14</v>
      </c>
      <c r="AK2583">
        <v>321</v>
      </c>
      <c r="AL2583">
        <v>323</v>
      </c>
      <c r="AM2583">
        <v>379</v>
      </c>
      <c r="AN2583">
        <v>46</v>
      </c>
      <c r="AP2583">
        <v>1</v>
      </c>
      <c r="AR2583" t="s">
        <v>2676</v>
      </c>
      <c r="AS2583" s="1">
        <v>44354.237500000003</v>
      </c>
      <c r="AT2583" s="1">
        <v>44354.243460648147</v>
      </c>
      <c r="AU2583" s="1">
        <v>44354.24422453704</v>
      </c>
      <c r="AV2583" t="s">
        <v>71</v>
      </c>
      <c r="AW2583" t="s">
        <v>72</v>
      </c>
      <c r="AX2583" t="s">
        <v>73</v>
      </c>
    </row>
    <row r="2584" spans="1:50" x14ac:dyDescent="0.3">
      <c r="A2584" t="str">
        <f>"202078C0100"</f>
        <v>202078C0100</v>
      </c>
      <c r="B2584" t="str">
        <f>"202078C01002"</f>
        <v>202078C01002</v>
      </c>
      <c r="C2584" t="str">
        <f t="shared" si="121"/>
        <v>20</v>
      </c>
      <c r="D2584" t="s">
        <v>67</v>
      </c>
      <c r="E2584" t="str">
        <f t="shared" si="120"/>
        <v>011</v>
      </c>
      <c r="F2584" t="s">
        <v>2448</v>
      </c>
      <c r="G2584" t="str">
        <f>"2078"</f>
        <v>2078</v>
      </c>
      <c r="H2584" t="str">
        <f>"0001"</f>
        <v>0001</v>
      </c>
      <c r="I2584" t="s">
        <v>75</v>
      </c>
      <c r="J2584">
        <v>0</v>
      </c>
      <c r="K2584">
        <v>1</v>
      </c>
      <c r="L2584">
        <v>2</v>
      </c>
      <c r="M2584">
        <v>107</v>
      </c>
      <c r="N2584">
        <v>318</v>
      </c>
      <c r="O2584">
        <v>2</v>
      </c>
      <c r="P2584">
        <v>318</v>
      </c>
      <c r="Q2584">
        <v>1</v>
      </c>
      <c r="R2584">
        <v>103</v>
      </c>
      <c r="S2584">
        <v>3</v>
      </c>
      <c r="T2584">
        <v>1</v>
      </c>
      <c r="U2584">
        <v>32</v>
      </c>
      <c r="V2584">
        <v>3</v>
      </c>
      <c r="W2584">
        <v>0</v>
      </c>
      <c r="X2584">
        <v>159</v>
      </c>
      <c r="Y2584">
        <v>0</v>
      </c>
      <c r="Z2584">
        <v>0</v>
      </c>
      <c r="AA2584">
        <v>1</v>
      </c>
      <c r="AB2584">
        <v>1</v>
      </c>
      <c r="AD2584">
        <v>4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9</v>
      </c>
      <c r="AK2584">
        <v>318</v>
      </c>
      <c r="AL2584">
        <v>317</v>
      </c>
      <c r="AM2584">
        <v>379</v>
      </c>
      <c r="AN2584">
        <v>46</v>
      </c>
      <c r="AP2584">
        <v>1</v>
      </c>
      <c r="AR2584" t="s">
        <v>2677</v>
      </c>
      <c r="AS2584" s="1">
        <v>44354.239583333336</v>
      </c>
      <c r="AT2584" s="1">
        <v>44354.243506944447</v>
      </c>
      <c r="AU2584" s="1">
        <v>44354.244143518517</v>
      </c>
      <c r="AV2584" t="s">
        <v>71</v>
      </c>
      <c r="AW2584" t="s">
        <v>72</v>
      </c>
      <c r="AX2584" t="s">
        <v>73</v>
      </c>
    </row>
    <row r="2585" spans="1:50" x14ac:dyDescent="0.3">
      <c r="A2585" t="str">
        <f>"202079B0000"</f>
        <v>202079B0000</v>
      </c>
      <c r="B2585" t="str">
        <f>"202079B00002"</f>
        <v>202079B00002</v>
      </c>
      <c r="C2585" t="str">
        <f t="shared" si="121"/>
        <v>20</v>
      </c>
      <c r="D2585" t="s">
        <v>67</v>
      </c>
      <c r="E2585" t="str">
        <f t="shared" si="120"/>
        <v>011</v>
      </c>
      <c r="F2585" t="s">
        <v>2448</v>
      </c>
      <c r="G2585" t="str">
        <f>"2079"</f>
        <v>2079</v>
      </c>
      <c r="H2585" t="str">
        <f>"0000"</f>
        <v>0000</v>
      </c>
      <c r="I2585" t="s">
        <v>69</v>
      </c>
      <c r="J2585">
        <v>0</v>
      </c>
      <c r="K2585">
        <v>1</v>
      </c>
      <c r="L2585">
        <v>2</v>
      </c>
      <c r="M2585">
        <v>153</v>
      </c>
      <c r="N2585">
        <v>412</v>
      </c>
      <c r="O2585">
        <v>1</v>
      </c>
      <c r="P2585">
        <v>412</v>
      </c>
      <c r="Q2585">
        <v>1</v>
      </c>
      <c r="R2585">
        <v>130</v>
      </c>
      <c r="S2585">
        <v>6</v>
      </c>
      <c r="T2585">
        <v>7</v>
      </c>
      <c r="U2585">
        <v>30</v>
      </c>
      <c r="V2585">
        <v>6</v>
      </c>
      <c r="W2585">
        <v>2</v>
      </c>
      <c r="X2585">
        <v>185</v>
      </c>
      <c r="Y2585">
        <v>1</v>
      </c>
      <c r="Z2585">
        <v>2</v>
      </c>
      <c r="AA2585">
        <v>4</v>
      </c>
      <c r="AB2585">
        <v>5</v>
      </c>
      <c r="AD2585">
        <v>7</v>
      </c>
      <c r="AE2585" t="s">
        <v>77</v>
      </c>
      <c r="AF2585" t="s">
        <v>77</v>
      </c>
      <c r="AG2585" t="s">
        <v>77</v>
      </c>
      <c r="AH2585">
        <v>2</v>
      </c>
      <c r="AI2585" t="s">
        <v>77</v>
      </c>
      <c r="AJ2585">
        <v>24</v>
      </c>
      <c r="AK2585">
        <v>412</v>
      </c>
      <c r="AL2585">
        <v>412</v>
      </c>
      <c r="AM2585">
        <v>519</v>
      </c>
      <c r="AN2585">
        <v>46</v>
      </c>
      <c r="AO2585" t="s">
        <v>78</v>
      </c>
      <c r="AP2585">
        <v>1</v>
      </c>
      <c r="AR2585" t="s">
        <v>2678</v>
      </c>
      <c r="AS2585" s="1">
        <v>44354.265277777777</v>
      </c>
      <c r="AT2585" s="1">
        <v>44354.268958333334</v>
      </c>
      <c r="AU2585" s="1">
        <v>44354.27065972222</v>
      </c>
      <c r="AV2585" t="s">
        <v>71</v>
      </c>
      <c r="AW2585" t="s">
        <v>72</v>
      </c>
      <c r="AX2585" t="s">
        <v>73</v>
      </c>
    </row>
    <row r="2586" spans="1:50" x14ac:dyDescent="0.3">
      <c r="A2586" t="str">
        <f>"202079C0100"</f>
        <v>202079C0100</v>
      </c>
      <c r="B2586" t="str">
        <f>"202079C01002"</f>
        <v>202079C01002</v>
      </c>
      <c r="C2586" t="str">
        <f t="shared" si="121"/>
        <v>20</v>
      </c>
      <c r="D2586" t="s">
        <v>67</v>
      </c>
      <c r="E2586" t="str">
        <f t="shared" si="120"/>
        <v>011</v>
      </c>
      <c r="F2586" t="s">
        <v>2448</v>
      </c>
      <c r="G2586" t="str">
        <f>"2079"</f>
        <v>2079</v>
      </c>
      <c r="H2586" t="str">
        <f>"0001"</f>
        <v>0001</v>
      </c>
      <c r="I2586" t="s">
        <v>75</v>
      </c>
      <c r="J2586">
        <v>0</v>
      </c>
      <c r="K2586">
        <v>1</v>
      </c>
      <c r="L2586">
        <v>2</v>
      </c>
      <c r="M2586">
        <v>157</v>
      </c>
      <c r="N2586">
        <v>407</v>
      </c>
      <c r="O2586">
        <v>4</v>
      </c>
      <c r="P2586">
        <v>409</v>
      </c>
      <c r="Q2586">
        <v>3</v>
      </c>
      <c r="R2586">
        <v>115</v>
      </c>
      <c r="S2586">
        <v>10</v>
      </c>
      <c r="T2586">
        <v>3</v>
      </c>
      <c r="U2586">
        <v>25</v>
      </c>
      <c r="V2586">
        <v>5</v>
      </c>
      <c r="W2586">
        <v>1</v>
      </c>
      <c r="X2586">
        <v>220</v>
      </c>
      <c r="Y2586" t="s">
        <v>99</v>
      </c>
      <c r="Z2586">
        <v>2</v>
      </c>
      <c r="AA2586">
        <v>1</v>
      </c>
      <c r="AB2586">
        <v>4</v>
      </c>
      <c r="AD2586">
        <v>2</v>
      </c>
      <c r="AE2586" t="s">
        <v>77</v>
      </c>
      <c r="AF2586" t="s">
        <v>77</v>
      </c>
      <c r="AG2586" t="s">
        <v>77</v>
      </c>
      <c r="AH2586" t="s">
        <v>77</v>
      </c>
      <c r="AI2586" t="s">
        <v>77</v>
      </c>
      <c r="AJ2586">
        <v>18</v>
      </c>
      <c r="AK2586" t="s">
        <v>77</v>
      </c>
      <c r="AL2586">
        <v>409</v>
      </c>
      <c r="AM2586">
        <v>519</v>
      </c>
      <c r="AN2586">
        <v>46</v>
      </c>
      <c r="AO2586" t="s">
        <v>78</v>
      </c>
      <c r="AP2586">
        <v>1</v>
      </c>
      <c r="AR2586" t="s">
        <v>2679</v>
      </c>
      <c r="AS2586" s="1">
        <v>44354.263194444444</v>
      </c>
      <c r="AT2586" s="1">
        <v>44354.26667824074</v>
      </c>
      <c r="AU2586" s="1">
        <v>44354.267384259256</v>
      </c>
      <c r="AV2586" t="s">
        <v>71</v>
      </c>
      <c r="AW2586" t="s">
        <v>72</v>
      </c>
      <c r="AX2586" t="s">
        <v>73</v>
      </c>
    </row>
    <row r="2587" spans="1:50" x14ac:dyDescent="0.3">
      <c r="A2587" t="str">
        <f>"202080B0000"</f>
        <v>202080B0000</v>
      </c>
      <c r="B2587" t="str">
        <f>"202080B00002"</f>
        <v>202080B00002</v>
      </c>
      <c r="C2587" t="str">
        <f t="shared" si="121"/>
        <v>20</v>
      </c>
      <c r="D2587" t="s">
        <v>67</v>
      </c>
      <c r="E2587" t="str">
        <f t="shared" si="120"/>
        <v>011</v>
      </c>
      <c r="F2587" t="s">
        <v>2448</v>
      </c>
      <c r="G2587" t="str">
        <f>"2080"</f>
        <v>2080</v>
      </c>
      <c r="H2587" t="str">
        <f>"0000"</f>
        <v>0000</v>
      </c>
      <c r="I2587" t="s">
        <v>69</v>
      </c>
      <c r="J2587">
        <v>0</v>
      </c>
      <c r="K2587">
        <v>1</v>
      </c>
      <c r="L2587">
        <v>2</v>
      </c>
      <c r="M2587">
        <v>150</v>
      </c>
      <c r="N2587">
        <v>359</v>
      </c>
      <c r="O2587">
        <v>5</v>
      </c>
      <c r="P2587">
        <v>0</v>
      </c>
      <c r="Q2587">
        <v>3</v>
      </c>
      <c r="R2587">
        <v>93</v>
      </c>
      <c r="S2587">
        <v>1</v>
      </c>
      <c r="T2587">
        <v>3</v>
      </c>
      <c r="U2587">
        <v>28</v>
      </c>
      <c r="V2587">
        <v>2</v>
      </c>
      <c r="W2587">
        <v>3</v>
      </c>
      <c r="X2587">
        <v>194</v>
      </c>
      <c r="Y2587">
        <v>0</v>
      </c>
      <c r="Z2587">
        <v>6</v>
      </c>
      <c r="AA2587">
        <v>5</v>
      </c>
      <c r="AB2587">
        <v>6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15</v>
      </c>
      <c r="AK2587">
        <v>359</v>
      </c>
      <c r="AL2587">
        <v>359</v>
      </c>
      <c r="AM2587">
        <v>463</v>
      </c>
      <c r="AN2587">
        <v>46</v>
      </c>
      <c r="AP2587">
        <v>1</v>
      </c>
      <c r="AR2587" t="s">
        <v>2680</v>
      </c>
      <c r="AS2587" s="1">
        <v>44354.237500000003</v>
      </c>
      <c r="AT2587" s="1">
        <v>44354.241319444445</v>
      </c>
      <c r="AU2587" s="1">
        <v>44354.241805555554</v>
      </c>
      <c r="AV2587" t="s">
        <v>71</v>
      </c>
      <c r="AW2587" t="s">
        <v>72</v>
      </c>
      <c r="AX2587" t="s">
        <v>73</v>
      </c>
    </row>
    <row r="2588" spans="1:50" x14ac:dyDescent="0.3">
      <c r="A2588" t="str">
        <f>"202080E0100"</f>
        <v>202080E0100</v>
      </c>
      <c r="B2588" t="str">
        <f>"202080E01002"</f>
        <v>202080E01002</v>
      </c>
      <c r="C2588" t="str">
        <f t="shared" si="121"/>
        <v>20</v>
      </c>
      <c r="D2588" t="s">
        <v>67</v>
      </c>
      <c r="E2588" t="str">
        <f t="shared" si="120"/>
        <v>011</v>
      </c>
      <c r="F2588" t="s">
        <v>2448</v>
      </c>
      <c r="G2588" t="str">
        <f>"2080"</f>
        <v>2080</v>
      </c>
      <c r="H2588" t="str">
        <f>"0001"</f>
        <v>0001</v>
      </c>
      <c r="I2588" t="s">
        <v>109</v>
      </c>
      <c r="J2588">
        <v>0</v>
      </c>
      <c r="K2588">
        <v>1</v>
      </c>
      <c r="L2588">
        <v>2</v>
      </c>
      <c r="M2588">
        <v>101</v>
      </c>
      <c r="N2588">
        <v>287</v>
      </c>
      <c r="O2588">
        <v>2</v>
      </c>
      <c r="P2588">
        <v>287</v>
      </c>
      <c r="Q2588">
        <v>5</v>
      </c>
      <c r="R2588">
        <v>77</v>
      </c>
      <c r="S2588">
        <v>2</v>
      </c>
      <c r="T2588">
        <v>2</v>
      </c>
      <c r="U2588">
        <v>15</v>
      </c>
      <c r="V2588">
        <v>0</v>
      </c>
      <c r="W2588">
        <v>0</v>
      </c>
      <c r="X2588">
        <v>173</v>
      </c>
      <c r="Y2588">
        <v>0</v>
      </c>
      <c r="Z2588">
        <v>0</v>
      </c>
      <c r="AA2588">
        <v>4</v>
      </c>
      <c r="AB2588">
        <v>2</v>
      </c>
      <c r="AD2588">
        <v>0</v>
      </c>
      <c r="AE2588">
        <v>1</v>
      </c>
      <c r="AF2588">
        <v>0</v>
      </c>
      <c r="AG2588">
        <v>0</v>
      </c>
      <c r="AH2588">
        <v>2</v>
      </c>
      <c r="AI2588">
        <v>0</v>
      </c>
      <c r="AJ2588">
        <v>2</v>
      </c>
      <c r="AK2588">
        <v>286</v>
      </c>
      <c r="AL2588">
        <v>285</v>
      </c>
      <c r="AM2588">
        <v>342</v>
      </c>
      <c r="AN2588">
        <v>46</v>
      </c>
      <c r="AP2588">
        <v>1</v>
      </c>
      <c r="AR2588" t="s">
        <v>2681</v>
      </c>
      <c r="AS2588" s="1">
        <v>44354.237500000003</v>
      </c>
      <c r="AT2588" s="1">
        <v>44354.241967592592</v>
      </c>
      <c r="AU2588" s="1">
        <v>44354.242812500001</v>
      </c>
      <c r="AV2588" t="s">
        <v>71</v>
      </c>
      <c r="AW2588" t="s">
        <v>72</v>
      </c>
      <c r="AX2588" t="s">
        <v>73</v>
      </c>
    </row>
    <row r="2589" spans="1:50" x14ac:dyDescent="0.3">
      <c r="A2589" t="str">
        <f>"202081B0000"</f>
        <v>202081B0000</v>
      </c>
      <c r="B2589" t="str">
        <f>"202081B00002"</f>
        <v>202081B00002</v>
      </c>
      <c r="C2589" t="str">
        <f t="shared" si="121"/>
        <v>20</v>
      </c>
      <c r="D2589" t="s">
        <v>67</v>
      </c>
      <c r="E2589" t="str">
        <f t="shared" si="120"/>
        <v>011</v>
      </c>
      <c r="F2589" t="s">
        <v>2448</v>
      </c>
      <c r="G2589" t="str">
        <f>"2081"</f>
        <v>2081</v>
      </c>
      <c r="H2589" t="str">
        <f>"0000"</f>
        <v>0000</v>
      </c>
      <c r="I2589" t="s">
        <v>69</v>
      </c>
      <c r="J2589">
        <v>0</v>
      </c>
      <c r="K2589">
        <v>1</v>
      </c>
      <c r="L2589">
        <v>2</v>
      </c>
      <c r="M2589">
        <v>147</v>
      </c>
      <c r="N2589">
        <v>379</v>
      </c>
      <c r="O2589">
        <v>7</v>
      </c>
      <c r="P2589" t="s">
        <v>80</v>
      </c>
      <c r="Q2589">
        <v>1</v>
      </c>
      <c r="R2589">
        <v>72</v>
      </c>
      <c r="S2589">
        <v>5</v>
      </c>
      <c r="T2589">
        <v>1</v>
      </c>
      <c r="U2589">
        <v>18</v>
      </c>
      <c r="V2589">
        <v>1</v>
      </c>
      <c r="W2589" t="s">
        <v>77</v>
      </c>
      <c r="X2589">
        <v>268</v>
      </c>
      <c r="Y2589">
        <v>2</v>
      </c>
      <c r="Z2589">
        <v>5</v>
      </c>
      <c r="AA2589">
        <v>1</v>
      </c>
      <c r="AB2589" t="s">
        <v>77</v>
      </c>
      <c r="AD2589">
        <v>1</v>
      </c>
      <c r="AE2589" t="s">
        <v>77</v>
      </c>
      <c r="AF2589" t="s">
        <v>77</v>
      </c>
      <c r="AG2589" t="s">
        <v>77</v>
      </c>
      <c r="AH2589" t="s">
        <v>77</v>
      </c>
      <c r="AI2589" t="s">
        <v>77</v>
      </c>
      <c r="AJ2589">
        <v>4</v>
      </c>
      <c r="AK2589" t="s">
        <v>77</v>
      </c>
      <c r="AL2589">
        <v>379</v>
      </c>
      <c r="AM2589">
        <v>480</v>
      </c>
      <c r="AN2589">
        <v>46</v>
      </c>
      <c r="AO2589" t="s">
        <v>78</v>
      </c>
      <c r="AP2589">
        <v>1</v>
      </c>
      <c r="AR2589" t="s">
        <v>2682</v>
      </c>
      <c r="AS2589" s="1">
        <v>44354.011122685188</v>
      </c>
      <c r="AT2589" s="1">
        <v>44354.016875000001</v>
      </c>
      <c r="AU2589" s="1">
        <v>44354.017870370371</v>
      </c>
      <c r="AV2589" t="s">
        <v>269</v>
      </c>
      <c r="AW2589" t="s">
        <v>270</v>
      </c>
      <c r="AX2589" t="s">
        <v>73</v>
      </c>
    </row>
    <row r="2590" spans="1:50" x14ac:dyDescent="0.3">
      <c r="A2590" t="str">
        <f>"202082B0000"</f>
        <v>202082B0000</v>
      </c>
      <c r="B2590" t="str">
        <f>"202082B00002"</f>
        <v>202082B00002</v>
      </c>
      <c r="C2590" t="str">
        <f t="shared" si="121"/>
        <v>20</v>
      </c>
      <c r="D2590" t="s">
        <v>67</v>
      </c>
      <c r="E2590" t="str">
        <f t="shared" si="120"/>
        <v>011</v>
      </c>
      <c r="F2590" t="s">
        <v>2448</v>
      </c>
      <c r="G2590" t="str">
        <f>"2082"</f>
        <v>2082</v>
      </c>
      <c r="H2590" t="str">
        <f>"0000"</f>
        <v>0000</v>
      </c>
      <c r="I2590" t="s">
        <v>69</v>
      </c>
      <c r="J2590">
        <v>0</v>
      </c>
      <c r="K2590">
        <v>1</v>
      </c>
      <c r="L2590">
        <v>2</v>
      </c>
      <c r="M2590">
        <v>78</v>
      </c>
      <c r="N2590" t="s">
        <v>80</v>
      </c>
      <c r="O2590" t="s">
        <v>80</v>
      </c>
      <c r="P2590">
        <v>158</v>
      </c>
      <c r="Q2590">
        <v>2</v>
      </c>
      <c r="R2590">
        <v>35</v>
      </c>
      <c r="S2590">
        <v>4</v>
      </c>
      <c r="T2590">
        <v>1</v>
      </c>
      <c r="U2590">
        <v>7</v>
      </c>
      <c r="V2590">
        <v>1</v>
      </c>
      <c r="W2590" t="s">
        <v>77</v>
      </c>
      <c r="X2590">
        <v>100</v>
      </c>
      <c r="Y2590" t="s">
        <v>77</v>
      </c>
      <c r="Z2590">
        <v>1</v>
      </c>
      <c r="AA2590">
        <v>1</v>
      </c>
      <c r="AB2590">
        <v>2</v>
      </c>
      <c r="AD2590" t="s">
        <v>77</v>
      </c>
      <c r="AE2590" t="s">
        <v>77</v>
      </c>
      <c r="AF2590" t="s">
        <v>77</v>
      </c>
      <c r="AG2590" t="s">
        <v>77</v>
      </c>
      <c r="AH2590" t="s">
        <v>77</v>
      </c>
      <c r="AI2590" t="s">
        <v>77</v>
      </c>
      <c r="AJ2590">
        <v>4</v>
      </c>
      <c r="AK2590">
        <v>158</v>
      </c>
      <c r="AL2590">
        <v>158</v>
      </c>
      <c r="AM2590">
        <v>190</v>
      </c>
      <c r="AN2590">
        <v>46</v>
      </c>
      <c r="AO2590" t="s">
        <v>78</v>
      </c>
      <c r="AP2590">
        <v>1</v>
      </c>
      <c r="AR2590" t="s">
        <v>2683</v>
      </c>
      <c r="AS2590" s="1">
        <v>44354.23541666667</v>
      </c>
      <c r="AT2590" s="1">
        <v>44354.23909722222</v>
      </c>
      <c r="AU2590" s="1">
        <v>44354.24019675926</v>
      </c>
      <c r="AV2590" t="s">
        <v>71</v>
      </c>
      <c r="AW2590" t="s">
        <v>72</v>
      </c>
      <c r="AX2590" t="s">
        <v>73</v>
      </c>
    </row>
    <row r="2591" spans="1:50" x14ac:dyDescent="0.3">
      <c r="A2591" t="str">
        <f>"202083B0000"</f>
        <v>202083B0000</v>
      </c>
      <c r="B2591" t="str">
        <f>"202083B00002"</f>
        <v>202083B00002</v>
      </c>
      <c r="C2591" t="str">
        <f t="shared" si="121"/>
        <v>20</v>
      </c>
      <c r="D2591" t="s">
        <v>67</v>
      </c>
      <c r="E2591" t="str">
        <f t="shared" si="120"/>
        <v>011</v>
      </c>
      <c r="F2591" t="s">
        <v>2448</v>
      </c>
      <c r="G2591" t="str">
        <f>"2083"</f>
        <v>2083</v>
      </c>
      <c r="H2591" t="str">
        <f>"0000"</f>
        <v>0000</v>
      </c>
      <c r="I2591" t="s">
        <v>69</v>
      </c>
      <c r="J2591">
        <v>0</v>
      </c>
      <c r="K2591">
        <v>1</v>
      </c>
      <c r="L2591">
        <v>2</v>
      </c>
      <c r="M2591">
        <v>159</v>
      </c>
      <c r="N2591">
        <v>447</v>
      </c>
      <c r="O2591">
        <v>0</v>
      </c>
      <c r="P2591">
        <v>447</v>
      </c>
      <c r="Q2591">
        <v>6</v>
      </c>
      <c r="R2591">
        <v>124</v>
      </c>
      <c r="S2591">
        <v>1</v>
      </c>
      <c r="T2591">
        <v>0</v>
      </c>
      <c r="U2591">
        <v>7</v>
      </c>
      <c r="V2591">
        <v>2</v>
      </c>
      <c r="W2591">
        <v>0</v>
      </c>
      <c r="X2591">
        <v>291</v>
      </c>
      <c r="Y2591">
        <v>0</v>
      </c>
      <c r="Z2591">
        <v>1</v>
      </c>
      <c r="AA2591">
        <v>0</v>
      </c>
      <c r="AB2591">
        <v>11</v>
      </c>
      <c r="AD2591">
        <v>1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3</v>
      </c>
      <c r="AK2591">
        <v>447</v>
      </c>
      <c r="AL2591">
        <v>447</v>
      </c>
      <c r="AM2591">
        <v>561</v>
      </c>
      <c r="AN2591">
        <v>46</v>
      </c>
      <c r="AP2591">
        <v>1</v>
      </c>
      <c r="AR2591" t="s">
        <v>2684</v>
      </c>
      <c r="AS2591" s="1">
        <v>44354.270833333336</v>
      </c>
      <c r="AT2591" s="1">
        <v>44354.276192129626</v>
      </c>
      <c r="AU2591" s="1">
        <v>44354.277731481481</v>
      </c>
      <c r="AV2591" t="s">
        <v>71</v>
      </c>
      <c r="AW2591" t="s">
        <v>72</v>
      </c>
      <c r="AX2591" t="s">
        <v>73</v>
      </c>
    </row>
    <row r="2592" spans="1:50" x14ac:dyDescent="0.3">
      <c r="A2592" t="str">
        <f>"202180B0000"</f>
        <v>202180B0000</v>
      </c>
      <c r="B2592" t="str">
        <f>"202180B00002"</f>
        <v>202180B00002</v>
      </c>
      <c r="C2592" t="str">
        <f t="shared" si="121"/>
        <v>20</v>
      </c>
      <c r="D2592" t="s">
        <v>67</v>
      </c>
      <c r="E2592" t="str">
        <f t="shared" si="120"/>
        <v>011</v>
      </c>
      <c r="F2592" t="s">
        <v>2448</v>
      </c>
      <c r="G2592" t="str">
        <f>"2180"</f>
        <v>2180</v>
      </c>
      <c r="H2592" t="str">
        <f>"0000"</f>
        <v>0000</v>
      </c>
      <c r="I2592" t="s">
        <v>69</v>
      </c>
      <c r="J2592">
        <v>0</v>
      </c>
      <c r="K2592">
        <v>1</v>
      </c>
      <c r="L2592">
        <v>2</v>
      </c>
      <c r="M2592">
        <v>153</v>
      </c>
      <c r="N2592">
        <v>322</v>
      </c>
      <c r="O2592">
        <v>0</v>
      </c>
      <c r="P2592">
        <v>322</v>
      </c>
      <c r="Q2592">
        <v>5</v>
      </c>
      <c r="R2592">
        <v>83</v>
      </c>
      <c r="S2592">
        <v>4</v>
      </c>
      <c r="T2592">
        <v>0</v>
      </c>
      <c r="U2592">
        <v>9</v>
      </c>
      <c r="V2592">
        <v>0</v>
      </c>
      <c r="W2592">
        <v>0</v>
      </c>
      <c r="X2592">
        <v>131</v>
      </c>
      <c r="Y2592">
        <v>27</v>
      </c>
      <c r="Z2592">
        <v>2</v>
      </c>
      <c r="AA2592">
        <v>0</v>
      </c>
      <c r="AB2592">
        <v>39</v>
      </c>
      <c r="AD2592">
        <v>2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20</v>
      </c>
      <c r="AK2592">
        <v>322</v>
      </c>
      <c r="AL2592">
        <v>322</v>
      </c>
      <c r="AM2592">
        <v>431</v>
      </c>
      <c r="AN2592">
        <v>44</v>
      </c>
      <c r="AP2592">
        <v>1</v>
      </c>
      <c r="AR2592" t="s">
        <v>2685</v>
      </c>
      <c r="AS2592" s="1">
        <v>44353.855451388888</v>
      </c>
      <c r="AT2592" s="1">
        <v>44353.857291666667</v>
      </c>
      <c r="AU2592" s="1">
        <v>44353.859363425923</v>
      </c>
      <c r="AV2592" t="s">
        <v>269</v>
      </c>
      <c r="AW2592" t="s">
        <v>270</v>
      </c>
      <c r="AX2592" t="s">
        <v>73</v>
      </c>
    </row>
    <row r="2593" spans="1:50" x14ac:dyDescent="0.3">
      <c r="A2593" t="str">
        <f>"202180C0100"</f>
        <v>202180C0100</v>
      </c>
      <c r="B2593" t="str">
        <f>"202180C01002"</f>
        <v>202180C01002</v>
      </c>
      <c r="C2593" t="str">
        <f t="shared" si="121"/>
        <v>20</v>
      </c>
      <c r="D2593" t="s">
        <v>67</v>
      </c>
      <c r="E2593" t="str">
        <f t="shared" si="120"/>
        <v>011</v>
      </c>
      <c r="F2593" t="s">
        <v>2448</v>
      </c>
      <c r="G2593" t="str">
        <f>"2180"</f>
        <v>2180</v>
      </c>
      <c r="H2593" t="str">
        <f>"0001"</f>
        <v>0001</v>
      </c>
      <c r="I2593" t="s">
        <v>75</v>
      </c>
      <c r="J2593">
        <v>0</v>
      </c>
      <c r="K2593">
        <v>1</v>
      </c>
      <c r="L2593">
        <v>2</v>
      </c>
      <c r="M2593">
        <v>139</v>
      </c>
      <c r="N2593">
        <v>335</v>
      </c>
      <c r="O2593">
        <v>5</v>
      </c>
      <c r="P2593">
        <v>335</v>
      </c>
      <c r="Q2593">
        <v>3</v>
      </c>
      <c r="R2593">
        <v>67</v>
      </c>
      <c r="S2593">
        <v>5</v>
      </c>
      <c r="T2593">
        <v>2</v>
      </c>
      <c r="U2593">
        <v>12</v>
      </c>
      <c r="V2593">
        <v>3</v>
      </c>
      <c r="W2593">
        <v>0</v>
      </c>
      <c r="X2593">
        <v>150</v>
      </c>
      <c r="Y2593">
        <v>31</v>
      </c>
      <c r="Z2593">
        <v>2</v>
      </c>
      <c r="AA2593">
        <v>2</v>
      </c>
      <c r="AB2593">
        <v>46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12</v>
      </c>
      <c r="AK2593">
        <v>335</v>
      </c>
      <c r="AL2593">
        <v>335</v>
      </c>
      <c r="AM2593">
        <v>430</v>
      </c>
      <c r="AN2593">
        <v>44</v>
      </c>
      <c r="AP2593">
        <v>1</v>
      </c>
      <c r="AR2593" t="s">
        <v>2686</v>
      </c>
      <c r="AS2593" s="1">
        <v>44354.225694444445</v>
      </c>
      <c r="AT2593" s="1">
        <v>44354.234502314815</v>
      </c>
      <c r="AU2593" s="1">
        <v>44354.234918981485</v>
      </c>
      <c r="AV2593" t="s">
        <v>71</v>
      </c>
      <c r="AW2593" t="s">
        <v>72</v>
      </c>
      <c r="AX2593" t="s">
        <v>73</v>
      </c>
    </row>
    <row r="2594" spans="1:50" x14ac:dyDescent="0.3">
      <c r="A2594" t="str">
        <f>"202181B0000"</f>
        <v>202181B0000</v>
      </c>
      <c r="B2594" t="str">
        <f>"202181B00002"</f>
        <v>202181B00002</v>
      </c>
      <c r="C2594" t="str">
        <f t="shared" si="121"/>
        <v>20</v>
      </c>
      <c r="D2594" t="s">
        <v>67</v>
      </c>
      <c r="E2594" t="str">
        <f t="shared" si="120"/>
        <v>011</v>
      </c>
      <c r="F2594" t="s">
        <v>2448</v>
      </c>
      <c r="G2594" t="str">
        <f>"2181"</f>
        <v>2181</v>
      </c>
      <c r="H2594" t="str">
        <f>"0000"</f>
        <v>0000</v>
      </c>
      <c r="I2594" t="s">
        <v>69</v>
      </c>
      <c r="J2594">
        <v>0</v>
      </c>
      <c r="K2594">
        <v>1</v>
      </c>
      <c r="L2594">
        <v>2</v>
      </c>
      <c r="M2594">
        <v>173</v>
      </c>
      <c r="N2594">
        <v>535</v>
      </c>
      <c r="O2594">
        <v>6</v>
      </c>
      <c r="P2594">
        <v>535</v>
      </c>
      <c r="Q2594">
        <v>10</v>
      </c>
      <c r="R2594">
        <v>65</v>
      </c>
      <c r="S2594">
        <v>3</v>
      </c>
      <c r="T2594">
        <v>5</v>
      </c>
      <c r="U2594">
        <v>17</v>
      </c>
      <c r="V2594">
        <v>5</v>
      </c>
      <c r="W2594">
        <v>1</v>
      </c>
      <c r="X2594">
        <v>280</v>
      </c>
      <c r="Y2594">
        <v>29</v>
      </c>
      <c r="Z2594">
        <v>2</v>
      </c>
      <c r="AA2594">
        <v>1</v>
      </c>
      <c r="AB2594">
        <v>85</v>
      </c>
      <c r="AD2594">
        <v>2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30</v>
      </c>
      <c r="AK2594">
        <v>535</v>
      </c>
      <c r="AL2594">
        <v>535</v>
      </c>
      <c r="AM2594">
        <v>664</v>
      </c>
      <c r="AN2594">
        <v>44</v>
      </c>
      <c r="AP2594">
        <v>1</v>
      </c>
      <c r="AR2594" t="s">
        <v>2687</v>
      </c>
      <c r="AS2594" s="1">
        <v>44354.227777777778</v>
      </c>
      <c r="AT2594" s="1">
        <v>44354.235196759262</v>
      </c>
      <c r="AU2594" s="1">
        <v>44354.23641203704</v>
      </c>
      <c r="AV2594" t="s">
        <v>71</v>
      </c>
      <c r="AW2594" t="s">
        <v>72</v>
      </c>
      <c r="AX2594" t="s">
        <v>73</v>
      </c>
    </row>
    <row r="2595" spans="1:50" x14ac:dyDescent="0.3">
      <c r="A2595" t="str">
        <f>"202181C0100"</f>
        <v>202181C0100</v>
      </c>
      <c r="B2595" t="str">
        <f>"202181C01002"</f>
        <v>202181C01002</v>
      </c>
      <c r="C2595" t="str">
        <f t="shared" si="121"/>
        <v>20</v>
      </c>
      <c r="D2595" t="s">
        <v>67</v>
      </c>
      <c r="E2595" t="str">
        <f t="shared" si="120"/>
        <v>011</v>
      </c>
      <c r="F2595" t="s">
        <v>2448</v>
      </c>
      <c r="G2595" t="str">
        <f>"2181"</f>
        <v>2181</v>
      </c>
      <c r="H2595" t="str">
        <f>"0001"</f>
        <v>0001</v>
      </c>
      <c r="I2595" t="s">
        <v>75</v>
      </c>
      <c r="J2595">
        <v>0</v>
      </c>
      <c r="K2595">
        <v>1</v>
      </c>
      <c r="L2595">
        <v>2</v>
      </c>
      <c r="M2595">
        <v>217</v>
      </c>
      <c r="N2595">
        <v>490</v>
      </c>
      <c r="O2595">
        <v>0</v>
      </c>
      <c r="P2595">
        <v>490</v>
      </c>
      <c r="Q2595">
        <v>4</v>
      </c>
      <c r="R2595">
        <v>56</v>
      </c>
      <c r="S2595">
        <v>6</v>
      </c>
      <c r="T2595">
        <v>1</v>
      </c>
      <c r="U2595">
        <v>18</v>
      </c>
      <c r="V2595">
        <v>2</v>
      </c>
      <c r="W2595">
        <v>2</v>
      </c>
      <c r="X2595">
        <v>247</v>
      </c>
      <c r="Y2595">
        <v>23</v>
      </c>
      <c r="Z2595">
        <v>2</v>
      </c>
      <c r="AA2595">
        <v>3</v>
      </c>
      <c r="AB2595">
        <v>99</v>
      </c>
      <c r="AD2595">
        <v>1</v>
      </c>
      <c r="AE2595">
        <v>0</v>
      </c>
      <c r="AF2595">
        <v>0</v>
      </c>
      <c r="AG2595">
        <v>1</v>
      </c>
      <c r="AH2595">
        <v>0</v>
      </c>
      <c r="AI2595">
        <v>0</v>
      </c>
      <c r="AJ2595">
        <v>25</v>
      </c>
      <c r="AK2595">
        <v>490</v>
      </c>
      <c r="AL2595">
        <v>490</v>
      </c>
      <c r="AM2595">
        <v>663</v>
      </c>
      <c r="AN2595">
        <v>44</v>
      </c>
      <c r="AP2595">
        <v>1</v>
      </c>
      <c r="AR2595" t="s">
        <v>2688</v>
      </c>
      <c r="AS2595" s="1">
        <v>44354.012060185189</v>
      </c>
      <c r="AT2595" s="1">
        <v>44354.018900462965</v>
      </c>
      <c r="AU2595" s="1">
        <v>44354.019467592596</v>
      </c>
      <c r="AV2595" t="s">
        <v>269</v>
      </c>
      <c r="AW2595" t="s">
        <v>270</v>
      </c>
      <c r="AX2595" t="s">
        <v>73</v>
      </c>
    </row>
    <row r="2596" spans="1:50" x14ac:dyDescent="0.3">
      <c r="A2596" t="str">
        <f>"202181C0200"</f>
        <v>202181C0200</v>
      </c>
      <c r="B2596" t="str">
        <f>"202181C02002"</f>
        <v>202181C02002</v>
      </c>
      <c r="C2596" t="str">
        <f t="shared" si="121"/>
        <v>20</v>
      </c>
      <c r="D2596" t="s">
        <v>67</v>
      </c>
      <c r="E2596" t="str">
        <f t="shared" si="120"/>
        <v>011</v>
      </c>
      <c r="F2596" t="s">
        <v>2448</v>
      </c>
      <c r="G2596" t="str">
        <f>"2181"</f>
        <v>2181</v>
      </c>
      <c r="H2596" t="str">
        <f>"0002"</f>
        <v>0002</v>
      </c>
      <c r="I2596" t="s">
        <v>75</v>
      </c>
      <c r="J2596">
        <v>0</v>
      </c>
      <c r="K2596">
        <v>1</v>
      </c>
      <c r="L2596">
        <v>2</v>
      </c>
      <c r="M2596">
        <v>190</v>
      </c>
      <c r="N2596">
        <v>516</v>
      </c>
      <c r="O2596">
        <v>5</v>
      </c>
      <c r="P2596" t="s">
        <v>99</v>
      </c>
      <c r="Q2596">
        <v>5</v>
      </c>
      <c r="R2596">
        <v>65</v>
      </c>
      <c r="S2596">
        <v>4</v>
      </c>
      <c r="T2596">
        <v>5</v>
      </c>
      <c r="U2596">
        <v>12</v>
      </c>
      <c r="V2596">
        <v>3</v>
      </c>
      <c r="W2596">
        <v>2</v>
      </c>
      <c r="X2596">
        <v>215</v>
      </c>
      <c r="Y2596">
        <v>33</v>
      </c>
      <c r="Z2596">
        <v>4</v>
      </c>
      <c r="AA2596">
        <v>10</v>
      </c>
      <c r="AB2596">
        <v>122</v>
      </c>
      <c r="AD2596">
        <v>3</v>
      </c>
      <c r="AE2596">
        <v>2</v>
      </c>
      <c r="AF2596">
        <v>0</v>
      </c>
      <c r="AG2596">
        <v>0</v>
      </c>
      <c r="AH2596">
        <v>0</v>
      </c>
      <c r="AI2596">
        <v>0</v>
      </c>
      <c r="AJ2596">
        <v>31</v>
      </c>
      <c r="AK2596">
        <v>516</v>
      </c>
      <c r="AL2596">
        <v>516</v>
      </c>
      <c r="AM2596">
        <v>663</v>
      </c>
      <c r="AN2596">
        <v>44</v>
      </c>
      <c r="AP2596">
        <v>1</v>
      </c>
      <c r="AR2596" t="s">
        <v>2689</v>
      </c>
      <c r="AS2596" s="1">
        <v>44354.014675925922</v>
      </c>
      <c r="AT2596" s="1">
        <v>44354.021516203706</v>
      </c>
      <c r="AU2596" s="1">
        <v>44354.022881944446</v>
      </c>
      <c r="AV2596" t="s">
        <v>269</v>
      </c>
      <c r="AW2596" t="s">
        <v>270</v>
      </c>
      <c r="AX2596" t="s">
        <v>73</v>
      </c>
    </row>
    <row r="2597" spans="1:50" x14ac:dyDescent="0.3">
      <c r="A2597" t="str">
        <f>"202182B0000"</f>
        <v>202182B0000</v>
      </c>
      <c r="B2597" t="str">
        <f>"202182B00002"</f>
        <v>202182B00002</v>
      </c>
      <c r="C2597" t="str">
        <f t="shared" si="121"/>
        <v>20</v>
      </c>
      <c r="D2597" t="s">
        <v>67</v>
      </c>
      <c r="E2597" t="str">
        <f t="shared" si="120"/>
        <v>011</v>
      </c>
      <c r="F2597" t="s">
        <v>2448</v>
      </c>
      <c r="G2597" t="str">
        <f>"2182"</f>
        <v>2182</v>
      </c>
      <c r="H2597" t="str">
        <f>"0000"</f>
        <v>0000</v>
      </c>
      <c r="I2597" t="s">
        <v>69</v>
      </c>
      <c r="J2597">
        <v>0</v>
      </c>
      <c r="K2597">
        <v>1</v>
      </c>
      <c r="L2597">
        <v>2</v>
      </c>
      <c r="M2597">
        <v>196</v>
      </c>
      <c r="N2597">
        <v>450</v>
      </c>
      <c r="O2597">
        <v>2</v>
      </c>
      <c r="P2597">
        <v>450</v>
      </c>
      <c r="Q2597">
        <v>3</v>
      </c>
      <c r="R2597">
        <v>49</v>
      </c>
      <c r="S2597">
        <v>3</v>
      </c>
      <c r="T2597">
        <v>2</v>
      </c>
      <c r="U2597">
        <v>24</v>
      </c>
      <c r="V2597">
        <v>1</v>
      </c>
      <c r="W2597">
        <v>0</v>
      </c>
      <c r="X2597">
        <v>229</v>
      </c>
      <c r="Y2597">
        <v>43</v>
      </c>
      <c r="Z2597">
        <v>1</v>
      </c>
      <c r="AA2597">
        <v>0</v>
      </c>
      <c r="AB2597">
        <v>60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35</v>
      </c>
      <c r="AK2597">
        <v>450</v>
      </c>
      <c r="AL2597">
        <v>450</v>
      </c>
      <c r="AM2597">
        <v>602</v>
      </c>
      <c r="AN2597">
        <v>44</v>
      </c>
      <c r="AP2597">
        <v>1</v>
      </c>
      <c r="AR2597" t="s">
        <v>2690</v>
      </c>
      <c r="AS2597" s="1">
        <v>44354.008333333331</v>
      </c>
      <c r="AT2597" s="1">
        <v>44354.013090277775</v>
      </c>
      <c r="AU2597" s="1">
        <v>44354.013831018521</v>
      </c>
      <c r="AV2597" t="s">
        <v>269</v>
      </c>
      <c r="AW2597" t="s">
        <v>270</v>
      </c>
      <c r="AX2597" t="s">
        <v>73</v>
      </c>
    </row>
    <row r="2598" spans="1:50" x14ac:dyDescent="0.3">
      <c r="A2598" t="str">
        <f>"202182C0100"</f>
        <v>202182C0100</v>
      </c>
      <c r="B2598" t="str">
        <f>"202182C01002"</f>
        <v>202182C01002</v>
      </c>
      <c r="C2598" t="str">
        <f t="shared" si="121"/>
        <v>20</v>
      </c>
      <c r="D2598" t="s">
        <v>67</v>
      </c>
      <c r="E2598" t="str">
        <f t="shared" si="120"/>
        <v>011</v>
      </c>
      <c r="F2598" t="s">
        <v>2448</v>
      </c>
      <c r="G2598" t="str">
        <f>"2182"</f>
        <v>2182</v>
      </c>
      <c r="H2598" t="str">
        <f>"0001"</f>
        <v>0001</v>
      </c>
      <c r="I2598" t="s">
        <v>75</v>
      </c>
      <c r="J2598">
        <v>0</v>
      </c>
      <c r="K2598">
        <v>1</v>
      </c>
      <c r="L2598">
        <v>2</v>
      </c>
      <c r="M2598" t="s">
        <v>80</v>
      </c>
      <c r="N2598">
        <v>460</v>
      </c>
      <c r="O2598">
        <v>7</v>
      </c>
      <c r="P2598">
        <v>460</v>
      </c>
      <c r="Q2598">
        <v>4</v>
      </c>
      <c r="R2598">
        <v>49</v>
      </c>
      <c r="S2598">
        <v>3</v>
      </c>
      <c r="T2598">
        <v>0</v>
      </c>
      <c r="U2598">
        <v>18</v>
      </c>
      <c r="V2598">
        <v>5</v>
      </c>
      <c r="W2598">
        <v>0</v>
      </c>
      <c r="X2598">
        <v>288</v>
      </c>
      <c r="Y2598">
        <v>40</v>
      </c>
      <c r="Z2598">
        <v>2</v>
      </c>
      <c r="AA2598">
        <v>1</v>
      </c>
      <c r="AB2598">
        <v>41</v>
      </c>
      <c r="AD2598">
        <v>3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6</v>
      </c>
      <c r="AK2598">
        <v>460</v>
      </c>
      <c r="AL2598">
        <v>460</v>
      </c>
      <c r="AM2598">
        <v>602</v>
      </c>
      <c r="AN2598">
        <v>44</v>
      </c>
      <c r="AP2598">
        <v>1</v>
      </c>
      <c r="AR2598" s="2" t="s">
        <v>2691</v>
      </c>
      <c r="AS2598" s="1">
        <v>44354.225694444445</v>
      </c>
      <c r="AT2598" s="1">
        <v>44354.232106481482</v>
      </c>
      <c r="AU2598" s="1">
        <v>44354.232546296298</v>
      </c>
      <c r="AV2598" t="s">
        <v>71</v>
      </c>
      <c r="AW2598" t="s">
        <v>72</v>
      </c>
      <c r="AX2598" t="s">
        <v>73</v>
      </c>
    </row>
    <row r="2599" spans="1:50" x14ac:dyDescent="0.3">
      <c r="A2599" t="str">
        <f>"202182C0200"</f>
        <v>202182C0200</v>
      </c>
      <c r="B2599" t="str">
        <f>"202182C02002"</f>
        <v>202182C02002</v>
      </c>
      <c r="C2599" t="str">
        <f t="shared" si="121"/>
        <v>20</v>
      </c>
      <c r="D2599" t="s">
        <v>67</v>
      </c>
      <c r="E2599" t="str">
        <f t="shared" si="120"/>
        <v>011</v>
      </c>
      <c r="F2599" t="s">
        <v>2448</v>
      </c>
      <c r="G2599" t="str">
        <f>"2182"</f>
        <v>2182</v>
      </c>
      <c r="H2599" t="str">
        <f>"0002"</f>
        <v>0002</v>
      </c>
      <c r="I2599" t="s">
        <v>75</v>
      </c>
      <c r="J2599">
        <v>0</v>
      </c>
      <c r="K2599">
        <v>1</v>
      </c>
      <c r="L2599">
        <v>2</v>
      </c>
      <c r="M2599">
        <v>207</v>
      </c>
      <c r="N2599">
        <v>439</v>
      </c>
      <c r="O2599">
        <v>4</v>
      </c>
      <c r="P2599">
        <v>439</v>
      </c>
      <c r="Q2599">
        <v>2</v>
      </c>
      <c r="R2599">
        <v>82</v>
      </c>
      <c r="S2599">
        <v>1</v>
      </c>
      <c r="T2599">
        <v>2</v>
      </c>
      <c r="U2599">
        <v>11</v>
      </c>
      <c r="V2599">
        <v>7</v>
      </c>
      <c r="W2599">
        <v>0</v>
      </c>
      <c r="X2599">
        <v>229</v>
      </c>
      <c r="Y2599">
        <v>35</v>
      </c>
      <c r="Z2599">
        <v>3</v>
      </c>
      <c r="AA2599">
        <v>3</v>
      </c>
      <c r="AB2599">
        <v>47</v>
      </c>
      <c r="AD2599">
        <v>1</v>
      </c>
      <c r="AE2599">
        <v>0</v>
      </c>
      <c r="AF2599">
        <v>0</v>
      </c>
      <c r="AG2599">
        <v>2</v>
      </c>
      <c r="AH2599">
        <v>0</v>
      </c>
      <c r="AI2599">
        <v>0</v>
      </c>
      <c r="AJ2599">
        <v>14</v>
      </c>
      <c r="AK2599">
        <v>439</v>
      </c>
      <c r="AL2599">
        <v>439</v>
      </c>
      <c r="AM2599">
        <v>602</v>
      </c>
      <c r="AN2599">
        <v>44</v>
      </c>
      <c r="AP2599">
        <v>1</v>
      </c>
      <c r="AR2599" t="s">
        <v>2692</v>
      </c>
      <c r="AS2599" s="1">
        <v>44354.228472222225</v>
      </c>
      <c r="AT2599" s="1">
        <v>44354.236331018517</v>
      </c>
      <c r="AU2599" s="1">
        <v>44354.236851851849</v>
      </c>
      <c r="AV2599" t="s">
        <v>71</v>
      </c>
      <c r="AW2599" t="s">
        <v>72</v>
      </c>
      <c r="AX2599" t="s">
        <v>73</v>
      </c>
    </row>
    <row r="2600" spans="1:50" x14ac:dyDescent="0.3">
      <c r="A2600" t="str">
        <f>"202183B0000"</f>
        <v>202183B0000</v>
      </c>
      <c r="B2600" t="str">
        <f>"202183B00002"</f>
        <v>202183B00002</v>
      </c>
      <c r="C2600" t="str">
        <f t="shared" si="121"/>
        <v>20</v>
      </c>
      <c r="D2600" t="s">
        <v>67</v>
      </c>
      <c r="E2600" t="str">
        <f t="shared" si="120"/>
        <v>011</v>
      </c>
      <c r="F2600" t="s">
        <v>2448</v>
      </c>
      <c r="G2600" t="str">
        <f>"2183"</f>
        <v>2183</v>
      </c>
      <c r="H2600" t="str">
        <f>"0000"</f>
        <v>0000</v>
      </c>
      <c r="I2600" t="s">
        <v>69</v>
      </c>
      <c r="J2600">
        <v>0</v>
      </c>
      <c r="K2600">
        <v>1</v>
      </c>
      <c r="L2600">
        <v>2</v>
      </c>
      <c r="M2600">
        <v>182</v>
      </c>
      <c r="N2600">
        <v>504</v>
      </c>
      <c r="O2600">
        <v>3</v>
      </c>
      <c r="P2600">
        <v>504</v>
      </c>
      <c r="Q2600" t="s">
        <v>77</v>
      </c>
      <c r="R2600">
        <v>94</v>
      </c>
      <c r="S2600" t="s">
        <v>77</v>
      </c>
      <c r="T2600" t="s">
        <v>77</v>
      </c>
      <c r="U2600" t="s">
        <v>77</v>
      </c>
      <c r="V2600">
        <v>11</v>
      </c>
      <c r="W2600" t="s">
        <v>77</v>
      </c>
      <c r="X2600">
        <v>332</v>
      </c>
      <c r="Y2600">
        <v>45</v>
      </c>
      <c r="Z2600">
        <v>4</v>
      </c>
      <c r="AA2600">
        <v>2</v>
      </c>
      <c r="AB2600">
        <v>42</v>
      </c>
      <c r="AD2600">
        <v>94</v>
      </c>
      <c r="AE2600" t="s">
        <v>77</v>
      </c>
      <c r="AF2600" t="s">
        <v>77</v>
      </c>
      <c r="AG2600" t="s">
        <v>77</v>
      </c>
      <c r="AH2600" t="s">
        <v>77</v>
      </c>
      <c r="AI2600" t="s">
        <v>77</v>
      </c>
      <c r="AJ2600" t="s">
        <v>77</v>
      </c>
      <c r="AK2600" t="s">
        <v>77</v>
      </c>
      <c r="AL2600">
        <v>624</v>
      </c>
      <c r="AM2600">
        <v>643</v>
      </c>
      <c r="AN2600">
        <v>44</v>
      </c>
      <c r="AO2600" t="s">
        <v>78</v>
      </c>
      <c r="AP2600">
        <v>1</v>
      </c>
      <c r="AR2600" t="s">
        <v>2693</v>
      </c>
      <c r="AS2600" s="1">
        <v>44353.885300925926</v>
      </c>
      <c r="AT2600" s="1">
        <v>44353.891261574077</v>
      </c>
      <c r="AU2600" s="1">
        <v>44353.892546296294</v>
      </c>
      <c r="AV2600" t="s">
        <v>269</v>
      </c>
      <c r="AW2600" t="s">
        <v>270</v>
      </c>
      <c r="AX2600" t="s">
        <v>73</v>
      </c>
    </row>
    <row r="2601" spans="1:50" x14ac:dyDescent="0.3">
      <c r="A2601" t="str">
        <f>"202184B0000"</f>
        <v>202184B0000</v>
      </c>
      <c r="B2601" t="str">
        <f>"202184B00002"</f>
        <v>202184B00002</v>
      </c>
      <c r="C2601" t="str">
        <f t="shared" si="121"/>
        <v>20</v>
      </c>
      <c r="D2601" t="s">
        <v>67</v>
      </c>
      <c r="E2601" t="str">
        <f t="shared" si="120"/>
        <v>011</v>
      </c>
      <c r="F2601" t="s">
        <v>2448</v>
      </c>
      <c r="G2601" t="str">
        <f>"2184"</f>
        <v>2184</v>
      </c>
      <c r="H2601" t="str">
        <f>"0000"</f>
        <v>0000</v>
      </c>
      <c r="I2601" t="s">
        <v>69</v>
      </c>
      <c r="J2601">
        <v>0</v>
      </c>
      <c r="K2601">
        <v>1</v>
      </c>
      <c r="L2601">
        <v>2</v>
      </c>
      <c r="M2601">
        <v>200</v>
      </c>
      <c r="N2601">
        <v>426</v>
      </c>
      <c r="O2601">
        <v>0</v>
      </c>
      <c r="P2601">
        <v>426</v>
      </c>
      <c r="Q2601">
        <v>2</v>
      </c>
      <c r="R2601">
        <v>125</v>
      </c>
      <c r="S2601">
        <v>4</v>
      </c>
      <c r="T2601">
        <v>2</v>
      </c>
      <c r="U2601">
        <v>30</v>
      </c>
      <c r="V2601">
        <v>11</v>
      </c>
      <c r="W2601">
        <v>1</v>
      </c>
      <c r="X2601">
        <v>152</v>
      </c>
      <c r="Y2601">
        <v>47</v>
      </c>
      <c r="Z2601">
        <v>2</v>
      </c>
      <c r="AA2601">
        <v>1</v>
      </c>
      <c r="AB2601">
        <v>23</v>
      </c>
      <c r="AD2601">
        <v>5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21</v>
      </c>
      <c r="AK2601">
        <v>426</v>
      </c>
      <c r="AL2601">
        <v>426</v>
      </c>
      <c r="AM2601">
        <v>582</v>
      </c>
      <c r="AN2601">
        <v>44</v>
      </c>
      <c r="AP2601">
        <v>1</v>
      </c>
      <c r="AR2601" t="s">
        <v>2694</v>
      </c>
      <c r="AS2601" s="1">
        <v>44354.226388888892</v>
      </c>
      <c r="AT2601" s="1">
        <v>44354.231076388889</v>
      </c>
      <c r="AU2601" s="1">
        <v>44354.231736111113</v>
      </c>
      <c r="AV2601" t="s">
        <v>71</v>
      </c>
      <c r="AW2601" t="s">
        <v>72</v>
      </c>
      <c r="AX2601" t="s">
        <v>73</v>
      </c>
    </row>
    <row r="2602" spans="1:50" x14ac:dyDescent="0.3">
      <c r="A2602" t="str">
        <f>"202184C0100"</f>
        <v>202184C0100</v>
      </c>
      <c r="B2602" t="str">
        <f>"202184C01002"</f>
        <v>202184C01002</v>
      </c>
      <c r="C2602" t="str">
        <f t="shared" si="121"/>
        <v>20</v>
      </c>
      <c r="D2602" t="s">
        <v>67</v>
      </c>
      <c r="E2602" t="str">
        <f t="shared" si="120"/>
        <v>011</v>
      </c>
      <c r="F2602" t="s">
        <v>2448</v>
      </c>
      <c r="G2602" t="str">
        <f>"2184"</f>
        <v>2184</v>
      </c>
      <c r="H2602" t="str">
        <f>"0001"</f>
        <v>0001</v>
      </c>
      <c r="I2602" t="s">
        <v>75</v>
      </c>
      <c r="J2602">
        <v>0</v>
      </c>
      <c r="K2602">
        <v>1</v>
      </c>
      <c r="L2602">
        <v>2</v>
      </c>
      <c r="M2602">
        <v>223</v>
      </c>
      <c r="N2602">
        <v>402</v>
      </c>
      <c r="O2602">
        <v>1</v>
      </c>
      <c r="P2602">
        <v>401</v>
      </c>
      <c r="Q2602">
        <v>3</v>
      </c>
      <c r="R2602">
        <v>139</v>
      </c>
      <c r="S2602">
        <v>1</v>
      </c>
      <c r="T2602">
        <v>2</v>
      </c>
      <c r="U2602">
        <v>19</v>
      </c>
      <c r="V2602">
        <v>14</v>
      </c>
      <c r="W2602">
        <v>1</v>
      </c>
      <c r="X2602">
        <v>131</v>
      </c>
      <c r="Y2602">
        <v>34</v>
      </c>
      <c r="Z2602">
        <v>0</v>
      </c>
      <c r="AA2602">
        <v>0</v>
      </c>
      <c r="AB2602">
        <v>27</v>
      </c>
      <c r="AD2602">
        <v>1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29</v>
      </c>
      <c r="AK2602">
        <v>401</v>
      </c>
      <c r="AL2602">
        <v>401</v>
      </c>
      <c r="AM2602">
        <v>582</v>
      </c>
      <c r="AN2602">
        <v>44</v>
      </c>
      <c r="AP2602">
        <v>1</v>
      </c>
      <c r="AR2602" t="s">
        <v>2695</v>
      </c>
      <c r="AS2602" s="1">
        <v>44354.265972222223</v>
      </c>
      <c r="AT2602" s="1">
        <v>44354.27003472222</v>
      </c>
      <c r="AU2602" s="1">
        <v>44354.270891203705</v>
      </c>
      <c r="AV2602" t="s">
        <v>71</v>
      </c>
      <c r="AW2602" t="s">
        <v>72</v>
      </c>
      <c r="AX2602" t="s">
        <v>73</v>
      </c>
    </row>
    <row r="2603" spans="1:50" x14ac:dyDescent="0.3">
      <c r="A2603" t="str">
        <f>"202184E0100"</f>
        <v>202184E0100</v>
      </c>
      <c r="B2603" t="str">
        <f>"202184E01002"</f>
        <v>202184E01002</v>
      </c>
      <c r="C2603" t="str">
        <f t="shared" si="121"/>
        <v>20</v>
      </c>
      <c r="D2603" t="s">
        <v>67</v>
      </c>
      <c r="E2603" t="str">
        <f t="shared" si="120"/>
        <v>011</v>
      </c>
      <c r="F2603" t="s">
        <v>2448</v>
      </c>
      <c r="G2603" t="str">
        <f>"2184"</f>
        <v>2184</v>
      </c>
      <c r="H2603" t="str">
        <f>"0001"</f>
        <v>0001</v>
      </c>
      <c r="I2603" t="s">
        <v>109</v>
      </c>
      <c r="J2603">
        <v>0</v>
      </c>
      <c r="K2603">
        <v>1</v>
      </c>
      <c r="L2603">
        <v>2</v>
      </c>
      <c r="M2603">
        <v>82</v>
      </c>
      <c r="N2603">
        <v>171</v>
      </c>
      <c r="O2603">
        <v>2</v>
      </c>
      <c r="P2603">
        <v>6</v>
      </c>
      <c r="Q2603">
        <v>0</v>
      </c>
      <c r="R2603">
        <v>63</v>
      </c>
      <c r="S2603">
        <v>0</v>
      </c>
      <c r="T2603">
        <v>0</v>
      </c>
      <c r="U2603">
        <v>6</v>
      </c>
      <c r="V2603">
        <v>0</v>
      </c>
      <c r="W2603">
        <v>0</v>
      </c>
      <c r="X2603">
        <v>56</v>
      </c>
      <c r="Y2603">
        <v>11</v>
      </c>
      <c r="Z2603">
        <v>0</v>
      </c>
      <c r="AA2603">
        <v>0</v>
      </c>
      <c r="AB2603">
        <v>17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12</v>
      </c>
      <c r="AK2603">
        <v>165</v>
      </c>
      <c r="AL2603">
        <v>165</v>
      </c>
      <c r="AM2603">
        <v>209</v>
      </c>
      <c r="AN2603">
        <v>44</v>
      </c>
      <c r="AP2603">
        <v>1</v>
      </c>
      <c r="AR2603" t="s">
        <v>2696</v>
      </c>
      <c r="AS2603" s="1">
        <v>44353.956724537034</v>
      </c>
      <c r="AT2603" s="1">
        <v>44353.958171296297</v>
      </c>
      <c r="AU2603" s="1">
        <v>44353.95857638889</v>
      </c>
      <c r="AV2603" t="s">
        <v>269</v>
      </c>
      <c r="AW2603" t="s">
        <v>270</v>
      </c>
      <c r="AX2603" t="s">
        <v>73</v>
      </c>
    </row>
    <row r="2604" spans="1:50" x14ac:dyDescent="0.3">
      <c r="A2604" t="str">
        <f>"202249B0000"</f>
        <v>202249B0000</v>
      </c>
      <c r="B2604" t="str">
        <f>"202249B00002"</f>
        <v>202249B00002</v>
      </c>
      <c r="C2604" t="str">
        <f t="shared" si="121"/>
        <v>20</v>
      </c>
      <c r="D2604" t="s">
        <v>67</v>
      </c>
      <c r="E2604" t="str">
        <f t="shared" si="120"/>
        <v>011</v>
      </c>
      <c r="F2604" t="s">
        <v>2448</v>
      </c>
      <c r="G2604" t="str">
        <f>"2249"</f>
        <v>2249</v>
      </c>
      <c r="H2604" t="str">
        <f>"0000"</f>
        <v>0000</v>
      </c>
      <c r="I2604" t="s">
        <v>69</v>
      </c>
      <c r="J2604">
        <v>0</v>
      </c>
      <c r="K2604">
        <v>1</v>
      </c>
      <c r="L2604">
        <v>2</v>
      </c>
      <c r="M2604">
        <v>180</v>
      </c>
      <c r="N2604">
        <v>424</v>
      </c>
      <c r="O2604">
        <v>0</v>
      </c>
      <c r="P2604">
        <v>424</v>
      </c>
      <c r="Q2604">
        <v>5</v>
      </c>
      <c r="R2604">
        <v>78</v>
      </c>
      <c r="S2604">
        <v>3</v>
      </c>
      <c r="T2604">
        <v>3</v>
      </c>
      <c r="U2604">
        <v>24</v>
      </c>
      <c r="V2604">
        <v>24</v>
      </c>
      <c r="W2604">
        <v>1</v>
      </c>
      <c r="X2604">
        <v>239</v>
      </c>
      <c r="Y2604">
        <v>20</v>
      </c>
      <c r="Z2604">
        <v>1</v>
      </c>
      <c r="AA2604">
        <v>4</v>
      </c>
      <c r="AB2604">
        <v>12</v>
      </c>
      <c r="AD2604">
        <v>3</v>
      </c>
      <c r="AE2604">
        <v>0</v>
      </c>
      <c r="AF2604">
        <v>0</v>
      </c>
      <c r="AG2604">
        <v>1</v>
      </c>
      <c r="AH2604">
        <v>0</v>
      </c>
      <c r="AI2604">
        <v>0</v>
      </c>
      <c r="AJ2604">
        <v>6</v>
      </c>
      <c r="AK2604">
        <v>424</v>
      </c>
      <c r="AL2604">
        <v>424</v>
      </c>
      <c r="AM2604">
        <v>560</v>
      </c>
      <c r="AN2604">
        <v>44</v>
      </c>
      <c r="AP2604">
        <v>1</v>
      </c>
      <c r="AR2604" t="s">
        <v>2697</v>
      </c>
      <c r="AS2604" s="1">
        <v>44354.271527777775</v>
      </c>
      <c r="AT2604" s="1">
        <v>44354.276678240742</v>
      </c>
      <c r="AU2604" s="1">
        <v>44354.277106481481</v>
      </c>
      <c r="AV2604" t="s">
        <v>71</v>
      </c>
      <c r="AW2604" t="s">
        <v>72</v>
      </c>
      <c r="AX2604" t="s">
        <v>73</v>
      </c>
    </row>
    <row r="2605" spans="1:50" x14ac:dyDescent="0.3">
      <c r="A2605" t="str">
        <f>"202249C0100"</f>
        <v>202249C0100</v>
      </c>
      <c r="B2605" t="str">
        <f>"202249C01002"</f>
        <v>202249C01002</v>
      </c>
      <c r="C2605" t="str">
        <f t="shared" si="121"/>
        <v>20</v>
      </c>
      <c r="D2605" t="s">
        <v>67</v>
      </c>
      <c r="E2605" t="str">
        <f t="shared" si="120"/>
        <v>011</v>
      </c>
      <c r="F2605" t="s">
        <v>2448</v>
      </c>
      <c r="G2605" t="str">
        <f>"2249"</f>
        <v>2249</v>
      </c>
      <c r="H2605" t="str">
        <f>"0001"</f>
        <v>0001</v>
      </c>
      <c r="I2605" t="s">
        <v>75</v>
      </c>
      <c r="J2605">
        <v>0</v>
      </c>
      <c r="K2605">
        <v>1</v>
      </c>
      <c r="L2605">
        <v>2</v>
      </c>
      <c r="M2605">
        <v>189</v>
      </c>
      <c r="N2605">
        <v>415</v>
      </c>
      <c r="O2605">
        <v>0</v>
      </c>
      <c r="P2605">
        <v>415</v>
      </c>
      <c r="Q2605">
        <v>1</v>
      </c>
      <c r="R2605">
        <v>93</v>
      </c>
      <c r="S2605">
        <v>3</v>
      </c>
      <c r="T2605">
        <v>0</v>
      </c>
      <c r="U2605">
        <v>16</v>
      </c>
      <c r="V2605">
        <v>27</v>
      </c>
      <c r="W2605">
        <v>1</v>
      </c>
      <c r="X2605">
        <v>224</v>
      </c>
      <c r="Y2605">
        <v>16</v>
      </c>
      <c r="Z2605">
        <v>3</v>
      </c>
      <c r="AA2605">
        <v>2</v>
      </c>
      <c r="AB2605">
        <v>17</v>
      </c>
      <c r="AD2605">
        <v>5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7</v>
      </c>
      <c r="AK2605">
        <v>415</v>
      </c>
      <c r="AL2605">
        <v>415</v>
      </c>
      <c r="AM2605">
        <v>560</v>
      </c>
      <c r="AN2605">
        <v>44</v>
      </c>
      <c r="AP2605">
        <v>1</v>
      </c>
      <c r="AR2605" t="s">
        <v>2698</v>
      </c>
      <c r="AS2605" s="1">
        <v>44354.271527777775</v>
      </c>
      <c r="AT2605" s="1">
        <v>44354.277175925927</v>
      </c>
      <c r="AU2605" s="1">
        <v>44354.277800925927</v>
      </c>
      <c r="AV2605" t="s">
        <v>71</v>
      </c>
      <c r="AW2605" t="s">
        <v>72</v>
      </c>
      <c r="AX2605" t="s">
        <v>73</v>
      </c>
    </row>
    <row r="2606" spans="1:50" x14ac:dyDescent="0.3">
      <c r="A2606" t="str">
        <f>"202250B0000"</f>
        <v>202250B0000</v>
      </c>
      <c r="B2606" t="str">
        <f>"202250B00002"</f>
        <v>202250B00002</v>
      </c>
      <c r="C2606" t="str">
        <f t="shared" si="121"/>
        <v>20</v>
      </c>
      <c r="D2606" t="s">
        <v>67</v>
      </c>
      <c r="E2606" t="str">
        <f t="shared" si="120"/>
        <v>011</v>
      </c>
      <c r="F2606" t="s">
        <v>2448</v>
      </c>
      <c r="G2606" t="str">
        <f>"2250"</f>
        <v>2250</v>
      </c>
      <c r="H2606" t="str">
        <f>"0000"</f>
        <v>0000</v>
      </c>
      <c r="I2606" t="s">
        <v>69</v>
      </c>
      <c r="J2606">
        <v>0</v>
      </c>
      <c r="K2606">
        <v>1</v>
      </c>
      <c r="L2606">
        <v>2</v>
      </c>
      <c r="M2606">
        <v>210</v>
      </c>
      <c r="N2606">
        <v>536</v>
      </c>
      <c r="O2606">
        <v>0</v>
      </c>
      <c r="P2606">
        <v>536</v>
      </c>
      <c r="Q2606">
        <v>6</v>
      </c>
      <c r="R2606">
        <v>113</v>
      </c>
      <c r="S2606">
        <v>6</v>
      </c>
      <c r="T2606">
        <v>1</v>
      </c>
      <c r="U2606">
        <v>18</v>
      </c>
      <c r="V2606">
        <v>7</v>
      </c>
      <c r="W2606">
        <v>0</v>
      </c>
      <c r="X2606">
        <v>316</v>
      </c>
      <c r="Y2606">
        <v>38</v>
      </c>
      <c r="Z2606">
        <v>3</v>
      </c>
      <c r="AA2606">
        <v>6</v>
      </c>
      <c r="AB2606">
        <v>4</v>
      </c>
      <c r="AD2606">
        <v>6</v>
      </c>
      <c r="AE2606">
        <v>1</v>
      </c>
      <c r="AF2606" t="s">
        <v>77</v>
      </c>
      <c r="AG2606" t="s">
        <v>77</v>
      </c>
      <c r="AH2606" t="s">
        <v>77</v>
      </c>
      <c r="AI2606" t="s">
        <v>77</v>
      </c>
      <c r="AJ2606">
        <v>11</v>
      </c>
      <c r="AK2606">
        <v>536</v>
      </c>
      <c r="AL2606">
        <v>536</v>
      </c>
      <c r="AM2606">
        <v>702</v>
      </c>
      <c r="AN2606">
        <v>44</v>
      </c>
      <c r="AO2606" t="s">
        <v>78</v>
      </c>
      <c r="AP2606">
        <v>1</v>
      </c>
      <c r="AR2606" t="s">
        <v>2699</v>
      </c>
      <c r="AS2606" s="1">
        <v>44354.28125</v>
      </c>
      <c r="AT2606" s="1">
        <v>44354.286932870367</v>
      </c>
      <c r="AU2606" s="1">
        <v>44354.289826388886</v>
      </c>
      <c r="AV2606" t="s">
        <v>71</v>
      </c>
      <c r="AW2606" t="s">
        <v>72</v>
      </c>
      <c r="AX2606" t="s">
        <v>73</v>
      </c>
    </row>
    <row r="2607" spans="1:50" x14ac:dyDescent="0.3">
      <c r="A2607" t="str">
        <f>"202250C0100"</f>
        <v>202250C0100</v>
      </c>
      <c r="B2607" t="str">
        <f>"202250C01002"</f>
        <v>202250C01002</v>
      </c>
      <c r="C2607" t="str">
        <f t="shared" si="121"/>
        <v>20</v>
      </c>
      <c r="D2607" t="s">
        <v>67</v>
      </c>
      <c r="E2607" t="str">
        <f t="shared" si="120"/>
        <v>011</v>
      </c>
      <c r="F2607" t="s">
        <v>2448</v>
      </c>
      <c r="G2607" t="str">
        <f>"2250"</f>
        <v>2250</v>
      </c>
      <c r="H2607" t="str">
        <f>"0001"</f>
        <v>0001</v>
      </c>
      <c r="I2607" t="s">
        <v>75</v>
      </c>
      <c r="J2607">
        <v>0</v>
      </c>
      <c r="K2607">
        <v>1</v>
      </c>
      <c r="L2607">
        <v>2</v>
      </c>
      <c r="M2607">
        <v>210</v>
      </c>
      <c r="N2607">
        <v>535</v>
      </c>
      <c r="O2607">
        <v>0</v>
      </c>
      <c r="P2607">
        <v>535</v>
      </c>
      <c r="Q2607">
        <v>6</v>
      </c>
      <c r="R2607">
        <v>112</v>
      </c>
      <c r="S2607">
        <v>7</v>
      </c>
      <c r="T2607">
        <v>1</v>
      </c>
      <c r="U2607">
        <v>18</v>
      </c>
      <c r="V2607">
        <v>29</v>
      </c>
      <c r="W2607">
        <v>1</v>
      </c>
      <c r="X2607">
        <v>323</v>
      </c>
      <c r="Y2607">
        <v>23</v>
      </c>
      <c r="Z2607">
        <v>2</v>
      </c>
      <c r="AA2607">
        <v>2</v>
      </c>
      <c r="AB2607">
        <v>2</v>
      </c>
      <c r="AD2607">
        <v>2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8</v>
      </c>
      <c r="AK2607">
        <v>535</v>
      </c>
      <c r="AL2607">
        <v>536</v>
      </c>
      <c r="AM2607">
        <v>701</v>
      </c>
      <c r="AN2607">
        <v>44</v>
      </c>
      <c r="AP2607">
        <v>1</v>
      </c>
      <c r="AR2607" t="s">
        <v>2700</v>
      </c>
      <c r="AS2607" s="1">
        <v>44354.289583333331</v>
      </c>
      <c r="AT2607" s="1">
        <v>44354.294814814813</v>
      </c>
      <c r="AU2607" s="1">
        <v>44354.295474537037</v>
      </c>
      <c r="AV2607" t="s">
        <v>71</v>
      </c>
      <c r="AW2607" t="s">
        <v>72</v>
      </c>
      <c r="AX2607" t="s">
        <v>73</v>
      </c>
    </row>
    <row r="2608" spans="1:50" x14ac:dyDescent="0.3">
      <c r="A2608" t="str">
        <f>"202251B0000"</f>
        <v>202251B0000</v>
      </c>
      <c r="B2608" t="str">
        <f>"202251B00002"</f>
        <v>202251B00002</v>
      </c>
      <c r="C2608" t="str">
        <f t="shared" si="121"/>
        <v>20</v>
      </c>
      <c r="D2608" t="s">
        <v>67</v>
      </c>
      <c r="E2608" t="str">
        <f t="shared" si="120"/>
        <v>011</v>
      </c>
      <c r="F2608" t="s">
        <v>2448</v>
      </c>
      <c r="G2608" t="str">
        <f>"2251"</f>
        <v>2251</v>
      </c>
      <c r="H2608" t="str">
        <f>"0000"</f>
        <v>0000</v>
      </c>
      <c r="I2608" t="s">
        <v>69</v>
      </c>
      <c r="J2608">
        <v>0</v>
      </c>
      <c r="K2608">
        <v>1</v>
      </c>
      <c r="L2608">
        <v>2</v>
      </c>
      <c r="M2608">
        <v>239</v>
      </c>
      <c r="N2608">
        <v>482</v>
      </c>
      <c r="O2608">
        <v>1</v>
      </c>
      <c r="P2608">
        <v>482</v>
      </c>
      <c r="Q2608">
        <v>0</v>
      </c>
      <c r="R2608">
        <v>123</v>
      </c>
      <c r="S2608">
        <v>10</v>
      </c>
      <c r="T2608">
        <v>0</v>
      </c>
      <c r="U2608">
        <v>14</v>
      </c>
      <c r="V2608">
        <v>7</v>
      </c>
      <c r="W2608">
        <v>0</v>
      </c>
      <c r="X2608">
        <v>279</v>
      </c>
      <c r="Y2608">
        <v>31</v>
      </c>
      <c r="Z2608">
        <v>2</v>
      </c>
      <c r="AA2608">
        <v>5</v>
      </c>
      <c r="AB2608">
        <v>5</v>
      </c>
      <c r="AD2608">
        <v>3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3</v>
      </c>
      <c r="AK2608">
        <v>482</v>
      </c>
      <c r="AL2608">
        <v>482</v>
      </c>
      <c r="AM2608">
        <v>677</v>
      </c>
      <c r="AN2608">
        <v>44</v>
      </c>
      <c r="AP2608">
        <v>1</v>
      </c>
      <c r="AR2608" t="s">
        <v>2701</v>
      </c>
      <c r="AS2608" s="1">
        <v>44354.286111111112</v>
      </c>
      <c r="AT2608" s="1">
        <v>44354.29760416667</v>
      </c>
      <c r="AU2608" s="1">
        <v>44354.298773148148</v>
      </c>
      <c r="AV2608" t="s">
        <v>71</v>
      </c>
      <c r="AW2608" t="s">
        <v>72</v>
      </c>
      <c r="AX2608" t="s">
        <v>73</v>
      </c>
    </row>
    <row r="2609" spans="1:50" x14ac:dyDescent="0.3">
      <c r="A2609" t="str">
        <f>"202251C0100"</f>
        <v>202251C0100</v>
      </c>
      <c r="B2609" t="str">
        <f>"202251C01002"</f>
        <v>202251C01002</v>
      </c>
      <c r="C2609" t="str">
        <f t="shared" si="121"/>
        <v>20</v>
      </c>
      <c r="D2609" t="s">
        <v>67</v>
      </c>
      <c r="E2609" t="str">
        <f t="shared" si="120"/>
        <v>011</v>
      </c>
      <c r="F2609" t="s">
        <v>2448</v>
      </c>
      <c r="G2609" t="str">
        <f>"2251"</f>
        <v>2251</v>
      </c>
      <c r="H2609" t="str">
        <f>"0001"</f>
        <v>0001</v>
      </c>
      <c r="I2609" t="s">
        <v>75</v>
      </c>
      <c r="J2609">
        <v>0</v>
      </c>
      <c r="K2609">
        <v>1</v>
      </c>
      <c r="L2609">
        <v>2</v>
      </c>
      <c r="M2609">
        <v>237</v>
      </c>
      <c r="N2609">
        <v>483</v>
      </c>
      <c r="O2609">
        <v>2</v>
      </c>
      <c r="P2609" t="s">
        <v>80</v>
      </c>
      <c r="Q2609">
        <v>3</v>
      </c>
      <c r="R2609">
        <v>91</v>
      </c>
      <c r="S2609">
        <v>4</v>
      </c>
      <c r="T2609">
        <v>6</v>
      </c>
      <c r="U2609">
        <v>21</v>
      </c>
      <c r="V2609">
        <v>14</v>
      </c>
      <c r="W2609">
        <v>1</v>
      </c>
      <c r="X2609">
        <v>301</v>
      </c>
      <c r="Y2609">
        <v>21</v>
      </c>
      <c r="Z2609">
        <v>1</v>
      </c>
      <c r="AA2609">
        <v>1</v>
      </c>
      <c r="AB2609">
        <v>5</v>
      </c>
      <c r="AD2609">
        <v>2</v>
      </c>
      <c r="AE2609">
        <v>1</v>
      </c>
      <c r="AF2609">
        <v>0</v>
      </c>
      <c r="AG2609">
        <v>0</v>
      </c>
      <c r="AH2609">
        <v>0</v>
      </c>
      <c r="AI2609" t="s">
        <v>77</v>
      </c>
      <c r="AJ2609">
        <v>11</v>
      </c>
      <c r="AK2609">
        <v>483</v>
      </c>
      <c r="AL2609">
        <v>483</v>
      </c>
      <c r="AM2609">
        <v>676</v>
      </c>
      <c r="AN2609">
        <v>44</v>
      </c>
      <c r="AO2609" t="s">
        <v>78</v>
      </c>
      <c r="AP2609">
        <v>1</v>
      </c>
      <c r="AR2609" t="s">
        <v>2702</v>
      </c>
      <c r="AS2609" s="1">
        <v>44354.232638888891</v>
      </c>
      <c r="AT2609" s="1">
        <v>44354.240972222222</v>
      </c>
      <c r="AU2609" s="1">
        <v>44354.241527777776</v>
      </c>
      <c r="AV2609" t="s">
        <v>71</v>
      </c>
      <c r="AW2609" t="s">
        <v>72</v>
      </c>
      <c r="AX2609" t="s">
        <v>73</v>
      </c>
    </row>
    <row r="2610" spans="1:50" x14ac:dyDescent="0.3">
      <c r="A2610" t="str">
        <f>"202252B0000"</f>
        <v>202252B0000</v>
      </c>
      <c r="B2610" t="str">
        <f>"202252B00002"</f>
        <v>202252B00002</v>
      </c>
      <c r="C2610" t="str">
        <f t="shared" si="121"/>
        <v>20</v>
      </c>
      <c r="D2610" t="s">
        <v>67</v>
      </c>
      <c r="E2610" t="str">
        <f t="shared" si="120"/>
        <v>011</v>
      </c>
      <c r="F2610" t="s">
        <v>2448</v>
      </c>
      <c r="G2610" t="str">
        <f>"2252"</f>
        <v>2252</v>
      </c>
      <c r="H2610" t="str">
        <f>"0000"</f>
        <v>0000</v>
      </c>
      <c r="I2610" t="s">
        <v>69</v>
      </c>
      <c r="J2610">
        <v>0</v>
      </c>
      <c r="K2610">
        <v>1</v>
      </c>
      <c r="L2610">
        <v>2</v>
      </c>
      <c r="M2610">
        <v>228</v>
      </c>
      <c r="N2610">
        <v>368</v>
      </c>
      <c r="O2610">
        <v>10</v>
      </c>
      <c r="P2610">
        <v>368</v>
      </c>
      <c r="Q2610">
        <v>1</v>
      </c>
      <c r="R2610">
        <v>58</v>
      </c>
      <c r="S2610">
        <v>2</v>
      </c>
      <c r="T2610">
        <v>0</v>
      </c>
      <c r="U2610">
        <v>14</v>
      </c>
      <c r="V2610">
        <v>18</v>
      </c>
      <c r="W2610">
        <v>1</v>
      </c>
      <c r="X2610">
        <v>240</v>
      </c>
      <c r="Y2610">
        <v>16</v>
      </c>
      <c r="Z2610">
        <v>2</v>
      </c>
      <c r="AA2610">
        <v>3</v>
      </c>
      <c r="AB2610">
        <v>6</v>
      </c>
      <c r="AD2610">
        <v>2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5</v>
      </c>
      <c r="AK2610">
        <v>368</v>
      </c>
      <c r="AL2610">
        <v>368</v>
      </c>
      <c r="AM2610">
        <v>552</v>
      </c>
      <c r="AN2610">
        <v>44</v>
      </c>
      <c r="AP2610">
        <v>1</v>
      </c>
      <c r="AR2610" t="s">
        <v>2703</v>
      </c>
      <c r="AS2610" s="1">
        <v>44354.274305555555</v>
      </c>
      <c r="AT2610" s="1">
        <v>44354.278495370374</v>
      </c>
      <c r="AU2610" s="1">
        <v>44354.279166666667</v>
      </c>
      <c r="AV2610" t="s">
        <v>71</v>
      </c>
      <c r="AW2610" t="s">
        <v>72</v>
      </c>
      <c r="AX2610" t="s">
        <v>73</v>
      </c>
    </row>
    <row r="2611" spans="1:50" x14ac:dyDescent="0.3">
      <c r="A2611" t="str">
        <f>"202252C0100"</f>
        <v>202252C0100</v>
      </c>
      <c r="B2611" t="str">
        <f>"202252C01002"</f>
        <v>202252C01002</v>
      </c>
      <c r="C2611" t="str">
        <f t="shared" si="121"/>
        <v>20</v>
      </c>
      <c r="D2611" t="s">
        <v>67</v>
      </c>
      <c r="E2611" t="str">
        <f t="shared" si="120"/>
        <v>011</v>
      </c>
      <c r="F2611" t="s">
        <v>2448</v>
      </c>
      <c r="G2611" t="str">
        <f>"2252"</f>
        <v>2252</v>
      </c>
      <c r="H2611" t="str">
        <f>"0001"</f>
        <v>0001</v>
      </c>
      <c r="I2611" t="s">
        <v>75</v>
      </c>
      <c r="J2611">
        <v>0</v>
      </c>
      <c r="K2611">
        <v>1</v>
      </c>
      <c r="L2611">
        <v>2</v>
      </c>
      <c r="M2611">
        <v>240</v>
      </c>
      <c r="N2611">
        <v>356</v>
      </c>
      <c r="O2611">
        <v>5</v>
      </c>
      <c r="P2611">
        <v>356</v>
      </c>
      <c r="Q2611">
        <v>2</v>
      </c>
      <c r="R2611">
        <v>65</v>
      </c>
      <c r="S2611">
        <v>1</v>
      </c>
      <c r="T2611">
        <v>0</v>
      </c>
      <c r="U2611">
        <v>15</v>
      </c>
      <c r="V2611">
        <v>12</v>
      </c>
      <c r="W2611">
        <v>0</v>
      </c>
      <c r="X2611">
        <v>224</v>
      </c>
      <c r="Y2611">
        <v>19</v>
      </c>
      <c r="Z2611">
        <v>2</v>
      </c>
      <c r="AA2611">
        <v>1</v>
      </c>
      <c r="AB2611">
        <v>10</v>
      </c>
      <c r="AD2611">
        <v>1</v>
      </c>
      <c r="AE2611">
        <v>1</v>
      </c>
      <c r="AF2611">
        <v>0</v>
      </c>
      <c r="AG2611">
        <v>0</v>
      </c>
      <c r="AH2611">
        <v>0</v>
      </c>
      <c r="AI2611">
        <v>0</v>
      </c>
      <c r="AJ2611">
        <v>3</v>
      </c>
      <c r="AK2611">
        <v>356</v>
      </c>
      <c r="AL2611">
        <v>356</v>
      </c>
      <c r="AM2611">
        <v>552</v>
      </c>
      <c r="AN2611">
        <v>44</v>
      </c>
      <c r="AP2611">
        <v>1</v>
      </c>
      <c r="AR2611" t="s">
        <v>2704</v>
      </c>
      <c r="AS2611" s="1">
        <v>44354.232638888891</v>
      </c>
      <c r="AT2611" s="1">
        <v>44354.495567129627</v>
      </c>
      <c r="AU2611" s="1">
        <v>44354.5000462963</v>
      </c>
      <c r="AV2611" t="s">
        <v>71</v>
      </c>
      <c r="AW2611" t="s">
        <v>72</v>
      </c>
      <c r="AX2611" t="s">
        <v>73</v>
      </c>
    </row>
    <row r="2612" spans="1:50" x14ac:dyDescent="0.3">
      <c r="A2612" t="str">
        <f>"202253B0000"</f>
        <v>202253B0000</v>
      </c>
      <c r="B2612" t="str">
        <f>"202253B00002"</f>
        <v>202253B00002</v>
      </c>
      <c r="C2612" t="str">
        <f t="shared" si="121"/>
        <v>20</v>
      </c>
      <c r="D2612" t="s">
        <v>67</v>
      </c>
      <c r="E2612" t="str">
        <f t="shared" ref="E2612:E2621" si="122">"011"</f>
        <v>011</v>
      </c>
      <c r="F2612" t="s">
        <v>2448</v>
      </c>
      <c r="G2612" t="str">
        <f>"2253"</f>
        <v>2253</v>
      </c>
      <c r="H2612" t="str">
        <f>"0000"</f>
        <v>0000</v>
      </c>
      <c r="I2612" t="s">
        <v>69</v>
      </c>
      <c r="J2612">
        <v>0</v>
      </c>
      <c r="K2612">
        <v>1</v>
      </c>
      <c r="L2612">
        <v>2</v>
      </c>
      <c r="M2612">
        <v>205</v>
      </c>
      <c r="N2612">
        <v>403</v>
      </c>
      <c r="O2612">
        <v>2</v>
      </c>
      <c r="P2612">
        <v>403</v>
      </c>
      <c r="Q2612">
        <v>1</v>
      </c>
      <c r="R2612">
        <v>43</v>
      </c>
      <c r="S2612">
        <v>2</v>
      </c>
      <c r="T2612">
        <v>2</v>
      </c>
      <c r="U2612">
        <v>8</v>
      </c>
      <c r="V2612">
        <v>44</v>
      </c>
      <c r="W2612">
        <v>0</v>
      </c>
      <c r="X2612">
        <v>256</v>
      </c>
      <c r="Y2612">
        <v>19</v>
      </c>
      <c r="Z2612">
        <v>0</v>
      </c>
      <c r="AA2612">
        <v>3</v>
      </c>
      <c r="AB2612">
        <v>13</v>
      </c>
      <c r="AD2612">
        <v>5</v>
      </c>
      <c r="AE2612">
        <v>1</v>
      </c>
      <c r="AF2612">
        <v>0</v>
      </c>
      <c r="AG2612">
        <v>0</v>
      </c>
      <c r="AH2612">
        <v>0</v>
      </c>
      <c r="AI2612">
        <v>0</v>
      </c>
      <c r="AJ2612">
        <v>6</v>
      </c>
      <c r="AK2612">
        <v>403</v>
      </c>
      <c r="AL2612">
        <v>403</v>
      </c>
      <c r="AM2612">
        <v>564</v>
      </c>
      <c r="AN2612">
        <v>44</v>
      </c>
      <c r="AP2612">
        <v>1</v>
      </c>
      <c r="AR2612" t="s">
        <v>2705</v>
      </c>
      <c r="AS2612" s="1">
        <v>44354.250694444447</v>
      </c>
      <c r="AT2612" s="1">
        <v>44354.256319444445</v>
      </c>
      <c r="AU2612" s="1">
        <v>44354.256979166668</v>
      </c>
      <c r="AV2612" t="s">
        <v>71</v>
      </c>
      <c r="AW2612" t="s">
        <v>72</v>
      </c>
      <c r="AX2612" t="s">
        <v>73</v>
      </c>
    </row>
    <row r="2613" spans="1:50" x14ac:dyDescent="0.3">
      <c r="A2613" t="str">
        <f>"202253C0100"</f>
        <v>202253C0100</v>
      </c>
      <c r="B2613" t="str">
        <f>"202253C01002"</f>
        <v>202253C01002</v>
      </c>
      <c r="C2613" t="str">
        <f t="shared" si="121"/>
        <v>20</v>
      </c>
      <c r="D2613" t="s">
        <v>67</v>
      </c>
      <c r="E2613" t="str">
        <f t="shared" si="122"/>
        <v>011</v>
      </c>
      <c r="F2613" t="s">
        <v>2448</v>
      </c>
      <c r="G2613" t="str">
        <f>"2253"</f>
        <v>2253</v>
      </c>
      <c r="H2613" t="str">
        <f>"0001"</f>
        <v>0001</v>
      </c>
      <c r="I2613" t="s">
        <v>75</v>
      </c>
      <c r="J2613">
        <v>0</v>
      </c>
      <c r="K2613">
        <v>1</v>
      </c>
      <c r="L2613">
        <v>2</v>
      </c>
      <c r="M2613">
        <v>196</v>
      </c>
      <c r="N2613">
        <v>411</v>
      </c>
      <c r="O2613">
        <v>3</v>
      </c>
      <c r="P2613">
        <v>411</v>
      </c>
      <c r="Q2613">
        <v>5</v>
      </c>
      <c r="R2613">
        <v>54</v>
      </c>
      <c r="S2613">
        <v>4</v>
      </c>
      <c r="T2613">
        <v>3</v>
      </c>
      <c r="U2613">
        <v>14</v>
      </c>
      <c r="V2613">
        <v>39</v>
      </c>
      <c r="W2613">
        <v>1</v>
      </c>
      <c r="X2613">
        <v>223</v>
      </c>
      <c r="Y2613">
        <v>25</v>
      </c>
      <c r="Z2613">
        <v>2</v>
      </c>
      <c r="AA2613">
        <v>0</v>
      </c>
      <c r="AB2613">
        <v>23</v>
      </c>
      <c r="AD2613">
        <v>4</v>
      </c>
      <c r="AE2613" t="s">
        <v>77</v>
      </c>
      <c r="AF2613" t="s">
        <v>77</v>
      </c>
      <c r="AG2613" t="s">
        <v>77</v>
      </c>
      <c r="AH2613" t="s">
        <v>77</v>
      </c>
      <c r="AI2613">
        <v>1</v>
      </c>
      <c r="AJ2613">
        <v>13</v>
      </c>
      <c r="AK2613">
        <v>411</v>
      </c>
      <c r="AL2613">
        <v>411</v>
      </c>
      <c r="AM2613">
        <v>563</v>
      </c>
      <c r="AN2613">
        <v>44</v>
      </c>
      <c r="AO2613" t="s">
        <v>78</v>
      </c>
      <c r="AP2613">
        <v>1</v>
      </c>
      <c r="AR2613" t="s">
        <v>2706</v>
      </c>
      <c r="AS2613" s="1">
        <v>44354.250694444447</v>
      </c>
      <c r="AT2613" s="1">
        <v>44354.256608796299</v>
      </c>
      <c r="AU2613" s="1">
        <v>44354.25712962963</v>
      </c>
      <c r="AV2613" t="s">
        <v>71</v>
      </c>
      <c r="AW2613" t="s">
        <v>72</v>
      </c>
      <c r="AX2613" t="s">
        <v>73</v>
      </c>
    </row>
    <row r="2614" spans="1:50" x14ac:dyDescent="0.3">
      <c r="A2614" t="str">
        <f>"202253E0100"</f>
        <v>202253E0100</v>
      </c>
      <c r="B2614" t="str">
        <f>"202253E01002"</f>
        <v>202253E01002</v>
      </c>
      <c r="C2614" t="str">
        <f t="shared" si="121"/>
        <v>20</v>
      </c>
      <c r="D2614" t="s">
        <v>67</v>
      </c>
      <c r="E2614" t="str">
        <f t="shared" si="122"/>
        <v>011</v>
      </c>
      <c r="F2614" t="s">
        <v>2448</v>
      </c>
      <c r="G2614" t="str">
        <f>"2253"</f>
        <v>2253</v>
      </c>
      <c r="H2614" t="str">
        <f>"0001"</f>
        <v>0001</v>
      </c>
      <c r="I2614" t="s">
        <v>109</v>
      </c>
      <c r="J2614">
        <v>0</v>
      </c>
      <c r="K2614">
        <v>1</v>
      </c>
      <c r="L2614">
        <v>2</v>
      </c>
      <c r="M2614">
        <v>149</v>
      </c>
      <c r="N2614">
        <v>150</v>
      </c>
      <c r="O2614">
        <v>3</v>
      </c>
      <c r="P2614">
        <v>153</v>
      </c>
      <c r="Q2614" t="s">
        <v>77</v>
      </c>
      <c r="R2614">
        <v>16</v>
      </c>
      <c r="S2614" t="s">
        <v>77</v>
      </c>
      <c r="T2614">
        <v>1</v>
      </c>
      <c r="U2614">
        <v>1</v>
      </c>
      <c r="V2614">
        <v>5</v>
      </c>
      <c r="W2614" t="s">
        <v>77</v>
      </c>
      <c r="X2614">
        <v>106</v>
      </c>
      <c r="Y2614">
        <v>15</v>
      </c>
      <c r="Z2614" t="s">
        <v>77</v>
      </c>
      <c r="AA2614">
        <v>2</v>
      </c>
      <c r="AB2614">
        <v>2</v>
      </c>
      <c r="AD2614" t="s">
        <v>77</v>
      </c>
      <c r="AE2614" t="s">
        <v>77</v>
      </c>
      <c r="AF2614" t="s">
        <v>77</v>
      </c>
      <c r="AG2614" t="s">
        <v>77</v>
      </c>
      <c r="AH2614" t="s">
        <v>77</v>
      </c>
      <c r="AI2614" t="s">
        <v>77</v>
      </c>
      <c r="AJ2614" t="s">
        <v>77</v>
      </c>
      <c r="AK2614">
        <v>153</v>
      </c>
      <c r="AL2614">
        <v>148</v>
      </c>
      <c r="AM2614">
        <v>259</v>
      </c>
      <c r="AN2614">
        <v>44</v>
      </c>
      <c r="AO2614" t="s">
        <v>78</v>
      </c>
      <c r="AP2614">
        <v>1</v>
      </c>
      <c r="AR2614" t="s">
        <v>2707</v>
      </c>
      <c r="AS2614" s="1">
        <v>44354.172222222223</v>
      </c>
      <c r="AT2614" s="1">
        <v>44354.175358796296</v>
      </c>
      <c r="AU2614" s="1">
        <v>44354.176504629628</v>
      </c>
      <c r="AV2614" t="s">
        <v>71</v>
      </c>
      <c r="AW2614" t="s">
        <v>72</v>
      </c>
      <c r="AX2614" t="s">
        <v>73</v>
      </c>
    </row>
    <row r="2615" spans="1:50" x14ac:dyDescent="0.3">
      <c r="A2615" t="str">
        <f>"202254B0000"</f>
        <v>202254B0000</v>
      </c>
      <c r="B2615" t="str">
        <f>"202254B00002"</f>
        <v>202254B00002</v>
      </c>
      <c r="C2615" t="str">
        <f t="shared" si="121"/>
        <v>20</v>
      </c>
      <c r="D2615" t="s">
        <v>67</v>
      </c>
      <c r="E2615" t="str">
        <f t="shared" si="122"/>
        <v>011</v>
      </c>
      <c r="F2615" t="s">
        <v>2448</v>
      </c>
      <c r="G2615" t="str">
        <f>"2254"</f>
        <v>2254</v>
      </c>
      <c r="H2615" t="str">
        <f>"0000"</f>
        <v>0000</v>
      </c>
      <c r="I2615" t="s">
        <v>69</v>
      </c>
      <c r="J2615">
        <v>0</v>
      </c>
      <c r="K2615">
        <v>1</v>
      </c>
      <c r="L2615">
        <v>2</v>
      </c>
      <c r="M2615">
        <v>225</v>
      </c>
      <c r="N2615">
        <v>646</v>
      </c>
      <c r="O2615">
        <v>0</v>
      </c>
      <c r="P2615">
        <v>421</v>
      </c>
      <c r="Q2615">
        <v>7</v>
      </c>
      <c r="R2615">
        <v>82</v>
      </c>
      <c r="S2615">
        <v>7</v>
      </c>
      <c r="T2615">
        <v>3</v>
      </c>
      <c r="U2615">
        <v>6</v>
      </c>
      <c r="V2615">
        <v>40</v>
      </c>
      <c r="W2615">
        <v>1</v>
      </c>
      <c r="X2615">
        <v>228</v>
      </c>
      <c r="Y2615">
        <v>26</v>
      </c>
      <c r="Z2615">
        <v>2</v>
      </c>
      <c r="AA2615">
        <v>1</v>
      </c>
      <c r="AB2615">
        <v>4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14</v>
      </c>
      <c r="AK2615">
        <v>421</v>
      </c>
      <c r="AL2615">
        <v>421</v>
      </c>
      <c r="AM2615">
        <v>602</v>
      </c>
      <c r="AN2615">
        <v>44</v>
      </c>
      <c r="AP2615">
        <v>1</v>
      </c>
      <c r="AR2615" t="s">
        <v>2708</v>
      </c>
      <c r="AS2615" s="1">
        <v>44354.209722222222</v>
      </c>
      <c r="AT2615" s="1">
        <v>44354.213726851849</v>
      </c>
      <c r="AU2615" s="1">
        <v>44354.214409722219</v>
      </c>
      <c r="AV2615" t="s">
        <v>71</v>
      </c>
      <c r="AW2615" t="s">
        <v>72</v>
      </c>
      <c r="AX2615" t="s">
        <v>73</v>
      </c>
    </row>
    <row r="2616" spans="1:50" x14ac:dyDescent="0.3">
      <c r="A2616" t="str">
        <f>"202255B0000"</f>
        <v>202255B0000</v>
      </c>
      <c r="B2616" t="str">
        <f>"202255B00002"</f>
        <v>202255B00002</v>
      </c>
      <c r="C2616" t="str">
        <f t="shared" si="121"/>
        <v>20</v>
      </c>
      <c r="D2616" t="s">
        <v>67</v>
      </c>
      <c r="E2616" t="str">
        <f t="shared" si="122"/>
        <v>011</v>
      </c>
      <c r="F2616" t="s">
        <v>2448</v>
      </c>
      <c r="G2616" t="str">
        <f>"2255"</f>
        <v>2255</v>
      </c>
      <c r="H2616" t="str">
        <f>"0000"</f>
        <v>0000</v>
      </c>
      <c r="I2616" t="s">
        <v>69</v>
      </c>
      <c r="J2616">
        <v>0</v>
      </c>
      <c r="K2616">
        <v>1</v>
      </c>
      <c r="L2616">
        <v>2</v>
      </c>
      <c r="M2616">
        <v>194</v>
      </c>
      <c r="N2616">
        <v>317</v>
      </c>
      <c r="O2616">
        <v>0</v>
      </c>
      <c r="P2616">
        <v>317</v>
      </c>
      <c r="Q2616">
        <v>2</v>
      </c>
      <c r="R2616">
        <v>54</v>
      </c>
      <c r="S2616">
        <v>2</v>
      </c>
      <c r="T2616">
        <v>0</v>
      </c>
      <c r="U2616">
        <v>3</v>
      </c>
      <c r="V2616">
        <v>13</v>
      </c>
      <c r="W2616">
        <v>0</v>
      </c>
      <c r="X2616">
        <v>209</v>
      </c>
      <c r="Y2616">
        <v>31</v>
      </c>
      <c r="Z2616">
        <v>1</v>
      </c>
      <c r="AA2616">
        <v>0</v>
      </c>
      <c r="AB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2</v>
      </c>
      <c r="AK2616">
        <v>317</v>
      </c>
      <c r="AL2616">
        <v>317</v>
      </c>
      <c r="AM2616">
        <v>467</v>
      </c>
      <c r="AN2616">
        <v>44</v>
      </c>
      <c r="AP2616">
        <v>1</v>
      </c>
      <c r="AR2616" t="s">
        <v>2709</v>
      </c>
      <c r="AS2616" s="1">
        <v>44354.227777777778</v>
      </c>
      <c r="AT2616" s="1">
        <v>44354.235925925925</v>
      </c>
      <c r="AU2616" s="1">
        <v>44354.236689814818</v>
      </c>
      <c r="AV2616" t="s">
        <v>71</v>
      </c>
      <c r="AW2616" t="s">
        <v>72</v>
      </c>
      <c r="AX2616" t="s">
        <v>73</v>
      </c>
    </row>
    <row r="2617" spans="1:50" x14ac:dyDescent="0.3">
      <c r="A2617" t="str">
        <f>"202255C0100"</f>
        <v>202255C0100</v>
      </c>
      <c r="B2617" t="str">
        <f>"202255C01002"</f>
        <v>202255C01002</v>
      </c>
      <c r="C2617" t="str">
        <f t="shared" si="121"/>
        <v>20</v>
      </c>
      <c r="D2617" t="s">
        <v>67</v>
      </c>
      <c r="E2617" t="str">
        <f t="shared" si="122"/>
        <v>011</v>
      </c>
      <c r="F2617" t="s">
        <v>2448</v>
      </c>
      <c r="G2617" t="str">
        <f>"2255"</f>
        <v>2255</v>
      </c>
      <c r="H2617" t="str">
        <f>"0001"</f>
        <v>0001</v>
      </c>
      <c r="I2617" t="s">
        <v>75</v>
      </c>
      <c r="J2617">
        <v>0</v>
      </c>
      <c r="K2617">
        <v>1</v>
      </c>
      <c r="L2617">
        <v>2</v>
      </c>
      <c r="M2617">
        <v>213</v>
      </c>
      <c r="N2617">
        <v>297</v>
      </c>
      <c r="O2617">
        <v>0</v>
      </c>
      <c r="P2617">
        <v>297</v>
      </c>
      <c r="Q2617">
        <v>3</v>
      </c>
      <c r="R2617">
        <v>51</v>
      </c>
      <c r="S2617">
        <v>5</v>
      </c>
      <c r="T2617">
        <v>2</v>
      </c>
      <c r="U2617">
        <v>1</v>
      </c>
      <c r="V2617">
        <v>21</v>
      </c>
      <c r="W2617">
        <v>0</v>
      </c>
      <c r="X2617">
        <v>182</v>
      </c>
      <c r="Y2617">
        <v>22</v>
      </c>
      <c r="Z2617">
        <v>2</v>
      </c>
      <c r="AA2617">
        <v>1</v>
      </c>
      <c r="AB2617">
        <v>3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4</v>
      </c>
      <c r="AK2617">
        <v>297</v>
      </c>
      <c r="AL2617">
        <v>297</v>
      </c>
      <c r="AM2617">
        <v>466</v>
      </c>
      <c r="AN2617">
        <v>44</v>
      </c>
      <c r="AP2617">
        <v>1</v>
      </c>
      <c r="AR2617" t="s">
        <v>2710</v>
      </c>
      <c r="AS2617" s="1">
        <v>44354.225694444445</v>
      </c>
      <c r="AT2617" s="1">
        <v>44354.232511574075</v>
      </c>
      <c r="AU2617" s="1">
        <v>44354.233194444445</v>
      </c>
      <c r="AV2617" t="s">
        <v>71</v>
      </c>
      <c r="AW2617" t="s">
        <v>72</v>
      </c>
      <c r="AX2617" t="s">
        <v>73</v>
      </c>
    </row>
    <row r="2618" spans="1:50" x14ac:dyDescent="0.3">
      <c r="A2618" t="str">
        <f>"202256B0000"</f>
        <v>202256B0000</v>
      </c>
      <c r="B2618" t="str">
        <f>"202256B00002"</f>
        <v>202256B00002</v>
      </c>
      <c r="C2618" t="str">
        <f t="shared" si="121"/>
        <v>20</v>
      </c>
      <c r="D2618" t="s">
        <v>67</v>
      </c>
      <c r="E2618" t="str">
        <f t="shared" si="122"/>
        <v>011</v>
      </c>
      <c r="F2618" t="s">
        <v>2448</v>
      </c>
      <c r="G2618" t="str">
        <f>"2256"</f>
        <v>2256</v>
      </c>
      <c r="H2618" t="str">
        <f>"0000"</f>
        <v>0000</v>
      </c>
      <c r="I2618" t="s">
        <v>69</v>
      </c>
      <c r="J2618">
        <v>0</v>
      </c>
      <c r="K2618">
        <v>1</v>
      </c>
      <c r="L2618">
        <v>2</v>
      </c>
      <c r="M2618">
        <v>75</v>
      </c>
      <c r="N2618">
        <v>89</v>
      </c>
      <c r="O2618">
        <v>1</v>
      </c>
      <c r="P2618">
        <v>89</v>
      </c>
      <c r="Q2618">
        <v>0</v>
      </c>
      <c r="R2618">
        <v>10</v>
      </c>
      <c r="S2618">
        <v>0</v>
      </c>
      <c r="T2618">
        <v>0</v>
      </c>
      <c r="U2618">
        <v>0</v>
      </c>
      <c r="V2618">
        <v>1</v>
      </c>
      <c r="W2618">
        <v>0</v>
      </c>
      <c r="X2618">
        <v>71</v>
      </c>
      <c r="Y2618">
        <v>5</v>
      </c>
      <c r="Z2618">
        <v>0</v>
      </c>
      <c r="AA2618">
        <v>0</v>
      </c>
      <c r="AB2618">
        <v>0</v>
      </c>
      <c r="AD2618">
        <v>1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89</v>
      </c>
      <c r="AL2618">
        <v>88</v>
      </c>
      <c r="AM2618">
        <v>120</v>
      </c>
      <c r="AN2618">
        <v>44</v>
      </c>
      <c r="AP2618">
        <v>1</v>
      </c>
      <c r="AR2618" t="s">
        <v>2711</v>
      </c>
      <c r="AS2618" s="1">
        <v>44354.288888888892</v>
      </c>
      <c r="AT2618" s="1">
        <v>44354.295324074075</v>
      </c>
      <c r="AU2618" s="1">
        <v>44354.295844907407</v>
      </c>
      <c r="AV2618" t="s">
        <v>71</v>
      </c>
      <c r="AW2618" t="s">
        <v>72</v>
      </c>
      <c r="AX2618" t="s">
        <v>73</v>
      </c>
    </row>
    <row r="2619" spans="1:50" x14ac:dyDescent="0.3">
      <c r="A2619" t="str">
        <f>"202257B0000"</f>
        <v>202257B0000</v>
      </c>
      <c r="B2619" t="str">
        <f>"202257B00002"</f>
        <v>202257B00002</v>
      </c>
      <c r="C2619" t="str">
        <f t="shared" si="121"/>
        <v>20</v>
      </c>
      <c r="D2619" t="s">
        <v>67</v>
      </c>
      <c r="E2619" t="str">
        <f t="shared" si="122"/>
        <v>011</v>
      </c>
      <c r="F2619" t="s">
        <v>2448</v>
      </c>
      <c r="G2619" t="str">
        <f>"2257"</f>
        <v>2257</v>
      </c>
      <c r="H2619" t="str">
        <f>"0000"</f>
        <v>0000</v>
      </c>
      <c r="I2619" t="s">
        <v>69</v>
      </c>
      <c r="J2619">
        <v>0</v>
      </c>
      <c r="K2619">
        <v>1</v>
      </c>
      <c r="L2619">
        <v>2</v>
      </c>
      <c r="M2619">
        <v>205</v>
      </c>
      <c r="N2619">
        <v>256</v>
      </c>
      <c r="O2619">
        <v>0</v>
      </c>
      <c r="P2619" t="s">
        <v>80</v>
      </c>
      <c r="Q2619">
        <v>7</v>
      </c>
      <c r="R2619">
        <v>66</v>
      </c>
      <c r="S2619">
        <v>2</v>
      </c>
      <c r="T2619">
        <v>2</v>
      </c>
      <c r="U2619">
        <v>1</v>
      </c>
      <c r="V2619">
        <v>6</v>
      </c>
      <c r="W2619">
        <v>0</v>
      </c>
      <c r="X2619">
        <v>141</v>
      </c>
      <c r="Y2619">
        <v>19</v>
      </c>
      <c r="Z2619">
        <v>4</v>
      </c>
      <c r="AA2619">
        <v>0</v>
      </c>
      <c r="AB2619">
        <v>0</v>
      </c>
      <c r="AD2619">
        <v>4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4</v>
      </c>
      <c r="AK2619">
        <v>256</v>
      </c>
      <c r="AL2619">
        <v>256</v>
      </c>
      <c r="AM2619">
        <v>417</v>
      </c>
      <c r="AN2619">
        <v>44</v>
      </c>
      <c r="AP2619">
        <v>1</v>
      </c>
      <c r="AR2619" t="s">
        <v>2712</v>
      </c>
      <c r="AS2619" s="1">
        <v>44354.289583333331</v>
      </c>
      <c r="AT2619" s="1">
        <v>44354.294814814813</v>
      </c>
      <c r="AU2619" s="1">
        <v>44354.295219907406</v>
      </c>
      <c r="AV2619" t="s">
        <v>71</v>
      </c>
      <c r="AW2619" t="s">
        <v>72</v>
      </c>
      <c r="AX2619" t="s">
        <v>73</v>
      </c>
    </row>
    <row r="2620" spans="1:50" x14ac:dyDescent="0.3">
      <c r="A2620" t="str">
        <f>"202257C0100"</f>
        <v>202257C0100</v>
      </c>
      <c r="B2620" t="str">
        <f>"202257C01002"</f>
        <v>202257C01002</v>
      </c>
      <c r="C2620" t="str">
        <f t="shared" si="121"/>
        <v>20</v>
      </c>
      <c r="D2620" t="s">
        <v>67</v>
      </c>
      <c r="E2620" t="str">
        <f t="shared" si="122"/>
        <v>011</v>
      </c>
      <c r="F2620" t="s">
        <v>2448</v>
      </c>
      <c r="G2620" t="str">
        <f>"2257"</f>
        <v>2257</v>
      </c>
      <c r="H2620" t="str">
        <f>"0001"</f>
        <v>0001</v>
      </c>
      <c r="I2620" t="s">
        <v>75</v>
      </c>
      <c r="J2620">
        <v>0</v>
      </c>
      <c r="K2620">
        <v>1</v>
      </c>
      <c r="L2620">
        <v>2</v>
      </c>
      <c r="M2620">
        <v>191</v>
      </c>
      <c r="N2620">
        <v>269</v>
      </c>
      <c r="O2620">
        <v>1</v>
      </c>
      <c r="P2620">
        <v>269</v>
      </c>
      <c r="Q2620">
        <v>1</v>
      </c>
      <c r="R2620">
        <v>66</v>
      </c>
      <c r="S2620">
        <v>2</v>
      </c>
      <c r="T2620">
        <v>3</v>
      </c>
      <c r="U2620">
        <v>2</v>
      </c>
      <c r="V2620">
        <v>6</v>
      </c>
      <c r="W2620">
        <v>3</v>
      </c>
      <c r="X2620">
        <v>144</v>
      </c>
      <c r="Y2620">
        <v>26</v>
      </c>
      <c r="Z2620">
        <v>3</v>
      </c>
      <c r="AA2620">
        <v>2</v>
      </c>
      <c r="AB2620">
        <v>0</v>
      </c>
      <c r="AD2620">
        <v>2</v>
      </c>
      <c r="AE2620">
        <v>0</v>
      </c>
      <c r="AF2620">
        <v>0</v>
      </c>
      <c r="AG2620">
        <v>1</v>
      </c>
      <c r="AH2620">
        <v>0</v>
      </c>
      <c r="AI2620">
        <v>0</v>
      </c>
      <c r="AJ2620">
        <v>8</v>
      </c>
      <c r="AK2620">
        <v>268</v>
      </c>
      <c r="AL2620">
        <v>269</v>
      </c>
      <c r="AM2620">
        <v>416</v>
      </c>
      <c r="AN2620">
        <v>44</v>
      </c>
      <c r="AP2620">
        <v>1</v>
      </c>
      <c r="AR2620" t="s">
        <v>2713</v>
      </c>
      <c r="AS2620" s="1">
        <v>44354.227777777778</v>
      </c>
      <c r="AT2620" s="1">
        <v>44354.24287037037</v>
      </c>
      <c r="AU2620" s="1">
        <v>44354.243761574071</v>
      </c>
      <c r="AV2620" t="s">
        <v>71</v>
      </c>
      <c r="AW2620" t="s">
        <v>72</v>
      </c>
      <c r="AX2620" t="s">
        <v>73</v>
      </c>
    </row>
    <row r="2621" spans="1:50" x14ac:dyDescent="0.3">
      <c r="A2621" t="str">
        <f>"202257E0100"</f>
        <v>202257E0100</v>
      </c>
      <c r="B2621" t="str">
        <f>"202257E01002"</f>
        <v>202257E01002</v>
      </c>
      <c r="C2621" t="str">
        <f t="shared" si="121"/>
        <v>20</v>
      </c>
      <c r="D2621" t="s">
        <v>67</v>
      </c>
      <c r="E2621" t="str">
        <f t="shared" si="122"/>
        <v>011</v>
      </c>
      <c r="F2621" t="s">
        <v>2448</v>
      </c>
      <c r="G2621" t="str">
        <f>"2257"</f>
        <v>2257</v>
      </c>
      <c r="H2621" t="str">
        <f>"0001"</f>
        <v>0001</v>
      </c>
      <c r="I2621" t="s">
        <v>109</v>
      </c>
      <c r="J2621">
        <v>0</v>
      </c>
      <c r="K2621">
        <v>1</v>
      </c>
      <c r="L2621">
        <v>2</v>
      </c>
      <c r="M2621">
        <v>134</v>
      </c>
      <c r="N2621">
        <v>239</v>
      </c>
      <c r="O2621">
        <v>3</v>
      </c>
      <c r="P2621">
        <v>239</v>
      </c>
      <c r="Q2621">
        <v>6</v>
      </c>
      <c r="R2621">
        <v>49</v>
      </c>
      <c r="S2621">
        <v>3</v>
      </c>
      <c r="T2621">
        <v>5</v>
      </c>
      <c r="U2621">
        <v>6</v>
      </c>
      <c r="V2621">
        <v>7</v>
      </c>
      <c r="W2621">
        <v>1</v>
      </c>
      <c r="X2621">
        <v>126</v>
      </c>
      <c r="Y2621">
        <v>25</v>
      </c>
      <c r="Z2621">
        <v>3</v>
      </c>
      <c r="AA2621">
        <v>1</v>
      </c>
      <c r="AB2621">
        <v>1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6</v>
      </c>
      <c r="AK2621">
        <v>239</v>
      </c>
      <c r="AL2621">
        <v>239</v>
      </c>
      <c r="AM2621">
        <v>329</v>
      </c>
      <c r="AN2621">
        <v>44</v>
      </c>
      <c r="AP2621">
        <v>1</v>
      </c>
      <c r="AR2621" t="s">
        <v>2714</v>
      </c>
      <c r="AS2621" s="1">
        <v>44354.232638888891</v>
      </c>
      <c r="AT2621" s="1">
        <v>44354.239444444444</v>
      </c>
      <c r="AU2621" s="1">
        <v>44354.240011574075</v>
      </c>
      <c r="AV2621" t="s">
        <v>71</v>
      </c>
      <c r="AW2621" t="s">
        <v>72</v>
      </c>
      <c r="AX2621" t="s">
        <v>73</v>
      </c>
    </row>
    <row r="2622" spans="1:50" x14ac:dyDescent="0.3">
      <c r="A2622" t="str">
        <f>"200192B0000"</f>
        <v>200192B0000</v>
      </c>
      <c r="B2622" t="str">
        <f>"200192B00002"</f>
        <v>200192B00002</v>
      </c>
      <c r="C2622" t="str">
        <f t="shared" si="121"/>
        <v>20</v>
      </c>
      <c r="D2622" t="s">
        <v>67</v>
      </c>
      <c r="E2622" t="str">
        <f t="shared" ref="E2622:E2653" si="123">"012"</f>
        <v>012</v>
      </c>
      <c r="F2622" t="s">
        <v>2715</v>
      </c>
      <c r="G2622" t="str">
        <f>"0192"</f>
        <v>0192</v>
      </c>
      <c r="H2622" t="str">
        <f>"0000"</f>
        <v>0000</v>
      </c>
      <c r="I2622" t="s">
        <v>69</v>
      </c>
      <c r="J2622">
        <v>0</v>
      </c>
      <c r="K2622">
        <v>1</v>
      </c>
      <c r="L2622">
        <v>2</v>
      </c>
      <c r="M2622">
        <v>538</v>
      </c>
      <c r="N2622">
        <v>231</v>
      </c>
      <c r="O2622">
        <v>7</v>
      </c>
      <c r="P2622">
        <v>231</v>
      </c>
      <c r="Q2622">
        <v>9</v>
      </c>
      <c r="R2622">
        <v>34</v>
      </c>
      <c r="S2622">
        <v>3</v>
      </c>
      <c r="T2622">
        <v>3</v>
      </c>
      <c r="U2622">
        <v>6</v>
      </c>
      <c r="V2622">
        <v>4</v>
      </c>
      <c r="W2622">
        <v>5</v>
      </c>
      <c r="X2622">
        <v>136</v>
      </c>
      <c r="Y2622">
        <v>8</v>
      </c>
      <c r="Z2622">
        <v>0</v>
      </c>
      <c r="AA2622">
        <v>4</v>
      </c>
      <c r="AB2622">
        <v>14</v>
      </c>
      <c r="AD2622">
        <v>0</v>
      </c>
      <c r="AE2622">
        <v>0</v>
      </c>
      <c r="AF2622">
        <v>0</v>
      </c>
      <c r="AG2622">
        <v>0</v>
      </c>
      <c r="AI2622">
        <v>0</v>
      </c>
      <c r="AJ2622">
        <v>5</v>
      </c>
      <c r="AK2622">
        <v>231</v>
      </c>
      <c r="AL2622">
        <v>231</v>
      </c>
      <c r="AM2622">
        <v>725</v>
      </c>
      <c r="AN2622">
        <v>44</v>
      </c>
      <c r="AP2622">
        <v>1</v>
      </c>
      <c r="AR2622" t="s">
        <v>2716</v>
      </c>
      <c r="AS2622" s="1">
        <v>44353.81527777778</v>
      </c>
      <c r="AT2622" s="1">
        <v>44354.260740740741</v>
      </c>
      <c r="AU2622" s="1">
        <v>44354.261319444442</v>
      </c>
      <c r="AV2622" t="s">
        <v>71</v>
      </c>
      <c r="AW2622" t="s">
        <v>72</v>
      </c>
      <c r="AX2622" t="s">
        <v>347</v>
      </c>
    </row>
    <row r="2623" spans="1:50" x14ac:dyDescent="0.3">
      <c r="A2623" t="str">
        <f>"200192C0100"</f>
        <v>200192C0100</v>
      </c>
      <c r="B2623" t="str">
        <f>"200192C01002"</f>
        <v>200192C01002</v>
      </c>
      <c r="C2623" t="str">
        <f t="shared" si="121"/>
        <v>20</v>
      </c>
      <c r="D2623" t="s">
        <v>67</v>
      </c>
      <c r="E2623" t="str">
        <f t="shared" si="123"/>
        <v>012</v>
      </c>
      <c r="F2623" t="s">
        <v>2715</v>
      </c>
      <c r="G2623" t="str">
        <f>"0192"</f>
        <v>0192</v>
      </c>
      <c r="H2623" t="str">
        <f>"0001"</f>
        <v>0001</v>
      </c>
      <c r="I2623" t="s">
        <v>75</v>
      </c>
      <c r="J2623">
        <v>0</v>
      </c>
      <c r="K2623">
        <v>1</v>
      </c>
      <c r="L2623">
        <v>2</v>
      </c>
      <c r="M2623">
        <v>531</v>
      </c>
      <c r="N2623">
        <v>238</v>
      </c>
      <c r="O2623">
        <v>0</v>
      </c>
      <c r="P2623">
        <v>238</v>
      </c>
      <c r="Q2623">
        <v>10</v>
      </c>
      <c r="R2623">
        <v>24</v>
      </c>
      <c r="S2623">
        <v>4</v>
      </c>
      <c r="T2623">
        <v>5</v>
      </c>
      <c r="U2623">
        <v>11</v>
      </c>
      <c r="V2623">
        <v>3</v>
      </c>
      <c r="W2623">
        <v>2</v>
      </c>
      <c r="X2623">
        <v>155</v>
      </c>
      <c r="Y2623">
        <v>7</v>
      </c>
      <c r="Z2623">
        <v>3</v>
      </c>
      <c r="AA2623">
        <v>0</v>
      </c>
      <c r="AB2623">
        <v>5</v>
      </c>
      <c r="AD2623">
        <v>1</v>
      </c>
      <c r="AE2623">
        <v>1</v>
      </c>
      <c r="AF2623">
        <v>0</v>
      </c>
      <c r="AG2623">
        <v>0</v>
      </c>
      <c r="AI2623">
        <v>0</v>
      </c>
      <c r="AJ2623">
        <v>7</v>
      </c>
      <c r="AK2623">
        <v>238</v>
      </c>
      <c r="AL2623">
        <v>238</v>
      </c>
      <c r="AM2623">
        <v>725</v>
      </c>
      <c r="AN2623">
        <v>44</v>
      </c>
      <c r="AP2623">
        <v>1</v>
      </c>
      <c r="AR2623" t="s">
        <v>2717</v>
      </c>
      <c r="AS2623" s="1">
        <v>44354.25277777778</v>
      </c>
      <c r="AT2623" s="1">
        <v>44354.254513888889</v>
      </c>
      <c r="AU2623" s="1">
        <v>44354.255335648151</v>
      </c>
      <c r="AV2623" t="s">
        <v>71</v>
      </c>
      <c r="AW2623" t="s">
        <v>72</v>
      </c>
      <c r="AX2623" t="s">
        <v>347</v>
      </c>
    </row>
    <row r="2624" spans="1:50" x14ac:dyDescent="0.3">
      <c r="A2624" t="str">
        <f>"200192C0200"</f>
        <v>200192C0200</v>
      </c>
      <c r="B2624" t="str">
        <f>"200192C02002"</f>
        <v>200192C02002</v>
      </c>
      <c r="C2624" t="str">
        <f t="shared" si="121"/>
        <v>20</v>
      </c>
      <c r="D2624" t="s">
        <v>67</v>
      </c>
      <c r="E2624" t="str">
        <f t="shared" si="123"/>
        <v>012</v>
      </c>
      <c r="F2624" t="s">
        <v>2715</v>
      </c>
      <c r="G2624" t="str">
        <f>"0192"</f>
        <v>0192</v>
      </c>
      <c r="H2624" t="str">
        <f>"0002"</f>
        <v>0002</v>
      </c>
      <c r="I2624" t="s">
        <v>75</v>
      </c>
      <c r="J2624">
        <v>0</v>
      </c>
      <c r="K2624">
        <v>1</v>
      </c>
      <c r="L2624">
        <v>2</v>
      </c>
      <c r="M2624">
        <v>533</v>
      </c>
      <c r="N2624">
        <v>236</v>
      </c>
      <c r="O2624">
        <v>0</v>
      </c>
      <c r="P2624">
        <v>236</v>
      </c>
      <c r="Q2624">
        <v>6</v>
      </c>
      <c r="R2624">
        <v>33</v>
      </c>
      <c r="S2624">
        <v>2</v>
      </c>
      <c r="T2624">
        <v>3</v>
      </c>
      <c r="U2624">
        <v>5</v>
      </c>
      <c r="V2624">
        <v>4</v>
      </c>
      <c r="W2624">
        <v>13</v>
      </c>
      <c r="X2624">
        <v>140</v>
      </c>
      <c r="Y2624">
        <v>10</v>
      </c>
      <c r="Z2624">
        <v>6</v>
      </c>
      <c r="AA2624">
        <v>3</v>
      </c>
      <c r="AB2624">
        <v>8</v>
      </c>
      <c r="AD2624">
        <v>0</v>
      </c>
      <c r="AE2624">
        <v>0</v>
      </c>
      <c r="AF2624">
        <v>0</v>
      </c>
      <c r="AG2624">
        <v>0</v>
      </c>
      <c r="AI2624">
        <v>0</v>
      </c>
      <c r="AJ2624">
        <v>3</v>
      </c>
      <c r="AK2624">
        <v>236</v>
      </c>
      <c r="AL2624">
        <v>236</v>
      </c>
      <c r="AM2624">
        <v>725</v>
      </c>
      <c r="AN2624">
        <v>44</v>
      </c>
      <c r="AP2624">
        <v>1</v>
      </c>
      <c r="AR2624" t="s">
        <v>2718</v>
      </c>
      <c r="AS2624" s="1">
        <v>44354.114583333336</v>
      </c>
      <c r="AT2624" s="1">
        <v>44354.134525462963</v>
      </c>
      <c r="AU2624" s="1">
        <v>44354.135034722225</v>
      </c>
      <c r="AV2624" t="s">
        <v>71</v>
      </c>
      <c r="AW2624" t="s">
        <v>72</v>
      </c>
      <c r="AX2624" t="s">
        <v>73</v>
      </c>
    </row>
    <row r="2625" spans="1:50" x14ac:dyDescent="0.3">
      <c r="A2625" t="str">
        <f>"200459B0000"</f>
        <v>200459B0000</v>
      </c>
      <c r="B2625" t="str">
        <f>"200459B00002"</f>
        <v>200459B00002</v>
      </c>
      <c r="C2625" t="str">
        <f t="shared" si="121"/>
        <v>20</v>
      </c>
      <c r="D2625" t="s">
        <v>67</v>
      </c>
      <c r="E2625" t="str">
        <f t="shared" si="123"/>
        <v>012</v>
      </c>
      <c r="F2625" t="s">
        <v>2715</v>
      </c>
      <c r="G2625" t="str">
        <f>"0459"</f>
        <v>0459</v>
      </c>
      <c r="H2625" t="str">
        <f>"0000"</f>
        <v>0000</v>
      </c>
      <c r="I2625" t="s">
        <v>69</v>
      </c>
      <c r="J2625">
        <v>0</v>
      </c>
      <c r="K2625">
        <v>1</v>
      </c>
      <c r="L2625">
        <v>2</v>
      </c>
      <c r="M2625">
        <v>439</v>
      </c>
      <c r="N2625">
        <v>261</v>
      </c>
      <c r="O2625">
        <v>0</v>
      </c>
      <c r="P2625">
        <v>261</v>
      </c>
      <c r="Q2625">
        <v>2</v>
      </c>
      <c r="R2625">
        <v>19</v>
      </c>
      <c r="S2625">
        <v>4</v>
      </c>
      <c r="T2625">
        <v>2</v>
      </c>
      <c r="U2625">
        <v>9</v>
      </c>
      <c r="V2625">
        <v>6</v>
      </c>
      <c r="W2625">
        <v>3</v>
      </c>
      <c r="X2625">
        <v>205</v>
      </c>
      <c r="Y2625">
        <v>0</v>
      </c>
      <c r="Z2625">
        <v>2</v>
      </c>
      <c r="AA2625">
        <v>1</v>
      </c>
      <c r="AB2625">
        <v>2</v>
      </c>
      <c r="AD2625">
        <v>0</v>
      </c>
      <c r="AE2625">
        <v>0</v>
      </c>
      <c r="AF2625">
        <v>0</v>
      </c>
      <c r="AG2625">
        <v>0</v>
      </c>
      <c r="AI2625">
        <v>0</v>
      </c>
      <c r="AJ2625">
        <v>6</v>
      </c>
      <c r="AK2625">
        <v>261</v>
      </c>
      <c r="AL2625">
        <v>261</v>
      </c>
      <c r="AM2625">
        <v>622</v>
      </c>
      <c r="AN2625">
        <v>44</v>
      </c>
      <c r="AP2625">
        <v>1</v>
      </c>
      <c r="AR2625" t="s">
        <v>2719</v>
      </c>
      <c r="AS2625" s="1">
        <v>44353.956944444442</v>
      </c>
      <c r="AT2625" s="1">
        <v>44353.97859953704</v>
      </c>
      <c r="AU2625" s="1">
        <v>44353.980902777781</v>
      </c>
      <c r="AV2625" t="s">
        <v>71</v>
      </c>
      <c r="AW2625" t="s">
        <v>72</v>
      </c>
      <c r="AX2625" t="s">
        <v>73</v>
      </c>
    </row>
    <row r="2626" spans="1:50" x14ac:dyDescent="0.3">
      <c r="A2626" t="str">
        <f>"200459C0100"</f>
        <v>200459C0100</v>
      </c>
      <c r="B2626" t="str">
        <f>"200459C01002"</f>
        <v>200459C01002</v>
      </c>
      <c r="C2626" t="str">
        <f t="shared" si="121"/>
        <v>20</v>
      </c>
      <c r="D2626" t="s">
        <v>67</v>
      </c>
      <c r="E2626" t="str">
        <f t="shared" si="123"/>
        <v>012</v>
      </c>
      <c r="F2626" t="s">
        <v>2715</v>
      </c>
      <c r="G2626" t="str">
        <f>"0459"</f>
        <v>0459</v>
      </c>
      <c r="H2626" t="str">
        <f>"0001"</f>
        <v>0001</v>
      </c>
      <c r="I2626" t="s">
        <v>75</v>
      </c>
      <c r="J2626">
        <v>0</v>
      </c>
      <c r="K2626">
        <v>1</v>
      </c>
      <c r="L2626">
        <v>2</v>
      </c>
      <c r="M2626">
        <v>443</v>
      </c>
      <c r="N2626">
        <v>222</v>
      </c>
      <c r="O2626">
        <v>2</v>
      </c>
      <c r="P2626">
        <v>223</v>
      </c>
      <c r="Q2626">
        <v>7</v>
      </c>
      <c r="R2626">
        <v>21</v>
      </c>
      <c r="S2626">
        <v>3</v>
      </c>
      <c r="T2626">
        <v>2</v>
      </c>
      <c r="U2626">
        <v>18</v>
      </c>
      <c r="V2626">
        <v>9</v>
      </c>
      <c r="W2626">
        <v>6</v>
      </c>
      <c r="X2626">
        <v>135</v>
      </c>
      <c r="Y2626">
        <v>3</v>
      </c>
      <c r="Z2626">
        <v>2</v>
      </c>
      <c r="AA2626">
        <v>3</v>
      </c>
      <c r="AB2626">
        <v>3</v>
      </c>
      <c r="AD2626">
        <v>1</v>
      </c>
      <c r="AE2626">
        <v>1</v>
      </c>
      <c r="AF2626">
        <v>0</v>
      </c>
      <c r="AG2626">
        <v>0</v>
      </c>
      <c r="AI2626">
        <v>0</v>
      </c>
      <c r="AJ2626">
        <v>9</v>
      </c>
      <c r="AK2626">
        <v>223</v>
      </c>
      <c r="AL2626">
        <v>223</v>
      </c>
      <c r="AM2626">
        <v>622</v>
      </c>
      <c r="AN2626">
        <v>44</v>
      </c>
      <c r="AP2626">
        <v>1</v>
      </c>
      <c r="AR2626" t="s">
        <v>2720</v>
      </c>
      <c r="AS2626" s="1">
        <v>44353.956250000003</v>
      </c>
      <c r="AT2626" s="1">
        <v>44353.972696759258</v>
      </c>
      <c r="AU2626" s="1">
        <v>44353.973634259259</v>
      </c>
      <c r="AV2626" t="s">
        <v>71</v>
      </c>
      <c r="AW2626" t="s">
        <v>72</v>
      </c>
      <c r="AX2626" t="s">
        <v>73</v>
      </c>
    </row>
    <row r="2627" spans="1:50" x14ac:dyDescent="0.3">
      <c r="A2627" t="str">
        <f>"200459C0200"</f>
        <v>200459C0200</v>
      </c>
      <c r="B2627" t="str">
        <f>"200459C02002"</f>
        <v>200459C02002</v>
      </c>
      <c r="C2627" t="str">
        <f t="shared" si="121"/>
        <v>20</v>
      </c>
      <c r="D2627" t="s">
        <v>67</v>
      </c>
      <c r="E2627" t="str">
        <f t="shared" si="123"/>
        <v>012</v>
      </c>
      <c r="F2627" t="s">
        <v>2715</v>
      </c>
      <c r="G2627" t="str">
        <f>"0459"</f>
        <v>0459</v>
      </c>
      <c r="H2627" t="str">
        <f>"0002"</f>
        <v>0002</v>
      </c>
      <c r="I2627" t="s">
        <v>75</v>
      </c>
      <c r="J2627">
        <v>0</v>
      </c>
      <c r="K2627">
        <v>1</v>
      </c>
      <c r="L2627">
        <v>2</v>
      </c>
      <c r="M2627">
        <v>417</v>
      </c>
      <c r="N2627">
        <v>249</v>
      </c>
      <c r="O2627">
        <v>3</v>
      </c>
      <c r="P2627">
        <v>249</v>
      </c>
      <c r="Q2627">
        <v>4</v>
      </c>
      <c r="R2627">
        <v>23</v>
      </c>
      <c r="S2627">
        <v>1</v>
      </c>
      <c r="T2627">
        <v>1</v>
      </c>
      <c r="U2627">
        <v>17</v>
      </c>
      <c r="V2627">
        <v>7</v>
      </c>
      <c r="W2627">
        <v>3</v>
      </c>
      <c r="X2627">
        <v>179</v>
      </c>
      <c r="Y2627">
        <v>0</v>
      </c>
      <c r="Z2627">
        <v>3</v>
      </c>
      <c r="AA2627">
        <v>1</v>
      </c>
      <c r="AB2627">
        <v>4</v>
      </c>
      <c r="AD2627">
        <v>1</v>
      </c>
      <c r="AE2627">
        <v>0</v>
      </c>
      <c r="AF2627">
        <v>0</v>
      </c>
      <c r="AG2627">
        <v>0</v>
      </c>
      <c r="AI2627">
        <v>0</v>
      </c>
      <c r="AJ2627">
        <v>5</v>
      </c>
      <c r="AK2627">
        <v>249</v>
      </c>
      <c r="AL2627">
        <v>249</v>
      </c>
      <c r="AM2627">
        <v>622</v>
      </c>
      <c r="AN2627">
        <v>44</v>
      </c>
      <c r="AP2627">
        <v>1</v>
      </c>
      <c r="AR2627" t="s">
        <v>2721</v>
      </c>
      <c r="AS2627" s="1">
        <v>44353.956944444442</v>
      </c>
      <c r="AT2627" s="1">
        <v>44353.976539351854</v>
      </c>
      <c r="AU2627" s="1">
        <v>44353.97693287037</v>
      </c>
      <c r="AV2627" t="s">
        <v>71</v>
      </c>
      <c r="AW2627" t="s">
        <v>72</v>
      </c>
      <c r="AX2627" t="s">
        <v>73</v>
      </c>
    </row>
    <row r="2628" spans="1:50" x14ac:dyDescent="0.3">
      <c r="A2628" t="str">
        <f>"200460B0000"</f>
        <v>200460B0000</v>
      </c>
      <c r="B2628" t="str">
        <f>"200460B00002"</f>
        <v>200460B00002</v>
      </c>
      <c r="C2628" t="str">
        <f t="shared" si="121"/>
        <v>20</v>
      </c>
      <c r="D2628" t="s">
        <v>67</v>
      </c>
      <c r="E2628" t="str">
        <f t="shared" si="123"/>
        <v>012</v>
      </c>
      <c r="F2628" t="s">
        <v>2715</v>
      </c>
      <c r="G2628" t="str">
        <f>"0460"</f>
        <v>0460</v>
      </c>
      <c r="H2628" t="str">
        <f>"0000"</f>
        <v>0000</v>
      </c>
      <c r="I2628" t="s">
        <v>69</v>
      </c>
      <c r="J2628">
        <v>0</v>
      </c>
      <c r="K2628">
        <v>1</v>
      </c>
      <c r="L2628">
        <v>2</v>
      </c>
      <c r="M2628">
        <v>384</v>
      </c>
      <c r="N2628">
        <v>179</v>
      </c>
      <c r="O2628">
        <v>0</v>
      </c>
      <c r="P2628">
        <v>179</v>
      </c>
      <c r="Q2628">
        <v>2</v>
      </c>
      <c r="R2628">
        <v>22</v>
      </c>
      <c r="S2628">
        <v>0</v>
      </c>
      <c r="T2628">
        <v>3</v>
      </c>
      <c r="U2628">
        <v>11</v>
      </c>
      <c r="V2628">
        <v>10</v>
      </c>
      <c r="W2628">
        <v>1</v>
      </c>
      <c r="X2628">
        <v>116</v>
      </c>
      <c r="Y2628">
        <v>2</v>
      </c>
      <c r="Z2628">
        <v>3</v>
      </c>
      <c r="AA2628">
        <v>2</v>
      </c>
      <c r="AB2628">
        <v>0</v>
      </c>
      <c r="AD2628">
        <v>0</v>
      </c>
      <c r="AE2628">
        <v>0</v>
      </c>
      <c r="AF2628">
        <v>0</v>
      </c>
      <c r="AG2628">
        <v>0</v>
      </c>
      <c r="AI2628">
        <v>0</v>
      </c>
      <c r="AJ2628">
        <v>7</v>
      </c>
      <c r="AK2628">
        <v>179</v>
      </c>
      <c r="AL2628">
        <v>179</v>
      </c>
      <c r="AM2628">
        <v>519</v>
      </c>
      <c r="AN2628">
        <v>44</v>
      </c>
      <c r="AP2628">
        <v>1</v>
      </c>
      <c r="AR2628" t="s">
        <v>2722</v>
      </c>
      <c r="AS2628" s="1">
        <v>44353.961111111108</v>
      </c>
      <c r="AT2628" s="1">
        <v>44353.980127314811</v>
      </c>
      <c r="AU2628" s="1">
        <v>44353.980879629627</v>
      </c>
      <c r="AV2628" t="s">
        <v>71</v>
      </c>
      <c r="AW2628" t="s">
        <v>72</v>
      </c>
      <c r="AX2628" t="s">
        <v>73</v>
      </c>
    </row>
    <row r="2629" spans="1:50" x14ac:dyDescent="0.3">
      <c r="A2629" t="str">
        <f>"200460C0100"</f>
        <v>200460C0100</v>
      </c>
      <c r="B2629" t="str">
        <f>"200460C01002"</f>
        <v>200460C01002</v>
      </c>
      <c r="C2629" t="str">
        <f t="shared" si="121"/>
        <v>20</v>
      </c>
      <c r="D2629" t="s">
        <v>67</v>
      </c>
      <c r="E2629" t="str">
        <f t="shared" si="123"/>
        <v>012</v>
      </c>
      <c r="F2629" t="s">
        <v>2715</v>
      </c>
      <c r="G2629" t="str">
        <f>"0460"</f>
        <v>0460</v>
      </c>
      <c r="H2629" t="str">
        <f>"0001"</f>
        <v>0001</v>
      </c>
      <c r="I2629" t="s">
        <v>75</v>
      </c>
      <c r="J2629">
        <v>0</v>
      </c>
      <c r="K2629">
        <v>1</v>
      </c>
      <c r="L2629">
        <v>2</v>
      </c>
      <c r="M2629">
        <v>377</v>
      </c>
      <c r="N2629">
        <v>186</v>
      </c>
      <c r="O2629">
        <v>4</v>
      </c>
      <c r="P2629">
        <v>186</v>
      </c>
      <c r="Q2629">
        <v>7</v>
      </c>
      <c r="R2629">
        <v>14</v>
      </c>
      <c r="S2629">
        <v>0</v>
      </c>
      <c r="T2629">
        <v>2</v>
      </c>
      <c r="U2629">
        <v>7</v>
      </c>
      <c r="V2629">
        <v>4</v>
      </c>
      <c r="W2629">
        <v>6</v>
      </c>
      <c r="X2629">
        <v>138</v>
      </c>
      <c r="Y2629">
        <v>2</v>
      </c>
      <c r="Z2629">
        <v>0</v>
      </c>
      <c r="AA2629">
        <v>1</v>
      </c>
      <c r="AB2629">
        <v>1</v>
      </c>
      <c r="AD2629">
        <v>0</v>
      </c>
      <c r="AE2629">
        <v>0</v>
      </c>
      <c r="AF2629">
        <v>0</v>
      </c>
      <c r="AG2629">
        <v>0</v>
      </c>
      <c r="AI2629">
        <v>0</v>
      </c>
      <c r="AJ2629">
        <v>4</v>
      </c>
      <c r="AK2629">
        <v>186</v>
      </c>
      <c r="AL2629">
        <v>186</v>
      </c>
      <c r="AM2629">
        <v>519</v>
      </c>
      <c r="AN2629">
        <v>44</v>
      </c>
      <c r="AP2629">
        <v>1</v>
      </c>
      <c r="AR2629" t="s">
        <v>2723</v>
      </c>
      <c r="AS2629" s="1">
        <v>44353.961111111108</v>
      </c>
      <c r="AT2629" s="1">
        <v>44353.983263888891</v>
      </c>
      <c r="AU2629" s="1">
        <v>44353.983854166669</v>
      </c>
      <c r="AV2629" t="s">
        <v>71</v>
      </c>
      <c r="AW2629" t="s">
        <v>72</v>
      </c>
      <c r="AX2629" t="s">
        <v>73</v>
      </c>
    </row>
    <row r="2630" spans="1:50" x14ac:dyDescent="0.3">
      <c r="A2630" t="str">
        <f>"200460C0200"</f>
        <v>200460C0200</v>
      </c>
      <c r="B2630" t="str">
        <f>"200460C02002"</f>
        <v>200460C02002</v>
      </c>
      <c r="C2630" t="str">
        <f t="shared" si="121"/>
        <v>20</v>
      </c>
      <c r="D2630" t="s">
        <v>67</v>
      </c>
      <c r="E2630" t="str">
        <f t="shared" si="123"/>
        <v>012</v>
      </c>
      <c r="F2630" t="s">
        <v>2715</v>
      </c>
      <c r="G2630" t="str">
        <f>"0460"</f>
        <v>0460</v>
      </c>
      <c r="H2630" t="str">
        <f>"0002"</f>
        <v>0002</v>
      </c>
      <c r="I2630" t="s">
        <v>75</v>
      </c>
      <c r="J2630">
        <v>0</v>
      </c>
      <c r="K2630">
        <v>1</v>
      </c>
      <c r="L2630">
        <v>2</v>
      </c>
      <c r="M2630">
        <v>365</v>
      </c>
      <c r="N2630">
        <v>197</v>
      </c>
      <c r="O2630">
        <v>0</v>
      </c>
      <c r="P2630">
        <v>197</v>
      </c>
      <c r="Q2630">
        <v>7</v>
      </c>
      <c r="R2630">
        <v>26</v>
      </c>
      <c r="S2630">
        <v>2</v>
      </c>
      <c r="T2630">
        <v>2</v>
      </c>
      <c r="U2630">
        <v>6</v>
      </c>
      <c r="V2630">
        <v>2</v>
      </c>
      <c r="W2630">
        <v>6</v>
      </c>
      <c r="X2630">
        <v>133</v>
      </c>
      <c r="Y2630">
        <v>3</v>
      </c>
      <c r="Z2630">
        <v>3</v>
      </c>
      <c r="AA2630">
        <v>0</v>
      </c>
      <c r="AB2630">
        <v>2</v>
      </c>
      <c r="AD2630">
        <v>0</v>
      </c>
      <c r="AE2630">
        <v>1</v>
      </c>
      <c r="AF2630">
        <v>0</v>
      </c>
      <c r="AG2630">
        <v>0</v>
      </c>
      <c r="AI2630">
        <v>0</v>
      </c>
      <c r="AJ2630">
        <v>4</v>
      </c>
      <c r="AK2630">
        <v>197</v>
      </c>
      <c r="AL2630">
        <v>197</v>
      </c>
      <c r="AM2630">
        <v>518</v>
      </c>
      <c r="AN2630">
        <v>44</v>
      </c>
      <c r="AP2630">
        <v>1</v>
      </c>
      <c r="AR2630" t="s">
        <v>2724</v>
      </c>
      <c r="AS2630" s="1">
        <v>44353.961111111108</v>
      </c>
      <c r="AT2630" s="1">
        <v>44353.980462962965</v>
      </c>
      <c r="AU2630" s="1">
        <v>44353.980995370373</v>
      </c>
      <c r="AV2630" t="s">
        <v>71</v>
      </c>
      <c r="AW2630" t="s">
        <v>72</v>
      </c>
      <c r="AX2630" t="s">
        <v>73</v>
      </c>
    </row>
    <row r="2631" spans="1:50" x14ac:dyDescent="0.3">
      <c r="A2631" t="str">
        <f>"200719B0000"</f>
        <v>200719B0000</v>
      </c>
      <c r="B2631" t="str">
        <f>"200719B00002"</f>
        <v>200719B00002</v>
      </c>
      <c r="C2631" t="str">
        <f t="shared" ref="C2631:C2694" si="124">"20"</f>
        <v>20</v>
      </c>
      <c r="D2631" t="s">
        <v>67</v>
      </c>
      <c r="E2631" t="str">
        <f t="shared" si="123"/>
        <v>012</v>
      </c>
      <c r="F2631" t="s">
        <v>2715</v>
      </c>
      <c r="G2631" t="str">
        <f>"0719"</f>
        <v>0719</v>
      </c>
      <c r="H2631" t="str">
        <f>"0000"</f>
        <v>0000</v>
      </c>
      <c r="I2631" t="s">
        <v>69</v>
      </c>
      <c r="J2631">
        <v>0</v>
      </c>
      <c r="K2631">
        <v>1</v>
      </c>
      <c r="L2631">
        <v>2</v>
      </c>
      <c r="M2631">
        <v>369</v>
      </c>
      <c r="N2631">
        <v>226</v>
      </c>
      <c r="O2631">
        <v>2</v>
      </c>
      <c r="P2631">
        <v>226</v>
      </c>
      <c r="Q2631">
        <v>6</v>
      </c>
      <c r="R2631">
        <v>18</v>
      </c>
      <c r="S2631">
        <v>1</v>
      </c>
      <c r="T2631">
        <v>4</v>
      </c>
      <c r="U2631">
        <v>4</v>
      </c>
      <c r="V2631">
        <v>0</v>
      </c>
      <c r="W2631">
        <v>2</v>
      </c>
      <c r="X2631">
        <v>111</v>
      </c>
      <c r="Y2631">
        <v>4</v>
      </c>
      <c r="Z2631">
        <v>3</v>
      </c>
      <c r="AA2631">
        <v>1</v>
      </c>
      <c r="AB2631">
        <v>62</v>
      </c>
      <c r="AD2631">
        <v>0</v>
      </c>
      <c r="AE2631">
        <v>0</v>
      </c>
      <c r="AF2631">
        <v>0</v>
      </c>
      <c r="AG2631">
        <v>0</v>
      </c>
      <c r="AI2631">
        <v>0</v>
      </c>
      <c r="AJ2631">
        <v>10</v>
      </c>
      <c r="AK2631">
        <v>226</v>
      </c>
      <c r="AL2631">
        <v>226</v>
      </c>
      <c r="AM2631">
        <v>551</v>
      </c>
      <c r="AN2631">
        <v>44</v>
      </c>
      <c r="AP2631">
        <v>1</v>
      </c>
      <c r="AR2631" t="s">
        <v>2725</v>
      </c>
      <c r="AS2631" s="1">
        <v>44353.770833333336</v>
      </c>
      <c r="AT2631" s="1">
        <v>44354.045347222222</v>
      </c>
      <c r="AU2631" s="1">
        <v>44354.04587962963</v>
      </c>
      <c r="AV2631" t="s">
        <v>71</v>
      </c>
      <c r="AW2631" t="s">
        <v>72</v>
      </c>
      <c r="AX2631" t="s">
        <v>73</v>
      </c>
    </row>
    <row r="2632" spans="1:50" x14ac:dyDescent="0.3">
      <c r="A2632" t="str">
        <f>"200719C0100"</f>
        <v>200719C0100</v>
      </c>
      <c r="B2632" t="str">
        <f>"200719C01002"</f>
        <v>200719C01002</v>
      </c>
      <c r="C2632" t="str">
        <f t="shared" si="124"/>
        <v>20</v>
      </c>
      <c r="D2632" t="s">
        <v>67</v>
      </c>
      <c r="E2632" t="str">
        <f t="shared" si="123"/>
        <v>012</v>
      </c>
      <c r="F2632" t="s">
        <v>2715</v>
      </c>
      <c r="G2632" t="str">
        <f>"0719"</f>
        <v>0719</v>
      </c>
      <c r="H2632" t="str">
        <f>"0001"</f>
        <v>0001</v>
      </c>
      <c r="I2632" t="s">
        <v>75</v>
      </c>
      <c r="J2632">
        <v>0</v>
      </c>
      <c r="K2632">
        <v>1</v>
      </c>
      <c r="L2632">
        <v>2</v>
      </c>
      <c r="M2632">
        <v>356</v>
      </c>
      <c r="N2632">
        <v>239</v>
      </c>
      <c r="O2632">
        <v>1</v>
      </c>
      <c r="P2632">
        <v>1</v>
      </c>
      <c r="Q2632">
        <v>8</v>
      </c>
      <c r="R2632">
        <v>16</v>
      </c>
      <c r="S2632">
        <v>2</v>
      </c>
      <c r="T2632">
        <v>2</v>
      </c>
      <c r="U2632">
        <v>8</v>
      </c>
      <c r="V2632">
        <v>0</v>
      </c>
      <c r="W2632">
        <v>3</v>
      </c>
      <c r="X2632">
        <v>112</v>
      </c>
      <c r="Y2632">
        <v>1</v>
      </c>
      <c r="Z2632">
        <v>2</v>
      </c>
      <c r="AA2632">
        <v>4</v>
      </c>
      <c r="AB2632">
        <v>73</v>
      </c>
      <c r="AD2632">
        <v>0</v>
      </c>
      <c r="AE2632">
        <v>0</v>
      </c>
      <c r="AF2632">
        <v>0</v>
      </c>
      <c r="AG2632">
        <v>0</v>
      </c>
      <c r="AI2632">
        <v>0</v>
      </c>
      <c r="AJ2632">
        <v>8</v>
      </c>
      <c r="AK2632">
        <v>239</v>
      </c>
      <c r="AL2632">
        <v>239</v>
      </c>
      <c r="AM2632">
        <v>551</v>
      </c>
      <c r="AN2632">
        <v>44</v>
      </c>
      <c r="AP2632">
        <v>1</v>
      </c>
      <c r="AR2632" t="s">
        <v>2726</v>
      </c>
      <c r="AS2632" s="1">
        <v>44354.029861111114</v>
      </c>
      <c r="AT2632" s="1">
        <v>44354.042627314811</v>
      </c>
      <c r="AU2632" s="1">
        <v>44354.043113425927</v>
      </c>
      <c r="AV2632" t="s">
        <v>71</v>
      </c>
      <c r="AW2632" t="s">
        <v>72</v>
      </c>
      <c r="AX2632" t="s">
        <v>73</v>
      </c>
    </row>
    <row r="2633" spans="1:50" x14ac:dyDescent="0.3">
      <c r="A2633" t="str">
        <f>"200719C0200"</f>
        <v>200719C0200</v>
      </c>
      <c r="B2633" t="str">
        <f>"200719C02002"</f>
        <v>200719C02002</v>
      </c>
      <c r="C2633" t="str">
        <f t="shared" si="124"/>
        <v>20</v>
      </c>
      <c r="D2633" t="s">
        <v>67</v>
      </c>
      <c r="E2633" t="str">
        <f t="shared" si="123"/>
        <v>012</v>
      </c>
      <c r="F2633" t="s">
        <v>2715</v>
      </c>
      <c r="G2633" t="str">
        <f>"0719"</f>
        <v>0719</v>
      </c>
      <c r="H2633" t="str">
        <f>"0002"</f>
        <v>0002</v>
      </c>
      <c r="I2633" t="s">
        <v>75</v>
      </c>
      <c r="J2633">
        <v>0</v>
      </c>
      <c r="K2633">
        <v>1</v>
      </c>
      <c r="L2633">
        <v>2</v>
      </c>
      <c r="M2633">
        <v>364</v>
      </c>
      <c r="N2633">
        <v>239</v>
      </c>
      <c r="O2633">
        <v>1</v>
      </c>
      <c r="P2633">
        <v>239</v>
      </c>
      <c r="Q2633">
        <v>6</v>
      </c>
      <c r="R2633">
        <v>12</v>
      </c>
      <c r="S2633">
        <v>1</v>
      </c>
      <c r="T2633">
        <v>2</v>
      </c>
      <c r="U2633">
        <v>3</v>
      </c>
      <c r="V2633">
        <v>3</v>
      </c>
      <c r="W2633">
        <v>1</v>
      </c>
      <c r="X2633">
        <v>116</v>
      </c>
      <c r="Y2633">
        <v>6</v>
      </c>
      <c r="Z2633">
        <v>1</v>
      </c>
      <c r="AA2633">
        <v>3</v>
      </c>
      <c r="AB2633">
        <v>80</v>
      </c>
      <c r="AD2633">
        <v>1</v>
      </c>
      <c r="AE2633">
        <v>0</v>
      </c>
      <c r="AF2633">
        <v>0</v>
      </c>
      <c r="AG2633">
        <v>0</v>
      </c>
      <c r="AI2633">
        <v>0</v>
      </c>
      <c r="AJ2633">
        <v>4</v>
      </c>
      <c r="AK2633">
        <v>239</v>
      </c>
      <c r="AL2633">
        <v>239</v>
      </c>
      <c r="AM2633">
        <v>551</v>
      </c>
      <c r="AN2633">
        <v>44</v>
      </c>
      <c r="AP2633">
        <v>1</v>
      </c>
      <c r="AR2633" t="s">
        <v>2727</v>
      </c>
      <c r="AS2633" s="1">
        <v>44354.032638888886</v>
      </c>
      <c r="AT2633" s="1">
        <v>44354.064097222225</v>
      </c>
      <c r="AU2633" s="1">
        <v>44354.064733796295</v>
      </c>
      <c r="AV2633" t="s">
        <v>71</v>
      </c>
      <c r="AW2633" t="s">
        <v>72</v>
      </c>
      <c r="AX2633" t="s">
        <v>73</v>
      </c>
    </row>
    <row r="2634" spans="1:50" x14ac:dyDescent="0.3">
      <c r="A2634" t="str">
        <f>"200720B0000"</f>
        <v>200720B0000</v>
      </c>
      <c r="B2634" t="str">
        <f>"200720B00002"</f>
        <v>200720B00002</v>
      </c>
      <c r="C2634" t="str">
        <f t="shared" si="124"/>
        <v>20</v>
      </c>
      <c r="D2634" t="s">
        <v>67</v>
      </c>
      <c r="E2634" t="str">
        <f t="shared" si="123"/>
        <v>012</v>
      </c>
      <c r="F2634" t="s">
        <v>2715</v>
      </c>
      <c r="G2634" t="str">
        <f>"0720"</f>
        <v>0720</v>
      </c>
      <c r="H2634" t="str">
        <f>"0000"</f>
        <v>0000</v>
      </c>
      <c r="I2634" t="s">
        <v>69</v>
      </c>
      <c r="J2634">
        <v>0</v>
      </c>
      <c r="K2634">
        <v>1</v>
      </c>
      <c r="L2634">
        <v>2</v>
      </c>
      <c r="M2634">
        <v>363</v>
      </c>
      <c r="N2634">
        <v>248</v>
      </c>
      <c r="O2634">
        <v>8</v>
      </c>
      <c r="P2634">
        <v>240</v>
      </c>
      <c r="Q2634">
        <v>7</v>
      </c>
      <c r="R2634">
        <v>26</v>
      </c>
      <c r="S2634">
        <v>2</v>
      </c>
      <c r="T2634">
        <v>3</v>
      </c>
      <c r="U2634">
        <v>5</v>
      </c>
      <c r="V2634">
        <v>2</v>
      </c>
      <c r="W2634">
        <v>6</v>
      </c>
      <c r="X2634">
        <v>125</v>
      </c>
      <c r="Y2634">
        <v>5</v>
      </c>
      <c r="Z2634">
        <v>0</v>
      </c>
      <c r="AA2634">
        <v>2</v>
      </c>
      <c r="AB2634">
        <v>42</v>
      </c>
      <c r="AD2634" t="s">
        <v>99</v>
      </c>
      <c r="AE2634" t="s">
        <v>99</v>
      </c>
      <c r="AF2634" t="s">
        <v>99</v>
      </c>
      <c r="AG2634" t="s">
        <v>99</v>
      </c>
      <c r="AI2634" t="s">
        <v>99</v>
      </c>
      <c r="AJ2634" t="s">
        <v>99</v>
      </c>
      <c r="AK2634" t="s">
        <v>99</v>
      </c>
      <c r="AL2634">
        <v>225</v>
      </c>
      <c r="AM2634">
        <v>559</v>
      </c>
      <c r="AN2634">
        <v>44</v>
      </c>
      <c r="AO2634" t="s">
        <v>78</v>
      </c>
      <c r="AP2634">
        <v>1</v>
      </c>
      <c r="AR2634" t="s">
        <v>2728</v>
      </c>
      <c r="AS2634" s="1">
        <v>44354.029166666667</v>
      </c>
      <c r="AT2634" s="1">
        <v>44354.262395833335</v>
      </c>
      <c r="AU2634" s="1">
        <v>44354.263472222221</v>
      </c>
      <c r="AV2634" t="s">
        <v>71</v>
      </c>
      <c r="AW2634" t="s">
        <v>72</v>
      </c>
      <c r="AX2634" t="s">
        <v>347</v>
      </c>
    </row>
    <row r="2635" spans="1:50" x14ac:dyDescent="0.3">
      <c r="A2635" t="str">
        <f>"200720C0100"</f>
        <v>200720C0100</v>
      </c>
      <c r="B2635" t="str">
        <f>"200720C01002"</f>
        <v>200720C01002</v>
      </c>
      <c r="C2635" t="str">
        <f t="shared" si="124"/>
        <v>20</v>
      </c>
      <c r="D2635" t="s">
        <v>67</v>
      </c>
      <c r="E2635" t="str">
        <f t="shared" si="123"/>
        <v>012</v>
      </c>
      <c r="F2635" t="s">
        <v>2715</v>
      </c>
      <c r="G2635" t="str">
        <f>"0720"</f>
        <v>0720</v>
      </c>
      <c r="H2635" t="str">
        <f>"0001"</f>
        <v>0001</v>
      </c>
      <c r="I2635" t="s">
        <v>75</v>
      </c>
      <c r="J2635">
        <v>0</v>
      </c>
      <c r="K2635">
        <v>1</v>
      </c>
      <c r="L2635">
        <v>2</v>
      </c>
      <c r="M2635">
        <v>333</v>
      </c>
      <c r="N2635">
        <v>269</v>
      </c>
      <c r="O2635">
        <v>4</v>
      </c>
      <c r="P2635">
        <v>269</v>
      </c>
      <c r="Q2635">
        <v>8</v>
      </c>
      <c r="R2635">
        <v>28</v>
      </c>
      <c r="S2635">
        <v>2</v>
      </c>
      <c r="T2635">
        <v>2</v>
      </c>
      <c r="U2635">
        <v>10</v>
      </c>
      <c r="V2635">
        <v>5</v>
      </c>
      <c r="W2635">
        <v>4</v>
      </c>
      <c r="X2635">
        <v>142</v>
      </c>
      <c r="Y2635">
        <v>5</v>
      </c>
      <c r="Z2635">
        <v>2</v>
      </c>
      <c r="AA2635">
        <v>1</v>
      </c>
      <c r="AB2635">
        <v>47</v>
      </c>
      <c r="AD2635">
        <v>2</v>
      </c>
      <c r="AE2635">
        <v>1</v>
      </c>
      <c r="AF2635">
        <v>0</v>
      </c>
      <c r="AG2635">
        <v>0</v>
      </c>
      <c r="AI2635">
        <v>1</v>
      </c>
      <c r="AJ2635">
        <v>7</v>
      </c>
      <c r="AK2635">
        <v>269</v>
      </c>
      <c r="AL2635">
        <v>267</v>
      </c>
      <c r="AM2635">
        <v>558</v>
      </c>
      <c r="AN2635">
        <v>44</v>
      </c>
      <c r="AP2635">
        <v>1</v>
      </c>
      <c r="AR2635" t="s">
        <v>2729</v>
      </c>
      <c r="AS2635" s="1">
        <v>44354.030555555553</v>
      </c>
      <c r="AT2635" s="1">
        <v>44354.13821759259</v>
      </c>
      <c r="AU2635" s="1">
        <v>44354.138715277775</v>
      </c>
      <c r="AV2635" t="s">
        <v>71</v>
      </c>
      <c r="AW2635" t="s">
        <v>72</v>
      </c>
      <c r="AX2635" t="s">
        <v>73</v>
      </c>
    </row>
    <row r="2636" spans="1:50" x14ac:dyDescent="0.3">
      <c r="A2636" t="str">
        <f>"200720C0200"</f>
        <v>200720C0200</v>
      </c>
      <c r="B2636" t="str">
        <f>"200720C02002"</f>
        <v>200720C02002</v>
      </c>
      <c r="C2636" t="str">
        <f t="shared" si="124"/>
        <v>20</v>
      </c>
      <c r="D2636" t="s">
        <v>67</v>
      </c>
      <c r="E2636" t="str">
        <f t="shared" si="123"/>
        <v>012</v>
      </c>
      <c r="F2636" t="s">
        <v>2715</v>
      </c>
      <c r="G2636" t="str">
        <f>"0720"</f>
        <v>0720</v>
      </c>
      <c r="H2636" t="str">
        <f>"0002"</f>
        <v>0002</v>
      </c>
      <c r="I2636" t="s">
        <v>75</v>
      </c>
      <c r="J2636">
        <v>0</v>
      </c>
      <c r="K2636">
        <v>1</v>
      </c>
      <c r="L2636">
        <v>2</v>
      </c>
      <c r="M2636">
        <v>337</v>
      </c>
      <c r="N2636">
        <v>265</v>
      </c>
      <c r="O2636">
        <v>2</v>
      </c>
      <c r="P2636">
        <v>0</v>
      </c>
      <c r="Q2636">
        <v>9</v>
      </c>
      <c r="R2636">
        <v>32</v>
      </c>
      <c r="S2636">
        <v>0</v>
      </c>
      <c r="T2636">
        <v>5</v>
      </c>
      <c r="U2636">
        <v>15</v>
      </c>
      <c r="V2636">
        <v>4</v>
      </c>
      <c r="W2636">
        <v>4</v>
      </c>
      <c r="X2636">
        <v>117</v>
      </c>
      <c r="Y2636">
        <v>11</v>
      </c>
      <c r="Z2636">
        <v>2</v>
      </c>
      <c r="AA2636">
        <v>2</v>
      </c>
      <c r="AB2636">
        <v>47</v>
      </c>
      <c r="AD2636">
        <v>3</v>
      </c>
      <c r="AE2636">
        <v>0</v>
      </c>
      <c r="AF2636">
        <v>0</v>
      </c>
      <c r="AG2636">
        <v>0</v>
      </c>
      <c r="AI2636">
        <v>0</v>
      </c>
      <c r="AJ2636">
        <v>14</v>
      </c>
      <c r="AK2636">
        <v>265</v>
      </c>
      <c r="AL2636">
        <v>265</v>
      </c>
      <c r="AM2636">
        <v>558</v>
      </c>
      <c r="AN2636">
        <v>44</v>
      </c>
      <c r="AP2636">
        <v>1</v>
      </c>
      <c r="AR2636" t="s">
        <v>2730</v>
      </c>
      <c r="AS2636" s="1">
        <v>44354.029861111114</v>
      </c>
      <c r="AT2636" s="1">
        <v>44354.040590277778</v>
      </c>
      <c r="AU2636" s="1">
        <v>44354.040937500002</v>
      </c>
      <c r="AV2636" t="s">
        <v>71</v>
      </c>
      <c r="AW2636" t="s">
        <v>72</v>
      </c>
      <c r="AX2636" t="s">
        <v>73</v>
      </c>
    </row>
    <row r="2637" spans="1:50" x14ac:dyDescent="0.3">
      <c r="A2637" t="str">
        <f>"200736B0000"</f>
        <v>200736B0000</v>
      </c>
      <c r="B2637" t="str">
        <f>"200736B00002"</f>
        <v>200736B00002</v>
      </c>
      <c r="C2637" t="str">
        <f t="shared" si="124"/>
        <v>20</v>
      </c>
      <c r="D2637" t="s">
        <v>67</v>
      </c>
      <c r="E2637" t="str">
        <f t="shared" si="123"/>
        <v>012</v>
      </c>
      <c r="F2637" t="s">
        <v>2715</v>
      </c>
      <c r="G2637" t="str">
        <f>"0736"</f>
        <v>0736</v>
      </c>
      <c r="H2637" t="str">
        <f>"0000"</f>
        <v>0000</v>
      </c>
      <c r="I2637" t="s">
        <v>69</v>
      </c>
      <c r="J2637">
        <v>0</v>
      </c>
      <c r="K2637">
        <v>1</v>
      </c>
      <c r="L2637">
        <v>2</v>
      </c>
      <c r="M2637">
        <v>622</v>
      </c>
      <c r="N2637">
        <v>151</v>
      </c>
      <c r="O2637">
        <v>1</v>
      </c>
      <c r="P2637">
        <v>151</v>
      </c>
      <c r="Q2637">
        <v>20</v>
      </c>
      <c r="R2637">
        <v>11</v>
      </c>
      <c r="S2637">
        <v>5</v>
      </c>
      <c r="T2637">
        <v>0</v>
      </c>
      <c r="U2637">
        <v>11</v>
      </c>
      <c r="V2637">
        <v>9</v>
      </c>
      <c r="W2637">
        <v>3</v>
      </c>
      <c r="X2637">
        <v>68</v>
      </c>
      <c r="Y2637">
        <v>4</v>
      </c>
      <c r="Z2637">
        <v>8</v>
      </c>
      <c r="AA2637">
        <v>2</v>
      </c>
      <c r="AB2637">
        <v>3</v>
      </c>
      <c r="AD2637">
        <v>2</v>
      </c>
      <c r="AE2637">
        <v>1</v>
      </c>
      <c r="AF2637">
        <v>0</v>
      </c>
      <c r="AG2637">
        <v>0</v>
      </c>
      <c r="AI2637">
        <v>0</v>
      </c>
      <c r="AJ2637">
        <v>4</v>
      </c>
      <c r="AK2637">
        <v>151</v>
      </c>
      <c r="AL2637">
        <v>151</v>
      </c>
      <c r="AM2637">
        <v>729</v>
      </c>
      <c r="AN2637">
        <v>44</v>
      </c>
      <c r="AP2637">
        <v>1</v>
      </c>
      <c r="AR2637" t="s">
        <v>2731</v>
      </c>
      <c r="AS2637" s="1">
        <v>44353.973611111112</v>
      </c>
      <c r="AT2637" s="1">
        <v>44353.982870370368</v>
      </c>
      <c r="AU2637" s="1">
        <v>44353.98337962963</v>
      </c>
      <c r="AV2637" t="s">
        <v>71</v>
      </c>
      <c r="AW2637" t="s">
        <v>72</v>
      </c>
      <c r="AX2637" t="s">
        <v>73</v>
      </c>
    </row>
    <row r="2638" spans="1:50" x14ac:dyDescent="0.3">
      <c r="A2638" t="str">
        <f>"200736C0100"</f>
        <v>200736C0100</v>
      </c>
      <c r="B2638" t="str">
        <f>"200736C01002"</f>
        <v>200736C01002</v>
      </c>
      <c r="C2638" t="str">
        <f t="shared" si="124"/>
        <v>20</v>
      </c>
      <c r="D2638" t="s">
        <v>67</v>
      </c>
      <c r="E2638" t="str">
        <f t="shared" si="123"/>
        <v>012</v>
      </c>
      <c r="F2638" t="s">
        <v>2715</v>
      </c>
      <c r="G2638" t="str">
        <f>"0736"</f>
        <v>0736</v>
      </c>
      <c r="H2638" t="str">
        <f>"0001"</f>
        <v>0001</v>
      </c>
      <c r="I2638" t="s">
        <v>75</v>
      </c>
      <c r="J2638">
        <v>0</v>
      </c>
      <c r="K2638">
        <v>1</v>
      </c>
      <c r="L2638">
        <v>2</v>
      </c>
      <c r="M2638">
        <v>647</v>
      </c>
      <c r="N2638">
        <v>126</v>
      </c>
      <c r="O2638">
        <v>3</v>
      </c>
      <c r="P2638">
        <v>126</v>
      </c>
      <c r="Q2638">
        <v>8</v>
      </c>
      <c r="R2638">
        <v>23</v>
      </c>
      <c r="S2638">
        <v>0</v>
      </c>
      <c r="T2638">
        <v>2</v>
      </c>
      <c r="U2638">
        <v>7</v>
      </c>
      <c r="V2638">
        <v>6</v>
      </c>
      <c r="W2638">
        <v>4</v>
      </c>
      <c r="X2638">
        <v>55</v>
      </c>
      <c r="Y2638">
        <v>5</v>
      </c>
      <c r="Z2638">
        <v>4</v>
      </c>
      <c r="AA2638">
        <v>2</v>
      </c>
      <c r="AB2638">
        <v>4</v>
      </c>
      <c r="AD2638">
        <v>0</v>
      </c>
      <c r="AE2638">
        <v>0</v>
      </c>
      <c r="AF2638">
        <v>0</v>
      </c>
      <c r="AG2638">
        <v>0</v>
      </c>
      <c r="AI2638">
        <v>0</v>
      </c>
      <c r="AJ2638">
        <v>6</v>
      </c>
      <c r="AK2638">
        <v>126</v>
      </c>
      <c r="AL2638">
        <v>126</v>
      </c>
      <c r="AM2638">
        <v>729</v>
      </c>
      <c r="AN2638">
        <v>44</v>
      </c>
      <c r="AP2638">
        <v>1</v>
      </c>
      <c r="AR2638" t="s">
        <v>2732</v>
      </c>
      <c r="AS2638" s="1">
        <v>44353.970138888886</v>
      </c>
      <c r="AT2638" s="1">
        <v>44353.982523148145</v>
      </c>
      <c r="AU2638" s="1">
        <v>44353.983946759261</v>
      </c>
      <c r="AV2638" t="s">
        <v>71</v>
      </c>
      <c r="AW2638" t="s">
        <v>72</v>
      </c>
      <c r="AX2638" t="s">
        <v>73</v>
      </c>
    </row>
    <row r="2639" spans="1:50" x14ac:dyDescent="0.3">
      <c r="A2639" t="str">
        <f>"200736C0200"</f>
        <v>200736C0200</v>
      </c>
      <c r="B2639" t="str">
        <f>"200736C02002"</f>
        <v>200736C02002</v>
      </c>
      <c r="C2639" t="str">
        <f t="shared" si="124"/>
        <v>20</v>
      </c>
      <c r="D2639" t="s">
        <v>67</v>
      </c>
      <c r="E2639" t="str">
        <f t="shared" si="123"/>
        <v>012</v>
      </c>
      <c r="F2639" t="s">
        <v>2715</v>
      </c>
      <c r="G2639" t="str">
        <f>"0736"</f>
        <v>0736</v>
      </c>
      <c r="H2639" t="str">
        <f>"0002"</f>
        <v>0002</v>
      </c>
      <c r="I2639" t="s">
        <v>75</v>
      </c>
      <c r="J2639">
        <v>0</v>
      </c>
      <c r="K2639">
        <v>1</v>
      </c>
      <c r="L2639">
        <v>2</v>
      </c>
      <c r="M2639" t="s">
        <v>80</v>
      </c>
      <c r="N2639" t="s">
        <v>80</v>
      </c>
      <c r="O2639" t="s">
        <v>80</v>
      </c>
      <c r="P2639" t="s">
        <v>80</v>
      </c>
      <c r="Q2639">
        <v>15</v>
      </c>
      <c r="R2639">
        <v>19</v>
      </c>
      <c r="S2639">
        <v>1</v>
      </c>
      <c r="T2639">
        <v>3</v>
      </c>
      <c r="U2639">
        <v>10</v>
      </c>
      <c r="V2639">
        <v>5</v>
      </c>
      <c r="W2639">
        <v>1</v>
      </c>
      <c r="X2639">
        <v>75</v>
      </c>
      <c r="Y2639">
        <v>1</v>
      </c>
      <c r="Z2639">
        <v>7</v>
      </c>
      <c r="AA2639">
        <v>4</v>
      </c>
      <c r="AB2639">
        <v>1</v>
      </c>
      <c r="AD2639">
        <v>1</v>
      </c>
      <c r="AE2639" t="s">
        <v>77</v>
      </c>
      <c r="AF2639" t="s">
        <v>77</v>
      </c>
      <c r="AG2639" t="s">
        <v>77</v>
      </c>
      <c r="AI2639" t="s">
        <v>77</v>
      </c>
      <c r="AJ2639">
        <v>2</v>
      </c>
      <c r="AK2639">
        <v>145</v>
      </c>
      <c r="AL2639">
        <v>145</v>
      </c>
      <c r="AM2639">
        <v>728</v>
      </c>
      <c r="AN2639">
        <v>44</v>
      </c>
      <c r="AO2639" t="s">
        <v>78</v>
      </c>
      <c r="AP2639">
        <v>1</v>
      </c>
      <c r="AR2639" t="s">
        <v>2733</v>
      </c>
      <c r="AS2639" s="1">
        <v>44353.970138888886</v>
      </c>
      <c r="AT2639" s="1">
        <v>44353.981504629628</v>
      </c>
      <c r="AU2639" s="1">
        <v>44353.982037037036</v>
      </c>
      <c r="AV2639" t="s">
        <v>71</v>
      </c>
      <c r="AW2639" t="s">
        <v>72</v>
      </c>
      <c r="AX2639" t="s">
        <v>73</v>
      </c>
    </row>
    <row r="2640" spans="1:50" x14ac:dyDescent="0.3">
      <c r="A2640" t="str">
        <f>"200737B0000"</f>
        <v>200737B0000</v>
      </c>
      <c r="B2640" t="str">
        <f>"200737B00002"</f>
        <v>200737B00002</v>
      </c>
      <c r="C2640" t="str">
        <f t="shared" si="124"/>
        <v>20</v>
      </c>
      <c r="D2640" t="s">
        <v>67</v>
      </c>
      <c r="E2640" t="str">
        <f t="shared" si="123"/>
        <v>012</v>
      </c>
      <c r="F2640" t="s">
        <v>2715</v>
      </c>
      <c r="G2640" t="str">
        <f>"0737"</f>
        <v>0737</v>
      </c>
      <c r="H2640" t="str">
        <f>"0000"</f>
        <v>0000</v>
      </c>
      <c r="I2640" t="s">
        <v>69</v>
      </c>
      <c r="J2640">
        <v>0</v>
      </c>
      <c r="K2640">
        <v>1</v>
      </c>
      <c r="L2640">
        <v>2</v>
      </c>
      <c r="M2640">
        <v>508</v>
      </c>
      <c r="N2640">
        <v>120</v>
      </c>
      <c r="O2640">
        <v>1</v>
      </c>
      <c r="P2640">
        <v>120</v>
      </c>
      <c r="Q2640">
        <v>12</v>
      </c>
      <c r="R2640">
        <v>13</v>
      </c>
      <c r="S2640">
        <v>0</v>
      </c>
      <c r="T2640">
        <v>3</v>
      </c>
      <c r="U2640">
        <v>7</v>
      </c>
      <c r="V2640">
        <v>9</v>
      </c>
      <c r="W2640">
        <v>1</v>
      </c>
      <c r="X2640">
        <v>63</v>
      </c>
      <c r="Y2640">
        <v>2</v>
      </c>
      <c r="Z2640">
        <v>3</v>
      </c>
      <c r="AA2640">
        <v>4</v>
      </c>
      <c r="AB2640">
        <v>1</v>
      </c>
      <c r="AD2640">
        <v>0</v>
      </c>
      <c r="AE2640">
        <v>0</v>
      </c>
      <c r="AF2640">
        <v>0</v>
      </c>
      <c r="AG2640">
        <v>0</v>
      </c>
      <c r="AI2640">
        <v>0</v>
      </c>
      <c r="AJ2640">
        <v>2</v>
      </c>
      <c r="AK2640">
        <v>120</v>
      </c>
      <c r="AL2640">
        <v>120</v>
      </c>
      <c r="AM2640">
        <v>584</v>
      </c>
      <c r="AN2640">
        <v>44</v>
      </c>
      <c r="AP2640">
        <v>1</v>
      </c>
      <c r="AR2640" t="s">
        <v>2734</v>
      </c>
      <c r="AS2640" s="1">
        <v>44353.974305555559</v>
      </c>
      <c r="AT2640" s="1">
        <v>44353.983865740738</v>
      </c>
      <c r="AU2640" s="1">
        <v>44353.984317129631</v>
      </c>
      <c r="AV2640" t="s">
        <v>71</v>
      </c>
      <c r="AW2640" t="s">
        <v>72</v>
      </c>
      <c r="AX2640" t="s">
        <v>73</v>
      </c>
    </row>
    <row r="2641" spans="1:50" x14ac:dyDescent="0.3">
      <c r="A2641" t="str">
        <f>"200737C0100"</f>
        <v>200737C0100</v>
      </c>
      <c r="B2641" t="str">
        <f>"200737C01002"</f>
        <v>200737C01002</v>
      </c>
      <c r="C2641" t="str">
        <f t="shared" si="124"/>
        <v>20</v>
      </c>
      <c r="D2641" t="s">
        <v>67</v>
      </c>
      <c r="E2641" t="str">
        <f t="shared" si="123"/>
        <v>012</v>
      </c>
      <c r="F2641" t="s">
        <v>2715</v>
      </c>
      <c r="G2641" t="str">
        <f>"0737"</f>
        <v>0737</v>
      </c>
      <c r="H2641" t="str">
        <f>"0001"</f>
        <v>0001</v>
      </c>
      <c r="I2641" t="s">
        <v>75</v>
      </c>
      <c r="J2641">
        <v>0</v>
      </c>
      <c r="K2641">
        <v>1</v>
      </c>
      <c r="L2641">
        <v>2</v>
      </c>
      <c r="M2641">
        <v>507</v>
      </c>
      <c r="N2641">
        <v>121</v>
      </c>
      <c r="O2641">
        <v>0</v>
      </c>
      <c r="P2641">
        <v>121</v>
      </c>
      <c r="Q2641">
        <v>13</v>
      </c>
      <c r="R2641">
        <v>26</v>
      </c>
      <c r="S2641">
        <v>0</v>
      </c>
      <c r="T2641">
        <v>3</v>
      </c>
      <c r="U2641">
        <v>6</v>
      </c>
      <c r="V2641">
        <v>6</v>
      </c>
      <c r="W2641">
        <v>2</v>
      </c>
      <c r="X2641">
        <v>44</v>
      </c>
      <c r="Y2641">
        <v>1</v>
      </c>
      <c r="Z2641">
        <v>2</v>
      </c>
      <c r="AA2641">
        <v>4</v>
      </c>
      <c r="AB2641">
        <v>3</v>
      </c>
      <c r="AD2641">
        <v>0</v>
      </c>
      <c r="AE2641">
        <v>0</v>
      </c>
      <c r="AF2641">
        <v>0</v>
      </c>
      <c r="AG2641">
        <v>0</v>
      </c>
      <c r="AI2641">
        <v>0</v>
      </c>
      <c r="AJ2641">
        <v>11</v>
      </c>
      <c r="AK2641">
        <v>121</v>
      </c>
      <c r="AL2641">
        <v>121</v>
      </c>
      <c r="AM2641">
        <v>584</v>
      </c>
      <c r="AN2641">
        <v>44</v>
      </c>
      <c r="AP2641">
        <v>1</v>
      </c>
      <c r="AR2641" t="s">
        <v>2735</v>
      </c>
      <c r="AS2641" s="1">
        <v>44353.96875</v>
      </c>
      <c r="AT2641" s="1">
        <v>44353.980798611112</v>
      </c>
      <c r="AU2641" s="1">
        <v>44353.981296296297</v>
      </c>
      <c r="AV2641" t="s">
        <v>71</v>
      </c>
      <c r="AW2641" t="s">
        <v>72</v>
      </c>
      <c r="AX2641" t="s">
        <v>73</v>
      </c>
    </row>
    <row r="2642" spans="1:50" x14ac:dyDescent="0.3">
      <c r="A2642" t="str">
        <f>"200747B0000"</f>
        <v>200747B0000</v>
      </c>
      <c r="B2642" t="str">
        <f>"200747B00002"</f>
        <v>200747B00002</v>
      </c>
      <c r="C2642" t="str">
        <f t="shared" si="124"/>
        <v>20</v>
      </c>
      <c r="D2642" t="s">
        <v>67</v>
      </c>
      <c r="E2642" t="str">
        <f t="shared" si="123"/>
        <v>012</v>
      </c>
      <c r="F2642" t="s">
        <v>2715</v>
      </c>
      <c r="G2642" t="str">
        <f>"0747"</f>
        <v>0747</v>
      </c>
      <c r="H2642" t="str">
        <f>"0000"</f>
        <v>0000</v>
      </c>
      <c r="I2642" t="s">
        <v>69</v>
      </c>
      <c r="J2642">
        <v>0</v>
      </c>
      <c r="K2642">
        <v>1</v>
      </c>
      <c r="L2642">
        <v>2</v>
      </c>
      <c r="M2642">
        <v>498</v>
      </c>
      <c r="N2642">
        <v>261</v>
      </c>
      <c r="O2642">
        <v>2</v>
      </c>
      <c r="P2642">
        <v>261</v>
      </c>
      <c r="Q2642">
        <v>28</v>
      </c>
      <c r="R2642">
        <v>47</v>
      </c>
      <c r="S2642">
        <v>1</v>
      </c>
      <c r="T2642">
        <v>2</v>
      </c>
      <c r="U2642">
        <v>12</v>
      </c>
      <c r="V2642">
        <v>8</v>
      </c>
      <c r="W2642">
        <v>9</v>
      </c>
      <c r="X2642">
        <v>115</v>
      </c>
      <c r="Y2642">
        <v>2</v>
      </c>
      <c r="Z2642">
        <v>11</v>
      </c>
      <c r="AA2642">
        <v>1</v>
      </c>
      <c r="AB2642">
        <v>11</v>
      </c>
      <c r="AD2642">
        <v>3</v>
      </c>
      <c r="AE2642">
        <v>1</v>
      </c>
      <c r="AF2642">
        <v>0</v>
      </c>
      <c r="AG2642">
        <v>0</v>
      </c>
      <c r="AI2642">
        <v>1</v>
      </c>
      <c r="AJ2642">
        <v>9</v>
      </c>
      <c r="AK2642">
        <v>261</v>
      </c>
      <c r="AL2642">
        <v>261</v>
      </c>
      <c r="AM2642">
        <v>715</v>
      </c>
      <c r="AN2642">
        <v>44</v>
      </c>
      <c r="AP2642">
        <v>1</v>
      </c>
      <c r="AR2642" t="s">
        <v>2736</v>
      </c>
      <c r="AS2642" s="1">
        <v>44353.921527777777</v>
      </c>
      <c r="AT2642" s="1">
        <v>44353.93540509259</v>
      </c>
      <c r="AU2642" s="1">
        <v>44353.936203703706</v>
      </c>
      <c r="AV2642" t="s">
        <v>71</v>
      </c>
      <c r="AW2642" t="s">
        <v>72</v>
      </c>
      <c r="AX2642" t="s">
        <v>73</v>
      </c>
    </row>
    <row r="2643" spans="1:50" x14ac:dyDescent="0.3">
      <c r="A2643" t="str">
        <f>"200747C0100"</f>
        <v>200747C0100</v>
      </c>
      <c r="B2643" t="str">
        <f>"200747C01002"</f>
        <v>200747C01002</v>
      </c>
      <c r="C2643" t="str">
        <f t="shared" si="124"/>
        <v>20</v>
      </c>
      <c r="D2643" t="s">
        <v>67</v>
      </c>
      <c r="E2643" t="str">
        <f t="shared" si="123"/>
        <v>012</v>
      </c>
      <c r="F2643" t="s">
        <v>2715</v>
      </c>
      <c r="G2643" t="str">
        <f>"0747"</f>
        <v>0747</v>
      </c>
      <c r="H2643" t="str">
        <f>"0001"</f>
        <v>0001</v>
      </c>
      <c r="I2643" t="s">
        <v>75</v>
      </c>
      <c r="J2643">
        <v>0</v>
      </c>
      <c r="K2643">
        <v>1</v>
      </c>
      <c r="L2643">
        <v>2</v>
      </c>
      <c r="M2643">
        <v>468</v>
      </c>
      <c r="N2643">
        <v>291</v>
      </c>
      <c r="O2643">
        <v>3</v>
      </c>
      <c r="P2643">
        <v>291</v>
      </c>
      <c r="Q2643">
        <v>22</v>
      </c>
      <c r="R2643">
        <v>52</v>
      </c>
      <c r="S2643">
        <v>3</v>
      </c>
      <c r="T2643">
        <v>7</v>
      </c>
      <c r="U2643">
        <v>12</v>
      </c>
      <c r="V2643">
        <v>7</v>
      </c>
      <c r="W2643">
        <v>4</v>
      </c>
      <c r="X2643">
        <v>143</v>
      </c>
      <c r="Y2643">
        <v>2</v>
      </c>
      <c r="Z2643">
        <v>10</v>
      </c>
      <c r="AA2643">
        <v>5</v>
      </c>
      <c r="AB2643">
        <v>9</v>
      </c>
      <c r="AD2643">
        <v>2</v>
      </c>
      <c r="AE2643">
        <v>0</v>
      </c>
      <c r="AF2643">
        <v>0</v>
      </c>
      <c r="AG2643">
        <v>0</v>
      </c>
      <c r="AI2643">
        <v>0</v>
      </c>
      <c r="AJ2643">
        <v>13</v>
      </c>
      <c r="AK2643">
        <v>291</v>
      </c>
      <c r="AL2643">
        <v>291</v>
      </c>
      <c r="AM2643">
        <v>715</v>
      </c>
      <c r="AN2643">
        <v>44</v>
      </c>
      <c r="AP2643">
        <v>1</v>
      </c>
      <c r="AR2643" t="s">
        <v>2737</v>
      </c>
      <c r="AS2643" s="1">
        <v>44353.918055555558</v>
      </c>
      <c r="AT2643" s="1">
        <v>44353.934606481482</v>
      </c>
      <c r="AU2643" s="1">
        <v>44353.935520833336</v>
      </c>
      <c r="AV2643" t="s">
        <v>71</v>
      </c>
      <c r="AW2643" t="s">
        <v>72</v>
      </c>
      <c r="AX2643" t="s">
        <v>73</v>
      </c>
    </row>
    <row r="2644" spans="1:50" x14ac:dyDescent="0.3">
      <c r="A2644" t="str">
        <f>"200747C0200"</f>
        <v>200747C0200</v>
      </c>
      <c r="B2644" t="str">
        <f>"200747C02002"</f>
        <v>200747C02002</v>
      </c>
      <c r="C2644" t="str">
        <f t="shared" si="124"/>
        <v>20</v>
      </c>
      <c r="D2644" t="s">
        <v>67</v>
      </c>
      <c r="E2644" t="str">
        <f t="shared" si="123"/>
        <v>012</v>
      </c>
      <c r="F2644" t="s">
        <v>2715</v>
      </c>
      <c r="G2644" t="str">
        <f>"0747"</f>
        <v>0747</v>
      </c>
      <c r="H2644" t="str">
        <f>"0002"</f>
        <v>0002</v>
      </c>
      <c r="I2644" t="s">
        <v>75</v>
      </c>
      <c r="J2644">
        <v>0</v>
      </c>
      <c r="K2644">
        <v>1</v>
      </c>
      <c r="L2644">
        <v>2</v>
      </c>
      <c r="M2644">
        <v>475</v>
      </c>
      <c r="N2644">
        <v>283</v>
      </c>
      <c r="O2644">
        <v>3</v>
      </c>
      <c r="P2644">
        <v>283</v>
      </c>
      <c r="Q2644">
        <v>30</v>
      </c>
      <c r="R2644">
        <v>45</v>
      </c>
      <c r="S2644">
        <v>3</v>
      </c>
      <c r="T2644">
        <v>6</v>
      </c>
      <c r="U2644">
        <v>18</v>
      </c>
      <c r="V2644">
        <v>10</v>
      </c>
      <c r="W2644">
        <v>4</v>
      </c>
      <c r="X2644">
        <v>135</v>
      </c>
      <c r="Y2644">
        <v>4</v>
      </c>
      <c r="Z2644">
        <v>4</v>
      </c>
      <c r="AA2644">
        <v>4</v>
      </c>
      <c r="AB2644">
        <v>3</v>
      </c>
      <c r="AD2644">
        <v>6</v>
      </c>
      <c r="AE2644">
        <v>1</v>
      </c>
      <c r="AF2644">
        <v>0</v>
      </c>
      <c r="AG2644">
        <v>0</v>
      </c>
      <c r="AI2644">
        <v>0</v>
      </c>
      <c r="AJ2644">
        <v>10</v>
      </c>
      <c r="AK2644">
        <v>283</v>
      </c>
      <c r="AL2644">
        <v>283</v>
      </c>
      <c r="AM2644">
        <v>714</v>
      </c>
      <c r="AN2644">
        <v>44</v>
      </c>
      <c r="AP2644">
        <v>1</v>
      </c>
      <c r="AR2644" t="s">
        <v>2738</v>
      </c>
      <c r="AS2644" s="1">
        <v>44353.919444444444</v>
      </c>
      <c r="AT2644" s="1">
        <v>44353.938333333332</v>
      </c>
      <c r="AU2644" s="1">
        <v>44353.939166666663</v>
      </c>
      <c r="AV2644" t="s">
        <v>71</v>
      </c>
      <c r="AW2644" t="s">
        <v>72</v>
      </c>
      <c r="AX2644" t="s">
        <v>73</v>
      </c>
    </row>
    <row r="2645" spans="1:50" x14ac:dyDescent="0.3">
      <c r="A2645" t="str">
        <f>"200748B0000"</f>
        <v>200748B0000</v>
      </c>
      <c r="B2645" t="str">
        <f>"200748B00002"</f>
        <v>200748B00002</v>
      </c>
      <c r="C2645" t="str">
        <f t="shared" si="124"/>
        <v>20</v>
      </c>
      <c r="D2645" t="s">
        <v>67</v>
      </c>
      <c r="E2645" t="str">
        <f t="shared" si="123"/>
        <v>012</v>
      </c>
      <c r="F2645" t="s">
        <v>2715</v>
      </c>
      <c r="G2645" t="str">
        <f>"0748"</f>
        <v>0748</v>
      </c>
      <c r="H2645" t="str">
        <f>"0000"</f>
        <v>0000</v>
      </c>
      <c r="I2645" t="s">
        <v>69</v>
      </c>
      <c r="J2645">
        <v>0</v>
      </c>
      <c r="K2645">
        <v>1</v>
      </c>
      <c r="L2645">
        <v>2</v>
      </c>
      <c r="M2645">
        <v>384</v>
      </c>
      <c r="N2645">
        <v>312</v>
      </c>
      <c r="O2645">
        <v>3</v>
      </c>
      <c r="P2645">
        <v>312</v>
      </c>
      <c r="Q2645">
        <v>37</v>
      </c>
      <c r="R2645">
        <v>71</v>
      </c>
      <c r="S2645">
        <v>2</v>
      </c>
      <c r="T2645">
        <v>3</v>
      </c>
      <c r="U2645">
        <v>11</v>
      </c>
      <c r="V2645">
        <v>15</v>
      </c>
      <c r="W2645">
        <v>4</v>
      </c>
      <c r="X2645">
        <v>129</v>
      </c>
      <c r="Y2645">
        <v>1</v>
      </c>
      <c r="Z2645">
        <v>10</v>
      </c>
      <c r="AA2645">
        <v>3</v>
      </c>
      <c r="AB2645">
        <v>5</v>
      </c>
      <c r="AD2645">
        <v>5</v>
      </c>
      <c r="AE2645">
        <v>2</v>
      </c>
      <c r="AF2645">
        <v>0</v>
      </c>
      <c r="AG2645">
        <v>0</v>
      </c>
      <c r="AI2645">
        <v>0</v>
      </c>
      <c r="AJ2645">
        <v>14</v>
      </c>
      <c r="AK2645">
        <v>312</v>
      </c>
      <c r="AL2645">
        <v>312</v>
      </c>
      <c r="AM2645">
        <v>652</v>
      </c>
      <c r="AN2645">
        <v>44</v>
      </c>
      <c r="AP2645">
        <v>1</v>
      </c>
      <c r="AR2645" t="s">
        <v>2739</v>
      </c>
      <c r="AS2645" s="1">
        <v>44353.90625</v>
      </c>
      <c r="AT2645" s="1">
        <v>44353.919872685183</v>
      </c>
      <c r="AU2645" s="1">
        <v>44353.920439814814</v>
      </c>
      <c r="AV2645" t="s">
        <v>71</v>
      </c>
      <c r="AW2645" t="s">
        <v>72</v>
      </c>
      <c r="AX2645" t="s">
        <v>73</v>
      </c>
    </row>
    <row r="2646" spans="1:50" x14ac:dyDescent="0.3">
      <c r="A2646" t="str">
        <f>"200748C0100"</f>
        <v>200748C0100</v>
      </c>
      <c r="B2646" t="str">
        <f>"200748C01002"</f>
        <v>200748C01002</v>
      </c>
      <c r="C2646" t="str">
        <f t="shared" si="124"/>
        <v>20</v>
      </c>
      <c r="D2646" t="s">
        <v>67</v>
      </c>
      <c r="E2646" t="str">
        <f t="shared" si="123"/>
        <v>012</v>
      </c>
      <c r="F2646" t="s">
        <v>2715</v>
      </c>
      <c r="G2646" t="str">
        <f>"0748"</f>
        <v>0748</v>
      </c>
      <c r="H2646" t="str">
        <f>"0001"</f>
        <v>0001</v>
      </c>
      <c r="I2646" t="s">
        <v>75</v>
      </c>
      <c r="J2646">
        <v>0</v>
      </c>
      <c r="K2646">
        <v>1</v>
      </c>
      <c r="L2646">
        <v>2</v>
      </c>
      <c r="M2646">
        <v>402</v>
      </c>
      <c r="N2646">
        <v>292</v>
      </c>
      <c r="O2646">
        <v>3</v>
      </c>
      <c r="P2646">
        <v>292</v>
      </c>
      <c r="Q2646">
        <v>32</v>
      </c>
      <c r="R2646">
        <v>85</v>
      </c>
      <c r="S2646">
        <v>2</v>
      </c>
      <c r="T2646">
        <v>7</v>
      </c>
      <c r="U2646">
        <v>8</v>
      </c>
      <c r="V2646">
        <v>13</v>
      </c>
      <c r="W2646">
        <v>0</v>
      </c>
      <c r="X2646">
        <v>116</v>
      </c>
      <c r="Y2646">
        <v>2</v>
      </c>
      <c r="Z2646">
        <v>11</v>
      </c>
      <c r="AA2646">
        <v>4</v>
      </c>
      <c r="AB2646">
        <v>3</v>
      </c>
      <c r="AD2646">
        <v>4</v>
      </c>
      <c r="AE2646">
        <v>0</v>
      </c>
      <c r="AF2646">
        <v>0</v>
      </c>
      <c r="AG2646">
        <v>0</v>
      </c>
      <c r="AI2646">
        <v>0</v>
      </c>
      <c r="AJ2646">
        <v>5</v>
      </c>
      <c r="AK2646">
        <v>292</v>
      </c>
      <c r="AL2646">
        <v>292</v>
      </c>
      <c r="AM2646">
        <v>652</v>
      </c>
      <c r="AN2646">
        <v>44</v>
      </c>
      <c r="AP2646">
        <v>1</v>
      </c>
      <c r="AR2646" s="2" t="s">
        <v>2740</v>
      </c>
      <c r="AS2646" s="1">
        <v>44353.902083333334</v>
      </c>
      <c r="AT2646" s="1">
        <v>44353.926388888889</v>
      </c>
      <c r="AU2646" s="1">
        <v>44353.927175925928</v>
      </c>
      <c r="AV2646" t="s">
        <v>71</v>
      </c>
      <c r="AW2646" t="s">
        <v>72</v>
      </c>
      <c r="AX2646" t="s">
        <v>73</v>
      </c>
    </row>
    <row r="2647" spans="1:50" x14ac:dyDescent="0.3">
      <c r="A2647" t="str">
        <f>"200748C0200"</f>
        <v>200748C0200</v>
      </c>
      <c r="B2647" t="str">
        <f>"200748C02002"</f>
        <v>200748C02002</v>
      </c>
      <c r="C2647" t="str">
        <f t="shared" si="124"/>
        <v>20</v>
      </c>
      <c r="D2647" t="s">
        <v>67</v>
      </c>
      <c r="E2647" t="str">
        <f t="shared" si="123"/>
        <v>012</v>
      </c>
      <c r="F2647" t="s">
        <v>2715</v>
      </c>
      <c r="G2647" t="str">
        <f>"0748"</f>
        <v>0748</v>
      </c>
      <c r="H2647" t="str">
        <f>"0002"</f>
        <v>0002</v>
      </c>
      <c r="I2647" t="s">
        <v>75</v>
      </c>
      <c r="J2647">
        <v>0</v>
      </c>
      <c r="K2647">
        <v>1</v>
      </c>
      <c r="L2647">
        <v>2</v>
      </c>
      <c r="M2647">
        <v>380</v>
      </c>
      <c r="N2647">
        <v>316</v>
      </c>
      <c r="O2647">
        <v>4</v>
      </c>
      <c r="P2647">
        <v>316</v>
      </c>
      <c r="Q2647">
        <v>56</v>
      </c>
      <c r="R2647">
        <v>74</v>
      </c>
      <c r="S2647">
        <v>7</v>
      </c>
      <c r="T2647">
        <v>3</v>
      </c>
      <c r="U2647">
        <v>10</v>
      </c>
      <c r="V2647">
        <v>14</v>
      </c>
      <c r="W2647">
        <v>1</v>
      </c>
      <c r="X2647">
        <v>113</v>
      </c>
      <c r="Y2647">
        <v>2</v>
      </c>
      <c r="Z2647">
        <v>13</v>
      </c>
      <c r="AA2647">
        <v>1</v>
      </c>
      <c r="AB2647">
        <v>4</v>
      </c>
      <c r="AD2647">
        <v>5</v>
      </c>
      <c r="AE2647">
        <v>0</v>
      </c>
      <c r="AF2647">
        <v>0</v>
      </c>
      <c r="AG2647">
        <v>0</v>
      </c>
      <c r="AI2647">
        <v>1</v>
      </c>
      <c r="AJ2647">
        <v>12</v>
      </c>
      <c r="AK2647">
        <v>316</v>
      </c>
      <c r="AL2647">
        <v>316</v>
      </c>
      <c r="AM2647">
        <v>652</v>
      </c>
      <c r="AN2647">
        <v>44</v>
      </c>
      <c r="AP2647">
        <v>1</v>
      </c>
      <c r="AR2647" t="s">
        <v>2741</v>
      </c>
      <c r="AS2647" s="1">
        <v>44353.911111111112</v>
      </c>
      <c r="AT2647" s="1">
        <v>44353.917581018519</v>
      </c>
      <c r="AU2647" s="1">
        <v>44353.918344907404</v>
      </c>
      <c r="AV2647" t="s">
        <v>71</v>
      </c>
      <c r="AW2647" t="s">
        <v>72</v>
      </c>
      <c r="AX2647" t="s">
        <v>73</v>
      </c>
    </row>
    <row r="2648" spans="1:50" x14ac:dyDescent="0.3">
      <c r="A2648" t="str">
        <f>"200749B0000"</f>
        <v>200749B0000</v>
      </c>
      <c r="B2648" t="str">
        <f>"200749B00002"</f>
        <v>200749B00002</v>
      </c>
      <c r="C2648" t="str">
        <f t="shared" si="124"/>
        <v>20</v>
      </c>
      <c r="D2648" t="s">
        <v>67</v>
      </c>
      <c r="E2648" t="str">
        <f t="shared" si="123"/>
        <v>012</v>
      </c>
      <c r="F2648" t="s">
        <v>2715</v>
      </c>
      <c r="G2648" t="str">
        <f>"0749"</f>
        <v>0749</v>
      </c>
      <c r="H2648" t="str">
        <f>"0000"</f>
        <v>0000</v>
      </c>
      <c r="I2648" t="s">
        <v>69</v>
      </c>
      <c r="J2648">
        <v>0</v>
      </c>
      <c r="K2648">
        <v>1</v>
      </c>
      <c r="L2648">
        <v>2</v>
      </c>
      <c r="M2648">
        <v>411</v>
      </c>
      <c r="N2648">
        <v>623</v>
      </c>
      <c r="O2648">
        <v>0</v>
      </c>
      <c r="P2648">
        <v>212</v>
      </c>
      <c r="Q2648">
        <v>12</v>
      </c>
      <c r="R2648">
        <v>39</v>
      </c>
      <c r="S2648">
        <v>6</v>
      </c>
      <c r="T2648">
        <v>5</v>
      </c>
      <c r="U2648">
        <v>9</v>
      </c>
      <c r="V2648">
        <v>4</v>
      </c>
      <c r="W2648">
        <v>3</v>
      </c>
      <c r="X2648">
        <v>112</v>
      </c>
      <c r="Y2648">
        <v>7</v>
      </c>
      <c r="Z2648">
        <v>1</v>
      </c>
      <c r="AA2648">
        <v>3</v>
      </c>
      <c r="AB2648">
        <v>2</v>
      </c>
      <c r="AD2648">
        <v>1</v>
      </c>
      <c r="AE2648">
        <v>0</v>
      </c>
      <c r="AF2648">
        <v>0</v>
      </c>
      <c r="AG2648">
        <v>0</v>
      </c>
      <c r="AI2648">
        <v>0</v>
      </c>
      <c r="AJ2648">
        <v>8</v>
      </c>
      <c r="AK2648">
        <v>212</v>
      </c>
      <c r="AL2648">
        <v>212</v>
      </c>
      <c r="AM2648">
        <v>579</v>
      </c>
      <c r="AN2648">
        <v>44</v>
      </c>
      <c r="AP2648">
        <v>1</v>
      </c>
      <c r="AR2648" t="s">
        <v>2742</v>
      </c>
      <c r="AS2648" s="1">
        <v>44354.074999999997</v>
      </c>
      <c r="AT2648" s="1">
        <v>44354.192835648151</v>
      </c>
      <c r="AU2648" s="1">
        <v>44354.193483796298</v>
      </c>
      <c r="AV2648" t="s">
        <v>71</v>
      </c>
      <c r="AW2648" t="s">
        <v>72</v>
      </c>
      <c r="AX2648" t="s">
        <v>73</v>
      </c>
    </row>
    <row r="2649" spans="1:50" x14ac:dyDescent="0.3">
      <c r="A2649" t="str">
        <f>"200749C0100"</f>
        <v>200749C0100</v>
      </c>
      <c r="B2649" t="str">
        <f>"200749C01002"</f>
        <v>200749C01002</v>
      </c>
      <c r="C2649" t="str">
        <f t="shared" si="124"/>
        <v>20</v>
      </c>
      <c r="D2649" t="s">
        <v>67</v>
      </c>
      <c r="E2649" t="str">
        <f t="shared" si="123"/>
        <v>012</v>
      </c>
      <c r="F2649" t="s">
        <v>2715</v>
      </c>
      <c r="G2649" t="str">
        <f>"0749"</f>
        <v>0749</v>
      </c>
      <c r="H2649" t="str">
        <f>"0001"</f>
        <v>0001</v>
      </c>
      <c r="I2649" t="s">
        <v>75</v>
      </c>
      <c r="J2649">
        <v>0</v>
      </c>
      <c r="K2649">
        <v>1</v>
      </c>
      <c r="L2649">
        <v>2</v>
      </c>
      <c r="M2649">
        <v>413</v>
      </c>
      <c r="N2649">
        <v>209</v>
      </c>
      <c r="O2649">
        <v>4</v>
      </c>
      <c r="P2649">
        <v>209</v>
      </c>
      <c r="Q2649">
        <v>18</v>
      </c>
      <c r="R2649">
        <v>24</v>
      </c>
      <c r="S2649">
        <v>2</v>
      </c>
      <c r="T2649">
        <v>1</v>
      </c>
      <c r="U2649">
        <v>8</v>
      </c>
      <c r="V2649">
        <v>1</v>
      </c>
      <c r="W2649">
        <v>6</v>
      </c>
      <c r="X2649">
        <v>126</v>
      </c>
      <c r="Y2649">
        <v>6</v>
      </c>
      <c r="Z2649">
        <v>9</v>
      </c>
      <c r="AA2649">
        <v>1</v>
      </c>
      <c r="AB2649">
        <v>2</v>
      </c>
      <c r="AD2649">
        <v>0</v>
      </c>
      <c r="AE2649">
        <v>1</v>
      </c>
      <c r="AF2649">
        <v>0</v>
      </c>
      <c r="AG2649">
        <v>0</v>
      </c>
      <c r="AI2649">
        <v>0</v>
      </c>
      <c r="AJ2649">
        <v>4</v>
      </c>
      <c r="AK2649">
        <v>209</v>
      </c>
      <c r="AL2649">
        <v>209</v>
      </c>
      <c r="AM2649">
        <v>578</v>
      </c>
      <c r="AN2649">
        <v>44</v>
      </c>
      <c r="AP2649">
        <v>1</v>
      </c>
      <c r="AR2649" t="s">
        <v>2743</v>
      </c>
      <c r="AS2649" s="1">
        <v>44354.07708333333</v>
      </c>
      <c r="AT2649" s="1">
        <v>44354.093136574076</v>
      </c>
      <c r="AU2649" s="1">
        <v>44354.093645833331</v>
      </c>
      <c r="AV2649" t="s">
        <v>71</v>
      </c>
      <c r="AW2649" t="s">
        <v>72</v>
      </c>
      <c r="AX2649" t="s">
        <v>73</v>
      </c>
    </row>
    <row r="2650" spans="1:50" x14ac:dyDescent="0.3">
      <c r="A2650" t="str">
        <f>"200749E0100"</f>
        <v>200749E0100</v>
      </c>
      <c r="B2650" t="str">
        <f>"200749E01002"</f>
        <v>200749E01002</v>
      </c>
      <c r="C2650" t="str">
        <f t="shared" si="124"/>
        <v>20</v>
      </c>
      <c r="D2650" t="s">
        <v>67</v>
      </c>
      <c r="E2650" t="str">
        <f t="shared" si="123"/>
        <v>012</v>
      </c>
      <c r="F2650" t="s">
        <v>2715</v>
      </c>
      <c r="G2650" t="str">
        <f>"0749"</f>
        <v>0749</v>
      </c>
      <c r="H2650" t="str">
        <f>"0001"</f>
        <v>0001</v>
      </c>
      <c r="I2650" t="s">
        <v>109</v>
      </c>
      <c r="J2650">
        <v>0</v>
      </c>
      <c r="K2650">
        <v>1</v>
      </c>
      <c r="L2650">
        <v>2</v>
      </c>
      <c r="M2650">
        <v>89</v>
      </c>
      <c r="N2650">
        <v>98</v>
      </c>
      <c r="O2650">
        <v>9</v>
      </c>
      <c r="P2650">
        <v>98</v>
      </c>
      <c r="Q2650">
        <v>2</v>
      </c>
      <c r="R2650">
        <v>3</v>
      </c>
      <c r="S2650">
        <v>1</v>
      </c>
      <c r="T2650">
        <v>1</v>
      </c>
      <c r="U2650">
        <v>29</v>
      </c>
      <c r="V2650">
        <v>2</v>
      </c>
      <c r="W2650">
        <v>4</v>
      </c>
      <c r="X2650">
        <v>43</v>
      </c>
      <c r="Y2650">
        <v>7</v>
      </c>
      <c r="Z2650">
        <v>1</v>
      </c>
      <c r="AA2650">
        <v>1</v>
      </c>
      <c r="AB2650">
        <v>1</v>
      </c>
      <c r="AD2650">
        <v>0</v>
      </c>
      <c r="AE2650">
        <v>0</v>
      </c>
      <c r="AF2650">
        <v>0</v>
      </c>
      <c r="AG2650">
        <v>0</v>
      </c>
      <c r="AI2650">
        <v>0</v>
      </c>
      <c r="AJ2650">
        <v>3</v>
      </c>
      <c r="AK2650">
        <v>98</v>
      </c>
      <c r="AL2650">
        <v>98</v>
      </c>
      <c r="AM2650">
        <v>143</v>
      </c>
      <c r="AN2650">
        <v>44</v>
      </c>
      <c r="AP2650">
        <v>1</v>
      </c>
      <c r="AR2650" t="s">
        <v>2744</v>
      </c>
      <c r="AS2650" s="1">
        <v>44354.040277777778</v>
      </c>
      <c r="AT2650" s="1">
        <v>44354.053576388891</v>
      </c>
      <c r="AU2650" s="1">
        <v>44354.054131944446</v>
      </c>
      <c r="AV2650" t="s">
        <v>71</v>
      </c>
      <c r="AW2650" t="s">
        <v>72</v>
      </c>
      <c r="AX2650" t="s">
        <v>73</v>
      </c>
    </row>
    <row r="2651" spans="1:50" x14ac:dyDescent="0.3">
      <c r="A2651" t="str">
        <f>"200862B0000"</f>
        <v>200862B0000</v>
      </c>
      <c r="B2651" t="str">
        <f>"200862B00002"</f>
        <v>200862B00002</v>
      </c>
      <c r="C2651" t="str">
        <f t="shared" si="124"/>
        <v>20</v>
      </c>
      <c r="D2651" t="s">
        <v>67</v>
      </c>
      <c r="E2651" t="str">
        <f t="shared" si="123"/>
        <v>012</v>
      </c>
      <c r="F2651" t="s">
        <v>2715</v>
      </c>
      <c r="G2651" t="str">
        <f>"0862"</f>
        <v>0862</v>
      </c>
      <c r="H2651" t="str">
        <f>"0000"</f>
        <v>0000</v>
      </c>
      <c r="I2651" t="s">
        <v>69</v>
      </c>
      <c r="J2651">
        <v>0</v>
      </c>
      <c r="K2651">
        <v>1</v>
      </c>
      <c r="L2651">
        <v>2</v>
      </c>
      <c r="M2651">
        <v>425</v>
      </c>
      <c r="N2651">
        <v>143</v>
      </c>
      <c r="O2651">
        <v>3</v>
      </c>
      <c r="P2651">
        <v>143</v>
      </c>
      <c r="Q2651">
        <v>8</v>
      </c>
      <c r="R2651">
        <v>12</v>
      </c>
      <c r="S2651">
        <v>3</v>
      </c>
      <c r="T2651">
        <v>4</v>
      </c>
      <c r="U2651">
        <v>9</v>
      </c>
      <c r="V2651">
        <v>2</v>
      </c>
      <c r="W2651">
        <v>5</v>
      </c>
      <c r="X2651">
        <v>84</v>
      </c>
      <c r="Y2651">
        <v>1</v>
      </c>
      <c r="Z2651">
        <v>5</v>
      </c>
      <c r="AA2651">
        <v>3</v>
      </c>
      <c r="AB2651">
        <v>1</v>
      </c>
      <c r="AD2651">
        <v>2</v>
      </c>
      <c r="AE2651">
        <v>1</v>
      </c>
      <c r="AF2651">
        <v>0</v>
      </c>
      <c r="AG2651">
        <v>0</v>
      </c>
      <c r="AI2651">
        <v>0</v>
      </c>
      <c r="AJ2651">
        <v>3</v>
      </c>
      <c r="AK2651">
        <v>143</v>
      </c>
      <c r="AL2651">
        <v>143</v>
      </c>
      <c r="AM2651">
        <v>524</v>
      </c>
      <c r="AN2651">
        <v>44</v>
      </c>
      <c r="AP2651">
        <v>1</v>
      </c>
      <c r="AR2651" t="s">
        <v>2745</v>
      </c>
      <c r="AS2651" s="1">
        <v>44354.07916666667</v>
      </c>
      <c r="AT2651" s="1">
        <v>44354.096805555557</v>
      </c>
      <c r="AU2651" s="1">
        <v>44354.097210648149</v>
      </c>
      <c r="AV2651" t="s">
        <v>71</v>
      </c>
      <c r="AW2651" t="s">
        <v>72</v>
      </c>
      <c r="AX2651" t="s">
        <v>73</v>
      </c>
    </row>
    <row r="2652" spans="1:50" x14ac:dyDescent="0.3">
      <c r="A2652" t="str">
        <f>"200862C0100"</f>
        <v>200862C0100</v>
      </c>
      <c r="B2652" t="str">
        <f>"200862C01002"</f>
        <v>200862C01002</v>
      </c>
      <c r="C2652" t="str">
        <f t="shared" si="124"/>
        <v>20</v>
      </c>
      <c r="D2652" t="s">
        <v>67</v>
      </c>
      <c r="E2652" t="str">
        <f t="shared" si="123"/>
        <v>012</v>
      </c>
      <c r="F2652" t="s">
        <v>2715</v>
      </c>
      <c r="G2652" t="str">
        <f>"0862"</f>
        <v>0862</v>
      </c>
      <c r="H2652" t="str">
        <f>"0001"</f>
        <v>0001</v>
      </c>
      <c r="I2652" t="s">
        <v>75</v>
      </c>
      <c r="J2652">
        <v>0</v>
      </c>
      <c r="K2652">
        <v>1</v>
      </c>
      <c r="L2652">
        <v>2</v>
      </c>
      <c r="M2652">
        <v>403</v>
      </c>
      <c r="N2652">
        <v>164</v>
      </c>
      <c r="O2652">
        <v>5</v>
      </c>
      <c r="P2652">
        <v>164</v>
      </c>
      <c r="Q2652">
        <v>7</v>
      </c>
      <c r="R2652">
        <v>11</v>
      </c>
      <c r="S2652">
        <v>2</v>
      </c>
      <c r="T2652">
        <v>3</v>
      </c>
      <c r="U2652">
        <v>8</v>
      </c>
      <c r="V2652">
        <v>4</v>
      </c>
      <c r="W2652">
        <v>7</v>
      </c>
      <c r="X2652">
        <v>98</v>
      </c>
      <c r="Y2652">
        <v>1</v>
      </c>
      <c r="Z2652">
        <v>13</v>
      </c>
      <c r="AA2652">
        <v>2</v>
      </c>
      <c r="AB2652">
        <v>1</v>
      </c>
      <c r="AD2652">
        <v>0</v>
      </c>
      <c r="AE2652">
        <v>0</v>
      </c>
      <c r="AF2652">
        <v>0</v>
      </c>
      <c r="AG2652">
        <v>0</v>
      </c>
      <c r="AI2652">
        <v>0</v>
      </c>
      <c r="AJ2652">
        <v>7</v>
      </c>
      <c r="AK2652">
        <v>164</v>
      </c>
      <c r="AL2652">
        <v>164</v>
      </c>
      <c r="AM2652">
        <v>523</v>
      </c>
      <c r="AN2652">
        <v>44</v>
      </c>
      <c r="AP2652">
        <v>1</v>
      </c>
      <c r="AR2652" t="s">
        <v>2746</v>
      </c>
      <c r="AS2652" s="1">
        <v>44354.082638888889</v>
      </c>
      <c r="AT2652" s="1">
        <v>44354.099224537036</v>
      </c>
      <c r="AU2652" s="1">
        <v>44354.099652777775</v>
      </c>
      <c r="AV2652" t="s">
        <v>71</v>
      </c>
      <c r="AW2652" t="s">
        <v>72</v>
      </c>
      <c r="AX2652" t="s">
        <v>73</v>
      </c>
    </row>
    <row r="2653" spans="1:50" x14ac:dyDescent="0.3">
      <c r="A2653" t="str">
        <f>"200862C0200"</f>
        <v>200862C0200</v>
      </c>
      <c r="B2653" t="str">
        <f>"200862C02002"</f>
        <v>200862C02002</v>
      </c>
      <c r="C2653" t="str">
        <f t="shared" si="124"/>
        <v>20</v>
      </c>
      <c r="D2653" t="s">
        <v>67</v>
      </c>
      <c r="E2653" t="str">
        <f t="shared" si="123"/>
        <v>012</v>
      </c>
      <c r="F2653" t="s">
        <v>2715</v>
      </c>
      <c r="G2653" t="str">
        <f>"0862"</f>
        <v>0862</v>
      </c>
      <c r="H2653" t="str">
        <f>"0002"</f>
        <v>0002</v>
      </c>
      <c r="I2653" t="s">
        <v>75</v>
      </c>
      <c r="J2653">
        <v>0</v>
      </c>
      <c r="K2653">
        <v>1</v>
      </c>
      <c r="L2653">
        <v>2</v>
      </c>
      <c r="M2653">
        <v>424</v>
      </c>
      <c r="N2653">
        <v>143</v>
      </c>
      <c r="O2653">
        <v>6</v>
      </c>
      <c r="P2653">
        <v>143</v>
      </c>
      <c r="Q2653">
        <v>7</v>
      </c>
      <c r="R2653">
        <v>14</v>
      </c>
      <c r="S2653">
        <v>0</v>
      </c>
      <c r="T2653">
        <v>7</v>
      </c>
      <c r="U2653">
        <v>8</v>
      </c>
      <c r="V2653">
        <v>2</v>
      </c>
      <c r="W2653">
        <v>4</v>
      </c>
      <c r="X2653">
        <v>86</v>
      </c>
      <c r="Y2653">
        <v>2</v>
      </c>
      <c r="Z2653">
        <v>6</v>
      </c>
      <c r="AA2653">
        <v>4</v>
      </c>
      <c r="AB2653">
        <v>0</v>
      </c>
      <c r="AD2653">
        <v>0</v>
      </c>
      <c r="AE2653">
        <v>0</v>
      </c>
      <c r="AF2653">
        <v>0</v>
      </c>
      <c r="AG2653">
        <v>0</v>
      </c>
      <c r="AI2653">
        <v>0</v>
      </c>
      <c r="AJ2653">
        <v>0</v>
      </c>
      <c r="AK2653">
        <v>143</v>
      </c>
      <c r="AL2653">
        <v>140</v>
      </c>
      <c r="AM2653">
        <v>523</v>
      </c>
      <c r="AN2653">
        <v>44</v>
      </c>
      <c r="AP2653">
        <v>1</v>
      </c>
      <c r="AR2653" t="s">
        <v>2747</v>
      </c>
      <c r="AS2653" s="1">
        <v>44354.081944444442</v>
      </c>
      <c r="AT2653" s="1">
        <v>44354.100370370368</v>
      </c>
      <c r="AU2653" s="1">
        <v>44354.101099537038</v>
      </c>
      <c r="AV2653" t="s">
        <v>71</v>
      </c>
      <c r="AW2653" t="s">
        <v>72</v>
      </c>
      <c r="AX2653" t="s">
        <v>73</v>
      </c>
    </row>
    <row r="2654" spans="1:50" x14ac:dyDescent="0.3">
      <c r="A2654" t="str">
        <f>"200863B0000"</f>
        <v>200863B0000</v>
      </c>
      <c r="B2654" t="str">
        <f>"200863B00002"</f>
        <v>200863B00002</v>
      </c>
      <c r="C2654" t="str">
        <f t="shared" si="124"/>
        <v>20</v>
      </c>
      <c r="D2654" t="s">
        <v>67</v>
      </c>
      <c r="E2654" t="str">
        <f t="shared" ref="E2654:E2685" si="125">"012"</f>
        <v>012</v>
      </c>
      <c r="F2654" t="s">
        <v>2715</v>
      </c>
      <c r="G2654" t="str">
        <f>"0863"</f>
        <v>0863</v>
      </c>
      <c r="H2654" t="str">
        <f>"0000"</f>
        <v>0000</v>
      </c>
      <c r="I2654" t="s">
        <v>69</v>
      </c>
      <c r="J2654">
        <v>0</v>
      </c>
      <c r="K2654">
        <v>1</v>
      </c>
      <c r="L2654">
        <v>2</v>
      </c>
      <c r="M2654">
        <v>458</v>
      </c>
      <c r="N2654">
        <v>111</v>
      </c>
      <c r="O2654">
        <v>2</v>
      </c>
      <c r="P2654">
        <v>111</v>
      </c>
      <c r="Q2654">
        <v>3</v>
      </c>
      <c r="R2654">
        <v>11</v>
      </c>
      <c r="S2654">
        <v>0</v>
      </c>
      <c r="T2654">
        <v>1</v>
      </c>
      <c r="U2654">
        <v>5</v>
      </c>
      <c r="V2654">
        <v>3</v>
      </c>
      <c r="W2654">
        <v>5</v>
      </c>
      <c r="X2654">
        <v>49</v>
      </c>
      <c r="Y2654">
        <v>0</v>
      </c>
      <c r="Z2654">
        <v>19</v>
      </c>
      <c r="AA2654">
        <v>3</v>
      </c>
      <c r="AB2654">
        <v>2</v>
      </c>
      <c r="AD2654">
        <v>0</v>
      </c>
      <c r="AE2654">
        <v>0</v>
      </c>
      <c r="AF2654">
        <v>0</v>
      </c>
      <c r="AG2654">
        <v>0</v>
      </c>
      <c r="AI2654">
        <v>0</v>
      </c>
      <c r="AJ2654">
        <v>10</v>
      </c>
      <c r="AK2654">
        <v>111</v>
      </c>
      <c r="AL2654">
        <v>111</v>
      </c>
      <c r="AM2654">
        <v>525</v>
      </c>
      <c r="AN2654">
        <v>44</v>
      </c>
      <c r="AP2654">
        <v>1</v>
      </c>
      <c r="AR2654" t="s">
        <v>2748</v>
      </c>
      <c r="AS2654" s="1">
        <v>44354.084027777775</v>
      </c>
      <c r="AT2654" s="1">
        <v>44354.099432870367</v>
      </c>
      <c r="AU2654" s="1">
        <v>44354.100034722222</v>
      </c>
      <c r="AV2654" t="s">
        <v>71</v>
      </c>
      <c r="AW2654" t="s">
        <v>72</v>
      </c>
      <c r="AX2654" t="s">
        <v>73</v>
      </c>
    </row>
    <row r="2655" spans="1:50" x14ac:dyDescent="0.3">
      <c r="A2655" t="str">
        <f>"200863C0100"</f>
        <v>200863C0100</v>
      </c>
      <c r="B2655" t="str">
        <f>"200863C01002"</f>
        <v>200863C01002</v>
      </c>
      <c r="C2655" t="str">
        <f t="shared" si="124"/>
        <v>20</v>
      </c>
      <c r="D2655" t="s">
        <v>67</v>
      </c>
      <c r="E2655" t="str">
        <f t="shared" si="125"/>
        <v>012</v>
      </c>
      <c r="F2655" t="s">
        <v>2715</v>
      </c>
      <c r="G2655" t="str">
        <f>"0863"</f>
        <v>0863</v>
      </c>
      <c r="H2655" t="str">
        <f>"0001"</f>
        <v>0001</v>
      </c>
      <c r="I2655" t="s">
        <v>75</v>
      </c>
      <c r="J2655">
        <v>0</v>
      </c>
      <c r="K2655">
        <v>1</v>
      </c>
      <c r="L2655">
        <v>2</v>
      </c>
      <c r="M2655">
        <v>451</v>
      </c>
      <c r="N2655">
        <v>118</v>
      </c>
      <c r="O2655">
        <v>0</v>
      </c>
      <c r="P2655">
        <v>118</v>
      </c>
      <c r="Q2655">
        <v>6</v>
      </c>
      <c r="R2655">
        <v>10</v>
      </c>
      <c r="S2655">
        <v>0</v>
      </c>
      <c r="T2655">
        <v>0</v>
      </c>
      <c r="U2655">
        <v>3</v>
      </c>
      <c r="V2655">
        <v>6</v>
      </c>
      <c r="W2655">
        <v>1</v>
      </c>
      <c r="X2655">
        <v>49</v>
      </c>
      <c r="Y2655">
        <v>3</v>
      </c>
      <c r="Z2655">
        <v>31</v>
      </c>
      <c r="AA2655">
        <v>4</v>
      </c>
      <c r="AB2655">
        <v>0</v>
      </c>
      <c r="AD2655">
        <v>0</v>
      </c>
      <c r="AE2655">
        <v>0</v>
      </c>
      <c r="AF2655">
        <v>0</v>
      </c>
      <c r="AG2655">
        <v>0</v>
      </c>
      <c r="AI2655">
        <v>1</v>
      </c>
      <c r="AJ2655">
        <v>4</v>
      </c>
      <c r="AK2655">
        <v>118</v>
      </c>
      <c r="AL2655">
        <v>118</v>
      </c>
      <c r="AM2655">
        <v>525</v>
      </c>
      <c r="AN2655">
        <v>44</v>
      </c>
      <c r="AP2655">
        <v>1</v>
      </c>
      <c r="AR2655" t="s">
        <v>2749</v>
      </c>
      <c r="AS2655" s="1">
        <v>44354.083333333336</v>
      </c>
      <c r="AT2655" s="1">
        <v>44354.097916666666</v>
      </c>
      <c r="AU2655" s="1">
        <v>44354.098391203705</v>
      </c>
      <c r="AV2655" t="s">
        <v>71</v>
      </c>
      <c r="AW2655" t="s">
        <v>72</v>
      </c>
      <c r="AX2655" t="s">
        <v>73</v>
      </c>
    </row>
    <row r="2656" spans="1:50" x14ac:dyDescent="0.3">
      <c r="A2656" t="str">
        <f>"200863C0200"</f>
        <v>200863C0200</v>
      </c>
      <c r="B2656" t="str">
        <f>"200863C02002"</f>
        <v>200863C02002</v>
      </c>
      <c r="C2656" t="str">
        <f t="shared" si="124"/>
        <v>20</v>
      </c>
      <c r="D2656" t="s">
        <v>67</v>
      </c>
      <c r="E2656" t="str">
        <f t="shared" si="125"/>
        <v>012</v>
      </c>
      <c r="F2656" t="s">
        <v>2715</v>
      </c>
      <c r="G2656" t="str">
        <f>"0863"</f>
        <v>0863</v>
      </c>
      <c r="H2656" t="str">
        <f>"0002"</f>
        <v>0002</v>
      </c>
      <c r="I2656" t="s">
        <v>75</v>
      </c>
      <c r="J2656">
        <v>0</v>
      </c>
      <c r="K2656">
        <v>1</v>
      </c>
      <c r="L2656">
        <v>2</v>
      </c>
      <c r="M2656">
        <v>442</v>
      </c>
      <c r="N2656">
        <v>126</v>
      </c>
      <c r="O2656">
        <v>4</v>
      </c>
      <c r="P2656">
        <v>126</v>
      </c>
      <c r="Q2656">
        <v>3</v>
      </c>
      <c r="R2656">
        <v>18</v>
      </c>
      <c r="S2656">
        <v>4</v>
      </c>
      <c r="T2656">
        <v>1</v>
      </c>
      <c r="U2656">
        <v>7</v>
      </c>
      <c r="V2656">
        <v>11</v>
      </c>
      <c r="W2656">
        <v>5</v>
      </c>
      <c r="X2656">
        <v>52</v>
      </c>
      <c r="Y2656">
        <v>2</v>
      </c>
      <c r="Z2656">
        <v>16</v>
      </c>
      <c r="AA2656">
        <v>2</v>
      </c>
      <c r="AB2656">
        <v>1</v>
      </c>
      <c r="AD2656">
        <v>0</v>
      </c>
      <c r="AE2656">
        <v>2</v>
      </c>
      <c r="AF2656">
        <v>0</v>
      </c>
      <c r="AG2656">
        <v>0</v>
      </c>
      <c r="AI2656">
        <v>0</v>
      </c>
      <c r="AJ2656">
        <v>2</v>
      </c>
      <c r="AK2656">
        <v>126</v>
      </c>
      <c r="AL2656">
        <v>126</v>
      </c>
      <c r="AM2656">
        <v>524</v>
      </c>
      <c r="AN2656">
        <v>44</v>
      </c>
      <c r="AP2656">
        <v>1</v>
      </c>
      <c r="AR2656" t="s">
        <v>2750</v>
      </c>
      <c r="AS2656" s="1">
        <v>44354.081944444442</v>
      </c>
      <c r="AT2656" s="1">
        <v>44354.097071759257</v>
      </c>
      <c r="AU2656" s="1">
        <v>44354.097662037035</v>
      </c>
      <c r="AV2656" t="s">
        <v>71</v>
      </c>
      <c r="AW2656" t="s">
        <v>72</v>
      </c>
      <c r="AX2656" t="s">
        <v>73</v>
      </c>
    </row>
    <row r="2657" spans="1:50" x14ac:dyDescent="0.3">
      <c r="A2657" t="str">
        <f>"200864B0000"</f>
        <v>200864B0000</v>
      </c>
      <c r="B2657" t="str">
        <f>"200864B00002"</f>
        <v>200864B00002</v>
      </c>
      <c r="C2657" t="str">
        <f t="shared" si="124"/>
        <v>20</v>
      </c>
      <c r="D2657" t="s">
        <v>67</v>
      </c>
      <c r="E2657" t="str">
        <f t="shared" si="125"/>
        <v>012</v>
      </c>
      <c r="F2657" t="s">
        <v>2715</v>
      </c>
      <c r="G2657" t="str">
        <f>"0864"</f>
        <v>0864</v>
      </c>
      <c r="H2657" t="str">
        <f>"0000"</f>
        <v>0000</v>
      </c>
      <c r="I2657" t="s">
        <v>69</v>
      </c>
      <c r="J2657">
        <v>0</v>
      </c>
      <c r="K2657">
        <v>1</v>
      </c>
      <c r="L2657">
        <v>2</v>
      </c>
      <c r="M2657">
        <v>577</v>
      </c>
      <c r="N2657">
        <v>214</v>
      </c>
      <c r="O2657">
        <v>3</v>
      </c>
      <c r="P2657">
        <v>0</v>
      </c>
      <c r="Q2657">
        <v>12</v>
      </c>
      <c r="R2657">
        <v>20</v>
      </c>
      <c r="S2657">
        <v>1</v>
      </c>
      <c r="T2657">
        <v>1</v>
      </c>
      <c r="U2657">
        <v>19</v>
      </c>
      <c r="V2657">
        <v>12</v>
      </c>
      <c r="W2657">
        <v>11</v>
      </c>
      <c r="X2657">
        <v>102</v>
      </c>
      <c r="Y2657">
        <v>4</v>
      </c>
      <c r="Z2657">
        <v>21</v>
      </c>
      <c r="AA2657">
        <v>3</v>
      </c>
      <c r="AB2657">
        <v>0</v>
      </c>
      <c r="AD2657">
        <v>1</v>
      </c>
      <c r="AE2657">
        <v>1</v>
      </c>
      <c r="AF2657">
        <v>0</v>
      </c>
      <c r="AG2657">
        <v>0</v>
      </c>
      <c r="AI2657">
        <v>0</v>
      </c>
      <c r="AJ2657">
        <v>6</v>
      </c>
      <c r="AK2657">
        <v>214</v>
      </c>
      <c r="AL2657">
        <v>214</v>
      </c>
      <c r="AM2657">
        <v>747</v>
      </c>
      <c r="AN2657">
        <v>44</v>
      </c>
      <c r="AP2657">
        <v>1</v>
      </c>
      <c r="AR2657" t="s">
        <v>2751</v>
      </c>
      <c r="AS2657" s="1">
        <v>44354.083333333336</v>
      </c>
      <c r="AT2657" s="1">
        <v>44354.195520833331</v>
      </c>
      <c r="AU2657" s="1">
        <v>44354.196203703701</v>
      </c>
      <c r="AV2657" t="s">
        <v>71</v>
      </c>
      <c r="AW2657" t="s">
        <v>72</v>
      </c>
      <c r="AX2657" t="s">
        <v>73</v>
      </c>
    </row>
    <row r="2658" spans="1:50" x14ac:dyDescent="0.3">
      <c r="A2658" t="str">
        <f>"200864C0100"</f>
        <v>200864C0100</v>
      </c>
      <c r="B2658" t="str">
        <f>"200864C01002"</f>
        <v>200864C01002</v>
      </c>
      <c r="C2658" t="str">
        <f t="shared" si="124"/>
        <v>20</v>
      </c>
      <c r="D2658" t="s">
        <v>67</v>
      </c>
      <c r="E2658" t="str">
        <f t="shared" si="125"/>
        <v>012</v>
      </c>
      <c r="F2658" t="s">
        <v>2715</v>
      </c>
      <c r="G2658" t="str">
        <f>"0864"</f>
        <v>0864</v>
      </c>
      <c r="H2658" t="str">
        <f>"0001"</f>
        <v>0001</v>
      </c>
      <c r="I2658" t="s">
        <v>75</v>
      </c>
      <c r="J2658">
        <v>0</v>
      </c>
      <c r="K2658">
        <v>1</v>
      </c>
      <c r="L2658">
        <v>2</v>
      </c>
      <c r="M2658">
        <v>593</v>
      </c>
      <c r="N2658">
        <v>198</v>
      </c>
      <c r="O2658">
        <v>5</v>
      </c>
      <c r="P2658">
        <v>198</v>
      </c>
      <c r="Q2658">
        <v>7</v>
      </c>
      <c r="R2658">
        <v>21</v>
      </c>
      <c r="S2658">
        <v>1</v>
      </c>
      <c r="T2658">
        <v>1</v>
      </c>
      <c r="U2658">
        <v>14</v>
      </c>
      <c r="V2658">
        <v>10</v>
      </c>
      <c r="W2658">
        <v>11</v>
      </c>
      <c r="X2658">
        <v>95</v>
      </c>
      <c r="Y2658">
        <v>1</v>
      </c>
      <c r="Z2658">
        <v>17</v>
      </c>
      <c r="AA2658">
        <v>11</v>
      </c>
      <c r="AB2658">
        <v>1</v>
      </c>
      <c r="AD2658">
        <v>3</v>
      </c>
      <c r="AE2658">
        <v>0</v>
      </c>
      <c r="AF2658">
        <v>0</v>
      </c>
      <c r="AG2658">
        <v>0</v>
      </c>
      <c r="AI2658">
        <v>0</v>
      </c>
      <c r="AJ2658">
        <v>5</v>
      </c>
      <c r="AK2658">
        <v>198</v>
      </c>
      <c r="AL2658">
        <v>198</v>
      </c>
      <c r="AM2658">
        <v>747</v>
      </c>
      <c r="AN2658">
        <v>44</v>
      </c>
      <c r="AP2658">
        <v>1</v>
      </c>
      <c r="AR2658" t="s">
        <v>2752</v>
      </c>
      <c r="AS2658" s="1">
        <v>44353.75</v>
      </c>
      <c r="AT2658" s="1">
        <v>44354.096342592595</v>
      </c>
      <c r="AU2658" s="1">
        <v>44354.09679398148</v>
      </c>
      <c r="AV2658" t="s">
        <v>71</v>
      </c>
      <c r="AW2658" t="s">
        <v>72</v>
      </c>
      <c r="AX2658" t="s">
        <v>73</v>
      </c>
    </row>
    <row r="2659" spans="1:50" x14ac:dyDescent="0.3">
      <c r="A2659" t="str">
        <f>"200865B0000"</f>
        <v>200865B0000</v>
      </c>
      <c r="B2659" t="str">
        <f>"200865B00002"</f>
        <v>200865B00002</v>
      </c>
      <c r="C2659" t="str">
        <f t="shared" si="124"/>
        <v>20</v>
      </c>
      <c r="D2659" t="s">
        <v>67</v>
      </c>
      <c r="E2659" t="str">
        <f t="shared" si="125"/>
        <v>012</v>
      </c>
      <c r="F2659" t="s">
        <v>2715</v>
      </c>
      <c r="G2659" t="str">
        <f>"0865"</f>
        <v>0865</v>
      </c>
      <c r="H2659" t="str">
        <f>"0000"</f>
        <v>0000</v>
      </c>
      <c r="I2659" t="s">
        <v>69</v>
      </c>
      <c r="J2659">
        <v>0</v>
      </c>
      <c r="K2659">
        <v>1</v>
      </c>
      <c r="L2659">
        <v>2</v>
      </c>
      <c r="M2659">
        <v>423</v>
      </c>
      <c r="N2659">
        <v>155</v>
      </c>
      <c r="O2659">
        <v>8</v>
      </c>
      <c r="P2659">
        <v>155</v>
      </c>
      <c r="Q2659">
        <v>6</v>
      </c>
      <c r="R2659">
        <v>21</v>
      </c>
      <c r="S2659">
        <v>2</v>
      </c>
      <c r="T2659">
        <v>1</v>
      </c>
      <c r="U2659">
        <v>4</v>
      </c>
      <c r="V2659">
        <v>8</v>
      </c>
      <c r="W2659">
        <v>16</v>
      </c>
      <c r="X2659">
        <v>60</v>
      </c>
      <c r="Y2659">
        <v>4</v>
      </c>
      <c r="Z2659">
        <v>21</v>
      </c>
      <c r="AA2659">
        <v>7</v>
      </c>
      <c r="AB2659">
        <v>0</v>
      </c>
      <c r="AD2659">
        <v>1</v>
      </c>
      <c r="AE2659">
        <v>0</v>
      </c>
      <c r="AF2659">
        <v>0</v>
      </c>
      <c r="AG2659">
        <v>0</v>
      </c>
      <c r="AI2659">
        <v>0</v>
      </c>
      <c r="AJ2659">
        <v>4</v>
      </c>
      <c r="AK2659">
        <v>155</v>
      </c>
      <c r="AL2659">
        <v>155</v>
      </c>
      <c r="AM2659">
        <v>534</v>
      </c>
      <c r="AN2659">
        <v>44</v>
      </c>
      <c r="AP2659">
        <v>1</v>
      </c>
      <c r="AR2659" t="s">
        <v>2753</v>
      </c>
      <c r="AS2659" s="1">
        <v>44354.077777777777</v>
      </c>
      <c r="AT2659" s="1">
        <v>44354.095462962963</v>
      </c>
      <c r="AU2659" s="1">
        <v>44354.095925925925</v>
      </c>
      <c r="AV2659" t="s">
        <v>71</v>
      </c>
      <c r="AW2659" t="s">
        <v>72</v>
      </c>
      <c r="AX2659" t="s">
        <v>73</v>
      </c>
    </row>
    <row r="2660" spans="1:50" x14ac:dyDescent="0.3">
      <c r="A2660" t="str">
        <f>"200865C0100"</f>
        <v>200865C0100</v>
      </c>
      <c r="B2660" t="str">
        <f>"200865C01002"</f>
        <v>200865C01002</v>
      </c>
      <c r="C2660" t="str">
        <f t="shared" si="124"/>
        <v>20</v>
      </c>
      <c r="D2660" t="s">
        <v>67</v>
      </c>
      <c r="E2660" t="str">
        <f t="shared" si="125"/>
        <v>012</v>
      </c>
      <c r="F2660" t="s">
        <v>2715</v>
      </c>
      <c r="G2660" t="str">
        <f>"0865"</f>
        <v>0865</v>
      </c>
      <c r="H2660" t="str">
        <f>"0001"</f>
        <v>0001</v>
      </c>
      <c r="I2660" t="s">
        <v>75</v>
      </c>
      <c r="J2660">
        <v>0</v>
      </c>
      <c r="K2660">
        <v>1</v>
      </c>
      <c r="L2660">
        <v>2</v>
      </c>
      <c r="M2660">
        <v>444</v>
      </c>
      <c r="N2660">
        <v>134</v>
      </c>
      <c r="O2660">
        <v>5</v>
      </c>
      <c r="P2660">
        <v>134</v>
      </c>
      <c r="Q2660">
        <v>2</v>
      </c>
      <c r="R2660">
        <v>18</v>
      </c>
      <c r="S2660">
        <v>4</v>
      </c>
      <c r="T2660">
        <v>2</v>
      </c>
      <c r="U2660">
        <v>3</v>
      </c>
      <c r="V2660">
        <v>2</v>
      </c>
      <c r="W2660">
        <v>10</v>
      </c>
      <c r="X2660">
        <v>54</v>
      </c>
      <c r="Y2660">
        <v>4</v>
      </c>
      <c r="Z2660">
        <v>18</v>
      </c>
      <c r="AA2660">
        <v>9</v>
      </c>
      <c r="AB2660">
        <v>1</v>
      </c>
      <c r="AD2660">
        <v>0</v>
      </c>
      <c r="AE2660">
        <v>0</v>
      </c>
      <c r="AF2660">
        <v>0</v>
      </c>
      <c r="AG2660">
        <v>0</v>
      </c>
      <c r="AI2660">
        <v>0</v>
      </c>
      <c r="AJ2660">
        <v>7</v>
      </c>
      <c r="AK2660">
        <v>134</v>
      </c>
      <c r="AL2660">
        <v>134</v>
      </c>
      <c r="AM2660">
        <v>534</v>
      </c>
      <c r="AN2660">
        <v>44</v>
      </c>
      <c r="AP2660">
        <v>1</v>
      </c>
      <c r="AR2660" t="s">
        <v>2754</v>
      </c>
      <c r="AS2660" s="1">
        <v>44354.077777777777</v>
      </c>
      <c r="AT2660" s="1">
        <v>44354.095706018517</v>
      </c>
      <c r="AU2660" s="1">
        <v>44354.09652777778</v>
      </c>
      <c r="AV2660" t="s">
        <v>71</v>
      </c>
      <c r="AW2660" t="s">
        <v>72</v>
      </c>
      <c r="AX2660" t="s">
        <v>73</v>
      </c>
    </row>
    <row r="2661" spans="1:50" x14ac:dyDescent="0.3">
      <c r="A2661" t="str">
        <f>"201243B0000"</f>
        <v>201243B0000</v>
      </c>
      <c r="B2661" t="str">
        <f>"201243B00002"</f>
        <v>201243B00002</v>
      </c>
      <c r="C2661" t="str">
        <f t="shared" si="124"/>
        <v>20</v>
      </c>
      <c r="D2661" t="s">
        <v>67</v>
      </c>
      <c r="E2661" t="str">
        <f t="shared" si="125"/>
        <v>012</v>
      </c>
      <c r="F2661" t="s">
        <v>2715</v>
      </c>
      <c r="G2661" t="str">
        <f>"1243"</f>
        <v>1243</v>
      </c>
      <c r="H2661" t="str">
        <f>"0000"</f>
        <v>0000</v>
      </c>
      <c r="I2661" t="s">
        <v>69</v>
      </c>
      <c r="J2661">
        <v>0</v>
      </c>
      <c r="K2661">
        <v>1</v>
      </c>
      <c r="L2661">
        <v>2</v>
      </c>
      <c r="M2661">
        <v>469</v>
      </c>
      <c r="N2661">
        <v>229</v>
      </c>
      <c r="O2661">
        <v>7</v>
      </c>
      <c r="P2661">
        <v>229</v>
      </c>
      <c r="Q2661">
        <v>10</v>
      </c>
      <c r="R2661">
        <v>22</v>
      </c>
      <c r="S2661">
        <v>5</v>
      </c>
      <c r="T2661">
        <v>4</v>
      </c>
      <c r="U2661">
        <v>7</v>
      </c>
      <c r="V2661">
        <v>5</v>
      </c>
      <c r="W2661">
        <v>11</v>
      </c>
      <c r="X2661">
        <v>126</v>
      </c>
      <c r="Y2661">
        <v>23</v>
      </c>
      <c r="Z2661">
        <v>4</v>
      </c>
      <c r="AA2661">
        <v>1</v>
      </c>
      <c r="AB2661">
        <v>3</v>
      </c>
      <c r="AD2661">
        <v>0</v>
      </c>
      <c r="AE2661">
        <v>2</v>
      </c>
      <c r="AF2661">
        <v>0</v>
      </c>
      <c r="AG2661">
        <v>0</v>
      </c>
      <c r="AI2661">
        <v>1</v>
      </c>
      <c r="AJ2661">
        <v>5</v>
      </c>
      <c r="AK2661">
        <v>229</v>
      </c>
      <c r="AL2661">
        <v>229</v>
      </c>
      <c r="AM2661">
        <v>654</v>
      </c>
      <c r="AN2661">
        <v>44</v>
      </c>
      <c r="AP2661">
        <v>1</v>
      </c>
      <c r="AR2661" t="s">
        <v>2755</v>
      </c>
      <c r="AS2661" s="1">
        <v>44353.990277777775</v>
      </c>
      <c r="AT2661" s="1">
        <v>44354.002766203703</v>
      </c>
      <c r="AU2661" s="1">
        <v>44354.003599537034</v>
      </c>
      <c r="AV2661" t="s">
        <v>71</v>
      </c>
      <c r="AW2661" t="s">
        <v>72</v>
      </c>
      <c r="AX2661" t="s">
        <v>73</v>
      </c>
    </row>
    <row r="2662" spans="1:50" x14ac:dyDescent="0.3">
      <c r="A2662" t="str">
        <f>"201243C0100"</f>
        <v>201243C0100</v>
      </c>
      <c r="B2662" t="str">
        <f>"201243C01002"</f>
        <v>201243C01002</v>
      </c>
      <c r="C2662" t="str">
        <f t="shared" si="124"/>
        <v>20</v>
      </c>
      <c r="D2662" t="s">
        <v>67</v>
      </c>
      <c r="E2662" t="str">
        <f t="shared" si="125"/>
        <v>012</v>
      </c>
      <c r="F2662" t="s">
        <v>2715</v>
      </c>
      <c r="G2662" t="str">
        <f>"1243"</f>
        <v>1243</v>
      </c>
      <c r="H2662" t="str">
        <f>"0001"</f>
        <v>0001</v>
      </c>
      <c r="I2662" t="s">
        <v>75</v>
      </c>
      <c r="J2662">
        <v>0</v>
      </c>
      <c r="K2662">
        <v>1</v>
      </c>
      <c r="L2662">
        <v>2</v>
      </c>
      <c r="M2662">
        <v>495</v>
      </c>
      <c r="N2662">
        <v>203</v>
      </c>
      <c r="O2662">
        <v>9</v>
      </c>
      <c r="P2662">
        <v>203</v>
      </c>
      <c r="Q2662">
        <v>9</v>
      </c>
      <c r="R2662">
        <v>13</v>
      </c>
      <c r="S2662">
        <v>1</v>
      </c>
      <c r="T2662">
        <v>4</v>
      </c>
      <c r="U2662">
        <v>9</v>
      </c>
      <c r="V2662">
        <v>1</v>
      </c>
      <c r="W2662">
        <v>14</v>
      </c>
      <c r="X2662">
        <v>116</v>
      </c>
      <c r="Y2662">
        <v>19</v>
      </c>
      <c r="Z2662">
        <v>3</v>
      </c>
      <c r="AA2662">
        <v>0</v>
      </c>
      <c r="AB2662">
        <v>0</v>
      </c>
      <c r="AD2662">
        <v>1</v>
      </c>
      <c r="AE2662">
        <v>0</v>
      </c>
      <c r="AF2662">
        <v>0</v>
      </c>
      <c r="AG2662">
        <v>0</v>
      </c>
      <c r="AI2662">
        <v>0</v>
      </c>
      <c r="AJ2662">
        <v>13</v>
      </c>
      <c r="AK2662">
        <v>203</v>
      </c>
      <c r="AL2662">
        <v>203</v>
      </c>
      <c r="AM2662">
        <v>654</v>
      </c>
      <c r="AN2662">
        <v>44</v>
      </c>
      <c r="AP2662">
        <v>1</v>
      </c>
      <c r="AR2662" t="s">
        <v>2756</v>
      </c>
      <c r="AS2662" s="1">
        <v>44353.991666666669</v>
      </c>
      <c r="AT2662" s="1">
        <v>44354.002233796295</v>
      </c>
      <c r="AU2662" s="1">
        <v>44354.002835648149</v>
      </c>
      <c r="AV2662" t="s">
        <v>71</v>
      </c>
      <c r="AW2662" t="s">
        <v>72</v>
      </c>
      <c r="AX2662" t="s">
        <v>73</v>
      </c>
    </row>
    <row r="2663" spans="1:50" x14ac:dyDescent="0.3">
      <c r="A2663" t="str">
        <f>"201243C0200"</f>
        <v>201243C0200</v>
      </c>
      <c r="B2663" t="str">
        <f>"201243C02002"</f>
        <v>201243C02002</v>
      </c>
      <c r="C2663" t="str">
        <f t="shared" si="124"/>
        <v>20</v>
      </c>
      <c r="D2663" t="s">
        <v>67</v>
      </c>
      <c r="E2663" t="str">
        <f t="shared" si="125"/>
        <v>012</v>
      </c>
      <c r="F2663" t="s">
        <v>2715</v>
      </c>
      <c r="G2663" t="str">
        <f>"1243"</f>
        <v>1243</v>
      </c>
      <c r="H2663" t="str">
        <f>"0002"</f>
        <v>0002</v>
      </c>
      <c r="I2663" t="s">
        <v>75</v>
      </c>
      <c r="J2663">
        <v>0</v>
      </c>
      <c r="K2663">
        <v>1</v>
      </c>
      <c r="L2663">
        <v>2</v>
      </c>
      <c r="M2663">
        <v>486</v>
      </c>
      <c r="N2663">
        <v>212</v>
      </c>
      <c r="O2663">
        <v>7</v>
      </c>
      <c r="P2663">
        <v>212</v>
      </c>
      <c r="Q2663">
        <v>14</v>
      </c>
      <c r="R2663">
        <v>32</v>
      </c>
      <c r="S2663">
        <v>2</v>
      </c>
      <c r="T2663">
        <v>2</v>
      </c>
      <c r="U2663">
        <v>5</v>
      </c>
      <c r="V2663">
        <v>5</v>
      </c>
      <c r="W2663">
        <v>5</v>
      </c>
      <c r="X2663">
        <v>120</v>
      </c>
      <c r="Y2663">
        <v>16</v>
      </c>
      <c r="Z2663">
        <v>4</v>
      </c>
      <c r="AA2663">
        <v>0</v>
      </c>
      <c r="AB2663">
        <v>2</v>
      </c>
      <c r="AD2663">
        <v>0</v>
      </c>
      <c r="AE2663">
        <v>0</v>
      </c>
      <c r="AF2663">
        <v>0</v>
      </c>
      <c r="AG2663">
        <v>0</v>
      </c>
      <c r="AI2663">
        <v>0</v>
      </c>
      <c r="AJ2663">
        <v>5</v>
      </c>
      <c r="AK2663">
        <v>212</v>
      </c>
      <c r="AL2663">
        <v>212</v>
      </c>
      <c r="AM2663">
        <v>654</v>
      </c>
      <c r="AN2663">
        <v>44</v>
      </c>
      <c r="AP2663">
        <v>1</v>
      </c>
      <c r="AR2663" t="s">
        <v>2757</v>
      </c>
      <c r="AS2663" s="1">
        <v>44353.990277777775</v>
      </c>
      <c r="AT2663" s="1">
        <v>44353.999664351853</v>
      </c>
      <c r="AU2663" s="1">
        <v>44354.000115740739</v>
      </c>
      <c r="AV2663" t="s">
        <v>71</v>
      </c>
      <c r="AW2663" t="s">
        <v>72</v>
      </c>
      <c r="AX2663" t="s">
        <v>73</v>
      </c>
    </row>
    <row r="2664" spans="1:50" x14ac:dyDescent="0.3">
      <c r="A2664" t="str">
        <f>"201243C0300"</f>
        <v>201243C0300</v>
      </c>
      <c r="B2664" t="str">
        <f>"201243C03002"</f>
        <v>201243C03002</v>
      </c>
      <c r="C2664" t="str">
        <f t="shared" si="124"/>
        <v>20</v>
      </c>
      <c r="D2664" t="s">
        <v>67</v>
      </c>
      <c r="E2664" t="str">
        <f t="shared" si="125"/>
        <v>012</v>
      </c>
      <c r="F2664" t="s">
        <v>2715</v>
      </c>
      <c r="G2664" t="str">
        <f>"1243"</f>
        <v>1243</v>
      </c>
      <c r="H2664" t="str">
        <f>"0003"</f>
        <v>0003</v>
      </c>
      <c r="I2664" t="s">
        <v>75</v>
      </c>
      <c r="J2664">
        <v>0</v>
      </c>
      <c r="K2664">
        <v>1</v>
      </c>
      <c r="L2664">
        <v>2</v>
      </c>
      <c r="M2664">
        <v>483</v>
      </c>
      <c r="N2664">
        <v>215</v>
      </c>
      <c r="O2664">
        <v>6</v>
      </c>
      <c r="P2664">
        <v>215</v>
      </c>
      <c r="Q2664">
        <v>11</v>
      </c>
      <c r="R2664">
        <v>30</v>
      </c>
      <c r="S2664">
        <v>2</v>
      </c>
      <c r="T2664">
        <v>3</v>
      </c>
      <c r="U2664">
        <v>3</v>
      </c>
      <c r="V2664">
        <v>10</v>
      </c>
      <c r="W2664">
        <v>14</v>
      </c>
      <c r="X2664">
        <v>117</v>
      </c>
      <c r="Y2664">
        <v>10</v>
      </c>
      <c r="Z2664">
        <v>3</v>
      </c>
      <c r="AA2664">
        <v>1</v>
      </c>
      <c r="AB2664">
        <v>3</v>
      </c>
      <c r="AD2664">
        <v>1</v>
      </c>
      <c r="AE2664">
        <v>0</v>
      </c>
      <c r="AF2664">
        <v>0</v>
      </c>
      <c r="AG2664">
        <v>0</v>
      </c>
      <c r="AI2664">
        <v>0</v>
      </c>
      <c r="AJ2664">
        <v>7</v>
      </c>
      <c r="AK2664">
        <v>215</v>
      </c>
      <c r="AL2664">
        <v>215</v>
      </c>
      <c r="AM2664">
        <v>654</v>
      </c>
      <c r="AN2664">
        <v>44</v>
      </c>
      <c r="AP2664">
        <v>1</v>
      </c>
      <c r="AR2664" t="s">
        <v>2758</v>
      </c>
      <c r="AS2664" s="1">
        <v>44353.993055555555</v>
      </c>
      <c r="AT2664" s="1">
        <v>44354.003252314818</v>
      </c>
      <c r="AU2664" s="1">
        <v>44354.004004629627</v>
      </c>
      <c r="AV2664" t="s">
        <v>71</v>
      </c>
      <c r="AW2664" t="s">
        <v>72</v>
      </c>
      <c r="AX2664" t="s">
        <v>73</v>
      </c>
    </row>
    <row r="2665" spans="1:50" x14ac:dyDescent="0.3">
      <c r="A2665" t="str">
        <f>"201243C0400"</f>
        <v>201243C0400</v>
      </c>
      <c r="B2665" t="str">
        <f>"201243C04002"</f>
        <v>201243C04002</v>
      </c>
      <c r="C2665" t="str">
        <f t="shared" si="124"/>
        <v>20</v>
      </c>
      <c r="D2665" t="s">
        <v>67</v>
      </c>
      <c r="E2665" t="str">
        <f t="shared" si="125"/>
        <v>012</v>
      </c>
      <c r="F2665" t="s">
        <v>2715</v>
      </c>
      <c r="G2665" t="str">
        <f>"1243"</f>
        <v>1243</v>
      </c>
      <c r="H2665" t="str">
        <f>"0004"</f>
        <v>0004</v>
      </c>
      <c r="I2665" t="s">
        <v>75</v>
      </c>
      <c r="J2665">
        <v>0</v>
      </c>
      <c r="K2665">
        <v>1</v>
      </c>
      <c r="L2665">
        <v>2</v>
      </c>
      <c r="M2665">
        <v>474</v>
      </c>
      <c r="N2665">
        <v>223</v>
      </c>
      <c r="O2665">
        <v>6</v>
      </c>
      <c r="P2665">
        <v>223</v>
      </c>
      <c r="Q2665">
        <v>9</v>
      </c>
      <c r="R2665">
        <v>18</v>
      </c>
      <c r="S2665">
        <v>1</v>
      </c>
      <c r="T2665">
        <v>1</v>
      </c>
      <c r="U2665">
        <v>8</v>
      </c>
      <c r="V2665">
        <v>3</v>
      </c>
      <c r="W2665">
        <v>10</v>
      </c>
      <c r="X2665">
        <v>132</v>
      </c>
      <c r="Y2665">
        <v>18</v>
      </c>
      <c r="Z2665">
        <v>3</v>
      </c>
      <c r="AA2665">
        <v>1</v>
      </c>
      <c r="AB2665">
        <v>2</v>
      </c>
      <c r="AD2665">
        <v>1</v>
      </c>
      <c r="AE2665">
        <v>0</v>
      </c>
      <c r="AF2665">
        <v>0</v>
      </c>
      <c r="AG2665">
        <v>0</v>
      </c>
      <c r="AI2665">
        <v>1</v>
      </c>
      <c r="AJ2665">
        <v>15</v>
      </c>
      <c r="AK2665">
        <v>223</v>
      </c>
      <c r="AL2665">
        <v>223</v>
      </c>
      <c r="AM2665">
        <v>653</v>
      </c>
      <c r="AN2665">
        <v>44</v>
      </c>
      <c r="AP2665">
        <v>1</v>
      </c>
      <c r="AR2665" t="s">
        <v>2759</v>
      </c>
      <c r="AS2665" s="1">
        <v>44353.992361111108</v>
      </c>
      <c r="AT2665" s="1">
        <v>44354.004432870373</v>
      </c>
      <c r="AU2665" s="1">
        <v>44354.005011574074</v>
      </c>
      <c r="AV2665" t="s">
        <v>71</v>
      </c>
      <c r="AW2665" t="s">
        <v>72</v>
      </c>
      <c r="AX2665" t="s">
        <v>73</v>
      </c>
    </row>
    <row r="2666" spans="1:50" x14ac:dyDescent="0.3">
      <c r="A2666" t="str">
        <f>"201244B0000"</f>
        <v>201244B0000</v>
      </c>
      <c r="B2666" t="str">
        <f>"201244B00002"</f>
        <v>201244B00002</v>
      </c>
      <c r="C2666" t="str">
        <f t="shared" si="124"/>
        <v>20</v>
      </c>
      <c r="D2666" t="s">
        <v>67</v>
      </c>
      <c r="E2666" t="str">
        <f t="shared" si="125"/>
        <v>012</v>
      </c>
      <c r="F2666" t="s">
        <v>2715</v>
      </c>
      <c r="G2666" t="str">
        <f>"1244"</f>
        <v>1244</v>
      </c>
      <c r="H2666" t="str">
        <f>"0000"</f>
        <v>0000</v>
      </c>
      <c r="I2666" t="s">
        <v>69</v>
      </c>
      <c r="J2666">
        <v>0</v>
      </c>
      <c r="K2666">
        <v>1</v>
      </c>
      <c r="L2666">
        <v>2</v>
      </c>
      <c r="M2666">
        <v>430</v>
      </c>
      <c r="N2666">
        <v>657</v>
      </c>
      <c r="O2666">
        <v>2</v>
      </c>
      <c r="P2666">
        <v>227</v>
      </c>
      <c r="Q2666">
        <v>15</v>
      </c>
      <c r="R2666">
        <v>28</v>
      </c>
      <c r="S2666">
        <v>1</v>
      </c>
      <c r="T2666">
        <v>1</v>
      </c>
      <c r="U2666">
        <v>12</v>
      </c>
      <c r="V2666">
        <v>8</v>
      </c>
      <c r="W2666">
        <v>10</v>
      </c>
      <c r="X2666">
        <v>123</v>
      </c>
      <c r="Y2666">
        <v>8</v>
      </c>
      <c r="Z2666">
        <v>5</v>
      </c>
      <c r="AA2666">
        <v>0</v>
      </c>
      <c r="AB2666">
        <v>3</v>
      </c>
      <c r="AD2666">
        <v>6</v>
      </c>
      <c r="AE2666">
        <v>1</v>
      </c>
      <c r="AF2666">
        <v>0</v>
      </c>
      <c r="AG2666">
        <v>0</v>
      </c>
      <c r="AI2666">
        <v>0</v>
      </c>
      <c r="AJ2666">
        <v>6</v>
      </c>
      <c r="AK2666">
        <v>227</v>
      </c>
      <c r="AL2666">
        <v>227</v>
      </c>
      <c r="AM2666">
        <v>613</v>
      </c>
      <c r="AN2666">
        <v>44</v>
      </c>
      <c r="AP2666">
        <v>1</v>
      </c>
      <c r="AR2666" t="s">
        <v>2760</v>
      </c>
      <c r="AS2666" s="1">
        <v>44354.012499999997</v>
      </c>
      <c r="AT2666" s="1">
        <v>44354.246967592589</v>
      </c>
      <c r="AU2666" s="1">
        <v>44354.248124999998</v>
      </c>
      <c r="AV2666" t="s">
        <v>71</v>
      </c>
      <c r="AW2666" t="s">
        <v>72</v>
      </c>
      <c r="AX2666" t="s">
        <v>73</v>
      </c>
    </row>
    <row r="2667" spans="1:50" x14ac:dyDescent="0.3">
      <c r="A2667" t="str">
        <f>"201244C0100"</f>
        <v>201244C0100</v>
      </c>
      <c r="B2667" t="str">
        <f>"201244C01002"</f>
        <v>201244C01002</v>
      </c>
      <c r="C2667" t="str">
        <f t="shared" si="124"/>
        <v>20</v>
      </c>
      <c r="D2667" t="s">
        <v>67</v>
      </c>
      <c r="E2667" t="str">
        <f t="shared" si="125"/>
        <v>012</v>
      </c>
      <c r="F2667" t="s">
        <v>2715</v>
      </c>
      <c r="G2667" t="str">
        <f>"1244"</f>
        <v>1244</v>
      </c>
      <c r="H2667" t="str">
        <f>"0001"</f>
        <v>0001</v>
      </c>
      <c r="I2667" t="s">
        <v>75</v>
      </c>
      <c r="J2667">
        <v>0</v>
      </c>
      <c r="K2667">
        <v>1</v>
      </c>
      <c r="L2667">
        <v>2</v>
      </c>
      <c r="M2667">
        <v>448</v>
      </c>
      <c r="N2667">
        <v>208</v>
      </c>
      <c r="O2667">
        <v>1</v>
      </c>
      <c r="P2667">
        <v>208</v>
      </c>
      <c r="Q2667">
        <v>10</v>
      </c>
      <c r="R2667">
        <v>13</v>
      </c>
      <c r="S2667">
        <v>0</v>
      </c>
      <c r="T2667">
        <v>3</v>
      </c>
      <c r="U2667">
        <v>7</v>
      </c>
      <c r="V2667">
        <v>11</v>
      </c>
      <c r="W2667">
        <v>7</v>
      </c>
      <c r="X2667">
        <v>139</v>
      </c>
      <c r="Y2667">
        <v>5</v>
      </c>
      <c r="Z2667">
        <v>3</v>
      </c>
      <c r="AA2667">
        <v>3</v>
      </c>
      <c r="AB2667">
        <v>1</v>
      </c>
      <c r="AD2667">
        <v>0</v>
      </c>
      <c r="AE2667">
        <v>2</v>
      </c>
      <c r="AF2667">
        <v>0</v>
      </c>
      <c r="AG2667">
        <v>0</v>
      </c>
      <c r="AI2667">
        <v>0</v>
      </c>
      <c r="AJ2667">
        <v>4</v>
      </c>
      <c r="AK2667">
        <v>208</v>
      </c>
      <c r="AL2667">
        <v>208</v>
      </c>
      <c r="AM2667">
        <v>612</v>
      </c>
      <c r="AN2667">
        <v>44</v>
      </c>
      <c r="AP2667">
        <v>1</v>
      </c>
      <c r="AR2667" t="s">
        <v>2761</v>
      </c>
      <c r="AS2667" s="1">
        <v>44354.018055555556</v>
      </c>
      <c r="AT2667" s="1">
        <v>44354.136759259258</v>
      </c>
      <c r="AU2667" s="1">
        <v>44354.13821759259</v>
      </c>
      <c r="AV2667" t="s">
        <v>71</v>
      </c>
      <c r="AW2667" t="s">
        <v>72</v>
      </c>
      <c r="AX2667" t="s">
        <v>73</v>
      </c>
    </row>
    <row r="2668" spans="1:50" x14ac:dyDescent="0.3">
      <c r="A2668" t="str">
        <f>"201244C0200"</f>
        <v>201244C0200</v>
      </c>
      <c r="B2668" t="str">
        <f>"201244C02002"</f>
        <v>201244C02002</v>
      </c>
      <c r="C2668" t="str">
        <f t="shared" si="124"/>
        <v>20</v>
      </c>
      <c r="D2668" t="s">
        <v>67</v>
      </c>
      <c r="E2668" t="str">
        <f t="shared" si="125"/>
        <v>012</v>
      </c>
      <c r="F2668" t="s">
        <v>2715</v>
      </c>
      <c r="G2668" t="str">
        <f>"1244"</f>
        <v>1244</v>
      </c>
      <c r="H2668" t="str">
        <f>"0002"</f>
        <v>0002</v>
      </c>
      <c r="I2668" t="s">
        <v>75</v>
      </c>
      <c r="J2668">
        <v>0</v>
      </c>
      <c r="K2668">
        <v>1</v>
      </c>
      <c r="L2668">
        <v>2</v>
      </c>
      <c r="M2668">
        <v>434</v>
      </c>
      <c r="N2668">
        <v>222</v>
      </c>
      <c r="O2668">
        <v>4</v>
      </c>
      <c r="P2668">
        <v>222</v>
      </c>
      <c r="Q2668">
        <v>11</v>
      </c>
      <c r="R2668">
        <v>27</v>
      </c>
      <c r="S2668">
        <v>3</v>
      </c>
      <c r="T2668">
        <v>4</v>
      </c>
      <c r="U2668">
        <v>8</v>
      </c>
      <c r="V2668">
        <v>6</v>
      </c>
      <c r="W2668">
        <v>5</v>
      </c>
      <c r="X2668">
        <v>138</v>
      </c>
      <c r="Y2668">
        <v>5</v>
      </c>
      <c r="Z2668">
        <v>1</v>
      </c>
      <c r="AA2668">
        <v>0</v>
      </c>
      <c r="AB2668">
        <v>3</v>
      </c>
      <c r="AD2668">
        <v>2</v>
      </c>
      <c r="AE2668">
        <v>0</v>
      </c>
      <c r="AF2668">
        <v>0</v>
      </c>
      <c r="AG2668">
        <v>0</v>
      </c>
      <c r="AI2668">
        <v>0</v>
      </c>
      <c r="AJ2668">
        <v>9</v>
      </c>
      <c r="AK2668">
        <v>222</v>
      </c>
      <c r="AL2668">
        <v>222</v>
      </c>
      <c r="AM2668">
        <v>612</v>
      </c>
      <c r="AN2668">
        <v>44</v>
      </c>
      <c r="AP2668">
        <v>1</v>
      </c>
      <c r="AR2668" t="s">
        <v>2762</v>
      </c>
      <c r="AS2668" s="1">
        <v>44354.015277777777</v>
      </c>
      <c r="AT2668" s="1">
        <v>44354.141516203701</v>
      </c>
      <c r="AU2668" s="1">
        <v>44354.141956018517</v>
      </c>
      <c r="AV2668" t="s">
        <v>71</v>
      </c>
      <c r="AW2668" t="s">
        <v>72</v>
      </c>
      <c r="AX2668" t="s">
        <v>73</v>
      </c>
    </row>
    <row r="2669" spans="1:50" x14ac:dyDescent="0.3">
      <c r="A2669" t="str">
        <f>"201245B0000"</f>
        <v>201245B0000</v>
      </c>
      <c r="B2669" t="str">
        <f>"201245B00002"</f>
        <v>201245B00002</v>
      </c>
      <c r="C2669" t="str">
        <f t="shared" si="124"/>
        <v>20</v>
      </c>
      <c r="D2669" t="s">
        <v>67</v>
      </c>
      <c r="E2669" t="str">
        <f t="shared" si="125"/>
        <v>012</v>
      </c>
      <c r="F2669" t="s">
        <v>2715</v>
      </c>
      <c r="G2669" t="str">
        <f>"1245"</f>
        <v>1245</v>
      </c>
      <c r="H2669" t="str">
        <f>"0000"</f>
        <v>0000</v>
      </c>
      <c r="I2669" t="s">
        <v>69</v>
      </c>
      <c r="J2669">
        <v>0</v>
      </c>
      <c r="K2669">
        <v>1</v>
      </c>
      <c r="L2669">
        <v>2</v>
      </c>
      <c r="M2669">
        <v>506</v>
      </c>
      <c r="N2669">
        <v>226</v>
      </c>
      <c r="O2669">
        <v>1</v>
      </c>
      <c r="P2669">
        <v>226</v>
      </c>
      <c r="Q2669">
        <v>10</v>
      </c>
      <c r="R2669">
        <v>27</v>
      </c>
      <c r="S2669">
        <v>2</v>
      </c>
      <c r="T2669">
        <v>2</v>
      </c>
      <c r="U2669">
        <v>8</v>
      </c>
      <c r="V2669">
        <v>7</v>
      </c>
      <c r="W2669">
        <v>2</v>
      </c>
      <c r="X2669">
        <v>134</v>
      </c>
      <c r="Y2669">
        <v>21</v>
      </c>
      <c r="Z2669">
        <v>5</v>
      </c>
      <c r="AA2669">
        <v>0</v>
      </c>
      <c r="AB2669">
        <v>2</v>
      </c>
      <c r="AD2669">
        <v>1</v>
      </c>
      <c r="AE2669">
        <v>0</v>
      </c>
      <c r="AF2669">
        <v>0</v>
      </c>
      <c r="AG2669">
        <v>0</v>
      </c>
      <c r="AI2669">
        <v>0</v>
      </c>
      <c r="AJ2669">
        <v>5</v>
      </c>
      <c r="AK2669">
        <v>226</v>
      </c>
      <c r="AL2669">
        <v>226</v>
      </c>
      <c r="AM2669">
        <v>687</v>
      </c>
      <c r="AN2669">
        <v>44</v>
      </c>
      <c r="AP2669">
        <v>1</v>
      </c>
      <c r="AR2669" t="s">
        <v>2763</v>
      </c>
      <c r="AS2669" s="1">
        <v>44354.017361111109</v>
      </c>
      <c r="AT2669" s="1">
        <v>44354.029282407406</v>
      </c>
      <c r="AU2669" s="1">
        <v>44354.029780092591</v>
      </c>
      <c r="AV2669" t="s">
        <v>71</v>
      </c>
      <c r="AW2669" t="s">
        <v>72</v>
      </c>
      <c r="AX2669" t="s">
        <v>73</v>
      </c>
    </row>
    <row r="2670" spans="1:50" x14ac:dyDescent="0.3">
      <c r="A2670" t="str">
        <f>"201245C0100"</f>
        <v>201245C0100</v>
      </c>
      <c r="B2670" t="str">
        <f>"201245C01002"</f>
        <v>201245C01002</v>
      </c>
      <c r="C2670" t="str">
        <f t="shared" si="124"/>
        <v>20</v>
      </c>
      <c r="D2670" t="s">
        <v>67</v>
      </c>
      <c r="E2670" t="str">
        <f t="shared" si="125"/>
        <v>012</v>
      </c>
      <c r="F2670" t="s">
        <v>2715</v>
      </c>
      <c r="G2670" t="str">
        <f>"1245"</f>
        <v>1245</v>
      </c>
      <c r="H2670" t="str">
        <f>"0001"</f>
        <v>0001</v>
      </c>
      <c r="I2670" t="s">
        <v>75</v>
      </c>
      <c r="J2670">
        <v>0</v>
      </c>
      <c r="K2670">
        <v>1</v>
      </c>
      <c r="L2670">
        <v>2</v>
      </c>
      <c r="M2670">
        <v>496</v>
      </c>
      <c r="N2670">
        <v>235</v>
      </c>
      <c r="O2670">
        <v>1</v>
      </c>
      <c r="P2670">
        <v>235</v>
      </c>
      <c r="Q2670">
        <v>7</v>
      </c>
      <c r="R2670">
        <v>25</v>
      </c>
      <c r="S2670">
        <v>3</v>
      </c>
      <c r="T2670">
        <v>0</v>
      </c>
      <c r="U2670">
        <v>12</v>
      </c>
      <c r="V2670">
        <v>4</v>
      </c>
      <c r="W2670">
        <v>8</v>
      </c>
      <c r="X2670">
        <v>133</v>
      </c>
      <c r="Y2670">
        <v>24</v>
      </c>
      <c r="Z2670">
        <v>3</v>
      </c>
      <c r="AA2670">
        <v>2</v>
      </c>
      <c r="AB2670">
        <v>3</v>
      </c>
      <c r="AD2670">
        <v>2</v>
      </c>
      <c r="AE2670">
        <v>1</v>
      </c>
      <c r="AF2670">
        <v>0</v>
      </c>
      <c r="AG2670">
        <v>0</v>
      </c>
      <c r="AI2670">
        <v>0</v>
      </c>
      <c r="AJ2670">
        <v>8</v>
      </c>
      <c r="AK2670">
        <v>235</v>
      </c>
      <c r="AL2670">
        <v>235</v>
      </c>
      <c r="AM2670">
        <v>687</v>
      </c>
      <c r="AN2670">
        <v>44</v>
      </c>
      <c r="AP2670">
        <v>1</v>
      </c>
      <c r="AR2670" t="s">
        <v>2764</v>
      </c>
      <c r="AS2670" s="1">
        <v>44354.017361111109</v>
      </c>
      <c r="AT2670" s="1">
        <v>44354.032500000001</v>
      </c>
      <c r="AU2670" s="1">
        <v>44354.034074074072</v>
      </c>
      <c r="AV2670" t="s">
        <v>71</v>
      </c>
      <c r="AW2670" t="s">
        <v>72</v>
      </c>
      <c r="AX2670" t="s">
        <v>73</v>
      </c>
    </row>
    <row r="2671" spans="1:50" x14ac:dyDescent="0.3">
      <c r="A2671" t="str">
        <f>"201245C0200"</f>
        <v>201245C0200</v>
      </c>
      <c r="B2671" t="str">
        <f>"201245C02002"</f>
        <v>201245C02002</v>
      </c>
      <c r="C2671" t="str">
        <f t="shared" si="124"/>
        <v>20</v>
      </c>
      <c r="D2671" t="s">
        <v>67</v>
      </c>
      <c r="E2671" t="str">
        <f t="shared" si="125"/>
        <v>012</v>
      </c>
      <c r="F2671" t="s">
        <v>2715</v>
      </c>
      <c r="G2671" t="str">
        <f>"1245"</f>
        <v>1245</v>
      </c>
      <c r="H2671" t="str">
        <f>"0002"</f>
        <v>0002</v>
      </c>
      <c r="I2671" t="s">
        <v>75</v>
      </c>
      <c r="J2671">
        <v>0</v>
      </c>
      <c r="K2671">
        <v>1</v>
      </c>
      <c r="L2671">
        <v>2</v>
      </c>
      <c r="M2671">
        <v>491</v>
      </c>
      <c r="N2671">
        <v>239</v>
      </c>
      <c r="O2671">
        <v>0</v>
      </c>
      <c r="P2671" t="s">
        <v>80</v>
      </c>
      <c r="Q2671">
        <v>12</v>
      </c>
      <c r="R2671">
        <v>20</v>
      </c>
      <c r="S2671">
        <v>2</v>
      </c>
      <c r="T2671">
        <v>4</v>
      </c>
      <c r="U2671">
        <v>21</v>
      </c>
      <c r="V2671">
        <v>5</v>
      </c>
      <c r="W2671">
        <v>2</v>
      </c>
      <c r="X2671">
        <v>136</v>
      </c>
      <c r="Y2671">
        <v>24</v>
      </c>
      <c r="Z2671">
        <v>3</v>
      </c>
      <c r="AA2671">
        <v>1</v>
      </c>
      <c r="AB2671">
        <v>2</v>
      </c>
      <c r="AD2671">
        <v>0</v>
      </c>
      <c r="AE2671">
        <v>0</v>
      </c>
      <c r="AF2671">
        <v>0</v>
      </c>
      <c r="AG2671">
        <v>0</v>
      </c>
      <c r="AI2671">
        <v>1</v>
      </c>
      <c r="AJ2671">
        <v>6</v>
      </c>
      <c r="AK2671">
        <v>239</v>
      </c>
      <c r="AL2671">
        <v>239</v>
      </c>
      <c r="AM2671">
        <v>686</v>
      </c>
      <c r="AN2671">
        <v>44</v>
      </c>
      <c r="AP2671">
        <v>1</v>
      </c>
      <c r="AR2671" s="2" t="s">
        <v>2765</v>
      </c>
      <c r="AS2671" s="1">
        <v>44354.01666666667</v>
      </c>
      <c r="AT2671" s="1">
        <v>44354.030624999999</v>
      </c>
      <c r="AU2671" s="1">
        <v>44354.031226851854</v>
      </c>
      <c r="AV2671" t="s">
        <v>71</v>
      </c>
      <c r="AW2671" t="s">
        <v>72</v>
      </c>
      <c r="AX2671" t="s">
        <v>73</v>
      </c>
    </row>
    <row r="2672" spans="1:50" x14ac:dyDescent="0.3">
      <c r="A2672" t="str">
        <f>"201246B0000"</f>
        <v>201246B0000</v>
      </c>
      <c r="B2672" t="str">
        <f>"201246B00002"</f>
        <v>201246B00002</v>
      </c>
      <c r="C2672" t="str">
        <f t="shared" si="124"/>
        <v>20</v>
      </c>
      <c r="D2672" t="s">
        <v>67</v>
      </c>
      <c r="E2672" t="str">
        <f t="shared" si="125"/>
        <v>012</v>
      </c>
      <c r="F2672" t="s">
        <v>2715</v>
      </c>
      <c r="G2672" t="str">
        <f>"1246"</f>
        <v>1246</v>
      </c>
      <c r="H2672" t="str">
        <f>"0000"</f>
        <v>0000</v>
      </c>
      <c r="I2672" t="s">
        <v>69</v>
      </c>
      <c r="J2672">
        <v>0</v>
      </c>
      <c r="K2672">
        <v>1</v>
      </c>
      <c r="L2672">
        <v>2</v>
      </c>
      <c r="M2672">
        <v>476</v>
      </c>
      <c r="N2672">
        <v>235</v>
      </c>
      <c r="O2672">
        <v>2</v>
      </c>
      <c r="P2672">
        <v>235</v>
      </c>
      <c r="Q2672">
        <v>17</v>
      </c>
      <c r="R2672">
        <v>47</v>
      </c>
      <c r="S2672">
        <v>2</v>
      </c>
      <c r="T2672">
        <v>5</v>
      </c>
      <c r="U2672">
        <v>6</v>
      </c>
      <c r="V2672">
        <v>3</v>
      </c>
      <c r="W2672">
        <v>2</v>
      </c>
      <c r="X2672">
        <v>131</v>
      </c>
      <c r="Y2672">
        <v>8</v>
      </c>
      <c r="Z2672">
        <v>2</v>
      </c>
      <c r="AA2672">
        <v>1</v>
      </c>
      <c r="AB2672">
        <v>5</v>
      </c>
      <c r="AD2672">
        <v>0</v>
      </c>
      <c r="AE2672">
        <v>0</v>
      </c>
      <c r="AF2672">
        <v>0</v>
      </c>
      <c r="AG2672">
        <v>0</v>
      </c>
      <c r="AI2672">
        <v>0</v>
      </c>
      <c r="AJ2672">
        <v>6</v>
      </c>
      <c r="AK2672">
        <v>235</v>
      </c>
      <c r="AL2672">
        <v>235</v>
      </c>
      <c r="AM2672">
        <v>667</v>
      </c>
      <c r="AN2672">
        <v>44</v>
      </c>
      <c r="AP2672">
        <v>1</v>
      </c>
      <c r="AR2672" t="s">
        <v>2766</v>
      </c>
      <c r="AS2672" s="1">
        <v>44354.00277777778</v>
      </c>
      <c r="AT2672" s="1">
        <v>44354.014537037037</v>
      </c>
      <c r="AU2672" s="1">
        <v>44354.01525462963</v>
      </c>
      <c r="AV2672" t="s">
        <v>71</v>
      </c>
      <c r="AW2672" t="s">
        <v>72</v>
      </c>
      <c r="AX2672" t="s">
        <v>73</v>
      </c>
    </row>
    <row r="2673" spans="1:50" x14ac:dyDescent="0.3">
      <c r="A2673" t="str">
        <f>"201246C0100"</f>
        <v>201246C0100</v>
      </c>
      <c r="B2673" t="str">
        <f>"201246C01002"</f>
        <v>201246C01002</v>
      </c>
      <c r="C2673" t="str">
        <f t="shared" si="124"/>
        <v>20</v>
      </c>
      <c r="D2673" t="s">
        <v>67</v>
      </c>
      <c r="E2673" t="str">
        <f t="shared" si="125"/>
        <v>012</v>
      </c>
      <c r="F2673" t="s">
        <v>2715</v>
      </c>
      <c r="G2673" t="str">
        <f>"1246"</f>
        <v>1246</v>
      </c>
      <c r="H2673" t="str">
        <f>"0001"</f>
        <v>0001</v>
      </c>
      <c r="I2673" t="s">
        <v>75</v>
      </c>
      <c r="J2673">
        <v>0</v>
      </c>
      <c r="K2673">
        <v>1</v>
      </c>
      <c r="L2673">
        <v>2</v>
      </c>
      <c r="M2673">
        <v>449</v>
      </c>
      <c r="N2673">
        <v>262</v>
      </c>
      <c r="O2673">
        <v>1</v>
      </c>
      <c r="P2673" t="s">
        <v>80</v>
      </c>
      <c r="Q2673">
        <v>20</v>
      </c>
      <c r="R2673">
        <v>35</v>
      </c>
      <c r="S2673">
        <v>4</v>
      </c>
      <c r="T2673">
        <v>5</v>
      </c>
      <c r="U2673">
        <v>7</v>
      </c>
      <c r="V2673">
        <v>7</v>
      </c>
      <c r="W2673">
        <v>4</v>
      </c>
      <c r="X2673">
        <v>141</v>
      </c>
      <c r="Y2673">
        <v>23</v>
      </c>
      <c r="Z2673">
        <v>0</v>
      </c>
      <c r="AA2673">
        <v>3</v>
      </c>
      <c r="AB2673">
        <v>3</v>
      </c>
      <c r="AD2673" t="s">
        <v>77</v>
      </c>
      <c r="AE2673" t="s">
        <v>77</v>
      </c>
      <c r="AF2673" t="s">
        <v>77</v>
      </c>
      <c r="AG2673" t="s">
        <v>77</v>
      </c>
      <c r="AI2673">
        <v>1</v>
      </c>
      <c r="AJ2673">
        <v>9</v>
      </c>
      <c r="AK2673">
        <v>262</v>
      </c>
      <c r="AL2673">
        <v>262</v>
      </c>
      <c r="AM2673">
        <v>667</v>
      </c>
      <c r="AN2673">
        <v>44</v>
      </c>
      <c r="AO2673" t="s">
        <v>78</v>
      </c>
      <c r="AP2673">
        <v>1</v>
      </c>
      <c r="AR2673" t="s">
        <v>2767</v>
      </c>
      <c r="AS2673" s="1">
        <v>44354.00277777778</v>
      </c>
      <c r="AT2673" s="1">
        <v>44354.015879629631</v>
      </c>
      <c r="AU2673" s="1">
        <v>44354.016423611109</v>
      </c>
      <c r="AV2673" t="s">
        <v>71</v>
      </c>
      <c r="AW2673" t="s">
        <v>72</v>
      </c>
      <c r="AX2673" t="s">
        <v>73</v>
      </c>
    </row>
    <row r="2674" spans="1:50" x14ac:dyDescent="0.3">
      <c r="A2674" t="str">
        <f>"201246C0200"</f>
        <v>201246C0200</v>
      </c>
      <c r="B2674" t="str">
        <f>"201246C02002"</f>
        <v>201246C02002</v>
      </c>
      <c r="C2674" t="str">
        <f t="shared" si="124"/>
        <v>20</v>
      </c>
      <c r="D2674" t="s">
        <v>67</v>
      </c>
      <c r="E2674" t="str">
        <f t="shared" si="125"/>
        <v>012</v>
      </c>
      <c r="F2674" t="s">
        <v>2715</v>
      </c>
      <c r="G2674" t="str">
        <f>"1246"</f>
        <v>1246</v>
      </c>
      <c r="H2674" t="str">
        <f>"0002"</f>
        <v>0002</v>
      </c>
      <c r="I2674" t="s">
        <v>75</v>
      </c>
      <c r="J2674">
        <v>0</v>
      </c>
      <c r="K2674">
        <v>1</v>
      </c>
      <c r="L2674">
        <v>2</v>
      </c>
      <c r="M2674">
        <v>454</v>
      </c>
      <c r="N2674">
        <v>257</v>
      </c>
      <c r="O2674">
        <v>2</v>
      </c>
      <c r="P2674">
        <v>257</v>
      </c>
      <c r="Q2674">
        <v>10</v>
      </c>
      <c r="R2674">
        <v>34</v>
      </c>
      <c r="S2674">
        <v>4</v>
      </c>
      <c r="T2674">
        <v>4</v>
      </c>
      <c r="U2674">
        <v>6</v>
      </c>
      <c r="V2674">
        <v>3</v>
      </c>
      <c r="W2674">
        <v>1</v>
      </c>
      <c r="X2674">
        <v>157</v>
      </c>
      <c r="Y2674">
        <v>13</v>
      </c>
      <c r="Z2674">
        <v>7</v>
      </c>
      <c r="AA2674">
        <v>0</v>
      </c>
      <c r="AB2674">
        <v>5</v>
      </c>
      <c r="AD2674">
        <v>1</v>
      </c>
      <c r="AE2674">
        <v>0</v>
      </c>
      <c r="AF2674">
        <v>0</v>
      </c>
      <c r="AG2674">
        <v>0</v>
      </c>
      <c r="AI2674">
        <v>0</v>
      </c>
      <c r="AJ2674">
        <v>12</v>
      </c>
      <c r="AK2674">
        <v>257</v>
      </c>
      <c r="AL2674">
        <v>257</v>
      </c>
      <c r="AM2674">
        <v>667</v>
      </c>
      <c r="AN2674">
        <v>44</v>
      </c>
      <c r="AP2674">
        <v>1</v>
      </c>
      <c r="AR2674" t="s">
        <v>2768</v>
      </c>
      <c r="AS2674" s="1">
        <v>44354.001388888886</v>
      </c>
      <c r="AT2674" s="1">
        <v>44354.018252314818</v>
      </c>
      <c r="AU2674" s="1">
        <v>44354.019004629627</v>
      </c>
      <c r="AV2674" t="s">
        <v>71</v>
      </c>
      <c r="AW2674" t="s">
        <v>72</v>
      </c>
      <c r="AX2674" t="s">
        <v>73</v>
      </c>
    </row>
    <row r="2675" spans="1:50" x14ac:dyDescent="0.3">
      <c r="A2675" t="str">
        <f>"201246C0300"</f>
        <v>201246C0300</v>
      </c>
      <c r="B2675" t="str">
        <f>"201246C03002"</f>
        <v>201246C03002</v>
      </c>
      <c r="C2675" t="str">
        <f t="shared" si="124"/>
        <v>20</v>
      </c>
      <c r="D2675" t="s">
        <v>67</v>
      </c>
      <c r="E2675" t="str">
        <f t="shared" si="125"/>
        <v>012</v>
      </c>
      <c r="F2675" t="s">
        <v>2715</v>
      </c>
      <c r="G2675" t="str">
        <f>"1246"</f>
        <v>1246</v>
      </c>
      <c r="H2675" t="str">
        <f>"0003"</f>
        <v>0003</v>
      </c>
      <c r="I2675" t="s">
        <v>75</v>
      </c>
      <c r="J2675">
        <v>0</v>
      </c>
      <c r="K2675">
        <v>1</v>
      </c>
      <c r="L2675">
        <v>2</v>
      </c>
      <c r="M2675">
        <v>486</v>
      </c>
      <c r="N2675">
        <v>224</v>
      </c>
      <c r="O2675">
        <v>1</v>
      </c>
      <c r="P2675">
        <v>224</v>
      </c>
      <c r="Q2675">
        <v>16</v>
      </c>
      <c r="R2675">
        <v>32</v>
      </c>
      <c r="S2675">
        <v>5</v>
      </c>
      <c r="T2675">
        <v>3</v>
      </c>
      <c r="U2675">
        <v>6</v>
      </c>
      <c r="V2675">
        <v>7</v>
      </c>
      <c r="W2675">
        <v>3</v>
      </c>
      <c r="X2675">
        <v>128</v>
      </c>
      <c r="Y2675">
        <v>10</v>
      </c>
      <c r="Z2675">
        <v>2</v>
      </c>
      <c r="AA2675">
        <v>2</v>
      </c>
      <c r="AB2675">
        <v>2</v>
      </c>
      <c r="AD2675">
        <v>1</v>
      </c>
      <c r="AE2675">
        <v>0</v>
      </c>
      <c r="AF2675">
        <v>0</v>
      </c>
      <c r="AG2675">
        <v>0</v>
      </c>
      <c r="AI2675">
        <v>0</v>
      </c>
      <c r="AJ2675">
        <v>7</v>
      </c>
      <c r="AK2675">
        <v>224</v>
      </c>
      <c r="AL2675">
        <v>224</v>
      </c>
      <c r="AM2675">
        <v>666</v>
      </c>
      <c r="AN2675">
        <v>44</v>
      </c>
      <c r="AP2675">
        <v>1</v>
      </c>
      <c r="AR2675" t="s">
        <v>2769</v>
      </c>
      <c r="AS2675" s="1">
        <v>44354</v>
      </c>
      <c r="AT2675" s="1">
        <v>44354.013275462959</v>
      </c>
      <c r="AU2675" s="1">
        <v>44354.013807870368</v>
      </c>
      <c r="AV2675" t="s">
        <v>71</v>
      </c>
      <c r="AW2675" t="s">
        <v>72</v>
      </c>
      <c r="AX2675" t="s">
        <v>73</v>
      </c>
    </row>
    <row r="2676" spans="1:50" x14ac:dyDescent="0.3">
      <c r="A2676" t="str">
        <f>"201246C0400"</f>
        <v>201246C0400</v>
      </c>
      <c r="B2676" t="str">
        <f>"201246C04002"</f>
        <v>201246C04002</v>
      </c>
      <c r="C2676" t="str">
        <f t="shared" si="124"/>
        <v>20</v>
      </c>
      <c r="D2676" t="s">
        <v>67</v>
      </c>
      <c r="E2676" t="str">
        <f t="shared" si="125"/>
        <v>012</v>
      </c>
      <c r="F2676" t="s">
        <v>2715</v>
      </c>
      <c r="G2676" t="str">
        <f>"1246"</f>
        <v>1246</v>
      </c>
      <c r="H2676" t="str">
        <f>"0004"</f>
        <v>0004</v>
      </c>
      <c r="I2676" t="s">
        <v>75</v>
      </c>
      <c r="J2676">
        <v>0</v>
      </c>
      <c r="K2676">
        <v>1</v>
      </c>
      <c r="L2676">
        <v>2</v>
      </c>
      <c r="M2676">
        <v>469</v>
      </c>
      <c r="N2676">
        <v>241</v>
      </c>
      <c r="O2676">
        <v>1</v>
      </c>
      <c r="P2676">
        <v>0</v>
      </c>
      <c r="Q2676">
        <v>9</v>
      </c>
      <c r="R2676">
        <v>55</v>
      </c>
      <c r="S2676">
        <v>2</v>
      </c>
      <c r="T2676">
        <v>3</v>
      </c>
      <c r="U2676">
        <v>5</v>
      </c>
      <c r="V2676">
        <v>3</v>
      </c>
      <c r="W2676">
        <v>1</v>
      </c>
      <c r="X2676">
        <v>149</v>
      </c>
      <c r="Y2676">
        <v>1</v>
      </c>
      <c r="Z2676">
        <v>3</v>
      </c>
      <c r="AA2676">
        <v>0</v>
      </c>
      <c r="AB2676">
        <v>3</v>
      </c>
      <c r="AD2676">
        <v>1</v>
      </c>
      <c r="AE2676">
        <v>2</v>
      </c>
      <c r="AF2676">
        <v>0</v>
      </c>
      <c r="AG2676">
        <v>1</v>
      </c>
      <c r="AI2676">
        <v>0</v>
      </c>
      <c r="AJ2676">
        <v>3</v>
      </c>
      <c r="AK2676">
        <v>241</v>
      </c>
      <c r="AL2676">
        <v>241</v>
      </c>
      <c r="AM2676">
        <v>666</v>
      </c>
      <c r="AN2676">
        <v>44</v>
      </c>
      <c r="AP2676">
        <v>1</v>
      </c>
      <c r="AR2676" t="s">
        <v>2770</v>
      </c>
      <c r="AS2676" s="1">
        <v>44354.001388888886</v>
      </c>
      <c r="AT2676" s="1">
        <v>44354.014444444445</v>
      </c>
      <c r="AU2676" s="1">
        <v>44354.015717592592</v>
      </c>
      <c r="AV2676" t="s">
        <v>71</v>
      </c>
      <c r="AW2676" t="s">
        <v>72</v>
      </c>
      <c r="AX2676" t="s">
        <v>73</v>
      </c>
    </row>
    <row r="2677" spans="1:50" x14ac:dyDescent="0.3">
      <c r="A2677" t="str">
        <f>"201247B0000"</f>
        <v>201247B0000</v>
      </c>
      <c r="B2677" t="str">
        <f>"201247B00002"</f>
        <v>201247B00002</v>
      </c>
      <c r="C2677" t="str">
        <f t="shared" si="124"/>
        <v>20</v>
      </c>
      <c r="D2677" t="s">
        <v>67</v>
      </c>
      <c r="E2677" t="str">
        <f t="shared" si="125"/>
        <v>012</v>
      </c>
      <c r="F2677" t="s">
        <v>2715</v>
      </c>
      <c r="G2677" t="str">
        <f>"1247"</f>
        <v>1247</v>
      </c>
      <c r="H2677" t="str">
        <f>"0000"</f>
        <v>0000</v>
      </c>
      <c r="I2677" t="s">
        <v>69</v>
      </c>
      <c r="J2677">
        <v>0</v>
      </c>
      <c r="K2677">
        <v>1</v>
      </c>
      <c r="L2677">
        <v>2</v>
      </c>
      <c r="M2677">
        <v>428</v>
      </c>
      <c r="N2677">
        <v>181</v>
      </c>
      <c r="O2677">
        <v>0</v>
      </c>
      <c r="P2677">
        <v>181</v>
      </c>
      <c r="Q2677">
        <v>6</v>
      </c>
      <c r="R2677">
        <v>12</v>
      </c>
      <c r="S2677">
        <v>1</v>
      </c>
      <c r="T2677">
        <v>2</v>
      </c>
      <c r="U2677">
        <v>4</v>
      </c>
      <c r="V2677">
        <v>2</v>
      </c>
      <c r="W2677">
        <v>16</v>
      </c>
      <c r="X2677">
        <v>105</v>
      </c>
      <c r="Y2677">
        <v>22</v>
      </c>
      <c r="Z2677">
        <v>0</v>
      </c>
      <c r="AA2677">
        <v>0</v>
      </c>
      <c r="AB2677">
        <v>6</v>
      </c>
      <c r="AD2677">
        <v>0</v>
      </c>
      <c r="AE2677">
        <v>0</v>
      </c>
      <c r="AF2677">
        <v>0</v>
      </c>
      <c r="AG2677">
        <v>0</v>
      </c>
      <c r="AI2677">
        <v>0</v>
      </c>
      <c r="AJ2677">
        <v>5</v>
      </c>
      <c r="AK2677">
        <v>181</v>
      </c>
      <c r="AL2677">
        <v>181</v>
      </c>
      <c r="AM2677">
        <v>565</v>
      </c>
      <c r="AN2677">
        <v>44</v>
      </c>
      <c r="AP2677">
        <v>1</v>
      </c>
      <c r="AR2677" t="s">
        <v>2771</v>
      </c>
      <c r="AS2677" s="1">
        <v>44353.847222222219</v>
      </c>
      <c r="AT2677" s="1">
        <v>44353.932824074072</v>
      </c>
      <c r="AU2677" s="1">
        <v>44353.933182870373</v>
      </c>
      <c r="AV2677" t="s">
        <v>71</v>
      </c>
      <c r="AW2677" t="s">
        <v>72</v>
      </c>
      <c r="AX2677" t="s">
        <v>73</v>
      </c>
    </row>
    <row r="2678" spans="1:50" x14ac:dyDescent="0.3">
      <c r="A2678" t="str">
        <f>"201247C0100"</f>
        <v>201247C0100</v>
      </c>
      <c r="B2678" t="str">
        <f>"201247C01002"</f>
        <v>201247C01002</v>
      </c>
      <c r="C2678" t="str">
        <f t="shared" si="124"/>
        <v>20</v>
      </c>
      <c r="D2678" t="s">
        <v>67</v>
      </c>
      <c r="E2678" t="str">
        <f t="shared" si="125"/>
        <v>012</v>
      </c>
      <c r="F2678" t="s">
        <v>2715</v>
      </c>
      <c r="G2678" t="str">
        <f>"1247"</f>
        <v>1247</v>
      </c>
      <c r="H2678" t="str">
        <f>"0001"</f>
        <v>0001</v>
      </c>
      <c r="I2678" t="s">
        <v>75</v>
      </c>
      <c r="J2678">
        <v>0</v>
      </c>
      <c r="K2678">
        <v>1</v>
      </c>
      <c r="L2678">
        <v>2</v>
      </c>
      <c r="M2678">
        <v>441</v>
      </c>
      <c r="N2678">
        <v>168</v>
      </c>
      <c r="O2678">
        <v>0</v>
      </c>
      <c r="P2678">
        <v>168</v>
      </c>
      <c r="Q2678">
        <v>5</v>
      </c>
      <c r="R2678">
        <v>18</v>
      </c>
      <c r="S2678">
        <v>1</v>
      </c>
      <c r="T2678">
        <v>5</v>
      </c>
      <c r="U2678">
        <v>8</v>
      </c>
      <c r="V2678">
        <v>5</v>
      </c>
      <c r="W2678">
        <v>7</v>
      </c>
      <c r="X2678">
        <v>93</v>
      </c>
      <c r="Y2678">
        <v>13</v>
      </c>
      <c r="Z2678">
        <v>1</v>
      </c>
      <c r="AA2678">
        <v>3</v>
      </c>
      <c r="AB2678">
        <v>2</v>
      </c>
      <c r="AD2678">
        <v>1</v>
      </c>
      <c r="AE2678">
        <v>0</v>
      </c>
      <c r="AF2678">
        <v>0</v>
      </c>
      <c r="AG2678">
        <v>0</v>
      </c>
      <c r="AI2678">
        <v>0</v>
      </c>
      <c r="AJ2678">
        <v>6</v>
      </c>
      <c r="AK2678">
        <v>168</v>
      </c>
      <c r="AL2678">
        <v>168</v>
      </c>
      <c r="AM2678">
        <v>565</v>
      </c>
      <c r="AN2678">
        <v>44</v>
      </c>
      <c r="AP2678">
        <v>1</v>
      </c>
      <c r="AR2678" t="s">
        <v>2772</v>
      </c>
      <c r="AS2678" s="1">
        <v>44353.848611111112</v>
      </c>
      <c r="AT2678" s="1">
        <v>44353.930405092593</v>
      </c>
      <c r="AU2678" s="1">
        <v>44353.93074074074</v>
      </c>
      <c r="AV2678" t="s">
        <v>71</v>
      </c>
      <c r="AW2678" t="s">
        <v>72</v>
      </c>
      <c r="AX2678" t="s">
        <v>73</v>
      </c>
    </row>
    <row r="2679" spans="1:50" x14ac:dyDescent="0.3">
      <c r="A2679" t="str">
        <f>"201423B0000"</f>
        <v>201423B0000</v>
      </c>
      <c r="B2679" t="str">
        <f>"201423B00002"</f>
        <v>201423B00002</v>
      </c>
      <c r="C2679" t="str">
        <f t="shared" si="124"/>
        <v>20</v>
      </c>
      <c r="D2679" t="s">
        <v>67</v>
      </c>
      <c r="E2679" t="str">
        <f t="shared" si="125"/>
        <v>012</v>
      </c>
      <c r="F2679" t="s">
        <v>2715</v>
      </c>
      <c r="G2679" t="str">
        <f>"1423"</f>
        <v>1423</v>
      </c>
      <c r="H2679" t="str">
        <f>"0000"</f>
        <v>0000</v>
      </c>
      <c r="I2679" t="s">
        <v>69</v>
      </c>
      <c r="J2679">
        <v>0</v>
      </c>
      <c r="K2679">
        <v>1</v>
      </c>
      <c r="L2679">
        <v>2</v>
      </c>
      <c r="M2679">
        <v>410</v>
      </c>
      <c r="N2679">
        <v>222</v>
      </c>
      <c r="O2679">
        <v>2</v>
      </c>
      <c r="P2679">
        <v>222</v>
      </c>
      <c r="Q2679">
        <v>13</v>
      </c>
      <c r="R2679">
        <v>36</v>
      </c>
      <c r="S2679">
        <v>0</v>
      </c>
      <c r="T2679">
        <v>5</v>
      </c>
      <c r="U2679">
        <v>14</v>
      </c>
      <c r="V2679">
        <v>4</v>
      </c>
      <c r="W2679">
        <v>8</v>
      </c>
      <c r="X2679">
        <v>116</v>
      </c>
      <c r="Y2679">
        <v>5</v>
      </c>
      <c r="Z2679">
        <v>7</v>
      </c>
      <c r="AA2679">
        <v>2</v>
      </c>
      <c r="AB2679">
        <v>3</v>
      </c>
      <c r="AD2679">
        <v>0</v>
      </c>
      <c r="AE2679">
        <v>1</v>
      </c>
      <c r="AF2679">
        <v>0</v>
      </c>
      <c r="AG2679">
        <v>0</v>
      </c>
      <c r="AI2679">
        <v>0</v>
      </c>
      <c r="AJ2679">
        <v>8</v>
      </c>
      <c r="AK2679">
        <v>222</v>
      </c>
      <c r="AL2679">
        <v>222</v>
      </c>
      <c r="AM2679">
        <v>588</v>
      </c>
      <c r="AN2679">
        <v>44</v>
      </c>
      <c r="AP2679">
        <v>1</v>
      </c>
      <c r="AR2679" t="s">
        <v>2773</v>
      </c>
      <c r="AS2679" s="1">
        <v>44353.932638888888</v>
      </c>
      <c r="AT2679" s="1">
        <v>44353.957395833335</v>
      </c>
      <c r="AU2679" s="1">
        <v>44353.958194444444</v>
      </c>
      <c r="AV2679" t="s">
        <v>71</v>
      </c>
      <c r="AW2679" t="s">
        <v>72</v>
      </c>
      <c r="AX2679" t="s">
        <v>73</v>
      </c>
    </row>
    <row r="2680" spans="1:50" x14ac:dyDescent="0.3">
      <c r="A2680" t="str">
        <f>"201423C0100"</f>
        <v>201423C0100</v>
      </c>
      <c r="B2680" t="str">
        <f>"201423C01002"</f>
        <v>201423C01002</v>
      </c>
      <c r="C2680" t="str">
        <f t="shared" si="124"/>
        <v>20</v>
      </c>
      <c r="D2680" t="s">
        <v>67</v>
      </c>
      <c r="E2680" t="str">
        <f t="shared" si="125"/>
        <v>012</v>
      </c>
      <c r="F2680" t="s">
        <v>2715</v>
      </c>
      <c r="G2680" t="str">
        <f>"1423"</f>
        <v>1423</v>
      </c>
      <c r="H2680" t="str">
        <f>"0001"</f>
        <v>0001</v>
      </c>
      <c r="I2680" t="s">
        <v>75</v>
      </c>
      <c r="J2680">
        <v>0</v>
      </c>
      <c r="K2680">
        <v>1</v>
      </c>
      <c r="L2680">
        <v>2</v>
      </c>
      <c r="M2680">
        <v>407</v>
      </c>
      <c r="N2680">
        <v>225</v>
      </c>
      <c r="O2680">
        <v>2</v>
      </c>
      <c r="P2680" t="s">
        <v>80</v>
      </c>
      <c r="Q2680">
        <v>8</v>
      </c>
      <c r="R2680">
        <v>27</v>
      </c>
      <c r="S2680">
        <v>0</v>
      </c>
      <c r="T2680">
        <v>8</v>
      </c>
      <c r="U2680">
        <v>5</v>
      </c>
      <c r="V2680">
        <v>8</v>
      </c>
      <c r="W2680">
        <v>6</v>
      </c>
      <c r="X2680">
        <v>138</v>
      </c>
      <c r="Y2680">
        <v>3</v>
      </c>
      <c r="Z2680">
        <v>11</v>
      </c>
      <c r="AA2680">
        <v>0</v>
      </c>
      <c r="AB2680">
        <v>3</v>
      </c>
      <c r="AD2680">
        <v>0</v>
      </c>
      <c r="AE2680">
        <v>0</v>
      </c>
      <c r="AF2680">
        <v>0</v>
      </c>
      <c r="AG2680">
        <v>0</v>
      </c>
      <c r="AI2680">
        <v>0</v>
      </c>
      <c r="AJ2680">
        <v>8</v>
      </c>
      <c r="AK2680">
        <v>225</v>
      </c>
      <c r="AL2680">
        <v>225</v>
      </c>
      <c r="AM2680">
        <v>588</v>
      </c>
      <c r="AN2680">
        <v>44</v>
      </c>
      <c r="AP2680">
        <v>1</v>
      </c>
      <c r="AR2680" t="s">
        <v>2774</v>
      </c>
      <c r="AS2680" s="1">
        <v>44353.9375</v>
      </c>
      <c r="AT2680" s="1">
        <v>44353.959733796299</v>
      </c>
      <c r="AU2680" s="1">
        <v>44353.960648148146</v>
      </c>
      <c r="AV2680" t="s">
        <v>71</v>
      </c>
      <c r="AW2680" t="s">
        <v>72</v>
      </c>
      <c r="AX2680" t="s">
        <v>73</v>
      </c>
    </row>
    <row r="2681" spans="1:50" x14ac:dyDescent="0.3">
      <c r="A2681" t="str">
        <f>"201423C0200"</f>
        <v>201423C0200</v>
      </c>
      <c r="B2681" t="str">
        <f>"201423C02002"</f>
        <v>201423C02002</v>
      </c>
      <c r="C2681" t="str">
        <f t="shared" si="124"/>
        <v>20</v>
      </c>
      <c r="D2681" t="s">
        <v>67</v>
      </c>
      <c r="E2681" t="str">
        <f t="shared" si="125"/>
        <v>012</v>
      </c>
      <c r="F2681" t="s">
        <v>2715</v>
      </c>
      <c r="G2681" t="str">
        <f>"1423"</f>
        <v>1423</v>
      </c>
      <c r="H2681" t="str">
        <f>"0002"</f>
        <v>0002</v>
      </c>
      <c r="I2681" t="s">
        <v>75</v>
      </c>
      <c r="J2681">
        <v>0</v>
      </c>
      <c r="K2681">
        <v>1</v>
      </c>
      <c r="L2681">
        <v>2</v>
      </c>
      <c r="M2681">
        <v>409</v>
      </c>
      <c r="N2681">
        <v>223</v>
      </c>
      <c r="O2681">
        <v>2</v>
      </c>
      <c r="P2681">
        <v>223</v>
      </c>
      <c r="Q2681">
        <v>16</v>
      </c>
      <c r="R2681">
        <v>27</v>
      </c>
      <c r="S2681">
        <v>6</v>
      </c>
      <c r="T2681">
        <v>1</v>
      </c>
      <c r="U2681">
        <v>7</v>
      </c>
      <c r="V2681">
        <v>5</v>
      </c>
      <c r="W2681">
        <v>6</v>
      </c>
      <c r="X2681">
        <v>124</v>
      </c>
      <c r="Y2681">
        <v>7</v>
      </c>
      <c r="Z2681">
        <v>10</v>
      </c>
      <c r="AA2681">
        <v>0</v>
      </c>
      <c r="AB2681">
        <v>2</v>
      </c>
      <c r="AD2681">
        <v>0</v>
      </c>
      <c r="AE2681">
        <v>0</v>
      </c>
      <c r="AF2681">
        <v>0</v>
      </c>
      <c r="AG2681">
        <v>0</v>
      </c>
      <c r="AI2681">
        <v>0</v>
      </c>
      <c r="AJ2681">
        <v>12</v>
      </c>
      <c r="AK2681">
        <v>223</v>
      </c>
      <c r="AL2681">
        <v>223</v>
      </c>
      <c r="AM2681">
        <v>588</v>
      </c>
      <c r="AN2681">
        <v>44</v>
      </c>
      <c r="AP2681">
        <v>1</v>
      </c>
      <c r="AR2681" t="s">
        <v>2775</v>
      </c>
      <c r="AS2681" s="1">
        <v>44353.932638888888</v>
      </c>
      <c r="AT2681" s="1">
        <v>44353.963854166665</v>
      </c>
      <c r="AU2681" s="1">
        <v>44353.964618055557</v>
      </c>
      <c r="AV2681" t="s">
        <v>71</v>
      </c>
      <c r="AW2681" t="s">
        <v>72</v>
      </c>
      <c r="AX2681" t="s">
        <v>73</v>
      </c>
    </row>
    <row r="2682" spans="1:50" x14ac:dyDescent="0.3">
      <c r="A2682" t="str">
        <f>"201423C0300"</f>
        <v>201423C0300</v>
      </c>
      <c r="B2682" t="str">
        <f>"201423C03002"</f>
        <v>201423C03002</v>
      </c>
      <c r="C2682" t="str">
        <f t="shared" si="124"/>
        <v>20</v>
      </c>
      <c r="D2682" t="s">
        <v>67</v>
      </c>
      <c r="E2682" t="str">
        <f t="shared" si="125"/>
        <v>012</v>
      </c>
      <c r="F2682" t="s">
        <v>2715</v>
      </c>
      <c r="G2682" t="str">
        <f>"1423"</f>
        <v>1423</v>
      </c>
      <c r="H2682" t="str">
        <f>"0003"</f>
        <v>0003</v>
      </c>
      <c r="I2682" t="s">
        <v>75</v>
      </c>
      <c r="J2682">
        <v>0</v>
      </c>
      <c r="K2682">
        <v>1</v>
      </c>
      <c r="L2682">
        <v>2</v>
      </c>
      <c r="M2682">
        <v>409</v>
      </c>
      <c r="N2682">
        <v>222</v>
      </c>
      <c r="O2682">
        <v>3</v>
      </c>
      <c r="P2682" t="s">
        <v>80</v>
      </c>
      <c r="Q2682">
        <v>15</v>
      </c>
      <c r="R2682">
        <v>31</v>
      </c>
      <c r="S2682">
        <v>2</v>
      </c>
      <c r="T2682">
        <v>2</v>
      </c>
      <c r="U2682">
        <v>7</v>
      </c>
      <c r="V2682">
        <v>5</v>
      </c>
      <c r="W2682">
        <v>3</v>
      </c>
      <c r="X2682">
        <v>133</v>
      </c>
      <c r="Y2682">
        <v>1</v>
      </c>
      <c r="Z2682">
        <v>9</v>
      </c>
      <c r="AA2682">
        <v>3</v>
      </c>
      <c r="AB2682">
        <v>2</v>
      </c>
      <c r="AD2682">
        <v>0</v>
      </c>
      <c r="AE2682">
        <v>0</v>
      </c>
      <c r="AF2682">
        <v>0</v>
      </c>
      <c r="AG2682">
        <v>0</v>
      </c>
      <c r="AI2682">
        <v>0</v>
      </c>
      <c r="AJ2682">
        <v>9</v>
      </c>
      <c r="AK2682">
        <v>222</v>
      </c>
      <c r="AL2682">
        <v>222</v>
      </c>
      <c r="AM2682">
        <v>587</v>
      </c>
      <c r="AN2682">
        <v>44</v>
      </c>
      <c r="AP2682">
        <v>1</v>
      </c>
      <c r="AR2682" t="s">
        <v>2776</v>
      </c>
      <c r="AS2682" s="1">
        <v>44353.938888888886</v>
      </c>
      <c r="AT2682" s="1">
        <v>44353.961631944447</v>
      </c>
      <c r="AU2682" s="1">
        <v>44353.96230324074</v>
      </c>
      <c r="AV2682" t="s">
        <v>71</v>
      </c>
      <c r="AW2682" t="s">
        <v>72</v>
      </c>
      <c r="AX2682" t="s">
        <v>73</v>
      </c>
    </row>
    <row r="2683" spans="1:50" x14ac:dyDescent="0.3">
      <c r="A2683" t="str">
        <f>"201424B0000"</f>
        <v>201424B0000</v>
      </c>
      <c r="B2683" t="str">
        <f>"201424B00002"</f>
        <v>201424B00002</v>
      </c>
      <c r="C2683" t="str">
        <f t="shared" si="124"/>
        <v>20</v>
      </c>
      <c r="D2683" t="s">
        <v>67</v>
      </c>
      <c r="E2683" t="str">
        <f t="shared" si="125"/>
        <v>012</v>
      </c>
      <c r="F2683" t="s">
        <v>2715</v>
      </c>
      <c r="G2683" t="str">
        <f t="shared" ref="G2683:G2691" si="126">"1424"</f>
        <v>1424</v>
      </c>
      <c r="H2683" t="str">
        <f>"0000"</f>
        <v>0000</v>
      </c>
      <c r="I2683" t="s">
        <v>69</v>
      </c>
      <c r="J2683">
        <v>0</v>
      </c>
      <c r="K2683">
        <v>1</v>
      </c>
      <c r="L2683">
        <v>2</v>
      </c>
      <c r="M2683">
        <v>508</v>
      </c>
      <c r="N2683">
        <v>273</v>
      </c>
      <c r="O2683">
        <v>9</v>
      </c>
      <c r="P2683">
        <v>273</v>
      </c>
      <c r="Q2683">
        <v>22</v>
      </c>
      <c r="R2683">
        <v>38</v>
      </c>
      <c r="S2683">
        <v>4</v>
      </c>
      <c r="T2683">
        <v>4</v>
      </c>
      <c r="U2683">
        <v>10</v>
      </c>
      <c r="V2683">
        <v>10</v>
      </c>
      <c r="W2683">
        <v>16</v>
      </c>
      <c r="X2683">
        <v>132</v>
      </c>
      <c r="Y2683">
        <v>3</v>
      </c>
      <c r="Z2683">
        <v>13</v>
      </c>
      <c r="AA2683">
        <v>2</v>
      </c>
      <c r="AB2683">
        <v>5</v>
      </c>
      <c r="AD2683">
        <v>0</v>
      </c>
      <c r="AE2683">
        <v>0</v>
      </c>
      <c r="AF2683">
        <v>0</v>
      </c>
      <c r="AG2683">
        <v>0</v>
      </c>
      <c r="AI2683">
        <v>0</v>
      </c>
      <c r="AJ2683">
        <v>14</v>
      </c>
      <c r="AK2683">
        <v>273</v>
      </c>
      <c r="AL2683">
        <v>273</v>
      </c>
      <c r="AM2683">
        <v>737</v>
      </c>
      <c r="AN2683">
        <v>44</v>
      </c>
      <c r="AP2683">
        <v>1</v>
      </c>
      <c r="AR2683" t="s">
        <v>2777</v>
      </c>
      <c r="AS2683" s="1">
        <v>44353.953472222223</v>
      </c>
      <c r="AT2683" s="1">
        <v>44353.970729166664</v>
      </c>
      <c r="AU2683" s="1">
        <v>44353.971435185187</v>
      </c>
      <c r="AV2683" t="s">
        <v>71</v>
      </c>
      <c r="AW2683" t="s">
        <v>72</v>
      </c>
      <c r="AX2683" t="s">
        <v>73</v>
      </c>
    </row>
    <row r="2684" spans="1:50" x14ac:dyDescent="0.3">
      <c r="A2684" t="str">
        <f>"201424C0100"</f>
        <v>201424C0100</v>
      </c>
      <c r="B2684" t="str">
        <f>"201424C01002"</f>
        <v>201424C01002</v>
      </c>
      <c r="C2684" t="str">
        <f t="shared" si="124"/>
        <v>20</v>
      </c>
      <c r="D2684" t="s">
        <v>67</v>
      </c>
      <c r="E2684" t="str">
        <f t="shared" si="125"/>
        <v>012</v>
      </c>
      <c r="F2684" t="s">
        <v>2715</v>
      </c>
      <c r="G2684" t="str">
        <f t="shared" si="126"/>
        <v>1424</v>
      </c>
      <c r="H2684" t="str">
        <f>"0001"</f>
        <v>0001</v>
      </c>
      <c r="I2684" t="s">
        <v>75</v>
      </c>
      <c r="J2684">
        <v>0</v>
      </c>
      <c r="K2684">
        <v>1</v>
      </c>
      <c r="L2684">
        <v>2</v>
      </c>
      <c r="M2684">
        <v>526</v>
      </c>
      <c r="N2684">
        <v>254</v>
      </c>
      <c r="O2684">
        <v>9</v>
      </c>
      <c r="P2684">
        <v>255</v>
      </c>
      <c r="Q2684">
        <v>21</v>
      </c>
      <c r="R2684">
        <v>44</v>
      </c>
      <c r="S2684">
        <v>2</v>
      </c>
      <c r="T2684">
        <v>6</v>
      </c>
      <c r="U2684">
        <v>5</v>
      </c>
      <c r="V2684">
        <v>5</v>
      </c>
      <c r="W2684">
        <v>16</v>
      </c>
      <c r="X2684">
        <v>116</v>
      </c>
      <c r="Y2684">
        <v>3</v>
      </c>
      <c r="Z2684">
        <v>9</v>
      </c>
      <c r="AA2684">
        <v>6</v>
      </c>
      <c r="AB2684">
        <v>7</v>
      </c>
      <c r="AD2684">
        <v>1</v>
      </c>
      <c r="AE2684">
        <v>1</v>
      </c>
      <c r="AF2684">
        <v>0</v>
      </c>
      <c r="AG2684">
        <v>1</v>
      </c>
      <c r="AI2684">
        <v>0</v>
      </c>
      <c r="AJ2684">
        <v>12</v>
      </c>
      <c r="AK2684">
        <v>255</v>
      </c>
      <c r="AL2684">
        <v>255</v>
      </c>
      <c r="AM2684">
        <v>737</v>
      </c>
      <c r="AN2684">
        <v>44</v>
      </c>
      <c r="AP2684">
        <v>1</v>
      </c>
      <c r="AR2684" t="s">
        <v>2778</v>
      </c>
      <c r="AS2684" s="1">
        <v>44353.947916666664</v>
      </c>
      <c r="AT2684" s="1">
        <v>44353.975740740738</v>
      </c>
      <c r="AU2684" s="1">
        <v>44353.976388888892</v>
      </c>
      <c r="AV2684" t="s">
        <v>71</v>
      </c>
      <c r="AW2684" t="s">
        <v>72</v>
      </c>
      <c r="AX2684" t="s">
        <v>73</v>
      </c>
    </row>
    <row r="2685" spans="1:50" x14ac:dyDescent="0.3">
      <c r="A2685" t="str">
        <f>"201424E0100"</f>
        <v>201424E0100</v>
      </c>
      <c r="B2685" t="str">
        <f>"201424E01002"</f>
        <v>201424E01002</v>
      </c>
      <c r="C2685" t="str">
        <f t="shared" si="124"/>
        <v>20</v>
      </c>
      <c r="D2685" t="s">
        <v>67</v>
      </c>
      <c r="E2685" t="str">
        <f t="shared" si="125"/>
        <v>012</v>
      </c>
      <c r="F2685" t="s">
        <v>2715</v>
      </c>
      <c r="G2685" t="str">
        <f t="shared" si="126"/>
        <v>1424</v>
      </c>
      <c r="H2685" t="str">
        <f>"0001"</f>
        <v>0001</v>
      </c>
      <c r="I2685" t="s">
        <v>109</v>
      </c>
      <c r="J2685">
        <v>0</v>
      </c>
      <c r="K2685">
        <v>1</v>
      </c>
      <c r="L2685">
        <v>2</v>
      </c>
      <c r="M2685">
        <v>478</v>
      </c>
      <c r="N2685">
        <v>310</v>
      </c>
      <c r="O2685">
        <v>10</v>
      </c>
      <c r="P2685">
        <v>310</v>
      </c>
      <c r="Q2685">
        <v>27</v>
      </c>
      <c r="R2685">
        <v>52</v>
      </c>
      <c r="S2685">
        <v>3</v>
      </c>
      <c r="T2685">
        <v>4</v>
      </c>
      <c r="U2685">
        <v>15</v>
      </c>
      <c r="V2685">
        <v>5</v>
      </c>
      <c r="W2685">
        <v>10</v>
      </c>
      <c r="X2685">
        <v>151</v>
      </c>
      <c r="Y2685">
        <v>3</v>
      </c>
      <c r="Z2685">
        <v>3</v>
      </c>
      <c r="AA2685">
        <v>4</v>
      </c>
      <c r="AB2685">
        <v>13</v>
      </c>
      <c r="AD2685">
        <v>4</v>
      </c>
      <c r="AE2685">
        <v>0</v>
      </c>
      <c r="AF2685">
        <v>0</v>
      </c>
      <c r="AG2685">
        <v>1</v>
      </c>
      <c r="AI2685">
        <v>1</v>
      </c>
      <c r="AJ2685">
        <v>14</v>
      </c>
      <c r="AK2685">
        <v>310</v>
      </c>
      <c r="AL2685">
        <v>310</v>
      </c>
      <c r="AM2685">
        <v>744</v>
      </c>
      <c r="AN2685">
        <v>44</v>
      </c>
      <c r="AP2685">
        <v>1</v>
      </c>
      <c r="AR2685" s="2" t="s">
        <v>2779</v>
      </c>
      <c r="AS2685" s="1">
        <v>44353.95208333333</v>
      </c>
      <c r="AT2685" s="1">
        <v>44353.980821759258</v>
      </c>
      <c r="AU2685" s="1">
        <v>44353.982002314813</v>
      </c>
      <c r="AV2685" t="s">
        <v>71</v>
      </c>
      <c r="AW2685" t="s">
        <v>72</v>
      </c>
      <c r="AX2685" t="s">
        <v>73</v>
      </c>
    </row>
    <row r="2686" spans="1:50" x14ac:dyDescent="0.3">
      <c r="A2686" t="str">
        <f>"201424E0101"</f>
        <v>201424E0101</v>
      </c>
      <c r="B2686" t="str">
        <f>"201424E01012"</f>
        <v>201424E01012</v>
      </c>
      <c r="C2686" t="str">
        <f t="shared" si="124"/>
        <v>20</v>
      </c>
      <c r="D2686" t="s">
        <v>67</v>
      </c>
      <c r="E2686" t="str">
        <f t="shared" ref="E2686:E2717" si="127">"012"</f>
        <v>012</v>
      </c>
      <c r="F2686" t="s">
        <v>2715</v>
      </c>
      <c r="G2686" t="str">
        <f t="shared" si="126"/>
        <v>1424</v>
      </c>
      <c r="H2686" t="str">
        <f>"0001"</f>
        <v>0001</v>
      </c>
      <c r="I2686" t="s">
        <v>109</v>
      </c>
      <c r="J2686">
        <v>1</v>
      </c>
      <c r="K2686">
        <v>1</v>
      </c>
      <c r="L2686">
        <v>2</v>
      </c>
      <c r="M2686">
        <v>476</v>
      </c>
      <c r="N2686">
        <v>312</v>
      </c>
      <c r="O2686">
        <v>8</v>
      </c>
      <c r="P2686">
        <v>312</v>
      </c>
      <c r="Q2686">
        <v>27</v>
      </c>
      <c r="R2686">
        <v>54</v>
      </c>
      <c r="S2686">
        <v>4</v>
      </c>
      <c r="T2686">
        <v>3</v>
      </c>
      <c r="U2686">
        <v>9</v>
      </c>
      <c r="V2686">
        <v>14</v>
      </c>
      <c r="W2686">
        <v>12</v>
      </c>
      <c r="X2686">
        <v>152</v>
      </c>
      <c r="Y2686">
        <v>4</v>
      </c>
      <c r="Z2686">
        <v>9</v>
      </c>
      <c r="AA2686">
        <v>2</v>
      </c>
      <c r="AB2686">
        <v>5</v>
      </c>
      <c r="AD2686">
        <v>3</v>
      </c>
      <c r="AE2686">
        <v>0</v>
      </c>
      <c r="AF2686">
        <v>0</v>
      </c>
      <c r="AG2686">
        <v>0</v>
      </c>
      <c r="AI2686">
        <v>0</v>
      </c>
      <c r="AJ2686">
        <v>14</v>
      </c>
      <c r="AK2686">
        <v>17</v>
      </c>
      <c r="AL2686">
        <v>312</v>
      </c>
      <c r="AM2686">
        <v>744</v>
      </c>
      <c r="AN2686">
        <v>44</v>
      </c>
      <c r="AP2686">
        <v>1</v>
      </c>
      <c r="AR2686" t="s">
        <v>2780</v>
      </c>
      <c r="AS2686" s="1">
        <v>44353.951388888891</v>
      </c>
      <c r="AT2686" s="1">
        <v>44353.978344907409</v>
      </c>
      <c r="AU2686" s="1">
        <v>44353.978935185187</v>
      </c>
      <c r="AV2686" t="s">
        <v>71</v>
      </c>
      <c r="AW2686" t="s">
        <v>72</v>
      </c>
      <c r="AX2686" t="s">
        <v>73</v>
      </c>
    </row>
    <row r="2687" spans="1:50" x14ac:dyDescent="0.3">
      <c r="A2687" t="str">
        <f>"201424E0200"</f>
        <v>201424E0200</v>
      </c>
      <c r="B2687" t="str">
        <f>"201424E02002"</f>
        <v>201424E02002</v>
      </c>
      <c r="C2687" t="str">
        <f t="shared" si="124"/>
        <v>20</v>
      </c>
      <c r="D2687" t="s">
        <v>67</v>
      </c>
      <c r="E2687" t="str">
        <f t="shared" si="127"/>
        <v>012</v>
      </c>
      <c r="F2687" t="s">
        <v>2715</v>
      </c>
      <c r="G2687" t="str">
        <f t="shared" si="126"/>
        <v>1424</v>
      </c>
      <c r="H2687" t="str">
        <f>"0002"</f>
        <v>0002</v>
      </c>
      <c r="I2687" t="s">
        <v>109</v>
      </c>
      <c r="J2687">
        <v>0</v>
      </c>
      <c r="K2687">
        <v>1</v>
      </c>
      <c r="L2687">
        <v>2</v>
      </c>
      <c r="M2687">
        <v>403</v>
      </c>
      <c r="N2687">
        <v>266</v>
      </c>
      <c r="O2687">
        <v>2</v>
      </c>
      <c r="P2687">
        <v>266</v>
      </c>
      <c r="Q2687">
        <v>26</v>
      </c>
      <c r="R2687">
        <v>42</v>
      </c>
      <c r="S2687">
        <v>0</v>
      </c>
      <c r="T2687">
        <v>2</v>
      </c>
      <c r="U2687">
        <v>14</v>
      </c>
      <c r="V2687">
        <v>4</v>
      </c>
      <c r="W2687">
        <v>4</v>
      </c>
      <c r="X2687">
        <v>121</v>
      </c>
      <c r="Y2687">
        <v>25</v>
      </c>
      <c r="Z2687">
        <v>11</v>
      </c>
      <c r="AA2687">
        <v>5</v>
      </c>
      <c r="AB2687">
        <v>5</v>
      </c>
      <c r="AD2687">
        <v>1</v>
      </c>
      <c r="AE2687">
        <v>1</v>
      </c>
      <c r="AF2687">
        <v>0</v>
      </c>
      <c r="AG2687">
        <v>0</v>
      </c>
      <c r="AI2687">
        <v>1</v>
      </c>
      <c r="AJ2687">
        <v>6</v>
      </c>
      <c r="AK2687">
        <v>266</v>
      </c>
      <c r="AL2687">
        <v>268</v>
      </c>
      <c r="AM2687">
        <v>625</v>
      </c>
      <c r="AN2687">
        <v>44</v>
      </c>
      <c r="AP2687">
        <v>1</v>
      </c>
      <c r="AR2687" t="s">
        <v>2781</v>
      </c>
      <c r="AS2687" s="1">
        <v>44353.844444444447</v>
      </c>
      <c r="AT2687" s="1">
        <v>44353.96738425926</v>
      </c>
      <c r="AU2687" s="1">
        <v>44353.968101851853</v>
      </c>
      <c r="AV2687" t="s">
        <v>71</v>
      </c>
      <c r="AW2687" t="s">
        <v>72</v>
      </c>
      <c r="AX2687" t="s">
        <v>73</v>
      </c>
    </row>
    <row r="2688" spans="1:50" x14ac:dyDescent="0.3">
      <c r="A2688" t="str">
        <f>"201424E0201"</f>
        <v>201424E0201</v>
      </c>
      <c r="B2688" t="str">
        <f>"201424E02012"</f>
        <v>201424E02012</v>
      </c>
      <c r="C2688" t="str">
        <f t="shared" si="124"/>
        <v>20</v>
      </c>
      <c r="D2688" t="s">
        <v>67</v>
      </c>
      <c r="E2688" t="str">
        <f t="shared" si="127"/>
        <v>012</v>
      </c>
      <c r="F2688" t="s">
        <v>2715</v>
      </c>
      <c r="G2688" t="str">
        <f t="shared" si="126"/>
        <v>1424</v>
      </c>
      <c r="H2688" t="str">
        <f>"0002"</f>
        <v>0002</v>
      </c>
      <c r="I2688" t="s">
        <v>109</v>
      </c>
      <c r="J2688">
        <v>1</v>
      </c>
      <c r="K2688">
        <v>1</v>
      </c>
      <c r="L2688">
        <v>2</v>
      </c>
      <c r="M2688">
        <v>386</v>
      </c>
      <c r="N2688">
        <v>283</v>
      </c>
      <c r="O2688">
        <v>1</v>
      </c>
      <c r="P2688">
        <v>283</v>
      </c>
      <c r="Q2688">
        <v>17</v>
      </c>
      <c r="R2688">
        <v>57</v>
      </c>
      <c r="S2688">
        <v>3</v>
      </c>
      <c r="T2688">
        <v>3</v>
      </c>
      <c r="U2688">
        <v>11</v>
      </c>
      <c r="V2688">
        <v>7</v>
      </c>
      <c r="W2688">
        <v>9</v>
      </c>
      <c r="X2688">
        <v>132</v>
      </c>
      <c r="Y2688">
        <v>19</v>
      </c>
      <c r="Z2688">
        <v>6</v>
      </c>
      <c r="AA2688">
        <v>1</v>
      </c>
      <c r="AB2688">
        <v>7</v>
      </c>
      <c r="AD2688">
        <v>0</v>
      </c>
      <c r="AE2688">
        <v>0</v>
      </c>
      <c r="AF2688">
        <v>0</v>
      </c>
      <c r="AG2688">
        <v>0</v>
      </c>
      <c r="AI2688">
        <v>0</v>
      </c>
      <c r="AJ2688">
        <v>11</v>
      </c>
      <c r="AK2688">
        <v>283</v>
      </c>
      <c r="AL2688">
        <v>283</v>
      </c>
      <c r="AM2688">
        <v>625</v>
      </c>
      <c r="AN2688">
        <v>44</v>
      </c>
      <c r="AP2688">
        <v>1</v>
      </c>
      <c r="AR2688" t="s">
        <v>2782</v>
      </c>
      <c r="AS2688" s="1">
        <v>44353.946527777778</v>
      </c>
      <c r="AT2688" s="1">
        <v>44353.969837962963</v>
      </c>
      <c r="AU2688" s="1">
        <v>44353.970381944448</v>
      </c>
      <c r="AV2688" t="s">
        <v>71</v>
      </c>
      <c r="AW2688" t="s">
        <v>72</v>
      </c>
      <c r="AX2688" t="s">
        <v>73</v>
      </c>
    </row>
    <row r="2689" spans="1:50" x14ac:dyDescent="0.3">
      <c r="A2689" t="str">
        <f>"201424E0202"</f>
        <v>201424E0202</v>
      </c>
      <c r="B2689" t="str">
        <f>"201424E02022"</f>
        <v>201424E02022</v>
      </c>
      <c r="C2689" t="str">
        <f t="shared" si="124"/>
        <v>20</v>
      </c>
      <c r="D2689" t="s">
        <v>67</v>
      </c>
      <c r="E2689" t="str">
        <f t="shared" si="127"/>
        <v>012</v>
      </c>
      <c r="F2689" t="s">
        <v>2715</v>
      </c>
      <c r="G2689" t="str">
        <f t="shared" si="126"/>
        <v>1424</v>
      </c>
      <c r="H2689" t="str">
        <f>"0002"</f>
        <v>0002</v>
      </c>
      <c r="I2689" t="s">
        <v>109</v>
      </c>
      <c r="J2689">
        <v>2</v>
      </c>
      <c r="K2689">
        <v>1</v>
      </c>
      <c r="L2689">
        <v>2</v>
      </c>
      <c r="M2689">
        <v>391</v>
      </c>
      <c r="N2689">
        <v>278</v>
      </c>
      <c r="O2689">
        <v>7</v>
      </c>
      <c r="P2689">
        <v>278</v>
      </c>
      <c r="Q2689">
        <v>23</v>
      </c>
      <c r="R2689">
        <v>43</v>
      </c>
      <c r="S2689">
        <v>3</v>
      </c>
      <c r="T2689">
        <v>7</v>
      </c>
      <c r="U2689">
        <v>26</v>
      </c>
      <c r="V2689">
        <v>6</v>
      </c>
      <c r="W2689">
        <v>3</v>
      </c>
      <c r="X2689">
        <v>131</v>
      </c>
      <c r="Y2689">
        <v>18</v>
      </c>
      <c r="Z2689">
        <v>1</v>
      </c>
      <c r="AA2689">
        <v>0</v>
      </c>
      <c r="AB2689">
        <v>5</v>
      </c>
      <c r="AD2689">
        <v>1</v>
      </c>
      <c r="AE2689">
        <v>0</v>
      </c>
      <c r="AF2689">
        <v>0</v>
      </c>
      <c r="AG2689">
        <v>0</v>
      </c>
      <c r="AI2689">
        <v>0</v>
      </c>
      <c r="AJ2689">
        <v>11</v>
      </c>
      <c r="AK2689">
        <v>278</v>
      </c>
      <c r="AL2689">
        <v>278</v>
      </c>
      <c r="AM2689">
        <v>625</v>
      </c>
      <c r="AN2689">
        <v>44</v>
      </c>
      <c r="AP2689">
        <v>1</v>
      </c>
      <c r="AR2689" t="s">
        <v>2783</v>
      </c>
      <c r="AS2689" s="1">
        <v>44353.945833333331</v>
      </c>
      <c r="AT2689" s="1">
        <v>44353.969942129632</v>
      </c>
      <c r="AU2689" s="1">
        <v>44353.970590277779</v>
      </c>
      <c r="AV2689" t="s">
        <v>71</v>
      </c>
      <c r="AW2689" t="s">
        <v>72</v>
      </c>
      <c r="AX2689" t="s">
        <v>73</v>
      </c>
    </row>
    <row r="2690" spans="1:50" x14ac:dyDescent="0.3">
      <c r="A2690" t="str">
        <f>"201424E0203"</f>
        <v>201424E0203</v>
      </c>
      <c r="B2690" t="str">
        <f>"201424E02032"</f>
        <v>201424E02032</v>
      </c>
      <c r="C2690" t="str">
        <f t="shared" si="124"/>
        <v>20</v>
      </c>
      <c r="D2690" t="s">
        <v>67</v>
      </c>
      <c r="E2690" t="str">
        <f t="shared" si="127"/>
        <v>012</v>
      </c>
      <c r="F2690" t="s">
        <v>2715</v>
      </c>
      <c r="G2690" t="str">
        <f t="shared" si="126"/>
        <v>1424</v>
      </c>
      <c r="H2690" t="str">
        <f>"0002"</f>
        <v>0002</v>
      </c>
      <c r="I2690" t="s">
        <v>109</v>
      </c>
      <c r="J2690">
        <v>3</v>
      </c>
      <c r="K2690">
        <v>1</v>
      </c>
      <c r="L2690">
        <v>2</v>
      </c>
      <c r="M2690">
        <v>387</v>
      </c>
      <c r="N2690">
        <v>282</v>
      </c>
      <c r="O2690">
        <v>0</v>
      </c>
      <c r="P2690">
        <v>282</v>
      </c>
      <c r="Q2690">
        <v>22</v>
      </c>
      <c r="R2690">
        <v>51</v>
      </c>
      <c r="S2690">
        <v>3</v>
      </c>
      <c r="T2690">
        <v>5</v>
      </c>
      <c r="U2690">
        <v>18</v>
      </c>
      <c r="V2690">
        <v>5</v>
      </c>
      <c r="W2690">
        <v>1</v>
      </c>
      <c r="X2690">
        <v>128</v>
      </c>
      <c r="Y2690">
        <v>23</v>
      </c>
      <c r="Z2690">
        <v>7</v>
      </c>
      <c r="AA2690">
        <v>1</v>
      </c>
      <c r="AB2690">
        <v>8</v>
      </c>
      <c r="AD2690">
        <v>3</v>
      </c>
      <c r="AE2690">
        <v>1</v>
      </c>
      <c r="AF2690">
        <v>0</v>
      </c>
      <c r="AG2690">
        <v>0</v>
      </c>
      <c r="AI2690">
        <v>1</v>
      </c>
      <c r="AJ2690">
        <v>5</v>
      </c>
      <c r="AK2690">
        <v>282</v>
      </c>
      <c r="AL2690">
        <v>282</v>
      </c>
      <c r="AM2690">
        <v>625</v>
      </c>
      <c r="AN2690">
        <v>44</v>
      </c>
      <c r="AP2690">
        <v>1</v>
      </c>
      <c r="AR2690" t="s">
        <v>2784</v>
      </c>
      <c r="AS2690" s="1">
        <v>44353.824999999997</v>
      </c>
      <c r="AT2690" s="1">
        <v>44353.9684837963</v>
      </c>
      <c r="AU2690" s="1">
        <v>44353.969004629631</v>
      </c>
      <c r="AV2690" t="s">
        <v>71</v>
      </c>
      <c r="AW2690" t="s">
        <v>72</v>
      </c>
      <c r="AX2690" t="s">
        <v>73</v>
      </c>
    </row>
    <row r="2691" spans="1:50" x14ac:dyDescent="0.3">
      <c r="A2691" t="str">
        <f>"201424E0204"</f>
        <v>201424E0204</v>
      </c>
      <c r="B2691" t="str">
        <f>"201424E02042"</f>
        <v>201424E02042</v>
      </c>
      <c r="C2691" t="str">
        <f t="shared" si="124"/>
        <v>20</v>
      </c>
      <c r="D2691" t="s">
        <v>67</v>
      </c>
      <c r="E2691" t="str">
        <f t="shared" si="127"/>
        <v>012</v>
      </c>
      <c r="F2691" t="s">
        <v>2715</v>
      </c>
      <c r="G2691" t="str">
        <f t="shared" si="126"/>
        <v>1424</v>
      </c>
      <c r="H2691" t="str">
        <f>"0002"</f>
        <v>0002</v>
      </c>
      <c r="I2691" t="s">
        <v>109</v>
      </c>
      <c r="J2691">
        <v>4</v>
      </c>
      <c r="K2691">
        <v>1</v>
      </c>
      <c r="L2691">
        <v>2</v>
      </c>
      <c r="M2691">
        <v>396</v>
      </c>
      <c r="N2691">
        <v>273</v>
      </c>
      <c r="O2691">
        <v>3</v>
      </c>
      <c r="P2691">
        <v>273</v>
      </c>
      <c r="Q2691">
        <v>21</v>
      </c>
      <c r="R2691">
        <v>46</v>
      </c>
      <c r="S2691">
        <v>1</v>
      </c>
      <c r="T2691">
        <v>2</v>
      </c>
      <c r="U2691">
        <v>12</v>
      </c>
      <c r="V2691">
        <v>5</v>
      </c>
      <c r="W2691">
        <v>2</v>
      </c>
      <c r="X2691">
        <v>133</v>
      </c>
      <c r="Y2691">
        <v>21</v>
      </c>
      <c r="Z2691">
        <v>6</v>
      </c>
      <c r="AA2691">
        <v>2</v>
      </c>
      <c r="AB2691">
        <v>5</v>
      </c>
      <c r="AD2691">
        <v>1</v>
      </c>
      <c r="AE2691">
        <v>3</v>
      </c>
      <c r="AF2691">
        <v>0</v>
      </c>
      <c r="AG2691">
        <v>0</v>
      </c>
      <c r="AI2691">
        <v>0</v>
      </c>
      <c r="AJ2691">
        <v>13</v>
      </c>
      <c r="AK2691">
        <v>273</v>
      </c>
      <c r="AL2691">
        <v>273</v>
      </c>
      <c r="AM2691">
        <v>625</v>
      </c>
      <c r="AN2691">
        <v>44</v>
      </c>
      <c r="AP2691">
        <v>1</v>
      </c>
      <c r="AR2691" t="s">
        <v>2785</v>
      </c>
      <c r="AS2691" s="1">
        <v>44353.945138888892</v>
      </c>
      <c r="AT2691" s="1">
        <v>44353.971365740741</v>
      </c>
      <c r="AU2691" s="1">
        <v>44353.971863425926</v>
      </c>
      <c r="AV2691" t="s">
        <v>71</v>
      </c>
      <c r="AW2691" t="s">
        <v>72</v>
      </c>
      <c r="AX2691" t="s">
        <v>73</v>
      </c>
    </row>
    <row r="2692" spans="1:50" x14ac:dyDescent="0.3">
      <c r="A2692" t="str">
        <f>"201425B0000"</f>
        <v>201425B0000</v>
      </c>
      <c r="B2692" t="str">
        <f>"201425B00002"</f>
        <v>201425B00002</v>
      </c>
      <c r="C2692" t="str">
        <f t="shared" si="124"/>
        <v>20</v>
      </c>
      <c r="D2692" t="s">
        <v>67</v>
      </c>
      <c r="E2692" t="str">
        <f t="shared" si="127"/>
        <v>012</v>
      </c>
      <c r="F2692" t="s">
        <v>2715</v>
      </c>
      <c r="G2692" t="str">
        <f>"1425"</f>
        <v>1425</v>
      </c>
      <c r="H2692" t="str">
        <f>"0000"</f>
        <v>0000</v>
      </c>
      <c r="I2692" t="s">
        <v>69</v>
      </c>
      <c r="J2692">
        <v>0</v>
      </c>
      <c r="K2692">
        <v>1</v>
      </c>
      <c r="L2692">
        <v>2</v>
      </c>
      <c r="M2692" t="s">
        <v>80</v>
      </c>
      <c r="N2692" t="s">
        <v>80</v>
      </c>
      <c r="O2692" t="s">
        <v>80</v>
      </c>
      <c r="P2692" t="s">
        <v>80</v>
      </c>
      <c r="Q2692">
        <v>12</v>
      </c>
      <c r="R2692">
        <v>30</v>
      </c>
      <c r="S2692">
        <v>1</v>
      </c>
      <c r="T2692">
        <v>2</v>
      </c>
      <c r="U2692">
        <v>4</v>
      </c>
      <c r="V2692">
        <v>12</v>
      </c>
      <c r="W2692">
        <v>11</v>
      </c>
      <c r="X2692">
        <v>122</v>
      </c>
      <c r="Y2692">
        <v>2</v>
      </c>
      <c r="Z2692">
        <v>8</v>
      </c>
      <c r="AA2692">
        <v>1</v>
      </c>
      <c r="AB2692">
        <v>5</v>
      </c>
      <c r="AD2692">
        <v>1</v>
      </c>
      <c r="AE2692">
        <v>0</v>
      </c>
      <c r="AF2692">
        <v>0</v>
      </c>
      <c r="AG2692">
        <v>0</v>
      </c>
      <c r="AI2692" t="s">
        <v>77</v>
      </c>
      <c r="AJ2692" t="s">
        <v>77</v>
      </c>
      <c r="AK2692">
        <v>233</v>
      </c>
      <c r="AL2692">
        <v>211</v>
      </c>
      <c r="AM2692">
        <v>652</v>
      </c>
      <c r="AN2692">
        <v>44</v>
      </c>
      <c r="AO2692" t="s">
        <v>78</v>
      </c>
      <c r="AP2692">
        <v>1</v>
      </c>
      <c r="AR2692" t="s">
        <v>2786</v>
      </c>
      <c r="AS2692" s="1">
        <v>44353.926388888889</v>
      </c>
      <c r="AT2692" s="1">
        <v>44353.954317129632</v>
      </c>
      <c r="AU2692" s="1">
        <v>44353.955046296294</v>
      </c>
      <c r="AV2692" t="s">
        <v>71</v>
      </c>
      <c r="AW2692" t="s">
        <v>72</v>
      </c>
      <c r="AX2692" t="s">
        <v>73</v>
      </c>
    </row>
    <row r="2693" spans="1:50" x14ac:dyDescent="0.3">
      <c r="A2693" t="str">
        <f>"201425C0100"</f>
        <v>201425C0100</v>
      </c>
      <c r="B2693" t="str">
        <f>"201425C01002"</f>
        <v>201425C01002</v>
      </c>
      <c r="C2693" t="str">
        <f t="shared" si="124"/>
        <v>20</v>
      </c>
      <c r="D2693" t="s">
        <v>67</v>
      </c>
      <c r="E2693" t="str">
        <f t="shared" si="127"/>
        <v>012</v>
      </c>
      <c r="F2693" t="s">
        <v>2715</v>
      </c>
      <c r="G2693" t="str">
        <f>"1425"</f>
        <v>1425</v>
      </c>
      <c r="H2693" t="str">
        <f>"0001"</f>
        <v>0001</v>
      </c>
      <c r="I2693" t="s">
        <v>75</v>
      </c>
      <c r="J2693">
        <v>0</v>
      </c>
      <c r="K2693">
        <v>1</v>
      </c>
      <c r="L2693">
        <v>2</v>
      </c>
      <c r="M2693">
        <v>439</v>
      </c>
      <c r="N2693">
        <v>257</v>
      </c>
      <c r="O2693">
        <v>5</v>
      </c>
      <c r="P2693">
        <v>257</v>
      </c>
      <c r="Q2693">
        <v>12</v>
      </c>
      <c r="R2693">
        <v>31</v>
      </c>
      <c r="S2693">
        <v>1</v>
      </c>
      <c r="T2693">
        <v>3</v>
      </c>
      <c r="U2693">
        <v>10</v>
      </c>
      <c r="V2693">
        <v>11</v>
      </c>
      <c r="W2693">
        <v>6</v>
      </c>
      <c r="X2693">
        <v>153</v>
      </c>
      <c r="Y2693">
        <v>7</v>
      </c>
      <c r="Z2693">
        <v>5</v>
      </c>
      <c r="AA2693">
        <v>2</v>
      </c>
      <c r="AB2693">
        <v>3</v>
      </c>
      <c r="AD2693">
        <v>0</v>
      </c>
      <c r="AE2693">
        <v>0</v>
      </c>
      <c r="AF2693">
        <v>0</v>
      </c>
      <c r="AG2693">
        <v>0</v>
      </c>
      <c r="AI2693">
        <v>0</v>
      </c>
      <c r="AJ2693">
        <v>13</v>
      </c>
      <c r="AK2693">
        <v>257</v>
      </c>
      <c r="AL2693">
        <v>257</v>
      </c>
      <c r="AM2693">
        <v>652</v>
      </c>
      <c r="AN2693">
        <v>44</v>
      </c>
      <c r="AP2693">
        <v>1</v>
      </c>
      <c r="AR2693" t="s">
        <v>2787</v>
      </c>
      <c r="AS2693" s="1">
        <v>44353.925694444442</v>
      </c>
      <c r="AT2693" s="1">
        <v>44353.953923611109</v>
      </c>
      <c r="AU2693" s="1">
        <v>44353.954351851855</v>
      </c>
      <c r="AV2693" t="s">
        <v>71</v>
      </c>
      <c r="AW2693" t="s">
        <v>72</v>
      </c>
      <c r="AX2693" t="s">
        <v>73</v>
      </c>
    </row>
    <row r="2694" spans="1:50" x14ac:dyDescent="0.3">
      <c r="A2694" t="str">
        <f>"201425C0200"</f>
        <v>201425C0200</v>
      </c>
      <c r="B2694" t="str">
        <f>"201425C02002"</f>
        <v>201425C02002</v>
      </c>
      <c r="C2694" t="str">
        <f t="shared" si="124"/>
        <v>20</v>
      </c>
      <c r="D2694" t="s">
        <v>67</v>
      </c>
      <c r="E2694" t="str">
        <f t="shared" si="127"/>
        <v>012</v>
      </c>
      <c r="F2694" t="s">
        <v>2715</v>
      </c>
      <c r="G2694" t="str">
        <f>"1425"</f>
        <v>1425</v>
      </c>
      <c r="H2694" t="str">
        <f>"0002"</f>
        <v>0002</v>
      </c>
      <c r="I2694" t="s">
        <v>75</v>
      </c>
      <c r="J2694">
        <v>0</v>
      </c>
      <c r="K2694">
        <v>1</v>
      </c>
      <c r="L2694">
        <v>2</v>
      </c>
      <c r="M2694">
        <v>454</v>
      </c>
      <c r="N2694">
        <v>242</v>
      </c>
      <c r="O2694">
        <v>3</v>
      </c>
      <c r="P2694">
        <v>242</v>
      </c>
      <c r="Q2694">
        <v>15</v>
      </c>
      <c r="R2694">
        <v>38</v>
      </c>
      <c r="S2694">
        <v>1</v>
      </c>
      <c r="T2694">
        <v>2</v>
      </c>
      <c r="U2694">
        <v>6</v>
      </c>
      <c r="V2694">
        <v>7</v>
      </c>
      <c r="W2694">
        <v>10</v>
      </c>
      <c r="X2694">
        <v>137</v>
      </c>
      <c r="Y2694">
        <v>6</v>
      </c>
      <c r="Z2694">
        <v>4</v>
      </c>
      <c r="AA2694">
        <v>0</v>
      </c>
      <c r="AB2694">
        <v>7</v>
      </c>
      <c r="AD2694">
        <v>0</v>
      </c>
      <c r="AE2694">
        <v>1</v>
      </c>
      <c r="AF2694">
        <v>0</v>
      </c>
      <c r="AG2694">
        <v>0</v>
      </c>
      <c r="AI2694">
        <v>0</v>
      </c>
      <c r="AJ2694">
        <v>8</v>
      </c>
      <c r="AK2694">
        <v>242</v>
      </c>
      <c r="AL2694">
        <v>242</v>
      </c>
      <c r="AM2694">
        <v>652</v>
      </c>
      <c r="AN2694">
        <v>44</v>
      </c>
      <c r="AP2694">
        <v>1</v>
      </c>
      <c r="AR2694" t="s">
        <v>2788</v>
      </c>
      <c r="AS2694" s="1">
        <v>44353.926388888889</v>
      </c>
      <c r="AT2694" s="1">
        <v>44353.957129629627</v>
      </c>
      <c r="AU2694" s="1">
        <v>44353.958194444444</v>
      </c>
      <c r="AV2694" t="s">
        <v>71</v>
      </c>
      <c r="AW2694" t="s">
        <v>72</v>
      </c>
      <c r="AX2694" t="s">
        <v>73</v>
      </c>
    </row>
    <row r="2695" spans="1:50" x14ac:dyDescent="0.3">
      <c r="A2695" t="str">
        <f>"201425C0300"</f>
        <v>201425C0300</v>
      </c>
      <c r="B2695" t="str">
        <f>"201425C03002"</f>
        <v>201425C03002</v>
      </c>
      <c r="C2695" t="str">
        <f t="shared" ref="C2695:C2758" si="128">"20"</f>
        <v>20</v>
      </c>
      <c r="D2695" t="s">
        <v>67</v>
      </c>
      <c r="E2695" t="str">
        <f t="shared" si="127"/>
        <v>012</v>
      </c>
      <c r="F2695" t="s">
        <v>2715</v>
      </c>
      <c r="G2695" t="str">
        <f>"1425"</f>
        <v>1425</v>
      </c>
      <c r="H2695" t="str">
        <f>"0003"</f>
        <v>0003</v>
      </c>
      <c r="I2695" t="s">
        <v>75</v>
      </c>
      <c r="J2695">
        <v>0</v>
      </c>
      <c r="K2695">
        <v>1</v>
      </c>
      <c r="L2695">
        <v>2</v>
      </c>
      <c r="M2695">
        <v>446</v>
      </c>
      <c r="N2695">
        <v>250</v>
      </c>
      <c r="O2695">
        <v>4</v>
      </c>
      <c r="P2695">
        <v>249</v>
      </c>
      <c r="Q2695">
        <v>23</v>
      </c>
      <c r="R2695">
        <v>38</v>
      </c>
      <c r="S2695">
        <v>4</v>
      </c>
      <c r="T2695">
        <v>5</v>
      </c>
      <c r="U2695">
        <v>9</v>
      </c>
      <c r="V2695">
        <v>6</v>
      </c>
      <c r="W2695">
        <v>6</v>
      </c>
      <c r="X2695">
        <v>137</v>
      </c>
      <c r="Y2695">
        <v>5</v>
      </c>
      <c r="Z2695">
        <v>0</v>
      </c>
      <c r="AA2695">
        <v>0</v>
      </c>
      <c r="AB2695">
        <v>5</v>
      </c>
      <c r="AD2695">
        <v>2</v>
      </c>
      <c r="AE2695">
        <v>0</v>
      </c>
      <c r="AF2695">
        <v>0</v>
      </c>
      <c r="AG2695">
        <v>0</v>
      </c>
      <c r="AI2695">
        <v>0</v>
      </c>
      <c r="AJ2695">
        <v>9</v>
      </c>
      <c r="AK2695">
        <v>249</v>
      </c>
      <c r="AL2695">
        <v>249</v>
      </c>
      <c r="AM2695">
        <v>651</v>
      </c>
      <c r="AN2695">
        <v>44</v>
      </c>
      <c r="AP2695">
        <v>1</v>
      </c>
      <c r="AR2695" t="s">
        <v>2789</v>
      </c>
      <c r="AS2695" s="1">
        <v>44353.926388888889</v>
      </c>
      <c r="AT2695" s="1">
        <v>44353.953032407408</v>
      </c>
      <c r="AU2695" s="1">
        <v>44353.954224537039</v>
      </c>
      <c r="AV2695" t="s">
        <v>71</v>
      </c>
      <c r="AW2695" t="s">
        <v>72</v>
      </c>
      <c r="AX2695" t="s">
        <v>73</v>
      </c>
    </row>
    <row r="2696" spans="1:50" x14ac:dyDescent="0.3">
      <c r="A2696" t="str">
        <f>"201482B0000"</f>
        <v>201482B0000</v>
      </c>
      <c r="B2696" t="str">
        <f>"201482B00002"</f>
        <v>201482B00002</v>
      </c>
      <c r="C2696" t="str">
        <f t="shared" si="128"/>
        <v>20</v>
      </c>
      <c r="D2696" t="s">
        <v>67</v>
      </c>
      <c r="E2696" t="str">
        <f t="shared" si="127"/>
        <v>012</v>
      </c>
      <c r="F2696" t="s">
        <v>2715</v>
      </c>
      <c r="G2696" t="str">
        <f>"1482"</f>
        <v>1482</v>
      </c>
      <c r="H2696" t="str">
        <f>"0000"</f>
        <v>0000</v>
      </c>
      <c r="I2696" t="s">
        <v>69</v>
      </c>
      <c r="J2696">
        <v>0</v>
      </c>
      <c r="K2696">
        <v>1</v>
      </c>
      <c r="L2696">
        <v>2</v>
      </c>
      <c r="M2696">
        <v>501</v>
      </c>
      <c r="N2696">
        <v>222</v>
      </c>
      <c r="O2696">
        <v>9</v>
      </c>
      <c r="P2696">
        <v>222</v>
      </c>
      <c r="Q2696">
        <v>3</v>
      </c>
      <c r="R2696">
        <v>62</v>
      </c>
      <c r="S2696">
        <v>2</v>
      </c>
      <c r="T2696">
        <v>4</v>
      </c>
      <c r="U2696">
        <v>3</v>
      </c>
      <c r="V2696">
        <v>7</v>
      </c>
      <c r="W2696">
        <v>25</v>
      </c>
      <c r="X2696">
        <v>85</v>
      </c>
      <c r="Y2696">
        <v>22</v>
      </c>
      <c r="Z2696">
        <v>0</v>
      </c>
      <c r="AA2696">
        <v>2</v>
      </c>
      <c r="AB2696">
        <v>0</v>
      </c>
      <c r="AD2696">
        <v>1</v>
      </c>
      <c r="AE2696">
        <v>0</v>
      </c>
      <c r="AF2696">
        <v>0</v>
      </c>
      <c r="AG2696">
        <v>0</v>
      </c>
      <c r="AI2696">
        <v>0</v>
      </c>
      <c r="AJ2696">
        <v>6</v>
      </c>
      <c r="AK2696">
        <v>222</v>
      </c>
      <c r="AL2696">
        <v>222</v>
      </c>
      <c r="AM2696">
        <v>679</v>
      </c>
      <c r="AN2696">
        <v>44</v>
      </c>
      <c r="AP2696">
        <v>1</v>
      </c>
      <c r="AR2696" t="s">
        <v>2790</v>
      </c>
      <c r="AS2696" s="1">
        <v>44353.817361111112</v>
      </c>
      <c r="AT2696" s="1">
        <v>44354.24391203704</v>
      </c>
      <c r="AU2696" s="1">
        <v>44354.244409722225</v>
      </c>
      <c r="AV2696" t="s">
        <v>71</v>
      </c>
      <c r="AW2696" t="s">
        <v>72</v>
      </c>
      <c r="AX2696" t="s">
        <v>73</v>
      </c>
    </row>
    <row r="2697" spans="1:50" x14ac:dyDescent="0.3">
      <c r="A2697" t="str">
        <f>"201482C0100"</f>
        <v>201482C0100</v>
      </c>
      <c r="B2697" t="str">
        <f>"201482C01002"</f>
        <v>201482C01002</v>
      </c>
      <c r="C2697" t="str">
        <f t="shared" si="128"/>
        <v>20</v>
      </c>
      <c r="D2697" t="s">
        <v>67</v>
      </c>
      <c r="E2697" t="str">
        <f t="shared" si="127"/>
        <v>012</v>
      </c>
      <c r="F2697" t="s">
        <v>2715</v>
      </c>
      <c r="G2697" t="str">
        <f>"1482"</f>
        <v>1482</v>
      </c>
      <c r="H2697" t="str">
        <f>"0001"</f>
        <v>0001</v>
      </c>
      <c r="I2697" t="s">
        <v>75</v>
      </c>
      <c r="J2697">
        <v>0</v>
      </c>
      <c r="K2697">
        <v>1</v>
      </c>
      <c r="L2697">
        <v>2</v>
      </c>
      <c r="M2697">
        <v>526</v>
      </c>
      <c r="N2697">
        <v>197</v>
      </c>
      <c r="O2697">
        <v>9</v>
      </c>
      <c r="P2697">
        <v>197</v>
      </c>
      <c r="Q2697">
        <v>3</v>
      </c>
      <c r="R2697">
        <v>66</v>
      </c>
      <c r="S2697">
        <v>2</v>
      </c>
      <c r="T2697">
        <v>1</v>
      </c>
      <c r="U2697">
        <v>4</v>
      </c>
      <c r="V2697">
        <v>3</v>
      </c>
      <c r="W2697">
        <v>16</v>
      </c>
      <c r="X2697">
        <v>78</v>
      </c>
      <c r="Y2697">
        <v>10</v>
      </c>
      <c r="Z2697">
        <v>2</v>
      </c>
      <c r="AA2697">
        <v>3</v>
      </c>
      <c r="AB2697">
        <v>1</v>
      </c>
      <c r="AD2697">
        <v>1</v>
      </c>
      <c r="AE2697">
        <v>0</v>
      </c>
      <c r="AF2697">
        <v>0</v>
      </c>
      <c r="AG2697">
        <v>0</v>
      </c>
      <c r="AI2697">
        <v>0</v>
      </c>
      <c r="AJ2697">
        <v>7</v>
      </c>
      <c r="AK2697">
        <v>197</v>
      </c>
      <c r="AL2697">
        <v>197</v>
      </c>
      <c r="AM2697">
        <v>679</v>
      </c>
      <c r="AN2697">
        <v>44</v>
      </c>
      <c r="AP2697">
        <v>1</v>
      </c>
      <c r="AR2697" t="s">
        <v>2791</v>
      </c>
      <c r="AS2697" s="1">
        <v>44353.817361111112</v>
      </c>
      <c r="AT2697" s="1">
        <v>44354.080138888887</v>
      </c>
      <c r="AU2697" s="1">
        <v>44354.081018518518</v>
      </c>
      <c r="AV2697" t="s">
        <v>71</v>
      </c>
      <c r="AW2697" t="s">
        <v>72</v>
      </c>
      <c r="AX2697" t="s">
        <v>73</v>
      </c>
    </row>
    <row r="2698" spans="1:50" x14ac:dyDescent="0.3">
      <c r="A2698" t="str">
        <f>"201482C0200"</f>
        <v>201482C0200</v>
      </c>
      <c r="B2698" t="str">
        <f>"201482C02002"</f>
        <v>201482C02002</v>
      </c>
      <c r="C2698" t="str">
        <f t="shared" si="128"/>
        <v>20</v>
      </c>
      <c r="D2698" t="s">
        <v>67</v>
      </c>
      <c r="E2698" t="str">
        <f t="shared" si="127"/>
        <v>012</v>
      </c>
      <c r="F2698" t="s">
        <v>2715</v>
      </c>
      <c r="G2698" t="str">
        <f>"1482"</f>
        <v>1482</v>
      </c>
      <c r="H2698" t="str">
        <f>"0002"</f>
        <v>0002</v>
      </c>
      <c r="I2698" t="s">
        <v>75</v>
      </c>
      <c r="J2698">
        <v>0</v>
      </c>
      <c r="K2698">
        <v>1</v>
      </c>
      <c r="L2698">
        <v>2</v>
      </c>
      <c r="M2698">
        <v>478</v>
      </c>
      <c r="N2698">
        <v>245</v>
      </c>
      <c r="O2698">
        <v>7</v>
      </c>
      <c r="P2698">
        <v>245</v>
      </c>
      <c r="Q2698">
        <v>5</v>
      </c>
      <c r="R2698">
        <v>89</v>
      </c>
      <c r="S2698">
        <v>1</v>
      </c>
      <c r="T2698">
        <v>0</v>
      </c>
      <c r="U2698">
        <v>8</v>
      </c>
      <c r="V2698">
        <v>4</v>
      </c>
      <c r="W2698">
        <v>11</v>
      </c>
      <c r="X2698">
        <v>94</v>
      </c>
      <c r="Y2698">
        <v>15</v>
      </c>
      <c r="Z2698">
        <v>4</v>
      </c>
      <c r="AA2698">
        <v>1</v>
      </c>
      <c r="AB2698">
        <v>1</v>
      </c>
      <c r="AD2698">
        <v>1</v>
      </c>
      <c r="AE2698" t="s">
        <v>77</v>
      </c>
      <c r="AF2698" t="s">
        <v>77</v>
      </c>
      <c r="AG2698" t="s">
        <v>77</v>
      </c>
      <c r="AI2698">
        <v>0</v>
      </c>
      <c r="AJ2698">
        <v>11</v>
      </c>
      <c r="AK2698">
        <v>245</v>
      </c>
      <c r="AL2698">
        <v>245</v>
      </c>
      <c r="AM2698">
        <v>679</v>
      </c>
      <c r="AN2698">
        <v>44</v>
      </c>
      <c r="AO2698" t="s">
        <v>78</v>
      </c>
      <c r="AP2698">
        <v>1</v>
      </c>
      <c r="AR2698" t="s">
        <v>2792</v>
      </c>
      <c r="AS2698" s="1">
        <v>44354.065972222219</v>
      </c>
      <c r="AT2698" s="1">
        <v>44354.077569444446</v>
      </c>
      <c r="AU2698" s="1">
        <v>44354.078101851854</v>
      </c>
      <c r="AV2698" t="s">
        <v>71</v>
      </c>
      <c r="AW2698" t="s">
        <v>72</v>
      </c>
      <c r="AX2698" t="s">
        <v>73</v>
      </c>
    </row>
    <row r="2699" spans="1:50" x14ac:dyDescent="0.3">
      <c r="A2699" t="str">
        <f>"201482C0300"</f>
        <v>201482C0300</v>
      </c>
      <c r="B2699" t="str">
        <f>"201482C03002"</f>
        <v>201482C03002</v>
      </c>
      <c r="C2699" t="str">
        <f t="shared" si="128"/>
        <v>20</v>
      </c>
      <c r="D2699" t="s">
        <v>67</v>
      </c>
      <c r="E2699" t="str">
        <f t="shared" si="127"/>
        <v>012</v>
      </c>
      <c r="F2699" t="s">
        <v>2715</v>
      </c>
      <c r="G2699" t="str">
        <f>"1482"</f>
        <v>1482</v>
      </c>
      <c r="H2699" t="str">
        <f>"0003"</f>
        <v>0003</v>
      </c>
      <c r="I2699" t="s">
        <v>75</v>
      </c>
      <c r="J2699">
        <v>0</v>
      </c>
      <c r="K2699">
        <v>1</v>
      </c>
      <c r="L2699">
        <v>2</v>
      </c>
      <c r="M2699">
        <v>500</v>
      </c>
      <c r="N2699">
        <v>222</v>
      </c>
      <c r="O2699">
        <v>2</v>
      </c>
      <c r="P2699">
        <v>222</v>
      </c>
      <c r="Q2699">
        <v>5</v>
      </c>
      <c r="R2699">
        <v>53</v>
      </c>
      <c r="S2699">
        <v>2</v>
      </c>
      <c r="T2699">
        <v>4</v>
      </c>
      <c r="U2699">
        <v>7</v>
      </c>
      <c r="V2699">
        <v>0</v>
      </c>
      <c r="W2699">
        <v>19</v>
      </c>
      <c r="X2699">
        <v>92</v>
      </c>
      <c r="Y2699">
        <v>29</v>
      </c>
      <c r="Z2699">
        <v>3</v>
      </c>
      <c r="AA2699">
        <v>1</v>
      </c>
      <c r="AB2699">
        <v>3</v>
      </c>
      <c r="AD2699">
        <v>1</v>
      </c>
      <c r="AE2699" t="s">
        <v>77</v>
      </c>
      <c r="AF2699" t="s">
        <v>77</v>
      </c>
      <c r="AG2699" t="s">
        <v>77</v>
      </c>
      <c r="AI2699" t="s">
        <v>77</v>
      </c>
      <c r="AJ2699">
        <v>3</v>
      </c>
      <c r="AK2699">
        <v>222</v>
      </c>
      <c r="AL2699">
        <v>222</v>
      </c>
      <c r="AM2699">
        <v>678</v>
      </c>
      <c r="AN2699">
        <v>44</v>
      </c>
      <c r="AO2699" t="s">
        <v>78</v>
      </c>
      <c r="AP2699">
        <v>1</v>
      </c>
      <c r="AR2699" t="s">
        <v>2793</v>
      </c>
      <c r="AS2699" s="1">
        <v>44354.069444444445</v>
      </c>
      <c r="AT2699" s="1">
        <v>44354.143449074072</v>
      </c>
      <c r="AU2699" s="1">
        <v>44354.14402777778</v>
      </c>
      <c r="AV2699" t="s">
        <v>71</v>
      </c>
      <c r="AW2699" t="s">
        <v>72</v>
      </c>
      <c r="AX2699" t="s">
        <v>73</v>
      </c>
    </row>
    <row r="2700" spans="1:50" x14ac:dyDescent="0.3">
      <c r="A2700" t="str">
        <f>"201483B0000"</f>
        <v>201483B0000</v>
      </c>
      <c r="B2700" t="str">
        <f>"201483B00002"</f>
        <v>201483B00002</v>
      </c>
      <c r="C2700" t="str">
        <f t="shared" si="128"/>
        <v>20</v>
      </c>
      <c r="D2700" t="s">
        <v>67</v>
      </c>
      <c r="E2700" t="str">
        <f t="shared" si="127"/>
        <v>012</v>
      </c>
      <c r="F2700" t="s">
        <v>2715</v>
      </c>
      <c r="G2700" t="str">
        <f t="shared" ref="G2700:G2708" si="129">"1483"</f>
        <v>1483</v>
      </c>
      <c r="H2700" t="str">
        <f>"0000"</f>
        <v>0000</v>
      </c>
      <c r="I2700" t="s">
        <v>69</v>
      </c>
      <c r="J2700">
        <v>0</v>
      </c>
      <c r="K2700">
        <v>1</v>
      </c>
      <c r="L2700">
        <v>2</v>
      </c>
      <c r="M2700">
        <v>486</v>
      </c>
      <c r="N2700">
        <v>188</v>
      </c>
      <c r="O2700">
        <v>2</v>
      </c>
      <c r="P2700">
        <v>188</v>
      </c>
      <c r="Q2700">
        <v>3</v>
      </c>
      <c r="R2700">
        <v>35</v>
      </c>
      <c r="S2700">
        <v>3</v>
      </c>
      <c r="T2700">
        <v>5</v>
      </c>
      <c r="U2700">
        <v>6</v>
      </c>
      <c r="V2700">
        <v>2</v>
      </c>
      <c r="W2700">
        <v>19</v>
      </c>
      <c r="X2700">
        <v>86</v>
      </c>
      <c r="Y2700">
        <v>15</v>
      </c>
      <c r="Z2700">
        <v>3</v>
      </c>
      <c r="AA2700">
        <v>2</v>
      </c>
      <c r="AB2700">
        <v>1</v>
      </c>
      <c r="AD2700">
        <v>0</v>
      </c>
      <c r="AE2700">
        <v>0</v>
      </c>
      <c r="AF2700">
        <v>0</v>
      </c>
      <c r="AG2700">
        <v>0</v>
      </c>
      <c r="AI2700">
        <v>0</v>
      </c>
      <c r="AJ2700">
        <v>0</v>
      </c>
      <c r="AK2700">
        <v>188</v>
      </c>
      <c r="AL2700">
        <v>180</v>
      </c>
      <c r="AM2700">
        <v>630</v>
      </c>
      <c r="AN2700">
        <v>44</v>
      </c>
      <c r="AP2700">
        <v>1</v>
      </c>
      <c r="AR2700" t="s">
        <v>2794</v>
      </c>
      <c r="AS2700" s="1">
        <v>44354.040972222225</v>
      </c>
      <c r="AT2700" s="1">
        <v>44354.055798611109</v>
      </c>
      <c r="AU2700" s="1">
        <v>44354.056342592594</v>
      </c>
      <c r="AV2700" t="s">
        <v>71</v>
      </c>
      <c r="AW2700" t="s">
        <v>72</v>
      </c>
      <c r="AX2700" t="s">
        <v>347</v>
      </c>
    </row>
    <row r="2701" spans="1:50" x14ac:dyDescent="0.3">
      <c r="A2701" t="str">
        <f>"201483C0100"</f>
        <v>201483C0100</v>
      </c>
      <c r="B2701" t="str">
        <f>"201483C01002"</f>
        <v>201483C01002</v>
      </c>
      <c r="C2701" t="str">
        <f t="shared" si="128"/>
        <v>20</v>
      </c>
      <c r="D2701" t="s">
        <v>67</v>
      </c>
      <c r="E2701" t="str">
        <f t="shared" si="127"/>
        <v>012</v>
      </c>
      <c r="F2701" t="s">
        <v>2715</v>
      </c>
      <c r="G2701" t="str">
        <f t="shared" si="129"/>
        <v>1483</v>
      </c>
      <c r="H2701" t="str">
        <f>"0001"</f>
        <v>0001</v>
      </c>
      <c r="I2701" t="s">
        <v>75</v>
      </c>
      <c r="J2701">
        <v>0</v>
      </c>
      <c r="K2701">
        <v>1</v>
      </c>
      <c r="L2701">
        <v>2</v>
      </c>
      <c r="M2701">
        <v>487</v>
      </c>
      <c r="N2701">
        <v>186</v>
      </c>
      <c r="O2701">
        <v>5</v>
      </c>
      <c r="P2701">
        <v>186</v>
      </c>
      <c r="Q2701">
        <v>3</v>
      </c>
      <c r="R2701">
        <v>41</v>
      </c>
      <c r="S2701">
        <v>3</v>
      </c>
      <c r="T2701">
        <v>2</v>
      </c>
      <c r="U2701">
        <v>3</v>
      </c>
      <c r="V2701">
        <v>4</v>
      </c>
      <c r="W2701">
        <v>21</v>
      </c>
      <c r="X2701">
        <v>76</v>
      </c>
      <c r="Y2701">
        <v>20</v>
      </c>
      <c r="Z2701">
        <v>2</v>
      </c>
      <c r="AA2701">
        <v>0</v>
      </c>
      <c r="AB2701">
        <v>5</v>
      </c>
      <c r="AD2701">
        <v>1</v>
      </c>
      <c r="AE2701">
        <v>0</v>
      </c>
      <c r="AF2701">
        <v>0</v>
      </c>
      <c r="AG2701">
        <v>0</v>
      </c>
      <c r="AI2701">
        <v>0</v>
      </c>
      <c r="AJ2701">
        <v>5</v>
      </c>
      <c r="AK2701">
        <v>186</v>
      </c>
      <c r="AL2701">
        <v>186</v>
      </c>
      <c r="AM2701">
        <v>630</v>
      </c>
      <c r="AN2701">
        <v>44</v>
      </c>
      <c r="AP2701">
        <v>1</v>
      </c>
      <c r="AR2701" t="s">
        <v>2795</v>
      </c>
      <c r="AS2701" s="1">
        <v>44354.040277777778</v>
      </c>
      <c r="AT2701" s="1">
        <v>44354.057071759256</v>
      </c>
      <c r="AU2701" s="1">
        <v>44354.057569444441</v>
      </c>
      <c r="AV2701" t="s">
        <v>71</v>
      </c>
      <c r="AW2701" t="s">
        <v>72</v>
      </c>
      <c r="AX2701" t="s">
        <v>73</v>
      </c>
    </row>
    <row r="2702" spans="1:50" x14ac:dyDescent="0.3">
      <c r="A2702" t="str">
        <f>"201483C0200"</f>
        <v>201483C0200</v>
      </c>
      <c r="B2702" t="str">
        <f>"201483C02002"</f>
        <v>201483C02002</v>
      </c>
      <c r="C2702" t="str">
        <f t="shared" si="128"/>
        <v>20</v>
      </c>
      <c r="D2702" t="s">
        <v>67</v>
      </c>
      <c r="E2702" t="str">
        <f t="shared" si="127"/>
        <v>012</v>
      </c>
      <c r="F2702" t="s">
        <v>2715</v>
      </c>
      <c r="G2702" t="str">
        <f t="shared" si="129"/>
        <v>1483</v>
      </c>
      <c r="H2702" t="str">
        <f>"0002"</f>
        <v>0002</v>
      </c>
      <c r="I2702" t="s">
        <v>75</v>
      </c>
      <c r="J2702">
        <v>0</v>
      </c>
      <c r="K2702">
        <v>1</v>
      </c>
      <c r="L2702">
        <v>2</v>
      </c>
      <c r="M2702">
        <v>491</v>
      </c>
      <c r="N2702">
        <v>183</v>
      </c>
      <c r="O2702">
        <v>4</v>
      </c>
      <c r="P2702">
        <v>183</v>
      </c>
      <c r="Q2702">
        <v>4</v>
      </c>
      <c r="R2702">
        <v>51</v>
      </c>
      <c r="S2702">
        <v>1</v>
      </c>
      <c r="T2702">
        <v>3</v>
      </c>
      <c r="U2702">
        <v>3</v>
      </c>
      <c r="V2702">
        <v>1</v>
      </c>
      <c r="W2702">
        <v>15</v>
      </c>
      <c r="X2702">
        <v>85</v>
      </c>
      <c r="Y2702">
        <v>14</v>
      </c>
      <c r="Z2702">
        <v>0</v>
      </c>
      <c r="AA2702">
        <v>1</v>
      </c>
      <c r="AB2702">
        <v>2</v>
      </c>
      <c r="AD2702">
        <v>1</v>
      </c>
      <c r="AE2702">
        <v>0</v>
      </c>
      <c r="AF2702">
        <v>0</v>
      </c>
      <c r="AG2702">
        <v>0</v>
      </c>
      <c r="AI2702">
        <v>0</v>
      </c>
      <c r="AJ2702">
        <v>2</v>
      </c>
      <c r="AK2702">
        <v>183</v>
      </c>
      <c r="AL2702">
        <v>183</v>
      </c>
      <c r="AM2702">
        <v>630</v>
      </c>
      <c r="AN2702">
        <v>44</v>
      </c>
      <c r="AP2702">
        <v>1</v>
      </c>
      <c r="AR2702" t="s">
        <v>2796</v>
      </c>
      <c r="AS2702" s="1">
        <v>44354.040277777778</v>
      </c>
      <c r="AT2702" s="1">
        <v>44354.054282407407</v>
      </c>
      <c r="AU2702" s="1">
        <v>44354.054780092592</v>
      </c>
      <c r="AV2702" t="s">
        <v>71</v>
      </c>
      <c r="AW2702" t="s">
        <v>72</v>
      </c>
      <c r="AX2702" t="s">
        <v>73</v>
      </c>
    </row>
    <row r="2703" spans="1:50" x14ac:dyDescent="0.3">
      <c r="A2703" t="str">
        <f>"201483E0100"</f>
        <v>201483E0100</v>
      </c>
      <c r="B2703" t="str">
        <f>"201483E01002"</f>
        <v>201483E01002</v>
      </c>
      <c r="C2703" t="str">
        <f t="shared" si="128"/>
        <v>20</v>
      </c>
      <c r="D2703" t="s">
        <v>67</v>
      </c>
      <c r="E2703" t="str">
        <f t="shared" si="127"/>
        <v>012</v>
      </c>
      <c r="F2703" t="s">
        <v>2715</v>
      </c>
      <c r="G2703" t="str">
        <f t="shared" si="129"/>
        <v>1483</v>
      </c>
      <c r="H2703" t="str">
        <f>"0001"</f>
        <v>0001</v>
      </c>
      <c r="I2703" t="s">
        <v>109</v>
      </c>
      <c r="J2703">
        <v>0</v>
      </c>
      <c r="K2703">
        <v>1</v>
      </c>
      <c r="L2703">
        <v>2</v>
      </c>
      <c r="M2703">
        <v>531</v>
      </c>
      <c r="N2703">
        <v>234</v>
      </c>
      <c r="O2703">
        <v>6</v>
      </c>
      <c r="P2703">
        <v>234</v>
      </c>
      <c r="Q2703">
        <v>7</v>
      </c>
      <c r="R2703">
        <v>30</v>
      </c>
      <c r="S2703">
        <v>4</v>
      </c>
      <c r="T2703">
        <v>1</v>
      </c>
      <c r="U2703">
        <v>6</v>
      </c>
      <c r="V2703">
        <v>5</v>
      </c>
      <c r="W2703">
        <v>26</v>
      </c>
      <c r="X2703">
        <v>124</v>
      </c>
      <c r="Y2703">
        <v>11</v>
      </c>
      <c r="Z2703">
        <v>0</v>
      </c>
      <c r="AA2703">
        <v>1</v>
      </c>
      <c r="AB2703">
        <v>1</v>
      </c>
      <c r="AD2703">
        <v>1</v>
      </c>
      <c r="AE2703">
        <v>1</v>
      </c>
      <c r="AF2703">
        <v>0</v>
      </c>
      <c r="AG2703">
        <v>0</v>
      </c>
      <c r="AI2703">
        <v>0</v>
      </c>
      <c r="AJ2703">
        <v>16</v>
      </c>
      <c r="AK2703">
        <v>234</v>
      </c>
      <c r="AL2703">
        <v>234</v>
      </c>
      <c r="AM2703">
        <v>722</v>
      </c>
      <c r="AN2703">
        <v>44</v>
      </c>
      <c r="AP2703">
        <v>1</v>
      </c>
      <c r="AR2703" t="s">
        <v>2797</v>
      </c>
      <c r="AS2703" s="1">
        <v>44354.006249999999</v>
      </c>
      <c r="AT2703" s="1">
        <v>44354.142939814818</v>
      </c>
      <c r="AU2703" s="1">
        <v>44354.143379629626</v>
      </c>
      <c r="AV2703" t="s">
        <v>71</v>
      </c>
      <c r="AW2703" t="s">
        <v>72</v>
      </c>
      <c r="AX2703" t="s">
        <v>73</v>
      </c>
    </row>
    <row r="2704" spans="1:50" x14ac:dyDescent="0.3">
      <c r="A2704" t="str">
        <f>"201483E0101"</f>
        <v>201483E0101</v>
      </c>
      <c r="B2704" t="str">
        <f>"201483E01012"</f>
        <v>201483E01012</v>
      </c>
      <c r="C2704" t="str">
        <f t="shared" si="128"/>
        <v>20</v>
      </c>
      <c r="D2704" t="s">
        <v>67</v>
      </c>
      <c r="E2704" t="str">
        <f t="shared" si="127"/>
        <v>012</v>
      </c>
      <c r="F2704" t="s">
        <v>2715</v>
      </c>
      <c r="G2704" t="str">
        <f t="shared" si="129"/>
        <v>1483</v>
      </c>
      <c r="H2704" t="str">
        <f>"0001"</f>
        <v>0001</v>
      </c>
      <c r="I2704" t="s">
        <v>109</v>
      </c>
      <c r="J2704">
        <v>1</v>
      </c>
      <c r="K2704">
        <v>1</v>
      </c>
      <c r="L2704">
        <v>2</v>
      </c>
      <c r="M2704">
        <v>584</v>
      </c>
      <c r="N2704">
        <v>181</v>
      </c>
      <c r="O2704">
        <v>5</v>
      </c>
      <c r="P2704">
        <v>181</v>
      </c>
      <c r="Q2704">
        <v>0</v>
      </c>
      <c r="R2704">
        <v>19</v>
      </c>
      <c r="S2704">
        <v>2</v>
      </c>
      <c r="T2704">
        <v>3</v>
      </c>
      <c r="U2704">
        <v>11</v>
      </c>
      <c r="V2704">
        <v>10</v>
      </c>
      <c r="W2704">
        <v>23</v>
      </c>
      <c r="X2704">
        <v>90</v>
      </c>
      <c r="Y2704">
        <v>7</v>
      </c>
      <c r="Z2704">
        <v>1</v>
      </c>
      <c r="AA2704">
        <v>1</v>
      </c>
      <c r="AB2704">
        <v>4</v>
      </c>
      <c r="AD2704">
        <v>1</v>
      </c>
      <c r="AE2704">
        <v>0</v>
      </c>
      <c r="AF2704">
        <v>0</v>
      </c>
      <c r="AG2704">
        <v>0</v>
      </c>
      <c r="AI2704">
        <v>0</v>
      </c>
      <c r="AJ2704">
        <v>9</v>
      </c>
      <c r="AK2704">
        <v>181</v>
      </c>
      <c r="AL2704">
        <v>181</v>
      </c>
      <c r="AM2704">
        <v>721</v>
      </c>
      <c r="AN2704">
        <v>44</v>
      </c>
      <c r="AP2704">
        <v>1</v>
      </c>
      <c r="AR2704" t="s">
        <v>2798</v>
      </c>
      <c r="AS2704" s="1">
        <v>44354.006249999999</v>
      </c>
      <c r="AT2704" s="1">
        <v>44354.02144675926</v>
      </c>
      <c r="AU2704" s="1">
        <v>44354.022314814814</v>
      </c>
      <c r="AV2704" t="s">
        <v>71</v>
      </c>
      <c r="AW2704" t="s">
        <v>72</v>
      </c>
      <c r="AX2704" t="s">
        <v>73</v>
      </c>
    </row>
    <row r="2705" spans="1:50" x14ac:dyDescent="0.3">
      <c r="A2705" t="str">
        <f>"201483E0102"</f>
        <v>201483E0102</v>
      </c>
      <c r="B2705" t="str">
        <f>"201483E01022"</f>
        <v>201483E01022</v>
      </c>
      <c r="C2705" t="str">
        <f t="shared" si="128"/>
        <v>20</v>
      </c>
      <c r="D2705" t="s">
        <v>67</v>
      </c>
      <c r="E2705" t="str">
        <f t="shared" si="127"/>
        <v>012</v>
      </c>
      <c r="F2705" t="s">
        <v>2715</v>
      </c>
      <c r="G2705" t="str">
        <f t="shared" si="129"/>
        <v>1483</v>
      </c>
      <c r="H2705" t="str">
        <f>"0001"</f>
        <v>0001</v>
      </c>
      <c r="I2705" t="s">
        <v>109</v>
      </c>
      <c r="J2705">
        <v>2</v>
      </c>
      <c r="K2705">
        <v>1</v>
      </c>
      <c r="L2705">
        <v>2</v>
      </c>
      <c r="M2705">
        <v>579</v>
      </c>
      <c r="N2705">
        <v>186</v>
      </c>
      <c r="O2705">
        <v>5</v>
      </c>
      <c r="P2705" t="s">
        <v>80</v>
      </c>
      <c r="Q2705">
        <v>7</v>
      </c>
      <c r="R2705">
        <v>22</v>
      </c>
      <c r="S2705">
        <v>1</v>
      </c>
      <c r="T2705">
        <v>2</v>
      </c>
      <c r="U2705">
        <v>8</v>
      </c>
      <c r="V2705">
        <v>6</v>
      </c>
      <c r="W2705">
        <v>26</v>
      </c>
      <c r="X2705">
        <v>90</v>
      </c>
      <c r="Y2705">
        <v>9</v>
      </c>
      <c r="Z2705">
        <v>2</v>
      </c>
      <c r="AA2705">
        <v>4</v>
      </c>
      <c r="AB2705">
        <v>1</v>
      </c>
      <c r="AD2705">
        <v>1</v>
      </c>
      <c r="AE2705">
        <v>0</v>
      </c>
      <c r="AF2705">
        <v>0</v>
      </c>
      <c r="AG2705">
        <v>0</v>
      </c>
      <c r="AI2705">
        <v>0</v>
      </c>
      <c r="AJ2705">
        <v>7</v>
      </c>
      <c r="AK2705">
        <v>186</v>
      </c>
      <c r="AL2705">
        <v>186</v>
      </c>
      <c r="AM2705">
        <v>721</v>
      </c>
      <c r="AN2705">
        <v>44</v>
      </c>
      <c r="AP2705">
        <v>1</v>
      </c>
      <c r="AR2705" t="s">
        <v>2799</v>
      </c>
      <c r="AS2705" s="1">
        <v>44354.006944444445</v>
      </c>
      <c r="AT2705" s="1">
        <v>44354.024027777778</v>
      </c>
      <c r="AU2705" s="1">
        <v>44354.02447916667</v>
      </c>
      <c r="AV2705" t="s">
        <v>71</v>
      </c>
      <c r="AW2705" t="s">
        <v>72</v>
      </c>
      <c r="AX2705" t="s">
        <v>73</v>
      </c>
    </row>
    <row r="2706" spans="1:50" x14ac:dyDescent="0.3">
      <c r="A2706" t="str">
        <f>"201483E0200"</f>
        <v>201483E0200</v>
      </c>
      <c r="B2706" t="str">
        <f>"201483E02002"</f>
        <v>201483E02002</v>
      </c>
      <c r="C2706" t="str">
        <f t="shared" si="128"/>
        <v>20</v>
      </c>
      <c r="D2706" t="s">
        <v>67</v>
      </c>
      <c r="E2706" t="str">
        <f t="shared" si="127"/>
        <v>012</v>
      </c>
      <c r="F2706" t="s">
        <v>2715</v>
      </c>
      <c r="G2706" t="str">
        <f t="shared" si="129"/>
        <v>1483</v>
      </c>
      <c r="H2706" t="str">
        <f>"0002"</f>
        <v>0002</v>
      </c>
      <c r="I2706" t="s">
        <v>109</v>
      </c>
      <c r="J2706">
        <v>0</v>
      </c>
      <c r="K2706">
        <v>1</v>
      </c>
      <c r="L2706">
        <v>2</v>
      </c>
      <c r="M2706">
        <v>382</v>
      </c>
      <c r="N2706">
        <v>173</v>
      </c>
      <c r="O2706">
        <v>2</v>
      </c>
      <c r="P2706">
        <v>173</v>
      </c>
      <c r="Q2706">
        <v>5</v>
      </c>
      <c r="R2706">
        <v>28</v>
      </c>
      <c r="S2706">
        <v>0</v>
      </c>
      <c r="T2706">
        <v>6</v>
      </c>
      <c r="U2706">
        <v>7</v>
      </c>
      <c r="V2706">
        <v>13</v>
      </c>
      <c r="W2706">
        <v>7</v>
      </c>
      <c r="X2706">
        <v>82</v>
      </c>
      <c r="Y2706">
        <v>12</v>
      </c>
      <c r="Z2706">
        <v>0</v>
      </c>
      <c r="AA2706">
        <v>3</v>
      </c>
      <c r="AB2706">
        <v>3</v>
      </c>
      <c r="AD2706">
        <v>0</v>
      </c>
      <c r="AE2706">
        <v>0</v>
      </c>
      <c r="AF2706">
        <v>0</v>
      </c>
      <c r="AG2706">
        <v>0</v>
      </c>
      <c r="AI2706">
        <v>0</v>
      </c>
      <c r="AJ2706">
        <v>7</v>
      </c>
      <c r="AK2706">
        <v>173</v>
      </c>
      <c r="AL2706">
        <v>173</v>
      </c>
      <c r="AM2706">
        <v>511</v>
      </c>
      <c r="AN2706">
        <v>44</v>
      </c>
      <c r="AP2706">
        <v>1</v>
      </c>
      <c r="AR2706" t="s">
        <v>2800</v>
      </c>
      <c r="AS2706" s="1">
        <v>44354.075694444444</v>
      </c>
      <c r="AT2706" s="1">
        <v>44354.093773148146</v>
      </c>
      <c r="AU2706" s="1">
        <v>44354.094375000001</v>
      </c>
      <c r="AV2706" t="s">
        <v>71</v>
      </c>
      <c r="AW2706" t="s">
        <v>72</v>
      </c>
      <c r="AX2706" t="s">
        <v>73</v>
      </c>
    </row>
    <row r="2707" spans="1:50" x14ac:dyDescent="0.3">
      <c r="A2707" t="str">
        <f>"201483E0201"</f>
        <v>201483E0201</v>
      </c>
      <c r="B2707" t="str">
        <f>"201483E02012"</f>
        <v>201483E02012</v>
      </c>
      <c r="C2707" t="str">
        <f t="shared" si="128"/>
        <v>20</v>
      </c>
      <c r="D2707" t="s">
        <v>67</v>
      </c>
      <c r="E2707" t="str">
        <f t="shared" si="127"/>
        <v>012</v>
      </c>
      <c r="F2707" t="s">
        <v>2715</v>
      </c>
      <c r="G2707" t="str">
        <f t="shared" si="129"/>
        <v>1483</v>
      </c>
      <c r="H2707" t="str">
        <f>"0002"</f>
        <v>0002</v>
      </c>
      <c r="I2707" t="s">
        <v>109</v>
      </c>
      <c r="J2707">
        <v>1</v>
      </c>
      <c r="K2707">
        <v>1</v>
      </c>
      <c r="L2707">
        <v>2</v>
      </c>
      <c r="M2707">
        <v>357</v>
      </c>
      <c r="N2707">
        <v>198</v>
      </c>
      <c r="O2707">
        <v>7</v>
      </c>
      <c r="P2707">
        <v>198</v>
      </c>
      <c r="Q2707">
        <v>10</v>
      </c>
      <c r="R2707">
        <v>28</v>
      </c>
      <c r="S2707">
        <v>1</v>
      </c>
      <c r="T2707">
        <v>7</v>
      </c>
      <c r="U2707">
        <v>9</v>
      </c>
      <c r="V2707">
        <v>16</v>
      </c>
      <c r="W2707">
        <v>14</v>
      </c>
      <c r="X2707">
        <v>74</v>
      </c>
      <c r="Y2707">
        <v>22</v>
      </c>
      <c r="Z2707">
        <v>3</v>
      </c>
      <c r="AA2707">
        <v>1</v>
      </c>
      <c r="AB2707">
        <v>4</v>
      </c>
      <c r="AD2707">
        <v>0</v>
      </c>
      <c r="AE2707">
        <v>0</v>
      </c>
      <c r="AF2707">
        <v>0</v>
      </c>
      <c r="AG2707">
        <v>0</v>
      </c>
      <c r="AI2707">
        <v>0</v>
      </c>
      <c r="AJ2707">
        <v>9</v>
      </c>
      <c r="AK2707">
        <v>198</v>
      </c>
      <c r="AL2707">
        <v>198</v>
      </c>
      <c r="AM2707">
        <v>511</v>
      </c>
      <c r="AN2707">
        <v>44</v>
      </c>
      <c r="AP2707">
        <v>1</v>
      </c>
      <c r="AR2707" t="s">
        <v>2801</v>
      </c>
      <c r="AS2707" s="1">
        <v>44354.074999999997</v>
      </c>
      <c r="AT2707" s="1">
        <v>44354.091331018521</v>
      </c>
      <c r="AU2707" s="1">
        <v>44354.091689814813</v>
      </c>
      <c r="AV2707" t="s">
        <v>71</v>
      </c>
      <c r="AW2707" t="s">
        <v>72</v>
      </c>
      <c r="AX2707" t="s">
        <v>73</v>
      </c>
    </row>
    <row r="2708" spans="1:50" x14ac:dyDescent="0.3">
      <c r="A2708" t="str">
        <f>"201483E0202"</f>
        <v>201483E0202</v>
      </c>
      <c r="B2708" t="str">
        <f>"201483E02022"</f>
        <v>201483E02022</v>
      </c>
      <c r="C2708" t="str">
        <f t="shared" si="128"/>
        <v>20</v>
      </c>
      <c r="D2708" t="s">
        <v>67</v>
      </c>
      <c r="E2708" t="str">
        <f t="shared" si="127"/>
        <v>012</v>
      </c>
      <c r="F2708" t="s">
        <v>2715</v>
      </c>
      <c r="G2708" t="str">
        <f t="shared" si="129"/>
        <v>1483</v>
      </c>
      <c r="H2708" t="str">
        <f>"0002"</f>
        <v>0002</v>
      </c>
      <c r="I2708" t="s">
        <v>109</v>
      </c>
      <c r="J2708">
        <v>2</v>
      </c>
      <c r="K2708">
        <v>1</v>
      </c>
      <c r="L2708">
        <v>2</v>
      </c>
      <c r="M2708">
        <v>362</v>
      </c>
      <c r="N2708">
        <v>193</v>
      </c>
      <c r="O2708">
        <v>5</v>
      </c>
      <c r="P2708">
        <v>193</v>
      </c>
      <c r="Q2708">
        <v>7</v>
      </c>
      <c r="R2708">
        <v>24</v>
      </c>
      <c r="S2708">
        <v>2</v>
      </c>
      <c r="T2708">
        <v>3</v>
      </c>
      <c r="U2708">
        <v>7</v>
      </c>
      <c r="V2708">
        <v>14</v>
      </c>
      <c r="W2708">
        <v>8</v>
      </c>
      <c r="X2708">
        <v>100</v>
      </c>
      <c r="Y2708">
        <v>12</v>
      </c>
      <c r="Z2708">
        <v>4</v>
      </c>
      <c r="AA2708">
        <v>1</v>
      </c>
      <c r="AB2708">
        <v>3</v>
      </c>
      <c r="AD2708">
        <v>1</v>
      </c>
      <c r="AE2708">
        <v>1</v>
      </c>
      <c r="AF2708" t="s">
        <v>77</v>
      </c>
      <c r="AG2708" t="s">
        <v>77</v>
      </c>
      <c r="AI2708" t="s">
        <v>77</v>
      </c>
      <c r="AJ2708">
        <v>6</v>
      </c>
      <c r="AK2708">
        <v>193</v>
      </c>
      <c r="AL2708">
        <v>193</v>
      </c>
      <c r="AM2708">
        <v>511</v>
      </c>
      <c r="AN2708">
        <v>44</v>
      </c>
      <c r="AO2708" t="s">
        <v>78</v>
      </c>
      <c r="AP2708">
        <v>1</v>
      </c>
      <c r="AR2708" t="s">
        <v>2802</v>
      </c>
      <c r="AS2708" s="1">
        <v>44354.078472222223</v>
      </c>
      <c r="AT2708" s="1">
        <v>44354.095104166663</v>
      </c>
      <c r="AU2708" s="1">
        <v>44354.095300925925</v>
      </c>
      <c r="AV2708" t="s">
        <v>71</v>
      </c>
      <c r="AW2708" t="s">
        <v>72</v>
      </c>
      <c r="AX2708" t="s">
        <v>73</v>
      </c>
    </row>
    <row r="2709" spans="1:50" x14ac:dyDescent="0.3">
      <c r="A2709" t="str">
        <f>"201627B0000"</f>
        <v>201627B0000</v>
      </c>
      <c r="B2709" t="str">
        <f>"201627B00002"</f>
        <v>201627B00002</v>
      </c>
      <c r="C2709" t="str">
        <f t="shared" si="128"/>
        <v>20</v>
      </c>
      <c r="D2709" t="s">
        <v>67</v>
      </c>
      <c r="E2709" t="str">
        <f t="shared" si="127"/>
        <v>012</v>
      </c>
      <c r="F2709" t="s">
        <v>2715</v>
      </c>
      <c r="G2709" t="str">
        <f t="shared" ref="G2709:G2714" si="130">"1627"</f>
        <v>1627</v>
      </c>
      <c r="H2709" t="str">
        <f>"0000"</f>
        <v>0000</v>
      </c>
      <c r="I2709" t="s">
        <v>69</v>
      </c>
      <c r="J2709">
        <v>0</v>
      </c>
      <c r="K2709">
        <v>1</v>
      </c>
      <c r="L2709">
        <v>2</v>
      </c>
      <c r="M2709">
        <v>454</v>
      </c>
      <c r="N2709">
        <v>277</v>
      </c>
      <c r="O2709">
        <v>0</v>
      </c>
      <c r="P2709">
        <v>277</v>
      </c>
      <c r="Q2709">
        <v>34</v>
      </c>
      <c r="R2709">
        <v>51</v>
      </c>
      <c r="S2709">
        <v>4</v>
      </c>
      <c r="T2709">
        <v>6</v>
      </c>
      <c r="U2709">
        <v>11</v>
      </c>
      <c r="V2709">
        <v>7</v>
      </c>
      <c r="W2709">
        <v>5</v>
      </c>
      <c r="X2709">
        <v>128</v>
      </c>
      <c r="Y2709">
        <v>3</v>
      </c>
      <c r="Z2709">
        <v>4</v>
      </c>
      <c r="AA2709">
        <v>2</v>
      </c>
      <c r="AB2709">
        <v>3</v>
      </c>
      <c r="AD2709">
        <v>2</v>
      </c>
      <c r="AE2709">
        <v>1</v>
      </c>
      <c r="AF2709">
        <v>0</v>
      </c>
      <c r="AG2709">
        <v>1</v>
      </c>
      <c r="AI2709">
        <v>1</v>
      </c>
      <c r="AJ2709">
        <v>14</v>
      </c>
      <c r="AK2709">
        <v>277</v>
      </c>
      <c r="AL2709">
        <v>277</v>
      </c>
      <c r="AM2709">
        <v>687</v>
      </c>
      <c r="AN2709">
        <v>44</v>
      </c>
      <c r="AP2709">
        <v>1</v>
      </c>
      <c r="AR2709" t="s">
        <v>2803</v>
      </c>
      <c r="AS2709" s="1">
        <v>44354.045138888891</v>
      </c>
      <c r="AT2709" s="1">
        <v>44354.065486111111</v>
      </c>
      <c r="AU2709" s="1">
        <v>44354.066099537034</v>
      </c>
      <c r="AV2709" t="s">
        <v>71</v>
      </c>
      <c r="AW2709" t="s">
        <v>72</v>
      </c>
      <c r="AX2709" t="s">
        <v>73</v>
      </c>
    </row>
    <row r="2710" spans="1:50" x14ac:dyDescent="0.3">
      <c r="A2710" t="str">
        <f>"201627C0100"</f>
        <v>201627C0100</v>
      </c>
      <c r="B2710" t="str">
        <f>"201627C01002"</f>
        <v>201627C01002</v>
      </c>
      <c r="C2710" t="str">
        <f t="shared" si="128"/>
        <v>20</v>
      </c>
      <c r="D2710" t="s">
        <v>67</v>
      </c>
      <c r="E2710" t="str">
        <f t="shared" si="127"/>
        <v>012</v>
      </c>
      <c r="F2710" t="s">
        <v>2715</v>
      </c>
      <c r="G2710" t="str">
        <f t="shared" si="130"/>
        <v>1627</v>
      </c>
      <c r="H2710" t="str">
        <f>"0001"</f>
        <v>0001</v>
      </c>
      <c r="I2710" t="s">
        <v>75</v>
      </c>
      <c r="J2710">
        <v>0</v>
      </c>
      <c r="K2710">
        <v>1</v>
      </c>
      <c r="L2710">
        <v>2</v>
      </c>
      <c r="M2710">
        <v>482</v>
      </c>
      <c r="N2710">
        <v>248</v>
      </c>
      <c r="O2710">
        <v>0</v>
      </c>
      <c r="P2710">
        <v>247</v>
      </c>
      <c r="Q2710">
        <v>22</v>
      </c>
      <c r="R2710">
        <v>49</v>
      </c>
      <c r="S2710">
        <v>2</v>
      </c>
      <c r="T2710">
        <v>8</v>
      </c>
      <c r="U2710">
        <v>12</v>
      </c>
      <c r="V2710">
        <v>6</v>
      </c>
      <c r="W2710">
        <v>3</v>
      </c>
      <c r="X2710">
        <v>111</v>
      </c>
      <c r="Y2710">
        <v>6</v>
      </c>
      <c r="Z2710">
        <v>3</v>
      </c>
      <c r="AA2710">
        <v>3</v>
      </c>
      <c r="AB2710">
        <v>3</v>
      </c>
      <c r="AD2710">
        <v>6</v>
      </c>
      <c r="AE2710">
        <v>1</v>
      </c>
      <c r="AF2710">
        <v>0</v>
      </c>
      <c r="AG2710">
        <v>0</v>
      </c>
      <c r="AI2710">
        <v>0</v>
      </c>
      <c r="AJ2710">
        <v>12</v>
      </c>
      <c r="AK2710">
        <v>247</v>
      </c>
      <c r="AL2710">
        <v>247</v>
      </c>
      <c r="AM2710">
        <v>686</v>
      </c>
      <c r="AN2710">
        <v>44</v>
      </c>
      <c r="AP2710">
        <v>1</v>
      </c>
      <c r="AR2710" t="s">
        <v>2804</v>
      </c>
      <c r="AS2710" s="1">
        <v>44354.04583333333</v>
      </c>
      <c r="AT2710" s="1">
        <v>44354.057511574072</v>
      </c>
      <c r="AU2710" s="1">
        <v>44354.058009259257</v>
      </c>
      <c r="AV2710" t="s">
        <v>71</v>
      </c>
      <c r="AW2710" t="s">
        <v>72</v>
      </c>
      <c r="AX2710" t="s">
        <v>73</v>
      </c>
    </row>
    <row r="2711" spans="1:50" x14ac:dyDescent="0.3">
      <c r="A2711" t="str">
        <f>"201627C0200"</f>
        <v>201627C0200</v>
      </c>
      <c r="B2711" t="str">
        <f>"201627C02002"</f>
        <v>201627C02002</v>
      </c>
      <c r="C2711" t="str">
        <f t="shared" si="128"/>
        <v>20</v>
      </c>
      <c r="D2711" t="s">
        <v>67</v>
      </c>
      <c r="E2711" t="str">
        <f t="shared" si="127"/>
        <v>012</v>
      </c>
      <c r="F2711" t="s">
        <v>2715</v>
      </c>
      <c r="G2711" t="str">
        <f t="shared" si="130"/>
        <v>1627</v>
      </c>
      <c r="H2711" t="str">
        <f>"0002"</f>
        <v>0002</v>
      </c>
      <c r="I2711" t="s">
        <v>75</v>
      </c>
      <c r="J2711">
        <v>0</v>
      </c>
      <c r="K2711">
        <v>1</v>
      </c>
      <c r="L2711">
        <v>2</v>
      </c>
      <c r="M2711">
        <v>457</v>
      </c>
      <c r="N2711">
        <v>273</v>
      </c>
      <c r="O2711">
        <v>5</v>
      </c>
      <c r="P2711">
        <v>274</v>
      </c>
      <c r="Q2711">
        <v>17</v>
      </c>
      <c r="R2711">
        <v>43</v>
      </c>
      <c r="S2711">
        <v>2</v>
      </c>
      <c r="T2711">
        <v>5</v>
      </c>
      <c r="U2711">
        <v>6</v>
      </c>
      <c r="V2711">
        <v>10</v>
      </c>
      <c r="W2711">
        <v>3</v>
      </c>
      <c r="X2711">
        <v>154</v>
      </c>
      <c r="Y2711">
        <v>5</v>
      </c>
      <c r="Z2711">
        <v>7</v>
      </c>
      <c r="AA2711">
        <v>3</v>
      </c>
      <c r="AB2711">
        <v>3</v>
      </c>
      <c r="AD2711">
        <v>3</v>
      </c>
      <c r="AE2711">
        <v>0</v>
      </c>
      <c r="AF2711">
        <v>0</v>
      </c>
      <c r="AG2711">
        <v>0</v>
      </c>
      <c r="AI2711">
        <v>0</v>
      </c>
      <c r="AJ2711">
        <v>13</v>
      </c>
      <c r="AK2711">
        <v>274</v>
      </c>
      <c r="AL2711">
        <v>274</v>
      </c>
      <c r="AM2711">
        <v>686</v>
      </c>
      <c r="AN2711">
        <v>44</v>
      </c>
      <c r="AP2711">
        <v>1</v>
      </c>
      <c r="AR2711" t="s">
        <v>2805</v>
      </c>
      <c r="AS2711" s="1">
        <v>44354.045138888891</v>
      </c>
      <c r="AT2711" s="1">
        <v>44354.141192129631</v>
      </c>
      <c r="AU2711" s="1">
        <v>44354.141701388886</v>
      </c>
      <c r="AV2711" t="s">
        <v>71</v>
      </c>
      <c r="AW2711" t="s">
        <v>72</v>
      </c>
      <c r="AX2711" t="s">
        <v>73</v>
      </c>
    </row>
    <row r="2712" spans="1:50" x14ac:dyDescent="0.3">
      <c r="A2712" t="str">
        <f>"201627C0300"</f>
        <v>201627C0300</v>
      </c>
      <c r="B2712" t="str">
        <f>"201627C03002"</f>
        <v>201627C03002</v>
      </c>
      <c r="C2712" t="str">
        <f t="shared" si="128"/>
        <v>20</v>
      </c>
      <c r="D2712" t="s">
        <v>67</v>
      </c>
      <c r="E2712" t="str">
        <f t="shared" si="127"/>
        <v>012</v>
      </c>
      <c r="F2712" t="s">
        <v>2715</v>
      </c>
      <c r="G2712" t="str">
        <f t="shared" si="130"/>
        <v>1627</v>
      </c>
      <c r="H2712" t="str">
        <f>"0003"</f>
        <v>0003</v>
      </c>
      <c r="I2712" t="s">
        <v>75</v>
      </c>
      <c r="J2712">
        <v>0</v>
      </c>
      <c r="K2712">
        <v>1</v>
      </c>
      <c r="L2712">
        <v>2</v>
      </c>
      <c r="M2712">
        <v>436</v>
      </c>
      <c r="N2712">
        <v>294</v>
      </c>
      <c r="O2712">
        <v>0</v>
      </c>
      <c r="P2712">
        <v>294</v>
      </c>
      <c r="Q2712">
        <v>25</v>
      </c>
      <c r="R2712">
        <v>47</v>
      </c>
      <c r="S2712">
        <v>3</v>
      </c>
      <c r="T2712">
        <v>6</v>
      </c>
      <c r="U2712">
        <v>11</v>
      </c>
      <c r="V2712">
        <v>12</v>
      </c>
      <c r="W2712">
        <v>3</v>
      </c>
      <c r="X2712">
        <v>149</v>
      </c>
      <c r="Y2712">
        <v>6</v>
      </c>
      <c r="Z2712">
        <v>5</v>
      </c>
      <c r="AA2712">
        <v>4</v>
      </c>
      <c r="AB2712">
        <v>6</v>
      </c>
      <c r="AD2712">
        <v>3</v>
      </c>
      <c r="AE2712">
        <v>5</v>
      </c>
      <c r="AF2712">
        <v>0</v>
      </c>
      <c r="AG2712">
        <v>0</v>
      </c>
      <c r="AI2712">
        <v>0</v>
      </c>
      <c r="AJ2712">
        <v>9</v>
      </c>
      <c r="AK2712">
        <v>294</v>
      </c>
      <c r="AL2712">
        <v>294</v>
      </c>
      <c r="AM2712">
        <v>686</v>
      </c>
      <c r="AN2712">
        <v>44</v>
      </c>
      <c r="AP2712">
        <v>1</v>
      </c>
      <c r="AR2712" t="s">
        <v>2806</v>
      </c>
      <c r="AS2712" s="1">
        <v>44354.049305555556</v>
      </c>
      <c r="AT2712" s="1">
        <v>44354.066574074073</v>
      </c>
      <c r="AU2712" s="1">
        <v>44354.067106481481</v>
      </c>
      <c r="AV2712" t="s">
        <v>71</v>
      </c>
      <c r="AW2712" t="s">
        <v>72</v>
      </c>
      <c r="AX2712" t="s">
        <v>73</v>
      </c>
    </row>
    <row r="2713" spans="1:50" x14ac:dyDescent="0.3">
      <c r="A2713" t="str">
        <f>"201627C0400"</f>
        <v>201627C0400</v>
      </c>
      <c r="B2713" t="str">
        <f>"201627C04002"</f>
        <v>201627C04002</v>
      </c>
      <c r="C2713" t="str">
        <f t="shared" si="128"/>
        <v>20</v>
      </c>
      <c r="D2713" t="s">
        <v>67</v>
      </c>
      <c r="E2713" t="str">
        <f t="shared" si="127"/>
        <v>012</v>
      </c>
      <c r="F2713" t="s">
        <v>2715</v>
      </c>
      <c r="G2713" t="str">
        <f t="shared" si="130"/>
        <v>1627</v>
      </c>
      <c r="H2713" t="str">
        <f>"0004"</f>
        <v>0004</v>
      </c>
      <c r="I2713" t="s">
        <v>75</v>
      </c>
      <c r="J2713">
        <v>0</v>
      </c>
      <c r="K2713">
        <v>1</v>
      </c>
      <c r="L2713">
        <v>2</v>
      </c>
      <c r="M2713">
        <v>457</v>
      </c>
      <c r="N2713">
        <v>273</v>
      </c>
      <c r="O2713">
        <v>2</v>
      </c>
      <c r="P2713">
        <v>273</v>
      </c>
      <c r="Q2713">
        <v>20</v>
      </c>
      <c r="R2713">
        <v>43</v>
      </c>
      <c r="S2713">
        <v>1</v>
      </c>
      <c r="T2713">
        <v>4</v>
      </c>
      <c r="U2713">
        <v>10</v>
      </c>
      <c r="V2713">
        <v>3</v>
      </c>
      <c r="W2713">
        <v>4</v>
      </c>
      <c r="X2713">
        <v>154</v>
      </c>
      <c r="Y2713">
        <v>6</v>
      </c>
      <c r="Z2713">
        <v>1</v>
      </c>
      <c r="AA2713">
        <v>0</v>
      </c>
      <c r="AB2713">
        <v>5</v>
      </c>
      <c r="AD2713">
        <v>5</v>
      </c>
      <c r="AE2713">
        <v>0</v>
      </c>
      <c r="AF2713">
        <v>0</v>
      </c>
      <c r="AG2713">
        <v>0</v>
      </c>
      <c r="AI2713">
        <v>1</v>
      </c>
      <c r="AJ2713">
        <v>16</v>
      </c>
      <c r="AK2713">
        <v>273</v>
      </c>
      <c r="AL2713">
        <v>273</v>
      </c>
      <c r="AM2713">
        <v>686</v>
      </c>
      <c r="AN2713">
        <v>44</v>
      </c>
      <c r="AP2713">
        <v>1</v>
      </c>
      <c r="AR2713" t="s">
        <v>2807</v>
      </c>
      <c r="AS2713" s="1">
        <v>44354.04583333333</v>
      </c>
      <c r="AT2713" s="1">
        <v>44354.062777777777</v>
      </c>
      <c r="AU2713" s="1">
        <v>44354.063379629632</v>
      </c>
      <c r="AV2713" t="s">
        <v>71</v>
      </c>
      <c r="AW2713" t="s">
        <v>72</v>
      </c>
      <c r="AX2713" t="s">
        <v>73</v>
      </c>
    </row>
    <row r="2714" spans="1:50" x14ac:dyDescent="0.3">
      <c r="A2714" t="str">
        <f>"201627C0500"</f>
        <v>201627C0500</v>
      </c>
      <c r="B2714" t="str">
        <f>"201627C05002"</f>
        <v>201627C05002</v>
      </c>
      <c r="C2714" t="str">
        <f t="shared" si="128"/>
        <v>20</v>
      </c>
      <c r="D2714" t="s">
        <v>67</v>
      </c>
      <c r="E2714" t="str">
        <f t="shared" si="127"/>
        <v>012</v>
      </c>
      <c r="F2714" t="s">
        <v>2715</v>
      </c>
      <c r="G2714" t="str">
        <f t="shared" si="130"/>
        <v>1627</v>
      </c>
      <c r="H2714" t="str">
        <f>"0005"</f>
        <v>0005</v>
      </c>
      <c r="I2714" t="s">
        <v>75</v>
      </c>
      <c r="J2714">
        <v>0</v>
      </c>
      <c r="K2714">
        <v>1</v>
      </c>
      <c r="L2714">
        <v>2</v>
      </c>
      <c r="M2714">
        <v>425</v>
      </c>
      <c r="N2714">
        <v>305</v>
      </c>
      <c r="O2714">
        <v>1</v>
      </c>
      <c r="P2714">
        <v>305</v>
      </c>
      <c r="Q2714">
        <v>27</v>
      </c>
      <c r="R2714">
        <v>52</v>
      </c>
      <c r="S2714">
        <v>3</v>
      </c>
      <c r="T2714">
        <v>5</v>
      </c>
      <c r="U2714">
        <v>7</v>
      </c>
      <c r="V2714">
        <v>4</v>
      </c>
      <c r="W2714">
        <v>8</v>
      </c>
      <c r="X2714">
        <v>175</v>
      </c>
      <c r="Y2714">
        <v>5</v>
      </c>
      <c r="Z2714">
        <v>3</v>
      </c>
      <c r="AA2714">
        <v>0</v>
      </c>
      <c r="AB2714">
        <v>3</v>
      </c>
      <c r="AD2714">
        <v>3</v>
      </c>
      <c r="AE2714">
        <v>1</v>
      </c>
      <c r="AF2714">
        <v>0</v>
      </c>
      <c r="AG2714">
        <v>1</v>
      </c>
      <c r="AI2714">
        <v>0</v>
      </c>
      <c r="AJ2714">
        <v>8</v>
      </c>
      <c r="AK2714">
        <v>305</v>
      </c>
      <c r="AL2714">
        <v>305</v>
      </c>
      <c r="AM2714">
        <v>686</v>
      </c>
      <c r="AN2714">
        <v>44</v>
      </c>
      <c r="AP2714">
        <v>1</v>
      </c>
      <c r="AR2714" t="s">
        <v>2808</v>
      </c>
      <c r="AS2714" s="1">
        <v>44354.043749999997</v>
      </c>
      <c r="AT2714" s="1">
        <v>44354.059687499997</v>
      </c>
      <c r="AU2714" s="1">
        <v>44354.060543981483</v>
      </c>
      <c r="AV2714" t="s">
        <v>71</v>
      </c>
      <c r="AW2714" t="s">
        <v>72</v>
      </c>
      <c r="AX2714" t="s">
        <v>73</v>
      </c>
    </row>
    <row r="2715" spans="1:50" x14ac:dyDescent="0.3">
      <c r="A2715" t="str">
        <f>"201628B0000"</f>
        <v>201628B0000</v>
      </c>
      <c r="B2715" t="str">
        <f>"201628B00002"</f>
        <v>201628B00002</v>
      </c>
      <c r="C2715" t="str">
        <f t="shared" si="128"/>
        <v>20</v>
      </c>
      <c r="D2715" t="s">
        <v>67</v>
      </c>
      <c r="E2715" t="str">
        <f t="shared" si="127"/>
        <v>012</v>
      </c>
      <c r="F2715" t="s">
        <v>2715</v>
      </c>
      <c r="G2715" t="str">
        <f>"1628"</f>
        <v>1628</v>
      </c>
      <c r="H2715" t="str">
        <f>"0000"</f>
        <v>0000</v>
      </c>
      <c r="I2715" t="s">
        <v>69</v>
      </c>
      <c r="J2715">
        <v>0</v>
      </c>
      <c r="K2715">
        <v>1</v>
      </c>
      <c r="L2715">
        <v>2</v>
      </c>
      <c r="M2715">
        <v>278</v>
      </c>
      <c r="N2715">
        <v>277</v>
      </c>
      <c r="O2715">
        <v>3</v>
      </c>
      <c r="P2715">
        <v>277</v>
      </c>
      <c r="Q2715">
        <v>20</v>
      </c>
      <c r="R2715">
        <v>39</v>
      </c>
      <c r="S2715">
        <v>1</v>
      </c>
      <c r="T2715">
        <v>6</v>
      </c>
      <c r="U2715">
        <v>6</v>
      </c>
      <c r="V2715">
        <v>9</v>
      </c>
      <c r="W2715">
        <v>6</v>
      </c>
      <c r="X2715">
        <v>143</v>
      </c>
      <c r="Y2715">
        <v>5</v>
      </c>
      <c r="Z2715">
        <v>9</v>
      </c>
      <c r="AA2715">
        <v>1</v>
      </c>
      <c r="AB2715">
        <v>13</v>
      </c>
      <c r="AD2715">
        <v>7</v>
      </c>
      <c r="AE2715">
        <v>0</v>
      </c>
      <c r="AF2715">
        <v>0</v>
      </c>
      <c r="AG2715">
        <v>0</v>
      </c>
      <c r="AI2715">
        <v>0</v>
      </c>
      <c r="AJ2715">
        <v>12</v>
      </c>
      <c r="AK2715">
        <v>277</v>
      </c>
      <c r="AL2715">
        <v>277</v>
      </c>
      <c r="AM2715">
        <v>511</v>
      </c>
      <c r="AN2715">
        <v>44</v>
      </c>
      <c r="AP2715">
        <v>1</v>
      </c>
      <c r="AR2715" t="s">
        <v>2809</v>
      </c>
      <c r="AS2715" s="1">
        <v>44354.035416666666</v>
      </c>
      <c r="AT2715" s="1">
        <v>44354.052685185183</v>
      </c>
      <c r="AU2715" s="1">
        <v>44354.054050925923</v>
      </c>
      <c r="AV2715" t="s">
        <v>71</v>
      </c>
      <c r="AW2715" t="s">
        <v>72</v>
      </c>
      <c r="AX2715" t="s">
        <v>73</v>
      </c>
    </row>
    <row r="2716" spans="1:50" x14ac:dyDescent="0.3">
      <c r="A2716" t="str">
        <f>"201628C0100"</f>
        <v>201628C0100</v>
      </c>
      <c r="B2716" t="str">
        <f>"201628C01002"</f>
        <v>201628C01002</v>
      </c>
      <c r="C2716" t="str">
        <f t="shared" si="128"/>
        <v>20</v>
      </c>
      <c r="D2716" t="s">
        <v>67</v>
      </c>
      <c r="E2716" t="str">
        <f t="shared" si="127"/>
        <v>012</v>
      </c>
      <c r="F2716" t="s">
        <v>2715</v>
      </c>
      <c r="G2716" t="str">
        <f>"1628"</f>
        <v>1628</v>
      </c>
      <c r="H2716" t="str">
        <f>"0001"</f>
        <v>0001</v>
      </c>
      <c r="I2716" t="s">
        <v>75</v>
      </c>
      <c r="J2716">
        <v>0</v>
      </c>
      <c r="K2716">
        <v>1</v>
      </c>
      <c r="L2716">
        <v>2</v>
      </c>
      <c r="M2716">
        <v>295</v>
      </c>
      <c r="N2716">
        <v>260</v>
      </c>
      <c r="O2716">
        <v>4</v>
      </c>
      <c r="P2716">
        <v>256</v>
      </c>
      <c r="Q2716">
        <v>19</v>
      </c>
      <c r="R2716">
        <v>51</v>
      </c>
      <c r="S2716">
        <v>0</v>
      </c>
      <c r="T2716">
        <v>8</v>
      </c>
      <c r="U2716">
        <v>8</v>
      </c>
      <c r="V2716">
        <v>9</v>
      </c>
      <c r="W2716">
        <v>4</v>
      </c>
      <c r="X2716">
        <v>125</v>
      </c>
      <c r="Y2716">
        <v>3</v>
      </c>
      <c r="Z2716">
        <v>7</v>
      </c>
      <c r="AA2716">
        <v>1</v>
      </c>
      <c r="AB2716">
        <v>7</v>
      </c>
      <c r="AD2716">
        <v>4</v>
      </c>
      <c r="AE2716">
        <v>0</v>
      </c>
      <c r="AF2716">
        <v>0</v>
      </c>
      <c r="AG2716">
        <v>0</v>
      </c>
      <c r="AI2716">
        <v>0</v>
      </c>
      <c r="AJ2716">
        <v>10</v>
      </c>
      <c r="AK2716">
        <v>256</v>
      </c>
      <c r="AL2716">
        <v>256</v>
      </c>
      <c r="AM2716">
        <v>511</v>
      </c>
      <c r="AN2716">
        <v>44</v>
      </c>
      <c r="AP2716">
        <v>1</v>
      </c>
      <c r="AR2716" t="s">
        <v>2810</v>
      </c>
      <c r="AS2716" s="1">
        <v>44354.033333333333</v>
      </c>
      <c r="AT2716" s="1">
        <v>44354.09752314815</v>
      </c>
      <c r="AU2716" s="1">
        <v>44354.098263888889</v>
      </c>
      <c r="AV2716" t="s">
        <v>71</v>
      </c>
      <c r="AW2716" t="s">
        <v>72</v>
      </c>
      <c r="AX2716" t="s">
        <v>73</v>
      </c>
    </row>
    <row r="2717" spans="1:50" x14ac:dyDescent="0.3">
      <c r="A2717" t="str">
        <f>"201628C0200"</f>
        <v>201628C0200</v>
      </c>
      <c r="B2717" t="str">
        <f>"201628C02002"</f>
        <v>201628C02002</v>
      </c>
      <c r="C2717" t="str">
        <f t="shared" si="128"/>
        <v>20</v>
      </c>
      <c r="D2717" t="s">
        <v>67</v>
      </c>
      <c r="E2717" t="str">
        <f t="shared" si="127"/>
        <v>012</v>
      </c>
      <c r="F2717" t="s">
        <v>2715</v>
      </c>
      <c r="G2717" t="str">
        <f>"1628"</f>
        <v>1628</v>
      </c>
      <c r="H2717" t="str">
        <f>"0002"</f>
        <v>0002</v>
      </c>
      <c r="I2717" t="s">
        <v>75</v>
      </c>
      <c r="J2717">
        <v>0</v>
      </c>
      <c r="K2717">
        <v>1</v>
      </c>
      <c r="L2717">
        <v>2</v>
      </c>
      <c r="M2717">
        <v>305</v>
      </c>
      <c r="N2717">
        <v>249</v>
      </c>
      <c r="O2717">
        <v>4</v>
      </c>
      <c r="P2717">
        <v>249</v>
      </c>
      <c r="Q2717">
        <v>16</v>
      </c>
      <c r="R2717">
        <v>50</v>
      </c>
      <c r="S2717">
        <v>2</v>
      </c>
      <c r="T2717">
        <v>3</v>
      </c>
      <c r="U2717">
        <v>13</v>
      </c>
      <c r="V2717">
        <v>12</v>
      </c>
      <c r="W2717">
        <v>7</v>
      </c>
      <c r="X2717">
        <v>119</v>
      </c>
      <c r="Y2717">
        <v>3</v>
      </c>
      <c r="Z2717">
        <v>6</v>
      </c>
      <c r="AA2717">
        <v>4</v>
      </c>
      <c r="AB2717">
        <v>1</v>
      </c>
      <c r="AD2717">
        <v>3</v>
      </c>
      <c r="AE2717">
        <v>1</v>
      </c>
      <c r="AF2717">
        <v>0</v>
      </c>
      <c r="AG2717">
        <v>0</v>
      </c>
      <c r="AI2717">
        <v>0</v>
      </c>
      <c r="AJ2717">
        <v>9</v>
      </c>
      <c r="AK2717">
        <v>249</v>
      </c>
      <c r="AL2717">
        <v>249</v>
      </c>
      <c r="AM2717">
        <v>510</v>
      </c>
      <c r="AN2717">
        <v>44</v>
      </c>
      <c r="AP2717">
        <v>1</v>
      </c>
      <c r="AR2717" t="s">
        <v>2811</v>
      </c>
      <c r="AS2717" s="1">
        <v>44354.037499999999</v>
      </c>
      <c r="AT2717" s="1">
        <v>44354.053553240738</v>
      </c>
      <c r="AU2717" s="1">
        <v>44354.053900462961</v>
      </c>
      <c r="AV2717" t="s">
        <v>71</v>
      </c>
      <c r="AW2717" t="s">
        <v>72</v>
      </c>
      <c r="AX2717" t="s">
        <v>73</v>
      </c>
    </row>
    <row r="2718" spans="1:50" x14ac:dyDescent="0.3">
      <c r="A2718" t="str">
        <f>"201629B0000"</f>
        <v>201629B0000</v>
      </c>
      <c r="B2718" t="str">
        <f>"201629B00002"</f>
        <v>201629B00002</v>
      </c>
      <c r="C2718" t="str">
        <f t="shared" si="128"/>
        <v>20</v>
      </c>
      <c r="D2718" t="s">
        <v>67</v>
      </c>
      <c r="E2718" t="str">
        <f t="shared" ref="E2718:E2749" si="131">"012"</f>
        <v>012</v>
      </c>
      <c r="F2718" t="s">
        <v>2715</v>
      </c>
      <c r="G2718" t="str">
        <f>"1629"</f>
        <v>1629</v>
      </c>
      <c r="H2718" t="str">
        <f>"0000"</f>
        <v>0000</v>
      </c>
      <c r="I2718" t="s">
        <v>69</v>
      </c>
      <c r="J2718">
        <v>0</v>
      </c>
      <c r="K2718">
        <v>1</v>
      </c>
      <c r="L2718">
        <v>2</v>
      </c>
      <c r="M2718">
        <v>230</v>
      </c>
      <c r="N2718">
        <v>205</v>
      </c>
      <c r="O2718">
        <v>6</v>
      </c>
      <c r="P2718">
        <v>205</v>
      </c>
      <c r="Q2718">
        <v>21</v>
      </c>
      <c r="R2718">
        <v>43</v>
      </c>
      <c r="S2718">
        <v>3</v>
      </c>
      <c r="T2718">
        <v>6</v>
      </c>
      <c r="U2718">
        <v>10</v>
      </c>
      <c r="V2718">
        <v>2</v>
      </c>
      <c r="W2718">
        <v>3</v>
      </c>
      <c r="X2718">
        <v>89</v>
      </c>
      <c r="Y2718">
        <v>7</v>
      </c>
      <c r="Z2718">
        <v>5</v>
      </c>
      <c r="AA2718">
        <v>0</v>
      </c>
      <c r="AB2718">
        <v>1</v>
      </c>
      <c r="AD2718">
        <v>4</v>
      </c>
      <c r="AE2718">
        <v>1</v>
      </c>
      <c r="AF2718">
        <v>0</v>
      </c>
      <c r="AG2718">
        <v>0</v>
      </c>
      <c r="AI2718">
        <v>0</v>
      </c>
      <c r="AJ2718">
        <v>0</v>
      </c>
      <c r="AK2718">
        <v>0</v>
      </c>
      <c r="AL2718">
        <v>195</v>
      </c>
      <c r="AM2718">
        <v>391</v>
      </c>
      <c r="AN2718">
        <v>44</v>
      </c>
      <c r="AP2718">
        <v>1</v>
      </c>
      <c r="AR2718" t="s">
        <v>2812</v>
      </c>
      <c r="AS2718" s="1">
        <v>44354.035416666666</v>
      </c>
      <c r="AT2718" s="1">
        <v>44354.144421296296</v>
      </c>
      <c r="AU2718" s="1">
        <v>44354.144872685189</v>
      </c>
      <c r="AV2718" t="s">
        <v>71</v>
      </c>
      <c r="AW2718" t="s">
        <v>72</v>
      </c>
      <c r="AX2718" t="s">
        <v>73</v>
      </c>
    </row>
    <row r="2719" spans="1:50" x14ac:dyDescent="0.3">
      <c r="A2719" t="str">
        <f>"201629C0100"</f>
        <v>201629C0100</v>
      </c>
      <c r="B2719" t="str">
        <f>"201629C01002"</f>
        <v>201629C01002</v>
      </c>
      <c r="C2719" t="str">
        <f t="shared" si="128"/>
        <v>20</v>
      </c>
      <c r="D2719" t="s">
        <v>67</v>
      </c>
      <c r="E2719" t="str">
        <f t="shared" si="131"/>
        <v>012</v>
      </c>
      <c r="F2719" t="s">
        <v>2715</v>
      </c>
      <c r="G2719" t="str">
        <f>"1629"</f>
        <v>1629</v>
      </c>
      <c r="H2719" t="str">
        <f>"0001"</f>
        <v>0001</v>
      </c>
      <c r="I2719" t="s">
        <v>75</v>
      </c>
      <c r="J2719">
        <v>0</v>
      </c>
      <c r="K2719">
        <v>1</v>
      </c>
      <c r="L2719">
        <v>2</v>
      </c>
      <c r="M2719">
        <v>199</v>
      </c>
      <c r="N2719">
        <v>235</v>
      </c>
      <c r="O2719">
        <v>5</v>
      </c>
      <c r="P2719">
        <v>234</v>
      </c>
      <c r="Q2719">
        <v>37</v>
      </c>
      <c r="R2719">
        <v>43</v>
      </c>
      <c r="S2719">
        <v>2</v>
      </c>
      <c r="T2719">
        <v>8</v>
      </c>
      <c r="U2719">
        <v>6</v>
      </c>
      <c r="V2719">
        <v>5</v>
      </c>
      <c r="W2719">
        <v>2</v>
      </c>
      <c r="X2719">
        <v>97</v>
      </c>
      <c r="Y2719">
        <v>9</v>
      </c>
      <c r="Z2719">
        <v>3</v>
      </c>
      <c r="AA2719">
        <v>3</v>
      </c>
      <c r="AB2719">
        <v>1</v>
      </c>
      <c r="AD2719">
        <v>1</v>
      </c>
      <c r="AE2719">
        <v>2</v>
      </c>
      <c r="AF2719">
        <v>0</v>
      </c>
      <c r="AG2719">
        <v>0</v>
      </c>
      <c r="AI2719">
        <v>0</v>
      </c>
      <c r="AJ2719">
        <v>15</v>
      </c>
      <c r="AK2719">
        <v>234</v>
      </c>
      <c r="AL2719">
        <v>234</v>
      </c>
      <c r="AM2719">
        <v>390</v>
      </c>
      <c r="AN2719">
        <v>44</v>
      </c>
      <c r="AP2719">
        <v>1</v>
      </c>
      <c r="AR2719" t="s">
        <v>2813</v>
      </c>
      <c r="AS2719" s="1">
        <v>44354.033333333333</v>
      </c>
      <c r="AT2719" s="1">
        <v>44354.050115740742</v>
      </c>
      <c r="AU2719" s="1">
        <v>44354.050752314812</v>
      </c>
      <c r="AV2719" t="s">
        <v>71</v>
      </c>
      <c r="AW2719" t="s">
        <v>72</v>
      </c>
      <c r="AX2719" t="s">
        <v>73</v>
      </c>
    </row>
    <row r="2720" spans="1:50" x14ac:dyDescent="0.3">
      <c r="A2720" t="str">
        <f>"201630B0000"</f>
        <v>201630B0000</v>
      </c>
      <c r="B2720" t="str">
        <f>"201630B00002"</f>
        <v>201630B00002</v>
      </c>
      <c r="C2720" t="str">
        <f t="shared" si="128"/>
        <v>20</v>
      </c>
      <c r="D2720" t="s">
        <v>67</v>
      </c>
      <c r="E2720" t="str">
        <f t="shared" si="131"/>
        <v>012</v>
      </c>
      <c r="F2720" t="s">
        <v>2715</v>
      </c>
      <c r="G2720" t="str">
        <f>"1630"</f>
        <v>1630</v>
      </c>
      <c r="H2720" t="str">
        <f>"0000"</f>
        <v>0000</v>
      </c>
      <c r="I2720" t="s">
        <v>69</v>
      </c>
      <c r="J2720">
        <v>0</v>
      </c>
      <c r="K2720">
        <v>1</v>
      </c>
      <c r="L2720">
        <v>2</v>
      </c>
      <c r="M2720">
        <v>279</v>
      </c>
      <c r="N2720">
        <v>345</v>
      </c>
      <c r="O2720">
        <v>5</v>
      </c>
      <c r="P2720">
        <v>345</v>
      </c>
      <c r="Q2720">
        <v>27</v>
      </c>
      <c r="R2720">
        <v>38</v>
      </c>
      <c r="S2720">
        <v>4</v>
      </c>
      <c r="T2720">
        <v>12</v>
      </c>
      <c r="U2720">
        <v>5</v>
      </c>
      <c r="V2720">
        <v>14</v>
      </c>
      <c r="W2720">
        <v>8</v>
      </c>
      <c r="X2720">
        <v>191</v>
      </c>
      <c r="Y2720">
        <v>4</v>
      </c>
      <c r="Z2720">
        <v>9</v>
      </c>
      <c r="AA2720">
        <v>2</v>
      </c>
      <c r="AB2720">
        <v>11</v>
      </c>
      <c r="AD2720">
        <v>5</v>
      </c>
      <c r="AE2720">
        <v>0</v>
      </c>
      <c r="AF2720">
        <v>0</v>
      </c>
      <c r="AG2720">
        <v>0</v>
      </c>
      <c r="AI2720">
        <v>0</v>
      </c>
      <c r="AJ2720">
        <v>15</v>
      </c>
      <c r="AK2720">
        <v>345</v>
      </c>
      <c r="AL2720">
        <v>345</v>
      </c>
      <c r="AM2720">
        <v>580</v>
      </c>
      <c r="AN2720">
        <v>44</v>
      </c>
      <c r="AP2720">
        <v>1</v>
      </c>
      <c r="AR2720" t="s">
        <v>2814</v>
      </c>
      <c r="AS2720" s="1">
        <v>44354.037499999999</v>
      </c>
      <c r="AT2720" s="1">
        <v>44354.055196759262</v>
      </c>
      <c r="AU2720" s="1">
        <v>44354.055891203701</v>
      </c>
      <c r="AV2720" t="s">
        <v>71</v>
      </c>
      <c r="AW2720" t="s">
        <v>72</v>
      </c>
      <c r="AX2720" t="s">
        <v>73</v>
      </c>
    </row>
    <row r="2721" spans="1:50" x14ac:dyDescent="0.3">
      <c r="A2721" t="str">
        <f>"201630C0100"</f>
        <v>201630C0100</v>
      </c>
      <c r="B2721" t="str">
        <f>"201630C01002"</f>
        <v>201630C01002</v>
      </c>
      <c r="C2721" t="str">
        <f t="shared" si="128"/>
        <v>20</v>
      </c>
      <c r="D2721" t="s">
        <v>67</v>
      </c>
      <c r="E2721" t="str">
        <f t="shared" si="131"/>
        <v>012</v>
      </c>
      <c r="F2721" t="s">
        <v>2715</v>
      </c>
      <c r="G2721" t="str">
        <f>"1630"</f>
        <v>1630</v>
      </c>
      <c r="H2721" t="str">
        <f>"0001"</f>
        <v>0001</v>
      </c>
      <c r="I2721" t="s">
        <v>75</v>
      </c>
      <c r="J2721">
        <v>0</v>
      </c>
      <c r="K2721">
        <v>1</v>
      </c>
      <c r="L2721">
        <v>2</v>
      </c>
      <c r="M2721">
        <v>314</v>
      </c>
      <c r="N2721">
        <v>310</v>
      </c>
      <c r="O2721">
        <v>5</v>
      </c>
      <c r="P2721">
        <v>310</v>
      </c>
      <c r="Q2721">
        <v>23</v>
      </c>
      <c r="R2721">
        <v>40</v>
      </c>
      <c r="S2721">
        <v>2</v>
      </c>
      <c r="T2721">
        <v>11</v>
      </c>
      <c r="U2721">
        <v>10</v>
      </c>
      <c r="V2721">
        <v>11</v>
      </c>
      <c r="W2721">
        <v>5</v>
      </c>
      <c r="X2721">
        <v>171</v>
      </c>
      <c r="Y2721">
        <v>8</v>
      </c>
      <c r="Z2721">
        <v>5</v>
      </c>
      <c r="AA2721">
        <v>0</v>
      </c>
      <c r="AB2721">
        <v>8</v>
      </c>
      <c r="AD2721">
        <v>3</v>
      </c>
      <c r="AE2721">
        <v>0</v>
      </c>
      <c r="AF2721">
        <v>1</v>
      </c>
      <c r="AG2721">
        <v>0</v>
      </c>
      <c r="AI2721">
        <v>0</v>
      </c>
      <c r="AJ2721">
        <v>12</v>
      </c>
      <c r="AK2721">
        <v>310</v>
      </c>
      <c r="AL2721">
        <v>310</v>
      </c>
      <c r="AM2721">
        <v>580</v>
      </c>
      <c r="AN2721">
        <v>44</v>
      </c>
      <c r="AP2721">
        <v>1</v>
      </c>
      <c r="AR2721" t="s">
        <v>2815</v>
      </c>
      <c r="AS2721" s="1">
        <v>44354.036111111112</v>
      </c>
      <c r="AT2721" s="1">
        <v>44354.050798611112</v>
      </c>
      <c r="AU2721" s="1">
        <v>44354.051249999997</v>
      </c>
      <c r="AV2721" t="s">
        <v>71</v>
      </c>
      <c r="AW2721" t="s">
        <v>72</v>
      </c>
      <c r="AX2721" t="s">
        <v>73</v>
      </c>
    </row>
    <row r="2722" spans="1:50" x14ac:dyDescent="0.3">
      <c r="A2722" t="str">
        <f>"201631B0000"</f>
        <v>201631B0000</v>
      </c>
      <c r="B2722" t="str">
        <f>"201631B00002"</f>
        <v>201631B00002</v>
      </c>
      <c r="C2722" t="str">
        <f t="shared" si="128"/>
        <v>20</v>
      </c>
      <c r="D2722" t="s">
        <v>67</v>
      </c>
      <c r="E2722" t="str">
        <f t="shared" si="131"/>
        <v>012</v>
      </c>
      <c r="F2722" t="s">
        <v>2715</v>
      </c>
      <c r="G2722" t="str">
        <f>"1631"</f>
        <v>1631</v>
      </c>
      <c r="H2722" t="str">
        <f>"0000"</f>
        <v>0000</v>
      </c>
      <c r="I2722" t="s">
        <v>69</v>
      </c>
      <c r="J2722">
        <v>0</v>
      </c>
      <c r="K2722">
        <v>1</v>
      </c>
      <c r="L2722">
        <v>2</v>
      </c>
      <c r="M2722">
        <v>316</v>
      </c>
      <c r="N2722">
        <v>288</v>
      </c>
      <c r="O2722">
        <v>7</v>
      </c>
      <c r="P2722">
        <v>288</v>
      </c>
      <c r="Q2722">
        <v>40</v>
      </c>
      <c r="R2722">
        <v>45</v>
      </c>
      <c r="S2722">
        <v>4</v>
      </c>
      <c r="T2722">
        <v>16</v>
      </c>
      <c r="U2722">
        <v>5</v>
      </c>
      <c r="V2722">
        <v>9</v>
      </c>
      <c r="W2722">
        <v>7</v>
      </c>
      <c r="X2722">
        <v>119</v>
      </c>
      <c r="Y2722">
        <v>2</v>
      </c>
      <c r="Z2722">
        <v>7</v>
      </c>
      <c r="AA2722">
        <v>1</v>
      </c>
      <c r="AB2722">
        <v>7</v>
      </c>
      <c r="AD2722">
        <v>7</v>
      </c>
      <c r="AE2722">
        <v>0</v>
      </c>
      <c r="AF2722">
        <v>0</v>
      </c>
      <c r="AG2722">
        <v>0</v>
      </c>
      <c r="AI2722">
        <v>0</v>
      </c>
      <c r="AJ2722">
        <v>19</v>
      </c>
      <c r="AK2722">
        <v>288</v>
      </c>
      <c r="AL2722">
        <v>288</v>
      </c>
      <c r="AM2722">
        <v>560</v>
      </c>
      <c r="AN2722">
        <v>44</v>
      </c>
      <c r="AP2722">
        <v>1</v>
      </c>
      <c r="AR2722" t="s">
        <v>2816</v>
      </c>
      <c r="AS2722" s="1">
        <v>44354.021527777775</v>
      </c>
      <c r="AT2722" s="1">
        <v>44354.034456018519</v>
      </c>
      <c r="AU2722" s="1">
        <v>44354.035381944443</v>
      </c>
      <c r="AV2722" t="s">
        <v>71</v>
      </c>
      <c r="AW2722" t="s">
        <v>72</v>
      </c>
      <c r="AX2722" t="s">
        <v>73</v>
      </c>
    </row>
    <row r="2723" spans="1:50" x14ac:dyDescent="0.3">
      <c r="A2723" t="str">
        <f>"201631C0100"</f>
        <v>201631C0100</v>
      </c>
      <c r="B2723" t="str">
        <f>"201631C01002"</f>
        <v>201631C01002</v>
      </c>
      <c r="C2723" t="str">
        <f t="shared" si="128"/>
        <v>20</v>
      </c>
      <c r="D2723" t="s">
        <v>67</v>
      </c>
      <c r="E2723" t="str">
        <f t="shared" si="131"/>
        <v>012</v>
      </c>
      <c r="F2723" t="s">
        <v>2715</v>
      </c>
      <c r="G2723" t="str">
        <f>"1631"</f>
        <v>1631</v>
      </c>
      <c r="H2723" t="str">
        <f>"0001"</f>
        <v>0001</v>
      </c>
      <c r="I2723" t="s">
        <v>75</v>
      </c>
      <c r="J2723">
        <v>0</v>
      </c>
      <c r="K2723">
        <v>1</v>
      </c>
      <c r="L2723">
        <v>2</v>
      </c>
      <c r="M2723">
        <v>352</v>
      </c>
      <c r="N2723">
        <v>252</v>
      </c>
      <c r="O2723">
        <v>4</v>
      </c>
      <c r="P2723">
        <v>252</v>
      </c>
      <c r="Q2723">
        <v>33</v>
      </c>
      <c r="R2723">
        <v>44</v>
      </c>
      <c r="S2723">
        <v>2</v>
      </c>
      <c r="T2723">
        <v>7</v>
      </c>
      <c r="U2723">
        <v>9</v>
      </c>
      <c r="V2723">
        <v>10</v>
      </c>
      <c r="W2723">
        <v>4</v>
      </c>
      <c r="X2723">
        <v>113</v>
      </c>
      <c r="Y2723">
        <v>4</v>
      </c>
      <c r="Z2723">
        <v>3</v>
      </c>
      <c r="AA2723">
        <v>1</v>
      </c>
      <c r="AB2723">
        <v>5</v>
      </c>
      <c r="AD2723">
        <v>6</v>
      </c>
      <c r="AE2723">
        <v>0</v>
      </c>
      <c r="AF2723">
        <v>0</v>
      </c>
      <c r="AG2723">
        <v>0</v>
      </c>
      <c r="AI2723">
        <v>0</v>
      </c>
      <c r="AJ2723">
        <v>11</v>
      </c>
      <c r="AK2723">
        <v>252</v>
      </c>
      <c r="AL2723">
        <v>252</v>
      </c>
      <c r="AM2723">
        <v>560</v>
      </c>
      <c r="AN2723">
        <v>44</v>
      </c>
      <c r="AP2723">
        <v>1</v>
      </c>
      <c r="AR2723" t="s">
        <v>2817</v>
      </c>
      <c r="AS2723" s="1">
        <v>44354.021527777775</v>
      </c>
      <c r="AT2723" s="1">
        <v>44354.037916666668</v>
      </c>
      <c r="AU2723" s="1">
        <v>44354.038657407407</v>
      </c>
      <c r="AV2723" t="s">
        <v>71</v>
      </c>
      <c r="AW2723" t="s">
        <v>72</v>
      </c>
      <c r="AX2723" t="s">
        <v>73</v>
      </c>
    </row>
    <row r="2724" spans="1:50" x14ac:dyDescent="0.3">
      <c r="A2724" t="str">
        <f>"201632B0000"</f>
        <v>201632B0000</v>
      </c>
      <c r="B2724" t="str">
        <f>"201632B00002"</f>
        <v>201632B00002</v>
      </c>
      <c r="C2724" t="str">
        <f t="shared" si="128"/>
        <v>20</v>
      </c>
      <c r="D2724" t="s">
        <v>67</v>
      </c>
      <c r="E2724" t="str">
        <f t="shared" si="131"/>
        <v>012</v>
      </c>
      <c r="F2724" t="s">
        <v>2715</v>
      </c>
      <c r="G2724" t="str">
        <f>"1632"</f>
        <v>1632</v>
      </c>
      <c r="H2724" t="str">
        <f>"0000"</f>
        <v>0000</v>
      </c>
      <c r="I2724" t="s">
        <v>69</v>
      </c>
      <c r="J2724">
        <v>0</v>
      </c>
      <c r="K2724">
        <v>1</v>
      </c>
      <c r="L2724">
        <v>2</v>
      </c>
      <c r="M2724">
        <v>377</v>
      </c>
      <c r="N2724">
        <v>246</v>
      </c>
      <c r="O2724">
        <v>3</v>
      </c>
      <c r="P2724">
        <v>1</v>
      </c>
      <c r="Q2724">
        <v>22</v>
      </c>
      <c r="R2724">
        <v>48</v>
      </c>
      <c r="S2724">
        <v>3</v>
      </c>
      <c r="T2724">
        <v>8</v>
      </c>
      <c r="U2724">
        <v>5</v>
      </c>
      <c r="V2724">
        <v>4</v>
      </c>
      <c r="W2724">
        <v>1</v>
      </c>
      <c r="X2724">
        <v>130</v>
      </c>
      <c r="Y2724">
        <v>3</v>
      </c>
      <c r="Z2724">
        <v>4</v>
      </c>
      <c r="AA2724">
        <v>2</v>
      </c>
      <c r="AB2724">
        <v>4</v>
      </c>
      <c r="AD2724">
        <v>2</v>
      </c>
      <c r="AE2724">
        <v>0</v>
      </c>
      <c r="AF2724">
        <v>0</v>
      </c>
      <c r="AG2724">
        <v>0</v>
      </c>
      <c r="AI2724">
        <v>1</v>
      </c>
      <c r="AJ2724">
        <v>8</v>
      </c>
      <c r="AK2724">
        <v>246</v>
      </c>
      <c r="AL2724">
        <v>245</v>
      </c>
      <c r="AM2724">
        <v>579</v>
      </c>
      <c r="AN2724">
        <v>44</v>
      </c>
      <c r="AP2724">
        <v>1</v>
      </c>
      <c r="AR2724" t="s">
        <v>2818</v>
      </c>
      <c r="AS2724" s="1">
        <v>44354.021527777775</v>
      </c>
      <c r="AT2724" s="1">
        <v>44354.033668981479</v>
      </c>
      <c r="AU2724" s="1">
        <v>44354.034363425926</v>
      </c>
      <c r="AV2724" t="s">
        <v>71</v>
      </c>
      <c r="AW2724" t="s">
        <v>72</v>
      </c>
      <c r="AX2724" t="s">
        <v>73</v>
      </c>
    </row>
    <row r="2725" spans="1:50" x14ac:dyDescent="0.3">
      <c r="A2725" t="str">
        <f>"201632C0100"</f>
        <v>201632C0100</v>
      </c>
      <c r="B2725" t="str">
        <f>"201632C01002"</f>
        <v>201632C01002</v>
      </c>
      <c r="C2725" t="str">
        <f t="shared" si="128"/>
        <v>20</v>
      </c>
      <c r="D2725" t="s">
        <v>67</v>
      </c>
      <c r="E2725" t="str">
        <f t="shared" si="131"/>
        <v>012</v>
      </c>
      <c r="F2725" t="s">
        <v>2715</v>
      </c>
      <c r="G2725" t="str">
        <f>"1632"</f>
        <v>1632</v>
      </c>
      <c r="H2725" t="str">
        <f>"0001"</f>
        <v>0001</v>
      </c>
      <c r="I2725" t="s">
        <v>75</v>
      </c>
      <c r="J2725">
        <v>0</v>
      </c>
      <c r="K2725">
        <v>1</v>
      </c>
      <c r="L2725">
        <v>2</v>
      </c>
      <c r="M2725">
        <v>350</v>
      </c>
      <c r="N2725">
        <v>273</v>
      </c>
      <c r="O2725">
        <v>6</v>
      </c>
      <c r="P2725">
        <v>273</v>
      </c>
      <c r="Q2725">
        <v>15</v>
      </c>
      <c r="R2725">
        <v>53</v>
      </c>
      <c r="S2725">
        <v>4</v>
      </c>
      <c r="T2725">
        <v>10</v>
      </c>
      <c r="U2725">
        <v>12</v>
      </c>
      <c r="V2725">
        <v>9</v>
      </c>
      <c r="W2725">
        <v>5</v>
      </c>
      <c r="X2725">
        <v>126</v>
      </c>
      <c r="Y2725">
        <v>5</v>
      </c>
      <c r="Z2725">
        <v>6</v>
      </c>
      <c r="AA2725">
        <v>2</v>
      </c>
      <c r="AB2725">
        <v>7</v>
      </c>
      <c r="AD2725">
        <v>3</v>
      </c>
      <c r="AE2725">
        <v>2</v>
      </c>
      <c r="AF2725">
        <v>0</v>
      </c>
      <c r="AG2725">
        <v>0</v>
      </c>
      <c r="AI2725">
        <v>1</v>
      </c>
      <c r="AJ2725">
        <v>13</v>
      </c>
      <c r="AK2725">
        <v>273</v>
      </c>
      <c r="AL2725">
        <v>273</v>
      </c>
      <c r="AM2725">
        <v>579</v>
      </c>
      <c r="AN2725">
        <v>44</v>
      </c>
      <c r="AP2725">
        <v>1</v>
      </c>
      <c r="AR2725" t="s">
        <v>2819</v>
      </c>
      <c r="AS2725" s="1">
        <v>44354.020833333336</v>
      </c>
      <c r="AT2725" s="1">
        <v>44354.143460648149</v>
      </c>
      <c r="AU2725" s="1">
        <v>44354.143854166665</v>
      </c>
      <c r="AV2725" t="s">
        <v>71</v>
      </c>
      <c r="AW2725" t="s">
        <v>72</v>
      </c>
      <c r="AX2725" t="s">
        <v>73</v>
      </c>
    </row>
    <row r="2726" spans="1:50" x14ac:dyDescent="0.3">
      <c r="A2726" t="str">
        <f>"201633B0000"</f>
        <v>201633B0000</v>
      </c>
      <c r="B2726" t="str">
        <f>"201633B00002"</f>
        <v>201633B00002</v>
      </c>
      <c r="C2726" t="str">
        <f t="shared" si="128"/>
        <v>20</v>
      </c>
      <c r="D2726" t="s">
        <v>67</v>
      </c>
      <c r="E2726" t="str">
        <f t="shared" si="131"/>
        <v>012</v>
      </c>
      <c r="F2726" t="s">
        <v>2715</v>
      </c>
      <c r="G2726" t="str">
        <f>"1633"</f>
        <v>1633</v>
      </c>
      <c r="H2726" t="str">
        <f>"0000"</f>
        <v>0000</v>
      </c>
      <c r="I2726" t="s">
        <v>69</v>
      </c>
      <c r="J2726">
        <v>0</v>
      </c>
      <c r="K2726">
        <v>1</v>
      </c>
      <c r="L2726">
        <v>2</v>
      </c>
      <c r="M2726">
        <v>462</v>
      </c>
      <c r="N2726">
        <v>325</v>
      </c>
      <c r="O2726">
        <v>2</v>
      </c>
      <c r="P2726">
        <v>325</v>
      </c>
      <c r="Q2726">
        <v>34</v>
      </c>
      <c r="R2726">
        <v>45</v>
      </c>
      <c r="S2726">
        <v>6</v>
      </c>
      <c r="T2726">
        <v>12</v>
      </c>
      <c r="U2726">
        <v>10</v>
      </c>
      <c r="V2726">
        <v>13</v>
      </c>
      <c r="W2726">
        <v>5</v>
      </c>
      <c r="X2726">
        <v>161</v>
      </c>
      <c r="Y2726">
        <v>3</v>
      </c>
      <c r="Z2726">
        <v>5</v>
      </c>
      <c r="AA2726">
        <v>1</v>
      </c>
      <c r="AB2726">
        <v>6</v>
      </c>
      <c r="AD2726">
        <v>2</v>
      </c>
      <c r="AE2726">
        <v>0</v>
      </c>
      <c r="AF2726">
        <v>0</v>
      </c>
      <c r="AG2726">
        <v>1</v>
      </c>
      <c r="AI2726">
        <v>0</v>
      </c>
      <c r="AJ2726">
        <v>21</v>
      </c>
      <c r="AK2726">
        <v>325</v>
      </c>
      <c r="AL2726">
        <v>325</v>
      </c>
      <c r="AM2726">
        <v>743</v>
      </c>
      <c r="AN2726">
        <v>44</v>
      </c>
      <c r="AP2726">
        <v>1</v>
      </c>
      <c r="AR2726" t="s">
        <v>2820</v>
      </c>
      <c r="AS2726" s="1">
        <v>44354.024305555555</v>
      </c>
      <c r="AT2726" s="1">
        <v>44354.042361111111</v>
      </c>
      <c r="AU2726" s="1">
        <v>44354.04283564815</v>
      </c>
      <c r="AV2726" t="s">
        <v>71</v>
      </c>
      <c r="AW2726" t="s">
        <v>72</v>
      </c>
      <c r="AX2726" t="s">
        <v>73</v>
      </c>
    </row>
    <row r="2727" spans="1:50" x14ac:dyDescent="0.3">
      <c r="A2727" t="str">
        <f>"201633C0100"</f>
        <v>201633C0100</v>
      </c>
      <c r="B2727" t="str">
        <f>"201633C01002"</f>
        <v>201633C01002</v>
      </c>
      <c r="C2727" t="str">
        <f t="shared" si="128"/>
        <v>20</v>
      </c>
      <c r="D2727" t="s">
        <v>67</v>
      </c>
      <c r="E2727" t="str">
        <f t="shared" si="131"/>
        <v>012</v>
      </c>
      <c r="F2727" t="s">
        <v>2715</v>
      </c>
      <c r="G2727" t="str">
        <f>"1633"</f>
        <v>1633</v>
      </c>
      <c r="H2727" t="str">
        <f>"0001"</f>
        <v>0001</v>
      </c>
      <c r="I2727" t="s">
        <v>75</v>
      </c>
      <c r="J2727">
        <v>0</v>
      </c>
      <c r="K2727">
        <v>1</v>
      </c>
      <c r="L2727">
        <v>2</v>
      </c>
      <c r="M2727">
        <v>483</v>
      </c>
      <c r="N2727">
        <v>304</v>
      </c>
      <c r="O2727">
        <v>0</v>
      </c>
      <c r="P2727">
        <v>0</v>
      </c>
      <c r="Q2727">
        <v>30</v>
      </c>
      <c r="R2727">
        <v>43</v>
      </c>
      <c r="S2727">
        <v>4</v>
      </c>
      <c r="T2727">
        <v>9</v>
      </c>
      <c r="U2727">
        <v>5</v>
      </c>
      <c r="V2727">
        <v>8</v>
      </c>
      <c r="W2727">
        <v>3</v>
      </c>
      <c r="X2727">
        <v>158</v>
      </c>
      <c r="Y2727">
        <v>4</v>
      </c>
      <c r="Z2727">
        <v>12</v>
      </c>
      <c r="AA2727">
        <v>2</v>
      </c>
      <c r="AB2727">
        <v>13</v>
      </c>
      <c r="AD2727">
        <v>2</v>
      </c>
      <c r="AE2727">
        <v>2</v>
      </c>
      <c r="AF2727">
        <v>0</v>
      </c>
      <c r="AG2727">
        <v>0</v>
      </c>
      <c r="AI2727">
        <v>0</v>
      </c>
      <c r="AJ2727">
        <v>9</v>
      </c>
      <c r="AK2727">
        <v>304</v>
      </c>
      <c r="AL2727">
        <v>304</v>
      </c>
      <c r="AM2727">
        <v>743</v>
      </c>
      <c r="AN2727">
        <v>44</v>
      </c>
      <c r="AP2727">
        <v>1</v>
      </c>
      <c r="AR2727" t="s">
        <v>2821</v>
      </c>
      <c r="AS2727" s="1">
        <v>44354.024305555555</v>
      </c>
      <c r="AT2727" s="1">
        <v>44354.039467592593</v>
      </c>
      <c r="AU2727" s="1">
        <v>44354.040150462963</v>
      </c>
      <c r="AV2727" t="s">
        <v>71</v>
      </c>
      <c r="AW2727" t="s">
        <v>72</v>
      </c>
      <c r="AX2727" t="s">
        <v>73</v>
      </c>
    </row>
    <row r="2728" spans="1:50" x14ac:dyDescent="0.3">
      <c r="A2728" t="str">
        <f>"201633C0200"</f>
        <v>201633C0200</v>
      </c>
      <c r="B2728" t="str">
        <f>"201633C02002"</f>
        <v>201633C02002</v>
      </c>
      <c r="C2728" t="str">
        <f t="shared" si="128"/>
        <v>20</v>
      </c>
      <c r="D2728" t="s">
        <v>67</v>
      </c>
      <c r="E2728" t="str">
        <f t="shared" si="131"/>
        <v>012</v>
      </c>
      <c r="F2728" t="s">
        <v>2715</v>
      </c>
      <c r="G2728" t="str">
        <f>"1633"</f>
        <v>1633</v>
      </c>
      <c r="H2728" t="str">
        <f>"0002"</f>
        <v>0002</v>
      </c>
      <c r="I2728" t="s">
        <v>75</v>
      </c>
      <c r="J2728">
        <v>0</v>
      </c>
      <c r="K2728">
        <v>1</v>
      </c>
      <c r="L2728">
        <v>2</v>
      </c>
      <c r="M2728">
        <v>472</v>
      </c>
      <c r="N2728">
        <v>315</v>
      </c>
      <c r="O2728">
        <v>0</v>
      </c>
      <c r="P2728">
        <v>315</v>
      </c>
      <c r="Q2728">
        <v>30</v>
      </c>
      <c r="R2728">
        <v>52</v>
      </c>
      <c r="S2728">
        <v>2</v>
      </c>
      <c r="T2728">
        <v>12</v>
      </c>
      <c r="U2728">
        <v>9</v>
      </c>
      <c r="V2728">
        <v>12</v>
      </c>
      <c r="W2728">
        <v>5</v>
      </c>
      <c r="X2728">
        <v>146</v>
      </c>
      <c r="Y2728">
        <v>5</v>
      </c>
      <c r="Z2728">
        <v>7</v>
      </c>
      <c r="AA2728">
        <v>5</v>
      </c>
      <c r="AB2728">
        <v>7</v>
      </c>
      <c r="AD2728">
        <v>3</v>
      </c>
      <c r="AE2728">
        <v>2</v>
      </c>
      <c r="AF2728">
        <v>0</v>
      </c>
      <c r="AG2728">
        <v>0</v>
      </c>
      <c r="AI2728">
        <v>0</v>
      </c>
      <c r="AJ2728">
        <v>18</v>
      </c>
      <c r="AK2728">
        <v>315</v>
      </c>
      <c r="AL2728">
        <v>315</v>
      </c>
      <c r="AM2728">
        <v>743</v>
      </c>
      <c r="AN2728">
        <v>44</v>
      </c>
      <c r="AP2728">
        <v>1</v>
      </c>
      <c r="AR2728" t="s">
        <v>2822</v>
      </c>
      <c r="AS2728" s="1">
        <v>44353.859027777777</v>
      </c>
      <c r="AT2728" s="1">
        <v>44354.039004629631</v>
      </c>
      <c r="AU2728" s="1">
        <v>44354.039490740739</v>
      </c>
      <c r="AV2728" t="s">
        <v>71</v>
      </c>
      <c r="AW2728" t="s">
        <v>72</v>
      </c>
      <c r="AX2728" t="s">
        <v>73</v>
      </c>
    </row>
    <row r="2729" spans="1:50" x14ac:dyDescent="0.3">
      <c r="A2729" t="str">
        <f>"201633C0300"</f>
        <v>201633C0300</v>
      </c>
      <c r="B2729" t="str">
        <f>"201633C03002"</f>
        <v>201633C03002</v>
      </c>
      <c r="C2729" t="str">
        <f t="shared" si="128"/>
        <v>20</v>
      </c>
      <c r="D2729" t="s">
        <v>67</v>
      </c>
      <c r="E2729" t="str">
        <f t="shared" si="131"/>
        <v>012</v>
      </c>
      <c r="F2729" t="s">
        <v>2715</v>
      </c>
      <c r="G2729" t="str">
        <f>"1633"</f>
        <v>1633</v>
      </c>
      <c r="H2729" t="str">
        <f>"0003"</f>
        <v>0003</v>
      </c>
      <c r="I2729" t="s">
        <v>75</v>
      </c>
      <c r="J2729">
        <v>0</v>
      </c>
      <c r="K2729">
        <v>1</v>
      </c>
      <c r="L2729">
        <v>2</v>
      </c>
      <c r="M2729">
        <v>493</v>
      </c>
      <c r="N2729">
        <v>294</v>
      </c>
      <c r="O2729">
        <v>4</v>
      </c>
      <c r="P2729">
        <v>294</v>
      </c>
      <c r="Q2729">
        <v>30</v>
      </c>
      <c r="R2729">
        <v>50</v>
      </c>
      <c r="S2729">
        <v>2</v>
      </c>
      <c r="T2729">
        <v>9</v>
      </c>
      <c r="U2729">
        <v>8</v>
      </c>
      <c r="V2729">
        <v>11</v>
      </c>
      <c r="W2729">
        <v>6</v>
      </c>
      <c r="X2729">
        <v>155</v>
      </c>
      <c r="Y2729">
        <v>3</v>
      </c>
      <c r="Z2729">
        <v>4</v>
      </c>
      <c r="AA2729">
        <v>2</v>
      </c>
      <c r="AB2729">
        <v>6</v>
      </c>
      <c r="AD2729">
        <v>0</v>
      </c>
      <c r="AE2729">
        <v>0</v>
      </c>
      <c r="AF2729">
        <v>0</v>
      </c>
      <c r="AG2729">
        <v>0</v>
      </c>
      <c r="AI2729">
        <v>0</v>
      </c>
      <c r="AJ2729">
        <v>8</v>
      </c>
      <c r="AK2729">
        <v>294</v>
      </c>
      <c r="AL2729">
        <v>294</v>
      </c>
      <c r="AM2729">
        <v>743</v>
      </c>
      <c r="AN2729">
        <v>44</v>
      </c>
      <c r="AP2729">
        <v>1</v>
      </c>
      <c r="AR2729" t="s">
        <v>2823</v>
      </c>
      <c r="AS2729" s="1">
        <v>44354.024305555555</v>
      </c>
      <c r="AT2729" s="1">
        <v>44354.041851851849</v>
      </c>
      <c r="AU2729" s="1">
        <v>44354.042708333334</v>
      </c>
      <c r="AV2729" t="s">
        <v>71</v>
      </c>
      <c r="AW2729" t="s">
        <v>72</v>
      </c>
      <c r="AX2729" t="s">
        <v>73</v>
      </c>
    </row>
    <row r="2730" spans="1:50" x14ac:dyDescent="0.3">
      <c r="A2730" t="str">
        <f>"201686B0000"</f>
        <v>201686B0000</v>
      </c>
      <c r="B2730" t="str">
        <f>"201686B00002"</f>
        <v>201686B00002</v>
      </c>
      <c r="C2730" t="str">
        <f t="shared" si="128"/>
        <v>20</v>
      </c>
      <c r="D2730" t="s">
        <v>67</v>
      </c>
      <c r="E2730" t="str">
        <f t="shared" si="131"/>
        <v>012</v>
      </c>
      <c r="F2730" t="s">
        <v>2715</v>
      </c>
      <c r="G2730" t="str">
        <f t="shared" ref="G2730:G2736" si="132">"1686"</f>
        <v>1686</v>
      </c>
      <c r="H2730" t="str">
        <f>"0000"</f>
        <v>0000</v>
      </c>
      <c r="I2730" t="s">
        <v>69</v>
      </c>
      <c r="J2730">
        <v>0</v>
      </c>
      <c r="K2730">
        <v>1</v>
      </c>
      <c r="L2730">
        <v>2</v>
      </c>
      <c r="M2730">
        <v>305</v>
      </c>
      <c r="N2730">
        <v>392</v>
      </c>
      <c r="O2730">
        <v>12</v>
      </c>
      <c r="P2730" t="s">
        <v>80</v>
      </c>
      <c r="Q2730">
        <v>21</v>
      </c>
      <c r="R2730">
        <v>40</v>
      </c>
      <c r="S2730">
        <v>3</v>
      </c>
      <c r="T2730">
        <v>7</v>
      </c>
      <c r="U2730">
        <v>25</v>
      </c>
      <c r="V2730">
        <v>9</v>
      </c>
      <c r="W2730">
        <v>23</v>
      </c>
      <c r="X2730">
        <v>185</v>
      </c>
      <c r="Y2730">
        <v>3</v>
      </c>
      <c r="Z2730">
        <v>12</v>
      </c>
      <c r="AA2730">
        <v>42</v>
      </c>
      <c r="AB2730">
        <v>11</v>
      </c>
      <c r="AD2730">
        <v>0</v>
      </c>
      <c r="AE2730">
        <v>0</v>
      </c>
      <c r="AF2730">
        <v>0</v>
      </c>
      <c r="AG2730">
        <v>0</v>
      </c>
      <c r="AI2730">
        <v>0</v>
      </c>
      <c r="AJ2730">
        <v>12</v>
      </c>
      <c r="AK2730">
        <v>393</v>
      </c>
      <c r="AL2730">
        <v>393</v>
      </c>
      <c r="AM2730">
        <v>652</v>
      </c>
      <c r="AN2730">
        <v>46</v>
      </c>
      <c r="AP2730">
        <v>1</v>
      </c>
      <c r="AR2730" t="s">
        <v>2824</v>
      </c>
      <c r="AS2730" s="1">
        <v>44353.998807870368</v>
      </c>
      <c r="AT2730" s="1">
        <v>44354.003506944442</v>
      </c>
      <c r="AU2730" s="1">
        <v>44354.004328703704</v>
      </c>
      <c r="AV2730" t="s">
        <v>269</v>
      </c>
      <c r="AW2730" t="s">
        <v>270</v>
      </c>
      <c r="AX2730" t="s">
        <v>73</v>
      </c>
    </row>
    <row r="2731" spans="1:50" x14ac:dyDescent="0.3">
      <c r="A2731" t="str">
        <f>"201686C0100"</f>
        <v>201686C0100</v>
      </c>
      <c r="B2731" t="str">
        <f>"201686C01002"</f>
        <v>201686C01002</v>
      </c>
      <c r="C2731" t="str">
        <f t="shared" si="128"/>
        <v>20</v>
      </c>
      <c r="D2731" t="s">
        <v>67</v>
      </c>
      <c r="E2731" t="str">
        <f t="shared" si="131"/>
        <v>012</v>
      </c>
      <c r="F2731" t="s">
        <v>2715</v>
      </c>
      <c r="G2731" t="str">
        <f t="shared" si="132"/>
        <v>1686</v>
      </c>
      <c r="H2731" t="str">
        <f>"0001"</f>
        <v>0001</v>
      </c>
      <c r="I2731" t="s">
        <v>75</v>
      </c>
      <c r="J2731">
        <v>0</v>
      </c>
      <c r="K2731">
        <v>1</v>
      </c>
      <c r="L2731">
        <v>2</v>
      </c>
      <c r="M2731">
        <v>303</v>
      </c>
      <c r="N2731">
        <v>395</v>
      </c>
      <c r="O2731">
        <v>7</v>
      </c>
      <c r="P2731" t="s">
        <v>80</v>
      </c>
      <c r="Q2731">
        <v>18</v>
      </c>
      <c r="R2731">
        <v>22</v>
      </c>
      <c r="S2731">
        <v>3</v>
      </c>
      <c r="T2731">
        <v>2</v>
      </c>
      <c r="U2731">
        <v>25</v>
      </c>
      <c r="V2731">
        <v>10</v>
      </c>
      <c r="W2731">
        <v>31</v>
      </c>
      <c r="X2731">
        <v>181</v>
      </c>
      <c r="Y2731">
        <v>3</v>
      </c>
      <c r="Z2731">
        <v>6</v>
      </c>
      <c r="AA2731">
        <v>59</v>
      </c>
      <c r="AB2731">
        <v>10</v>
      </c>
      <c r="AD2731">
        <v>3</v>
      </c>
      <c r="AE2731">
        <v>0</v>
      </c>
      <c r="AF2731">
        <v>0</v>
      </c>
      <c r="AG2731">
        <v>0</v>
      </c>
      <c r="AI2731">
        <v>0</v>
      </c>
      <c r="AJ2731">
        <v>22</v>
      </c>
      <c r="AK2731">
        <v>395</v>
      </c>
      <c r="AL2731">
        <v>395</v>
      </c>
      <c r="AM2731">
        <v>652</v>
      </c>
      <c r="AN2731">
        <v>46</v>
      </c>
      <c r="AP2731">
        <v>1</v>
      </c>
      <c r="AR2731" t="s">
        <v>2825</v>
      </c>
      <c r="AS2731" s="1">
        <v>44353.993807870371</v>
      </c>
      <c r="AT2731" s="1">
        <v>44353.99832175926</v>
      </c>
      <c r="AU2731" s="1">
        <v>44353.998981481483</v>
      </c>
      <c r="AV2731" t="s">
        <v>269</v>
      </c>
      <c r="AW2731" t="s">
        <v>270</v>
      </c>
      <c r="AX2731" t="s">
        <v>73</v>
      </c>
    </row>
    <row r="2732" spans="1:50" x14ac:dyDescent="0.3">
      <c r="A2732" t="str">
        <f>"201686C0200"</f>
        <v>201686C0200</v>
      </c>
      <c r="B2732" t="str">
        <f>"201686C02002"</f>
        <v>201686C02002</v>
      </c>
      <c r="C2732" t="str">
        <f t="shared" si="128"/>
        <v>20</v>
      </c>
      <c r="D2732" t="s">
        <v>67</v>
      </c>
      <c r="E2732" t="str">
        <f t="shared" si="131"/>
        <v>012</v>
      </c>
      <c r="F2732" t="s">
        <v>2715</v>
      </c>
      <c r="G2732" t="str">
        <f t="shared" si="132"/>
        <v>1686</v>
      </c>
      <c r="H2732" t="str">
        <f>"0002"</f>
        <v>0002</v>
      </c>
      <c r="I2732" t="s">
        <v>75</v>
      </c>
      <c r="J2732">
        <v>0</v>
      </c>
      <c r="K2732">
        <v>1</v>
      </c>
      <c r="L2732">
        <v>2</v>
      </c>
      <c r="M2732">
        <v>306</v>
      </c>
      <c r="N2732">
        <v>392</v>
      </c>
      <c r="O2732">
        <v>9</v>
      </c>
      <c r="P2732">
        <v>389</v>
      </c>
      <c r="Q2732">
        <v>26</v>
      </c>
      <c r="R2732">
        <v>21</v>
      </c>
      <c r="S2732">
        <v>3</v>
      </c>
      <c r="T2732">
        <v>3</v>
      </c>
      <c r="U2732">
        <v>27</v>
      </c>
      <c r="V2732">
        <v>13</v>
      </c>
      <c r="W2732">
        <v>31</v>
      </c>
      <c r="X2732">
        <v>161</v>
      </c>
      <c r="Y2732">
        <v>2</v>
      </c>
      <c r="Z2732">
        <v>7</v>
      </c>
      <c r="AA2732">
        <v>50</v>
      </c>
      <c r="AB2732">
        <v>26</v>
      </c>
      <c r="AD2732">
        <v>3</v>
      </c>
      <c r="AE2732">
        <v>1</v>
      </c>
      <c r="AF2732">
        <v>0</v>
      </c>
      <c r="AG2732">
        <v>0</v>
      </c>
      <c r="AI2732">
        <v>0</v>
      </c>
      <c r="AJ2732">
        <v>14</v>
      </c>
      <c r="AK2732">
        <v>389</v>
      </c>
      <c r="AL2732">
        <v>388</v>
      </c>
      <c r="AM2732">
        <v>652</v>
      </c>
      <c r="AN2732">
        <v>46</v>
      </c>
      <c r="AP2732">
        <v>1</v>
      </c>
      <c r="AR2732" t="s">
        <v>2826</v>
      </c>
      <c r="AS2732" s="1">
        <v>44354.009189814817</v>
      </c>
      <c r="AT2732" s="1">
        <v>44354.019224537034</v>
      </c>
      <c r="AU2732" s="1">
        <v>44354.02542824074</v>
      </c>
      <c r="AV2732" t="s">
        <v>269</v>
      </c>
      <c r="AW2732" t="s">
        <v>270</v>
      </c>
      <c r="AX2732" t="s">
        <v>73</v>
      </c>
    </row>
    <row r="2733" spans="1:50" x14ac:dyDescent="0.3">
      <c r="A2733" t="str">
        <f>"201686C0300"</f>
        <v>201686C0300</v>
      </c>
      <c r="B2733" t="str">
        <f>"201686C03002"</f>
        <v>201686C03002</v>
      </c>
      <c r="C2733" t="str">
        <f t="shared" si="128"/>
        <v>20</v>
      </c>
      <c r="D2733" t="s">
        <v>67</v>
      </c>
      <c r="E2733" t="str">
        <f t="shared" si="131"/>
        <v>012</v>
      </c>
      <c r="F2733" t="s">
        <v>2715</v>
      </c>
      <c r="G2733" t="str">
        <f t="shared" si="132"/>
        <v>1686</v>
      </c>
      <c r="H2733" t="str">
        <f>"0003"</f>
        <v>0003</v>
      </c>
      <c r="I2733" t="s">
        <v>75</v>
      </c>
      <c r="J2733">
        <v>0</v>
      </c>
      <c r="K2733">
        <v>1</v>
      </c>
      <c r="L2733">
        <v>2</v>
      </c>
      <c r="M2733">
        <v>304</v>
      </c>
      <c r="N2733">
        <v>394</v>
      </c>
      <c r="O2733">
        <v>6</v>
      </c>
      <c r="P2733">
        <v>394</v>
      </c>
      <c r="Q2733">
        <v>29</v>
      </c>
      <c r="R2733">
        <v>33</v>
      </c>
      <c r="S2733">
        <v>3</v>
      </c>
      <c r="T2733">
        <v>4</v>
      </c>
      <c r="U2733">
        <v>21</v>
      </c>
      <c r="V2733">
        <v>8</v>
      </c>
      <c r="W2733">
        <v>30</v>
      </c>
      <c r="X2733">
        <v>183</v>
      </c>
      <c r="Y2733">
        <v>6</v>
      </c>
      <c r="Z2733">
        <v>5</v>
      </c>
      <c r="AA2733">
        <v>45</v>
      </c>
      <c r="AB2733">
        <v>11</v>
      </c>
      <c r="AD2733">
        <v>0</v>
      </c>
      <c r="AE2733">
        <v>0</v>
      </c>
      <c r="AF2733">
        <v>0</v>
      </c>
      <c r="AG2733">
        <v>0</v>
      </c>
      <c r="AI2733">
        <v>0</v>
      </c>
      <c r="AJ2733">
        <v>16</v>
      </c>
      <c r="AK2733">
        <v>394</v>
      </c>
      <c r="AL2733">
        <v>394</v>
      </c>
      <c r="AM2733">
        <v>652</v>
      </c>
      <c r="AN2733">
        <v>46</v>
      </c>
      <c r="AP2733">
        <v>1</v>
      </c>
      <c r="AR2733" t="s">
        <v>2827</v>
      </c>
      <c r="AS2733" s="1">
        <v>44354.005671296298</v>
      </c>
      <c r="AT2733" s="1">
        <v>44354.011134259257</v>
      </c>
      <c r="AU2733" s="1">
        <v>44354.011770833335</v>
      </c>
      <c r="AV2733" t="s">
        <v>269</v>
      </c>
      <c r="AW2733" t="s">
        <v>270</v>
      </c>
      <c r="AX2733" t="s">
        <v>73</v>
      </c>
    </row>
    <row r="2734" spans="1:50" x14ac:dyDescent="0.3">
      <c r="A2734" t="str">
        <f>"201686C0400"</f>
        <v>201686C0400</v>
      </c>
      <c r="B2734" t="str">
        <f>"201686C04002"</f>
        <v>201686C04002</v>
      </c>
      <c r="C2734" t="str">
        <f t="shared" si="128"/>
        <v>20</v>
      </c>
      <c r="D2734" t="s">
        <v>67</v>
      </c>
      <c r="E2734" t="str">
        <f t="shared" si="131"/>
        <v>012</v>
      </c>
      <c r="F2734" t="s">
        <v>2715</v>
      </c>
      <c r="G2734" t="str">
        <f t="shared" si="132"/>
        <v>1686</v>
      </c>
      <c r="H2734" t="str">
        <f>"0004"</f>
        <v>0004</v>
      </c>
      <c r="I2734" t="s">
        <v>75</v>
      </c>
      <c r="J2734">
        <v>0</v>
      </c>
      <c r="K2734">
        <v>1</v>
      </c>
      <c r="L2734">
        <v>2</v>
      </c>
      <c r="M2734">
        <v>303</v>
      </c>
      <c r="N2734">
        <v>394</v>
      </c>
      <c r="O2734">
        <v>1</v>
      </c>
      <c r="P2734">
        <v>394</v>
      </c>
      <c r="Q2734">
        <v>25</v>
      </c>
      <c r="R2734">
        <v>27</v>
      </c>
      <c r="S2734">
        <v>1</v>
      </c>
      <c r="T2734">
        <v>6</v>
      </c>
      <c r="U2734">
        <v>36</v>
      </c>
      <c r="V2734">
        <v>13</v>
      </c>
      <c r="W2734">
        <v>27</v>
      </c>
      <c r="X2734">
        <v>189</v>
      </c>
      <c r="Y2734">
        <v>1</v>
      </c>
      <c r="Z2734">
        <v>4</v>
      </c>
      <c r="AA2734">
        <v>42</v>
      </c>
      <c r="AB2734">
        <v>8</v>
      </c>
      <c r="AD2734">
        <v>0</v>
      </c>
      <c r="AE2734">
        <v>0</v>
      </c>
      <c r="AF2734">
        <v>0</v>
      </c>
      <c r="AG2734">
        <v>0</v>
      </c>
      <c r="AI2734">
        <v>0</v>
      </c>
      <c r="AJ2734">
        <v>15</v>
      </c>
      <c r="AK2734">
        <v>394</v>
      </c>
      <c r="AL2734">
        <v>394</v>
      </c>
      <c r="AM2734">
        <v>651</v>
      </c>
      <c r="AN2734">
        <v>46</v>
      </c>
      <c r="AP2734">
        <v>1</v>
      </c>
      <c r="AR2734" t="s">
        <v>2828</v>
      </c>
      <c r="AS2734" s="1">
        <v>44353.918553240743</v>
      </c>
      <c r="AT2734" s="1">
        <v>44353.920706018522</v>
      </c>
      <c r="AU2734" s="1">
        <v>44353.921736111108</v>
      </c>
      <c r="AV2734" t="s">
        <v>269</v>
      </c>
      <c r="AW2734" t="s">
        <v>270</v>
      </c>
      <c r="AX2734" t="s">
        <v>73</v>
      </c>
    </row>
    <row r="2735" spans="1:50" x14ac:dyDescent="0.3">
      <c r="A2735" t="str">
        <f>"201686C0500"</f>
        <v>201686C0500</v>
      </c>
      <c r="B2735" t="str">
        <f>"201686C05002"</f>
        <v>201686C05002</v>
      </c>
      <c r="C2735" t="str">
        <f t="shared" si="128"/>
        <v>20</v>
      </c>
      <c r="D2735" t="s">
        <v>67</v>
      </c>
      <c r="E2735" t="str">
        <f t="shared" si="131"/>
        <v>012</v>
      </c>
      <c r="F2735" t="s">
        <v>2715</v>
      </c>
      <c r="G2735" t="str">
        <f t="shared" si="132"/>
        <v>1686</v>
      </c>
      <c r="H2735" t="str">
        <f>"0005"</f>
        <v>0005</v>
      </c>
      <c r="I2735" t="s">
        <v>75</v>
      </c>
      <c r="J2735">
        <v>0</v>
      </c>
      <c r="K2735">
        <v>1</v>
      </c>
      <c r="L2735">
        <v>2</v>
      </c>
      <c r="M2735">
        <v>294</v>
      </c>
      <c r="N2735">
        <v>403</v>
      </c>
      <c r="O2735">
        <v>5</v>
      </c>
      <c r="P2735">
        <v>402</v>
      </c>
      <c r="Q2735">
        <v>27</v>
      </c>
      <c r="R2735">
        <v>23</v>
      </c>
      <c r="S2735">
        <v>2</v>
      </c>
      <c r="T2735">
        <v>6</v>
      </c>
      <c r="U2735">
        <v>20</v>
      </c>
      <c r="V2735">
        <v>12</v>
      </c>
      <c r="W2735">
        <v>31</v>
      </c>
      <c r="X2735">
        <v>212</v>
      </c>
      <c r="Y2735">
        <v>6</v>
      </c>
      <c r="Z2735">
        <v>7</v>
      </c>
      <c r="AA2735">
        <v>31</v>
      </c>
      <c r="AB2735">
        <v>11</v>
      </c>
      <c r="AD2735">
        <v>0</v>
      </c>
      <c r="AE2735">
        <v>1</v>
      </c>
      <c r="AF2735">
        <v>1</v>
      </c>
      <c r="AG2735">
        <v>0</v>
      </c>
      <c r="AI2735">
        <v>0</v>
      </c>
      <c r="AJ2735">
        <v>12</v>
      </c>
      <c r="AK2735">
        <v>402</v>
      </c>
      <c r="AL2735">
        <v>402</v>
      </c>
      <c r="AM2735">
        <v>651</v>
      </c>
      <c r="AN2735">
        <v>46</v>
      </c>
      <c r="AP2735">
        <v>1</v>
      </c>
      <c r="AR2735" t="s">
        <v>2829</v>
      </c>
      <c r="AS2735" s="1">
        <v>44353.953761574077</v>
      </c>
      <c r="AT2735" s="1">
        <v>44353.955231481479</v>
      </c>
      <c r="AU2735" s="1">
        <v>44353.955821759257</v>
      </c>
      <c r="AV2735" t="s">
        <v>269</v>
      </c>
      <c r="AW2735" t="s">
        <v>270</v>
      </c>
      <c r="AX2735" t="s">
        <v>73</v>
      </c>
    </row>
    <row r="2736" spans="1:50" x14ac:dyDescent="0.3">
      <c r="A2736" t="str">
        <f>"201686C0600"</f>
        <v>201686C0600</v>
      </c>
      <c r="B2736" t="str">
        <f>"201686C06002"</f>
        <v>201686C06002</v>
      </c>
      <c r="C2736" t="str">
        <f t="shared" si="128"/>
        <v>20</v>
      </c>
      <c r="D2736" t="s">
        <v>67</v>
      </c>
      <c r="E2736" t="str">
        <f t="shared" si="131"/>
        <v>012</v>
      </c>
      <c r="F2736" t="s">
        <v>2715</v>
      </c>
      <c r="G2736" t="str">
        <f t="shared" si="132"/>
        <v>1686</v>
      </c>
      <c r="H2736" t="str">
        <f>"0006"</f>
        <v>0006</v>
      </c>
      <c r="I2736" t="s">
        <v>75</v>
      </c>
      <c r="J2736">
        <v>0</v>
      </c>
      <c r="K2736">
        <v>1</v>
      </c>
      <c r="L2736">
        <v>2</v>
      </c>
      <c r="M2736">
        <v>285</v>
      </c>
      <c r="N2736">
        <v>412</v>
      </c>
      <c r="O2736">
        <v>4</v>
      </c>
      <c r="P2736">
        <v>412</v>
      </c>
      <c r="Q2736">
        <v>26</v>
      </c>
      <c r="R2736">
        <v>29</v>
      </c>
      <c r="S2736">
        <v>4</v>
      </c>
      <c r="T2736">
        <v>4</v>
      </c>
      <c r="U2736">
        <v>14</v>
      </c>
      <c r="V2736">
        <v>14</v>
      </c>
      <c r="W2736">
        <v>61</v>
      </c>
      <c r="X2736">
        <v>200</v>
      </c>
      <c r="Y2736">
        <v>7</v>
      </c>
      <c r="Z2736">
        <v>4</v>
      </c>
      <c r="AA2736">
        <v>34</v>
      </c>
      <c r="AB2736">
        <v>4</v>
      </c>
      <c r="AD2736">
        <v>1</v>
      </c>
      <c r="AE2736">
        <v>0</v>
      </c>
      <c r="AF2736">
        <v>0</v>
      </c>
      <c r="AG2736">
        <v>0</v>
      </c>
      <c r="AI2736">
        <v>0</v>
      </c>
      <c r="AJ2736">
        <v>10</v>
      </c>
      <c r="AK2736">
        <v>412</v>
      </c>
      <c r="AL2736">
        <v>412</v>
      </c>
      <c r="AM2736">
        <v>651</v>
      </c>
      <c r="AN2736">
        <v>46</v>
      </c>
      <c r="AP2736">
        <v>1</v>
      </c>
      <c r="AR2736" t="s">
        <v>2830</v>
      </c>
      <c r="AS2736" s="1">
        <v>44353.97446759259</v>
      </c>
      <c r="AT2736" s="1">
        <v>44353.97619212963</v>
      </c>
      <c r="AU2736" s="1">
        <v>44353.976666666669</v>
      </c>
      <c r="AV2736" t="s">
        <v>269</v>
      </c>
      <c r="AW2736" t="s">
        <v>270</v>
      </c>
      <c r="AX2736" t="s">
        <v>73</v>
      </c>
    </row>
    <row r="2737" spans="1:50" x14ac:dyDescent="0.3">
      <c r="A2737" t="str">
        <f>"201687B0000"</f>
        <v>201687B0000</v>
      </c>
      <c r="B2737" t="str">
        <f>"201687B00002"</f>
        <v>201687B00002</v>
      </c>
      <c r="C2737" t="str">
        <f t="shared" si="128"/>
        <v>20</v>
      </c>
      <c r="D2737" t="s">
        <v>67</v>
      </c>
      <c r="E2737" t="str">
        <f t="shared" si="131"/>
        <v>012</v>
      </c>
      <c r="F2737" t="s">
        <v>2715</v>
      </c>
      <c r="G2737" t="str">
        <f>"1687"</f>
        <v>1687</v>
      </c>
      <c r="H2737" t="str">
        <f>"0000"</f>
        <v>0000</v>
      </c>
      <c r="I2737" t="s">
        <v>69</v>
      </c>
      <c r="J2737">
        <v>0</v>
      </c>
      <c r="K2737">
        <v>1</v>
      </c>
      <c r="L2737">
        <v>2</v>
      </c>
      <c r="M2737">
        <v>248</v>
      </c>
      <c r="N2737">
        <v>374</v>
      </c>
      <c r="O2737">
        <v>9</v>
      </c>
      <c r="P2737">
        <v>371</v>
      </c>
      <c r="Q2737">
        <v>23</v>
      </c>
      <c r="R2737">
        <v>62</v>
      </c>
      <c r="S2737">
        <v>3</v>
      </c>
      <c r="T2737">
        <v>6</v>
      </c>
      <c r="U2737">
        <v>12</v>
      </c>
      <c r="V2737">
        <v>24</v>
      </c>
      <c r="W2737">
        <v>14</v>
      </c>
      <c r="X2737">
        <v>157</v>
      </c>
      <c r="Y2737">
        <v>16</v>
      </c>
      <c r="Z2737">
        <v>4</v>
      </c>
      <c r="AA2737">
        <v>21</v>
      </c>
      <c r="AB2737">
        <v>13</v>
      </c>
      <c r="AD2737">
        <v>2</v>
      </c>
      <c r="AE2737">
        <v>0</v>
      </c>
      <c r="AF2737">
        <v>0</v>
      </c>
      <c r="AG2737">
        <v>0</v>
      </c>
      <c r="AI2737">
        <v>0</v>
      </c>
      <c r="AJ2737">
        <v>14</v>
      </c>
      <c r="AK2737">
        <v>371</v>
      </c>
      <c r="AL2737">
        <v>371</v>
      </c>
      <c r="AM2737">
        <v>574</v>
      </c>
      <c r="AN2737">
        <v>46</v>
      </c>
      <c r="AP2737">
        <v>1</v>
      </c>
      <c r="AR2737" t="s">
        <v>2831</v>
      </c>
      <c r="AS2737" s="1">
        <v>44354.09652777778</v>
      </c>
      <c r="AT2737" s="1">
        <v>44354.222974537035</v>
      </c>
      <c r="AU2737" s="1">
        <v>44354.223379629628</v>
      </c>
      <c r="AV2737" t="s">
        <v>71</v>
      </c>
      <c r="AW2737" t="s">
        <v>72</v>
      </c>
      <c r="AX2737" t="s">
        <v>73</v>
      </c>
    </row>
    <row r="2738" spans="1:50" x14ac:dyDescent="0.3">
      <c r="A2738" t="str">
        <f>"201687C0100"</f>
        <v>201687C0100</v>
      </c>
      <c r="B2738" t="str">
        <f>"201687C01002"</f>
        <v>201687C01002</v>
      </c>
      <c r="C2738" t="str">
        <f t="shared" si="128"/>
        <v>20</v>
      </c>
      <c r="D2738" t="s">
        <v>67</v>
      </c>
      <c r="E2738" t="str">
        <f t="shared" si="131"/>
        <v>012</v>
      </c>
      <c r="F2738" t="s">
        <v>2715</v>
      </c>
      <c r="G2738" t="str">
        <f>"1687"</f>
        <v>1687</v>
      </c>
      <c r="H2738" t="str">
        <f>"0001"</f>
        <v>0001</v>
      </c>
      <c r="I2738" t="s">
        <v>75</v>
      </c>
      <c r="J2738">
        <v>0</v>
      </c>
      <c r="K2738">
        <v>1</v>
      </c>
      <c r="L2738">
        <v>2</v>
      </c>
      <c r="M2738" t="s">
        <v>80</v>
      </c>
      <c r="N2738" t="s">
        <v>80</v>
      </c>
      <c r="O2738" t="s">
        <v>80</v>
      </c>
      <c r="P2738" t="s">
        <v>80</v>
      </c>
      <c r="Q2738">
        <v>2</v>
      </c>
      <c r="R2738">
        <v>55</v>
      </c>
      <c r="S2738">
        <v>2</v>
      </c>
      <c r="T2738">
        <v>5</v>
      </c>
      <c r="U2738">
        <v>7</v>
      </c>
      <c r="V2738">
        <v>10</v>
      </c>
      <c r="W2738">
        <v>22</v>
      </c>
      <c r="X2738">
        <v>182</v>
      </c>
      <c r="Y2738">
        <v>9</v>
      </c>
      <c r="Z2738">
        <v>9</v>
      </c>
      <c r="AA2738">
        <v>21</v>
      </c>
      <c r="AB2738">
        <v>12</v>
      </c>
      <c r="AD2738">
        <v>1</v>
      </c>
      <c r="AE2738" t="s">
        <v>77</v>
      </c>
      <c r="AF2738" t="s">
        <v>77</v>
      </c>
      <c r="AG2738" t="s">
        <v>77</v>
      </c>
      <c r="AI2738" t="s">
        <v>77</v>
      </c>
      <c r="AJ2738">
        <v>14</v>
      </c>
      <c r="AK2738">
        <v>369</v>
      </c>
      <c r="AL2738">
        <v>351</v>
      </c>
      <c r="AM2738">
        <v>574</v>
      </c>
      <c r="AN2738">
        <v>46</v>
      </c>
      <c r="AO2738" t="s">
        <v>78</v>
      </c>
      <c r="AP2738">
        <v>1</v>
      </c>
      <c r="AR2738" t="s">
        <v>2832</v>
      </c>
      <c r="AS2738" s="1">
        <v>44354.09652777778</v>
      </c>
      <c r="AT2738" s="1">
        <v>44354.144502314812</v>
      </c>
      <c r="AU2738" s="1">
        <v>44354.14503472222</v>
      </c>
      <c r="AV2738" t="s">
        <v>71</v>
      </c>
      <c r="AW2738" t="s">
        <v>72</v>
      </c>
      <c r="AX2738" t="s">
        <v>73</v>
      </c>
    </row>
    <row r="2739" spans="1:50" x14ac:dyDescent="0.3">
      <c r="A2739" t="str">
        <f>"201688B0000"</f>
        <v>201688B0000</v>
      </c>
      <c r="B2739" t="str">
        <f>"201688B00002"</f>
        <v>201688B00002</v>
      </c>
      <c r="C2739" t="str">
        <f t="shared" si="128"/>
        <v>20</v>
      </c>
      <c r="D2739" t="s">
        <v>67</v>
      </c>
      <c r="E2739" t="str">
        <f t="shared" si="131"/>
        <v>012</v>
      </c>
      <c r="F2739" t="s">
        <v>2715</v>
      </c>
      <c r="G2739" t="str">
        <f>"1688"</f>
        <v>1688</v>
      </c>
      <c r="H2739" t="str">
        <f>"0000"</f>
        <v>0000</v>
      </c>
      <c r="I2739" t="s">
        <v>69</v>
      </c>
      <c r="J2739">
        <v>0</v>
      </c>
      <c r="K2739">
        <v>1</v>
      </c>
      <c r="L2739">
        <v>2</v>
      </c>
      <c r="M2739">
        <v>339</v>
      </c>
      <c r="N2739">
        <v>431</v>
      </c>
      <c r="O2739">
        <v>9</v>
      </c>
      <c r="P2739" t="s">
        <v>80</v>
      </c>
      <c r="Q2739">
        <v>27</v>
      </c>
      <c r="R2739">
        <v>47</v>
      </c>
      <c r="S2739">
        <v>5</v>
      </c>
      <c r="T2739">
        <v>9</v>
      </c>
      <c r="U2739">
        <v>27</v>
      </c>
      <c r="V2739">
        <v>12</v>
      </c>
      <c r="W2739">
        <v>24</v>
      </c>
      <c r="X2739">
        <v>202</v>
      </c>
      <c r="Y2739">
        <v>3</v>
      </c>
      <c r="Z2739">
        <v>17</v>
      </c>
      <c r="AA2739">
        <v>22</v>
      </c>
      <c r="AB2739">
        <v>19</v>
      </c>
      <c r="AD2739">
        <v>1</v>
      </c>
      <c r="AE2739">
        <v>0</v>
      </c>
      <c r="AF2739">
        <v>0</v>
      </c>
      <c r="AG2739">
        <v>1</v>
      </c>
      <c r="AI2739">
        <v>1</v>
      </c>
      <c r="AJ2739">
        <v>14</v>
      </c>
      <c r="AK2739">
        <v>432</v>
      </c>
      <c r="AL2739">
        <v>431</v>
      </c>
      <c r="AM2739">
        <v>724</v>
      </c>
      <c r="AN2739">
        <v>46</v>
      </c>
      <c r="AP2739">
        <v>1</v>
      </c>
      <c r="AR2739" t="s">
        <v>2833</v>
      </c>
      <c r="AS2739" s="1">
        <v>44354.251388888886</v>
      </c>
      <c r="AT2739" s="1">
        <v>44354.254120370373</v>
      </c>
      <c r="AU2739" s="1">
        <v>44354.256284722222</v>
      </c>
      <c r="AV2739" t="s">
        <v>71</v>
      </c>
      <c r="AW2739" t="s">
        <v>72</v>
      </c>
      <c r="AX2739" t="s">
        <v>347</v>
      </c>
    </row>
    <row r="2740" spans="1:50" x14ac:dyDescent="0.3">
      <c r="A2740" t="str">
        <f>"201688C0100"</f>
        <v>201688C0100</v>
      </c>
      <c r="B2740" t="str">
        <f>"201688C01002"</f>
        <v>201688C01002</v>
      </c>
      <c r="C2740" t="str">
        <f t="shared" si="128"/>
        <v>20</v>
      </c>
      <c r="D2740" t="s">
        <v>67</v>
      </c>
      <c r="E2740" t="str">
        <f t="shared" si="131"/>
        <v>012</v>
      </c>
      <c r="F2740" t="s">
        <v>2715</v>
      </c>
      <c r="G2740" t="str">
        <f>"1688"</f>
        <v>1688</v>
      </c>
      <c r="H2740" t="str">
        <f>"0001"</f>
        <v>0001</v>
      </c>
      <c r="I2740" t="s">
        <v>75</v>
      </c>
      <c r="J2740">
        <v>0</v>
      </c>
      <c r="K2740">
        <v>1</v>
      </c>
      <c r="L2740">
        <v>2</v>
      </c>
      <c r="M2740">
        <v>301</v>
      </c>
      <c r="N2740">
        <v>469</v>
      </c>
      <c r="O2740">
        <v>7</v>
      </c>
      <c r="P2740">
        <v>469</v>
      </c>
      <c r="Q2740">
        <v>24</v>
      </c>
      <c r="R2740">
        <v>43</v>
      </c>
      <c r="S2740">
        <v>5</v>
      </c>
      <c r="T2740">
        <v>9</v>
      </c>
      <c r="U2740">
        <v>31</v>
      </c>
      <c r="V2740">
        <v>8</v>
      </c>
      <c r="W2740">
        <v>29</v>
      </c>
      <c r="X2740">
        <v>219</v>
      </c>
      <c r="Y2740">
        <v>9</v>
      </c>
      <c r="Z2740">
        <v>12</v>
      </c>
      <c r="AA2740">
        <v>30</v>
      </c>
      <c r="AB2740">
        <v>22</v>
      </c>
      <c r="AD2740">
        <v>0</v>
      </c>
      <c r="AE2740">
        <v>0</v>
      </c>
      <c r="AF2740">
        <v>0</v>
      </c>
      <c r="AG2740">
        <v>0</v>
      </c>
      <c r="AI2740">
        <v>0</v>
      </c>
      <c r="AJ2740">
        <v>28</v>
      </c>
      <c r="AK2740">
        <v>469</v>
      </c>
      <c r="AL2740">
        <v>469</v>
      </c>
      <c r="AM2740">
        <v>724</v>
      </c>
      <c r="AN2740">
        <v>46</v>
      </c>
      <c r="AP2740">
        <v>1</v>
      </c>
      <c r="AR2740" t="s">
        <v>2834</v>
      </c>
      <c r="AS2740" s="1">
        <v>44354.089583333334</v>
      </c>
      <c r="AT2740" s="1">
        <v>44354.103622685187</v>
      </c>
      <c r="AU2740" s="1">
        <v>44354.104201388887</v>
      </c>
      <c r="AV2740" t="s">
        <v>71</v>
      </c>
      <c r="AW2740" t="s">
        <v>72</v>
      </c>
      <c r="AX2740" t="s">
        <v>73</v>
      </c>
    </row>
    <row r="2741" spans="1:50" x14ac:dyDescent="0.3">
      <c r="A2741" t="str">
        <f>"201688C0200"</f>
        <v>201688C0200</v>
      </c>
      <c r="B2741" t="str">
        <f>"201688C02002"</f>
        <v>201688C02002</v>
      </c>
      <c r="C2741" t="str">
        <f t="shared" si="128"/>
        <v>20</v>
      </c>
      <c r="D2741" t="s">
        <v>67</v>
      </c>
      <c r="E2741" t="str">
        <f t="shared" si="131"/>
        <v>012</v>
      </c>
      <c r="F2741" t="s">
        <v>2715</v>
      </c>
      <c r="G2741" t="str">
        <f>"1688"</f>
        <v>1688</v>
      </c>
      <c r="H2741" t="str">
        <f>"0002"</f>
        <v>0002</v>
      </c>
      <c r="I2741" t="s">
        <v>75</v>
      </c>
      <c r="J2741">
        <v>0</v>
      </c>
      <c r="K2741">
        <v>1</v>
      </c>
      <c r="L2741">
        <v>2</v>
      </c>
      <c r="M2741">
        <v>344</v>
      </c>
      <c r="N2741">
        <v>426</v>
      </c>
      <c r="O2741">
        <v>8</v>
      </c>
      <c r="P2741">
        <v>426</v>
      </c>
      <c r="Q2741">
        <v>31</v>
      </c>
      <c r="R2741">
        <v>48</v>
      </c>
      <c r="S2741">
        <v>5</v>
      </c>
      <c r="T2741">
        <v>9</v>
      </c>
      <c r="U2741">
        <v>19</v>
      </c>
      <c r="V2741">
        <v>17</v>
      </c>
      <c r="W2741">
        <v>24</v>
      </c>
      <c r="X2741">
        <v>186</v>
      </c>
      <c r="Y2741">
        <v>11</v>
      </c>
      <c r="Z2741">
        <v>10</v>
      </c>
      <c r="AA2741">
        <v>31</v>
      </c>
      <c r="AB2741">
        <v>18</v>
      </c>
      <c r="AD2741">
        <v>2</v>
      </c>
      <c r="AE2741">
        <v>0</v>
      </c>
      <c r="AF2741">
        <v>0</v>
      </c>
      <c r="AG2741">
        <v>0</v>
      </c>
      <c r="AI2741">
        <v>0</v>
      </c>
      <c r="AJ2741">
        <v>15</v>
      </c>
      <c r="AK2741">
        <v>426</v>
      </c>
      <c r="AL2741">
        <v>426</v>
      </c>
      <c r="AM2741">
        <v>724</v>
      </c>
      <c r="AN2741">
        <v>46</v>
      </c>
      <c r="AP2741">
        <v>1</v>
      </c>
      <c r="AR2741" t="s">
        <v>2835</v>
      </c>
      <c r="AS2741" s="1">
        <v>44354.09652777778</v>
      </c>
      <c r="AT2741" s="1">
        <v>44354.109571759262</v>
      </c>
      <c r="AU2741" s="1">
        <v>44354.110879629632</v>
      </c>
      <c r="AV2741" t="s">
        <v>71</v>
      </c>
      <c r="AW2741" t="s">
        <v>72</v>
      </c>
      <c r="AX2741" t="s">
        <v>73</v>
      </c>
    </row>
    <row r="2742" spans="1:50" x14ac:dyDescent="0.3">
      <c r="A2742" t="str">
        <f>"201688C0300"</f>
        <v>201688C0300</v>
      </c>
      <c r="B2742" t="str">
        <f>"201688C03002"</f>
        <v>201688C03002</v>
      </c>
      <c r="C2742" t="str">
        <f t="shared" si="128"/>
        <v>20</v>
      </c>
      <c r="D2742" t="s">
        <v>67</v>
      </c>
      <c r="E2742" t="str">
        <f t="shared" si="131"/>
        <v>012</v>
      </c>
      <c r="F2742" t="s">
        <v>2715</v>
      </c>
      <c r="G2742" t="str">
        <f>"1688"</f>
        <v>1688</v>
      </c>
      <c r="H2742" t="str">
        <f>"0003"</f>
        <v>0003</v>
      </c>
      <c r="I2742" t="s">
        <v>75</v>
      </c>
      <c r="J2742">
        <v>0</v>
      </c>
      <c r="K2742">
        <v>1</v>
      </c>
      <c r="L2742">
        <v>2</v>
      </c>
      <c r="M2742">
        <v>306</v>
      </c>
      <c r="N2742">
        <v>464</v>
      </c>
      <c r="O2742">
        <v>2</v>
      </c>
      <c r="P2742">
        <v>464</v>
      </c>
      <c r="Q2742">
        <v>36</v>
      </c>
      <c r="R2742">
        <v>43</v>
      </c>
      <c r="S2742">
        <v>7</v>
      </c>
      <c r="T2742">
        <v>5</v>
      </c>
      <c r="U2742">
        <v>30</v>
      </c>
      <c r="V2742">
        <v>8</v>
      </c>
      <c r="W2742">
        <v>15</v>
      </c>
      <c r="X2742">
        <v>220</v>
      </c>
      <c r="Y2742">
        <v>10</v>
      </c>
      <c r="Z2742">
        <v>13</v>
      </c>
      <c r="AA2742">
        <v>46</v>
      </c>
      <c r="AB2742">
        <v>12</v>
      </c>
      <c r="AD2742">
        <v>0</v>
      </c>
      <c r="AE2742">
        <v>0</v>
      </c>
      <c r="AF2742">
        <v>0</v>
      </c>
      <c r="AG2742">
        <v>0</v>
      </c>
      <c r="AI2742">
        <v>0</v>
      </c>
      <c r="AJ2742">
        <v>17</v>
      </c>
      <c r="AK2742">
        <v>464</v>
      </c>
      <c r="AL2742">
        <v>462</v>
      </c>
      <c r="AM2742">
        <v>724</v>
      </c>
      <c r="AN2742">
        <v>46</v>
      </c>
      <c r="AP2742">
        <v>1</v>
      </c>
      <c r="AR2742" t="s">
        <v>2836</v>
      </c>
      <c r="AS2742" s="1">
        <v>44353.90902777778</v>
      </c>
      <c r="AT2742" s="1">
        <v>44354.193888888891</v>
      </c>
      <c r="AU2742" s="1">
        <v>44354.194340277776</v>
      </c>
      <c r="AV2742" t="s">
        <v>71</v>
      </c>
      <c r="AW2742" t="s">
        <v>72</v>
      </c>
      <c r="AX2742" t="s">
        <v>73</v>
      </c>
    </row>
    <row r="2743" spans="1:50" x14ac:dyDescent="0.3">
      <c r="A2743" t="str">
        <f>"201689B0000"</f>
        <v>201689B0000</v>
      </c>
      <c r="B2743" t="str">
        <f>"201689B00002"</f>
        <v>201689B00002</v>
      </c>
      <c r="C2743" t="str">
        <f t="shared" si="128"/>
        <v>20</v>
      </c>
      <c r="D2743" t="s">
        <v>67</v>
      </c>
      <c r="E2743" t="str">
        <f t="shared" si="131"/>
        <v>012</v>
      </c>
      <c r="F2743" t="s">
        <v>2715</v>
      </c>
      <c r="G2743" t="str">
        <f>"1689"</f>
        <v>1689</v>
      </c>
      <c r="H2743" t="str">
        <f>"0000"</f>
        <v>0000</v>
      </c>
      <c r="I2743" t="s">
        <v>69</v>
      </c>
      <c r="J2743">
        <v>0</v>
      </c>
      <c r="K2743">
        <v>1</v>
      </c>
      <c r="L2743">
        <v>2</v>
      </c>
      <c r="M2743">
        <v>219</v>
      </c>
      <c r="N2743">
        <v>361</v>
      </c>
      <c r="O2743">
        <v>4</v>
      </c>
      <c r="P2743">
        <v>361</v>
      </c>
      <c r="Q2743">
        <v>35</v>
      </c>
      <c r="R2743">
        <v>52</v>
      </c>
      <c r="S2743">
        <v>1</v>
      </c>
      <c r="T2743">
        <v>11</v>
      </c>
      <c r="U2743">
        <v>12</v>
      </c>
      <c r="V2743">
        <v>17</v>
      </c>
      <c r="W2743">
        <v>14</v>
      </c>
      <c r="X2743">
        <v>147</v>
      </c>
      <c r="Y2743">
        <v>12</v>
      </c>
      <c r="Z2743">
        <v>9</v>
      </c>
      <c r="AA2743">
        <v>18</v>
      </c>
      <c r="AB2743">
        <v>9</v>
      </c>
      <c r="AD2743">
        <v>3</v>
      </c>
      <c r="AE2743">
        <v>0</v>
      </c>
      <c r="AF2743">
        <v>0</v>
      </c>
      <c r="AG2743">
        <v>0</v>
      </c>
      <c r="AI2743">
        <v>1</v>
      </c>
      <c r="AJ2743">
        <v>20</v>
      </c>
      <c r="AK2743">
        <v>361</v>
      </c>
      <c r="AL2743">
        <v>361</v>
      </c>
      <c r="AM2743">
        <v>534</v>
      </c>
      <c r="AN2743">
        <v>46</v>
      </c>
      <c r="AP2743">
        <v>1</v>
      </c>
      <c r="AR2743" t="s">
        <v>2837</v>
      </c>
      <c r="AS2743" s="1">
        <v>44354.09097222222</v>
      </c>
      <c r="AT2743" s="1">
        <v>44354.111134259256</v>
      </c>
      <c r="AU2743" s="1">
        <v>44354.112523148149</v>
      </c>
      <c r="AV2743" t="s">
        <v>71</v>
      </c>
      <c r="AW2743" t="s">
        <v>72</v>
      </c>
      <c r="AX2743" t="s">
        <v>73</v>
      </c>
    </row>
    <row r="2744" spans="1:50" x14ac:dyDescent="0.3">
      <c r="A2744" t="str">
        <f>"201689C0100"</f>
        <v>201689C0100</v>
      </c>
      <c r="B2744" t="str">
        <f>"201689C01002"</f>
        <v>201689C01002</v>
      </c>
      <c r="C2744" t="str">
        <f t="shared" si="128"/>
        <v>20</v>
      </c>
      <c r="D2744" t="s">
        <v>67</v>
      </c>
      <c r="E2744" t="str">
        <f t="shared" si="131"/>
        <v>012</v>
      </c>
      <c r="F2744" t="s">
        <v>2715</v>
      </c>
      <c r="G2744" t="str">
        <f>"1689"</f>
        <v>1689</v>
      </c>
      <c r="H2744" t="str">
        <f>"0001"</f>
        <v>0001</v>
      </c>
      <c r="I2744" t="s">
        <v>75</v>
      </c>
      <c r="J2744">
        <v>0</v>
      </c>
      <c r="K2744">
        <v>1</v>
      </c>
      <c r="L2744">
        <v>2</v>
      </c>
      <c r="M2744">
        <v>211</v>
      </c>
      <c r="N2744">
        <v>373</v>
      </c>
      <c r="O2744">
        <v>4</v>
      </c>
      <c r="P2744">
        <v>369</v>
      </c>
      <c r="Q2744">
        <v>24</v>
      </c>
      <c r="R2744">
        <v>53</v>
      </c>
      <c r="S2744">
        <v>5</v>
      </c>
      <c r="T2744">
        <v>9</v>
      </c>
      <c r="U2744">
        <v>15</v>
      </c>
      <c r="V2744">
        <v>13</v>
      </c>
      <c r="W2744">
        <v>25</v>
      </c>
      <c r="X2744">
        <v>160</v>
      </c>
      <c r="Y2744">
        <v>7</v>
      </c>
      <c r="Z2744">
        <v>6</v>
      </c>
      <c r="AA2744">
        <v>24</v>
      </c>
      <c r="AB2744">
        <v>11</v>
      </c>
      <c r="AD2744">
        <v>2</v>
      </c>
      <c r="AE2744">
        <v>1</v>
      </c>
      <c r="AF2744" t="s">
        <v>77</v>
      </c>
      <c r="AG2744" t="s">
        <v>77</v>
      </c>
      <c r="AI2744" t="s">
        <v>77</v>
      </c>
      <c r="AJ2744">
        <v>14</v>
      </c>
      <c r="AK2744" t="s">
        <v>99</v>
      </c>
      <c r="AL2744">
        <v>369</v>
      </c>
      <c r="AM2744">
        <v>534</v>
      </c>
      <c r="AN2744">
        <v>46</v>
      </c>
      <c r="AO2744" t="s">
        <v>78</v>
      </c>
      <c r="AP2744">
        <v>1</v>
      </c>
      <c r="AR2744" t="s">
        <v>2838</v>
      </c>
      <c r="AS2744" s="1">
        <v>44354.092361111114</v>
      </c>
      <c r="AT2744" s="1">
        <v>44354.104930555557</v>
      </c>
      <c r="AU2744" s="1">
        <v>44354.105995370373</v>
      </c>
      <c r="AV2744" t="s">
        <v>71</v>
      </c>
      <c r="AW2744" t="s">
        <v>72</v>
      </c>
      <c r="AX2744" t="s">
        <v>73</v>
      </c>
    </row>
    <row r="2745" spans="1:50" x14ac:dyDescent="0.3">
      <c r="A2745" t="str">
        <f>"201746B0000"</f>
        <v>201746B0000</v>
      </c>
      <c r="B2745" t="str">
        <f>"201746B00002"</f>
        <v>201746B00002</v>
      </c>
      <c r="C2745" t="str">
        <f t="shared" si="128"/>
        <v>20</v>
      </c>
      <c r="D2745" t="s">
        <v>67</v>
      </c>
      <c r="E2745" t="str">
        <f t="shared" si="131"/>
        <v>012</v>
      </c>
      <c r="F2745" t="s">
        <v>2715</v>
      </c>
      <c r="G2745" t="str">
        <f>"1746"</f>
        <v>1746</v>
      </c>
      <c r="H2745" t="str">
        <f>"0000"</f>
        <v>0000</v>
      </c>
      <c r="I2745" t="s">
        <v>69</v>
      </c>
      <c r="J2745">
        <v>0</v>
      </c>
      <c r="K2745">
        <v>1</v>
      </c>
      <c r="L2745">
        <v>2</v>
      </c>
      <c r="M2745">
        <v>283</v>
      </c>
      <c r="N2745">
        <v>353</v>
      </c>
      <c r="O2745">
        <v>2</v>
      </c>
      <c r="P2745">
        <v>352</v>
      </c>
      <c r="Q2745">
        <v>20</v>
      </c>
      <c r="R2745">
        <v>33</v>
      </c>
      <c r="S2745">
        <v>3</v>
      </c>
      <c r="T2745">
        <v>3</v>
      </c>
      <c r="U2745">
        <v>23</v>
      </c>
      <c r="V2745">
        <v>24</v>
      </c>
      <c r="W2745">
        <v>8</v>
      </c>
      <c r="X2745">
        <v>180</v>
      </c>
      <c r="Y2745">
        <v>4</v>
      </c>
      <c r="Z2745">
        <v>12</v>
      </c>
      <c r="AA2745">
        <v>5</v>
      </c>
      <c r="AB2745">
        <v>26</v>
      </c>
      <c r="AD2745">
        <v>0</v>
      </c>
      <c r="AE2745">
        <v>1</v>
      </c>
      <c r="AF2745">
        <v>0</v>
      </c>
      <c r="AG2745">
        <v>0</v>
      </c>
      <c r="AI2745">
        <v>1</v>
      </c>
      <c r="AJ2745">
        <v>9</v>
      </c>
      <c r="AK2745">
        <v>352</v>
      </c>
      <c r="AL2745">
        <v>352</v>
      </c>
      <c r="AM2745">
        <v>592</v>
      </c>
      <c r="AN2745">
        <v>44</v>
      </c>
      <c r="AP2745">
        <v>1</v>
      </c>
      <c r="AR2745" t="s">
        <v>2839</v>
      </c>
      <c r="AS2745" s="1">
        <v>44354.055555555555</v>
      </c>
      <c r="AT2745" s="1">
        <v>44354.071689814817</v>
      </c>
      <c r="AU2745" s="1">
        <v>44354.072569444441</v>
      </c>
      <c r="AV2745" t="s">
        <v>71</v>
      </c>
      <c r="AW2745" t="s">
        <v>72</v>
      </c>
      <c r="AX2745" t="s">
        <v>73</v>
      </c>
    </row>
    <row r="2746" spans="1:50" x14ac:dyDescent="0.3">
      <c r="A2746" t="str">
        <f>"201746C0100"</f>
        <v>201746C0100</v>
      </c>
      <c r="B2746" t="str">
        <f>"201746C01002"</f>
        <v>201746C01002</v>
      </c>
      <c r="C2746" t="str">
        <f t="shared" si="128"/>
        <v>20</v>
      </c>
      <c r="D2746" t="s">
        <v>67</v>
      </c>
      <c r="E2746" t="str">
        <f t="shared" si="131"/>
        <v>012</v>
      </c>
      <c r="F2746" t="s">
        <v>2715</v>
      </c>
      <c r="G2746" t="str">
        <f>"1746"</f>
        <v>1746</v>
      </c>
      <c r="H2746" t="str">
        <f>"0001"</f>
        <v>0001</v>
      </c>
      <c r="I2746" t="s">
        <v>75</v>
      </c>
      <c r="J2746">
        <v>0</v>
      </c>
      <c r="K2746">
        <v>1</v>
      </c>
      <c r="L2746">
        <v>2</v>
      </c>
      <c r="M2746">
        <v>298</v>
      </c>
      <c r="N2746">
        <v>349</v>
      </c>
      <c r="O2746">
        <v>11</v>
      </c>
      <c r="P2746">
        <v>337</v>
      </c>
      <c r="Q2746">
        <v>14</v>
      </c>
      <c r="R2746">
        <v>33</v>
      </c>
      <c r="S2746">
        <v>2</v>
      </c>
      <c r="T2746">
        <v>4</v>
      </c>
      <c r="U2746">
        <v>34</v>
      </c>
      <c r="V2746">
        <v>13</v>
      </c>
      <c r="W2746">
        <v>10</v>
      </c>
      <c r="X2746">
        <v>166</v>
      </c>
      <c r="Y2746">
        <v>2</v>
      </c>
      <c r="Z2746">
        <v>14</v>
      </c>
      <c r="AA2746">
        <v>2</v>
      </c>
      <c r="AB2746">
        <v>27</v>
      </c>
      <c r="AD2746">
        <v>1</v>
      </c>
      <c r="AE2746">
        <v>0</v>
      </c>
      <c r="AF2746">
        <v>0</v>
      </c>
      <c r="AG2746">
        <v>0</v>
      </c>
      <c r="AI2746">
        <v>0</v>
      </c>
      <c r="AJ2746">
        <v>15</v>
      </c>
      <c r="AK2746">
        <v>337</v>
      </c>
      <c r="AL2746">
        <v>337</v>
      </c>
      <c r="AM2746">
        <v>591</v>
      </c>
      <c r="AN2746">
        <v>44</v>
      </c>
      <c r="AP2746">
        <v>1</v>
      </c>
      <c r="AR2746" t="s">
        <v>2840</v>
      </c>
      <c r="AS2746" s="1">
        <v>44354.052083333336</v>
      </c>
      <c r="AT2746" s="1">
        <v>44354.117210648146</v>
      </c>
      <c r="AU2746" s="1">
        <v>44354.117615740739</v>
      </c>
      <c r="AV2746" t="s">
        <v>71</v>
      </c>
      <c r="AW2746" t="s">
        <v>72</v>
      </c>
      <c r="AX2746" t="s">
        <v>73</v>
      </c>
    </row>
    <row r="2747" spans="1:50" x14ac:dyDescent="0.3">
      <c r="A2747" t="str">
        <f>"201747B0000"</f>
        <v>201747B0000</v>
      </c>
      <c r="B2747" t="str">
        <f>"201747B00002"</f>
        <v>201747B00002</v>
      </c>
      <c r="C2747" t="str">
        <f t="shared" si="128"/>
        <v>20</v>
      </c>
      <c r="D2747" t="s">
        <v>67</v>
      </c>
      <c r="E2747" t="str">
        <f t="shared" si="131"/>
        <v>012</v>
      </c>
      <c r="F2747" t="s">
        <v>2715</v>
      </c>
      <c r="G2747" t="str">
        <f>"1747"</f>
        <v>1747</v>
      </c>
      <c r="H2747" t="str">
        <f>"0000"</f>
        <v>0000</v>
      </c>
      <c r="I2747" t="s">
        <v>69</v>
      </c>
      <c r="J2747">
        <v>0</v>
      </c>
      <c r="K2747">
        <v>1</v>
      </c>
      <c r="L2747">
        <v>2</v>
      </c>
      <c r="M2747">
        <v>316</v>
      </c>
      <c r="N2747">
        <v>179</v>
      </c>
      <c r="O2747">
        <v>5</v>
      </c>
      <c r="P2747">
        <v>179</v>
      </c>
      <c r="Q2747">
        <v>12</v>
      </c>
      <c r="R2747">
        <v>28</v>
      </c>
      <c r="S2747">
        <v>2</v>
      </c>
      <c r="T2747">
        <v>5</v>
      </c>
      <c r="U2747">
        <v>29</v>
      </c>
      <c r="V2747">
        <v>12</v>
      </c>
      <c r="W2747">
        <v>1</v>
      </c>
      <c r="X2747">
        <v>73</v>
      </c>
      <c r="Y2747">
        <v>2</v>
      </c>
      <c r="Z2747">
        <v>3</v>
      </c>
      <c r="AA2747">
        <v>0</v>
      </c>
      <c r="AB2747">
        <v>5</v>
      </c>
      <c r="AD2747">
        <v>1</v>
      </c>
      <c r="AE2747">
        <v>0</v>
      </c>
      <c r="AF2747">
        <v>0</v>
      </c>
      <c r="AG2747">
        <v>0</v>
      </c>
      <c r="AI2747">
        <v>0</v>
      </c>
      <c r="AJ2747">
        <v>6</v>
      </c>
      <c r="AK2747">
        <v>179</v>
      </c>
      <c r="AL2747">
        <v>179</v>
      </c>
      <c r="AM2747">
        <v>451</v>
      </c>
      <c r="AN2747">
        <v>44</v>
      </c>
      <c r="AP2747">
        <v>1</v>
      </c>
      <c r="AR2747" t="s">
        <v>2841</v>
      </c>
      <c r="AS2747" s="1">
        <v>44354.055555555555</v>
      </c>
      <c r="AT2747" s="1">
        <v>44354.069571759261</v>
      </c>
      <c r="AU2747" s="1">
        <v>44354.070231481484</v>
      </c>
      <c r="AV2747" t="s">
        <v>71</v>
      </c>
      <c r="AW2747" t="s">
        <v>72</v>
      </c>
      <c r="AX2747" t="s">
        <v>73</v>
      </c>
    </row>
    <row r="2748" spans="1:50" x14ac:dyDescent="0.3">
      <c r="A2748" t="str">
        <f>"201748B0000"</f>
        <v>201748B0000</v>
      </c>
      <c r="B2748" t="str">
        <f>"201748B00002"</f>
        <v>201748B00002</v>
      </c>
      <c r="C2748" t="str">
        <f t="shared" si="128"/>
        <v>20</v>
      </c>
      <c r="D2748" t="s">
        <v>67</v>
      </c>
      <c r="E2748" t="str">
        <f t="shared" si="131"/>
        <v>012</v>
      </c>
      <c r="F2748" t="s">
        <v>2715</v>
      </c>
      <c r="G2748" t="str">
        <f>"1748"</f>
        <v>1748</v>
      </c>
      <c r="H2748" t="str">
        <f>"0000"</f>
        <v>0000</v>
      </c>
      <c r="I2748" t="s">
        <v>69</v>
      </c>
      <c r="J2748">
        <v>0</v>
      </c>
      <c r="K2748">
        <v>1</v>
      </c>
      <c r="L2748">
        <v>2</v>
      </c>
      <c r="M2748">
        <v>352</v>
      </c>
      <c r="N2748">
        <v>267</v>
      </c>
      <c r="O2748">
        <v>3</v>
      </c>
      <c r="P2748">
        <v>267</v>
      </c>
      <c r="Q2748">
        <v>14</v>
      </c>
      <c r="R2748">
        <v>32</v>
      </c>
      <c r="S2748">
        <v>5</v>
      </c>
      <c r="T2748">
        <v>2</v>
      </c>
      <c r="U2748">
        <v>36</v>
      </c>
      <c r="V2748">
        <v>10</v>
      </c>
      <c r="W2748">
        <v>3</v>
      </c>
      <c r="X2748">
        <v>126</v>
      </c>
      <c r="Y2748">
        <v>3</v>
      </c>
      <c r="Z2748">
        <v>7</v>
      </c>
      <c r="AA2748">
        <v>1</v>
      </c>
      <c r="AB2748">
        <v>15</v>
      </c>
      <c r="AD2748">
        <v>1</v>
      </c>
      <c r="AE2748">
        <v>0</v>
      </c>
      <c r="AF2748">
        <v>0</v>
      </c>
      <c r="AG2748">
        <v>11</v>
      </c>
      <c r="AI2748">
        <v>11</v>
      </c>
      <c r="AJ2748" t="s">
        <v>77</v>
      </c>
      <c r="AK2748" t="s">
        <v>77</v>
      </c>
      <c r="AL2748">
        <v>277</v>
      </c>
      <c r="AM2748">
        <v>575</v>
      </c>
      <c r="AN2748">
        <v>44</v>
      </c>
      <c r="AO2748" t="s">
        <v>78</v>
      </c>
      <c r="AP2748">
        <v>1</v>
      </c>
      <c r="AR2748" s="2" t="s">
        <v>2842</v>
      </c>
      <c r="AS2748" s="1">
        <v>44354.250694444447</v>
      </c>
      <c r="AT2748" s="1">
        <v>44354.253009259257</v>
      </c>
      <c r="AU2748" s="1">
        <v>44354.253981481481</v>
      </c>
      <c r="AV2748" t="s">
        <v>71</v>
      </c>
      <c r="AW2748" t="s">
        <v>72</v>
      </c>
      <c r="AX2748" t="s">
        <v>347</v>
      </c>
    </row>
    <row r="2749" spans="1:50" x14ac:dyDescent="0.3">
      <c r="A2749" t="str">
        <f>"201748C0100"</f>
        <v>201748C0100</v>
      </c>
      <c r="B2749" t="str">
        <f>"201748C01002"</f>
        <v>201748C01002</v>
      </c>
      <c r="C2749" t="str">
        <f t="shared" si="128"/>
        <v>20</v>
      </c>
      <c r="D2749" t="s">
        <v>67</v>
      </c>
      <c r="E2749" t="str">
        <f t="shared" si="131"/>
        <v>012</v>
      </c>
      <c r="F2749" t="s">
        <v>2715</v>
      </c>
      <c r="G2749" t="str">
        <f>"1748"</f>
        <v>1748</v>
      </c>
      <c r="H2749" t="str">
        <f>"0001"</f>
        <v>0001</v>
      </c>
      <c r="I2749" t="s">
        <v>75</v>
      </c>
      <c r="J2749">
        <v>0</v>
      </c>
      <c r="K2749">
        <v>1</v>
      </c>
      <c r="L2749">
        <v>2</v>
      </c>
      <c r="M2749">
        <v>307</v>
      </c>
      <c r="N2749">
        <v>311</v>
      </c>
      <c r="O2749">
        <v>4</v>
      </c>
      <c r="P2749">
        <v>312</v>
      </c>
      <c r="Q2749">
        <v>20</v>
      </c>
      <c r="R2749">
        <v>36</v>
      </c>
      <c r="S2749">
        <v>4</v>
      </c>
      <c r="T2749">
        <v>6</v>
      </c>
      <c r="U2749">
        <v>46</v>
      </c>
      <c r="V2749">
        <v>19</v>
      </c>
      <c r="W2749">
        <v>3</v>
      </c>
      <c r="X2749">
        <v>126</v>
      </c>
      <c r="Y2749">
        <v>4</v>
      </c>
      <c r="Z2749">
        <v>4</v>
      </c>
      <c r="AA2749">
        <v>3</v>
      </c>
      <c r="AB2749">
        <v>26</v>
      </c>
      <c r="AD2749">
        <v>1</v>
      </c>
      <c r="AE2749">
        <v>0</v>
      </c>
      <c r="AF2749">
        <v>0</v>
      </c>
      <c r="AG2749">
        <v>0</v>
      </c>
      <c r="AI2749">
        <v>0</v>
      </c>
      <c r="AJ2749">
        <v>14</v>
      </c>
      <c r="AK2749">
        <v>312</v>
      </c>
      <c r="AL2749">
        <v>312</v>
      </c>
      <c r="AM2749">
        <v>575</v>
      </c>
      <c r="AN2749">
        <v>44</v>
      </c>
      <c r="AP2749">
        <v>1</v>
      </c>
      <c r="AR2749" t="s">
        <v>2843</v>
      </c>
      <c r="AS2749" s="1">
        <v>44354.053472222222</v>
      </c>
      <c r="AT2749" s="1">
        <v>44354.068067129629</v>
      </c>
      <c r="AU2749" s="1">
        <v>44354.069143518522</v>
      </c>
      <c r="AV2749" t="s">
        <v>71</v>
      </c>
      <c r="AW2749" t="s">
        <v>72</v>
      </c>
      <c r="AX2749" t="s">
        <v>73</v>
      </c>
    </row>
    <row r="2750" spans="1:50" x14ac:dyDescent="0.3">
      <c r="A2750" t="str">
        <f>"201749B0000"</f>
        <v>201749B0000</v>
      </c>
      <c r="B2750" t="str">
        <f>"201749B00002"</f>
        <v>201749B00002</v>
      </c>
      <c r="C2750" t="str">
        <f t="shared" si="128"/>
        <v>20</v>
      </c>
      <c r="D2750" t="s">
        <v>67</v>
      </c>
      <c r="E2750" t="str">
        <f t="shared" ref="E2750:E2781" si="133">"012"</f>
        <v>012</v>
      </c>
      <c r="F2750" t="s">
        <v>2715</v>
      </c>
      <c r="G2750" t="str">
        <f>"1749"</f>
        <v>1749</v>
      </c>
      <c r="H2750" t="str">
        <f>"0000"</f>
        <v>0000</v>
      </c>
      <c r="I2750" t="s">
        <v>69</v>
      </c>
      <c r="J2750">
        <v>0</v>
      </c>
      <c r="K2750">
        <v>1</v>
      </c>
      <c r="L2750">
        <v>2</v>
      </c>
      <c r="M2750">
        <v>267</v>
      </c>
      <c r="N2750">
        <v>397</v>
      </c>
      <c r="O2750">
        <v>7</v>
      </c>
      <c r="P2750">
        <v>397</v>
      </c>
      <c r="Q2750">
        <v>43</v>
      </c>
      <c r="R2750">
        <v>56</v>
      </c>
      <c r="S2750">
        <v>5</v>
      </c>
      <c r="T2750">
        <v>6</v>
      </c>
      <c r="U2750">
        <v>33</v>
      </c>
      <c r="V2750">
        <v>24</v>
      </c>
      <c r="W2750">
        <v>4</v>
      </c>
      <c r="X2750">
        <v>187</v>
      </c>
      <c r="Y2750">
        <v>1</v>
      </c>
      <c r="Z2750">
        <v>3</v>
      </c>
      <c r="AA2750">
        <v>2</v>
      </c>
      <c r="AB2750">
        <v>19</v>
      </c>
      <c r="AD2750">
        <v>2</v>
      </c>
      <c r="AE2750">
        <v>0</v>
      </c>
      <c r="AF2750">
        <v>0</v>
      </c>
      <c r="AG2750">
        <v>0</v>
      </c>
      <c r="AI2750">
        <v>2</v>
      </c>
      <c r="AJ2750">
        <v>10</v>
      </c>
      <c r="AK2750">
        <v>397</v>
      </c>
      <c r="AL2750">
        <v>397</v>
      </c>
      <c r="AM2750">
        <v>620</v>
      </c>
      <c r="AN2750">
        <v>44</v>
      </c>
      <c r="AP2750">
        <v>1</v>
      </c>
      <c r="AR2750" t="s">
        <v>2844</v>
      </c>
      <c r="AS2750" s="1">
        <v>44353.977083333331</v>
      </c>
      <c r="AT2750" s="1">
        <v>44353.988645833335</v>
      </c>
      <c r="AU2750" s="1">
        <v>44353.989224537036</v>
      </c>
      <c r="AV2750" t="s">
        <v>71</v>
      </c>
      <c r="AW2750" t="s">
        <v>72</v>
      </c>
      <c r="AX2750" t="s">
        <v>73</v>
      </c>
    </row>
    <row r="2751" spans="1:50" x14ac:dyDescent="0.3">
      <c r="A2751" t="str">
        <f>"201750B0000"</f>
        <v>201750B0000</v>
      </c>
      <c r="B2751" t="str">
        <f>"201750B00002"</f>
        <v>201750B00002</v>
      </c>
      <c r="C2751" t="str">
        <f t="shared" si="128"/>
        <v>20</v>
      </c>
      <c r="D2751" t="s">
        <v>67</v>
      </c>
      <c r="E2751" t="str">
        <f t="shared" si="133"/>
        <v>012</v>
      </c>
      <c r="F2751" t="s">
        <v>2715</v>
      </c>
      <c r="G2751" t="str">
        <f>"1750"</f>
        <v>1750</v>
      </c>
      <c r="H2751" t="str">
        <f>"0000"</f>
        <v>0000</v>
      </c>
      <c r="I2751" t="s">
        <v>69</v>
      </c>
      <c r="J2751">
        <v>0</v>
      </c>
      <c r="K2751">
        <v>1</v>
      </c>
      <c r="L2751">
        <v>2</v>
      </c>
      <c r="M2751">
        <v>270</v>
      </c>
      <c r="N2751">
        <v>334</v>
      </c>
      <c r="O2751">
        <v>10</v>
      </c>
      <c r="P2751">
        <v>334</v>
      </c>
      <c r="Q2751">
        <v>36</v>
      </c>
      <c r="R2751">
        <v>72</v>
      </c>
      <c r="S2751">
        <v>2</v>
      </c>
      <c r="T2751">
        <v>4</v>
      </c>
      <c r="U2751">
        <v>16</v>
      </c>
      <c r="V2751">
        <v>16</v>
      </c>
      <c r="W2751">
        <v>5</v>
      </c>
      <c r="X2751">
        <v>135</v>
      </c>
      <c r="Y2751">
        <v>5</v>
      </c>
      <c r="Z2751">
        <v>6</v>
      </c>
      <c r="AA2751">
        <v>5</v>
      </c>
      <c r="AB2751">
        <v>21</v>
      </c>
      <c r="AD2751">
        <v>1</v>
      </c>
      <c r="AE2751">
        <v>0</v>
      </c>
      <c r="AF2751">
        <v>0</v>
      </c>
      <c r="AG2751">
        <v>0</v>
      </c>
      <c r="AI2751">
        <v>1</v>
      </c>
      <c r="AJ2751">
        <v>9</v>
      </c>
      <c r="AK2751">
        <v>334</v>
      </c>
      <c r="AL2751">
        <v>334</v>
      </c>
      <c r="AM2751">
        <v>560</v>
      </c>
      <c r="AN2751">
        <v>44</v>
      </c>
      <c r="AP2751">
        <v>1</v>
      </c>
      <c r="AR2751" t="s">
        <v>2845</v>
      </c>
      <c r="AS2751" s="1">
        <v>44353.978472222225</v>
      </c>
      <c r="AT2751" s="1">
        <v>44353.98541666667</v>
      </c>
      <c r="AU2751" s="1">
        <v>44353.985891203702</v>
      </c>
      <c r="AV2751" t="s">
        <v>71</v>
      </c>
      <c r="AW2751" t="s">
        <v>72</v>
      </c>
      <c r="AX2751" t="s">
        <v>73</v>
      </c>
    </row>
    <row r="2752" spans="1:50" x14ac:dyDescent="0.3">
      <c r="A2752" t="str">
        <f>"201750C0100"</f>
        <v>201750C0100</v>
      </c>
      <c r="B2752" t="str">
        <f>"201750C01002"</f>
        <v>201750C01002</v>
      </c>
      <c r="C2752" t="str">
        <f t="shared" si="128"/>
        <v>20</v>
      </c>
      <c r="D2752" t="s">
        <v>67</v>
      </c>
      <c r="E2752" t="str">
        <f t="shared" si="133"/>
        <v>012</v>
      </c>
      <c r="F2752" t="s">
        <v>2715</v>
      </c>
      <c r="G2752" t="str">
        <f>"1750"</f>
        <v>1750</v>
      </c>
      <c r="H2752" t="str">
        <f>"0001"</f>
        <v>0001</v>
      </c>
      <c r="I2752" t="s">
        <v>75</v>
      </c>
      <c r="J2752">
        <v>0</v>
      </c>
      <c r="K2752">
        <v>1</v>
      </c>
      <c r="L2752">
        <v>2</v>
      </c>
      <c r="M2752">
        <v>258</v>
      </c>
      <c r="N2752">
        <v>346</v>
      </c>
      <c r="O2752">
        <v>12</v>
      </c>
      <c r="P2752">
        <v>346</v>
      </c>
      <c r="Q2752">
        <v>45</v>
      </c>
      <c r="R2752">
        <v>60</v>
      </c>
      <c r="S2752">
        <v>5</v>
      </c>
      <c r="T2752">
        <v>4</v>
      </c>
      <c r="U2752">
        <v>27</v>
      </c>
      <c r="V2752">
        <v>23</v>
      </c>
      <c r="W2752">
        <v>5</v>
      </c>
      <c r="X2752">
        <v>119</v>
      </c>
      <c r="Y2752">
        <v>11</v>
      </c>
      <c r="Z2752">
        <v>7</v>
      </c>
      <c r="AA2752">
        <v>4</v>
      </c>
      <c r="AB2752">
        <v>21</v>
      </c>
      <c r="AD2752">
        <v>2</v>
      </c>
      <c r="AE2752">
        <v>0</v>
      </c>
      <c r="AF2752">
        <v>0</v>
      </c>
      <c r="AG2752">
        <v>0</v>
      </c>
      <c r="AI2752">
        <v>2</v>
      </c>
      <c r="AJ2752">
        <v>11</v>
      </c>
      <c r="AK2752">
        <v>346</v>
      </c>
      <c r="AL2752">
        <v>346</v>
      </c>
      <c r="AM2752">
        <v>560</v>
      </c>
      <c r="AN2752">
        <v>44</v>
      </c>
      <c r="AP2752">
        <v>1</v>
      </c>
      <c r="AR2752" t="s">
        <v>2846</v>
      </c>
      <c r="AS2752" s="1">
        <v>44353.979166666664</v>
      </c>
      <c r="AT2752" s="1">
        <v>44353.987881944442</v>
      </c>
      <c r="AU2752" s="1">
        <v>44353.988726851851</v>
      </c>
      <c r="AV2752" t="s">
        <v>71</v>
      </c>
      <c r="AW2752" t="s">
        <v>72</v>
      </c>
      <c r="AX2752" t="s">
        <v>73</v>
      </c>
    </row>
    <row r="2753" spans="1:50" x14ac:dyDescent="0.3">
      <c r="A2753" t="str">
        <f>"201750S0100"</f>
        <v>201750S0100</v>
      </c>
      <c r="B2753" t="str">
        <f>"201750S01002EMR"</f>
        <v>201750S01002EMR</v>
      </c>
      <c r="C2753" t="str">
        <f t="shared" si="128"/>
        <v>20</v>
      </c>
      <c r="D2753" t="s">
        <v>67</v>
      </c>
      <c r="E2753" t="str">
        <f t="shared" si="133"/>
        <v>012</v>
      </c>
      <c r="F2753" t="s">
        <v>2715</v>
      </c>
      <c r="G2753" t="str">
        <f>"1750"</f>
        <v>1750</v>
      </c>
      <c r="H2753" t="str">
        <f>"0001"</f>
        <v>0001</v>
      </c>
      <c r="I2753" t="s">
        <v>85</v>
      </c>
      <c r="J2753">
        <v>0</v>
      </c>
      <c r="K2753">
        <v>1</v>
      </c>
      <c r="L2753" t="s">
        <v>86</v>
      </c>
      <c r="M2753">
        <v>607</v>
      </c>
      <c r="N2753">
        <v>45</v>
      </c>
      <c r="O2753">
        <v>0</v>
      </c>
      <c r="P2753">
        <v>45</v>
      </c>
      <c r="Q2753">
        <v>1</v>
      </c>
      <c r="R2753">
        <v>8</v>
      </c>
      <c r="S2753">
        <v>1</v>
      </c>
      <c r="T2753">
        <v>4</v>
      </c>
      <c r="U2753">
        <v>6</v>
      </c>
      <c r="V2753">
        <v>2</v>
      </c>
      <c r="W2753">
        <v>0</v>
      </c>
      <c r="X2753">
        <v>16</v>
      </c>
      <c r="Y2753">
        <v>1</v>
      </c>
      <c r="Z2753">
        <v>0</v>
      </c>
      <c r="AA2753">
        <v>0</v>
      </c>
      <c r="AB2753">
        <v>3</v>
      </c>
      <c r="AD2753">
        <v>1</v>
      </c>
      <c r="AE2753">
        <v>0</v>
      </c>
      <c r="AF2753">
        <v>0</v>
      </c>
      <c r="AG2753">
        <v>0</v>
      </c>
      <c r="AI2753">
        <v>0</v>
      </c>
      <c r="AJ2753">
        <v>2</v>
      </c>
      <c r="AK2753">
        <v>45</v>
      </c>
      <c r="AL2753">
        <v>45</v>
      </c>
      <c r="AM2753">
        <v>0</v>
      </c>
      <c r="AN2753">
        <v>44</v>
      </c>
      <c r="AP2753">
        <v>1</v>
      </c>
      <c r="AR2753" t="s">
        <v>2847</v>
      </c>
      <c r="AS2753" s="1">
        <v>44353.982638888891</v>
      </c>
      <c r="AT2753" s="1">
        <v>44354.319872685184</v>
      </c>
      <c r="AU2753" s="1">
        <v>44354.320347222223</v>
      </c>
      <c r="AV2753" t="s">
        <v>71</v>
      </c>
      <c r="AW2753" t="s">
        <v>72</v>
      </c>
      <c r="AX2753" t="s">
        <v>73</v>
      </c>
    </row>
    <row r="2754" spans="1:50" x14ac:dyDescent="0.3">
      <c r="A2754" t="str">
        <f>"201751B0000"</f>
        <v>201751B0000</v>
      </c>
      <c r="B2754" t="str">
        <f>"201751B00002"</f>
        <v>201751B00002</v>
      </c>
      <c r="C2754" t="str">
        <f t="shared" si="128"/>
        <v>20</v>
      </c>
      <c r="D2754" t="s">
        <v>67</v>
      </c>
      <c r="E2754" t="str">
        <f t="shared" si="133"/>
        <v>012</v>
      </c>
      <c r="F2754" t="s">
        <v>2715</v>
      </c>
      <c r="G2754" t="str">
        <f>"1751"</f>
        <v>1751</v>
      </c>
      <c r="H2754" t="str">
        <f>"0000"</f>
        <v>0000</v>
      </c>
      <c r="I2754" t="s">
        <v>69</v>
      </c>
      <c r="J2754">
        <v>0</v>
      </c>
      <c r="K2754">
        <v>1</v>
      </c>
      <c r="L2754">
        <v>2</v>
      </c>
      <c r="M2754">
        <v>299</v>
      </c>
      <c r="N2754">
        <v>415</v>
      </c>
      <c r="O2754">
        <v>6</v>
      </c>
      <c r="P2754">
        <v>416</v>
      </c>
      <c r="Q2754">
        <v>41</v>
      </c>
      <c r="R2754">
        <v>83</v>
      </c>
      <c r="S2754">
        <v>0</v>
      </c>
      <c r="T2754">
        <v>3</v>
      </c>
      <c r="U2754">
        <v>41</v>
      </c>
      <c r="V2754">
        <v>64</v>
      </c>
      <c r="W2754">
        <v>25</v>
      </c>
      <c r="X2754">
        <v>110</v>
      </c>
      <c r="Y2754">
        <v>9</v>
      </c>
      <c r="Z2754">
        <v>5</v>
      </c>
      <c r="AA2754">
        <v>2</v>
      </c>
      <c r="AB2754">
        <v>16</v>
      </c>
      <c r="AD2754">
        <v>3</v>
      </c>
      <c r="AE2754">
        <v>0</v>
      </c>
      <c r="AF2754">
        <v>1</v>
      </c>
      <c r="AG2754">
        <v>0</v>
      </c>
      <c r="AI2754">
        <v>0</v>
      </c>
      <c r="AJ2754">
        <v>13</v>
      </c>
      <c r="AK2754">
        <v>416</v>
      </c>
      <c r="AL2754">
        <v>416</v>
      </c>
      <c r="AM2754">
        <v>671</v>
      </c>
      <c r="AN2754">
        <v>44</v>
      </c>
      <c r="AP2754">
        <v>1</v>
      </c>
      <c r="AR2754" t="s">
        <v>2848</v>
      </c>
      <c r="AS2754" s="1">
        <v>44354.025254629632</v>
      </c>
      <c r="AT2754" s="1">
        <v>44354.031678240739</v>
      </c>
      <c r="AU2754" s="1">
        <v>44354.032071759262</v>
      </c>
      <c r="AV2754" t="s">
        <v>269</v>
      </c>
      <c r="AW2754" t="s">
        <v>270</v>
      </c>
      <c r="AX2754" t="s">
        <v>73</v>
      </c>
    </row>
    <row r="2755" spans="1:50" x14ac:dyDescent="0.3">
      <c r="A2755" t="str">
        <f>"201751C0100"</f>
        <v>201751C0100</v>
      </c>
      <c r="B2755" t="str">
        <f>"201751C01002"</f>
        <v>201751C01002</v>
      </c>
      <c r="C2755" t="str">
        <f t="shared" si="128"/>
        <v>20</v>
      </c>
      <c r="D2755" t="s">
        <v>67</v>
      </c>
      <c r="E2755" t="str">
        <f t="shared" si="133"/>
        <v>012</v>
      </c>
      <c r="F2755" t="s">
        <v>2715</v>
      </c>
      <c r="G2755" t="str">
        <f>"1751"</f>
        <v>1751</v>
      </c>
      <c r="H2755" t="str">
        <f>"0001"</f>
        <v>0001</v>
      </c>
      <c r="I2755" t="s">
        <v>75</v>
      </c>
      <c r="J2755">
        <v>0</v>
      </c>
      <c r="K2755">
        <v>1</v>
      </c>
      <c r="L2755">
        <v>2</v>
      </c>
      <c r="M2755">
        <v>308</v>
      </c>
      <c r="N2755">
        <v>406</v>
      </c>
      <c r="O2755">
        <v>7</v>
      </c>
      <c r="P2755">
        <v>406</v>
      </c>
      <c r="Q2755">
        <v>31</v>
      </c>
      <c r="R2755">
        <v>50</v>
      </c>
      <c r="S2755">
        <v>2</v>
      </c>
      <c r="T2755">
        <v>7</v>
      </c>
      <c r="U2755">
        <v>40</v>
      </c>
      <c r="V2755">
        <v>83</v>
      </c>
      <c r="W2755">
        <v>12</v>
      </c>
      <c r="X2755">
        <v>139</v>
      </c>
      <c r="Y2755">
        <v>7</v>
      </c>
      <c r="Z2755">
        <v>11</v>
      </c>
      <c r="AA2755">
        <v>1</v>
      </c>
      <c r="AB2755">
        <v>10</v>
      </c>
      <c r="AD2755">
        <v>0</v>
      </c>
      <c r="AE2755">
        <v>2</v>
      </c>
      <c r="AF2755">
        <v>0</v>
      </c>
      <c r="AG2755">
        <v>0</v>
      </c>
      <c r="AI2755">
        <v>0</v>
      </c>
      <c r="AJ2755">
        <v>11</v>
      </c>
      <c r="AK2755">
        <v>406</v>
      </c>
      <c r="AL2755">
        <v>406</v>
      </c>
      <c r="AM2755">
        <v>670</v>
      </c>
      <c r="AN2755">
        <v>44</v>
      </c>
      <c r="AP2755">
        <v>1</v>
      </c>
      <c r="AR2755" t="s">
        <v>2849</v>
      </c>
      <c r="AS2755" s="1">
        <v>44353.99523148148</v>
      </c>
      <c r="AT2755" s="1">
        <v>44354</v>
      </c>
      <c r="AU2755" s="1">
        <v>44354.000891203701</v>
      </c>
      <c r="AV2755" t="s">
        <v>269</v>
      </c>
      <c r="AW2755" t="s">
        <v>270</v>
      </c>
      <c r="AX2755" t="s">
        <v>73</v>
      </c>
    </row>
    <row r="2756" spans="1:50" x14ac:dyDescent="0.3">
      <c r="A2756" t="str">
        <f>"201751C0200"</f>
        <v>201751C0200</v>
      </c>
      <c r="B2756" t="str">
        <f>"201751C02002"</f>
        <v>201751C02002</v>
      </c>
      <c r="C2756" t="str">
        <f t="shared" si="128"/>
        <v>20</v>
      </c>
      <c r="D2756" t="s">
        <v>67</v>
      </c>
      <c r="E2756" t="str">
        <f t="shared" si="133"/>
        <v>012</v>
      </c>
      <c r="F2756" t="s">
        <v>2715</v>
      </c>
      <c r="G2756" t="str">
        <f>"1751"</f>
        <v>1751</v>
      </c>
      <c r="H2756" t="str">
        <f>"0002"</f>
        <v>0002</v>
      </c>
      <c r="I2756" t="s">
        <v>75</v>
      </c>
      <c r="J2756">
        <v>0</v>
      </c>
      <c r="K2756">
        <v>1</v>
      </c>
      <c r="L2756">
        <v>2</v>
      </c>
      <c r="M2756">
        <v>318</v>
      </c>
      <c r="N2756">
        <v>396</v>
      </c>
      <c r="O2756">
        <v>12</v>
      </c>
      <c r="P2756">
        <v>396</v>
      </c>
      <c r="Q2756">
        <v>26</v>
      </c>
      <c r="R2756">
        <v>70</v>
      </c>
      <c r="S2756">
        <v>4</v>
      </c>
      <c r="T2756">
        <v>3</v>
      </c>
      <c r="U2756">
        <v>33</v>
      </c>
      <c r="V2756">
        <v>64</v>
      </c>
      <c r="W2756">
        <v>16</v>
      </c>
      <c r="X2756">
        <v>123</v>
      </c>
      <c r="Y2756">
        <v>8</v>
      </c>
      <c r="Z2756">
        <v>8</v>
      </c>
      <c r="AA2756">
        <v>4</v>
      </c>
      <c r="AB2756">
        <v>20</v>
      </c>
      <c r="AD2756">
        <v>3</v>
      </c>
      <c r="AE2756">
        <v>0</v>
      </c>
      <c r="AF2756">
        <v>0</v>
      </c>
      <c r="AG2756">
        <v>0</v>
      </c>
      <c r="AI2756">
        <v>0</v>
      </c>
      <c r="AJ2756">
        <v>14</v>
      </c>
      <c r="AK2756">
        <v>396</v>
      </c>
      <c r="AL2756">
        <v>396</v>
      </c>
      <c r="AM2756">
        <v>670</v>
      </c>
      <c r="AN2756">
        <v>44</v>
      </c>
      <c r="AP2756">
        <v>1</v>
      </c>
      <c r="AR2756" t="s">
        <v>2850</v>
      </c>
      <c r="AS2756" s="1">
        <v>44353.968946759262</v>
      </c>
      <c r="AT2756" s="1">
        <v>44353.971192129633</v>
      </c>
      <c r="AU2756" s="1">
        <v>44353.971747685187</v>
      </c>
      <c r="AV2756" t="s">
        <v>269</v>
      </c>
      <c r="AW2756" t="s">
        <v>270</v>
      </c>
      <c r="AX2756" t="s">
        <v>73</v>
      </c>
    </row>
    <row r="2757" spans="1:50" x14ac:dyDescent="0.3">
      <c r="A2757" t="str">
        <f>"201751E0100"</f>
        <v>201751E0100</v>
      </c>
      <c r="B2757" t="str">
        <f>"201751E01002"</f>
        <v>201751E01002</v>
      </c>
      <c r="C2757" t="str">
        <f t="shared" si="128"/>
        <v>20</v>
      </c>
      <c r="D2757" t="s">
        <v>67</v>
      </c>
      <c r="E2757" t="str">
        <f t="shared" si="133"/>
        <v>012</v>
      </c>
      <c r="F2757" t="s">
        <v>2715</v>
      </c>
      <c r="G2757" t="str">
        <f>"1751"</f>
        <v>1751</v>
      </c>
      <c r="H2757" t="str">
        <f>"0001"</f>
        <v>0001</v>
      </c>
      <c r="I2757" t="s">
        <v>109</v>
      </c>
      <c r="J2757">
        <v>0</v>
      </c>
      <c r="K2757">
        <v>1</v>
      </c>
      <c r="L2757">
        <v>2</v>
      </c>
      <c r="M2757">
        <v>335</v>
      </c>
      <c r="N2757">
        <v>286</v>
      </c>
      <c r="O2757">
        <v>14</v>
      </c>
      <c r="P2757" t="s">
        <v>80</v>
      </c>
      <c r="Q2757">
        <v>13</v>
      </c>
      <c r="R2757">
        <v>26</v>
      </c>
      <c r="S2757">
        <v>6</v>
      </c>
      <c r="T2757">
        <v>3</v>
      </c>
      <c r="U2757">
        <v>37</v>
      </c>
      <c r="V2757">
        <v>35</v>
      </c>
      <c r="W2757">
        <v>12</v>
      </c>
      <c r="X2757">
        <v>112</v>
      </c>
      <c r="Y2757">
        <v>6</v>
      </c>
      <c r="Z2757">
        <v>12</v>
      </c>
      <c r="AA2757">
        <v>2</v>
      </c>
      <c r="AB2757">
        <v>15</v>
      </c>
      <c r="AD2757">
        <v>0</v>
      </c>
      <c r="AE2757">
        <v>0</v>
      </c>
      <c r="AF2757">
        <v>0</v>
      </c>
      <c r="AG2757">
        <v>0</v>
      </c>
      <c r="AI2757" t="s">
        <v>77</v>
      </c>
      <c r="AJ2757">
        <v>7</v>
      </c>
      <c r="AK2757">
        <v>286</v>
      </c>
      <c r="AL2757">
        <v>286</v>
      </c>
      <c r="AM2757">
        <v>577</v>
      </c>
      <c r="AN2757">
        <v>44</v>
      </c>
      <c r="AO2757" t="s">
        <v>78</v>
      </c>
      <c r="AP2757">
        <v>1</v>
      </c>
      <c r="AR2757" t="s">
        <v>2851</v>
      </c>
      <c r="AS2757" s="1">
        <v>44353.90121527778</v>
      </c>
      <c r="AT2757" s="1">
        <v>44353.903182870374</v>
      </c>
      <c r="AU2757" s="1">
        <v>44353.90388888889</v>
      </c>
      <c r="AV2757" t="s">
        <v>269</v>
      </c>
      <c r="AW2757" t="s">
        <v>270</v>
      </c>
      <c r="AX2757" t="s">
        <v>73</v>
      </c>
    </row>
    <row r="2758" spans="1:50" x14ac:dyDescent="0.3">
      <c r="A2758" t="str">
        <f>"201751E0101"</f>
        <v>201751E0101</v>
      </c>
      <c r="B2758" t="str">
        <f>"201751E01012"</f>
        <v>201751E01012</v>
      </c>
      <c r="C2758" t="str">
        <f t="shared" si="128"/>
        <v>20</v>
      </c>
      <c r="D2758" t="s">
        <v>67</v>
      </c>
      <c r="E2758" t="str">
        <f t="shared" si="133"/>
        <v>012</v>
      </c>
      <c r="F2758" t="s">
        <v>2715</v>
      </c>
      <c r="G2758" t="str">
        <f>"1751"</f>
        <v>1751</v>
      </c>
      <c r="H2758" t="str">
        <f>"0001"</f>
        <v>0001</v>
      </c>
      <c r="I2758" t="s">
        <v>109</v>
      </c>
      <c r="J2758">
        <v>1</v>
      </c>
      <c r="K2758">
        <v>1</v>
      </c>
      <c r="L2758">
        <v>2</v>
      </c>
      <c r="M2758">
        <v>303</v>
      </c>
      <c r="N2758">
        <v>317</v>
      </c>
      <c r="O2758">
        <v>8</v>
      </c>
      <c r="P2758">
        <v>317</v>
      </c>
      <c r="Q2758">
        <v>21</v>
      </c>
      <c r="R2758">
        <v>37</v>
      </c>
      <c r="S2758">
        <v>3</v>
      </c>
      <c r="T2758">
        <v>2</v>
      </c>
      <c r="U2758">
        <v>44</v>
      </c>
      <c r="V2758">
        <v>39</v>
      </c>
      <c r="W2758">
        <v>9</v>
      </c>
      <c r="X2758">
        <v>126</v>
      </c>
      <c r="Y2758">
        <v>8</v>
      </c>
      <c r="Z2758">
        <v>9</v>
      </c>
      <c r="AA2758">
        <v>3</v>
      </c>
      <c r="AB2758">
        <v>10</v>
      </c>
      <c r="AD2758">
        <v>0</v>
      </c>
      <c r="AE2758">
        <v>0</v>
      </c>
      <c r="AF2758">
        <v>0</v>
      </c>
      <c r="AG2758">
        <v>0</v>
      </c>
      <c r="AI2758">
        <v>0</v>
      </c>
      <c r="AJ2758">
        <v>6</v>
      </c>
      <c r="AK2758">
        <v>317</v>
      </c>
      <c r="AL2758">
        <v>317</v>
      </c>
      <c r="AM2758">
        <v>576</v>
      </c>
      <c r="AN2758">
        <v>44</v>
      </c>
      <c r="AP2758">
        <v>1</v>
      </c>
      <c r="AR2758" t="s">
        <v>2852</v>
      </c>
      <c r="AS2758" s="1">
        <v>44353.888055555559</v>
      </c>
      <c r="AT2758" s="1">
        <v>44353.890879629631</v>
      </c>
      <c r="AU2758" s="1">
        <v>44353.891539351855</v>
      </c>
      <c r="AV2758" t="s">
        <v>269</v>
      </c>
      <c r="AW2758" t="s">
        <v>270</v>
      </c>
      <c r="AX2758" t="s">
        <v>73</v>
      </c>
    </row>
    <row r="2759" spans="1:50" x14ac:dyDescent="0.3">
      <c r="A2759" t="str">
        <f>"201752B0000"</f>
        <v>201752B0000</v>
      </c>
      <c r="B2759" t="str">
        <f>"201752B00002"</f>
        <v>201752B00002</v>
      </c>
      <c r="C2759" t="str">
        <f t="shared" ref="C2759:C2822" si="134">"20"</f>
        <v>20</v>
      </c>
      <c r="D2759" t="s">
        <v>67</v>
      </c>
      <c r="E2759" t="str">
        <f t="shared" si="133"/>
        <v>012</v>
      </c>
      <c r="F2759" t="s">
        <v>2715</v>
      </c>
      <c r="G2759" t="str">
        <f>"1752"</f>
        <v>1752</v>
      </c>
      <c r="H2759" t="str">
        <f>"0000"</f>
        <v>0000</v>
      </c>
      <c r="I2759" t="s">
        <v>69</v>
      </c>
      <c r="J2759">
        <v>0</v>
      </c>
      <c r="K2759">
        <v>1</v>
      </c>
      <c r="L2759">
        <v>2</v>
      </c>
      <c r="M2759">
        <v>304</v>
      </c>
      <c r="N2759">
        <v>458</v>
      </c>
      <c r="O2759">
        <v>11</v>
      </c>
      <c r="P2759">
        <v>458</v>
      </c>
      <c r="Q2759">
        <v>27</v>
      </c>
      <c r="R2759">
        <v>65</v>
      </c>
      <c r="S2759">
        <v>3</v>
      </c>
      <c r="T2759">
        <v>13</v>
      </c>
      <c r="U2759">
        <v>45</v>
      </c>
      <c r="V2759">
        <v>75</v>
      </c>
      <c r="W2759">
        <v>18</v>
      </c>
      <c r="X2759">
        <v>171</v>
      </c>
      <c r="Y2759">
        <v>8</v>
      </c>
      <c r="Z2759">
        <v>7</v>
      </c>
      <c r="AA2759">
        <v>6</v>
      </c>
      <c r="AB2759">
        <v>10</v>
      </c>
      <c r="AD2759">
        <v>1</v>
      </c>
      <c r="AE2759">
        <v>0</v>
      </c>
      <c r="AF2759">
        <v>0</v>
      </c>
      <c r="AG2759">
        <v>0</v>
      </c>
      <c r="AI2759">
        <v>0</v>
      </c>
      <c r="AJ2759">
        <v>9</v>
      </c>
      <c r="AK2759">
        <v>458</v>
      </c>
      <c r="AL2759">
        <v>458</v>
      </c>
      <c r="AM2759">
        <v>718</v>
      </c>
      <c r="AN2759">
        <v>44</v>
      </c>
      <c r="AP2759">
        <v>1</v>
      </c>
      <c r="AR2759" t="s">
        <v>2853</v>
      </c>
      <c r="AS2759" s="1">
        <v>44353.936597222222</v>
      </c>
      <c r="AT2759" s="1">
        <v>44353.938587962963</v>
      </c>
      <c r="AU2759" s="1">
        <v>44353.939965277779</v>
      </c>
      <c r="AV2759" t="s">
        <v>269</v>
      </c>
      <c r="AW2759" t="s">
        <v>270</v>
      </c>
      <c r="AX2759" t="s">
        <v>73</v>
      </c>
    </row>
    <row r="2760" spans="1:50" x14ac:dyDescent="0.3">
      <c r="A2760" t="str">
        <f>"201752C0100"</f>
        <v>201752C0100</v>
      </c>
      <c r="B2760" t="str">
        <f>"201752C01002"</f>
        <v>201752C01002</v>
      </c>
      <c r="C2760" t="str">
        <f t="shared" si="134"/>
        <v>20</v>
      </c>
      <c r="D2760" t="s">
        <v>67</v>
      </c>
      <c r="E2760" t="str">
        <f t="shared" si="133"/>
        <v>012</v>
      </c>
      <c r="F2760" t="s">
        <v>2715</v>
      </c>
      <c r="G2760" t="str">
        <f>"1752"</f>
        <v>1752</v>
      </c>
      <c r="H2760" t="str">
        <f>"0001"</f>
        <v>0001</v>
      </c>
      <c r="I2760" t="s">
        <v>75</v>
      </c>
      <c r="J2760">
        <v>0</v>
      </c>
      <c r="K2760">
        <v>1</v>
      </c>
      <c r="L2760">
        <v>2</v>
      </c>
      <c r="M2760">
        <v>317</v>
      </c>
      <c r="N2760">
        <v>444</v>
      </c>
      <c r="O2760">
        <v>11</v>
      </c>
      <c r="P2760">
        <v>444</v>
      </c>
      <c r="Q2760">
        <v>19</v>
      </c>
      <c r="R2760">
        <v>86</v>
      </c>
      <c r="S2760">
        <v>7</v>
      </c>
      <c r="T2760">
        <v>8</v>
      </c>
      <c r="U2760">
        <v>40</v>
      </c>
      <c r="V2760">
        <v>74</v>
      </c>
      <c r="W2760">
        <v>9</v>
      </c>
      <c r="X2760">
        <v>145</v>
      </c>
      <c r="Y2760">
        <v>15</v>
      </c>
      <c r="Z2760">
        <v>13</v>
      </c>
      <c r="AA2760">
        <v>3</v>
      </c>
      <c r="AB2760">
        <v>6</v>
      </c>
      <c r="AD2760">
        <v>0</v>
      </c>
      <c r="AE2760">
        <v>0</v>
      </c>
      <c r="AF2760">
        <v>0</v>
      </c>
      <c r="AG2760">
        <v>0</v>
      </c>
      <c r="AI2760">
        <v>0</v>
      </c>
      <c r="AJ2760">
        <v>19</v>
      </c>
      <c r="AK2760">
        <v>444</v>
      </c>
      <c r="AL2760">
        <v>444</v>
      </c>
      <c r="AM2760">
        <v>717</v>
      </c>
      <c r="AN2760">
        <v>44</v>
      </c>
      <c r="AP2760">
        <v>1</v>
      </c>
      <c r="AR2760" t="s">
        <v>2854</v>
      </c>
      <c r="AS2760" s="1">
        <v>44353.927893518521</v>
      </c>
      <c r="AT2760" s="1">
        <v>44353.930196759262</v>
      </c>
      <c r="AU2760" s="1">
        <v>44353.930891203701</v>
      </c>
      <c r="AV2760" t="s">
        <v>269</v>
      </c>
      <c r="AW2760" t="s">
        <v>270</v>
      </c>
      <c r="AX2760" t="s">
        <v>73</v>
      </c>
    </row>
    <row r="2761" spans="1:50" x14ac:dyDescent="0.3">
      <c r="A2761" t="str">
        <f>"201753B0000"</f>
        <v>201753B0000</v>
      </c>
      <c r="B2761" t="str">
        <f>"201753B00002"</f>
        <v>201753B00002</v>
      </c>
      <c r="C2761" t="str">
        <f t="shared" si="134"/>
        <v>20</v>
      </c>
      <c r="D2761" t="s">
        <v>67</v>
      </c>
      <c r="E2761" t="str">
        <f t="shared" si="133"/>
        <v>012</v>
      </c>
      <c r="F2761" t="s">
        <v>2715</v>
      </c>
      <c r="G2761" t="str">
        <f>"1753"</f>
        <v>1753</v>
      </c>
      <c r="H2761" t="str">
        <f>"0000"</f>
        <v>0000</v>
      </c>
      <c r="I2761" t="s">
        <v>69</v>
      </c>
      <c r="J2761">
        <v>0</v>
      </c>
      <c r="K2761">
        <v>1</v>
      </c>
      <c r="L2761">
        <v>2</v>
      </c>
      <c r="M2761">
        <v>291</v>
      </c>
      <c r="N2761">
        <v>404</v>
      </c>
      <c r="O2761">
        <v>0</v>
      </c>
      <c r="P2761">
        <v>404</v>
      </c>
      <c r="Q2761">
        <v>19</v>
      </c>
      <c r="R2761">
        <v>57</v>
      </c>
      <c r="S2761">
        <v>4</v>
      </c>
      <c r="T2761">
        <v>6</v>
      </c>
      <c r="U2761">
        <v>61</v>
      </c>
      <c r="V2761">
        <v>68</v>
      </c>
      <c r="W2761">
        <v>6</v>
      </c>
      <c r="X2761">
        <v>142</v>
      </c>
      <c r="Y2761">
        <v>3</v>
      </c>
      <c r="Z2761">
        <v>11</v>
      </c>
      <c r="AA2761">
        <v>6</v>
      </c>
      <c r="AB2761">
        <v>12</v>
      </c>
      <c r="AD2761">
        <v>0</v>
      </c>
      <c r="AE2761">
        <v>0</v>
      </c>
      <c r="AF2761">
        <v>0</v>
      </c>
      <c r="AG2761">
        <v>0</v>
      </c>
      <c r="AI2761">
        <v>0</v>
      </c>
      <c r="AJ2761">
        <v>9</v>
      </c>
      <c r="AK2761">
        <v>404</v>
      </c>
      <c r="AL2761">
        <v>404</v>
      </c>
      <c r="AM2761">
        <v>651</v>
      </c>
      <c r="AN2761">
        <v>44</v>
      </c>
      <c r="AP2761">
        <v>1</v>
      </c>
      <c r="AR2761" t="s">
        <v>2855</v>
      </c>
      <c r="AS2761" s="1">
        <v>44354.032604166663</v>
      </c>
      <c r="AT2761" s="1">
        <v>44354.040775462963</v>
      </c>
      <c r="AU2761" s="1">
        <v>44354.041747685187</v>
      </c>
      <c r="AV2761" t="s">
        <v>269</v>
      </c>
      <c r="AW2761" t="s">
        <v>270</v>
      </c>
      <c r="AX2761" t="s">
        <v>73</v>
      </c>
    </row>
    <row r="2762" spans="1:50" x14ac:dyDescent="0.3">
      <c r="A2762" t="str">
        <f>"201753C0100"</f>
        <v>201753C0100</v>
      </c>
      <c r="B2762" t="str">
        <f>"201753C01002"</f>
        <v>201753C01002</v>
      </c>
      <c r="C2762" t="str">
        <f t="shared" si="134"/>
        <v>20</v>
      </c>
      <c r="D2762" t="s">
        <v>67</v>
      </c>
      <c r="E2762" t="str">
        <f t="shared" si="133"/>
        <v>012</v>
      </c>
      <c r="F2762" t="s">
        <v>2715</v>
      </c>
      <c r="G2762" t="str">
        <f>"1753"</f>
        <v>1753</v>
      </c>
      <c r="H2762" t="str">
        <f>"0001"</f>
        <v>0001</v>
      </c>
      <c r="I2762" t="s">
        <v>75</v>
      </c>
      <c r="J2762">
        <v>0</v>
      </c>
      <c r="K2762">
        <v>1</v>
      </c>
      <c r="L2762">
        <v>2</v>
      </c>
      <c r="M2762">
        <v>313</v>
      </c>
      <c r="N2762">
        <v>382</v>
      </c>
      <c r="O2762">
        <v>9</v>
      </c>
      <c r="P2762" t="s">
        <v>80</v>
      </c>
      <c r="Q2762">
        <v>29</v>
      </c>
      <c r="R2762">
        <v>46</v>
      </c>
      <c r="S2762">
        <v>1</v>
      </c>
      <c r="T2762">
        <v>3</v>
      </c>
      <c r="U2762">
        <v>67</v>
      </c>
      <c r="V2762">
        <v>59</v>
      </c>
      <c r="W2762">
        <v>3</v>
      </c>
      <c r="X2762">
        <v>136</v>
      </c>
      <c r="Y2762">
        <v>3</v>
      </c>
      <c r="Z2762">
        <v>6</v>
      </c>
      <c r="AA2762">
        <v>2</v>
      </c>
      <c r="AB2762">
        <v>20</v>
      </c>
      <c r="AD2762">
        <v>1</v>
      </c>
      <c r="AE2762">
        <v>0</v>
      </c>
      <c r="AF2762">
        <v>0</v>
      </c>
      <c r="AG2762">
        <v>0</v>
      </c>
      <c r="AI2762">
        <v>0</v>
      </c>
      <c r="AJ2762">
        <v>6</v>
      </c>
      <c r="AK2762">
        <v>382</v>
      </c>
      <c r="AL2762">
        <v>382</v>
      </c>
      <c r="AM2762">
        <v>651</v>
      </c>
      <c r="AN2762">
        <v>44</v>
      </c>
      <c r="AP2762">
        <v>1</v>
      </c>
      <c r="AR2762" t="s">
        <v>2856</v>
      </c>
      <c r="AS2762" s="1">
        <v>44353.980474537035</v>
      </c>
      <c r="AT2762" s="1">
        <v>44353.984085648146</v>
      </c>
      <c r="AU2762" s="1">
        <v>44353.984756944446</v>
      </c>
      <c r="AV2762" t="s">
        <v>269</v>
      </c>
      <c r="AW2762" t="s">
        <v>270</v>
      </c>
      <c r="AX2762" t="s">
        <v>73</v>
      </c>
    </row>
    <row r="2763" spans="1:50" x14ac:dyDescent="0.3">
      <c r="A2763" t="str">
        <f>"201754B0000"</f>
        <v>201754B0000</v>
      </c>
      <c r="B2763" t="str">
        <f>"201754B00002"</f>
        <v>201754B00002</v>
      </c>
      <c r="C2763" t="str">
        <f t="shared" si="134"/>
        <v>20</v>
      </c>
      <c r="D2763" t="s">
        <v>67</v>
      </c>
      <c r="E2763" t="str">
        <f t="shared" si="133"/>
        <v>012</v>
      </c>
      <c r="F2763" t="s">
        <v>2715</v>
      </c>
      <c r="G2763" t="str">
        <f>"1754"</f>
        <v>1754</v>
      </c>
      <c r="H2763" t="str">
        <f>"0000"</f>
        <v>0000</v>
      </c>
      <c r="I2763" t="s">
        <v>69</v>
      </c>
      <c r="J2763">
        <v>0</v>
      </c>
      <c r="K2763">
        <v>1</v>
      </c>
      <c r="L2763">
        <v>2</v>
      </c>
      <c r="M2763">
        <v>340</v>
      </c>
      <c r="N2763">
        <v>416</v>
      </c>
      <c r="O2763">
        <v>4</v>
      </c>
      <c r="P2763">
        <v>416</v>
      </c>
      <c r="Q2763">
        <v>28</v>
      </c>
      <c r="R2763">
        <v>55</v>
      </c>
      <c r="S2763">
        <v>3</v>
      </c>
      <c r="T2763">
        <v>4</v>
      </c>
      <c r="U2763">
        <v>63</v>
      </c>
      <c r="V2763">
        <v>60</v>
      </c>
      <c r="W2763">
        <v>4</v>
      </c>
      <c r="X2763">
        <v>142</v>
      </c>
      <c r="Y2763">
        <v>8</v>
      </c>
      <c r="Z2763">
        <v>10</v>
      </c>
      <c r="AA2763">
        <v>3</v>
      </c>
      <c r="AB2763">
        <v>18</v>
      </c>
      <c r="AD2763">
        <v>2</v>
      </c>
      <c r="AE2763">
        <v>2</v>
      </c>
      <c r="AF2763">
        <v>0</v>
      </c>
      <c r="AG2763">
        <v>0</v>
      </c>
      <c r="AI2763">
        <v>0</v>
      </c>
      <c r="AJ2763">
        <v>14</v>
      </c>
      <c r="AK2763">
        <v>416</v>
      </c>
      <c r="AL2763">
        <v>416</v>
      </c>
      <c r="AM2763">
        <v>712</v>
      </c>
      <c r="AN2763">
        <v>44</v>
      </c>
      <c r="AP2763">
        <v>1</v>
      </c>
      <c r="AR2763" t="s">
        <v>2857</v>
      </c>
      <c r="AS2763" s="1">
        <v>44353.973796296297</v>
      </c>
      <c r="AT2763" s="1">
        <v>44353.976423611108</v>
      </c>
      <c r="AU2763" s="1">
        <v>44353.977071759262</v>
      </c>
      <c r="AV2763" t="s">
        <v>269</v>
      </c>
      <c r="AW2763" t="s">
        <v>270</v>
      </c>
      <c r="AX2763" t="s">
        <v>73</v>
      </c>
    </row>
    <row r="2764" spans="1:50" x14ac:dyDescent="0.3">
      <c r="A2764" t="str">
        <f>"201754C0100"</f>
        <v>201754C0100</v>
      </c>
      <c r="B2764" t="str">
        <f>"201754C01002"</f>
        <v>201754C01002</v>
      </c>
      <c r="C2764" t="str">
        <f t="shared" si="134"/>
        <v>20</v>
      </c>
      <c r="D2764" t="s">
        <v>67</v>
      </c>
      <c r="E2764" t="str">
        <f t="shared" si="133"/>
        <v>012</v>
      </c>
      <c r="F2764" t="s">
        <v>2715</v>
      </c>
      <c r="G2764" t="str">
        <f>"1754"</f>
        <v>1754</v>
      </c>
      <c r="H2764" t="str">
        <f>"0001"</f>
        <v>0001</v>
      </c>
      <c r="I2764" t="s">
        <v>75</v>
      </c>
      <c r="J2764">
        <v>0</v>
      </c>
      <c r="K2764">
        <v>1</v>
      </c>
      <c r="L2764">
        <v>2</v>
      </c>
      <c r="M2764">
        <v>322</v>
      </c>
      <c r="N2764">
        <v>433</v>
      </c>
      <c r="O2764">
        <v>10</v>
      </c>
      <c r="P2764">
        <v>433</v>
      </c>
      <c r="Q2764">
        <v>29</v>
      </c>
      <c r="R2764">
        <v>65</v>
      </c>
      <c r="S2764">
        <v>4</v>
      </c>
      <c r="T2764">
        <v>2</v>
      </c>
      <c r="U2764">
        <v>96</v>
      </c>
      <c r="V2764">
        <v>46</v>
      </c>
      <c r="W2764">
        <v>5</v>
      </c>
      <c r="X2764">
        <v>133</v>
      </c>
      <c r="Y2764">
        <v>13</v>
      </c>
      <c r="Z2764">
        <v>11</v>
      </c>
      <c r="AA2764">
        <v>3</v>
      </c>
      <c r="AB2764">
        <v>13</v>
      </c>
      <c r="AD2764">
        <v>1</v>
      </c>
      <c r="AE2764">
        <v>0</v>
      </c>
      <c r="AF2764">
        <v>0</v>
      </c>
      <c r="AG2764">
        <v>0</v>
      </c>
      <c r="AI2764">
        <v>1</v>
      </c>
      <c r="AJ2764">
        <v>11</v>
      </c>
      <c r="AK2764">
        <v>433</v>
      </c>
      <c r="AL2764">
        <v>433</v>
      </c>
      <c r="AM2764">
        <v>711</v>
      </c>
      <c r="AN2764">
        <v>44</v>
      </c>
      <c r="AP2764">
        <v>1</v>
      </c>
      <c r="AR2764" t="s">
        <v>2858</v>
      </c>
      <c r="AS2764" s="1">
        <v>44353.969768518517</v>
      </c>
      <c r="AT2764" s="1">
        <v>44353.971250000002</v>
      </c>
      <c r="AU2764" s="1">
        <v>44353.971782407411</v>
      </c>
      <c r="AV2764" t="s">
        <v>269</v>
      </c>
      <c r="AW2764" t="s">
        <v>270</v>
      </c>
      <c r="AX2764" t="s">
        <v>73</v>
      </c>
    </row>
    <row r="2765" spans="1:50" x14ac:dyDescent="0.3">
      <c r="A2765" t="str">
        <f>"201755B0000"</f>
        <v>201755B0000</v>
      </c>
      <c r="B2765" t="str">
        <f>"201755B00002"</f>
        <v>201755B00002</v>
      </c>
      <c r="C2765" t="str">
        <f t="shared" si="134"/>
        <v>20</v>
      </c>
      <c r="D2765" t="s">
        <v>67</v>
      </c>
      <c r="E2765" t="str">
        <f t="shared" si="133"/>
        <v>012</v>
      </c>
      <c r="F2765" t="s">
        <v>2715</v>
      </c>
      <c r="G2765" t="str">
        <f>"1755"</f>
        <v>1755</v>
      </c>
      <c r="H2765" t="str">
        <f>"0000"</f>
        <v>0000</v>
      </c>
      <c r="I2765" t="s">
        <v>69</v>
      </c>
      <c r="J2765">
        <v>0</v>
      </c>
      <c r="K2765">
        <v>1</v>
      </c>
      <c r="L2765">
        <v>2</v>
      </c>
      <c r="M2765">
        <v>245</v>
      </c>
      <c r="N2765">
        <v>356</v>
      </c>
      <c r="O2765">
        <v>8</v>
      </c>
      <c r="P2765">
        <v>356</v>
      </c>
      <c r="Q2765">
        <v>24</v>
      </c>
      <c r="R2765">
        <v>89</v>
      </c>
      <c r="S2765">
        <v>3</v>
      </c>
      <c r="T2765">
        <v>3</v>
      </c>
      <c r="U2765">
        <v>40</v>
      </c>
      <c r="V2765">
        <v>43</v>
      </c>
      <c r="W2765">
        <v>3</v>
      </c>
      <c r="X2765">
        <v>105</v>
      </c>
      <c r="Y2765">
        <v>7</v>
      </c>
      <c r="Z2765">
        <v>7</v>
      </c>
      <c r="AA2765">
        <v>4</v>
      </c>
      <c r="AB2765">
        <v>14</v>
      </c>
      <c r="AD2765">
        <v>0</v>
      </c>
      <c r="AE2765">
        <v>0</v>
      </c>
      <c r="AF2765">
        <v>0</v>
      </c>
      <c r="AG2765">
        <v>0</v>
      </c>
      <c r="AI2765">
        <v>0</v>
      </c>
      <c r="AJ2765">
        <v>14</v>
      </c>
      <c r="AK2765">
        <v>356</v>
      </c>
      <c r="AL2765">
        <v>356</v>
      </c>
      <c r="AM2765">
        <v>557</v>
      </c>
      <c r="AN2765">
        <v>44</v>
      </c>
      <c r="AP2765">
        <v>1</v>
      </c>
      <c r="AR2765" t="s">
        <v>2859</v>
      </c>
      <c r="AS2765" s="1">
        <v>44354.059027777781</v>
      </c>
      <c r="AT2765" s="1">
        <v>44354.074328703704</v>
      </c>
      <c r="AU2765" s="1">
        <v>44354.074814814812</v>
      </c>
      <c r="AV2765" t="s">
        <v>71</v>
      </c>
      <c r="AW2765" t="s">
        <v>72</v>
      </c>
      <c r="AX2765" t="s">
        <v>73</v>
      </c>
    </row>
    <row r="2766" spans="1:50" x14ac:dyDescent="0.3">
      <c r="A2766" t="str">
        <f>"201755C0100"</f>
        <v>201755C0100</v>
      </c>
      <c r="B2766" t="str">
        <f>"201755C01002"</f>
        <v>201755C01002</v>
      </c>
      <c r="C2766" t="str">
        <f t="shared" si="134"/>
        <v>20</v>
      </c>
      <c r="D2766" t="s">
        <v>67</v>
      </c>
      <c r="E2766" t="str">
        <f t="shared" si="133"/>
        <v>012</v>
      </c>
      <c r="F2766" t="s">
        <v>2715</v>
      </c>
      <c r="G2766" t="str">
        <f>"1755"</f>
        <v>1755</v>
      </c>
      <c r="H2766" t="str">
        <f>"0001"</f>
        <v>0001</v>
      </c>
      <c r="I2766" t="s">
        <v>75</v>
      </c>
      <c r="J2766">
        <v>0</v>
      </c>
      <c r="K2766">
        <v>1</v>
      </c>
      <c r="L2766">
        <v>2</v>
      </c>
      <c r="M2766">
        <v>280</v>
      </c>
      <c r="N2766">
        <v>320</v>
      </c>
      <c r="O2766">
        <v>4</v>
      </c>
      <c r="P2766">
        <v>320</v>
      </c>
      <c r="Q2766">
        <v>26</v>
      </c>
      <c r="R2766">
        <v>51</v>
      </c>
      <c r="S2766">
        <v>4</v>
      </c>
      <c r="T2766">
        <v>5</v>
      </c>
      <c r="U2766">
        <v>43</v>
      </c>
      <c r="V2766">
        <v>30</v>
      </c>
      <c r="W2766">
        <v>8</v>
      </c>
      <c r="X2766">
        <v>109</v>
      </c>
      <c r="Y2766">
        <v>9</v>
      </c>
      <c r="Z2766">
        <v>6</v>
      </c>
      <c r="AA2766">
        <v>3</v>
      </c>
      <c r="AB2766">
        <v>14</v>
      </c>
      <c r="AD2766">
        <v>2</v>
      </c>
      <c r="AE2766">
        <v>1</v>
      </c>
      <c r="AF2766">
        <v>1</v>
      </c>
      <c r="AG2766">
        <v>0</v>
      </c>
      <c r="AI2766">
        <v>0</v>
      </c>
      <c r="AJ2766">
        <v>8</v>
      </c>
      <c r="AK2766">
        <v>320</v>
      </c>
      <c r="AL2766">
        <v>320</v>
      </c>
      <c r="AM2766">
        <v>556</v>
      </c>
      <c r="AN2766">
        <v>44</v>
      </c>
      <c r="AP2766">
        <v>1</v>
      </c>
      <c r="AR2766" t="s">
        <v>2860</v>
      </c>
      <c r="AS2766" s="1">
        <v>44354.055555555555</v>
      </c>
      <c r="AT2766" s="1">
        <v>44354.138495370367</v>
      </c>
      <c r="AU2766" s="1">
        <v>44354.139062499999</v>
      </c>
      <c r="AV2766" t="s">
        <v>71</v>
      </c>
      <c r="AW2766" t="s">
        <v>72</v>
      </c>
      <c r="AX2766" t="s">
        <v>73</v>
      </c>
    </row>
    <row r="2767" spans="1:50" x14ac:dyDescent="0.3">
      <c r="A2767" t="str">
        <f>"201755C0200"</f>
        <v>201755C0200</v>
      </c>
      <c r="B2767" t="str">
        <f>"201755C02002"</f>
        <v>201755C02002</v>
      </c>
      <c r="C2767" t="str">
        <f t="shared" si="134"/>
        <v>20</v>
      </c>
      <c r="D2767" t="s">
        <v>67</v>
      </c>
      <c r="E2767" t="str">
        <f t="shared" si="133"/>
        <v>012</v>
      </c>
      <c r="F2767" t="s">
        <v>2715</v>
      </c>
      <c r="G2767" t="str">
        <f>"1755"</f>
        <v>1755</v>
      </c>
      <c r="H2767" t="str">
        <f>"0002"</f>
        <v>0002</v>
      </c>
      <c r="I2767" t="s">
        <v>75</v>
      </c>
      <c r="J2767">
        <v>0</v>
      </c>
      <c r="K2767">
        <v>1</v>
      </c>
      <c r="L2767">
        <v>2</v>
      </c>
      <c r="M2767">
        <v>264</v>
      </c>
      <c r="N2767">
        <v>336</v>
      </c>
      <c r="O2767">
        <v>3</v>
      </c>
      <c r="P2767">
        <v>336</v>
      </c>
      <c r="Q2767">
        <v>19</v>
      </c>
      <c r="R2767">
        <v>64</v>
      </c>
      <c r="S2767">
        <v>2</v>
      </c>
      <c r="T2767">
        <v>5</v>
      </c>
      <c r="U2767">
        <v>37</v>
      </c>
      <c r="V2767">
        <v>37</v>
      </c>
      <c r="W2767">
        <v>7</v>
      </c>
      <c r="X2767">
        <v>115</v>
      </c>
      <c r="Y2767">
        <v>12</v>
      </c>
      <c r="Z2767">
        <v>4</v>
      </c>
      <c r="AA2767">
        <v>0</v>
      </c>
      <c r="AB2767">
        <v>21</v>
      </c>
      <c r="AD2767">
        <v>2</v>
      </c>
      <c r="AE2767">
        <v>0</v>
      </c>
      <c r="AF2767">
        <v>0</v>
      </c>
      <c r="AG2767">
        <v>0</v>
      </c>
      <c r="AI2767">
        <v>0</v>
      </c>
      <c r="AJ2767">
        <v>8</v>
      </c>
      <c r="AK2767">
        <v>336</v>
      </c>
      <c r="AL2767">
        <v>333</v>
      </c>
      <c r="AM2767">
        <v>556</v>
      </c>
      <c r="AN2767">
        <v>44</v>
      </c>
      <c r="AP2767">
        <v>1</v>
      </c>
      <c r="AR2767" t="s">
        <v>2861</v>
      </c>
      <c r="AS2767" s="1">
        <v>44354.059027777781</v>
      </c>
      <c r="AT2767" s="1">
        <v>44354.075891203705</v>
      </c>
      <c r="AU2767" s="1">
        <v>44354.076574074075</v>
      </c>
      <c r="AV2767" t="s">
        <v>71</v>
      </c>
      <c r="AW2767" t="s">
        <v>72</v>
      </c>
      <c r="AX2767" t="s">
        <v>73</v>
      </c>
    </row>
    <row r="2768" spans="1:50" x14ac:dyDescent="0.3">
      <c r="A2768" t="str">
        <f>"201756B0000"</f>
        <v>201756B0000</v>
      </c>
      <c r="B2768" t="str">
        <f>"201756B00002"</f>
        <v>201756B00002</v>
      </c>
      <c r="C2768" t="str">
        <f t="shared" si="134"/>
        <v>20</v>
      </c>
      <c r="D2768" t="s">
        <v>67</v>
      </c>
      <c r="E2768" t="str">
        <f t="shared" si="133"/>
        <v>012</v>
      </c>
      <c r="F2768" t="s">
        <v>2715</v>
      </c>
      <c r="G2768" t="str">
        <f>"1756"</f>
        <v>1756</v>
      </c>
      <c r="H2768" t="str">
        <f>"0000"</f>
        <v>0000</v>
      </c>
      <c r="I2768" t="s">
        <v>69</v>
      </c>
      <c r="J2768">
        <v>0</v>
      </c>
      <c r="K2768">
        <v>1</v>
      </c>
      <c r="L2768">
        <v>2</v>
      </c>
      <c r="M2768">
        <v>285</v>
      </c>
      <c r="N2768">
        <v>366</v>
      </c>
      <c r="O2768">
        <v>2</v>
      </c>
      <c r="P2768">
        <v>366</v>
      </c>
      <c r="Q2768">
        <v>30</v>
      </c>
      <c r="R2768">
        <v>32</v>
      </c>
      <c r="S2768">
        <v>3</v>
      </c>
      <c r="T2768">
        <v>5</v>
      </c>
      <c r="U2768">
        <v>51</v>
      </c>
      <c r="V2768">
        <v>36</v>
      </c>
      <c r="W2768">
        <v>8</v>
      </c>
      <c r="X2768">
        <v>130</v>
      </c>
      <c r="Y2768">
        <v>7</v>
      </c>
      <c r="Z2768">
        <v>18</v>
      </c>
      <c r="AA2768">
        <v>4</v>
      </c>
      <c r="AB2768">
        <v>28</v>
      </c>
      <c r="AD2768">
        <v>0</v>
      </c>
      <c r="AE2768">
        <v>1</v>
      </c>
      <c r="AF2768">
        <v>0</v>
      </c>
      <c r="AG2768">
        <v>0</v>
      </c>
      <c r="AI2768">
        <v>0</v>
      </c>
      <c r="AJ2768">
        <v>13</v>
      </c>
      <c r="AK2768">
        <v>366</v>
      </c>
      <c r="AL2768">
        <v>366</v>
      </c>
      <c r="AM2768">
        <v>607</v>
      </c>
      <c r="AN2768">
        <v>44</v>
      </c>
      <c r="AP2768">
        <v>1</v>
      </c>
      <c r="AR2768" t="s">
        <v>2862</v>
      </c>
      <c r="AS2768" s="1">
        <v>44353.995138888888</v>
      </c>
      <c r="AT2768" s="1">
        <v>44354.008784722224</v>
      </c>
      <c r="AU2768" s="1">
        <v>44354.009386574071</v>
      </c>
      <c r="AV2768" t="s">
        <v>71</v>
      </c>
      <c r="AW2768" t="s">
        <v>72</v>
      </c>
      <c r="AX2768" t="s">
        <v>73</v>
      </c>
    </row>
    <row r="2769" spans="1:50" x14ac:dyDescent="0.3">
      <c r="A2769" t="str">
        <f>"201756C0100"</f>
        <v>201756C0100</v>
      </c>
      <c r="B2769" t="str">
        <f>"201756C01002"</f>
        <v>201756C01002</v>
      </c>
      <c r="C2769" t="str">
        <f t="shared" si="134"/>
        <v>20</v>
      </c>
      <c r="D2769" t="s">
        <v>67</v>
      </c>
      <c r="E2769" t="str">
        <f t="shared" si="133"/>
        <v>012</v>
      </c>
      <c r="F2769" t="s">
        <v>2715</v>
      </c>
      <c r="G2769" t="str">
        <f>"1756"</f>
        <v>1756</v>
      </c>
      <c r="H2769" t="str">
        <f>"0001"</f>
        <v>0001</v>
      </c>
      <c r="I2769" t="s">
        <v>75</v>
      </c>
      <c r="J2769">
        <v>0</v>
      </c>
      <c r="K2769">
        <v>1</v>
      </c>
      <c r="L2769">
        <v>2</v>
      </c>
      <c r="M2769">
        <v>290</v>
      </c>
      <c r="N2769">
        <v>360</v>
      </c>
      <c r="O2769">
        <v>4</v>
      </c>
      <c r="P2769">
        <v>360</v>
      </c>
      <c r="Q2769">
        <v>23</v>
      </c>
      <c r="R2769">
        <v>52</v>
      </c>
      <c r="S2769">
        <v>1</v>
      </c>
      <c r="T2769">
        <v>0</v>
      </c>
      <c r="U2769">
        <v>64</v>
      </c>
      <c r="V2769">
        <v>17</v>
      </c>
      <c r="W2769">
        <v>7</v>
      </c>
      <c r="X2769">
        <v>130</v>
      </c>
      <c r="Y2769">
        <v>4</v>
      </c>
      <c r="Z2769">
        <v>16</v>
      </c>
      <c r="AA2769">
        <v>4</v>
      </c>
      <c r="AB2769">
        <v>32</v>
      </c>
      <c r="AD2769" t="s">
        <v>77</v>
      </c>
      <c r="AE2769" t="s">
        <v>77</v>
      </c>
      <c r="AF2769" t="s">
        <v>77</v>
      </c>
      <c r="AG2769" t="s">
        <v>77</v>
      </c>
      <c r="AI2769" t="s">
        <v>77</v>
      </c>
      <c r="AJ2769">
        <v>10</v>
      </c>
      <c r="AK2769">
        <v>360</v>
      </c>
      <c r="AL2769">
        <v>360</v>
      </c>
      <c r="AM2769">
        <v>606</v>
      </c>
      <c r="AN2769">
        <v>44</v>
      </c>
      <c r="AO2769" t="s">
        <v>78</v>
      </c>
      <c r="AP2769">
        <v>1</v>
      </c>
      <c r="AR2769" t="s">
        <v>2863</v>
      </c>
      <c r="AS2769" s="1">
        <v>44353.999305555553</v>
      </c>
      <c r="AT2769" s="1">
        <v>44354.012650462966</v>
      </c>
      <c r="AU2769" s="1">
        <v>44354.013321759259</v>
      </c>
      <c r="AV2769" t="s">
        <v>71</v>
      </c>
      <c r="AW2769" t="s">
        <v>72</v>
      </c>
      <c r="AX2769" t="s">
        <v>73</v>
      </c>
    </row>
    <row r="2770" spans="1:50" x14ac:dyDescent="0.3">
      <c r="A2770" t="str">
        <f>"201757B0000"</f>
        <v>201757B0000</v>
      </c>
      <c r="B2770" t="str">
        <f>"201757B00002"</f>
        <v>201757B00002</v>
      </c>
      <c r="C2770" t="str">
        <f t="shared" si="134"/>
        <v>20</v>
      </c>
      <c r="D2770" t="s">
        <v>67</v>
      </c>
      <c r="E2770" t="str">
        <f t="shared" si="133"/>
        <v>012</v>
      </c>
      <c r="F2770" t="s">
        <v>2715</v>
      </c>
      <c r="G2770" t="str">
        <f>"1757"</f>
        <v>1757</v>
      </c>
      <c r="H2770" t="str">
        <f>"0000"</f>
        <v>0000</v>
      </c>
      <c r="I2770" t="s">
        <v>69</v>
      </c>
      <c r="J2770">
        <v>0</v>
      </c>
      <c r="K2770">
        <v>1</v>
      </c>
      <c r="L2770">
        <v>2</v>
      </c>
      <c r="M2770">
        <v>247</v>
      </c>
      <c r="N2770">
        <v>309</v>
      </c>
      <c r="O2770">
        <v>3</v>
      </c>
      <c r="P2770">
        <v>309</v>
      </c>
      <c r="Q2770">
        <v>5</v>
      </c>
      <c r="R2770">
        <v>35</v>
      </c>
      <c r="S2770">
        <v>5</v>
      </c>
      <c r="T2770">
        <v>2</v>
      </c>
      <c r="U2770">
        <v>29</v>
      </c>
      <c r="V2770">
        <v>35</v>
      </c>
      <c r="W2770">
        <v>3</v>
      </c>
      <c r="X2770">
        <v>147</v>
      </c>
      <c r="Y2770">
        <v>4</v>
      </c>
      <c r="Z2770">
        <v>11</v>
      </c>
      <c r="AA2770">
        <v>0</v>
      </c>
      <c r="AB2770">
        <v>13</v>
      </c>
      <c r="AD2770">
        <v>0</v>
      </c>
      <c r="AE2770">
        <v>0</v>
      </c>
      <c r="AF2770">
        <v>0</v>
      </c>
      <c r="AG2770">
        <v>0</v>
      </c>
      <c r="AI2770">
        <v>1</v>
      </c>
      <c r="AJ2770">
        <v>19</v>
      </c>
      <c r="AK2770">
        <v>309</v>
      </c>
      <c r="AL2770">
        <v>309</v>
      </c>
      <c r="AM2770">
        <v>512</v>
      </c>
      <c r="AN2770">
        <v>44</v>
      </c>
      <c r="AP2770">
        <v>1</v>
      </c>
      <c r="AR2770" t="s">
        <v>2864</v>
      </c>
      <c r="AS2770" s="1">
        <v>44354.137499999997</v>
      </c>
      <c r="AT2770" s="1">
        <v>44354.139305555553</v>
      </c>
      <c r="AU2770" s="1">
        <v>44354.140092592592</v>
      </c>
      <c r="AV2770" t="s">
        <v>71</v>
      </c>
      <c r="AW2770" t="s">
        <v>72</v>
      </c>
      <c r="AX2770" t="s">
        <v>347</v>
      </c>
    </row>
    <row r="2771" spans="1:50" x14ac:dyDescent="0.3">
      <c r="A2771" t="str">
        <f>"201757C0100"</f>
        <v>201757C0100</v>
      </c>
      <c r="B2771" t="str">
        <f>"201757C01002"</f>
        <v>201757C01002</v>
      </c>
      <c r="C2771" t="str">
        <f t="shared" si="134"/>
        <v>20</v>
      </c>
      <c r="D2771" t="s">
        <v>67</v>
      </c>
      <c r="E2771" t="str">
        <f t="shared" si="133"/>
        <v>012</v>
      </c>
      <c r="F2771" t="s">
        <v>2715</v>
      </c>
      <c r="G2771" t="str">
        <f>"1757"</f>
        <v>1757</v>
      </c>
      <c r="H2771" t="str">
        <f>"0001"</f>
        <v>0001</v>
      </c>
      <c r="I2771" t="s">
        <v>75</v>
      </c>
      <c r="J2771">
        <v>0</v>
      </c>
      <c r="K2771">
        <v>1</v>
      </c>
      <c r="L2771">
        <v>2</v>
      </c>
      <c r="M2771">
        <v>256</v>
      </c>
      <c r="N2771">
        <v>300</v>
      </c>
      <c r="O2771">
        <v>4</v>
      </c>
      <c r="P2771">
        <v>300</v>
      </c>
      <c r="Q2771">
        <v>12</v>
      </c>
      <c r="R2771">
        <v>46</v>
      </c>
      <c r="S2771">
        <v>4</v>
      </c>
      <c r="T2771">
        <v>1</v>
      </c>
      <c r="U2771">
        <v>31</v>
      </c>
      <c r="V2771">
        <v>40</v>
      </c>
      <c r="W2771">
        <v>5</v>
      </c>
      <c r="X2771">
        <v>111</v>
      </c>
      <c r="Y2771">
        <v>11</v>
      </c>
      <c r="Z2771">
        <v>2</v>
      </c>
      <c r="AA2771">
        <v>4</v>
      </c>
      <c r="AB2771">
        <v>24</v>
      </c>
      <c r="AD2771" t="s">
        <v>77</v>
      </c>
      <c r="AE2771" t="s">
        <v>77</v>
      </c>
      <c r="AF2771" t="s">
        <v>77</v>
      </c>
      <c r="AG2771" t="s">
        <v>77</v>
      </c>
      <c r="AI2771" t="s">
        <v>77</v>
      </c>
      <c r="AJ2771">
        <v>9</v>
      </c>
      <c r="AK2771">
        <v>300</v>
      </c>
      <c r="AL2771">
        <v>300</v>
      </c>
      <c r="AM2771">
        <v>512</v>
      </c>
      <c r="AN2771">
        <v>44</v>
      </c>
      <c r="AO2771" t="s">
        <v>78</v>
      </c>
      <c r="AP2771">
        <v>1</v>
      </c>
      <c r="AR2771" t="s">
        <v>2865</v>
      </c>
      <c r="AS2771" s="1">
        <v>44354.059027777781</v>
      </c>
      <c r="AT2771" s="1">
        <v>44354.071979166663</v>
      </c>
      <c r="AU2771" s="1">
        <v>44354.072453703702</v>
      </c>
      <c r="AV2771" t="s">
        <v>71</v>
      </c>
      <c r="AW2771" t="s">
        <v>72</v>
      </c>
      <c r="AX2771" t="s">
        <v>73</v>
      </c>
    </row>
    <row r="2772" spans="1:50" x14ac:dyDescent="0.3">
      <c r="A2772" t="str">
        <f>"201757C0200"</f>
        <v>201757C0200</v>
      </c>
      <c r="B2772" t="str">
        <f>"201757C02002"</f>
        <v>201757C02002</v>
      </c>
      <c r="C2772" t="str">
        <f t="shared" si="134"/>
        <v>20</v>
      </c>
      <c r="D2772" t="s">
        <v>67</v>
      </c>
      <c r="E2772" t="str">
        <f t="shared" si="133"/>
        <v>012</v>
      </c>
      <c r="F2772" t="s">
        <v>2715</v>
      </c>
      <c r="G2772" t="str">
        <f>"1757"</f>
        <v>1757</v>
      </c>
      <c r="H2772" t="str">
        <f>"0002"</f>
        <v>0002</v>
      </c>
      <c r="I2772" t="s">
        <v>75</v>
      </c>
      <c r="J2772">
        <v>0</v>
      </c>
      <c r="K2772">
        <v>1</v>
      </c>
      <c r="L2772">
        <v>2</v>
      </c>
      <c r="M2772">
        <v>233</v>
      </c>
      <c r="N2772">
        <v>322</v>
      </c>
      <c r="O2772">
        <v>13</v>
      </c>
      <c r="P2772">
        <v>322</v>
      </c>
      <c r="Q2772">
        <v>21</v>
      </c>
      <c r="R2772">
        <v>53</v>
      </c>
      <c r="S2772">
        <v>4</v>
      </c>
      <c r="T2772">
        <v>4</v>
      </c>
      <c r="U2772">
        <v>20</v>
      </c>
      <c r="V2772">
        <v>23</v>
      </c>
      <c r="W2772">
        <v>6</v>
      </c>
      <c r="X2772">
        <v>145</v>
      </c>
      <c r="Y2772">
        <v>2</v>
      </c>
      <c r="Z2772">
        <v>8</v>
      </c>
      <c r="AA2772">
        <v>5</v>
      </c>
      <c r="AB2772">
        <v>20</v>
      </c>
      <c r="AD2772" t="s">
        <v>77</v>
      </c>
      <c r="AE2772">
        <v>2</v>
      </c>
      <c r="AF2772" t="s">
        <v>77</v>
      </c>
      <c r="AG2772" t="s">
        <v>77</v>
      </c>
      <c r="AI2772" t="s">
        <v>77</v>
      </c>
      <c r="AJ2772">
        <v>9</v>
      </c>
      <c r="AK2772">
        <v>322</v>
      </c>
      <c r="AL2772">
        <v>322</v>
      </c>
      <c r="AM2772">
        <v>511</v>
      </c>
      <c r="AN2772">
        <v>44</v>
      </c>
      <c r="AO2772" t="s">
        <v>78</v>
      </c>
      <c r="AP2772">
        <v>1</v>
      </c>
      <c r="AR2772" t="s">
        <v>2866</v>
      </c>
      <c r="AS2772" s="1">
        <v>44354.05972222222</v>
      </c>
      <c r="AT2772" s="1">
        <v>44354.076550925929</v>
      </c>
      <c r="AU2772" s="1">
        <v>44354.077314814815</v>
      </c>
      <c r="AV2772" t="s">
        <v>71</v>
      </c>
      <c r="AW2772" t="s">
        <v>72</v>
      </c>
      <c r="AX2772" t="s">
        <v>73</v>
      </c>
    </row>
    <row r="2773" spans="1:50" x14ac:dyDescent="0.3">
      <c r="A2773" t="str">
        <f>"201758B0000"</f>
        <v>201758B0000</v>
      </c>
      <c r="B2773" t="str">
        <f>"201758B00002"</f>
        <v>201758B00002</v>
      </c>
      <c r="C2773" t="str">
        <f t="shared" si="134"/>
        <v>20</v>
      </c>
      <c r="D2773" t="s">
        <v>67</v>
      </c>
      <c r="E2773" t="str">
        <f t="shared" si="133"/>
        <v>012</v>
      </c>
      <c r="F2773" t="s">
        <v>2715</v>
      </c>
      <c r="G2773" t="str">
        <f>"1758"</f>
        <v>1758</v>
      </c>
      <c r="H2773" t="str">
        <f>"0000"</f>
        <v>0000</v>
      </c>
      <c r="I2773" t="s">
        <v>69</v>
      </c>
      <c r="J2773">
        <v>0</v>
      </c>
      <c r="K2773">
        <v>1</v>
      </c>
      <c r="L2773">
        <v>2</v>
      </c>
      <c r="M2773">
        <v>303</v>
      </c>
      <c r="N2773">
        <v>280</v>
      </c>
      <c r="O2773">
        <v>0</v>
      </c>
      <c r="P2773">
        <v>280</v>
      </c>
      <c r="Q2773">
        <v>23</v>
      </c>
      <c r="R2773">
        <v>44</v>
      </c>
      <c r="S2773">
        <v>0</v>
      </c>
      <c r="T2773">
        <v>3</v>
      </c>
      <c r="U2773">
        <v>56</v>
      </c>
      <c r="V2773">
        <v>19</v>
      </c>
      <c r="W2773">
        <v>6</v>
      </c>
      <c r="X2773">
        <v>101</v>
      </c>
      <c r="Y2773">
        <v>3</v>
      </c>
      <c r="Z2773">
        <v>7</v>
      </c>
      <c r="AA2773">
        <v>1</v>
      </c>
      <c r="AB2773">
        <v>17</v>
      </c>
      <c r="AD2773">
        <v>0</v>
      </c>
      <c r="AE2773">
        <v>0</v>
      </c>
      <c r="AF2773">
        <v>0</v>
      </c>
      <c r="AG2773">
        <v>0</v>
      </c>
      <c r="AI2773">
        <v>0</v>
      </c>
      <c r="AJ2773">
        <v>0</v>
      </c>
      <c r="AK2773">
        <v>280</v>
      </c>
      <c r="AL2773">
        <v>280</v>
      </c>
      <c r="AM2773">
        <v>539</v>
      </c>
      <c r="AN2773">
        <v>44</v>
      </c>
      <c r="AP2773">
        <v>1</v>
      </c>
      <c r="AR2773" t="s">
        <v>2867</v>
      </c>
      <c r="AS2773" s="1">
        <v>44353.904074074075</v>
      </c>
      <c r="AT2773" s="1">
        <v>44353.905902777777</v>
      </c>
      <c r="AU2773" s="1">
        <v>44353.906354166669</v>
      </c>
      <c r="AV2773" t="s">
        <v>269</v>
      </c>
      <c r="AW2773" t="s">
        <v>270</v>
      </c>
      <c r="AX2773" t="s">
        <v>73</v>
      </c>
    </row>
    <row r="2774" spans="1:50" x14ac:dyDescent="0.3">
      <c r="A2774" t="str">
        <f>"201758C0100"</f>
        <v>201758C0100</v>
      </c>
      <c r="B2774" t="str">
        <f>"201758C01002"</f>
        <v>201758C01002</v>
      </c>
      <c r="C2774" t="str">
        <f t="shared" si="134"/>
        <v>20</v>
      </c>
      <c r="D2774" t="s">
        <v>67</v>
      </c>
      <c r="E2774" t="str">
        <f t="shared" si="133"/>
        <v>012</v>
      </c>
      <c r="F2774" t="s">
        <v>2715</v>
      </c>
      <c r="G2774" t="str">
        <f>"1758"</f>
        <v>1758</v>
      </c>
      <c r="H2774" t="str">
        <f>"0001"</f>
        <v>0001</v>
      </c>
      <c r="I2774" t="s">
        <v>75</v>
      </c>
      <c r="J2774">
        <v>0</v>
      </c>
      <c r="K2774">
        <v>1</v>
      </c>
      <c r="L2774">
        <v>2</v>
      </c>
      <c r="M2774">
        <v>287</v>
      </c>
      <c r="N2774">
        <v>296</v>
      </c>
      <c r="O2774">
        <v>2</v>
      </c>
      <c r="P2774">
        <v>296</v>
      </c>
      <c r="Q2774">
        <v>16</v>
      </c>
      <c r="R2774">
        <v>41</v>
      </c>
      <c r="S2774">
        <v>3</v>
      </c>
      <c r="T2774">
        <v>1</v>
      </c>
      <c r="U2774">
        <v>39</v>
      </c>
      <c r="V2774">
        <v>19</v>
      </c>
      <c r="W2774">
        <v>8</v>
      </c>
      <c r="X2774">
        <v>125</v>
      </c>
      <c r="Y2774">
        <v>7</v>
      </c>
      <c r="Z2774">
        <v>8</v>
      </c>
      <c r="AA2774">
        <v>1</v>
      </c>
      <c r="AB2774">
        <v>16</v>
      </c>
      <c r="AD2774">
        <v>1</v>
      </c>
      <c r="AE2774" t="s">
        <v>77</v>
      </c>
      <c r="AF2774" t="s">
        <v>77</v>
      </c>
      <c r="AG2774">
        <v>1</v>
      </c>
      <c r="AI2774" t="s">
        <v>77</v>
      </c>
      <c r="AJ2774">
        <v>10</v>
      </c>
      <c r="AK2774">
        <v>296</v>
      </c>
      <c r="AL2774">
        <v>296</v>
      </c>
      <c r="AM2774">
        <v>539</v>
      </c>
      <c r="AN2774">
        <v>44</v>
      </c>
      <c r="AO2774" t="s">
        <v>78</v>
      </c>
      <c r="AP2774">
        <v>1</v>
      </c>
      <c r="AR2774" t="s">
        <v>2868</v>
      </c>
      <c r="AS2774" s="1">
        <v>44353.907696759263</v>
      </c>
      <c r="AT2774" s="1">
        <v>44353.909409722219</v>
      </c>
      <c r="AU2774" s="1">
        <v>44353.910208333335</v>
      </c>
      <c r="AV2774" t="s">
        <v>269</v>
      </c>
      <c r="AW2774" t="s">
        <v>270</v>
      </c>
      <c r="AX2774" t="s">
        <v>73</v>
      </c>
    </row>
    <row r="2775" spans="1:50" x14ac:dyDescent="0.3">
      <c r="A2775" t="str">
        <f>"201758C0200"</f>
        <v>201758C0200</v>
      </c>
      <c r="B2775" t="str">
        <f>"201758C02002"</f>
        <v>201758C02002</v>
      </c>
      <c r="C2775" t="str">
        <f t="shared" si="134"/>
        <v>20</v>
      </c>
      <c r="D2775" t="s">
        <v>67</v>
      </c>
      <c r="E2775" t="str">
        <f t="shared" si="133"/>
        <v>012</v>
      </c>
      <c r="F2775" t="s">
        <v>2715</v>
      </c>
      <c r="G2775" t="str">
        <f>"1758"</f>
        <v>1758</v>
      </c>
      <c r="H2775" t="str">
        <f>"0002"</f>
        <v>0002</v>
      </c>
      <c r="I2775" t="s">
        <v>75</v>
      </c>
      <c r="J2775">
        <v>0</v>
      </c>
      <c r="K2775">
        <v>1</v>
      </c>
      <c r="L2775">
        <v>2</v>
      </c>
      <c r="M2775">
        <v>287</v>
      </c>
      <c r="N2775">
        <v>296</v>
      </c>
      <c r="O2775">
        <v>0</v>
      </c>
      <c r="P2775">
        <v>296</v>
      </c>
      <c r="Q2775">
        <v>13</v>
      </c>
      <c r="R2775">
        <v>52</v>
      </c>
      <c r="S2775">
        <v>1</v>
      </c>
      <c r="T2775">
        <v>4</v>
      </c>
      <c r="U2775">
        <v>48</v>
      </c>
      <c r="V2775">
        <v>16</v>
      </c>
      <c r="W2775">
        <v>7</v>
      </c>
      <c r="X2775">
        <v>119</v>
      </c>
      <c r="Y2775">
        <v>7</v>
      </c>
      <c r="Z2775">
        <v>8</v>
      </c>
      <c r="AA2775">
        <v>1</v>
      </c>
      <c r="AB2775">
        <v>8</v>
      </c>
      <c r="AD2775">
        <v>1</v>
      </c>
      <c r="AE2775">
        <v>0</v>
      </c>
      <c r="AF2775">
        <v>0</v>
      </c>
      <c r="AG2775">
        <v>0</v>
      </c>
      <c r="AI2775">
        <v>0</v>
      </c>
      <c r="AJ2775">
        <v>11</v>
      </c>
      <c r="AK2775">
        <v>296</v>
      </c>
      <c r="AL2775">
        <v>296</v>
      </c>
      <c r="AM2775">
        <v>539</v>
      </c>
      <c r="AN2775">
        <v>44</v>
      </c>
      <c r="AP2775">
        <v>1</v>
      </c>
      <c r="AR2775" s="2" t="s">
        <v>2869</v>
      </c>
      <c r="AS2775" s="1">
        <v>44353.909178240741</v>
      </c>
      <c r="AT2775" s="1">
        <v>44353.912453703706</v>
      </c>
      <c r="AU2775" s="1">
        <v>44353.913773148146</v>
      </c>
      <c r="AV2775" t="s">
        <v>269</v>
      </c>
      <c r="AW2775" t="s">
        <v>270</v>
      </c>
      <c r="AX2775" t="s">
        <v>73</v>
      </c>
    </row>
    <row r="2776" spans="1:50" x14ac:dyDescent="0.3">
      <c r="A2776" t="str">
        <f>"201759B0000"</f>
        <v>201759B0000</v>
      </c>
      <c r="B2776" t="str">
        <f>"201759B00002"</f>
        <v>201759B00002</v>
      </c>
      <c r="C2776" t="str">
        <f t="shared" si="134"/>
        <v>20</v>
      </c>
      <c r="D2776" t="s">
        <v>67</v>
      </c>
      <c r="E2776" t="str">
        <f t="shared" si="133"/>
        <v>012</v>
      </c>
      <c r="F2776" t="s">
        <v>2715</v>
      </c>
      <c r="G2776" t="str">
        <f>"1759"</f>
        <v>1759</v>
      </c>
      <c r="H2776" t="str">
        <f>"0000"</f>
        <v>0000</v>
      </c>
      <c r="I2776" t="s">
        <v>69</v>
      </c>
      <c r="J2776">
        <v>0</v>
      </c>
      <c r="K2776">
        <v>1</v>
      </c>
      <c r="L2776">
        <v>2</v>
      </c>
      <c r="M2776">
        <v>282</v>
      </c>
      <c r="N2776">
        <v>362</v>
      </c>
      <c r="O2776">
        <v>11</v>
      </c>
      <c r="P2776">
        <v>362</v>
      </c>
      <c r="Q2776">
        <v>9</v>
      </c>
      <c r="R2776">
        <v>52</v>
      </c>
      <c r="S2776">
        <v>4</v>
      </c>
      <c r="T2776">
        <v>4</v>
      </c>
      <c r="U2776">
        <v>34</v>
      </c>
      <c r="V2776">
        <v>30</v>
      </c>
      <c r="W2776">
        <v>11</v>
      </c>
      <c r="X2776">
        <v>160</v>
      </c>
      <c r="Y2776">
        <v>11</v>
      </c>
      <c r="Z2776">
        <v>5</v>
      </c>
      <c r="AA2776">
        <v>7</v>
      </c>
      <c r="AB2776">
        <v>23</v>
      </c>
      <c r="AD2776">
        <v>1</v>
      </c>
      <c r="AE2776">
        <v>0</v>
      </c>
      <c r="AF2776">
        <v>0</v>
      </c>
      <c r="AG2776">
        <v>0</v>
      </c>
      <c r="AI2776">
        <v>0</v>
      </c>
      <c r="AJ2776">
        <v>11</v>
      </c>
      <c r="AK2776">
        <v>362</v>
      </c>
      <c r="AL2776">
        <v>362</v>
      </c>
      <c r="AM2776">
        <v>600</v>
      </c>
      <c r="AN2776">
        <v>44</v>
      </c>
      <c r="AP2776">
        <v>1</v>
      </c>
      <c r="AR2776" t="s">
        <v>2870</v>
      </c>
      <c r="AS2776" s="1">
        <v>44353.910717592589</v>
      </c>
      <c r="AT2776" s="1">
        <v>44353.913483796299</v>
      </c>
      <c r="AU2776" s="1">
        <v>44353.914421296293</v>
      </c>
      <c r="AV2776" t="s">
        <v>269</v>
      </c>
      <c r="AW2776" t="s">
        <v>270</v>
      </c>
      <c r="AX2776" t="s">
        <v>73</v>
      </c>
    </row>
    <row r="2777" spans="1:50" x14ac:dyDescent="0.3">
      <c r="A2777" t="str">
        <f>"201759C0100"</f>
        <v>201759C0100</v>
      </c>
      <c r="B2777" t="str">
        <f>"201759C01002"</f>
        <v>201759C01002</v>
      </c>
      <c r="C2777" t="str">
        <f t="shared" si="134"/>
        <v>20</v>
      </c>
      <c r="D2777" t="s">
        <v>67</v>
      </c>
      <c r="E2777" t="str">
        <f t="shared" si="133"/>
        <v>012</v>
      </c>
      <c r="F2777" t="s">
        <v>2715</v>
      </c>
      <c r="G2777" t="str">
        <f>"1759"</f>
        <v>1759</v>
      </c>
      <c r="H2777" t="str">
        <f>"0001"</f>
        <v>0001</v>
      </c>
      <c r="I2777" t="s">
        <v>75</v>
      </c>
      <c r="J2777">
        <v>0</v>
      </c>
      <c r="K2777">
        <v>1</v>
      </c>
      <c r="L2777">
        <v>2</v>
      </c>
      <c r="M2777">
        <v>284</v>
      </c>
      <c r="N2777">
        <v>359</v>
      </c>
      <c r="O2777">
        <v>13</v>
      </c>
      <c r="P2777">
        <v>360</v>
      </c>
      <c r="Q2777">
        <v>8</v>
      </c>
      <c r="R2777">
        <v>50</v>
      </c>
      <c r="S2777">
        <v>3</v>
      </c>
      <c r="T2777">
        <v>3</v>
      </c>
      <c r="U2777">
        <v>32</v>
      </c>
      <c r="V2777">
        <v>45</v>
      </c>
      <c r="W2777">
        <v>12</v>
      </c>
      <c r="X2777">
        <v>161</v>
      </c>
      <c r="Y2777">
        <v>6</v>
      </c>
      <c r="Z2777">
        <v>5</v>
      </c>
      <c r="AA2777">
        <v>1</v>
      </c>
      <c r="AB2777">
        <v>20</v>
      </c>
      <c r="AD2777">
        <v>1</v>
      </c>
      <c r="AE2777">
        <v>1</v>
      </c>
      <c r="AF2777">
        <v>0</v>
      </c>
      <c r="AG2777">
        <v>0</v>
      </c>
      <c r="AI2777">
        <v>1</v>
      </c>
      <c r="AJ2777">
        <v>11</v>
      </c>
      <c r="AK2777">
        <v>360</v>
      </c>
      <c r="AL2777">
        <v>360</v>
      </c>
      <c r="AM2777">
        <v>600</v>
      </c>
      <c r="AN2777">
        <v>44</v>
      </c>
      <c r="AP2777">
        <v>1</v>
      </c>
      <c r="AR2777" t="s">
        <v>2871</v>
      </c>
      <c r="AS2777" s="1">
        <v>44353.908148148148</v>
      </c>
      <c r="AT2777" s="1">
        <v>44353.910775462966</v>
      </c>
      <c r="AU2777" s="1">
        <v>44353.911481481482</v>
      </c>
      <c r="AV2777" t="s">
        <v>269</v>
      </c>
      <c r="AW2777" t="s">
        <v>270</v>
      </c>
      <c r="AX2777" t="s">
        <v>73</v>
      </c>
    </row>
    <row r="2778" spans="1:50" x14ac:dyDescent="0.3">
      <c r="A2778" t="str">
        <f>"201759C0200"</f>
        <v>201759C0200</v>
      </c>
      <c r="B2778" t="str">
        <f>"201759C02002"</f>
        <v>201759C02002</v>
      </c>
      <c r="C2778" t="str">
        <f t="shared" si="134"/>
        <v>20</v>
      </c>
      <c r="D2778" t="s">
        <v>67</v>
      </c>
      <c r="E2778" t="str">
        <f t="shared" si="133"/>
        <v>012</v>
      </c>
      <c r="F2778" t="s">
        <v>2715</v>
      </c>
      <c r="G2778" t="str">
        <f>"1759"</f>
        <v>1759</v>
      </c>
      <c r="H2778" t="str">
        <f>"0002"</f>
        <v>0002</v>
      </c>
      <c r="I2778" t="s">
        <v>75</v>
      </c>
      <c r="J2778">
        <v>0</v>
      </c>
      <c r="K2778">
        <v>1</v>
      </c>
      <c r="L2778">
        <v>2</v>
      </c>
      <c r="M2778">
        <v>267</v>
      </c>
      <c r="N2778">
        <v>375</v>
      </c>
      <c r="O2778">
        <v>11</v>
      </c>
      <c r="P2778">
        <v>376</v>
      </c>
      <c r="Q2778">
        <v>14</v>
      </c>
      <c r="R2778">
        <v>42</v>
      </c>
      <c r="S2778">
        <v>3</v>
      </c>
      <c r="T2778">
        <v>2</v>
      </c>
      <c r="U2778">
        <v>41</v>
      </c>
      <c r="V2778">
        <v>53</v>
      </c>
      <c r="W2778">
        <v>13</v>
      </c>
      <c r="X2778">
        <v>161</v>
      </c>
      <c r="Y2778">
        <v>10</v>
      </c>
      <c r="Z2778">
        <v>8</v>
      </c>
      <c r="AA2778">
        <v>2</v>
      </c>
      <c r="AB2778">
        <v>21</v>
      </c>
      <c r="AD2778">
        <v>0</v>
      </c>
      <c r="AE2778">
        <v>1</v>
      </c>
      <c r="AF2778">
        <v>0</v>
      </c>
      <c r="AG2778">
        <v>0</v>
      </c>
      <c r="AI2778">
        <v>0</v>
      </c>
      <c r="AJ2778">
        <v>4</v>
      </c>
      <c r="AK2778">
        <v>376</v>
      </c>
      <c r="AL2778">
        <v>375</v>
      </c>
      <c r="AM2778">
        <v>599</v>
      </c>
      <c r="AN2778">
        <v>44</v>
      </c>
      <c r="AP2778">
        <v>1</v>
      </c>
      <c r="AR2778" t="s">
        <v>2872</v>
      </c>
      <c r="AS2778" s="1">
        <v>44353.915196759262</v>
      </c>
      <c r="AT2778" s="1">
        <v>44353.918587962966</v>
      </c>
      <c r="AU2778" s="1">
        <v>44353.91946759259</v>
      </c>
      <c r="AV2778" t="s">
        <v>269</v>
      </c>
      <c r="AW2778" t="s">
        <v>270</v>
      </c>
      <c r="AX2778" t="s">
        <v>73</v>
      </c>
    </row>
    <row r="2779" spans="1:50" x14ac:dyDescent="0.3">
      <c r="A2779" t="str">
        <f>"201760B0000"</f>
        <v>201760B0000</v>
      </c>
      <c r="B2779" t="str">
        <f>"201760B00002"</f>
        <v>201760B00002</v>
      </c>
      <c r="C2779" t="str">
        <f t="shared" si="134"/>
        <v>20</v>
      </c>
      <c r="D2779" t="s">
        <v>67</v>
      </c>
      <c r="E2779" t="str">
        <f t="shared" si="133"/>
        <v>012</v>
      </c>
      <c r="F2779" t="s">
        <v>2715</v>
      </c>
      <c r="G2779" t="str">
        <f>"1760"</f>
        <v>1760</v>
      </c>
      <c r="H2779" t="str">
        <f>"0000"</f>
        <v>0000</v>
      </c>
      <c r="I2779" t="s">
        <v>69</v>
      </c>
      <c r="J2779">
        <v>0</v>
      </c>
      <c r="K2779">
        <v>1</v>
      </c>
      <c r="L2779">
        <v>2</v>
      </c>
      <c r="M2779">
        <v>335</v>
      </c>
      <c r="N2779">
        <v>369</v>
      </c>
      <c r="O2779">
        <v>0</v>
      </c>
      <c r="P2779">
        <v>369</v>
      </c>
      <c r="Q2779">
        <v>17</v>
      </c>
      <c r="R2779">
        <v>46</v>
      </c>
      <c r="S2779">
        <v>2</v>
      </c>
      <c r="T2779">
        <v>4</v>
      </c>
      <c r="U2779">
        <v>37</v>
      </c>
      <c r="V2779">
        <v>31</v>
      </c>
      <c r="W2779">
        <v>7</v>
      </c>
      <c r="X2779">
        <v>162</v>
      </c>
      <c r="Y2779">
        <v>13</v>
      </c>
      <c r="Z2779">
        <v>9</v>
      </c>
      <c r="AA2779">
        <v>2</v>
      </c>
      <c r="AB2779">
        <v>22</v>
      </c>
      <c r="AD2779">
        <v>2</v>
      </c>
      <c r="AE2779">
        <v>0</v>
      </c>
      <c r="AF2779">
        <v>0</v>
      </c>
      <c r="AG2779">
        <v>0</v>
      </c>
      <c r="AI2779">
        <v>0</v>
      </c>
      <c r="AJ2779">
        <v>15</v>
      </c>
      <c r="AK2779">
        <v>369</v>
      </c>
      <c r="AL2779">
        <v>369</v>
      </c>
      <c r="AM2779">
        <v>660</v>
      </c>
      <c r="AN2779">
        <v>44</v>
      </c>
      <c r="AP2779">
        <v>1</v>
      </c>
      <c r="AR2779" t="s">
        <v>2873</v>
      </c>
      <c r="AS2779" s="1">
        <v>44353.901805555557</v>
      </c>
      <c r="AT2779" s="1">
        <v>44353.903854166667</v>
      </c>
      <c r="AU2779" s="1">
        <v>44353.904606481483</v>
      </c>
      <c r="AV2779" t="s">
        <v>269</v>
      </c>
      <c r="AW2779" t="s">
        <v>270</v>
      </c>
      <c r="AX2779" t="s">
        <v>73</v>
      </c>
    </row>
    <row r="2780" spans="1:50" x14ac:dyDescent="0.3">
      <c r="A2780" t="str">
        <f>"201760C0100"</f>
        <v>201760C0100</v>
      </c>
      <c r="B2780" t="str">
        <f>"201760C01002"</f>
        <v>201760C01002</v>
      </c>
      <c r="C2780" t="str">
        <f t="shared" si="134"/>
        <v>20</v>
      </c>
      <c r="D2780" t="s">
        <v>67</v>
      </c>
      <c r="E2780" t="str">
        <f t="shared" si="133"/>
        <v>012</v>
      </c>
      <c r="F2780" t="s">
        <v>2715</v>
      </c>
      <c r="G2780" t="str">
        <f>"1760"</f>
        <v>1760</v>
      </c>
      <c r="H2780" t="str">
        <f>"0001"</f>
        <v>0001</v>
      </c>
      <c r="I2780" t="s">
        <v>75</v>
      </c>
      <c r="J2780">
        <v>0</v>
      </c>
      <c r="K2780">
        <v>1</v>
      </c>
      <c r="L2780">
        <v>2</v>
      </c>
      <c r="M2780">
        <v>324</v>
      </c>
      <c r="N2780">
        <v>380</v>
      </c>
      <c r="O2780">
        <v>0</v>
      </c>
      <c r="P2780">
        <v>380</v>
      </c>
      <c r="Q2780">
        <v>17</v>
      </c>
      <c r="R2780">
        <v>24</v>
      </c>
      <c r="S2780">
        <v>2</v>
      </c>
      <c r="T2780">
        <v>2</v>
      </c>
      <c r="U2780">
        <v>51</v>
      </c>
      <c r="V2780">
        <v>35</v>
      </c>
      <c r="W2780">
        <v>10</v>
      </c>
      <c r="X2780">
        <v>174</v>
      </c>
      <c r="Y2780">
        <v>5</v>
      </c>
      <c r="Z2780">
        <v>13</v>
      </c>
      <c r="AA2780">
        <v>3</v>
      </c>
      <c r="AB2780">
        <v>31</v>
      </c>
      <c r="AD2780">
        <v>0</v>
      </c>
      <c r="AE2780">
        <v>2</v>
      </c>
      <c r="AF2780">
        <v>0</v>
      </c>
      <c r="AG2780">
        <v>0</v>
      </c>
      <c r="AI2780">
        <v>1</v>
      </c>
      <c r="AJ2780">
        <v>10</v>
      </c>
      <c r="AK2780">
        <v>380</v>
      </c>
      <c r="AL2780">
        <v>380</v>
      </c>
      <c r="AM2780">
        <v>660</v>
      </c>
      <c r="AN2780">
        <v>44</v>
      </c>
      <c r="AP2780">
        <v>1</v>
      </c>
      <c r="AR2780" t="s">
        <v>2874</v>
      </c>
      <c r="AS2780" s="1">
        <v>44353.913483796299</v>
      </c>
      <c r="AT2780" s="1">
        <v>44353.915671296294</v>
      </c>
      <c r="AU2780" s="1">
        <v>44353.916087962964</v>
      </c>
      <c r="AV2780" t="s">
        <v>269</v>
      </c>
      <c r="AW2780" t="s">
        <v>270</v>
      </c>
      <c r="AX2780" t="s">
        <v>73</v>
      </c>
    </row>
    <row r="2781" spans="1:50" x14ac:dyDescent="0.3">
      <c r="A2781" t="str">
        <f>"201760C0200"</f>
        <v>201760C0200</v>
      </c>
      <c r="B2781" t="str">
        <f>"201760C02002"</f>
        <v>201760C02002</v>
      </c>
      <c r="C2781" t="str">
        <f t="shared" si="134"/>
        <v>20</v>
      </c>
      <c r="D2781" t="s">
        <v>67</v>
      </c>
      <c r="E2781" t="str">
        <f t="shared" si="133"/>
        <v>012</v>
      </c>
      <c r="F2781" t="s">
        <v>2715</v>
      </c>
      <c r="G2781" t="str">
        <f>"1760"</f>
        <v>1760</v>
      </c>
      <c r="H2781" t="str">
        <f>"0002"</f>
        <v>0002</v>
      </c>
      <c r="I2781" t="s">
        <v>75</v>
      </c>
      <c r="J2781">
        <v>0</v>
      </c>
      <c r="K2781">
        <v>1</v>
      </c>
      <c r="L2781">
        <v>2</v>
      </c>
      <c r="M2781">
        <v>339</v>
      </c>
      <c r="N2781">
        <v>366</v>
      </c>
      <c r="O2781">
        <v>0</v>
      </c>
      <c r="P2781">
        <v>365</v>
      </c>
      <c r="Q2781">
        <v>27</v>
      </c>
      <c r="R2781">
        <v>31</v>
      </c>
      <c r="S2781">
        <v>1</v>
      </c>
      <c r="T2781">
        <v>4</v>
      </c>
      <c r="U2781">
        <v>31</v>
      </c>
      <c r="V2781">
        <v>35</v>
      </c>
      <c r="W2781">
        <v>8</v>
      </c>
      <c r="X2781">
        <v>172</v>
      </c>
      <c r="Y2781">
        <v>13</v>
      </c>
      <c r="Z2781">
        <v>9</v>
      </c>
      <c r="AA2781">
        <v>1</v>
      </c>
      <c r="AB2781">
        <v>19</v>
      </c>
      <c r="AD2781">
        <v>0</v>
      </c>
      <c r="AE2781">
        <v>0</v>
      </c>
      <c r="AF2781">
        <v>0</v>
      </c>
      <c r="AG2781">
        <v>0</v>
      </c>
      <c r="AI2781">
        <v>0</v>
      </c>
      <c r="AJ2781">
        <v>14</v>
      </c>
      <c r="AK2781">
        <v>365</v>
      </c>
      <c r="AL2781">
        <v>365</v>
      </c>
      <c r="AM2781">
        <v>660</v>
      </c>
      <c r="AN2781">
        <v>44</v>
      </c>
      <c r="AP2781">
        <v>1</v>
      </c>
      <c r="AR2781" t="s">
        <v>2875</v>
      </c>
      <c r="AS2781" s="1">
        <v>44353.918298611112</v>
      </c>
      <c r="AT2781" s="1">
        <v>44353.919351851851</v>
      </c>
      <c r="AU2781" s="1">
        <v>44353.920706018522</v>
      </c>
      <c r="AV2781" t="s">
        <v>269</v>
      </c>
      <c r="AW2781" t="s">
        <v>270</v>
      </c>
      <c r="AX2781" t="s">
        <v>73</v>
      </c>
    </row>
    <row r="2782" spans="1:50" x14ac:dyDescent="0.3">
      <c r="A2782" t="str">
        <f>"201760C0300"</f>
        <v>201760C0300</v>
      </c>
      <c r="B2782" t="str">
        <f>"201760C03002"</f>
        <v>201760C03002</v>
      </c>
      <c r="C2782" t="str">
        <f t="shared" si="134"/>
        <v>20</v>
      </c>
      <c r="D2782" t="s">
        <v>67</v>
      </c>
      <c r="E2782" t="str">
        <f t="shared" ref="E2782:E2813" si="135">"012"</f>
        <v>012</v>
      </c>
      <c r="F2782" t="s">
        <v>2715</v>
      </c>
      <c r="G2782" t="str">
        <f>"1760"</f>
        <v>1760</v>
      </c>
      <c r="H2782" t="str">
        <f>"0003"</f>
        <v>0003</v>
      </c>
      <c r="I2782" t="s">
        <v>75</v>
      </c>
      <c r="J2782">
        <v>0</v>
      </c>
      <c r="K2782">
        <v>1</v>
      </c>
      <c r="L2782">
        <v>2</v>
      </c>
      <c r="M2782">
        <v>347</v>
      </c>
      <c r="N2782">
        <v>356</v>
      </c>
      <c r="O2782">
        <v>4</v>
      </c>
      <c r="P2782">
        <v>356</v>
      </c>
      <c r="Q2782">
        <v>18</v>
      </c>
      <c r="R2782">
        <v>38</v>
      </c>
      <c r="S2782">
        <v>1</v>
      </c>
      <c r="T2782">
        <v>5</v>
      </c>
      <c r="U2782">
        <v>34</v>
      </c>
      <c r="V2782">
        <v>27</v>
      </c>
      <c r="W2782">
        <v>12</v>
      </c>
      <c r="X2782">
        <v>148</v>
      </c>
      <c r="Y2782">
        <v>9</v>
      </c>
      <c r="Z2782">
        <v>14</v>
      </c>
      <c r="AA2782">
        <v>1</v>
      </c>
      <c r="AB2782">
        <v>30</v>
      </c>
      <c r="AD2782">
        <v>1</v>
      </c>
      <c r="AE2782">
        <v>0</v>
      </c>
      <c r="AF2782">
        <v>0</v>
      </c>
      <c r="AG2782">
        <v>0</v>
      </c>
      <c r="AI2782">
        <v>0</v>
      </c>
      <c r="AJ2782">
        <v>18</v>
      </c>
      <c r="AK2782">
        <v>356</v>
      </c>
      <c r="AL2782">
        <v>356</v>
      </c>
      <c r="AM2782">
        <v>659</v>
      </c>
      <c r="AN2782">
        <v>44</v>
      </c>
      <c r="AP2782">
        <v>1</v>
      </c>
      <c r="AR2782" t="s">
        <v>2876</v>
      </c>
      <c r="AS2782" s="1">
        <v>44353.921134259261</v>
      </c>
      <c r="AT2782" s="1">
        <v>44353.92328703704</v>
      </c>
      <c r="AU2782" s="1">
        <v>44353.92423611111</v>
      </c>
      <c r="AV2782" t="s">
        <v>269</v>
      </c>
      <c r="AW2782" t="s">
        <v>270</v>
      </c>
      <c r="AX2782" t="s">
        <v>73</v>
      </c>
    </row>
    <row r="2783" spans="1:50" x14ac:dyDescent="0.3">
      <c r="A2783" t="str">
        <f>"201761B0000"</f>
        <v>201761B0000</v>
      </c>
      <c r="B2783" t="str">
        <f>"201761B00002"</f>
        <v>201761B00002</v>
      </c>
      <c r="C2783" t="str">
        <f t="shared" si="134"/>
        <v>20</v>
      </c>
      <c r="D2783" t="s">
        <v>67</v>
      </c>
      <c r="E2783" t="str">
        <f t="shared" si="135"/>
        <v>012</v>
      </c>
      <c r="F2783" t="s">
        <v>2715</v>
      </c>
      <c r="G2783" t="str">
        <f>"1761"</f>
        <v>1761</v>
      </c>
      <c r="H2783" t="str">
        <f>"0000"</f>
        <v>0000</v>
      </c>
      <c r="I2783" t="s">
        <v>69</v>
      </c>
      <c r="J2783">
        <v>0</v>
      </c>
      <c r="K2783">
        <v>1</v>
      </c>
      <c r="L2783">
        <v>2</v>
      </c>
      <c r="M2783">
        <v>319</v>
      </c>
      <c r="N2783">
        <v>332</v>
      </c>
      <c r="O2783">
        <v>2</v>
      </c>
      <c r="P2783">
        <v>334</v>
      </c>
      <c r="Q2783">
        <v>22</v>
      </c>
      <c r="R2783">
        <v>43</v>
      </c>
      <c r="S2783">
        <v>1</v>
      </c>
      <c r="T2783">
        <v>3</v>
      </c>
      <c r="U2783">
        <v>32</v>
      </c>
      <c r="V2783">
        <v>43</v>
      </c>
      <c r="W2783">
        <v>21</v>
      </c>
      <c r="X2783">
        <v>123</v>
      </c>
      <c r="Y2783">
        <v>9</v>
      </c>
      <c r="Z2783">
        <v>5</v>
      </c>
      <c r="AA2783">
        <v>2</v>
      </c>
      <c r="AB2783">
        <v>16</v>
      </c>
      <c r="AD2783">
        <v>0</v>
      </c>
      <c r="AE2783">
        <v>0</v>
      </c>
      <c r="AF2783">
        <v>0</v>
      </c>
      <c r="AG2783">
        <v>0</v>
      </c>
      <c r="AI2783">
        <v>0</v>
      </c>
      <c r="AJ2783">
        <v>14</v>
      </c>
      <c r="AK2783">
        <v>334</v>
      </c>
      <c r="AL2783">
        <v>334</v>
      </c>
      <c r="AM2783">
        <v>610</v>
      </c>
      <c r="AN2783">
        <v>44</v>
      </c>
      <c r="AP2783">
        <v>1</v>
      </c>
      <c r="AR2783" t="s">
        <v>2877</v>
      </c>
      <c r="AS2783" s="1">
        <v>44353.927129629628</v>
      </c>
      <c r="AT2783" s="1">
        <v>44353.92827546296</v>
      </c>
      <c r="AU2783" s="1">
        <v>44353.929050925923</v>
      </c>
      <c r="AV2783" t="s">
        <v>269</v>
      </c>
      <c r="AW2783" t="s">
        <v>270</v>
      </c>
      <c r="AX2783" t="s">
        <v>73</v>
      </c>
    </row>
    <row r="2784" spans="1:50" x14ac:dyDescent="0.3">
      <c r="A2784" t="str">
        <f>"201761C0100"</f>
        <v>201761C0100</v>
      </c>
      <c r="B2784" t="str">
        <f>"201761C01002"</f>
        <v>201761C01002</v>
      </c>
      <c r="C2784" t="str">
        <f t="shared" si="134"/>
        <v>20</v>
      </c>
      <c r="D2784" t="s">
        <v>67</v>
      </c>
      <c r="E2784" t="str">
        <f t="shared" si="135"/>
        <v>012</v>
      </c>
      <c r="F2784" t="s">
        <v>2715</v>
      </c>
      <c r="G2784" t="str">
        <f>"1761"</f>
        <v>1761</v>
      </c>
      <c r="H2784" t="str">
        <f>"0001"</f>
        <v>0001</v>
      </c>
      <c r="I2784" t="s">
        <v>75</v>
      </c>
      <c r="J2784">
        <v>0</v>
      </c>
      <c r="K2784">
        <v>1</v>
      </c>
      <c r="L2784">
        <v>2</v>
      </c>
      <c r="M2784">
        <v>299</v>
      </c>
      <c r="N2784">
        <v>355</v>
      </c>
      <c r="O2784">
        <v>7</v>
      </c>
      <c r="P2784">
        <v>355</v>
      </c>
      <c r="Q2784">
        <v>21</v>
      </c>
      <c r="R2784">
        <v>63</v>
      </c>
      <c r="S2784">
        <v>3</v>
      </c>
      <c r="T2784">
        <v>5</v>
      </c>
      <c r="U2784">
        <v>32</v>
      </c>
      <c r="V2784">
        <v>36</v>
      </c>
      <c r="W2784">
        <v>11</v>
      </c>
      <c r="X2784">
        <v>135</v>
      </c>
      <c r="Y2784">
        <v>5</v>
      </c>
      <c r="Z2784">
        <v>7</v>
      </c>
      <c r="AA2784">
        <v>2</v>
      </c>
      <c r="AB2784">
        <v>19</v>
      </c>
      <c r="AD2784">
        <v>1</v>
      </c>
      <c r="AE2784">
        <v>0</v>
      </c>
      <c r="AF2784">
        <v>0</v>
      </c>
      <c r="AG2784">
        <v>0</v>
      </c>
      <c r="AI2784">
        <v>0</v>
      </c>
      <c r="AJ2784">
        <v>0</v>
      </c>
      <c r="AK2784">
        <v>355</v>
      </c>
      <c r="AL2784">
        <v>340</v>
      </c>
      <c r="AM2784">
        <v>610</v>
      </c>
      <c r="AN2784">
        <v>44</v>
      </c>
      <c r="AP2784">
        <v>1</v>
      </c>
      <c r="AR2784" t="s">
        <v>2878</v>
      </c>
      <c r="AS2784" s="1">
        <v>44353.909236111111</v>
      </c>
      <c r="AT2784" s="1">
        <v>44353.911354166667</v>
      </c>
      <c r="AU2784" s="1">
        <v>44353.911921296298</v>
      </c>
      <c r="AV2784" t="s">
        <v>269</v>
      </c>
      <c r="AW2784" t="s">
        <v>270</v>
      </c>
      <c r="AX2784" t="s">
        <v>73</v>
      </c>
    </row>
    <row r="2785" spans="1:50" x14ac:dyDescent="0.3">
      <c r="A2785" t="str">
        <f>"201761C0200"</f>
        <v>201761C0200</v>
      </c>
      <c r="B2785" t="str">
        <f>"201761C02002"</f>
        <v>201761C02002</v>
      </c>
      <c r="C2785" t="str">
        <f t="shared" si="134"/>
        <v>20</v>
      </c>
      <c r="D2785" t="s">
        <v>67</v>
      </c>
      <c r="E2785" t="str">
        <f t="shared" si="135"/>
        <v>012</v>
      </c>
      <c r="F2785" t="s">
        <v>2715</v>
      </c>
      <c r="G2785" t="str">
        <f>"1761"</f>
        <v>1761</v>
      </c>
      <c r="H2785" t="str">
        <f>"0002"</f>
        <v>0002</v>
      </c>
      <c r="I2785" t="s">
        <v>75</v>
      </c>
      <c r="J2785">
        <v>0</v>
      </c>
      <c r="K2785">
        <v>1</v>
      </c>
      <c r="L2785">
        <v>2</v>
      </c>
      <c r="M2785">
        <v>294</v>
      </c>
      <c r="N2785">
        <v>360</v>
      </c>
      <c r="O2785">
        <v>6</v>
      </c>
      <c r="P2785">
        <v>360</v>
      </c>
      <c r="Q2785">
        <v>31</v>
      </c>
      <c r="R2785">
        <v>42</v>
      </c>
      <c r="S2785">
        <v>3</v>
      </c>
      <c r="T2785">
        <v>2</v>
      </c>
      <c r="U2785">
        <v>40</v>
      </c>
      <c r="V2785">
        <v>56</v>
      </c>
      <c r="W2785">
        <v>11</v>
      </c>
      <c r="X2785">
        <v>141</v>
      </c>
      <c r="Y2785">
        <v>5</v>
      </c>
      <c r="Z2785">
        <v>11</v>
      </c>
      <c r="AA2785">
        <v>2</v>
      </c>
      <c r="AB2785">
        <v>9</v>
      </c>
      <c r="AD2785">
        <v>0</v>
      </c>
      <c r="AE2785">
        <v>0</v>
      </c>
      <c r="AF2785">
        <v>0</v>
      </c>
      <c r="AG2785">
        <v>0</v>
      </c>
      <c r="AI2785">
        <v>0</v>
      </c>
      <c r="AJ2785">
        <v>7</v>
      </c>
      <c r="AK2785">
        <v>360</v>
      </c>
      <c r="AL2785">
        <v>360</v>
      </c>
      <c r="AM2785">
        <v>610</v>
      </c>
      <c r="AN2785">
        <v>44</v>
      </c>
      <c r="AP2785">
        <v>1</v>
      </c>
      <c r="AR2785" t="s">
        <v>2879</v>
      </c>
      <c r="AS2785" s="1">
        <v>44353.871261574073</v>
      </c>
      <c r="AT2785" s="1">
        <v>44353.874039351853</v>
      </c>
      <c r="AU2785" s="1">
        <v>44353.876342592594</v>
      </c>
      <c r="AV2785" t="s">
        <v>269</v>
      </c>
      <c r="AW2785" t="s">
        <v>270</v>
      </c>
      <c r="AX2785" t="s">
        <v>73</v>
      </c>
    </row>
    <row r="2786" spans="1:50" x14ac:dyDescent="0.3">
      <c r="A2786" t="str">
        <f>"201761C0300"</f>
        <v>201761C0300</v>
      </c>
      <c r="B2786" t="str">
        <f>"201761C03002"</f>
        <v>201761C03002</v>
      </c>
      <c r="C2786" t="str">
        <f t="shared" si="134"/>
        <v>20</v>
      </c>
      <c r="D2786" t="s">
        <v>67</v>
      </c>
      <c r="E2786" t="str">
        <f t="shared" si="135"/>
        <v>012</v>
      </c>
      <c r="F2786" t="s">
        <v>2715</v>
      </c>
      <c r="G2786" t="str">
        <f>"1761"</f>
        <v>1761</v>
      </c>
      <c r="H2786" t="str">
        <f>"0003"</f>
        <v>0003</v>
      </c>
      <c r="I2786" t="s">
        <v>75</v>
      </c>
      <c r="J2786">
        <v>0</v>
      </c>
      <c r="K2786">
        <v>1</v>
      </c>
      <c r="L2786">
        <v>2</v>
      </c>
      <c r="M2786">
        <v>315</v>
      </c>
      <c r="N2786">
        <v>654</v>
      </c>
      <c r="O2786">
        <v>5</v>
      </c>
      <c r="P2786" t="s">
        <v>80</v>
      </c>
      <c r="Q2786">
        <v>29</v>
      </c>
      <c r="R2786">
        <v>42</v>
      </c>
      <c r="S2786">
        <v>1</v>
      </c>
      <c r="T2786">
        <v>1</v>
      </c>
      <c r="U2786">
        <v>28</v>
      </c>
      <c r="V2786">
        <v>27</v>
      </c>
      <c r="W2786">
        <v>20</v>
      </c>
      <c r="X2786">
        <v>143</v>
      </c>
      <c r="Y2786">
        <v>8</v>
      </c>
      <c r="Z2786">
        <v>12</v>
      </c>
      <c r="AA2786">
        <v>2</v>
      </c>
      <c r="AB2786">
        <v>13</v>
      </c>
      <c r="AD2786" t="s">
        <v>77</v>
      </c>
      <c r="AE2786" t="s">
        <v>77</v>
      </c>
      <c r="AF2786" t="s">
        <v>77</v>
      </c>
      <c r="AG2786" t="s">
        <v>77</v>
      </c>
      <c r="AI2786" t="s">
        <v>77</v>
      </c>
      <c r="AJ2786">
        <v>13</v>
      </c>
      <c r="AK2786">
        <v>339</v>
      </c>
      <c r="AL2786">
        <v>339</v>
      </c>
      <c r="AM2786">
        <v>610</v>
      </c>
      <c r="AN2786">
        <v>44</v>
      </c>
      <c r="AO2786" t="s">
        <v>78</v>
      </c>
      <c r="AP2786">
        <v>1</v>
      </c>
      <c r="AR2786" t="s">
        <v>2880</v>
      </c>
      <c r="AS2786" s="1">
        <v>44353.899398148147</v>
      </c>
      <c r="AT2786" s="1">
        <v>44353.901192129626</v>
      </c>
      <c r="AU2786" s="1">
        <v>44353.902395833335</v>
      </c>
      <c r="AV2786" t="s">
        <v>269</v>
      </c>
      <c r="AW2786" t="s">
        <v>270</v>
      </c>
      <c r="AX2786" t="s">
        <v>73</v>
      </c>
    </row>
    <row r="2787" spans="1:50" x14ac:dyDescent="0.3">
      <c r="A2787" t="str">
        <f>"201761C0400"</f>
        <v>201761C0400</v>
      </c>
      <c r="B2787" t="str">
        <f>"201761C04002"</f>
        <v>201761C04002</v>
      </c>
      <c r="C2787" t="str">
        <f t="shared" si="134"/>
        <v>20</v>
      </c>
      <c r="D2787" t="s">
        <v>67</v>
      </c>
      <c r="E2787" t="str">
        <f t="shared" si="135"/>
        <v>012</v>
      </c>
      <c r="F2787" t="s">
        <v>2715</v>
      </c>
      <c r="G2787" t="str">
        <f>"1761"</f>
        <v>1761</v>
      </c>
      <c r="H2787" t="str">
        <f>"0004"</f>
        <v>0004</v>
      </c>
      <c r="I2787" t="s">
        <v>75</v>
      </c>
      <c r="J2787">
        <v>0</v>
      </c>
      <c r="K2787">
        <v>1</v>
      </c>
      <c r="L2787">
        <v>2</v>
      </c>
      <c r="M2787">
        <v>299</v>
      </c>
      <c r="N2787">
        <v>355</v>
      </c>
      <c r="O2787">
        <v>7</v>
      </c>
      <c r="P2787">
        <v>355</v>
      </c>
      <c r="Q2787">
        <v>25</v>
      </c>
      <c r="R2787">
        <v>47</v>
      </c>
      <c r="S2787">
        <v>8</v>
      </c>
      <c r="T2787">
        <v>4</v>
      </c>
      <c r="U2787">
        <v>37</v>
      </c>
      <c r="V2787">
        <v>45</v>
      </c>
      <c r="W2787">
        <v>14</v>
      </c>
      <c r="X2787">
        <v>138</v>
      </c>
      <c r="Y2787">
        <v>7</v>
      </c>
      <c r="Z2787">
        <v>4</v>
      </c>
      <c r="AA2787">
        <v>0</v>
      </c>
      <c r="AB2787">
        <v>10</v>
      </c>
      <c r="AD2787">
        <v>0</v>
      </c>
      <c r="AE2787">
        <v>0</v>
      </c>
      <c r="AF2787">
        <v>0</v>
      </c>
      <c r="AG2787">
        <v>0</v>
      </c>
      <c r="AI2787">
        <v>0</v>
      </c>
      <c r="AJ2787">
        <v>16</v>
      </c>
      <c r="AK2787">
        <v>355</v>
      </c>
      <c r="AL2787">
        <v>355</v>
      </c>
      <c r="AM2787">
        <v>610</v>
      </c>
      <c r="AN2787">
        <v>44</v>
      </c>
      <c r="AP2787">
        <v>1</v>
      </c>
      <c r="AR2787" t="s">
        <v>2881</v>
      </c>
      <c r="AS2787" s="1">
        <v>44353.902013888888</v>
      </c>
      <c r="AT2787" s="1">
        <v>44353.90457175926</v>
      </c>
      <c r="AU2787" s="1">
        <v>44353.90519675926</v>
      </c>
      <c r="AV2787" t="s">
        <v>269</v>
      </c>
      <c r="AW2787" t="s">
        <v>270</v>
      </c>
      <c r="AX2787" t="s">
        <v>73</v>
      </c>
    </row>
    <row r="2788" spans="1:50" x14ac:dyDescent="0.3">
      <c r="A2788" t="str">
        <f>"201762B0000"</f>
        <v>201762B0000</v>
      </c>
      <c r="B2788" t="str">
        <f>"201762B00002"</f>
        <v>201762B00002</v>
      </c>
      <c r="C2788" t="str">
        <f t="shared" si="134"/>
        <v>20</v>
      </c>
      <c r="D2788" t="s">
        <v>67</v>
      </c>
      <c r="E2788" t="str">
        <f t="shared" si="135"/>
        <v>012</v>
      </c>
      <c r="F2788" t="s">
        <v>2715</v>
      </c>
      <c r="G2788" t="str">
        <f t="shared" ref="G2788:G2796" si="136">"1762"</f>
        <v>1762</v>
      </c>
      <c r="H2788" t="str">
        <f>"0000"</f>
        <v>0000</v>
      </c>
      <c r="I2788" t="s">
        <v>69</v>
      </c>
      <c r="J2788">
        <v>0</v>
      </c>
      <c r="K2788">
        <v>1</v>
      </c>
      <c r="L2788">
        <v>2</v>
      </c>
      <c r="M2788">
        <v>370</v>
      </c>
      <c r="N2788">
        <v>378</v>
      </c>
      <c r="O2788">
        <v>7</v>
      </c>
      <c r="P2788">
        <v>378</v>
      </c>
      <c r="Q2788">
        <v>36</v>
      </c>
      <c r="R2788">
        <v>39</v>
      </c>
      <c r="S2788">
        <v>9</v>
      </c>
      <c r="T2788">
        <v>4</v>
      </c>
      <c r="U2788">
        <v>54</v>
      </c>
      <c r="V2788">
        <v>38</v>
      </c>
      <c r="W2788">
        <v>5</v>
      </c>
      <c r="X2788">
        <v>141</v>
      </c>
      <c r="Y2788">
        <v>11</v>
      </c>
      <c r="Z2788">
        <v>11</v>
      </c>
      <c r="AA2788">
        <v>1</v>
      </c>
      <c r="AB2788">
        <v>22</v>
      </c>
      <c r="AD2788" t="s">
        <v>77</v>
      </c>
      <c r="AE2788" t="s">
        <v>77</v>
      </c>
      <c r="AF2788" t="s">
        <v>77</v>
      </c>
      <c r="AG2788" t="s">
        <v>77</v>
      </c>
      <c r="AI2788" t="s">
        <v>77</v>
      </c>
      <c r="AJ2788">
        <v>7</v>
      </c>
      <c r="AK2788">
        <v>378</v>
      </c>
      <c r="AL2788">
        <v>378</v>
      </c>
      <c r="AM2788">
        <v>704</v>
      </c>
      <c r="AN2788">
        <v>44</v>
      </c>
      <c r="AO2788" t="s">
        <v>78</v>
      </c>
      <c r="AP2788">
        <v>1</v>
      </c>
      <c r="AR2788" t="s">
        <v>2882</v>
      </c>
      <c r="AS2788" s="1">
        <v>44354.254861111112</v>
      </c>
      <c r="AT2788" s="1">
        <v>44354.258321759262</v>
      </c>
      <c r="AU2788" s="1">
        <v>44354.259270833332</v>
      </c>
      <c r="AV2788" t="s">
        <v>71</v>
      </c>
      <c r="AW2788" t="s">
        <v>72</v>
      </c>
      <c r="AX2788" t="s">
        <v>347</v>
      </c>
    </row>
    <row r="2789" spans="1:50" x14ac:dyDescent="0.3">
      <c r="A2789" t="str">
        <f>"201762C0100"</f>
        <v>201762C0100</v>
      </c>
      <c r="B2789" t="str">
        <f>"201762C01002"</f>
        <v>201762C01002</v>
      </c>
      <c r="C2789" t="str">
        <f t="shared" si="134"/>
        <v>20</v>
      </c>
      <c r="D2789" t="s">
        <v>67</v>
      </c>
      <c r="E2789" t="str">
        <f t="shared" si="135"/>
        <v>012</v>
      </c>
      <c r="F2789" t="s">
        <v>2715</v>
      </c>
      <c r="G2789" t="str">
        <f t="shared" si="136"/>
        <v>1762</v>
      </c>
      <c r="H2789" t="str">
        <f>"0001"</f>
        <v>0001</v>
      </c>
      <c r="I2789" t="s">
        <v>75</v>
      </c>
      <c r="J2789">
        <v>0</v>
      </c>
      <c r="K2789">
        <v>1</v>
      </c>
      <c r="L2789">
        <v>2</v>
      </c>
      <c r="M2789">
        <v>330</v>
      </c>
      <c r="N2789">
        <v>418</v>
      </c>
      <c r="O2789">
        <v>3</v>
      </c>
      <c r="P2789">
        <v>416</v>
      </c>
      <c r="Q2789">
        <v>23</v>
      </c>
      <c r="R2789">
        <v>56</v>
      </c>
      <c r="S2789">
        <v>2</v>
      </c>
      <c r="T2789">
        <v>2</v>
      </c>
      <c r="U2789">
        <v>50</v>
      </c>
      <c r="V2789">
        <v>44</v>
      </c>
      <c r="W2789">
        <v>11</v>
      </c>
      <c r="X2789">
        <v>173</v>
      </c>
      <c r="Y2789">
        <v>11</v>
      </c>
      <c r="Z2789">
        <v>9</v>
      </c>
      <c r="AA2789">
        <v>3</v>
      </c>
      <c r="AB2789">
        <v>20</v>
      </c>
      <c r="AD2789">
        <v>0</v>
      </c>
      <c r="AE2789">
        <v>0</v>
      </c>
      <c r="AF2789">
        <v>0</v>
      </c>
      <c r="AG2789">
        <v>0</v>
      </c>
      <c r="AI2789">
        <v>0</v>
      </c>
      <c r="AJ2789">
        <v>13</v>
      </c>
      <c r="AK2789">
        <v>417</v>
      </c>
      <c r="AL2789">
        <v>417</v>
      </c>
      <c r="AM2789">
        <v>704</v>
      </c>
      <c r="AN2789">
        <v>44</v>
      </c>
      <c r="AP2789">
        <v>1</v>
      </c>
      <c r="AR2789" t="s">
        <v>2883</v>
      </c>
      <c r="AS2789" s="1">
        <v>44353.966666666667</v>
      </c>
      <c r="AT2789" s="1">
        <v>44354.116851851853</v>
      </c>
      <c r="AU2789" s="1">
        <v>44354.117245370369</v>
      </c>
      <c r="AV2789" t="s">
        <v>71</v>
      </c>
      <c r="AW2789" t="s">
        <v>72</v>
      </c>
      <c r="AX2789" t="s">
        <v>73</v>
      </c>
    </row>
    <row r="2790" spans="1:50" x14ac:dyDescent="0.3">
      <c r="A2790" t="str">
        <f>"201762C0200"</f>
        <v>201762C0200</v>
      </c>
      <c r="B2790" t="str">
        <f>"201762C02002"</f>
        <v>201762C02002</v>
      </c>
      <c r="C2790" t="str">
        <f t="shared" si="134"/>
        <v>20</v>
      </c>
      <c r="D2790" t="s">
        <v>67</v>
      </c>
      <c r="E2790" t="str">
        <f t="shared" si="135"/>
        <v>012</v>
      </c>
      <c r="F2790" t="s">
        <v>2715</v>
      </c>
      <c r="G2790" t="str">
        <f t="shared" si="136"/>
        <v>1762</v>
      </c>
      <c r="H2790" t="str">
        <f>"0002"</f>
        <v>0002</v>
      </c>
      <c r="I2790" t="s">
        <v>75</v>
      </c>
      <c r="J2790">
        <v>0</v>
      </c>
      <c r="K2790">
        <v>1</v>
      </c>
      <c r="L2790">
        <v>2</v>
      </c>
      <c r="M2790">
        <v>332</v>
      </c>
      <c r="N2790">
        <v>415</v>
      </c>
      <c r="O2790">
        <v>14</v>
      </c>
      <c r="P2790">
        <v>415</v>
      </c>
      <c r="Q2790">
        <v>33</v>
      </c>
      <c r="R2790">
        <v>58</v>
      </c>
      <c r="S2790">
        <v>2</v>
      </c>
      <c r="T2790">
        <v>6</v>
      </c>
      <c r="U2790">
        <v>54</v>
      </c>
      <c r="V2790">
        <v>41</v>
      </c>
      <c r="W2790">
        <v>7</v>
      </c>
      <c r="X2790">
        <v>140</v>
      </c>
      <c r="Y2790">
        <v>12</v>
      </c>
      <c r="Z2790">
        <v>12</v>
      </c>
      <c r="AA2790">
        <v>1</v>
      </c>
      <c r="AB2790">
        <v>30</v>
      </c>
      <c r="AD2790">
        <v>0</v>
      </c>
      <c r="AE2790">
        <v>0</v>
      </c>
      <c r="AF2790">
        <v>0</v>
      </c>
      <c r="AG2790">
        <v>1</v>
      </c>
      <c r="AI2790">
        <v>0</v>
      </c>
      <c r="AJ2790">
        <v>18</v>
      </c>
      <c r="AK2790">
        <v>415</v>
      </c>
      <c r="AL2790">
        <v>415</v>
      </c>
      <c r="AM2790">
        <v>704</v>
      </c>
      <c r="AN2790">
        <v>44</v>
      </c>
      <c r="AP2790">
        <v>1</v>
      </c>
      <c r="AR2790" t="s">
        <v>2884</v>
      </c>
      <c r="AS2790" s="1">
        <v>44353.936111111114</v>
      </c>
      <c r="AT2790" s="1">
        <v>44354.116388888891</v>
      </c>
      <c r="AU2790" s="1">
        <v>44354.117083333331</v>
      </c>
      <c r="AV2790" t="s">
        <v>71</v>
      </c>
      <c r="AW2790" t="s">
        <v>72</v>
      </c>
      <c r="AX2790" t="s">
        <v>73</v>
      </c>
    </row>
    <row r="2791" spans="1:50" x14ac:dyDescent="0.3">
      <c r="A2791" t="str">
        <f>"201762E0100"</f>
        <v>201762E0100</v>
      </c>
      <c r="B2791" t="str">
        <f>"201762E01002"</f>
        <v>201762E01002</v>
      </c>
      <c r="C2791" t="str">
        <f t="shared" si="134"/>
        <v>20</v>
      </c>
      <c r="D2791" t="s">
        <v>67</v>
      </c>
      <c r="E2791" t="str">
        <f t="shared" si="135"/>
        <v>012</v>
      </c>
      <c r="F2791" t="s">
        <v>2715</v>
      </c>
      <c r="G2791" t="str">
        <f t="shared" si="136"/>
        <v>1762</v>
      </c>
      <c r="H2791" t="str">
        <f>"0001"</f>
        <v>0001</v>
      </c>
      <c r="I2791" t="s">
        <v>109</v>
      </c>
      <c r="J2791">
        <v>0</v>
      </c>
      <c r="K2791">
        <v>1</v>
      </c>
      <c r="L2791">
        <v>2</v>
      </c>
      <c r="M2791">
        <v>296</v>
      </c>
      <c r="N2791">
        <v>308</v>
      </c>
      <c r="O2791">
        <v>14</v>
      </c>
      <c r="P2791">
        <v>308</v>
      </c>
      <c r="Q2791">
        <v>18</v>
      </c>
      <c r="R2791">
        <v>41</v>
      </c>
      <c r="S2791">
        <v>5</v>
      </c>
      <c r="T2791">
        <v>4</v>
      </c>
      <c r="U2791">
        <v>28</v>
      </c>
      <c r="V2791">
        <v>27</v>
      </c>
      <c r="W2791">
        <v>8</v>
      </c>
      <c r="X2791">
        <v>130</v>
      </c>
      <c r="Y2791">
        <v>14</v>
      </c>
      <c r="Z2791">
        <v>5</v>
      </c>
      <c r="AA2791">
        <v>2</v>
      </c>
      <c r="AB2791">
        <v>18</v>
      </c>
      <c r="AD2791">
        <v>1</v>
      </c>
      <c r="AE2791">
        <v>0</v>
      </c>
      <c r="AF2791">
        <v>0</v>
      </c>
      <c r="AG2791">
        <v>0</v>
      </c>
      <c r="AI2791">
        <v>0</v>
      </c>
      <c r="AJ2791">
        <v>7</v>
      </c>
      <c r="AK2791">
        <v>308</v>
      </c>
      <c r="AL2791">
        <v>308</v>
      </c>
      <c r="AM2791">
        <v>560</v>
      </c>
      <c r="AN2791">
        <v>44</v>
      </c>
      <c r="AP2791">
        <v>1</v>
      </c>
      <c r="AR2791" t="s">
        <v>2885</v>
      </c>
      <c r="AS2791" s="1">
        <v>44353.959988425922</v>
      </c>
      <c r="AT2791" s="1">
        <v>44353.96162037037</v>
      </c>
      <c r="AU2791" s="1">
        <v>44353.962106481478</v>
      </c>
      <c r="AV2791" t="s">
        <v>269</v>
      </c>
      <c r="AW2791" t="s">
        <v>270</v>
      </c>
      <c r="AX2791" t="s">
        <v>73</v>
      </c>
    </row>
    <row r="2792" spans="1:50" x14ac:dyDescent="0.3">
      <c r="A2792" t="str">
        <f>"201762E0101"</f>
        <v>201762E0101</v>
      </c>
      <c r="B2792" t="str">
        <f>"201762E01012"</f>
        <v>201762E01012</v>
      </c>
      <c r="C2792" t="str">
        <f t="shared" si="134"/>
        <v>20</v>
      </c>
      <c r="D2792" t="s">
        <v>67</v>
      </c>
      <c r="E2792" t="str">
        <f t="shared" si="135"/>
        <v>012</v>
      </c>
      <c r="F2792" t="s">
        <v>2715</v>
      </c>
      <c r="G2792" t="str">
        <f t="shared" si="136"/>
        <v>1762</v>
      </c>
      <c r="H2792" t="str">
        <f>"0001"</f>
        <v>0001</v>
      </c>
      <c r="I2792" t="s">
        <v>109</v>
      </c>
      <c r="J2792">
        <v>1</v>
      </c>
      <c r="K2792">
        <v>1</v>
      </c>
      <c r="L2792">
        <v>2</v>
      </c>
      <c r="M2792">
        <v>322</v>
      </c>
      <c r="N2792">
        <v>281</v>
      </c>
      <c r="O2792">
        <v>14</v>
      </c>
      <c r="P2792">
        <v>281</v>
      </c>
      <c r="Q2792">
        <v>22</v>
      </c>
      <c r="R2792">
        <v>51</v>
      </c>
      <c r="S2792">
        <v>4</v>
      </c>
      <c r="T2792">
        <v>6</v>
      </c>
      <c r="U2792">
        <v>25</v>
      </c>
      <c r="V2792">
        <v>22</v>
      </c>
      <c r="W2792">
        <v>11</v>
      </c>
      <c r="X2792">
        <v>93</v>
      </c>
      <c r="Y2792">
        <v>15</v>
      </c>
      <c r="Z2792">
        <v>4</v>
      </c>
      <c r="AA2792">
        <v>2</v>
      </c>
      <c r="AB2792">
        <v>13</v>
      </c>
      <c r="AD2792" t="s">
        <v>77</v>
      </c>
      <c r="AE2792" t="s">
        <v>77</v>
      </c>
      <c r="AF2792" t="s">
        <v>77</v>
      </c>
      <c r="AG2792" t="s">
        <v>77</v>
      </c>
      <c r="AI2792" t="s">
        <v>77</v>
      </c>
      <c r="AJ2792">
        <v>13</v>
      </c>
      <c r="AK2792">
        <v>281</v>
      </c>
      <c r="AL2792">
        <v>281</v>
      </c>
      <c r="AM2792">
        <v>559</v>
      </c>
      <c r="AN2792">
        <v>44</v>
      </c>
      <c r="AO2792" t="s">
        <v>78</v>
      </c>
      <c r="AP2792">
        <v>1</v>
      </c>
      <c r="AR2792" t="s">
        <v>2886</v>
      </c>
      <c r="AS2792" s="1">
        <v>44354.103472222225</v>
      </c>
      <c r="AT2792" s="1">
        <v>44354.123113425929</v>
      </c>
      <c r="AU2792" s="1">
        <v>44354.123530092591</v>
      </c>
      <c r="AV2792" t="s">
        <v>71</v>
      </c>
      <c r="AW2792" t="s">
        <v>72</v>
      </c>
      <c r="AX2792" t="s">
        <v>73</v>
      </c>
    </row>
    <row r="2793" spans="1:50" x14ac:dyDescent="0.3">
      <c r="A2793" t="str">
        <f>"201762E0200"</f>
        <v>201762E0200</v>
      </c>
      <c r="B2793" t="str">
        <f>"201762E02002"</f>
        <v>201762E02002</v>
      </c>
      <c r="C2793" t="str">
        <f t="shared" si="134"/>
        <v>20</v>
      </c>
      <c r="D2793" t="s">
        <v>67</v>
      </c>
      <c r="E2793" t="str">
        <f t="shared" si="135"/>
        <v>012</v>
      </c>
      <c r="F2793" t="s">
        <v>2715</v>
      </c>
      <c r="G2793" t="str">
        <f t="shared" si="136"/>
        <v>1762</v>
      </c>
      <c r="H2793" t="str">
        <f>"0002"</f>
        <v>0002</v>
      </c>
      <c r="I2793" t="s">
        <v>109</v>
      </c>
      <c r="J2793">
        <v>0</v>
      </c>
      <c r="K2793">
        <v>1</v>
      </c>
      <c r="L2793">
        <v>2</v>
      </c>
      <c r="M2793">
        <v>367</v>
      </c>
      <c r="N2793">
        <v>400</v>
      </c>
      <c r="O2793">
        <v>15</v>
      </c>
      <c r="P2793">
        <v>400</v>
      </c>
      <c r="Q2793">
        <v>19</v>
      </c>
      <c r="R2793">
        <v>68</v>
      </c>
      <c r="S2793">
        <v>2</v>
      </c>
      <c r="T2793">
        <v>6</v>
      </c>
      <c r="U2793">
        <v>50</v>
      </c>
      <c r="V2793">
        <v>32</v>
      </c>
      <c r="W2793">
        <v>8</v>
      </c>
      <c r="X2793">
        <v>175</v>
      </c>
      <c r="Y2793">
        <v>7</v>
      </c>
      <c r="Z2793">
        <v>6</v>
      </c>
      <c r="AA2793">
        <v>0</v>
      </c>
      <c r="AB2793">
        <v>13</v>
      </c>
      <c r="AD2793">
        <v>1</v>
      </c>
      <c r="AE2793">
        <v>0</v>
      </c>
      <c r="AF2793">
        <v>0</v>
      </c>
      <c r="AG2793">
        <v>1</v>
      </c>
      <c r="AI2793">
        <v>0</v>
      </c>
      <c r="AJ2793">
        <v>12</v>
      </c>
      <c r="AK2793">
        <v>400</v>
      </c>
      <c r="AL2793">
        <v>400</v>
      </c>
      <c r="AM2793">
        <v>723</v>
      </c>
      <c r="AN2793">
        <v>44</v>
      </c>
      <c r="AP2793">
        <v>1</v>
      </c>
      <c r="AR2793" t="s">
        <v>2887</v>
      </c>
      <c r="AS2793" s="1">
        <v>44353.918437499997</v>
      </c>
      <c r="AT2793" s="1">
        <v>44353.920451388891</v>
      </c>
      <c r="AU2793" s="1">
        <v>44353.921053240738</v>
      </c>
      <c r="AV2793" t="s">
        <v>269</v>
      </c>
      <c r="AW2793" t="s">
        <v>270</v>
      </c>
      <c r="AX2793" t="s">
        <v>73</v>
      </c>
    </row>
    <row r="2794" spans="1:50" x14ac:dyDescent="0.3">
      <c r="A2794" t="str">
        <f>"201762E0201"</f>
        <v>201762E0201</v>
      </c>
      <c r="B2794" t="str">
        <f>"201762E02012"</f>
        <v>201762E02012</v>
      </c>
      <c r="C2794" t="str">
        <f t="shared" si="134"/>
        <v>20</v>
      </c>
      <c r="D2794" t="s">
        <v>67</v>
      </c>
      <c r="E2794" t="str">
        <f t="shared" si="135"/>
        <v>012</v>
      </c>
      <c r="F2794" t="s">
        <v>2715</v>
      </c>
      <c r="G2794" t="str">
        <f t="shared" si="136"/>
        <v>1762</v>
      </c>
      <c r="H2794" t="str">
        <f>"0002"</f>
        <v>0002</v>
      </c>
      <c r="I2794" t="s">
        <v>109</v>
      </c>
      <c r="J2794">
        <v>1</v>
      </c>
      <c r="K2794">
        <v>1</v>
      </c>
      <c r="L2794">
        <v>2</v>
      </c>
      <c r="M2794">
        <v>388</v>
      </c>
      <c r="N2794">
        <v>378</v>
      </c>
      <c r="O2794">
        <v>9</v>
      </c>
      <c r="P2794">
        <v>378</v>
      </c>
      <c r="Q2794">
        <v>20</v>
      </c>
      <c r="R2794">
        <v>46</v>
      </c>
      <c r="S2794">
        <v>3</v>
      </c>
      <c r="T2794">
        <v>5</v>
      </c>
      <c r="U2794">
        <v>59</v>
      </c>
      <c r="V2794">
        <v>30</v>
      </c>
      <c r="W2794">
        <v>6</v>
      </c>
      <c r="X2794">
        <v>164</v>
      </c>
      <c r="Y2794">
        <v>7</v>
      </c>
      <c r="Z2794">
        <v>11</v>
      </c>
      <c r="AA2794">
        <v>1</v>
      </c>
      <c r="AB2794">
        <v>13</v>
      </c>
      <c r="AD2794">
        <v>0</v>
      </c>
      <c r="AE2794">
        <v>1</v>
      </c>
      <c r="AF2794">
        <v>0</v>
      </c>
      <c r="AG2794">
        <v>0</v>
      </c>
      <c r="AI2794">
        <v>0</v>
      </c>
      <c r="AJ2794">
        <v>13</v>
      </c>
      <c r="AK2794">
        <v>378</v>
      </c>
      <c r="AL2794">
        <v>379</v>
      </c>
      <c r="AM2794">
        <v>722</v>
      </c>
      <c r="AN2794">
        <v>44</v>
      </c>
      <c r="AP2794">
        <v>1</v>
      </c>
      <c r="AR2794" t="s">
        <v>2888</v>
      </c>
      <c r="AS2794" s="1">
        <v>44354.145833333336</v>
      </c>
      <c r="AT2794" s="1">
        <v>44354.152418981481</v>
      </c>
      <c r="AU2794" s="1">
        <v>44354.152858796297</v>
      </c>
      <c r="AV2794" t="s">
        <v>71</v>
      </c>
      <c r="AW2794" t="s">
        <v>72</v>
      </c>
      <c r="AX2794" t="s">
        <v>73</v>
      </c>
    </row>
    <row r="2795" spans="1:50" x14ac:dyDescent="0.3">
      <c r="A2795" t="str">
        <f>"201762E0300"</f>
        <v>201762E0300</v>
      </c>
      <c r="B2795" t="str">
        <f>"201762E03002"</f>
        <v>201762E03002</v>
      </c>
      <c r="C2795" t="str">
        <f t="shared" si="134"/>
        <v>20</v>
      </c>
      <c r="D2795" t="s">
        <v>67</v>
      </c>
      <c r="E2795" t="str">
        <f t="shared" si="135"/>
        <v>012</v>
      </c>
      <c r="F2795" t="s">
        <v>2715</v>
      </c>
      <c r="G2795" t="str">
        <f t="shared" si="136"/>
        <v>1762</v>
      </c>
      <c r="H2795" t="str">
        <f>"0003"</f>
        <v>0003</v>
      </c>
      <c r="I2795" t="s">
        <v>109</v>
      </c>
      <c r="J2795">
        <v>0</v>
      </c>
      <c r="K2795">
        <v>1</v>
      </c>
      <c r="L2795">
        <v>2</v>
      </c>
      <c r="M2795">
        <v>340</v>
      </c>
      <c r="N2795">
        <v>406</v>
      </c>
      <c r="O2795">
        <v>16</v>
      </c>
      <c r="P2795">
        <v>406</v>
      </c>
      <c r="Q2795">
        <v>36</v>
      </c>
      <c r="R2795">
        <v>49</v>
      </c>
      <c r="S2795">
        <v>3</v>
      </c>
      <c r="T2795">
        <v>4</v>
      </c>
      <c r="U2795">
        <v>54</v>
      </c>
      <c r="V2795">
        <v>19</v>
      </c>
      <c r="W2795">
        <v>27</v>
      </c>
      <c r="X2795">
        <v>156</v>
      </c>
      <c r="Y2795">
        <v>7</v>
      </c>
      <c r="Z2795">
        <v>4</v>
      </c>
      <c r="AA2795">
        <v>4</v>
      </c>
      <c r="AB2795">
        <v>34</v>
      </c>
      <c r="AD2795">
        <v>0</v>
      </c>
      <c r="AE2795">
        <v>0</v>
      </c>
      <c r="AF2795">
        <v>0</v>
      </c>
      <c r="AG2795">
        <v>0</v>
      </c>
      <c r="AI2795">
        <v>0</v>
      </c>
      <c r="AJ2795">
        <v>9</v>
      </c>
      <c r="AK2795">
        <v>406</v>
      </c>
      <c r="AL2795">
        <v>406</v>
      </c>
      <c r="AM2795">
        <v>703</v>
      </c>
      <c r="AN2795">
        <v>44</v>
      </c>
      <c r="AP2795">
        <v>1</v>
      </c>
      <c r="AR2795" t="s">
        <v>2889</v>
      </c>
      <c r="AS2795" s="1">
        <v>44354.140277777777</v>
      </c>
      <c r="AT2795" s="1">
        <v>44354.153217592589</v>
      </c>
      <c r="AU2795" s="1">
        <v>44354.154756944445</v>
      </c>
      <c r="AV2795" t="s">
        <v>71</v>
      </c>
      <c r="AW2795" t="s">
        <v>72</v>
      </c>
      <c r="AX2795" t="s">
        <v>73</v>
      </c>
    </row>
    <row r="2796" spans="1:50" x14ac:dyDescent="0.3">
      <c r="A2796" t="str">
        <f>"201762E0301"</f>
        <v>201762E0301</v>
      </c>
      <c r="B2796" t="str">
        <f>"201762E03012"</f>
        <v>201762E03012</v>
      </c>
      <c r="C2796" t="str">
        <f t="shared" si="134"/>
        <v>20</v>
      </c>
      <c r="D2796" t="s">
        <v>67</v>
      </c>
      <c r="E2796" t="str">
        <f t="shared" si="135"/>
        <v>012</v>
      </c>
      <c r="F2796" t="s">
        <v>2715</v>
      </c>
      <c r="G2796" t="str">
        <f t="shared" si="136"/>
        <v>1762</v>
      </c>
      <c r="H2796" t="str">
        <f>"0003"</f>
        <v>0003</v>
      </c>
      <c r="I2796" t="s">
        <v>109</v>
      </c>
      <c r="J2796">
        <v>1</v>
      </c>
      <c r="K2796">
        <v>1</v>
      </c>
      <c r="L2796">
        <v>2</v>
      </c>
      <c r="M2796">
        <v>368</v>
      </c>
      <c r="N2796">
        <v>379</v>
      </c>
      <c r="O2796">
        <v>4</v>
      </c>
      <c r="P2796">
        <v>379</v>
      </c>
      <c r="Q2796">
        <v>30</v>
      </c>
      <c r="R2796">
        <v>45</v>
      </c>
      <c r="S2796">
        <v>3</v>
      </c>
      <c r="T2796">
        <v>1</v>
      </c>
      <c r="U2796">
        <v>54</v>
      </c>
      <c r="V2796">
        <v>25</v>
      </c>
      <c r="W2796">
        <v>29</v>
      </c>
      <c r="X2796">
        <v>122</v>
      </c>
      <c r="Y2796">
        <v>8</v>
      </c>
      <c r="Z2796">
        <v>10</v>
      </c>
      <c r="AA2796">
        <v>4</v>
      </c>
      <c r="AB2796">
        <v>40</v>
      </c>
      <c r="AD2796">
        <v>0</v>
      </c>
      <c r="AE2796">
        <v>0</v>
      </c>
      <c r="AF2796">
        <v>0</v>
      </c>
      <c r="AG2796">
        <v>0</v>
      </c>
      <c r="AI2796">
        <v>0</v>
      </c>
      <c r="AJ2796">
        <v>8</v>
      </c>
      <c r="AK2796">
        <v>379</v>
      </c>
      <c r="AL2796">
        <v>379</v>
      </c>
      <c r="AM2796">
        <v>703</v>
      </c>
      <c r="AN2796">
        <v>44</v>
      </c>
      <c r="AP2796">
        <v>1</v>
      </c>
      <c r="AR2796" t="s">
        <v>2890</v>
      </c>
      <c r="AS2796" s="1">
        <v>44354.140277777777</v>
      </c>
      <c r="AT2796" s="1">
        <v>44354.151226851849</v>
      </c>
      <c r="AU2796" s="1">
        <v>44354.151886574073</v>
      </c>
      <c r="AV2796" t="s">
        <v>71</v>
      </c>
      <c r="AW2796" t="s">
        <v>72</v>
      </c>
      <c r="AX2796" t="s">
        <v>73</v>
      </c>
    </row>
    <row r="2797" spans="1:50" x14ac:dyDescent="0.3">
      <c r="A2797" t="str">
        <f>"201763B0000"</f>
        <v>201763B0000</v>
      </c>
      <c r="B2797" t="str">
        <f>"201763B00002"</f>
        <v>201763B00002</v>
      </c>
      <c r="C2797" t="str">
        <f t="shared" si="134"/>
        <v>20</v>
      </c>
      <c r="D2797" t="s">
        <v>67</v>
      </c>
      <c r="E2797" t="str">
        <f t="shared" si="135"/>
        <v>012</v>
      </c>
      <c r="F2797" t="s">
        <v>2715</v>
      </c>
      <c r="G2797" t="str">
        <f>"1763"</f>
        <v>1763</v>
      </c>
      <c r="H2797" t="str">
        <f>"0000"</f>
        <v>0000</v>
      </c>
      <c r="I2797" t="s">
        <v>69</v>
      </c>
      <c r="J2797">
        <v>0</v>
      </c>
      <c r="K2797">
        <v>1</v>
      </c>
      <c r="L2797">
        <v>2</v>
      </c>
      <c r="M2797">
        <v>317</v>
      </c>
      <c r="N2797">
        <v>344</v>
      </c>
      <c r="O2797">
        <v>10</v>
      </c>
      <c r="P2797">
        <v>344</v>
      </c>
      <c r="Q2797">
        <v>16</v>
      </c>
      <c r="R2797">
        <v>32</v>
      </c>
      <c r="S2797">
        <v>1</v>
      </c>
      <c r="T2797">
        <v>5</v>
      </c>
      <c r="U2797">
        <v>34</v>
      </c>
      <c r="V2797">
        <v>17</v>
      </c>
      <c r="W2797">
        <v>1</v>
      </c>
      <c r="X2797">
        <v>180</v>
      </c>
      <c r="Y2797">
        <v>4</v>
      </c>
      <c r="Z2797">
        <v>8</v>
      </c>
      <c r="AA2797">
        <v>5</v>
      </c>
      <c r="AB2797">
        <v>24</v>
      </c>
      <c r="AD2797">
        <v>4</v>
      </c>
      <c r="AE2797" t="s">
        <v>77</v>
      </c>
      <c r="AF2797" t="s">
        <v>77</v>
      </c>
      <c r="AG2797" t="s">
        <v>77</v>
      </c>
      <c r="AI2797" t="s">
        <v>77</v>
      </c>
      <c r="AJ2797">
        <v>13</v>
      </c>
      <c r="AK2797">
        <v>344</v>
      </c>
      <c r="AL2797">
        <v>344</v>
      </c>
      <c r="AM2797">
        <v>619</v>
      </c>
      <c r="AN2797">
        <v>44</v>
      </c>
      <c r="AO2797" t="s">
        <v>78</v>
      </c>
      <c r="AP2797">
        <v>1</v>
      </c>
      <c r="AR2797" t="s">
        <v>2891</v>
      </c>
      <c r="AS2797" s="1">
        <v>44354.1</v>
      </c>
      <c r="AT2797" s="1">
        <v>44354.197858796295</v>
      </c>
      <c r="AU2797" s="1">
        <v>44354.198796296296</v>
      </c>
      <c r="AV2797" t="s">
        <v>71</v>
      </c>
      <c r="AW2797" t="s">
        <v>72</v>
      </c>
      <c r="AX2797" t="s">
        <v>73</v>
      </c>
    </row>
    <row r="2798" spans="1:50" x14ac:dyDescent="0.3">
      <c r="A2798" t="str">
        <f>"201763C0100"</f>
        <v>201763C0100</v>
      </c>
      <c r="B2798" t="str">
        <f>"201763C01002"</f>
        <v>201763C01002</v>
      </c>
      <c r="C2798" t="str">
        <f t="shared" si="134"/>
        <v>20</v>
      </c>
      <c r="D2798" t="s">
        <v>67</v>
      </c>
      <c r="E2798" t="str">
        <f t="shared" si="135"/>
        <v>012</v>
      </c>
      <c r="F2798" t="s">
        <v>2715</v>
      </c>
      <c r="G2798" t="str">
        <f>"1763"</f>
        <v>1763</v>
      </c>
      <c r="H2798" t="str">
        <f>"0001"</f>
        <v>0001</v>
      </c>
      <c r="I2798" t="s">
        <v>75</v>
      </c>
      <c r="J2798">
        <v>0</v>
      </c>
      <c r="K2798">
        <v>1</v>
      </c>
      <c r="L2798">
        <v>2</v>
      </c>
      <c r="M2798">
        <v>227</v>
      </c>
      <c r="N2798">
        <v>331</v>
      </c>
      <c r="O2798">
        <v>7</v>
      </c>
      <c r="P2798">
        <v>331</v>
      </c>
      <c r="Q2798">
        <v>16</v>
      </c>
      <c r="R2798">
        <v>44</v>
      </c>
      <c r="S2798">
        <v>1</v>
      </c>
      <c r="T2798">
        <v>2</v>
      </c>
      <c r="U2798">
        <v>34</v>
      </c>
      <c r="V2798">
        <v>9</v>
      </c>
      <c r="W2798">
        <v>12</v>
      </c>
      <c r="X2798">
        <v>168</v>
      </c>
      <c r="Y2798">
        <v>4</v>
      </c>
      <c r="Z2798">
        <v>11</v>
      </c>
      <c r="AA2798">
        <v>1</v>
      </c>
      <c r="AB2798">
        <v>15</v>
      </c>
      <c r="AD2798" t="s">
        <v>77</v>
      </c>
      <c r="AE2798" t="s">
        <v>77</v>
      </c>
      <c r="AF2798" t="s">
        <v>77</v>
      </c>
      <c r="AG2798" t="s">
        <v>77</v>
      </c>
      <c r="AI2798" t="s">
        <v>77</v>
      </c>
      <c r="AJ2798">
        <v>14</v>
      </c>
      <c r="AK2798">
        <v>331</v>
      </c>
      <c r="AL2798">
        <v>331</v>
      </c>
      <c r="AM2798">
        <v>618</v>
      </c>
      <c r="AN2798">
        <v>44</v>
      </c>
      <c r="AO2798" t="s">
        <v>78</v>
      </c>
      <c r="AP2798">
        <v>1</v>
      </c>
      <c r="AR2798" t="s">
        <v>2892</v>
      </c>
      <c r="AS2798" s="1">
        <v>44354.097222222219</v>
      </c>
      <c r="AT2798" s="1">
        <v>44354.194062499999</v>
      </c>
      <c r="AU2798" s="1">
        <v>44354.194606481484</v>
      </c>
      <c r="AV2798" t="s">
        <v>71</v>
      </c>
      <c r="AW2798" t="s">
        <v>72</v>
      </c>
      <c r="AX2798" t="s">
        <v>73</v>
      </c>
    </row>
    <row r="2799" spans="1:50" x14ac:dyDescent="0.3">
      <c r="A2799" t="str">
        <f>"201764B0000"</f>
        <v>201764B0000</v>
      </c>
      <c r="B2799" t="str">
        <f>"201764B00002"</f>
        <v>201764B00002</v>
      </c>
      <c r="C2799" t="str">
        <f t="shared" si="134"/>
        <v>20</v>
      </c>
      <c r="D2799" t="s">
        <v>67</v>
      </c>
      <c r="E2799" t="str">
        <f t="shared" si="135"/>
        <v>012</v>
      </c>
      <c r="F2799" t="s">
        <v>2715</v>
      </c>
      <c r="G2799" t="str">
        <f>"1764"</f>
        <v>1764</v>
      </c>
      <c r="H2799" t="str">
        <f>"0000"</f>
        <v>0000</v>
      </c>
      <c r="I2799" t="s">
        <v>69</v>
      </c>
      <c r="J2799">
        <v>0</v>
      </c>
      <c r="K2799">
        <v>1</v>
      </c>
      <c r="L2799">
        <v>2</v>
      </c>
      <c r="M2799">
        <v>267</v>
      </c>
      <c r="N2799">
        <v>327</v>
      </c>
      <c r="O2799">
        <v>7</v>
      </c>
      <c r="P2799">
        <v>328</v>
      </c>
      <c r="Q2799">
        <v>10</v>
      </c>
      <c r="R2799">
        <v>45</v>
      </c>
      <c r="S2799">
        <v>4</v>
      </c>
      <c r="T2799">
        <v>3</v>
      </c>
      <c r="U2799">
        <v>36</v>
      </c>
      <c r="V2799">
        <v>19</v>
      </c>
      <c r="W2799">
        <v>5</v>
      </c>
      <c r="X2799">
        <v>147</v>
      </c>
      <c r="Y2799">
        <v>8</v>
      </c>
      <c r="Z2799">
        <v>3</v>
      </c>
      <c r="AA2799">
        <v>3</v>
      </c>
      <c r="AB2799">
        <v>31</v>
      </c>
      <c r="AD2799">
        <v>1</v>
      </c>
      <c r="AE2799">
        <v>0</v>
      </c>
      <c r="AF2799">
        <v>0</v>
      </c>
      <c r="AG2799">
        <v>0</v>
      </c>
      <c r="AI2799">
        <v>0</v>
      </c>
      <c r="AJ2799">
        <v>13</v>
      </c>
      <c r="AK2799">
        <v>328</v>
      </c>
      <c r="AL2799">
        <v>328</v>
      </c>
      <c r="AM2799">
        <v>551</v>
      </c>
      <c r="AN2799">
        <v>44</v>
      </c>
      <c r="AP2799">
        <v>1</v>
      </c>
      <c r="AR2799" t="s">
        <v>2893</v>
      </c>
      <c r="AS2799" s="1">
        <v>44353.876979166664</v>
      </c>
      <c r="AT2799" s="1">
        <v>44353.878761574073</v>
      </c>
      <c r="AU2799" s="1">
        <v>44353.879490740743</v>
      </c>
      <c r="AV2799" t="s">
        <v>269</v>
      </c>
      <c r="AW2799" t="s">
        <v>270</v>
      </c>
      <c r="AX2799" t="s">
        <v>73</v>
      </c>
    </row>
    <row r="2800" spans="1:50" x14ac:dyDescent="0.3">
      <c r="A2800" t="str">
        <f>"201764C0100"</f>
        <v>201764C0100</v>
      </c>
      <c r="B2800" t="str">
        <f>"201764C01002"</f>
        <v>201764C01002</v>
      </c>
      <c r="C2800" t="str">
        <f t="shared" si="134"/>
        <v>20</v>
      </c>
      <c r="D2800" t="s">
        <v>67</v>
      </c>
      <c r="E2800" t="str">
        <f t="shared" si="135"/>
        <v>012</v>
      </c>
      <c r="F2800" t="s">
        <v>2715</v>
      </c>
      <c r="G2800" t="str">
        <f>"1764"</f>
        <v>1764</v>
      </c>
      <c r="H2800" t="str">
        <f>"0001"</f>
        <v>0001</v>
      </c>
      <c r="I2800" t="s">
        <v>75</v>
      </c>
      <c r="J2800">
        <v>0</v>
      </c>
      <c r="K2800">
        <v>1</v>
      </c>
      <c r="L2800">
        <v>2</v>
      </c>
      <c r="M2800">
        <v>287</v>
      </c>
      <c r="N2800">
        <v>307</v>
      </c>
      <c r="O2800">
        <v>6</v>
      </c>
      <c r="P2800">
        <v>308</v>
      </c>
      <c r="Q2800">
        <v>18</v>
      </c>
      <c r="R2800">
        <v>36</v>
      </c>
      <c r="S2800">
        <v>3</v>
      </c>
      <c r="T2800">
        <v>3</v>
      </c>
      <c r="U2800">
        <v>34</v>
      </c>
      <c r="V2800">
        <v>27</v>
      </c>
      <c r="W2800">
        <v>5</v>
      </c>
      <c r="X2800">
        <v>143</v>
      </c>
      <c r="Y2800">
        <v>3</v>
      </c>
      <c r="Z2800">
        <v>6</v>
      </c>
      <c r="AA2800">
        <v>1</v>
      </c>
      <c r="AB2800">
        <v>20</v>
      </c>
      <c r="AD2800">
        <v>0</v>
      </c>
      <c r="AE2800">
        <v>1</v>
      </c>
      <c r="AF2800">
        <v>1</v>
      </c>
      <c r="AG2800">
        <v>0</v>
      </c>
      <c r="AI2800">
        <v>0</v>
      </c>
      <c r="AJ2800">
        <v>7</v>
      </c>
      <c r="AK2800">
        <v>308</v>
      </c>
      <c r="AL2800">
        <v>308</v>
      </c>
      <c r="AM2800">
        <v>551</v>
      </c>
      <c r="AN2800">
        <v>44</v>
      </c>
      <c r="AP2800">
        <v>1</v>
      </c>
      <c r="AR2800" t="s">
        <v>2894</v>
      </c>
      <c r="AS2800" s="1">
        <v>44353.88449074074</v>
      </c>
      <c r="AT2800" s="1">
        <v>44353.886250000003</v>
      </c>
      <c r="AU2800" s="1">
        <v>44353.887453703705</v>
      </c>
      <c r="AV2800" t="s">
        <v>269</v>
      </c>
      <c r="AW2800" t="s">
        <v>270</v>
      </c>
      <c r="AX2800" t="s">
        <v>73</v>
      </c>
    </row>
    <row r="2801" spans="1:50" x14ac:dyDescent="0.3">
      <c r="A2801" t="str">
        <f>"201765B0000"</f>
        <v>201765B0000</v>
      </c>
      <c r="B2801" t="str">
        <f>"201765B00002"</f>
        <v>201765B00002</v>
      </c>
      <c r="C2801" t="str">
        <f t="shared" si="134"/>
        <v>20</v>
      </c>
      <c r="D2801" t="s">
        <v>67</v>
      </c>
      <c r="E2801" t="str">
        <f t="shared" si="135"/>
        <v>012</v>
      </c>
      <c r="F2801" t="s">
        <v>2715</v>
      </c>
      <c r="G2801" t="str">
        <f>"1765"</f>
        <v>1765</v>
      </c>
      <c r="H2801" t="str">
        <f>"0000"</f>
        <v>0000</v>
      </c>
      <c r="I2801" t="s">
        <v>69</v>
      </c>
      <c r="J2801">
        <v>0</v>
      </c>
      <c r="K2801">
        <v>1</v>
      </c>
      <c r="L2801">
        <v>2</v>
      </c>
      <c r="M2801">
        <v>325</v>
      </c>
      <c r="N2801">
        <v>458</v>
      </c>
      <c r="O2801">
        <v>10</v>
      </c>
      <c r="P2801">
        <v>458</v>
      </c>
      <c r="Q2801">
        <v>32</v>
      </c>
      <c r="R2801">
        <v>63</v>
      </c>
      <c r="S2801">
        <v>2</v>
      </c>
      <c r="T2801">
        <v>5</v>
      </c>
      <c r="U2801">
        <v>59</v>
      </c>
      <c r="V2801">
        <v>16</v>
      </c>
      <c r="W2801">
        <v>7</v>
      </c>
      <c r="X2801">
        <v>215</v>
      </c>
      <c r="Y2801">
        <v>8</v>
      </c>
      <c r="Z2801">
        <v>4</v>
      </c>
      <c r="AA2801">
        <v>3</v>
      </c>
      <c r="AB2801">
        <v>24</v>
      </c>
      <c r="AD2801">
        <v>1</v>
      </c>
      <c r="AE2801">
        <v>2</v>
      </c>
      <c r="AF2801">
        <v>0</v>
      </c>
      <c r="AG2801">
        <v>0</v>
      </c>
      <c r="AI2801">
        <v>0</v>
      </c>
      <c r="AJ2801">
        <v>17</v>
      </c>
      <c r="AK2801">
        <v>458</v>
      </c>
      <c r="AL2801">
        <v>458</v>
      </c>
      <c r="AM2801">
        <v>739</v>
      </c>
      <c r="AN2801">
        <v>44</v>
      </c>
      <c r="AP2801">
        <v>1</v>
      </c>
      <c r="AR2801" t="s">
        <v>2895</v>
      </c>
      <c r="AS2801" s="1">
        <v>44354.099305555559</v>
      </c>
      <c r="AT2801" s="1">
        <v>44354.114652777775</v>
      </c>
      <c r="AU2801" s="1">
        <v>44354.116030092591</v>
      </c>
      <c r="AV2801" t="s">
        <v>71</v>
      </c>
      <c r="AW2801" t="s">
        <v>72</v>
      </c>
      <c r="AX2801" t="s">
        <v>73</v>
      </c>
    </row>
    <row r="2802" spans="1:50" x14ac:dyDescent="0.3">
      <c r="A2802" t="str">
        <f>"201765C0100"</f>
        <v>201765C0100</v>
      </c>
      <c r="B2802" t="str">
        <f>"201765C01002"</f>
        <v>201765C01002</v>
      </c>
      <c r="C2802" t="str">
        <f t="shared" si="134"/>
        <v>20</v>
      </c>
      <c r="D2802" t="s">
        <v>67</v>
      </c>
      <c r="E2802" t="str">
        <f t="shared" si="135"/>
        <v>012</v>
      </c>
      <c r="F2802" t="s">
        <v>2715</v>
      </c>
      <c r="G2802" t="str">
        <f>"1765"</f>
        <v>1765</v>
      </c>
      <c r="H2802" t="str">
        <f>"0001"</f>
        <v>0001</v>
      </c>
      <c r="I2802" t="s">
        <v>75</v>
      </c>
      <c r="J2802">
        <v>0</v>
      </c>
      <c r="K2802">
        <v>1</v>
      </c>
      <c r="L2802">
        <v>2</v>
      </c>
      <c r="M2802">
        <v>376</v>
      </c>
      <c r="N2802">
        <v>406</v>
      </c>
      <c r="O2802">
        <v>7</v>
      </c>
      <c r="P2802" t="s">
        <v>80</v>
      </c>
      <c r="Q2802">
        <v>21</v>
      </c>
      <c r="R2802">
        <v>74</v>
      </c>
      <c r="S2802">
        <v>3</v>
      </c>
      <c r="T2802">
        <v>5</v>
      </c>
      <c r="U2802">
        <v>45</v>
      </c>
      <c r="V2802">
        <v>24</v>
      </c>
      <c r="W2802">
        <v>11</v>
      </c>
      <c r="X2802">
        <v>173</v>
      </c>
      <c r="Y2802">
        <v>13</v>
      </c>
      <c r="Z2802">
        <v>10</v>
      </c>
      <c r="AA2802">
        <v>2</v>
      </c>
      <c r="AB2802">
        <v>10</v>
      </c>
      <c r="AD2802">
        <v>0</v>
      </c>
      <c r="AE2802">
        <v>1</v>
      </c>
      <c r="AF2802">
        <v>0</v>
      </c>
      <c r="AG2802">
        <v>1</v>
      </c>
      <c r="AI2802">
        <v>0</v>
      </c>
      <c r="AJ2802">
        <v>14</v>
      </c>
      <c r="AK2802">
        <v>407</v>
      </c>
      <c r="AL2802">
        <v>407</v>
      </c>
      <c r="AM2802">
        <v>738</v>
      </c>
      <c r="AN2802">
        <v>44</v>
      </c>
      <c r="AP2802">
        <v>1</v>
      </c>
      <c r="AR2802" t="s">
        <v>2896</v>
      </c>
      <c r="AS2802" s="1">
        <v>44354.255555555559</v>
      </c>
      <c r="AT2802" s="1">
        <v>44354.2578125</v>
      </c>
      <c r="AU2802" s="1">
        <v>44354.258437500001</v>
      </c>
      <c r="AV2802" t="s">
        <v>71</v>
      </c>
      <c r="AW2802" t="s">
        <v>72</v>
      </c>
      <c r="AX2802" t="s">
        <v>347</v>
      </c>
    </row>
    <row r="2803" spans="1:50" x14ac:dyDescent="0.3">
      <c r="A2803" t="str">
        <f>"201766B0000"</f>
        <v>201766B0000</v>
      </c>
      <c r="B2803" t="str">
        <f>"201766B00002"</f>
        <v>201766B00002</v>
      </c>
      <c r="C2803" t="str">
        <f t="shared" si="134"/>
        <v>20</v>
      </c>
      <c r="D2803" t="s">
        <v>67</v>
      </c>
      <c r="E2803" t="str">
        <f t="shared" si="135"/>
        <v>012</v>
      </c>
      <c r="F2803" t="s">
        <v>2715</v>
      </c>
      <c r="G2803" t="str">
        <f>"1766"</f>
        <v>1766</v>
      </c>
      <c r="H2803" t="str">
        <f>"0000"</f>
        <v>0000</v>
      </c>
      <c r="I2803" t="s">
        <v>69</v>
      </c>
      <c r="J2803">
        <v>0</v>
      </c>
      <c r="K2803">
        <v>1</v>
      </c>
      <c r="L2803">
        <v>2</v>
      </c>
      <c r="M2803">
        <v>325</v>
      </c>
      <c r="N2803">
        <v>310</v>
      </c>
      <c r="O2803">
        <v>4</v>
      </c>
      <c r="P2803">
        <v>306</v>
      </c>
      <c r="Q2803">
        <v>16</v>
      </c>
      <c r="R2803">
        <v>31</v>
      </c>
      <c r="S2803">
        <v>2</v>
      </c>
      <c r="T2803">
        <v>6</v>
      </c>
      <c r="U2803">
        <v>28</v>
      </c>
      <c r="V2803">
        <v>22</v>
      </c>
      <c r="W2803">
        <v>2</v>
      </c>
      <c r="X2803">
        <v>148</v>
      </c>
      <c r="Y2803">
        <v>4</v>
      </c>
      <c r="Z2803">
        <v>11</v>
      </c>
      <c r="AA2803">
        <v>0</v>
      </c>
      <c r="AB2803">
        <v>19</v>
      </c>
      <c r="AD2803" t="s">
        <v>77</v>
      </c>
      <c r="AE2803" t="s">
        <v>77</v>
      </c>
      <c r="AF2803" t="s">
        <v>77</v>
      </c>
      <c r="AG2803">
        <v>1</v>
      </c>
      <c r="AI2803">
        <v>2</v>
      </c>
      <c r="AJ2803">
        <v>14</v>
      </c>
      <c r="AK2803">
        <v>306</v>
      </c>
      <c r="AL2803">
        <v>306</v>
      </c>
      <c r="AM2803">
        <v>587</v>
      </c>
      <c r="AN2803">
        <v>44</v>
      </c>
      <c r="AO2803" t="s">
        <v>78</v>
      </c>
      <c r="AP2803">
        <v>1</v>
      </c>
      <c r="AR2803" t="s">
        <v>2897</v>
      </c>
      <c r="AS2803" s="1">
        <v>44354.138888888891</v>
      </c>
      <c r="AT2803" s="1">
        <v>44354.149456018517</v>
      </c>
      <c r="AU2803" s="1">
        <v>44354.150104166663</v>
      </c>
      <c r="AV2803" t="s">
        <v>71</v>
      </c>
      <c r="AW2803" t="s">
        <v>72</v>
      </c>
      <c r="AX2803" t="s">
        <v>73</v>
      </c>
    </row>
    <row r="2804" spans="1:50" x14ac:dyDescent="0.3">
      <c r="A2804" t="str">
        <f>"201766C0100"</f>
        <v>201766C0100</v>
      </c>
      <c r="B2804" t="str">
        <f>"201766C01002"</f>
        <v>201766C01002</v>
      </c>
      <c r="C2804" t="str">
        <f t="shared" si="134"/>
        <v>20</v>
      </c>
      <c r="D2804" t="s">
        <v>67</v>
      </c>
      <c r="E2804" t="str">
        <f t="shared" si="135"/>
        <v>012</v>
      </c>
      <c r="F2804" t="s">
        <v>2715</v>
      </c>
      <c r="G2804" t="str">
        <f>"1766"</f>
        <v>1766</v>
      </c>
      <c r="H2804" t="str">
        <f>"0001"</f>
        <v>0001</v>
      </c>
      <c r="I2804" t="s">
        <v>75</v>
      </c>
      <c r="J2804">
        <v>0</v>
      </c>
      <c r="K2804">
        <v>1</v>
      </c>
      <c r="L2804">
        <v>2</v>
      </c>
      <c r="M2804">
        <v>294</v>
      </c>
      <c r="N2804">
        <v>331</v>
      </c>
      <c r="O2804">
        <v>9</v>
      </c>
      <c r="P2804">
        <v>335</v>
      </c>
      <c r="Q2804">
        <v>22</v>
      </c>
      <c r="R2804">
        <v>35</v>
      </c>
      <c r="S2804">
        <v>2</v>
      </c>
      <c r="T2804">
        <v>0</v>
      </c>
      <c r="U2804">
        <v>25</v>
      </c>
      <c r="V2804">
        <v>22</v>
      </c>
      <c r="W2804">
        <v>7</v>
      </c>
      <c r="X2804">
        <v>154</v>
      </c>
      <c r="Y2804">
        <v>14</v>
      </c>
      <c r="Z2804">
        <v>17</v>
      </c>
      <c r="AA2804">
        <v>3</v>
      </c>
      <c r="AB2804">
        <v>23</v>
      </c>
      <c r="AD2804">
        <v>0</v>
      </c>
      <c r="AE2804">
        <v>0</v>
      </c>
      <c r="AF2804">
        <v>0</v>
      </c>
      <c r="AG2804">
        <v>0</v>
      </c>
      <c r="AI2804">
        <v>0</v>
      </c>
      <c r="AJ2804">
        <v>11</v>
      </c>
      <c r="AK2804">
        <v>335</v>
      </c>
      <c r="AL2804">
        <v>335</v>
      </c>
      <c r="AM2804">
        <v>586</v>
      </c>
      <c r="AN2804">
        <v>44</v>
      </c>
      <c r="AP2804">
        <v>1</v>
      </c>
      <c r="AR2804" t="s">
        <v>2898</v>
      </c>
      <c r="AS2804" s="1">
        <v>44354.138194444444</v>
      </c>
      <c r="AT2804" s="1">
        <v>44354.151643518519</v>
      </c>
      <c r="AU2804" s="1">
        <v>44354.152824074074</v>
      </c>
      <c r="AV2804" t="s">
        <v>71</v>
      </c>
      <c r="AW2804" t="s">
        <v>72</v>
      </c>
      <c r="AX2804" t="s">
        <v>73</v>
      </c>
    </row>
    <row r="2805" spans="1:50" x14ac:dyDescent="0.3">
      <c r="A2805" t="str">
        <f>"201767B0000"</f>
        <v>201767B0000</v>
      </c>
      <c r="B2805" t="str">
        <f>"201767B00002"</f>
        <v>201767B00002</v>
      </c>
      <c r="C2805" t="str">
        <f t="shared" si="134"/>
        <v>20</v>
      </c>
      <c r="D2805" t="s">
        <v>67</v>
      </c>
      <c r="E2805" t="str">
        <f t="shared" si="135"/>
        <v>012</v>
      </c>
      <c r="F2805" t="s">
        <v>2715</v>
      </c>
      <c r="G2805" t="str">
        <f>"1767"</f>
        <v>1767</v>
      </c>
      <c r="H2805" t="str">
        <f>"0000"</f>
        <v>0000</v>
      </c>
      <c r="I2805" t="s">
        <v>69</v>
      </c>
      <c r="J2805">
        <v>0</v>
      </c>
      <c r="K2805">
        <v>1</v>
      </c>
      <c r="L2805">
        <v>2</v>
      </c>
      <c r="M2805">
        <v>327</v>
      </c>
      <c r="N2805">
        <v>405</v>
      </c>
      <c r="O2805">
        <v>1</v>
      </c>
      <c r="P2805">
        <v>405</v>
      </c>
      <c r="Q2805">
        <v>26</v>
      </c>
      <c r="R2805">
        <v>63</v>
      </c>
      <c r="S2805">
        <v>5</v>
      </c>
      <c r="T2805">
        <v>3</v>
      </c>
      <c r="U2805">
        <v>43</v>
      </c>
      <c r="V2805">
        <v>22</v>
      </c>
      <c r="W2805">
        <v>10</v>
      </c>
      <c r="X2805">
        <v>176</v>
      </c>
      <c r="Y2805">
        <v>9</v>
      </c>
      <c r="Z2805">
        <v>9</v>
      </c>
      <c r="AA2805">
        <v>4</v>
      </c>
      <c r="AB2805">
        <v>26</v>
      </c>
      <c r="AD2805">
        <v>3</v>
      </c>
      <c r="AE2805">
        <v>0</v>
      </c>
      <c r="AF2805">
        <v>0</v>
      </c>
      <c r="AG2805">
        <v>0</v>
      </c>
      <c r="AI2805">
        <v>0</v>
      </c>
      <c r="AJ2805">
        <v>9</v>
      </c>
      <c r="AK2805">
        <v>405</v>
      </c>
      <c r="AL2805">
        <v>408</v>
      </c>
      <c r="AM2805">
        <v>688</v>
      </c>
      <c r="AN2805">
        <v>44</v>
      </c>
      <c r="AP2805">
        <v>1</v>
      </c>
      <c r="AR2805" t="s">
        <v>2899</v>
      </c>
      <c r="AS2805" s="1">
        <v>44354.072916666664</v>
      </c>
      <c r="AT2805" s="1">
        <v>44354.092245370368</v>
      </c>
      <c r="AU2805" s="1">
        <v>44354.093090277776</v>
      </c>
      <c r="AV2805" t="s">
        <v>71</v>
      </c>
      <c r="AW2805" t="s">
        <v>72</v>
      </c>
      <c r="AX2805" t="s">
        <v>73</v>
      </c>
    </row>
    <row r="2806" spans="1:50" x14ac:dyDescent="0.3">
      <c r="A2806" t="str">
        <f>"201767C0100"</f>
        <v>201767C0100</v>
      </c>
      <c r="B2806" t="str">
        <f>"201767C01002"</f>
        <v>201767C01002</v>
      </c>
      <c r="C2806" t="str">
        <f t="shared" si="134"/>
        <v>20</v>
      </c>
      <c r="D2806" t="s">
        <v>67</v>
      </c>
      <c r="E2806" t="str">
        <f t="shared" si="135"/>
        <v>012</v>
      </c>
      <c r="F2806" t="s">
        <v>2715</v>
      </c>
      <c r="G2806" t="str">
        <f>"1767"</f>
        <v>1767</v>
      </c>
      <c r="H2806" t="str">
        <f>"0001"</f>
        <v>0001</v>
      </c>
      <c r="I2806" t="s">
        <v>75</v>
      </c>
      <c r="J2806">
        <v>0</v>
      </c>
      <c r="K2806">
        <v>1</v>
      </c>
      <c r="L2806">
        <v>2</v>
      </c>
      <c r="M2806">
        <v>294</v>
      </c>
      <c r="N2806">
        <v>438</v>
      </c>
      <c r="O2806">
        <v>4</v>
      </c>
      <c r="P2806">
        <v>438</v>
      </c>
      <c r="Q2806">
        <v>45</v>
      </c>
      <c r="R2806">
        <v>55</v>
      </c>
      <c r="S2806">
        <v>2</v>
      </c>
      <c r="T2806">
        <v>2</v>
      </c>
      <c r="U2806">
        <v>57</v>
      </c>
      <c r="V2806">
        <v>30</v>
      </c>
      <c r="W2806">
        <v>7</v>
      </c>
      <c r="X2806">
        <v>173</v>
      </c>
      <c r="Y2806">
        <v>18</v>
      </c>
      <c r="Z2806">
        <v>16</v>
      </c>
      <c r="AA2806">
        <v>0</v>
      </c>
      <c r="AB2806">
        <v>17</v>
      </c>
      <c r="AD2806">
        <v>0</v>
      </c>
      <c r="AE2806">
        <v>0</v>
      </c>
      <c r="AF2806">
        <v>0</v>
      </c>
      <c r="AG2806">
        <v>0</v>
      </c>
      <c r="AI2806">
        <v>0</v>
      </c>
      <c r="AJ2806">
        <v>16</v>
      </c>
      <c r="AK2806">
        <v>438</v>
      </c>
      <c r="AL2806">
        <v>438</v>
      </c>
      <c r="AM2806">
        <v>688</v>
      </c>
      <c r="AN2806">
        <v>44</v>
      </c>
      <c r="AP2806">
        <v>1</v>
      </c>
      <c r="AR2806" t="s">
        <v>2900</v>
      </c>
      <c r="AS2806" s="1">
        <v>44354.259722222225</v>
      </c>
      <c r="AT2806" s="1">
        <v>44354.261770833335</v>
      </c>
      <c r="AU2806" s="1">
        <v>44354.262361111112</v>
      </c>
      <c r="AV2806" t="s">
        <v>71</v>
      </c>
      <c r="AW2806" t="s">
        <v>72</v>
      </c>
      <c r="AX2806" t="s">
        <v>347</v>
      </c>
    </row>
    <row r="2807" spans="1:50" x14ac:dyDescent="0.3">
      <c r="A2807" t="str">
        <f>"201767C0200"</f>
        <v>201767C0200</v>
      </c>
      <c r="B2807" t="str">
        <f>"201767C02002"</f>
        <v>201767C02002</v>
      </c>
      <c r="C2807" t="str">
        <f t="shared" si="134"/>
        <v>20</v>
      </c>
      <c r="D2807" t="s">
        <v>67</v>
      </c>
      <c r="E2807" t="str">
        <f t="shared" si="135"/>
        <v>012</v>
      </c>
      <c r="F2807" t="s">
        <v>2715</v>
      </c>
      <c r="G2807" t="str">
        <f>"1767"</f>
        <v>1767</v>
      </c>
      <c r="H2807" t="str">
        <f>"0002"</f>
        <v>0002</v>
      </c>
      <c r="I2807" t="s">
        <v>75</v>
      </c>
      <c r="J2807">
        <v>0</v>
      </c>
      <c r="K2807">
        <v>1</v>
      </c>
      <c r="L2807">
        <v>2</v>
      </c>
      <c r="M2807">
        <v>316</v>
      </c>
      <c r="N2807">
        <v>416</v>
      </c>
      <c r="O2807">
        <v>4</v>
      </c>
      <c r="P2807" t="s">
        <v>80</v>
      </c>
      <c r="Q2807">
        <v>23</v>
      </c>
      <c r="R2807">
        <v>55</v>
      </c>
      <c r="S2807">
        <v>2</v>
      </c>
      <c r="T2807">
        <v>3</v>
      </c>
      <c r="U2807">
        <v>56</v>
      </c>
      <c r="V2807">
        <v>25</v>
      </c>
      <c r="W2807">
        <v>10</v>
      </c>
      <c r="X2807">
        <v>173</v>
      </c>
      <c r="Y2807">
        <v>18</v>
      </c>
      <c r="Z2807">
        <v>16</v>
      </c>
      <c r="AA2807">
        <v>2</v>
      </c>
      <c r="AB2807">
        <v>22</v>
      </c>
      <c r="AD2807">
        <v>1</v>
      </c>
      <c r="AE2807">
        <v>2</v>
      </c>
      <c r="AF2807">
        <v>0</v>
      </c>
      <c r="AG2807">
        <v>0</v>
      </c>
      <c r="AI2807">
        <v>0</v>
      </c>
      <c r="AJ2807">
        <v>8</v>
      </c>
      <c r="AK2807">
        <v>416</v>
      </c>
      <c r="AL2807">
        <v>416</v>
      </c>
      <c r="AM2807">
        <v>688</v>
      </c>
      <c r="AN2807">
        <v>44</v>
      </c>
      <c r="AP2807">
        <v>1</v>
      </c>
      <c r="AR2807" t="s">
        <v>2901</v>
      </c>
      <c r="AS2807" s="1">
        <v>44354.072916666664</v>
      </c>
      <c r="AT2807" s="1">
        <v>44354.086238425924</v>
      </c>
      <c r="AU2807" s="1">
        <v>44354.086493055554</v>
      </c>
      <c r="AV2807" t="s">
        <v>71</v>
      </c>
      <c r="AW2807" t="s">
        <v>72</v>
      </c>
      <c r="AX2807" t="s">
        <v>73</v>
      </c>
    </row>
    <row r="2808" spans="1:50" x14ac:dyDescent="0.3">
      <c r="A2808" t="str">
        <f>"201767C0300"</f>
        <v>201767C0300</v>
      </c>
      <c r="B2808" t="str">
        <f>"201767C03002"</f>
        <v>201767C03002</v>
      </c>
      <c r="C2808" t="str">
        <f t="shared" si="134"/>
        <v>20</v>
      </c>
      <c r="D2808" t="s">
        <v>67</v>
      </c>
      <c r="E2808" t="str">
        <f t="shared" si="135"/>
        <v>012</v>
      </c>
      <c r="F2808" t="s">
        <v>2715</v>
      </c>
      <c r="G2808" t="str">
        <f>"1767"</f>
        <v>1767</v>
      </c>
      <c r="H2808" t="str">
        <f>"0003"</f>
        <v>0003</v>
      </c>
      <c r="I2808" t="s">
        <v>75</v>
      </c>
      <c r="J2808">
        <v>0</v>
      </c>
      <c r="K2808">
        <v>1</v>
      </c>
      <c r="L2808">
        <v>2</v>
      </c>
      <c r="M2808">
        <v>269</v>
      </c>
      <c r="N2808">
        <v>461</v>
      </c>
      <c r="O2808">
        <v>5</v>
      </c>
      <c r="P2808">
        <v>461</v>
      </c>
      <c r="Q2808">
        <v>39</v>
      </c>
      <c r="R2808">
        <v>67</v>
      </c>
      <c r="S2808">
        <v>5</v>
      </c>
      <c r="T2808">
        <v>1</v>
      </c>
      <c r="U2808">
        <v>44</v>
      </c>
      <c r="V2808">
        <v>33</v>
      </c>
      <c r="W2808">
        <v>3</v>
      </c>
      <c r="X2808">
        <v>189</v>
      </c>
      <c r="Y2808">
        <v>22</v>
      </c>
      <c r="Z2808">
        <v>15</v>
      </c>
      <c r="AA2808">
        <v>1</v>
      </c>
      <c r="AB2808">
        <v>24</v>
      </c>
      <c r="AD2808">
        <v>0</v>
      </c>
      <c r="AE2808">
        <v>0</v>
      </c>
      <c r="AF2808">
        <v>0</v>
      </c>
      <c r="AG2808">
        <v>0</v>
      </c>
      <c r="AI2808">
        <v>0</v>
      </c>
      <c r="AJ2808">
        <v>18</v>
      </c>
      <c r="AK2808">
        <v>461</v>
      </c>
      <c r="AL2808">
        <v>461</v>
      </c>
      <c r="AM2808">
        <v>687</v>
      </c>
      <c r="AN2808">
        <v>44</v>
      </c>
      <c r="AP2808">
        <v>1</v>
      </c>
      <c r="AR2808" t="s">
        <v>2902</v>
      </c>
      <c r="AS2808" s="1">
        <v>44354.072916666664</v>
      </c>
      <c r="AT2808" s="1">
        <v>44354.08662037037</v>
      </c>
      <c r="AU2808" s="1">
        <v>44354.087210648147</v>
      </c>
      <c r="AV2808" t="s">
        <v>71</v>
      </c>
      <c r="AW2808" t="s">
        <v>72</v>
      </c>
      <c r="AX2808" t="s">
        <v>73</v>
      </c>
    </row>
    <row r="2809" spans="1:50" x14ac:dyDescent="0.3">
      <c r="A2809" t="str">
        <f>"201768B0000"</f>
        <v>201768B0000</v>
      </c>
      <c r="B2809" t="str">
        <f>"201768B00002"</f>
        <v>201768B00002</v>
      </c>
      <c r="C2809" t="str">
        <f t="shared" si="134"/>
        <v>20</v>
      </c>
      <c r="D2809" t="s">
        <v>67</v>
      </c>
      <c r="E2809" t="str">
        <f t="shared" si="135"/>
        <v>012</v>
      </c>
      <c r="F2809" t="s">
        <v>2715</v>
      </c>
      <c r="G2809" t="str">
        <f>"1768"</f>
        <v>1768</v>
      </c>
      <c r="H2809" t="str">
        <f>"0000"</f>
        <v>0000</v>
      </c>
      <c r="I2809" t="s">
        <v>69</v>
      </c>
      <c r="J2809">
        <v>0</v>
      </c>
      <c r="K2809">
        <v>1</v>
      </c>
      <c r="L2809">
        <v>2</v>
      </c>
      <c r="M2809">
        <v>268</v>
      </c>
      <c r="N2809">
        <v>305</v>
      </c>
      <c r="O2809">
        <v>11</v>
      </c>
      <c r="P2809">
        <v>305</v>
      </c>
      <c r="Q2809">
        <v>25</v>
      </c>
      <c r="R2809">
        <v>30</v>
      </c>
      <c r="S2809">
        <v>0</v>
      </c>
      <c r="T2809">
        <v>1</v>
      </c>
      <c r="U2809">
        <v>46</v>
      </c>
      <c r="V2809">
        <v>26</v>
      </c>
      <c r="W2809">
        <v>4</v>
      </c>
      <c r="X2809">
        <v>109</v>
      </c>
      <c r="Y2809">
        <v>2</v>
      </c>
      <c r="Z2809">
        <v>5</v>
      </c>
      <c r="AA2809">
        <v>2</v>
      </c>
      <c r="AB2809">
        <v>43</v>
      </c>
      <c r="AD2809">
        <v>0</v>
      </c>
      <c r="AE2809">
        <v>0</v>
      </c>
      <c r="AF2809">
        <v>0</v>
      </c>
      <c r="AG2809">
        <v>0</v>
      </c>
      <c r="AI2809">
        <v>1</v>
      </c>
      <c r="AJ2809">
        <v>11</v>
      </c>
      <c r="AK2809">
        <v>305</v>
      </c>
      <c r="AL2809">
        <v>305</v>
      </c>
      <c r="AM2809">
        <v>529</v>
      </c>
      <c r="AN2809">
        <v>44</v>
      </c>
      <c r="AP2809">
        <v>1</v>
      </c>
      <c r="AR2809" t="s">
        <v>2903</v>
      </c>
      <c r="AS2809" s="1">
        <v>44353.995833333334</v>
      </c>
      <c r="AT2809" s="1">
        <v>44354.020011574074</v>
      </c>
      <c r="AU2809" s="1">
        <v>44354.020567129628</v>
      </c>
      <c r="AV2809" t="s">
        <v>71</v>
      </c>
      <c r="AW2809" t="s">
        <v>72</v>
      </c>
      <c r="AX2809" t="s">
        <v>73</v>
      </c>
    </row>
    <row r="2810" spans="1:50" x14ac:dyDescent="0.3">
      <c r="A2810" t="str">
        <f>"201768C0100"</f>
        <v>201768C0100</v>
      </c>
      <c r="B2810" t="str">
        <f>"201768C01002"</f>
        <v>201768C01002</v>
      </c>
      <c r="C2810" t="str">
        <f t="shared" si="134"/>
        <v>20</v>
      </c>
      <c r="D2810" t="s">
        <v>67</v>
      </c>
      <c r="E2810" t="str">
        <f t="shared" si="135"/>
        <v>012</v>
      </c>
      <c r="F2810" t="s">
        <v>2715</v>
      </c>
      <c r="G2810" t="str">
        <f>"1768"</f>
        <v>1768</v>
      </c>
      <c r="H2810" t="str">
        <f>"0001"</f>
        <v>0001</v>
      </c>
      <c r="I2810" t="s">
        <v>75</v>
      </c>
      <c r="J2810">
        <v>0</v>
      </c>
      <c r="K2810">
        <v>1</v>
      </c>
      <c r="L2810">
        <v>2</v>
      </c>
      <c r="M2810">
        <v>306</v>
      </c>
      <c r="N2810">
        <v>572</v>
      </c>
      <c r="O2810">
        <v>9</v>
      </c>
      <c r="P2810">
        <v>266</v>
      </c>
      <c r="Q2810">
        <v>26</v>
      </c>
      <c r="R2810">
        <v>45</v>
      </c>
      <c r="S2810">
        <v>0</v>
      </c>
      <c r="T2810">
        <v>5</v>
      </c>
      <c r="U2810">
        <v>43</v>
      </c>
      <c r="V2810">
        <v>15</v>
      </c>
      <c r="W2810">
        <v>6</v>
      </c>
      <c r="X2810">
        <v>83</v>
      </c>
      <c r="Y2810">
        <v>2</v>
      </c>
      <c r="Z2810">
        <v>4</v>
      </c>
      <c r="AA2810">
        <v>0</v>
      </c>
      <c r="AB2810">
        <v>31</v>
      </c>
      <c r="AD2810">
        <v>2</v>
      </c>
      <c r="AE2810">
        <v>0</v>
      </c>
      <c r="AF2810">
        <v>0</v>
      </c>
      <c r="AG2810">
        <v>0</v>
      </c>
      <c r="AI2810">
        <v>0</v>
      </c>
      <c r="AJ2810">
        <v>4</v>
      </c>
      <c r="AK2810">
        <v>266</v>
      </c>
      <c r="AL2810">
        <v>266</v>
      </c>
      <c r="AM2810">
        <v>528</v>
      </c>
      <c r="AN2810">
        <v>44</v>
      </c>
      <c r="AP2810">
        <v>1</v>
      </c>
      <c r="AR2810" t="s">
        <v>2904</v>
      </c>
      <c r="AS2810" s="1">
        <v>44353.998611111114</v>
      </c>
      <c r="AT2810" s="1">
        <v>44354.019363425927</v>
      </c>
      <c r="AU2810" s="1">
        <v>44354.020254629628</v>
      </c>
      <c r="AV2810" t="s">
        <v>71</v>
      </c>
      <c r="AW2810" t="s">
        <v>72</v>
      </c>
      <c r="AX2810" t="s">
        <v>73</v>
      </c>
    </row>
    <row r="2811" spans="1:50" x14ac:dyDescent="0.3">
      <c r="A2811" t="str">
        <f>"202301B0000"</f>
        <v>202301B0000</v>
      </c>
      <c r="B2811" t="str">
        <f>"202301B00002"</f>
        <v>202301B00002</v>
      </c>
      <c r="C2811" t="str">
        <f t="shared" si="134"/>
        <v>20</v>
      </c>
      <c r="D2811" t="s">
        <v>67</v>
      </c>
      <c r="E2811" t="str">
        <f t="shared" si="135"/>
        <v>012</v>
      </c>
      <c r="F2811" t="s">
        <v>2715</v>
      </c>
      <c r="G2811" t="str">
        <f>"2301"</f>
        <v>2301</v>
      </c>
      <c r="H2811" t="str">
        <f>"0000"</f>
        <v>0000</v>
      </c>
      <c r="I2811" t="s">
        <v>69</v>
      </c>
      <c r="J2811">
        <v>0</v>
      </c>
      <c r="K2811">
        <v>1</v>
      </c>
      <c r="L2811">
        <v>2</v>
      </c>
      <c r="M2811">
        <v>282</v>
      </c>
      <c r="N2811">
        <v>483</v>
      </c>
      <c r="O2811">
        <v>3</v>
      </c>
      <c r="P2811">
        <v>483</v>
      </c>
      <c r="Q2811">
        <v>8</v>
      </c>
      <c r="R2811">
        <v>27</v>
      </c>
      <c r="S2811">
        <v>19</v>
      </c>
      <c r="T2811">
        <v>40</v>
      </c>
      <c r="U2811">
        <v>77</v>
      </c>
      <c r="V2811">
        <v>17</v>
      </c>
      <c r="W2811">
        <v>22</v>
      </c>
      <c r="X2811">
        <v>153</v>
      </c>
      <c r="Y2811">
        <v>22</v>
      </c>
      <c r="Z2811">
        <v>58</v>
      </c>
      <c r="AA2811">
        <v>7</v>
      </c>
      <c r="AB2811">
        <v>7</v>
      </c>
      <c r="AD2811">
        <v>1</v>
      </c>
      <c r="AE2811">
        <v>0</v>
      </c>
      <c r="AF2811">
        <v>0</v>
      </c>
      <c r="AG2811">
        <v>1</v>
      </c>
      <c r="AI2811">
        <v>0</v>
      </c>
      <c r="AJ2811">
        <v>24</v>
      </c>
      <c r="AK2811">
        <v>483</v>
      </c>
      <c r="AL2811">
        <v>483</v>
      </c>
      <c r="AM2811">
        <v>721</v>
      </c>
      <c r="AN2811">
        <v>44</v>
      </c>
      <c r="AP2811">
        <v>1</v>
      </c>
      <c r="AR2811" t="s">
        <v>2905</v>
      </c>
      <c r="AS2811" s="1">
        <v>44354.111111111109</v>
      </c>
      <c r="AT2811" s="1">
        <v>44354.233703703707</v>
      </c>
      <c r="AU2811" s="1">
        <v>44354.234907407408</v>
      </c>
      <c r="AV2811" t="s">
        <v>71</v>
      </c>
      <c r="AW2811" t="s">
        <v>72</v>
      </c>
      <c r="AX2811" t="s">
        <v>73</v>
      </c>
    </row>
    <row r="2812" spans="1:50" x14ac:dyDescent="0.3">
      <c r="A2812" t="str">
        <f>"202301C0100"</f>
        <v>202301C0100</v>
      </c>
      <c r="B2812" t="str">
        <f>"202301C01002"</f>
        <v>202301C01002</v>
      </c>
      <c r="C2812" t="str">
        <f t="shared" si="134"/>
        <v>20</v>
      </c>
      <c r="D2812" t="s">
        <v>67</v>
      </c>
      <c r="E2812" t="str">
        <f t="shared" si="135"/>
        <v>012</v>
      </c>
      <c r="F2812" t="s">
        <v>2715</v>
      </c>
      <c r="G2812" t="str">
        <f>"2301"</f>
        <v>2301</v>
      </c>
      <c r="H2812" t="str">
        <f>"0001"</f>
        <v>0001</v>
      </c>
      <c r="I2812" t="s">
        <v>75</v>
      </c>
      <c r="J2812">
        <v>0</v>
      </c>
      <c r="K2812">
        <v>1</v>
      </c>
      <c r="L2812">
        <v>2</v>
      </c>
      <c r="M2812" t="s">
        <v>99</v>
      </c>
      <c r="N2812" t="s">
        <v>99</v>
      </c>
      <c r="O2812" t="s">
        <v>99</v>
      </c>
      <c r="P2812" t="s">
        <v>99</v>
      </c>
      <c r="Q2812" t="s">
        <v>99</v>
      </c>
      <c r="R2812" t="s">
        <v>99</v>
      </c>
      <c r="S2812" t="s">
        <v>99</v>
      </c>
      <c r="T2812" t="s">
        <v>99</v>
      </c>
      <c r="U2812" t="s">
        <v>99</v>
      </c>
      <c r="V2812" t="s">
        <v>99</v>
      </c>
      <c r="W2812" t="s">
        <v>99</v>
      </c>
      <c r="X2812" t="s">
        <v>99</v>
      </c>
      <c r="Y2812" t="s">
        <v>99</v>
      </c>
      <c r="Z2812" t="s">
        <v>99</v>
      </c>
      <c r="AA2812" t="s">
        <v>99</v>
      </c>
      <c r="AB2812" t="s">
        <v>99</v>
      </c>
      <c r="AD2812" t="s">
        <v>99</v>
      </c>
      <c r="AE2812" t="s">
        <v>99</v>
      </c>
      <c r="AF2812" t="s">
        <v>99</v>
      </c>
      <c r="AG2812" t="s">
        <v>99</v>
      </c>
      <c r="AI2812" t="s">
        <v>99</v>
      </c>
      <c r="AJ2812" t="s">
        <v>99</v>
      </c>
      <c r="AM2812">
        <v>720</v>
      </c>
      <c r="AN2812">
        <v>44</v>
      </c>
      <c r="AO2812" t="s">
        <v>392</v>
      </c>
      <c r="AP2812">
        <v>0</v>
      </c>
      <c r="AR2812" t="s">
        <v>2906</v>
      </c>
      <c r="AS2812" s="1">
        <v>44354.257638888892</v>
      </c>
      <c r="AT2812" s="1">
        <v>44354.259664351855</v>
      </c>
      <c r="AU2812" s="1">
        <v>44354.282534722224</v>
      </c>
      <c r="AV2812" t="s">
        <v>71</v>
      </c>
      <c r="AW2812" t="s">
        <v>72</v>
      </c>
      <c r="AX2812" t="s">
        <v>347</v>
      </c>
    </row>
    <row r="2813" spans="1:50" x14ac:dyDescent="0.3">
      <c r="A2813" t="str">
        <f>"202301C0200"</f>
        <v>202301C0200</v>
      </c>
      <c r="B2813" t="str">
        <f>"202301C02002"</f>
        <v>202301C02002</v>
      </c>
      <c r="C2813" t="str">
        <f t="shared" si="134"/>
        <v>20</v>
      </c>
      <c r="D2813" t="s">
        <v>67</v>
      </c>
      <c r="E2813" t="str">
        <f t="shared" si="135"/>
        <v>012</v>
      </c>
      <c r="F2813" t="s">
        <v>2715</v>
      </c>
      <c r="G2813" t="str">
        <f>"2301"</f>
        <v>2301</v>
      </c>
      <c r="H2813" t="str">
        <f>"0002"</f>
        <v>0002</v>
      </c>
      <c r="I2813" t="s">
        <v>75</v>
      </c>
      <c r="J2813">
        <v>0</v>
      </c>
      <c r="K2813">
        <v>1</v>
      </c>
      <c r="L2813">
        <v>2</v>
      </c>
      <c r="M2813">
        <v>290</v>
      </c>
      <c r="N2813">
        <v>474</v>
      </c>
      <c r="O2813">
        <v>13</v>
      </c>
      <c r="P2813">
        <v>474</v>
      </c>
      <c r="Q2813">
        <v>8</v>
      </c>
      <c r="R2813">
        <v>18</v>
      </c>
      <c r="S2813">
        <v>25</v>
      </c>
      <c r="T2813">
        <v>33</v>
      </c>
      <c r="U2813">
        <v>65</v>
      </c>
      <c r="V2813">
        <v>17</v>
      </c>
      <c r="W2813">
        <v>17</v>
      </c>
      <c r="X2813">
        <v>152</v>
      </c>
      <c r="Y2813">
        <v>28</v>
      </c>
      <c r="Z2813">
        <v>81</v>
      </c>
      <c r="AA2813">
        <v>7</v>
      </c>
      <c r="AB2813">
        <v>6</v>
      </c>
      <c r="AD2813">
        <v>1</v>
      </c>
      <c r="AE2813">
        <v>0</v>
      </c>
      <c r="AF2813">
        <v>0</v>
      </c>
      <c r="AG2813">
        <v>0</v>
      </c>
      <c r="AI2813">
        <v>0</v>
      </c>
      <c r="AJ2813">
        <v>16</v>
      </c>
      <c r="AK2813">
        <v>474</v>
      </c>
      <c r="AL2813">
        <v>474</v>
      </c>
      <c r="AM2813">
        <v>720</v>
      </c>
      <c r="AN2813">
        <v>44</v>
      </c>
      <c r="AP2813">
        <v>1</v>
      </c>
      <c r="AR2813" t="s">
        <v>2907</v>
      </c>
      <c r="AS2813" s="1">
        <v>44354.256944444445</v>
      </c>
      <c r="AT2813" s="1">
        <v>44354.259710648148</v>
      </c>
      <c r="AU2813" s="1">
        <v>44354.260555555556</v>
      </c>
      <c r="AV2813" t="s">
        <v>71</v>
      </c>
      <c r="AW2813" t="s">
        <v>72</v>
      </c>
      <c r="AX2813" t="s">
        <v>347</v>
      </c>
    </row>
    <row r="2814" spans="1:50" x14ac:dyDescent="0.3">
      <c r="A2814" t="str">
        <f>"202302B0000"</f>
        <v>202302B0000</v>
      </c>
      <c r="B2814" t="str">
        <f>"202302B00002"</f>
        <v>202302B00002</v>
      </c>
      <c r="C2814" t="str">
        <f t="shared" si="134"/>
        <v>20</v>
      </c>
      <c r="D2814" t="s">
        <v>67</v>
      </c>
      <c r="E2814" t="str">
        <f t="shared" ref="E2814:E2819" si="137">"012"</f>
        <v>012</v>
      </c>
      <c r="F2814" t="s">
        <v>2715</v>
      </c>
      <c r="G2814" t="str">
        <f>"2302"</f>
        <v>2302</v>
      </c>
      <c r="H2814" t="str">
        <f>"0000"</f>
        <v>0000</v>
      </c>
      <c r="I2814" t="s">
        <v>69</v>
      </c>
      <c r="J2814">
        <v>0</v>
      </c>
      <c r="K2814">
        <v>1</v>
      </c>
      <c r="L2814">
        <v>2</v>
      </c>
      <c r="M2814">
        <v>192</v>
      </c>
      <c r="N2814">
        <v>314</v>
      </c>
      <c r="O2814">
        <v>10</v>
      </c>
      <c r="P2814">
        <v>314</v>
      </c>
      <c r="Q2814">
        <v>3</v>
      </c>
      <c r="R2814">
        <v>20</v>
      </c>
      <c r="S2814">
        <v>29</v>
      </c>
      <c r="T2814">
        <v>9</v>
      </c>
      <c r="U2814">
        <v>11</v>
      </c>
      <c r="V2814">
        <v>42</v>
      </c>
      <c r="W2814">
        <v>15</v>
      </c>
      <c r="X2814">
        <v>118</v>
      </c>
      <c r="Y2814">
        <v>4</v>
      </c>
      <c r="Z2814">
        <v>42</v>
      </c>
      <c r="AA2814">
        <v>8</v>
      </c>
      <c r="AB2814">
        <v>1</v>
      </c>
      <c r="AD2814">
        <v>0</v>
      </c>
      <c r="AE2814">
        <v>0</v>
      </c>
      <c r="AF2814">
        <v>0</v>
      </c>
      <c r="AG2814">
        <v>0</v>
      </c>
      <c r="AI2814">
        <v>0</v>
      </c>
      <c r="AJ2814">
        <v>11</v>
      </c>
      <c r="AK2814">
        <v>314</v>
      </c>
      <c r="AL2814">
        <v>313</v>
      </c>
      <c r="AM2814">
        <v>462</v>
      </c>
      <c r="AN2814">
        <v>44</v>
      </c>
      <c r="AP2814">
        <v>1</v>
      </c>
      <c r="AR2814" t="s">
        <v>2908</v>
      </c>
      <c r="AS2814" s="1">
        <v>44354.10833333333</v>
      </c>
      <c r="AT2814" s="1">
        <v>44354.128310185188</v>
      </c>
      <c r="AU2814" s="1">
        <v>44354.128877314812</v>
      </c>
      <c r="AV2814" t="s">
        <v>71</v>
      </c>
      <c r="AW2814" t="s">
        <v>72</v>
      </c>
      <c r="AX2814" t="s">
        <v>73</v>
      </c>
    </row>
    <row r="2815" spans="1:50" x14ac:dyDescent="0.3">
      <c r="A2815" t="str">
        <f>"202302C0100"</f>
        <v>202302C0100</v>
      </c>
      <c r="B2815" t="str">
        <f>"202302C01002"</f>
        <v>202302C01002</v>
      </c>
      <c r="C2815" t="str">
        <f t="shared" si="134"/>
        <v>20</v>
      </c>
      <c r="D2815" t="s">
        <v>67</v>
      </c>
      <c r="E2815" t="str">
        <f t="shared" si="137"/>
        <v>012</v>
      </c>
      <c r="F2815" t="s">
        <v>2715</v>
      </c>
      <c r="G2815" t="str">
        <f>"2302"</f>
        <v>2302</v>
      </c>
      <c r="H2815" t="str">
        <f>"0001"</f>
        <v>0001</v>
      </c>
      <c r="I2815" t="s">
        <v>75</v>
      </c>
      <c r="J2815">
        <v>0</v>
      </c>
      <c r="K2815">
        <v>1</v>
      </c>
      <c r="L2815">
        <v>2</v>
      </c>
      <c r="M2815">
        <v>188</v>
      </c>
      <c r="N2815">
        <v>317</v>
      </c>
      <c r="O2815">
        <v>8</v>
      </c>
      <c r="P2815">
        <v>317</v>
      </c>
      <c r="Q2815">
        <v>9</v>
      </c>
      <c r="R2815">
        <v>9</v>
      </c>
      <c r="S2815">
        <v>16</v>
      </c>
      <c r="T2815">
        <v>14</v>
      </c>
      <c r="U2815">
        <v>21</v>
      </c>
      <c r="V2815">
        <v>41</v>
      </c>
      <c r="W2815">
        <v>16</v>
      </c>
      <c r="X2815">
        <v>124</v>
      </c>
      <c r="Y2815">
        <v>4</v>
      </c>
      <c r="Z2815">
        <v>42</v>
      </c>
      <c r="AA2815">
        <v>4</v>
      </c>
      <c r="AB2815">
        <v>5</v>
      </c>
      <c r="AD2815">
        <v>1</v>
      </c>
      <c r="AE2815">
        <v>0</v>
      </c>
      <c r="AF2815">
        <v>0</v>
      </c>
      <c r="AG2815">
        <v>0</v>
      </c>
      <c r="AI2815">
        <v>0</v>
      </c>
      <c r="AJ2815">
        <v>11</v>
      </c>
      <c r="AK2815">
        <v>317</v>
      </c>
      <c r="AL2815">
        <v>317</v>
      </c>
      <c r="AM2815">
        <v>461</v>
      </c>
      <c r="AN2815">
        <v>44</v>
      </c>
      <c r="AP2815">
        <v>1</v>
      </c>
      <c r="AR2815" t="s">
        <v>2909</v>
      </c>
      <c r="AS2815" s="1">
        <v>44354.109027777777</v>
      </c>
      <c r="AT2815" s="1">
        <v>44354.131516203706</v>
      </c>
      <c r="AU2815" s="1">
        <v>44354.132372685184</v>
      </c>
      <c r="AV2815" t="s">
        <v>71</v>
      </c>
      <c r="AW2815" t="s">
        <v>72</v>
      </c>
      <c r="AX2815" t="s">
        <v>73</v>
      </c>
    </row>
    <row r="2816" spans="1:50" x14ac:dyDescent="0.3">
      <c r="A2816" t="str">
        <f>"202303B0000"</f>
        <v>202303B0000</v>
      </c>
      <c r="B2816" t="str">
        <f>"202303B00002"</f>
        <v>202303B00002</v>
      </c>
      <c r="C2816" t="str">
        <f t="shared" si="134"/>
        <v>20</v>
      </c>
      <c r="D2816" t="s">
        <v>67</v>
      </c>
      <c r="E2816" t="str">
        <f t="shared" si="137"/>
        <v>012</v>
      </c>
      <c r="F2816" t="s">
        <v>2715</v>
      </c>
      <c r="G2816" t="str">
        <f>"2303"</f>
        <v>2303</v>
      </c>
      <c r="H2816" t="str">
        <f>"0000"</f>
        <v>0000</v>
      </c>
      <c r="I2816" t="s">
        <v>69</v>
      </c>
      <c r="J2816">
        <v>0</v>
      </c>
      <c r="K2816">
        <v>1</v>
      </c>
      <c r="L2816">
        <v>2</v>
      </c>
      <c r="M2816">
        <v>196</v>
      </c>
      <c r="N2816">
        <v>381</v>
      </c>
      <c r="O2816">
        <v>3</v>
      </c>
      <c r="P2816">
        <v>381</v>
      </c>
      <c r="Q2816">
        <v>7</v>
      </c>
      <c r="R2816">
        <v>20</v>
      </c>
      <c r="S2816">
        <v>24</v>
      </c>
      <c r="T2816">
        <v>31</v>
      </c>
      <c r="U2816">
        <v>48</v>
      </c>
      <c r="V2816">
        <v>9</v>
      </c>
      <c r="W2816">
        <v>12</v>
      </c>
      <c r="X2816">
        <v>41</v>
      </c>
      <c r="Y2816">
        <v>8</v>
      </c>
      <c r="Z2816">
        <v>55</v>
      </c>
      <c r="AA2816">
        <v>2</v>
      </c>
      <c r="AB2816">
        <v>7</v>
      </c>
      <c r="AD2816">
        <v>0</v>
      </c>
      <c r="AE2816">
        <v>0</v>
      </c>
      <c r="AF2816">
        <v>0</v>
      </c>
      <c r="AG2816">
        <v>0</v>
      </c>
      <c r="AI2816">
        <v>0</v>
      </c>
      <c r="AJ2816">
        <v>17</v>
      </c>
      <c r="AK2816">
        <v>381</v>
      </c>
      <c r="AL2816">
        <v>281</v>
      </c>
      <c r="AM2816">
        <v>533</v>
      </c>
      <c r="AN2816">
        <v>44</v>
      </c>
      <c r="AP2816">
        <v>1</v>
      </c>
      <c r="AR2816" t="s">
        <v>2910</v>
      </c>
      <c r="AS2816" s="1">
        <v>44353.75</v>
      </c>
      <c r="AT2816" s="1">
        <v>44354.224386574075</v>
      </c>
      <c r="AU2816" s="1">
        <v>44354.228668981479</v>
      </c>
      <c r="AV2816" t="s">
        <v>71</v>
      </c>
      <c r="AW2816" t="s">
        <v>72</v>
      </c>
      <c r="AX2816" t="s">
        <v>73</v>
      </c>
    </row>
    <row r="2817" spans="1:50" x14ac:dyDescent="0.3">
      <c r="A2817" t="str">
        <f>"202303C0100"</f>
        <v>202303C0100</v>
      </c>
      <c r="B2817" t="str">
        <f>"202303C01002"</f>
        <v>202303C01002</v>
      </c>
      <c r="C2817" t="str">
        <f t="shared" si="134"/>
        <v>20</v>
      </c>
      <c r="D2817" t="s">
        <v>67</v>
      </c>
      <c r="E2817" t="str">
        <f t="shared" si="137"/>
        <v>012</v>
      </c>
      <c r="F2817" t="s">
        <v>2715</v>
      </c>
      <c r="G2817" t="str">
        <f>"2303"</f>
        <v>2303</v>
      </c>
      <c r="H2817" t="str">
        <f>"0001"</f>
        <v>0001</v>
      </c>
      <c r="I2817" t="s">
        <v>75</v>
      </c>
      <c r="J2817">
        <v>0</v>
      </c>
      <c r="K2817">
        <v>1</v>
      </c>
      <c r="L2817">
        <v>2</v>
      </c>
      <c r="M2817">
        <v>207</v>
      </c>
      <c r="N2817">
        <v>369</v>
      </c>
      <c r="O2817">
        <v>2</v>
      </c>
      <c r="P2817">
        <v>369</v>
      </c>
      <c r="Q2817">
        <v>11</v>
      </c>
      <c r="R2817">
        <v>33</v>
      </c>
      <c r="S2817">
        <v>20</v>
      </c>
      <c r="T2817">
        <v>23</v>
      </c>
      <c r="U2817">
        <v>45</v>
      </c>
      <c r="V2817">
        <v>21</v>
      </c>
      <c r="W2817">
        <v>14</v>
      </c>
      <c r="X2817">
        <v>119</v>
      </c>
      <c r="Y2817">
        <v>14</v>
      </c>
      <c r="Z2817">
        <v>43</v>
      </c>
      <c r="AA2817">
        <v>3</v>
      </c>
      <c r="AB2817">
        <v>4</v>
      </c>
      <c r="AD2817">
        <v>1</v>
      </c>
      <c r="AE2817">
        <v>1</v>
      </c>
      <c r="AF2817">
        <v>0</v>
      </c>
      <c r="AG2817">
        <v>1</v>
      </c>
      <c r="AI2817">
        <v>0</v>
      </c>
      <c r="AJ2817">
        <v>16</v>
      </c>
      <c r="AK2817">
        <v>369</v>
      </c>
      <c r="AL2817">
        <v>369</v>
      </c>
      <c r="AM2817">
        <v>532</v>
      </c>
      <c r="AN2817">
        <v>44</v>
      </c>
      <c r="AP2817">
        <v>1</v>
      </c>
      <c r="AR2817" t="s">
        <v>2911</v>
      </c>
      <c r="AS2817" s="1">
        <v>44354.256249999999</v>
      </c>
      <c r="AT2817" s="1">
        <v>44354.262430555558</v>
      </c>
      <c r="AU2817" s="1">
        <v>44354.264027777775</v>
      </c>
      <c r="AV2817" t="s">
        <v>71</v>
      </c>
      <c r="AW2817" t="s">
        <v>72</v>
      </c>
      <c r="AX2817" t="s">
        <v>347</v>
      </c>
    </row>
    <row r="2818" spans="1:50" x14ac:dyDescent="0.3">
      <c r="A2818" t="str">
        <f>"202303C0200"</f>
        <v>202303C0200</v>
      </c>
      <c r="B2818" t="str">
        <f>"202303C02002"</f>
        <v>202303C02002</v>
      </c>
      <c r="C2818" t="str">
        <f t="shared" si="134"/>
        <v>20</v>
      </c>
      <c r="D2818" t="s">
        <v>67</v>
      </c>
      <c r="E2818" t="str">
        <f t="shared" si="137"/>
        <v>012</v>
      </c>
      <c r="F2818" t="s">
        <v>2715</v>
      </c>
      <c r="G2818" t="str">
        <f>"2303"</f>
        <v>2303</v>
      </c>
      <c r="H2818" t="str">
        <f>"0002"</f>
        <v>0002</v>
      </c>
      <c r="I2818" t="s">
        <v>75</v>
      </c>
      <c r="J2818">
        <v>0</v>
      </c>
      <c r="K2818">
        <v>1</v>
      </c>
      <c r="L2818">
        <v>2</v>
      </c>
      <c r="M2818">
        <v>195</v>
      </c>
      <c r="N2818">
        <v>381</v>
      </c>
      <c r="O2818">
        <v>3</v>
      </c>
      <c r="P2818">
        <v>381</v>
      </c>
      <c r="Q2818">
        <v>5</v>
      </c>
      <c r="R2818">
        <v>18</v>
      </c>
      <c r="S2818">
        <v>16</v>
      </c>
      <c r="T2818">
        <v>31</v>
      </c>
      <c r="U2818">
        <v>41</v>
      </c>
      <c r="V2818">
        <v>17</v>
      </c>
      <c r="W2818">
        <v>27</v>
      </c>
      <c r="X2818">
        <v>146</v>
      </c>
      <c r="Y2818">
        <v>6</v>
      </c>
      <c r="Z2818">
        <v>39</v>
      </c>
      <c r="AA2818">
        <v>11</v>
      </c>
      <c r="AB2818">
        <v>7</v>
      </c>
      <c r="AD2818" t="s">
        <v>77</v>
      </c>
      <c r="AE2818" t="s">
        <v>77</v>
      </c>
      <c r="AF2818" t="s">
        <v>77</v>
      </c>
      <c r="AG2818" t="s">
        <v>77</v>
      </c>
      <c r="AI2818" t="s">
        <v>77</v>
      </c>
      <c r="AJ2818">
        <v>17</v>
      </c>
      <c r="AK2818">
        <v>381</v>
      </c>
      <c r="AL2818">
        <v>381</v>
      </c>
      <c r="AM2818">
        <v>532</v>
      </c>
      <c r="AN2818">
        <v>44</v>
      </c>
      <c r="AO2818" t="s">
        <v>78</v>
      </c>
      <c r="AP2818">
        <v>1</v>
      </c>
      <c r="AR2818" t="s">
        <v>2912</v>
      </c>
      <c r="AS2818" s="1">
        <v>44354.107638888891</v>
      </c>
      <c r="AT2818" s="1">
        <v>44354.133703703701</v>
      </c>
      <c r="AU2818" s="1">
        <v>44354.134293981479</v>
      </c>
      <c r="AV2818" t="s">
        <v>71</v>
      </c>
      <c r="AW2818" t="s">
        <v>72</v>
      </c>
      <c r="AX2818" t="s">
        <v>73</v>
      </c>
    </row>
    <row r="2819" spans="1:50" x14ac:dyDescent="0.3">
      <c r="A2819" t="str">
        <f>"202454B0000"</f>
        <v>202454B0000</v>
      </c>
      <c r="B2819" t="str">
        <f>"202454B00002"</f>
        <v>202454B00002</v>
      </c>
      <c r="C2819" t="str">
        <f t="shared" si="134"/>
        <v>20</v>
      </c>
      <c r="D2819" t="s">
        <v>67</v>
      </c>
      <c r="E2819" t="str">
        <f t="shared" si="137"/>
        <v>012</v>
      </c>
      <c r="F2819" t="s">
        <v>2715</v>
      </c>
      <c r="G2819" t="str">
        <f>"2454"</f>
        <v>2454</v>
      </c>
      <c r="H2819" t="str">
        <f>"0000"</f>
        <v>0000</v>
      </c>
      <c r="I2819" t="s">
        <v>69</v>
      </c>
      <c r="J2819">
        <v>0</v>
      </c>
      <c r="K2819">
        <v>1</v>
      </c>
      <c r="L2819">
        <v>2</v>
      </c>
      <c r="M2819">
        <v>133</v>
      </c>
      <c r="N2819">
        <v>126</v>
      </c>
      <c r="O2819">
        <v>4</v>
      </c>
      <c r="P2819">
        <v>125</v>
      </c>
      <c r="Q2819">
        <v>10</v>
      </c>
      <c r="R2819">
        <v>21</v>
      </c>
      <c r="S2819">
        <v>3</v>
      </c>
      <c r="T2819">
        <v>2</v>
      </c>
      <c r="U2819">
        <v>13</v>
      </c>
      <c r="V2819">
        <v>3</v>
      </c>
      <c r="W2819">
        <v>4</v>
      </c>
      <c r="X2819">
        <v>55</v>
      </c>
      <c r="Y2819">
        <v>1</v>
      </c>
      <c r="Z2819">
        <v>1</v>
      </c>
      <c r="AA2819">
        <v>1</v>
      </c>
      <c r="AB2819">
        <v>6</v>
      </c>
      <c r="AD2819">
        <v>0</v>
      </c>
      <c r="AE2819">
        <v>0</v>
      </c>
      <c r="AF2819">
        <v>0</v>
      </c>
      <c r="AG2819">
        <v>0</v>
      </c>
      <c r="AI2819">
        <v>0</v>
      </c>
      <c r="AJ2819">
        <v>5</v>
      </c>
      <c r="AK2819">
        <v>125</v>
      </c>
      <c r="AL2819">
        <v>125</v>
      </c>
      <c r="AM2819">
        <v>215</v>
      </c>
      <c r="AN2819">
        <v>44</v>
      </c>
      <c r="AP2819">
        <v>1</v>
      </c>
      <c r="AR2819" t="s">
        <v>2913</v>
      </c>
      <c r="AS2819" s="1">
        <v>44353.870833333334</v>
      </c>
      <c r="AT2819" s="1">
        <v>44353.992418981485</v>
      </c>
      <c r="AU2819" s="1">
        <v>44353.992812500001</v>
      </c>
      <c r="AV2819" t="s">
        <v>71</v>
      </c>
      <c r="AW2819" t="s">
        <v>72</v>
      </c>
      <c r="AX2819" t="s">
        <v>73</v>
      </c>
    </row>
    <row r="2820" spans="1:50" x14ac:dyDescent="0.3">
      <c r="A2820" t="str">
        <f>"200484B0000"</f>
        <v>200484B0000</v>
      </c>
      <c r="B2820" t="str">
        <f>"200484B00002"</f>
        <v>200484B00002</v>
      </c>
      <c r="C2820" t="str">
        <f t="shared" si="134"/>
        <v>20</v>
      </c>
      <c r="D2820" t="s">
        <v>67</v>
      </c>
      <c r="E2820" t="str">
        <f t="shared" ref="E2820:E2883" si="138">"013"</f>
        <v>013</v>
      </c>
      <c r="F2820" t="s">
        <v>2914</v>
      </c>
      <c r="G2820" t="str">
        <f>"0484"</f>
        <v>0484</v>
      </c>
      <c r="H2820" t="str">
        <f>"0000"</f>
        <v>0000</v>
      </c>
      <c r="I2820" t="s">
        <v>69</v>
      </c>
      <c r="J2820">
        <v>0</v>
      </c>
      <c r="K2820">
        <v>1</v>
      </c>
      <c r="L2820">
        <v>2</v>
      </c>
      <c r="M2820">
        <v>360</v>
      </c>
      <c r="N2820">
        <v>403</v>
      </c>
      <c r="O2820">
        <v>1</v>
      </c>
      <c r="P2820">
        <v>403</v>
      </c>
      <c r="Q2820">
        <v>18</v>
      </c>
      <c r="R2820">
        <v>73</v>
      </c>
      <c r="S2820">
        <v>2</v>
      </c>
      <c r="T2820">
        <v>6</v>
      </c>
      <c r="U2820">
        <v>10</v>
      </c>
      <c r="V2820">
        <v>14</v>
      </c>
      <c r="W2820">
        <v>3</v>
      </c>
      <c r="X2820">
        <v>224</v>
      </c>
      <c r="Y2820">
        <v>3</v>
      </c>
      <c r="Z2820">
        <v>13</v>
      </c>
      <c r="AA2820">
        <v>2</v>
      </c>
      <c r="AB2820">
        <v>12</v>
      </c>
      <c r="AD2820">
        <v>4</v>
      </c>
      <c r="AE2820">
        <v>2</v>
      </c>
      <c r="AF2820">
        <v>0</v>
      </c>
      <c r="AG2820">
        <v>0</v>
      </c>
      <c r="AH2820">
        <v>0</v>
      </c>
      <c r="AI2820">
        <v>0</v>
      </c>
      <c r="AJ2820">
        <v>17</v>
      </c>
      <c r="AK2820">
        <v>403</v>
      </c>
      <c r="AL2820">
        <v>403</v>
      </c>
      <c r="AM2820">
        <v>720</v>
      </c>
      <c r="AN2820">
        <v>44</v>
      </c>
      <c r="AP2820">
        <v>1</v>
      </c>
      <c r="AR2820" t="s">
        <v>2915</v>
      </c>
      <c r="AS2820" s="1">
        <v>44354.097916666666</v>
      </c>
      <c r="AT2820" s="1">
        <v>44354.111273148148</v>
      </c>
      <c r="AU2820" s="1">
        <v>44354.113067129627</v>
      </c>
      <c r="AV2820" t="s">
        <v>71</v>
      </c>
      <c r="AW2820" t="s">
        <v>72</v>
      </c>
      <c r="AX2820" t="s">
        <v>73</v>
      </c>
    </row>
    <row r="2821" spans="1:50" x14ac:dyDescent="0.3">
      <c r="A2821" t="str">
        <f>"200484C0100"</f>
        <v>200484C0100</v>
      </c>
      <c r="B2821" t="str">
        <f>"200484C01002"</f>
        <v>200484C01002</v>
      </c>
      <c r="C2821" t="str">
        <f t="shared" si="134"/>
        <v>20</v>
      </c>
      <c r="D2821" t="s">
        <v>67</v>
      </c>
      <c r="E2821" t="str">
        <f t="shared" si="138"/>
        <v>013</v>
      </c>
      <c r="F2821" t="s">
        <v>2914</v>
      </c>
      <c r="G2821" t="str">
        <f>"0484"</f>
        <v>0484</v>
      </c>
      <c r="H2821" t="str">
        <f>"0001"</f>
        <v>0001</v>
      </c>
      <c r="I2821" t="s">
        <v>75</v>
      </c>
      <c r="J2821">
        <v>0</v>
      </c>
      <c r="K2821">
        <v>1</v>
      </c>
      <c r="L2821">
        <v>2</v>
      </c>
      <c r="M2821">
        <v>375</v>
      </c>
      <c r="N2821">
        <v>389</v>
      </c>
      <c r="O2821">
        <v>3</v>
      </c>
      <c r="P2821" t="s">
        <v>80</v>
      </c>
      <c r="Q2821">
        <v>26</v>
      </c>
      <c r="R2821">
        <v>84</v>
      </c>
      <c r="S2821">
        <v>1</v>
      </c>
      <c r="T2821">
        <v>11</v>
      </c>
      <c r="U2821">
        <v>9</v>
      </c>
      <c r="V2821">
        <v>11</v>
      </c>
      <c r="W2821">
        <v>5</v>
      </c>
      <c r="X2821">
        <v>207</v>
      </c>
      <c r="Y2821">
        <v>6</v>
      </c>
      <c r="Z2821">
        <v>5</v>
      </c>
      <c r="AA2821">
        <v>2</v>
      </c>
      <c r="AB2821">
        <v>8</v>
      </c>
      <c r="AD2821">
        <v>2</v>
      </c>
      <c r="AE2821" t="s">
        <v>77</v>
      </c>
      <c r="AF2821" t="s">
        <v>77</v>
      </c>
      <c r="AG2821">
        <v>1</v>
      </c>
      <c r="AH2821" t="s">
        <v>77</v>
      </c>
      <c r="AI2821">
        <v>1</v>
      </c>
      <c r="AJ2821">
        <v>10</v>
      </c>
      <c r="AK2821">
        <v>389</v>
      </c>
      <c r="AL2821">
        <v>389</v>
      </c>
      <c r="AM2821">
        <v>720</v>
      </c>
      <c r="AN2821">
        <v>44</v>
      </c>
      <c r="AO2821" t="s">
        <v>78</v>
      </c>
      <c r="AP2821">
        <v>1</v>
      </c>
      <c r="AR2821" t="s">
        <v>2916</v>
      </c>
      <c r="AS2821" s="1">
        <v>44354.091666666667</v>
      </c>
      <c r="AT2821" s="1">
        <v>44354.10496527778</v>
      </c>
      <c r="AU2821" s="1">
        <v>44354.106226851851</v>
      </c>
      <c r="AV2821" t="s">
        <v>71</v>
      </c>
      <c r="AW2821" t="s">
        <v>72</v>
      </c>
      <c r="AX2821" t="s">
        <v>73</v>
      </c>
    </row>
    <row r="2822" spans="1:50" x14ac:dyDescent="0.3">
      <c r="A2822" t="str">
        <f>"200504B0000"</f>
        <v>200504B0000</v>
      </c>
      <c r="B2822" t="str">
        <f>"200504B00002"</f>
        <v>200504B00002</v>
      </c>
      <c r="C2822" t="str">
        <f t="shared" si="134"/>
        <v>20</v>
      </c>
      <c r="D2822" t="s">
        <v>67</v>
      </c>
      <c r="E2822" t="str">
        <f t="shared" si="138"/>
        <v>013</v>
      </c>
      <c r="F2822" t="s">
        <v>2914</v>
      </c>
      <c r="G2822" t="str">
        <f>"0504"</f>
        <v>0504</v>
      </c>
      <c r="H2822" t="str">
        <f>"0000"</f>
        <v>0000</v>
      </c>
      <c r="I2822" t="s">
        <v>69</v>
      </c>
      <c r="J2822">
        <v>0</v>
      </c>
      <c r="K2822">
        <v>1</v>
      </c>
      <c r="L2822">
        <v>2</v>
      </c>
      <c r="M2822">
        <v>258</v>
      </c>
      <c r="N2822">
        <v>349</v>
      </c>
      <c r="O2822">
        <v>6</v>
      </c>
      <c r="P2822" t="s">
        <v>80</v>
      </c>
      <c r="Q2822">
        <v>37</v>
      </c>
      <c r="R2822">
        <v>71</v>
      </c>
      <c r="S2822">
        <v>2</v>
      </c>
      <c r="T2822">
        <v>4</v>
      </c>
      <c r="U2822">
        <v>8</v>
      </c>
      <c r="V2822">
        <v>12</v>
      </c>
      <c r="W2822">
        <v>8</v>
      </c>
      <c r="X2822">
        <v>177</v>
      </c>
      <c r="Y2822">
        <v>3</v>
      </c>
      <c r="Z2822">
        <v>5</v>
      </c>
      <c r="AA2822">
        <v>1</v>
      </c>
      <c r="AB2822">
        <v>5</v>
      </c>
      <c r="AD2822">
        <v>4</v>
      </c>
      <c r="AE2822">
        <v>0</v>
      </c>
      <c r="AF2822">
        <v>0</v>
      </c>
      <c r="AG2822">
        <v>0</v>
      </c>
      <c r="AH2822">
        <v>0</v>
      </c>
      <c r="AI2822">
        <v>1</v>
      </c>
      <c r="AJ2822">
        <v>11</v>
      </c>
      <c r="AK2822">
        <v>349</v>
      </c>
      <c r="AL2822">
        <v>349</v>
      </c>
      <c r="AM2822">
        <v>563</v>
      </c>
      <c r="AN2822">
        <v>44</v>
      </c>
      <c r="AP2822">
        <v>1</v>
      </c>
      <c r="AR2822" t="s">
        <v>2917</v>
      </c>
      <c r="AS2822" s="1">
        <v>44354.073611111111</v>
      </c>
      <c r="AT2822" s="1">
        <v>44354.081759259258</v>
      </c>
      <c r="AU2822" s="1">
        <v>44354.082777777781</v>
      </c>
      <c r="AV2822" t="s">
        <v>71</v>
      </c>
      <c r="AW2822" t="s">
        <v>72</v>
      </c>
      <c r="AX2822" t="s">
        <v>73</v>
      </c>
    </row>
    <row r="2823" spans="1:50" x14ac:dyDescent="0.3">
      <c r="A2823" t="str">
        <f>"200504C0100"</f>
        <v>200504C0100</v>
      </c>
      <c r="B2823" t="str">
        <f>"200504C01002"</f>
        <v>200504C01002</v>
      </c>
      <c r="C2823" t="str">
        <f t="shared" ref="C2823:C2886" si="139">"20"</f>
        <v>20</v>
      </c>
      <c r="D2823" t="s">
        <v>67</v>
      </c>
      <c r="E2823" t="str">
        <f t="shared" si="138"/>
        <v>013</v>
      </c>
      <c r="F2823" t="s">
        <v>2914</v>
      </c>
      <c r="G2823" t="str">
        <f>"0504"</f>
        <v>0504</v>
      </c>
      <c r="H2823" t="str">
        <f>"0001"</f>
        <v>0001</v>
      </c>
      <c r="I2823" t="s">
        <v>75</v>
      </c>
      <c r="J2823">
        <v>0</v>
      </c>
      <c r="K2823">
        <v>1</v>
      </c>
      <c r="L2823">
        <v>2</v>
      </c>
      <c r="M2823">
        <v>312</v>
      </c>
      <c r="N2823">
        <v>293</v>
      </c>
      <c r="O2823">
        <v>3</v>
      </c>
      <c r="P2823">
        <v>294</v>
      </c>
      <c r="Q2823">
        <v>14</v>
      </c>
      <c r="R2823">
        <v>73</v>
      </c>
      <c r="S2823">
        <v>1</v>
      </c>
      <c r="T2823">
        <v>9</v>
      </c>
      <c r="U2823">
        <v>6</v>
      </c>
      <c r="V2823">
        <v>9</v>
      </c>
      <c r="W2823">
        <v>6</v>
      </c>
      <c r="X2823">
        <v>144</v>
      </c>
      <c r="Y2823">
        <v>2</v>
      </c>
      <c r="Z2823">
        <v>13</v>
      </c>
      <c r="AA2823">
        <v>2</v>
      </c>
      <c r="AB2823">
        <v>6</v>
      </c>
      <c r="AD2823">
        <v>1</v>
      </c>
      <c r="AE2823" t="s">
        <v>77</v>
      </c>
      <c r="AF2823" t="s">
        <v>77</v>
      </c>
      <c r="AG2823" t="s">
        <v>77</v>
      </c>
      <c r="AH2823" t="s">
        <v>77</v>
      </c>
      <c r="AI2823">
        <v>2</v>
      </c>
      <c r="AJ2823">
        <v>6</v>
      </c>
      <c r="AK2823">
        <v>294</v>
      </c>
      <c r="AL2823">
        <v>294</v>
      </c>
      <c r="AM2823">
        <v>562</v>
      </c>
      <c r="AN2823">
        <v>44</v>
      </c>
      <c r="AO2823" t="s">
        <v>78</v>
      </c>
      <c r="AP2823">
        <v>1</v>
      </c>
      <c r="AR2823" t="s">
        <v>2918</v>
      </c>
      <c r="AS2823" s="1">
        <v>44354.082638888889</v>
      </c>
      <c r="AT2823" s="1">
        <v>44354.094756944447</v>
      </c>
      <c r="AU2823" s="1">
        <v>44354.095312500001</v>
      </c>
      <c r="AV2823" t="s">
        <v>71</v>
      </c>
      <c r="AW2823" t="s">
        <v>72</v>
      </c>
      <c r="AX2823" t="s">
        <v>73</v>
      </c>
    </row>
    <row r="2824" spans="1:50" x14ac:dyDescent="0.3">
      <c r="A2824" t="str">
        <f>"200504C0200"</f>
        <v>200504C0200</v>
      </c>
      <c r="B2824" t="str">
        <f>"200504C02002"</f>
        <v>200504C02002</v>
      </c>
      <c r="C2824" t="str">
        <f t="shared" si="139"/>
        <v>20</v>
      </c>
      <c r="D2824" t="s">
        <v>67</v>
      </c>
      <c r="E2824" t="str">
        <f t="shared" si="138"/>
        <v>013</v>
      </c>
      <c r="F2824" t="s">
        <v>2914</v>
      </c>
      <c r="G2824" t="str">
        <f>"0504"</f>
        <v>0504</v>
      </c>
      <c r="H2824" t="str">
        <f>"0002"</f>
        <v>0002</v>
      </c>
      <c r="I2824" t="s">
        <v>75</v>
      </c>
      <c r="J2824">
        <v>0</v>
      </c>
      <c r="K2824">
        <v>1</v>
      </c>
      <c r="L2824">
        <v>2</v>
      </c>
      <c r="AM2824">
        <v>562</v>
      </c>
      <c r="AN2824">
        <v>44</v>
      </c>
      <c r="AO2824" t="s">
        <v>143</v>
      </c>
      <c r="AP2824">
        <v>0</v>
      </c>
      <c r="AR2824" t="s">
        <v>2919</v>
      </c>
      <c r="AS2824" s="1">
        <v>44354.430555555555</v>
      </c>
      <c r="AT2824" s="1">
        <v>44354.443599537037</v>
      </c>
      <c r="AU2824" s="1">
        <v>44354.443599537037</v>
      </c>
      <c r="AV2824" t="s">
        <v>71</v>
      </c>
      <c r="AW2824" t="s">
        <v>72</v>
      </c>
      <c r="AX2824" t="s">
        <v>73</v>
      </c>
    </row>
    <row r="2825" spans="1:50" x14ac:dyDescent="0.3">
      <c r="A2825" t="str">
        <f>"200505B0000"</f>
        <v>200505B0000</v>
      </c>
      <c r="B2825" t="str">
        <f>"200505B00002"</f>
        <v>200505B00002</v>
      </c>
      <c r="C2825" t="str">
        <f t="shared" si="139"/>
        <v>20</v>
      </c>
      <c r="D2825" t="s">
        <v>67</v>
      </c>
      <c r="E2825" t="str">
        <f t="shared" si="138"/>
        <v>013</v>
      </c>
      <c r="F2825" t="s">
        <v>2914</v>
      </c>
      <c r="G2825" t="str">
        <f>"0505"</f>
        <v>0505</v>
      </c>
      <c r="H2825" t="str">
        <f>"0000"</f>
        <v>0000</v>
      </c>
      <c r="I2825" t="s">
        <v>69</v>
      </c>
      <c r="J2825">
        <v>0</v>
      </c>
      <c r="K2825">
        <v>1</v>
      </c>
      <c r="L2825">
        <v>2</v>
      </c>
      <c r="M2825">
        <v>359</v>
      </c>
      <c r="N2825">
        <v>345</v>
      </c>
      <c r="O2825">
        <v>5</v>
      </c>
      <c r="P2825">
        <v>345</v>
      </c>
      <c r="Q2825">
        <v>27</v>
      </c>
      <c r="R2825">
        <v>68</v>
      </c>
      <c r="S2825">
        <v>4</v>
      </c>
      <c r="T2825">
        <v>13</v>
      </c>
      <c r="U2825">
        <v>8</v>
      </c>
      <c r="V2825">
        <v>11</v>
      </c>
      <c r="W2825">
        <v>2</v>
      </c>
      <c r="X2825">
        <v>172</v>
      </c>
      <c r="Y2825">
        <v>4</v>
      </c>
      <c r="Z2825">
        <v>14</v>
      </c>
      <c r="AA2825">
        <v>6</v>
      </c>
      <c r="AB2825">
        <v>9</v>
      </c>
      <c r="AD2825">
        <v>2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 t="s">
        <v>99</v>
      </c>
      <c r="AL2825">
        <v>340</v>
      </c>
      <c r="AM2825">
        <v>651</v>
      </c>
      <c r="AN2825">
        <v>44</v>
      </c>
      <c r="AP2825">
        <v>1</v>
      </c>
      <c r="AR2825" t="s">
        <v>2920</v>
      </c>
      <c r="AS2825" s="1">
        <v>44354.24722222222</v>
      </c>
      <c r="AT2825" s="1">
        <v>44354.25204861111</v>
      </c>
      <c r="AU2825" s="1">
        <v>44354.253136574072</v>
      </c>
      <c r="AV2825" t="s">
        <v>71</v>
      </c>
      <c r="AW2825" t="s">
        <v>72</v>
      </c>
      <c r="AX2825" t="s">
        <v>347</v>
      </c>
    </row>
    <row r="2826" spans="1:50" x14ac:dyDescent="0.3">
      <c r="A2826" t="str">
        <f>"200505C0100"</f>
        <v>200505C0100</v>
      </c>
      <c r="B2826" t="str">
        <f>"200505C01002"</f>
        <v>200505C01002</v>
      </c>
      <c r="C2826" t="str">
        <f t="shared" si="139"/>
        <v>20</v>
      </c>
      <c r="D2826" t="s">
        <v>67</v>
      </c>
      <c r="E2826" t="str">
        <f t="shared" si="138"/>
        <v>013</v>
      </c>
      <c r="F2826" t="s">
        <v>2914</v>
      </c>
      <c r="G2826" t="str">
        <f>"0505"</f>
        <v>0505</v>
      </c>
      <c r="H2826" t="str">
        <f>"0001"</f>
        <v>0001</v>
      </c>
      <c r="I2826" t="s">
        <v>75</v>
      </c>
      <c r="J2826">
        <v>0</v>
      </c>
      <c r="K2826">
        <v>1</v>
      </c>
      <c r="L2826">
        <v>2</v>
      </c>
      <c r="M2826">
        <v>339</v>
      </c>
      <c r="N2826">
        <v>355</v>
      </c>
      <c r="O2826">
        <v>5</v>
      </c>
      <c r="P2826" t="s">
        <v>99</v>
      </c>
      <c r="Q2826">
        <v>29</v>
      </c>
      <c r="R2826" t="s">
        <v>99</v>
      </c>
      <c r="S2826">
        <v>4</v>
      </c>
      <c r="T2826">
        <v>5</v>
      </c>
      <c r="U2826">
        <v>8</v>
      </c>
      <c r="V2826">
        <v>13</v>
      </c>
      <c r="W2826">
        <v>3</v>
      </c>
      <c r="X2826" t="s">
        <v>99</v>
      </c>
      <c r="Y2826">
        <v>6</v>
      </c>
      <c r="Z2826">
        <v>16</v>
      </c>
      <c r="AA2826">
        <v>4</v>
      </c>
      <c r="AB2826">
        <v>8</v>
      </c>
      <c r="AD2826">
        <v>4</v>
      </c>
      <c r="AE2826">
        <v>0</v>
      </c>
      <c r="AF2826">
        <v>0</v>
      </c>
      <c r="AG2826" t="s">
        <v>99</v>
      </c>
      <c r="AH2826">
        <v>0</v>
      </c>
      <c r="AI2826" t="s">
        <v>99</v>
      </c>
      <c r="AJ2826" t="s">
        <v>99</v>
      </c>
      <c r="AK2826" t="s">
        <v>99</v>
      </c>
      <c r="AL2826">
        <v>100</v>
      </c>
      <c r="AM2826">
        <v>650</v>
      </c>
      <c r="AN2826">
        <v>44</v>
      </c>
      <c r="AO2826" t="s">
        <v>78</v>
      </c>
      <c r="AP2826">
        <v>1</v>
      </c>
      <c r="AR2826" t="s">
        <v>2921</v>
      </c>
      <c r="AS2826" s="1">
        <v>44354.068749999999</v>
      </c>
      <c r="AT2826" s="1">
        <v>44354.081064814818</v>
      </c>
      <c r="AU2826" s="1">
        <v>44354.082719907405</v>
      </c>
      <c r="AV2826" t="s">
        <v>71</v>
      </c>
      <c r="AW2826" t="s">
        <v>72</v>
      </c>
      <c r="AX2826" t="s">
        <v>73</v>
      </c>
    </row>
    <row r="2827" spans="1:50" x14ac:dyDescent="0.3">
      <c r="A2827" t="str">
        <f>"200524B0000"</f>
        <v>200524B0000</v>
      </c>
      <c r="B2827" t="str">
        <f>"200524B00002"</f>
        <v>200524B00002</v>
      </c>
      <c r="C2827" t="str">
        <f t="shared" si="139"/>
        <v>20</v>
      </c>
      <c r="D2827" t="s">
        <v>67</v>
      </c>
      <c r="E2827" t="str">
        <f t="shared" si="138"/>
        <v>013</v>
      </c>
      <c r="F2827" t="s">
        <v>2914</v>
      </c>
      <c r="G2827" t="str">
        <f>"0524"</f>
        <v>0524</v>
      </c>
      <c r="H2827" t="str">
        <f>"0000"</f>
        <v>0000</v>
      </c>
      <c r="I2827" t="s">
        <v>69</v>
      </c>
      <c r="J2827">
        <v>0</v>
      </c>
      <c r="K2827">
        <v>1</v>
      </c>
      <c r="L2827">
        <v>2</v>
      </c>
      <c r="M2827">
        <v>370</v>
      </c>
      <c r="N2827">
        <v>356</v>
      </c>
      <c r="O2827">
        <v>2</v>
      </c>
      <c r="P2827">
        <v>356</v>
      </c>
      <c r="Q2827">
        <v>17</v>
      </c>
      <c r="R2827">
        <v>76</v>
      </c>
      <c r="S2827">
        <v>1</v>
      </c>
      <c r="T2827">
        <v>3</v>
      </c>
      <c r="U2827">
        <v>12</v>
      </c>
      <c r="V2827">
        <v>13</v>
      </c>
      <c r="W2827">
        <v>2</v>
      </c>
      <c r="X2827">
        <v>193</v>
      </c>
      <c r="Y2827">
        <v>4</v>
      </c>
      <c r="Z2827">
        <v>13</v>
      </c>
      <c r="AA2827">
        <v>4</v>
      </c>
      <c r="AB2827">
        <v>8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10</v>
      </c>
      <c r="AK2827">
        <v>356</v>
      </c>
      <c r="AL2827">
        <v>356</v>
      </c>
      <c r="AM2827">
        <v>682</v>
      </c>
      <c r="AN2827">
        <v>44</v>
      </c>
      <c r="AP2827">
        <v>1</v>
      </c>
      <c r="AR2827" t="s">
        <v>2922</v>
      </c>
      <c r="AS2827" s="1">
        <v>44354.101388888892</v>
      </c>
      <c r="AT2827" s="1">
        <v>44354.117106481484</v>
      </c>
      <c r="AU2827" s="1">
        <v>44354.117719907408</v>
      </c>
      <c r="AV2827" t="s">
        <v>71</v>
      </c>
      <c r="AW2827" t="s">
        <v>72</v>
      </c>
      <c r="AX2827" t="s">
        <v>73</v>
      </c>
    </row>
    <row r="2828" spans="1:50" x14ac:dyDescent="0.3">
      <c r="A2828" t="str">
        <f>"200524C0100"</f>
        <v>200524C0100</v>
      </c>
      <c r="B2828" t="str">
        <f>"200524C01002"</f>
        <v>200524C01002</v>
      </c>
      <c r="C2828" t="str">
        <f t="shared" si="139"/>
        <v>20</v>
      </c>
      <c r="D2828" t="s">
        <v>67</v>
      </c>
      <c r="E2828" t="str">
        <f t="shared" si="138"/>
        <v>013</v>
      </c>
      <c r="F2828" t="s">
        <v>2914</v>
      </c>
      <c r="G2828" t="str">
        <f>"0524"</f>
        <v>0524</v>
      </c>
      <c r="H2828" t="str">
        <f>"0001"</f>
        <v>0001</v>
      </c>
      <c r="I2828" t="s">
        <v>75</v>
      </c>
      <c r="J2828">
        <v>0</v>
      </c>
      <c r="K2828">
        <v>1</v>
      </c>
      <c r="L2828">
        <v>2</v>
      </c>
      <c r="M2828">
        <v>362</v>
      </c>
      <c r="N2828">
        <v>363</v>
      </c>
      <c r="O2828">
        <v>3</v>
      </c>
      <c r="P2828">
        <v>363</v>
      </c>
      <c r="Q2828">
        <v>19</v>
      </c>
      <c r="R2828">
        <v>59</v>
      </c>
      <c r="S2828">
        <v>4</v>
      </c>
      <c r="T2828">
        <v>6</v>
      </c>
      <c r="U2828">
        <v>6</v>
      </c>
      <c r="V2828">
        <v>6</v>
      </c>
      <c r="W2828">
        <v>3</v>
      </c>
      <c r="X2828">
        <v>222</v>
      </c>
      <c r="Y2828">
        <v>10</v>
      </c>
      <c r="Z2828">
        <v>8</v>
      </c>
      <c r="AA2828">
        <v>3</v>
      </c>
      <c r="AB2828">
        <v>5</v>
      </c>
      <c r="AD2828">
        <v>2</v>
      </c>
      <c r="AE2828" t="s">
        <v>77</v>
      </c>
      <c r="AF2828" t="s">
        <v>77</v>
      </c>
      <c r="AG2828" t="s">
        <v>77</v>
      </c>
      <c r="AH2828" t="s">
        <v>77</v>
      </c>
      <c r="AI2828" t="s">
        <v>77</v>
      </c>
      <c r="AJ2828">
        <v>10</v>
      </c>
      <c r="AK2828">
        <v>363</v>
      </c>
      <c r="AL2828">
        <v>363</v>
      </c>
      <c r="AM2828">
        <v>682</v>
      </c>
      <c r="AN2828">
        <v>44</v>
      </c>
      <c r="AO2828" t="s">
        <v>78</v>
      </c>
      <c r="AP2828">
        <v>1</v>
      </c>
      <c r="AR2828" t="s">
        <v>2923</v>
      </c>
      <c r="AS2828" s="1">
        <v>44354.046527777777</v>
      </c>
      <c r="AT2828" s="1">
        <v>44354.058506944442</v>
      </c>
      <c r="AU2828" s="1">
        <v>44354.059247685182</v>
      </c>
      <c r="AV2828" t="s">
        <v>71</v>
      </c>
      <c r="AW2828" t="s">
        <v>72</v>
      </c>
      <c r="AX2828" t="s">
        <v>73</v>
      </c>
    </row>
    <row r="2829" spans="1:50" x14ac:dyDescent="0.3">
      <c r="A2829" t="str">
        <f>"200524C0200"</f>
        <v>200524C0200</v>
      </c>
      <c r="B2829" t="str">
        <f>"200524C02002"</f>
        <v>200524C02002</v>
      </c>
      <c r="C2829" t="str">
        <f t="shared" si="139"/>
        <v>20</v>
      </c>
      <c r="D2829" t="s">
        <v>67</v>
      </c>
      <c r="E2829" t="str">
        <f t="shared" si="138"/>
        <v>013</v>
      </c>
      <c r="F2829" t="s">
        <v>2914</v>
      </c>
      <c r="G2829" t="str">
        <f>"0524"</f>
        <v>0524</v>
      </c>
      <c r="H2829" t="str">
        <f>"0002"</f>
        <v>0002</v>
      </c>
      <c r="I2829" t="s">
        <v>75</v>
      </c>
      <c r="J2829">
        <v>0</v>
      </c>
      <c r="K2829">
        <v>1</v>
      </c>
      <c r="L2829">
        <v>2</v>
      </c>
      <c r="M2829">
        <v>402</v>
      </c>
      <c r="N2829">
        <v>324</v>
      </c>
      <c r="O2829">
        <v>4</v>
      </c>
      <c r="P2829">
        <v>324</v>
      </c>
      <c r="Q2829">
        <v>13</v>
      </c>
      <c r="R2829">
        <v>74</v>
      </c>
      <c r="S2829">
        <v>4</v>
      </c>
      <c r="T2829">
        <v>1</v>
      </c>
      <c r="U2829">
        <v>10</v>
      </c>
      <c r="V2829">
        <v>4</v>
      </c>
      <c r="W2829">
        <v>6</v>
      </c>
      <c r="X2829">
        <v>179</v>
      </c>
      <c r="Y2829">
        <v>2</v>
      </c>
      <c r="Z2829">
        <v>9</v>
      </c>
      <c r="AA2829">
        <v>0</v>
      </c>
      <c r="AB2829">
        <v>6</v>
      </c>
      <c r="AD2829">
        <v>5</v>
      </c>
      <c r="AE2829">
        <v>1</v>
      </c>
      <c r="AF2829">
        <v>0</v>
      </c>
      <c r="AG2829">
        <v>0</v>
      </c>
      <c r="AH2829">
        <v>0</v>
      </c>
      <c r="AI2829">
        <v>0</v>
      </c>
      <c r="AJ2829">
        <v>10</v>
      </c>
      <c r="AK2829">
        <v>324</v>
      </c>
      <c r="AL2829">
        <v>324</v>
      </c>
      <c r="AM2829">
        <v>682</v>
      </c>
      <c r="AN2829">
        <v>44</v>
      </c>
      <c r="AP2829">
        <v>1</v>
      </c>
      <c r="AR2829" t="s">
        <v>2924</v>
      </c>
      <c r="AS2829" s="1">
        <v>44354.056944444441</v>
      </c>
      <c r="AT2829" s="1">
        <v>44354.064687500002</v>
      </c>
      <c r="AU2829" s="1">
        <v>44354.065474537034</v>
      </c>
      <c r="AV2829" t="s">
        <v>71</v>
      </c>
      <c r="AW2829" t="s">
        <v>72</v>
      </c>
      <c r="AX2829" t="s">
        <v>73</v>
      </c>
    </row>
    <row r="2830" spans="1:50" x14ac:dyDescent="0.3">
      <c r="A2830" t="str">
        <f>"200524C0300"</f>
        <v>200524C0300</v>
      </c>
      <c r="B2830" t="str">
        <f>"200524C03002"</f>
        <v>200524C03002</v>
      </c>
      <c r="C2830" t="str">
        <f t="shared" si="139"/>
        <v>20</v>
      </c>
      <c r="D2830" t="s">
        <v>67</v>
      </c>
      <c r="E2830" t="str">
        <f t="shared" si="138"/>
        <v>013</v>
      </c>
      <c r="F2830" t="s">
        <v>2914</v>
      </c>
      <c r="G2830" t="str">
        <f>"0524"</f>
        <v>0524</v>
      </c>
      <c r="H2830" t="str">
        <f>"0003"</f>
        <v>0003</v>
      </c>
      <c r="I2830" t="s">
        <v>75</v>
      </c>
      <c r="J2830">
        <v>0</v>
      </c>
      <c r="K2830">
        <v>1</v>
      </c>
      <c r="L2830">
        <v>2</v>
      </c>
      <c r="M2830">
        <v>420</v>
      </c>
      <c r="N2830">
        <v>307</v>
      </c>
      <c r="O2830">
        <v>7</v>
      </c>
      <c r="P2830">
        <v>305</v>
      </c>
      <c r="Q2830">
        <v>18</v>
      </c>
      <c r="R2830">
        <v>61</v>
      </c>
      <c r="S2830">
        <v>4</v>
      </c>
      <c r="T2830">
        <v>4</v>
      </c>
      <c r="U2830">
        <v>6</v>
      </c>
      <c r="V2830">
        <v>11</v>
      </c>
      <c r="W2830">
        <v>2</v>
      </c>
      <c r="X2830">
        <v>171</v>
      </c>
      <c r="Y2830">
        <v>4</v>
      </c>
      <c r="Z2830">
        <v>7</v>
      </c>
      <c r="AA2830">
        <v>2</v>
      </c>
      <c r="AB2830">
        <v>5</v>
      </c>
      <c r="AD2830">
        <v>1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9</v>
      </c>
      <c r="AK2830">
        <v>305</v>
      </c>
      <c r="AL2830">
        <v>305</v>
      </c>
      <c r="AM2830">
        <v>681</v>
      </c>
      <c r="AN2830">
        <v>44</v>
      </c>
      <c r="AP2830">
        <v>1</v>
      </c>
      <c r="AR2830" t="s">
        <v>2925</v>
      </c>
      <c r="AS2830" s="1">
        <v>44353.98333333333</v>
      </c>
      <c r="AT2830" s="1">
        <v>44353.984895833331</v>
      </c>
      <c r="AU2830" s="1">
        <v>44353.985358796293</v>
      </c>
      <c r="AV2830" t="s">
        <v>71</v>
      </c>
      <c r="AW2830" t="s">
        <v>72</v>
      </c>
      <c r="AX2830" t="s">
        <v>73</v>
      </c>
    </row>
    <row r="2831" spans="1:50" x14ac:dyDescent="0.3">
      <c r="A2831" t="str">
        <f>"200524C0400"</f>
        <v>200524C0400</v>
      </c>
      <c r="B2831" t="str">
        <f>"200524C04002"</f>
        <v>200524C04002</v>
      </c>
      <c r="C2831" t="str">
        <f t="shared" si="139"/>
        <v>20</v>
      </c>
      <c r="D2831" t="s">
        <v>67</v>
      </c>
      <c r="E2831" t="str">
        <f t="shared" si="138"/>
        <v>013</v>
      </c>
      <c r="F2831" t="s">
        <v>2914</v>
      </c>
      <c r="G2831" t="str">
        <f>"0524"</f>
        <v>0524</v>
      </c>
      <c r="H2831" t="str">
        <f>"0004"</f>
        <v>0004</v>
      </c>
      <c r="I2831" t="s">
        <v>75</v>
      </c>
      <c r="J2831">
        <v>0</v>
      </c>
      <c r="K2831">
        <v>1</v>
      </c>
      <c r="L2831">
        <v>2</v>
      </c>
      <c r="M2831">
        <v>380</v>
      </c>
      <c r="N2831">
        <v>344</v>
      </c>
      <c r="O2831">
        <v>4</v>
      </c>
      <c r="P2831">
        <v>345</v>
      </c>
      <c r="Q2831">
        <v>11</v>
      </c>
      <c r="R2831">
        <v>69</v>
      </c>
      <c r="S2831">
        <v>3</v>
      </c>
      <c r="T2831">
        <v>7</v>
      </c>
      <c r="U2831">
        <v>13</v>
      </c>
      <c r="V2831">
        <v>7</v>
      </c>
      <c r="W2831">
        <v>2</v>
      </c>
      <c r="X2831">
        <v>196</v>
      </c>
      <c r="Y2831">
        <v>4</v>
      </c>
      <c r="Z2831">
        <v>7</v>
      </c>
      <c r="AA2831">
        <v>3</v>
      </c>
      <c r="AB2831">
        <v>10</v>
      </c>
      <c r="AD2831">
        <v>0</v>
      </c>
      <c r="AE2831">
        <v>2</v>
      </c>
      <c r="AF2831">
        <v>0</v>
      </c>
      <c r="AG2831">
        <v>0</v>
      </c>
      <c r="AH2831">
        <v>0</v>
      </c>
      <c r="AI2831">
        <v>0</v>
      </c>
      <c r="AJ2831">
        <v>11</v>
      </c>
      <c r="AK2831">
        <v>345</v>
      </c>
      <c r="AL2831">
        <v>345</v>
      </c>
      <c r="AM2831">
        <v>681</v>
      </c>
      <c r="AN2831">
        <v>44</v>
      </c>
      <c r="AP2831">
        <v>1</v>
      </c>
      <c r="AR2831" t="s">
        <v>2926</v>
      </c>
      <c r="AS2831" s="1">
        <v>44354.105555555558</v>
      </c>
      <c r="AT2831" s="1">
        <v>44354.122581018521</v>
      </c>
      <c r="AU2831" s="1">
        <v>44354.123402777775</v>
      </c>
      <c r="AV2831" t="s">
        <v>71</v>
      </c>
      <c r="AW2831" t="s">
        <v>72</v>
      </c>
      <c r="AX2831" t="s">
        <v>73</v>
      </c>
    </row>
    <row r="2832" spans="1:50" x14ac:dyDescent="0.3">
      <c r="A2832" t="str">
        <f>"200525B0000"</f>
        <v>200525B0000</v>
      </c>
      <c r="B2832" t="str">
        <f>"200525B00002"</f>
        <v>200525B00002</v>
      </c>
      <c r="C2832" t="str">
        <f t="shared" si="139"/>
        <v>20</v>
      </c>
      <c r="D2832" t="s">
        <v>67</v>
      </c>
      <c r="E2832" t="str">
        <f t="shared" si="138"/>
        <v>013</v>
      </c>
      <c r="F2832" t="s">
        <v>2914</v>
      </c>
      <c r="G2832" t="str">
        <f>"0525"</f>
        <v>0525</v>
      </c>
      <c r="H2832" t="str">
        <f>"0000"</f>
        <v>0000</v>
      </c>
      <c r="I2832" t="s">
        <v>69</v>
      </c>
      <c r="J2832">
        <v>0</v>
      </c>
      <c r="K2832">
        <v>1</v>
      </c>
      <c r="L2832">
        <v>2</v>
      </c>
      <c r="M2832">
        <v>237</v>
      </c>
      <c r="N2832">
        <v>265</v>
      </c>
      <c r="O2832">
        <v>4</v>
      </c>
      <c r="P2832">
        <v>265</v>
      </c>
      <c r="Q2832">
        <v>25</v>
      </c>
      <c r="R2832">
        <v>68</v>
      </c>
      <c r="S2832">
        <v>1</v>
      </c>
      <c r="T2832">
        <v>4</v>
      </c>
      <c r="U2832">
        <v>7</v>
      </c>
      <c r="V2832">
        <v>12</v>
      </c>
      <c r="W2832">
        <v>1</v>
      </c>
      <c r="X2832">
        <v>110</v>
      </c>
      <c r="Y2832">
        <v>3</v>
      </c>
      <c r="Z2832">
        <v>4</v>
      </c>
      <c r="AA2832">
        <v>2</v>
      </c>
      <c r="AB2832">
        <v>13</v>
      </c>
      <c r="AD2832">
        <v>2</v>
      </c>
      <c r="AE2832">
        <v>0</v>
      </c>
      <c r="AF2832">
        <v>0</v>
      </c>
      <c r="AG2832">
        <v>0</v>
      </c>
      <c r="AH2832">
        <v>1</v>
      </c>
      <c r="AI2832">
        <v>0</v>
      </c>
      <c r="AJ2832">
        <v>12</v>
      </c>
      <c r="AK2832">
        <v>265</v>
      </c>
      <c r="AL2832">
        <v>265</v>
      </c>
      <c r="AM2832">
        <v>458</v>
      </c>
      <c r="AN2832">
        <v>44</v>
      </c>
      <c r="AP2832">
        <v>1</v>
      </c>
      <c r="AR2832" t="s">
        <v>2927</v>
      </c>
      <c r="AS2832" s="1">
        <v>44354.085416666669</v>
      </c>
      <c r="AT2832" s="1">
        <v>44354.098194444443</v>
      </c>
      <c r="AU2832" s="1">
        <v>44354.098877314813</v>
      </c>
      <c r="AV2832" t="s">
        <v>71</v>
      </c>
      <c r="AW2832" t="s">
        <v>72</v>
      </c>
      <c r="AX2832" t="s">
        <v>73</v>
      </c>
    </row>
    <row r="2833" spans="1:50" x14ac:dyDescent="0.3">
      <c r="A2833" t="str">
        <f>"200525C0100"</f>
        <v>200525C0100</v>
      </c>
      <c r="B2833" t="str">
        <f>"200525C01002"</f>
        <v>200525C01002</v>
      </c>
      <c r="C2833" t="str">
        <f t="shared" si="139"/>
        <v>20</v>
      </c>
      <c r="D2833" t="s">
        <v>67</v>
      </c>
      <c r="E2833" t="str">
        <f t="shared" si="138"/>
        <v>013</v>
      </c>
      <c r="F2833" t="s">
        <v>2914</v>
      </c>
      <c r="G2833" t="str">
        <f>"0525"</f>
        <v>0525</v>
      </c>
      <c r="H2833" t="str">
        <f>"0001"</f>
        <v>0001</v>
      </c>
      <c r="I2833" t="s">
        <v>75</v>
      </c>
      <c r="J2833">
        <v>0</v>
      </c>
      <c r="K2833">
        <v>1</v>
      </c>
      <c r="L2833">
        <v>2</v>
      </c>
      <c r="M2833">
        <v>231</v>
      </c>
      <c r="N2833">
        <v>270</v>
      </c>
      <c r="O2833">
        <v>6</v>
      </c>
      <c r="P2833">
        <v>270</v>
      </c>
      <c r="Q2833">
        <v>27</v>
      </c>
      <c r="R2833">
        <v>66</v>
      </c>
      <c r="S2833">
        <v>2</v>
      </c>
      <c r="T2833">
        <v>1</v>
      </c>
      <c r="U2833">
        <v>6</v>
      </c>
      <c r="V2833">
        <v>4</v>
      </c>
      <c r="W2833">
        <v>5</v>
      </c>
      <c r="X2833">
        <v>127</v>
      </c>
      <c r="Y2833">
        <v>8</v>
      </c>
      <c r="Z2833">
        <v>2</v>
      </c>
      <c r="AA2833">
        <v>1</v>
      </c>
      <c r="AB2833">
        <v>9</v>
      </c>
      <c r="AD2833">
        <v>2</v>
      </c>
      <c r="AE2833">
        <v>1</v>
      </c>
      <c r="AF2833">
        <v>0</v>
      </c>
      <c r="AG2833">
        <v>0</v>
      </c>
      <c r="AH2833">
        <v>0</v>
      </c>
      <c r="AI2833">
        <v>0</v>
      </c>
      <c r="AJ2833">
        <v>9</v>
      </c>
      <c r="AK2833">
        <v>270</v>
      </c>
      <c r="AL2833">
        <v>270</v>
      </c>
      <c r="AM2833">
        <v>457</v>
      </c>
      <c r="AN2833">
        <v>44</v>
      </c>
      <c r="AP2833">
        <v>1</v>
      </c>
      <c r="AR2833" t="s">
        <v>2928</v>
      </c>
      <c r="AS2833" s="1">
        <v>44354.069444444445</v>
      </c>
      <c r="AT2833" s="1">
        <v>44354.076527777775</v>
      </c>
      <c r="AU2833" s="1">
        <v>44354.077557870369</v>
      </c>
      <c r="AV2833" t="s">
        <v>71</v>
      </c>
      <c r="AW2833" t="s">
        <v>72</v>
      </c>
      <c r="AX2833" t="s">
        <v>73</v>
      </c>
    </row>
    <row r="2834" spans="1:50" x14ac:dyDescent="0.3">
      <c r="A2834" t="str">
        <f>"200539B0000"</f>
        <v>200539B0000</v>
      </c>
      <c r="B2834" t="str">
        <f>"200539B00002"</f>
        <v>200539B00002</v>
      </c>
      <c r="C2834" t="str">
        <f t="shared" si="139"/>
        <v>20</v>
      </c>
      <c r="D2834" t="s">
        <v>67</v>
      </c>
      <c r="E2834" t="str">
        <f t="shared" si="138"/>
        <v>013</v>
      </c>
      <c r="F2834" t="s">
        <v>2914</v>
      </c>
      <c r="G2834" t="str">
        <f>"0539"</f>
        <v>0539</v>
      </c>
      <c r="H2834" t="str">
        <f>"0000"</f>
        <v>0000</v>
      </c>
      <c r="I2834" t="s">
        <v>69</v>
      </c>
      <c r="J2834">
        <v>0</v>
      </c>
      <c r="K2834">
        <v>1</v>
      </c>
      <c r="L2834">
        <v>2</v>
      </c>
      <c r="M2834">
        <v>236</v>
      </c>
      <c r="N2834">
        <v>238</v>
      </c>
      <c r="O2834">
        <v>7</v>
      </c>
      <c r="P2834">
        <v>231</v>
      </c>
      <c r="Q2834">
        <v>25</v>
      </c>
      <c r="R2834">
        <v>41</v>
      </c>
      <c r="S2834">
        <v>2</v>
      </c>
      <c r="T2834">
        <v>3</v>
      </c>
      <c r="U2834">
        <v>9</v>
      </c>
      <c r="V2834">
        <v>3</v>
      </c>
      <c r="W2834">
        <v>2</v>
      </c>
      <c r="X2834">
        <v>119</v>
      </c>
      <c r="Y2834">
        <v>2</v>
      </c>
      <c r="Z2834">
        <v>8</v>
      </c>
      <c r="AA2834">
        <v>3</v>
      </c>
      <c r="AB2834">
        <v>6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8</v>
      </c>
      <c r="AK2834">
        <v>231</v>
      </c>
      <c r="AL2834">
        <v>231</v>
      </c>
      <c r="AM2834">
        <v>422</v>
      </c>
      <c r="AN2834">
        <v>44</v>
      </c>
      <c r="AP2834">
        <v>1</v>
      </c>
      <c r="AR2834" t="s">
        <v>2929</v>
      </c>
      <c r="AS2834" s="1">
        <v>44354.061111111114</v>
      </c>
      <c r="AT2834" s="1">
        <v>44354.069745370369</v>
      </c>
      <c r="AU2834" s="1">
        <v>44354.070381944446</v>
      </c>
      <c r="AV2834" t="s">
        <v>71</v>
      </c>
      <c r="AW2834" t="s">
        <v>72</v>
      </c>
      <c r="AX2834" t="s">
        <v>73</v>
      </c>
    </row>
    <row r="2835" spans="1:50" x14ac:dyDescent="0.3">
      <c r="A2835" t="str">
        <f>"200539C0100"</f>
        <v>200539C0100</v>
      </c>
      <c r="B2835" t="str">
        <f>"200539C01002"</f>
        <v>200539C01002</v>
      </c>
      <c r="C2835" t="str">
        <f t="shared" si="139"/>
        <v>20</v>
      </c>
      <c r="D2835" t="s">
        <v>67</v>
      </c>
      <c r="E2835" t="str">
        <f t="shared" si="138"/>
        <v>013</v>
      </c>
      <c r="F2835" t="s">
        <v>2914</v>
      </c>
      <c r="G2835" t="str">
        <f>"0539"</f>
        <v>0539</v>
      </c>
      <c r="H2835" t="str">
        <f>"0001"</f>
        <v>0001</v>
      </c>
      <c r="I2835" t="s">
        <v>75</v>
      </c>
      <c r="J2835">
        <v>0</v>
      </c>
      <c r="K2835">
        <v>1</v>
      </c>
      <c r="L2835">
        <v>2</v>
      </c>
      <c r="M2835">
        <v>210</v>
      </c>
      <c r="N2835">
        <v>254</v>
      </c>
      <c r="O2835">
        <v>8</v>
      </c>
      <c r="P2835">
        <v>254</v>
      </c>
      <c r="Q2835">
        <v>21</v>
      </c>
      <c r="R2835">
        <v>59</v>
      </c>
      <c r="S2835">
        <v>2</v>
      </c>
      <c r="T2835">
        <v>5</v>
      </c>
      <c r="U2835">
        <v>5</v>
      </c>
      <c r="V2835">
        <v>6</v>
      </c>
      <c r="W2835">
        <v>1</v>
      </c>
      <c r="X2835">
        <v>127</v>
      </c>
      <c r="Y2835">
        <v>3</v>
      </c>
      <c r="Z2835">
        <v>8</v>
      </c>
      <c r="AA2835">
        <v>1</v>
      </c>
      <c r="AB2835">
        <v>4</v>
      </c>
      <c r="AD2835">
        <v>1</v>
      </c>
      <c r="AE2835">
        <v>0</v>
      </c>
      <c r="AF2835">
        <v>0</v>
      </c>
      <c r="AG2835">
        <v>0</v>
      </c>
      <c r="AH2835">
        <v>0</v>
      </c>
      <c r="AI2835">
        <v>1</v>
      </c>
      <c r="AJ2835">
        <v>10</v>
      </c>
      <c r="AK2835">
        <v>254</v>
      </c>
      <c r="AL2835">
        <v>254</v>
      </c>
      <c r="AM2835">
        <v>421</v>
      </c>
      <c r="AN2835">
        <v>44</v>
      </c>
      <c r="AP2835">
        <v>1</v>
      </c>
      <c r="AR2835" t="s">
        <v>2930</v>
      </c>
      <c r="AS2835" s="1">
        <v>44354.060416666667</v>
      </c>
      <c r="AT2835" s="1">
        <v>44354.068657407406</v>
      </c>
      <c r="AU2835" s="1">
        <v>44354.069189814814</v>
      </c>
      <c r="AV2835" t="s">
        <v>71</v>
      </c>
      <c r="AW2835" t="s">
        <v>72</v>
      </c>
      <c r="AX2835" t="s">
        <v>73</v>
      </c>
    </row>
    <row r="2836" spans="1:50" x14ac:dyDescent="0.3">
      <c r="A2836" t="str">
        <f>"200540B0000"</f>
        <v>200540B0000</v>
      </c>
      <c r="B2836" t="str">
        <f>"200540B00002"</f>
        <v>200540B00002</v>
      </c>
      <c r="C2836" t="str">
        <f t="shared" si="139"/>
        <v>20</v>
      </c>
      <c r="D2836" t="s">
        <v>67</v>
      </c>
      <c r="E2836" t="str">
        <f t="shared" si="138"/>
        <v>013</v>
      </c>
      <c r="F2836" t="s">
        <v>2914</v>
      </c>
      <c r="G2836" t="str">
        <f>"0540"</f>
        <v>0540</v>
      </c>
      <c r="H2836" t="str">
        <f>"0000"</f>
        <v>0000</v>
      </c>
      <c r="I2836" t="s">
        <v>69</v>
      </c>
      <c r="J2836">
        <v>0</v>
      </c>
      <c r="K2836">
        <v>1</v>
      </c>
      <c r="L2836">
        <v>2</v>
      </c>
      <c r="M2836">
        <v>489</v>
      </c>
      <c r="N2836">
        <v>272</v>
      </c>
      <c r="O2836">
        <v>6</v>
      </c>
      <c r="P2836">
        <v>272</v>
      </c>
      <c r="Q2836">
        <v>6</v>
      </c>
      <c r="R2836">
        <v>57</v>
      </c>
      <c r="S2836">
        <v>1</v>
      </c>
      <c r="T2836">
        <v>3</v>
      </c>
      <c r="U2836">
        <v>15</v>
      </c>
      <c r="V2836">
        <v>2</v>
      </c>
      <c r="W2836">
        <v>5</v>
      </c>
      <c r="X2836">
        <v>139</v>
      </c>
      <c r="Y2836">
        <v>4</v>
      </c>
      <c r="Z2836">
        <v>8</v>
      </c>
      <c r="AA2836">
        <v>6</v>
      </c>
      <c r="AB2836">
        <v>8</v>
      </c>
      <c r="AD2836">
        <v>1</v>
      </c>
      <c r="AE2836">
        <v>1</v>
      </c>
      <c r="AF2836">
        <v>0</v>
      </c>
      <c r="AG2836">
        <v>1</v>
      </c>
      <c r="AH2836">
        <v>0</v>
      </c>
      <c r="AI2836">
        <v>0</v>
      </c>
      <c r="AJ2836">
        <v>15</v>
      </c>
      <c r="AK2836">
        <v>272</v>
      </c>
      <c r="AL2836">
        <v>272</v>
      </c>
      <c r="AM2836">
        <v>716</v>
      </c>
      <c r="AN2836">
        <v>44</v>
      </c>
      <c r="AP2836">
        <v>1</v>
      </c>
      <c r="AR2836" t="s">
        <v>2931</v>
      </c>
      <c r="AS2836" s="1">
        <v>44354.022916666669</v>
      </c>
      <c r="AT2836" s="1">
        <v>44354.030949074076</v>
      </c>
      <c r="AU2836" s="1">
        <v>44354.031990740739</v>
      </c>
      <c r="AV2836" t="s">
        <v>71</v>
      </c>
      <c r="AW2836" t="s">
        <v>72</v>
      </c>
      <c r="AX2836" t="s">
        <v>73</v>
      </c>
    </row>
    <row r="2837" spans="1:50" x14ac:dyDescent="0.3">
      <c r="A2837" t="str">
        <f>"200540C0100"</f>
        <v>200540C0100</v>
      </c>
      <c r="B2837" t="str">
        <f>"200540C01002"</f>
        <v>200540C01002</v>
      </c>
      <c r="C2837" t="str">
        <f t="shared" si="139"/>
        <v>20</v>
      </c>
      <c r="D2837" t="s">
        <v>67</v>
      </c>
      <c r="E2837" t="str">
        <f t="shared" si="138"/>
        <v>013</v>
      </c>
      <c r="F2837" t="s">
        <v>2914</v>
      </c>
      <c r="G2837" t="str">
        <f>"0540"</f>
        <v>0540</v>
      </c>
      <c r="H2837" t="str">
        <f>"0001"</f>
        <v>0001</v>
      </c>
      <c r="I2837" t="s">
        <v>75</v>
      </c>
      <c r="J2837">
        <v>0</v>
      </c>
      <c r="K2837">
        <v>1</v>
      </c>
      <c r="L2837">
        <v>2</v>
      </c>
      <c r="M2837">
        <v>491</v>
      </c>
      <c r="N2837">
        <v>268</v>
      </c>
      <c r="O2837">
        <v>5</v>
      </c>
      <c r="P2837">
        <v>269</v>
      </c>
      <c r="Q2837">
        <v>7</v>
      </c>
      <c r="R2837">
        <v>74</v>
      </c>
      <c r="S2837">
        <v>1</v>
      </c>
      <c r="T2837">
        <v>3</v>
      </c>
      <c r="U2837">
        <v>13</v>
      </c>
      <c r="V2837">
        <v>3</v>
      </c>
      <c r="W2837">
        <v>5</v>
      </c>
      <c r="X2837">
        <v>140</v>
      </c>
      <c r="Y2837">
        <v>5</v>
      </c>
      <c r="Z2837">
        <v>4</v>
      </c>
      <c r="AA2837">
        <v>1</v>
      </c>
      <c r="AB2837">
        <v>6</v>
      </c>
      <c r="AD2837">
        <v>2</v>
      </c>
      <c r="AE2837">
        <v>0</v>
      </c>
      <c r="AF2837">
        <v>1</v>
      </c>
      <c r="AG2837">
        <v>0</v>
      </c>
      <c r="AH2837">
        <v>0</v>
      </c>
      <c r="AI2837">
        <v>0</v>
      </c>
      <c r="AJ2837">
        <v>4</v>
      </c>
      <c r="AK2837">
        <v>269</v>
      </c>
      <c r="AL2837">
        <v>269</v>
      </c>
      <c r="AM2837">
        <v>716</v>
      </c>
      <c r="AN2837">
        <v>44</v>
      </c>
      <c r="AP2837">
        <v>1</v>
      </c>
      <c r="AR2837" t="s">
        <v>2932</v>
      </c>
      <c r="AS2837" s="1">
        <v>44354.029861111114</v>
      </c>
      <c r="AT2837" s="1">
        <v>44354.044444444444</v>
      </c>
      <c r="AU2837" s="1">
        <v>44354.045011574075</v>
      </c>
      <c r="AV2837" t="s">
        <v>71</v>
      </c>
      <c r="AW2837" t="s">
        <v>72</v>
      </c>
      <c r="AX2837" t="s">
        <v>73</v>
      </c>
    </row>
    <row r="2838" spans="1:50" x14ac:dyDescent="0.3">
      <c r="A2838" t="str">
        <f>"200540C0200"</f>
        <v>200540C0200</v>
      </c>
      <c r="B2838" t="str">
        <f>"200540C02002"</f>
        <v>200540C02002</v>
      </c>
      <c r="C2838" t="str">
        <f t="shared" si="139"/>
        <v>20</v>
      </c>
      <c r="D2838" t="s">
        <v>67</v>
      </c>
      <c r="E2838" t="str">
        <f t="shared" si="138"/>
        <v>013</v>
      </c>
      <c r="F2838" t="s">
        <v>2914</v>
      </c>
      <c r="G2838" t="str">
        <f>"0540"</f>
        <v>0540</v>
      </c>
      <c r="H2838" t="str">
        <f>"0002"</f>
        <v>0002</v>
      </c>
      <c r="I2838" t="s">
        <v>75</v>
      </c>
      <c r="J2838">
        <v>0</v>
      </c>
      <c r="K2838">
        <v>1</v>
      </c>
      <c r="L2838">
        <v>2</v>
      </c>
      <c r="M2838">
        <v>500</v>
      </c>
      <c r="N2838">
        <v>259</v>
      </c>
      <c r="O2838">
        <v>5</v>
      </c>
      <c r="P2838">
        <v>259</v>
      </c>
      <c r="Q2838">
        <v>6</v>
      </c>
      <c r="R2838">
        <v>57</v>
      </c>
      <c r="S2838">
        <v>2</v>
      </c>
      <c r="T2838">
        <v>5</v>
      </c>
      <c r="U2838">
        <v>4</v>
      </c>
      <c r="V2838">
        <v>3</v>
      </c>
      <c r="W2838">
        <v>6</v>
      </c>
      <c r="X2838">
        <v>143</v>
      </c>
      <c r="Y2838">
        <v>3</v>
      </c>
      <c r="Z2838">
        <v>11</v>
      </c>
      <c r="AA2838">
        <v>1</v>
      </c>
      <c r="AB2838">
        <v>4</v>
      </c>
      <c r="AD2838" t="s">
        <v>77</v>
      </c>
      <c r="AE2838" t="s">
        <v>77</v>
      </c>
      <c r="AF2838" t="s">
        <v>77</v>
      </c>
      <c r="AG2838" t="s">
        <v>77</v>
      </c>
      <c r="AH2838" t="s">
        <v>77</v>
      </c>
      <c r="AI2838">
        <v>1</v>
      </c>
      <c r="AJ2838">
        <v>13</v>
      </c>
      <c r="AK2838">
        <v>259</v>
      </c>
      <c r="AL2838">
        <v>259</v>
      </c>
      <c r="AM2838">
        <v>715</v>
      </c>
      <c r="AN2838">
        <v>44</v>
      </c>
      <c r="AO2838" t="s">
        <v>78</v>
      </c>
      <c r="AP2838">
        <v>1</v>
      </c>
      <c r="AR2838" t="s">
        <v>2933</v>
      </c>
      <c r="AS2838" s="1">
        <v>44353.861111111109</v>
      </c>
      <c r="AT2838" s="1">
        <v>44354.04886574074</v>
      </c>
      <c r="AU2838" s="1">
        <v>44354.049386574072</v>
      </c>
      <c r="AV2838" t="s">
        <v>71</v>
      </c>
      <c r="AW2838" t="s">
        <v>72</v>
      </c>
      <c r="AX2838" t="s">
        <v>73</v>
      </c>
    </row>
    <row r="2839" spans="1:50" x14ac:dyDescent="0.3">
      <c r="A2839" t="str">
        <f>"200541B0000"</f>
        <v>200541B0000</v>
      </c>
      <c r="B2839" t="str">
        <f>"200541B00002"</f>
        <v>200541B00002</v>
      </c>
      <c r="C2839" t="str">
        <f t="shared" si="139"/>
        <v>20</v>
      </c>
      <c r="D2839" t="s">
        <v>67</v>
      </c>
      <c r="E2839" t="str">
        <f t="shared" si="138"/>
        <v>013</v>
      </c>
      <c r="F2839" t="s">
        <v>2914</v>
      </c>
      <c r="G2839" t="str">
        <f>"0541"</f>
        <v>0541</v>
      </c>
      <c r="H2839" t="str">
        <f>"0000"</f>
        <v>0000</v>
      </c>
      <c r="I2839" t="s">
        <v>69</v>
      </c>
      <c r="J2839">
        <v>0</v>
      </c>
      <c r="K2839">
        <v>1</v>
      </c>
      <c r="L2839">
        <v>2</v>
      </c>
      <c r="M2839">
        <v>356</v>
      </c>
      <c r="N2839">
        <v>309</v>
      </c>
      <c r="O2839">
        <v>3</v>
      </c>
      <c r="P2839" t="s">
        <v>80</v>
      </c>
      <c r="Q2839">
        <v>12</v>
      </c>
      <c r="R2839">
        <v>61</v>
      </c>
      <c r="S2839">
        <v>4</v>
      </c>
      <c r="T2839">
        <v>4</v>
      </c>
      <c r="U2839">
        <v>1</v>
      </c>
      <c r="V2839">
        <v>4</v>
      </c>
      <c r="W2839">
        <v>2</v>
      </c>
      <c r="X2839">
        <v>179</v>
      </c>
      <c r="Y2839">
        <v>3</v>
      </c>
      <c r="Z2839">
        <v>6</v>
      </c>
      <c r="AA2839">
        <v>2</v>
      </c>
      <c r="AB2839">
        <v>3</v>
      </c>
      <c r="AD2839">
        <v>1</v>
      </c>
      <c r="AE2839">
        <v>1</v>
      </c>
      <c r="AF2839">
        <v>0</v>
      </c>
      <c r="AG2839">
        <v>2</v>
      </c>
      <c r="AH2839">
        <v>0</v>
      </c>
      <c r="AI2839">
        <v>0</v>
      </c>
      <c r="AJ2839">
        <v>11</v>
      </c>
      <c r="AK2839">
        <v>309</v>
      </c>
      <c r="AL2839">
        <v>296</v>
      </c>
      <c r="AM2839">
        <v>621</v>
      </c>
      <c r="AN2839">
        <v>44</v>
      </c>
      <c r="AP2839">
        <v>1</v>
      </c>
      <c r="AR2839" t="s">
        <v>2934</v>
      </c>
      <c r="AS2839" s="1">
        <v>44354.147222222222</v>
      </c>
      <c r="AT2839" s="1">
        <v>44354.156504629631</v>
      </c>
      <c r="AU2839" s="1">
        <v>44354.157476851855</v>
      </c>
      <c r="AV2839" t="s">
        <v>71</v>
      </c>
      <c r="AW2839" t="s">
        <v>72</v>
      </c>
      <c r="AX2839" t="s">
        <v>73</v>
      </c>
    </row>
    <row r="2840" spans="1:50" x14ac:dyDescent="0.3">
      <c r="A2840" t="str">
        <f>"200541C0100"</f>
        <v>200541C0100</v>
      </c>
      <c r="B2840" t="str">
        <f>"200541C01002"</f>
        <v>200541C01002</v>
      </c>
      <c r="C2840" t="str">
        <f t="shared" si="139"/>
        <v>20</v>
      </c>
      <c r="D2840" t="s">
        <v>67</v>
      </c>
      <c r="E2840" t="str">
        <f t="shared" si="138"/>
        <v>013</v>
      </c>
      <c r="F2840" t="s">
        <v>2914</v>
      </c>
      <c r="G2840" t="str">
        <f>"0541"</f>
        <v>0541</v>
      </c>
      <c r="H2840" t="str">
        <f>"0001"</f>
        <v>0001</v>
      </c>
      <c r="I2840" t="s">
        <v>75</v>
      </c>
      <c r="J2840">
        <v>0</v>
      </c>
      <c r="K2840">
        <v>1</v>
      </c>
      <c r="L2840">
        <v>2</v>
      </c>
      <c r="M2840">
        <v>385</v>
      </c>
      <c r="N2840">
        <v>280</v>
      </c>
      <c r="O2840">
        <v>8</v>
      </c>
      <c r="P2840">
        <v>281</v>
      </c>
      <c r="Q2840">
        <v>5</v>
      </c>
      <c r="R2840">
        <v>39</v>
      </c>
      <c r="S2840">
        <v>0</v>
      </c>
      <c r="T2840">
        <v>3</v>
      </c>
      <c r="U2840">
        <v>9</v>
      </c>
      <c r="V2840">
        <v>4</v>
      </c>
      <c r="W2840">
        <v>1</v>
      </c>
      <c r="X2840">
        <v>196</v>
      </c>
      <c r="Y2840">
        <v>0</v>
      </c>
      <c r="Z2840">
        <v>5</v>
      </c>
      <c r="AA2840">
        <v>4</v>
      </c>
      <c r="AB2840">
        <v>7</v>
      </c>
      <c r="AD2840">
        <v>1</v>
      </c>
      <c r="AE2840">
        <v>1</v>
      </c>
      <c r="AF2840">
        <v>0</v>
      </c>
      <c r="AG2840">
        <v>0</v>
      </c>
      <c r="AH2840">
        <v>0</v>
      </c>
      <c r="AI2840">
        <v>0</v>
      </c>
      <c r="AJ2840">
        <v>6</v>
      </c>
      <c r="AK2840">
        <v>281</v>
      </c>
      <c r="AL2840">
        <v>281</v>
      </c>
      <c r="AM2840">
        <v>621</v>
      </c>
      <c r="AN2840">
        <v>44</v>
      </c>
      <c r="AP2840">
        <v>1</v>
      </c>
      <c r="AR2840" t="s">
        <v>2935</v>
      </c>
      <c r="AS2840" s="1">
        <v>44353.999305555553</v>
      </c>
      <c r="AT2840" s="1">
        <v>44354.040416666663</v>
      </c>
      <c r="AU2840" s="1">
        <v>44354.040752314817</v>
      </c>
      <c r="AV2840" t="s">
        <v>71</v>
      </c>
      <c r="AW2840" t="s">
        <v>72</v>
      </c>
      <c r="AX2840" t="s">
        <v>73</v>
      </c>
    </row>
    <row r="2841" spans="1:50" x14ac:dyDescent="0.3">
      <c r="A2841" t="str">
        <f>"200541C0200"</f>
        <v>200541C0200</v>
      </c>
      <c r="B2841" t="str">
        <f>"200541C02002"</f>
        <v>200541C02002</v>
      </c>
      <c r="C2841" t="str">
        <f t="shared" si="139"/>
        <v>20</v>
      </c>
      <c r="D2841" t="s">
        <v>67</v>
      </c>
      <c r="E2841" t="str">
        <f t="shared" si="138"/>
        <v>013</v>
      </c>
      <c r="F2841" t="s">
        <v>2914</v>
      </c>
      <c r="G2841" t="str">
        <f>"0541"</f>
        <v>0541</v>
      </c>
      <c r="H2841" t="str">
        <f>"0002"</f>
        <v>0002</v>
      </c>
      <c r="I2841" t="s">
        <v>75</v>
      </c>
      <c r="J2841">
        <v>0</v>
      </c>
      <c r="K2841">
        <v>1</v>
      </c>
      <c r="L2841">
        <v>2</v>
      </c>
      <c r="M2841">
        <v>410</v>
      </c>
      <c r="N2841">
        <v>253</v>
      </c>
      <c r="O2841">
        <v>2</v>
      </c>
      <c r="P2841">
        <v>254</v>
      </c>
      <c r="Q2841">
        <v>3</v>
      </c>
      <c r="R2841">
        <v>49</v>
      </c>
      <c r="S2841">
        <v>1</v>
      </c>
      <c r="T2841">
        <v>2</v>
      </c>
      <c r="U2841">
        <v>9</v>
      </c>
      <c r="V2841">
        <v>7</v>
      </c>
      <c r="W2841">
        <v>0</v>
      </c>
      <c r="X2841">
        <v>157</v>
      </c>
      <c r="Y2841">
        <v>1</v>
      </c>
      <c r="Z2841">
        <v>3</v>
      </c>
      <c r="AA2841">
        <v>3</v>
      </c>
      <c r="AB2841">
        <v>8</v>
      </c>
      <c r="AD2841">
        <v>1</v>
      </c>
      <c r="AE2841">
        <v>1</v>
      </c>
      <c r="AF2841">
        <v>0</v>
      </c>
      <c r="AG2841">
        <v>0</v>
      </c>
      <c r="AH2841">
        <v>0</v>
      </c>
      <c r="AI2841">
        <v>0</v>
      </c>
      <c r="AJ2841">
        <v>9</v>
      </c>
      <c r="AK2841">
        <v>254</v>
      </c>
      <c r="AL2841">
        <v>254</v>
      </c>
      <c r="AM2841">
        <v>620</v>
      </c>
      <c r="AN2841">
        <v>44</v>
      </c>
      <c r="AP2841">
        <v>1</v>
      </c>
      <c r="AR2841" s="2" t="s">
        <v>2936</v>
      </c>
      <c r="AS2841" s="1">
        <v>44353.99722222222</v>
      </c>
      <c r="AT2841" s="1">
        <v>44354.002546296295</v>
      </c>
      <c r="AU2841" s="1">
        <v>44354.003483796296</v>
      </c>
      <c r="AV2841" t="s">
        <v>71</v>
      </c>
      <c r="AW2841" t="s">
        <v>72</v>
      </c>
      <c r="AX2841" t="s">
        <v>73</v>
      </c>
    </row>
    <row r="2842" spans="1:50" x14ac:dyDescent="0.3">
      <c r="A2842" t="str">
        <f>"200541C0300"</f>
        <v>200541C0300</v>
      </c>
      <c r="B2842" t="str">
        <f>"200541C03002"</f>
        <v>200541C03002</v>
      </c>
      <c r="C2842" t="str">
        <f t="shared" si="139"/>
        <v>20</v>
      </c>
      <c r="D2842" t="s">
        <v>67</v>
      </c>
      <c r="E2842" t="str">
        <f t="shared" si="138"/>
        <v>013</v>
      </c>
      <c r="F2842" t="s">
        <v>2914</v>
      </c>
      <c r="G2842" t="str">
        <f>"0541"</f>
        <v>0541</v>
      </c>
      <c r="H2842" t="str">
        <f>"0003"</f>
        <v>0003</v>
      </c>
      <c r="I2842" t="s">
        <v>75</v>
      </c>
      <c r="J2842">
        <v>0</v>
      </c>
      <c r="K2842">
        <v>1</v>
      </c>
      <c r="L2842">
        <v>2</v>
      </c>
      <c r="M2842">
        <v>375</v>
      </c>
      <c r="N2842">
        <v>288</v>
      </c>
      <c r="O2842">
        <v>5</v>
      </c>
      <c r="P2842">
        <v>0</v>
      </c>
      <c r="Q2842">
        <v>10</v>
      </c>
      <c r="R2842">
        <v>47</v>
      </c>
      <c r="S2842">
        <v>1</v>
      </c>
      <c r="T2842">
        <v>0</v>
      </c>
      <c r="U2842">
        <v>9</v>
      </c>
      <c r="V2842">
        <v>6</v>
      </c>
      <c r="W2842">
        <v>2</v>
      </c>
      <c r="X2842">
        <v>186</v>
      </c>
      <c r="Y2842">
        <v>3</v>
      </c>
      <c r="Z2842">
        <v>8</v>
      </c>
      <c r="AA2842">
        <v>2</v>
      </c>
      <c r="AB2842">
        <v>6</v>
      </c>
      <c r="AD2842">
        <v>1</v>
      </c>
      <c r="AE2842" t="s">
        <v>77</v>
      </c>
      <c r="AF2842" t="s">
        <v>77</v>
      </c>
      <c r="AG2842" t="s">
        <v>77</v>
      </c>
      <c r="AH2842" t="s">
        <v>77</v>
      </c>
      <c r="AI2842" t="s">
        <v>77</v>
      </c>
      <c r="AJ2842">
        <v>7</v>
      </c>
      <c r="AK2842">
        <v>288</v>
      </c>
      <c r="AL2842">
        <v>288</v>
      </c>
      <c r="AM2842">
        <v>620</v>
      </c>
      <c r="AN2842">
        <v>44</v>
      </c>
      <c r="AO2842" t="s">
        <v>78</v>
      </c>
      <c r="AP2842">
        <v>1</v>
      </c>
      <c r="AR2842" t="s">
        <v>2937</v>
      </c>
      <c r="AS2842" s="1">
        <v>44354.006944444445</v>
      </c>
      <c r="AT2842" s="1">
        <v>44354.013993055552</v>
      </c>
      <c r="AU2842" s="1">
        <v>44354.01525462963</v>
      </c>
      <c r="AV2842" t="s">
        <v>71</v>
      </c>
      <c r="AW2842" t="s">
        <v>72</v>
      </c>
      <c r="AX2842" t="s">
        <v>73</v>
      </c>
    </row>
    <row r="2843" spans="1:50" x14ac:dyDescent="0.3">
      <c r="A2843" t="str">
        <f>"200542B0000"</f>
        <v>200542B0000</v>
      </c>
      <c r="B2843" t="str">
        <f>"200542B00002"</f>
        <v>200542B00002</v>
      </c>
      <c r="C2843" t="str">
        <f t="shared" si="139"/>
        <v>20</v>
      </c>
      <c r="D2843" t="s">
        <v>67</v>
      </c>
      <c r="E2843" t="str">
        <f t="shared" si="138"/>
        <v>013</v>
      </c>
      <c r="F2843" t="s">
        <v>2914</v>
      </c>
      <c r="G2843" t="str">
        <f>"0542"</f>
        <v>0542</v>
      </c>
      <c r="H2843" t="str">
        <f>"0000"</f>
        <v>0000</v>
      </c>
      <c r="I2843" t="s">
        <v>69</v>
      </c>
      <c r="J2843">
        <v>0</v>
      </c>
      <c r="K2843">
        <v>1</v>
      </c>
      <c r="L2843">
        <v>2</v>
      </c>
      <c r="M2843">
        <v>372</v>
      </c>
      <c r="N2843">
        <v>309</v>
      </c>
      <c r="O2843">
        <v>9</v>
      </c>
      <c r="P2843">
        <v>309</v>
      </c>
      <c r="Q2843">
        <v>10</v>
      </c>
      <c r="R2843">
        <v>57</v>
      </c>
      <c r="S2843">
        <v>4</v>
      </c>
      <c r="T2843">
        <v>2</v>
      </c>
      <c r="U2843">
        <v>12</v>
      </c>
      <c r="V2843">
        <v>19</v>
      </c>
      <c r="W2843">
        <v>3</v>
      </c>
      <c r="X2843">
        <v>161</v>
      </c>
      <c r="Y2843">
        <v>5</v>
      </c>
      <c r="Z2843">
        <v>6</v>
      </c>
      <c r="AA2843">
        <v>0</v>
      </c>
      <c r="AB2843">
        <v>13</v>
      </c>
      <c r="AD2843">
        <v>1</v>
      </c>
      <c r="AE2843">
        <v>1</v>
      </c>
      <c r="AF2843">
        <v>1</v>
      </c>
      <c r="AG2843">
        <v>1</v>
      </c>
      <c r="AH2843">
        <v>0</v>
      </c>
      <c r="AI2843">
        <v>0</v>
      </c>
      <c r="AJ2843">
        <v>13</v>
      </c>
      <c r="AK2843">
        <v>309</v>
      </c>
      <c r="AL2843">
        <v>309</v>
      </c>
      <c r="AM2843">
        <v>637</v>
      </c>
      <c r="AN2843">
        <v>44</v>
      </c>
      <c r="AP2843">
        <v>1</v>
      </c>
      <c r="AR2843" t="s">
        <v>2938</v>
      </c>
      <c r="AS2843" s="1">
        <v>44354.040972222225</v>
      </c>
      <c r="AT2843" s="1">
        <v>44354.053564814814</v>
      </c>
      <c r="AU2843" s="1">
        <v>44354.054062499999</v>
      </c>
      <c r="AV2843" t="s">
        <v>71</v>
      </c>
      <c r="AW2843" t="s">
        <v>72</v>
      </c>
      <c r="AX2843" t="s">
        <v>73</v>
      </c>
    </row>
    <row r="2844" spans="1:50" x14ac:dyDescent="0.3">
      <c r="A2844" t="str">
        <f>"200542C0100"</f>
        <v>200542C0100</v>
      </c>
      <c r="B2844" t="str">
        <f>"200542C01002"</f>
        <v>200542C01002</v>
      </c>
      <c r="C2844" t="str">
        <f t="shared" si="139"/>
        <v>20</v>
      </c>
      <c r="D2844" t="s">
        <v>67</v>
      </c>
      <c r="E2844" t="str">
        <f t="shared" si="138"/>
        <v>013</v>
      </c>
      <c r="F2844" t="s">
        <v>2914</v>
      </c>
      <c r="G2844" t="str">
        <f>"0542"</f>
        <v>0542</v>
      </c>
      <c r="H2844" t="str">
        <f>"0001"</f>
        <v>0001</v>
      </c>
      <c r="I2844" t="s">
        <v>75</v>
      </c>
      <c r="J2844">
        <v>0</v>
      </c>
      <c r="K2844">
        <v>1</v>
      </c>
      <c r="L2844">
        <v>2</v>
      </c>
      <c r="M2844">
        <v>367</v>
      </c>
      <c r="N2844">
        <v>314</v>
      </c>
      <c r="O2844">
        <v>8</v>
      </c>
      <c r="P2844" t="s">
        <v>80</v>
      </c>
      <c r="Q2844">
        <v>7</v>
      </c>
      <c r="R2844">
        <v>51</v>
      </c>
      <c r="S2844">
        <v>4</v>
      </c>
      <c r="T2844">
        <v>1</v>
      </c>
      <c r="U2844">
        <v>13</v>
      </c>
      <c r="V2844">
        <v>11</v>
      </c>
      <c r="W2844">
        <v>3</v>
      </c>
      <c r="X2844">
        <v>192</v>
      </c>
      <c r="Y2844">
        <v>4</v>
      </c>
      <c r="Z2844">
        <v>5</v>
      </c>
      <c r="AA2844">
        <v>1</v>
      </c>
      <c r="AB2844">
        <v>12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1</v>
      </c>
      <c r="AJ2844">
        <v>9</v>
      </c>
      <c r="AK2844">
        <v>314</v>
      </c>
      <c r="AL2844">
        <v>314</v>
      </c>
      <c r="AM2844">
        <v>637</v>
      </c>
      <c r="AN2844">
        <v>44</v>
      </c>
      <c r="AP2844">
        <v>1</v>
      </c>
      <c r="AR2844" t="s">
        <v>2939</v>
      </c>
      <c r="AS2844" s="1">
        <v>44354.043055555558</v>
      </c>
      <c r="AT2844" s="1">
        <v>44354.054386574076</v>
      </c>
      <c r="AU2844" s="1">
        <v>44354.054849537039</v>
      </c>
      <c r="AV2844" t="s">
        <v>71</v>
      </c>
      <c r="AW2844" t="s">
        <v>72</v>
      </c>
      <c r="AX2844" t="s">
        <v>73</v>
      </c>
    </row>
    <row r="2845" spans="1:50" x14ac:dyDescent="0.3">
      <c r="A2845" t="str">
        <f>"200544B0000"</f>
        <v>200544B0000</v>
      </c>
      <c r="B2845" t="str">
        <f>"200544B00002"</f>
        <v>200544B00002</v>
      </c>
      <c r="C2845" t="str">
        <f t="shared" si="139"/>
        <v>20</v>
      </c>
      <c r="D2845" t="s">
        <v>67</v>
      </c>
      <c r="E2845" t="str">
        <f t="shared" si="138"/>
        <v>013</v>
      </c>
      <c r="F2845" t="s">
        <v>2914</v>
      </c>
      <c r="G2845" t="str">
        <f>"0544"</f>
        <v>0544</v>
      </c>
      <c r="H2845" t="str">
        <f>"0000"</f>
        <v>0000</v>
      </c>
      <c r="I2845" t="s">
        <v>69</v>
      </c>
      <c r="J2845">
        <v>0</v>
      </c>
      <c r="K2845">
        <v>1</v>
      </c>
      <c r="L2845">
        <v>2</v>
      </c>
      <c r="AM2845">
        <v>577</v>
      </c>
      <c r="AN2845">
        <v>44</v>
      </c>
      <c r="AO2845" t="s">
        <v>143</v>
      </c>
      <c r="AP2845">
        <v>0</v>
      </c>
      <c r="AR2845" t="s">
        <v>2940</v>
      </c>
      <c r="AS2845" s="1">
        <v>44354.430555555555</v>
      </c>
      <c r="AT2845" s="1">
        <v>44354.444224537037</v>
      </c>
      <c r="AU2845" s="1">
        <v>44354.444224537037</v>
      </c>
      <c r="AV2845" t="s">
        <v>71</v>
      </c>
      <c r="AW2845" t="s">
        <v>72</v>
      </c>
      <c r="AX2845" t="s">
        <v>73</v>
      </c>
    </row>
    <row r="2846" spans="1:50" x14ac:dyDescent="0.3">
      <c r="A2846" t="str">
        <f>"200544C0100"</f>
        <v>200544C0100</v>
      </c>
      <c r="B2846" t="str">
        <f>"200544C01002"</f>
        <v>200544C01002</v>
      </c>
      <c r="C2846" t="str">
        <f t="shared" si="139"/>
        <v>20</v>
      </c>
      <c r="D2846" t="s">
        <v>67</v>
      </c>
      <c r="E2846" t="str">
        <f t="shared" si="138"/>
        <v>013</v>
      </c>
      <c r="F2846" t="s">
        <v>2914</v>
      </c>
      <c r="G2846" t="str">
        <f>"0544"</f>
        <v>0544</v>
      </c>
      <c r="H2846" t="str">
        <f>"0001"</f>
        <v>0001</v>
      </c>
      <c r="I2846" t="s">
        <v>75</v>
      </c>
      <c r="J2846">
        <v>0</v>
      </c>
      <c r="K2846">
        <v>1</v>
      </c>
      <c r="L2846">
        <v>2</v>
      </c>
      <c r="M2846">
        <v>302</v>
      </c>
      <c r="N2846">
        <v>319</v>
      </c>
      <c r="O2846">
        <v>1</v>
      </c>
      <c r="P2846" t="s">
        <v>80</v>
      </c>
      <c r="Q2846">
        <v>12</v>
      </c>
      <c r="R2846">
        <v>75</v>
      </c>
      <c r="S2846">
        <v>4</v>
      </c>
      <c r="T2846">
        <v>5</v>
      </c>
      <c r="U2846">
        <v>9</v>
      </c>
      <c r="V2846">
        <v>9</v>
      </c>
      <c r="W2846">
        <v>2</v>
      </c>
      <c r="X2846">
        <v>172</v>
      </c>
      <c r="Y2846">
        <v>9</v>
      </c>
      <c r="Z2846">
        <v>5</v>
      </c>
      <c r="AA2846">
        <v>2</v>
      </c>
      <c r="AB2846">
        <v>4</v>
      </c>
      <c r="AD2846">
        <v>1</v>
      </c>
      <c r="AE2846" t="s">
        <v>77</v>
      </c>
      <c r="AF2846" t="s">
        <v>77</v>
      </c>
      <c r="AG2846" t="s">
        <v>77</v>
      </c>
      <c r="AH2846" t="s">
        <v>77</v>
      </c>
      <c r="AI2846" t="s">
        <v>77</v>
      </c>
      <c r="AJ2846" t="s">
        <v>77</v>
      </c>
      <c r="AK2846" t="s">
        <v>77</v>
      </c>
      <c r="AL2846">
        <v>309</v>
      </c>
      <c r="AM2846">
        <v>577</v>
      </c>
      <c r="AN2846">
        <v>44</v>
      </c>
      <c r="AO2846" t="s">
        <v>78</v>
      </c>
      <c r="AP2846">
        <v>1</v>
      </c>
      <c r="AR2846" t="s">
        <v>2941</v>
      </c>
      <c r="AS2846" s="1">
        <v>44354.063194444447</v>
      </c>
      <c r="AT2846" s="1">
        <v>44354.071967592594</v>
      </c>
      <c r="AU2846" s="1">
        <v>44354.072488425925</v>
      </c>
      <c r="AV2846" t="s">
        <v>71</v>
      </c>
      <c r="AW2846" t="s">
        <v>72</v>
      </c>
      <c r="AX2846" t="s">
        <v>73</v>
      </c>
    </row>
    <row r="2847" spans="1:50" x14ac:dyDescent="0.3">
      <c r="A2847" t="str">
        <f>"200545B0000"</f>
        <v>200545B0000</v>
      </c>
      <c r="B2847" t="str">
        <f>"200545B00002"</f>
        <v>200545B00002</v>
      </c>
      <c r="C2847" t="str">
        <f t="shared" si="139"/>
        <v>20</v>
      </c>
      <c r="D2847" t="s">
        <v>67</v>
      </c>
      <c r="E2847" t="str">
        <f t="shared" si="138"/>
        <v>013</v>
      </c>
      <c r="F2847" t="s">
        <v>2914</v>
      </c>
      <c r="G2847" t="str">
        <f>"0545"</f>
        <v>0545</v>
      </c>
      <c r="H2847" t="str">
        <f>"0000"</f>
        <v>0000</v>
      </c>
      <c r="I2847" t="s">
        <v>69</v>
      </c>
      <c r="J2847">
        <v>0</v>
      </c>
      <c r="K2847">
        <v>1</v>
      </c>
      <c r="L2847">
        <v>2</v>
      </c>
      <c r="M2847">
        <v>195</v>
      </c>
      <c r="N2847">
        <v>241</v>
      </c>
      <c r="O2847">
        <v>10</v>
      </c>
      <c r="P2847">
        <v>241</v>
      </c>
      <c r="Q2847">
        <v>26</v>
      </c>
      <c r="R2847">
        <v>68</v>
      </c>
      <c r="S2847">
        <v>1</v>
      </c>
      <c r="T2847">
        <v>7</v>
      </c>
      <c r="U2847">
        <v>2</v>
      </c>
      <c r="V2847">
        <v>13</v>
      </c>
      <c r="W2847">
        <v>8</v>
      </c>
      <c r="X2847">
        <v>81</v>
      </c>
      <c r="Y2847">
        <v>4</v>
      </c>
      <c r="Z2847">
        <v>8</v>
      </c>
      <c r="AA2847">
        <v>3</v>
      </c>
      <c r="AB2847">
        <v>12</v>
      </c>
      <c r="AD2847">
        <v>2</v>
      </c>
      <c r="AE2847">
        <v>0</v>
      </c>
      <c r="AF2847">
        <v>0</v>
      </c>
      <c r="AG2847">
        <v>0</v>
      </c>
      <c r="AH2847">
        <v>0</v>
      </c>
      <c r="AI2847">
        <v>1</v>
      </c>
      <c r="AJ2847">
        <v>5</v>
      </c>
      <c r="AK2847">
        <v>241</v>
      </c>
      <c r="AL2847">
        <v>241</v>
      </c>
      <c r="AM2847">
        <v>393</v>
      </c>
      <c r="AN2847">
        <v>44</v>
      </c>
      <c r="AP2847">
        <v>1</v>
      </c>
      <c r="AR2847" t="s">
        <v>2942</v>
      </c>
      <c r="AS2847" s="1">
        <v>44354.100694444445</v>
      </c>
      <c r="AT2847" s="1">
        <v>44354.115960648145</v>
      </c>
      <c r="AU2847" s="1">
        <v>44354.116689814815</v>
      </c>
      <c r="AV2847" t="s">
        <v>71</v>
      </c>
      <c r="AW2847" t="s">
        <v>72</v>
      </c>
      <c r="AX2847" t="s">
        <v>73</v>
      </c>
    </row>
    <row r="2848" spans="1:50" x14ac:dyDescent="0.3">
      <c r="A2848" t="str">
        <f>"200545C0100"</f>
        <v>200545C0100</v>
      </c>
      <c r="B2848" t="str">
        <f>"200545C01002"</f>
        <v>200545C01002</v>
      </c>
      <c r="C2848" t="str">
        <f t="shared" si="139"/>
        <v>20</v>
      </c>
      <c r="D2848" t="s">
        <v>67</v>
      </c>
      <c r="E2848" t="str">
        <f t="shared" si="138"/>
        <v>013</v>
      </c>
      <c r="F2848" t="s">
        <v>2914</v>
      </c>
      <c r="G2848" t="str">
        <f>"0545"</f>
        <v>0545</v>
      </c>
      <c r="H2848" t="str">
        <f>"0001"</f>
        <v>0001</v>
      </c>
      <c r="I2848" t="s">
        <v>75</v>
      </c>
      <c r="J2848">
        <v>0</v>
      </c>
      <c r="K2848">
        <v>1</v>
      </c>
      <c r="L2848">
        <v>2</v>
      </c>
      <c r="M2848">
        <v>205</v>
      </c>
      <c r="N2848">
        <v>232</v>
      </c>
      <c r="O2848">
        <v>11</v>
      </c>
      <c r="P2848" t="s">
        <v>80</v>
      </c>
      <c r="Q2848">
        <v>21</v>
      </c>
      <c r="R2848">
        <v>63</v>
      </c>
      <c r="S2848">
        <v>2</v>
      </c>
      <c r="T2848">
        <v>9</v>
      </c>
      <c r="U2848">
        <v>11</v>
      </c>
      <c r="V2848">
        <v>6</v>
      </c>
      <c r="W2848">
        <v>1</v>
      </c>
      <c r="X2848">
        <v>94</v>
      </c>
      <c r="Y2848">
        <v>6</v>
      </c>
      <c r="Z2848">
        <v>2</v>
      </c>
      <c r="AA2848">
        <v>1</v>
      </c>
      <c r="AB2848">
        <v>8</v>
      </c>
      <c r="AD2848" t="s">
        <v>77</v>
      </c>
      <c r="AE2848">
        <v>1</v>
      </c>
      <c r="AF2848" t="s">
        <v>77</v>
      </c>
      <c r="AG2848" t="s">
        <v>77</v>
      </c>
      <c r="AH2848" t="s">
        <v>77</v>
      </c>
      <c r="AI2848">
        <v>1</v>
      </c>
      <c r="AJ2848">
        <v>6</v>
      </c>
      <c r="AK2848">
        <v>232</v>
      </c>
      <c r="AL2848">
        <v>232</v>
      </c>
      <c r="AM2848">
        <v>393</v>
      </c>
      <c r="AN2848">
        <v>44</v>
      </c>
      <c r="AO2848" t="s">
        <v>78</v>
      </c>
      <c r="AP2848">
        <v>1</v>
      </c>
      <c r="AR2848" t="s">
        <v>2943</v>
      </c>
      <c r="AS2848" s="1">
        <v>44353.989583333336</v>
      </c>
      <c r="AT2848" s="1">
        <v>44353.998842592591</v>
      </c>
      <c r="AU2848" s="1">
        <v>44353.999571759261</v>
      </c>
      <c r="AV2848" t="s">
        <v>71</v>
      </c>
      <c r="AW2848" t="s">
        <v>72</v>
      </c>
      <c r="AX2848" t="s">
        <v>73</v>
      </c>
    </row>
    <row r="2849" spans="1:50" x14ac:dyDescent="0.3">
      <c r="A2849" t="str">
        <f>"200545S0100"</f>
        <v>200545S0100</v>
      </c>
      <c r="B2849" t="str">
        <f>"200545S01002EMR"</f>
        <v>200545S01002EMR</v>
      </c>
      <c r="C2849" t="str">
        <f t="shared" si="139"/>
        <v>20</v>
      </c>
      <c r="D2849" t="s">
        <v>67</v>
      </c>
      <c r="E2849" t="str">
        <f t="shared" si="138"/>
        <v>013</v>
      </c>
      <c r="F2849" t="s">
        <v>2914</v>
      </c>
      <c r="G2849" t="str">
        <f>"0545"</f>
        <v>0545</v>
      </c>
      <c r="H2849" t="str">
        <f>"0001"</f>
        <v>0001</v>
      </c>
      <c r="I2849" t="s">
        <v>85</v>
      </c>
      <c r="J2849">
        <v>0</v>
      </c>
      <c r="K2849">
        <v>1</v>
      </c>
      <c r="L2849" t="s">
        <v>86</v>
      </c>
      <c r="AM2849">
        <v>0</v>
      </c>
      <c r="AN2849">
        <v>44</v>
      </c>
      <c r="AO2849" t="s">
        <v>143</v>
      </c>
      <c r="AP2849">
        <v>0</v>
      </c>
      <c r="AR2849" t="s">
        <v>2944</v>
      </c>
      <c r="AS2849" s="1">
        <v>44354.430555555555</v>
      </c>
      <c r="AT2849" s="1">
        <v>44354.444953703707</v>
      </c>
      <c r="AU2849" s="1">
        <v>44354.444953703707</v>
      </c>
      <c r="AV2849" t="s">
        <v>71</v>
      </c>
      <c r="AW2849" t="s">
        <v>72</v>
      </c>
      <c r="AX2849" t="s">
        <v>73</v>
      </c>
    </row>
    <row r="2850" spans="1:50" x14ac:dyDescent="0.3">
      <c r="A2850" t="str">
        <f>"200558B0000"</f>
        <v>200558B0000</v>
      </c>
      <c r="B2850" t="str">
        <f>"200558B00002"</f>
        <v>200558B00002</v>
      </c>
      <c r="C2850" t="str">
        <f t="shared" si="139"/>
        <v>20</v>
      </c>
      <c r="D2850" t="s">
        <v>67</v>
      </c>
      <c r="E2850" t="str">
        <f t="shared" si="138"/>
        <v>013</v>
      </c>
      <c r="F2850" t="s">
        <v>2914</v>
      </c>
      <c r="G2850" t="str">
        <f>"0558"</f>
        <v>0558</v>
      </c>
      <c r="H2850" t="str">
        <f>"0000"</f>
        <v>0000</v>
      </c>
      <c r="I2850" t="s">
        <v>69</v>
      </c>
      <c r="J2850">
        <v>0</v>
      </c>
      <c r="K2850">
        <v>1</v>
      </c>
      <c r="L2850">
        <v>2</v>
      </c>
      <c r="M2850" t="s">
        <v>80</v>
      </c>
      <c r="N2850" t="s">
        <v>80</v>
      </c>
      <c r="O2850" t="s">
        <v>80</v>
      </c>
      <c r="P2850" t="s">
        <v>80</v>
      </c>
      <c r="Q2850" t="s">
        <v>77</v>
      </c>
      <c r="R2850" t="s">
        <v>77</v>
      </c>
      <c r="S2850" t="s">
        <v>77</v>
      </c>
      <c r="T2850" t="s">
        <v>77</v>
      </c>
      <c r="U2850" t="s">
        <v>77</v>
      </c>
      <c r="V2850" t="s">
        <v>77</v>
      </c>
      <c r="W2850" t="s">
        <v>77</v>
      </c>
      <c r="X2850" t="s">
        <v>77</v>
      </c>
      <c r="Y2850" t="s">
        <v>77</v>
      </c>
      <c r="Z2850" t="s">
        <v>77</v>
      </c>
      <c r="AA2850" t="s">
        <v>77</v>
      </c>
      <c r="AB2850" t="s">
        <v>77</v>
      </c>
      <c r="AD2850" t="s">
        <v>77</v>
      </c>
      <c r="AE2850" t="s">
        <v>77</v>
      </c>
      <c r="AF2850" t="s">
        <v>77</v>
      </c>
      <c r="AG2850" t="s">
        <v>77</v>
      </c>
      <c r="AH2850" t="s">
        <v>77</v>
      </c>
      <c r="AI2850" t="s">
        <v>77</v>
      </c>
      <c r="AJ2850" t="s">
        <v>77</v>
      </c>
      <c r="AM2850">
        <v>460</v>
      </c>
      <c r="AN2850">
        <v>44</v>
      </c>
      <c r="AO2850" t="s">
        <v>392</v>
      </c>
      <c r="AP2850">
        <v>0</v>
      </c>
      <c r="AR2850" t="s">
        <v>2945</v>
      </c>
      <c r="AS2850" s="1">
        <v>44354.259027777778</v>
      </c>
      <c r="AT2850" s="1">
        <v>44354.296759259261</v>
      </c>
      <c r="AU2850" s="1">
        <v>44354.296759259261</v>
      </c>
      <c r="AV2850" t="s">
        <v>71</v>
      </c>
      <c r="AW2850" t="s">
        <v>72</v>
      </c>
      <c r="AX2850" t="s">
        <v>73</v>
      </c>
    </row>
    <row r="2851" spans="1:50" x14ac:dyDescent="0.3">
      <c r="A2851" t="str">
        <f>"200558C0100"</f>
        <v>200558C0100</v>
      </c>
      <c r="B2851" t="str">
        <f>"200558C01002"</f>
        <v>200558C01002</v>
      </c>
      <c r="C2851" t="str">
        <f t="shared" si="139"/>
        <v>20</v>
      </c>
      <c r="D2851" t="s">
        <v>67</v>
      </c>
      <c r="E2851" t="str">
        <f t="shared" si="138"/>
        <v>013</v>
      </c>
      <c r="F2851" t="s">
        <v>2914</v>
      </c>
      <c r="G2851" t="str">
        <f>"0558"</f>
        <v>0558</v>
      </c>
      <c r="H2851" t="str">
        <f>"0001"</f>
        <v>0001</v>
      </c>
      <c r="I2851" t="s">
        <v>75</v>
      </c>
      <c r="J2851">
        <v>0</v>
      </c>
      <c r="K2851">
        <v>1</v>
      </c>
      <c r="L2851">
        <v>2</v>
      </c>
      <c r="M2851">
        <v>264</v>
      </c>
      <c r="N2851">
        <v>239</v>
      </c>
      <c r="O2851">
        <v>0</v>
      </c>
      <c r="P2851">
        <v>239</v>
      </c>
      <c r="Q2851">
        <v>8</v>
      </c>
      <c r="R2851">
        <v>63</v>
      </c>
      <c r="S2851">
        <v>5</v>
      </c>
      <c r="T2851">
        <v>2</v>
      </c>
      <c r="U2851">
        <v>8</v>
      </c>
      <c r="V2851">
        <v>9</v>
      </c>
      <c r="W2851">
        <v>4</v>
      </c>
      <c r="X2851">
        <v>108</v>
      </c>
      <c r="Y2851">
        <v>5</v>
      </c>
      <c r="Z2851">
        <v>6</v>
      </c>
      <c r="AA2851">
        <v>3</v>
      </c>
      <c r="AB2851">
        <v>16</v>
      </c>
      <c r="AD2851" t="s">
        <v>77</v>
      </c>
      <c r="AE2851" t="s">
        <v>77</v>
      </c>
      <c r="AF2851" t="s">
        <v>77</v>
      </c>
      <c r="AG2851" t="s">
        <v>77</v>
      </c>
      <c r="AH2851" t="s">
        <v>77</v>
      </c>
      <c r="AI2851" t="s">
        <v>77</v>
      </c>
      <c r="AJ2851">
        <v>2</v>
      </c>
      <c r="AK2851">
        <v>239</v>
      </c>
      <c r="AL2851">
        <v>239</v>
      </c>
      <c r="AM2851">
        <v>460</v>
      </c>
      <c r="AN2851">
        <v>44</v>
      </c>
      <c r="AO2851" t="s">
        <v>78</v>
      </c>
      <c r="AP2851">
        <v>1</v>
      </c>
      <c r="AR2851" t="s">
        <v>2946</v>
      </c>
      <c r="AS2851" s="1">
        <v>44354.075694444444</v>
      </c>
      <c r="AT2851" s="1">
        <v>44354.085300925923</v>
      </c>
      <c r="AU2851" s="1">
        <v>44354.0858912037</v>
      </c>
      <c r="AV2851" t="s">
        <v>71</v>
      </c>
      <c r="AW2851" t="s">
        <v>72</v>
      </c>
      <c r="AX2851" t="s">
        <v>73</v>
      </c>
    </row>
    <row r="2852" spans="1:50" x14ac:dyDescent="0.3">
      <c r="A2852" t="str">
        <f>"200559B0000"</f>
        <v>200559B0000</v>
      </c>
      <c r="B2852" t="str">
        <f>"200559B00002"</f>
        <v>200559B00002</v>
      </c>
      <c r="C2852" t="str">
        <f t="shared" si="139"/>
        <v>20</v>
      </c>
      <c r="D2852" t="s">
        <v>67</v>
      </c>
      <c r="E2852" t="str">
        <f t="shared" si="138"/>
        <v>013</v>
      </c>
      <c r="F2852" t="s">
        <v>2914</v>
      </c>
      <c r="G2852" t="str">
        <f>"0559"</f>
        <v>0559</v>
      </c>
      <c r="H2852" t="str">
        <f>"0000"</f>
        <v>0000</v>
      </c>
      <c r="I2852" t="s">
        <v>69</v>
      </c>
      <c r="J2852">
        <v>0</v>
      </c>
      <c r="K2852">
        <v>1</v>
      </c>
      <c r="L2852">
        <v>2</v>
      </c>
      <c r="M2852">
        <v>319</v>
      </c>
      <c r="N2852">
        <v>322</v>
      </c>
      <c r="O2852">
        <v>2</v>
      </c>
      <c r="P2852">
        <v>326</v>
      </c>
      <c r="Q2852">
        <v>15</v>
      </c>
      <c r="R2852">
        <v>64</v>
      </c>
      <c r="S2852">
        <v>1</v>
      </c>
      <c r="T2852">
        <v>3</v>
      </c>
      <c r="U2852">
        <v>8</v>
      </c>
      <c r="V2852">
        <v>5</v>
      </c>
      <c r="W2852">
        <v>6</v>
      </c>
      <c r="X2852">
        <v>202</v>
      </c>
      <c r="Y2852">
        <v>1</v>
      </c>
      <c r="Z2852">
        <v>7</v>
      </c>
      <c r="AA2852">
        <v>2</v>
      </c>
      <c r="AB2852">
        <v>4</v>
      </c>
      <c r="AD2852">
        <v>3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5</v>
      </c>
      <c r="AK2852">
        <v>326</v>
      </c>
      <c r="AL2852">
        <v>326</v>
      </c>
      <c r="AM2852">
        <v>597</v>
      </c>
      <c r="AN2852">
        <v>44</v>
      </c>
      <c r="AP2852">
        <v>1</v>
      </c>
      <c r="AR2852" t="s">
        <v>2947</v>
      </c>
      <c r="AS2852" s="1">
        <v>44354.097222222219</v>
      </c>
      <c r="AT2852" s="1">
        <v>44354.110208333332</v>
      </c>
      <c r="AU2852" s="1">
        <v>44354.111354166664</v>
      </c>
      <c r="AV2852" t="s">
        <v>71</v>
      </c>
      <c r="AW2852" t="s">
        <v>72</v>
      </c>
      <c r="AX2852" t="s">
        <v>73</v>
      </c>
    </row>
    <row r="2853" spans="1:50" x14ac:dyDescent="0.3">
      <c r="A2853" t="str">
        <f>"200559C0100"</f>
        <v>200559C0100</v>
      </c>
      <c r="B2853" t="str">
        <f>"200559C01002"</f>
        <v>200559C01002</v>
      </c>
      <c r="C2853" t="str">
        <f t="shared" si="139"/>
        <v>20</v>
      </c>
      <c r="D2853" t="s">
        <v>67</v>
      </c>
      <c r="E2853" t="str">
        <f t="shared" si="138"/>
        <v>013</v>
      </c>
      <c r="F2853" t="s">
        <v>2914</v>
      </c>
      <c r="G2853" t="str">
        <f>"0559"</f>
        <v>0559</v>
      </c>
      <c r="H2853" t="str">
        <f>"0001"</f>
        <v>0001</v>
      </c>
      <c r="I2853" t="s">
        <v>75</v>
      </c>
      <c r="J2853">
        <v>0</v>
      </c>
      <c r="K2853">
        <v>1</v>
      </c>
      <c r="L2853">
        <v>2</v>
      </c>
      <c r="M2853">
        <v>355</v>
      </c>
      <c r="N2853">
        <v>286</v>
      </c>
      <c r="O2853">
        <v>9</v>
      </c>
      <c r="P2853">
        <v>283</v>
      </c>
      <c r="Q2853">
        <v>7</v>
      </c>
      <c r="R2853">
        <v>58</v>
      </c>
      <c r="S2853">
        <v>6</v>
      </c>
      <c r="T2853">
        <v>5</v>
      </c>
      <c r="U2853">
        <v>10</v>
      </c>
      <c r="V2853">
        <v>10</v>
      </c>
      <c r="W2853">
        <v>6</v>
      </c>
      <c r="X2853">
        <v>151</v>
      </c>
      <c r="Y2853">
        <v>6</v>
      </c>
      <c r="Z2853">
        <v>7</v>
      </c>
      <c r="AA2853">
        <v>1</v>
      </c>
      <c r="AB2853">
        <v>5</v>
      </c>
      <c r="AD2853">
        <v>2</v>
      </c>
      <c r="AE2853">
        <v>1</v>
      </c>
      <c r="AF2853">
        <v>0</v>
      </c>
      <c r="AG2853">
        <v>0</v>
      </c>
      <c r="AH2853">
        <v>0</v>
      </c>
      <c r="AI2853">
        <v>0</v>
      </c>
      <c r="AJ2853">
        <v>8</v>
      </c>
      <c r="AK2853">
        <v>283</v>
      </c>
      <c r="AL2853">
        <v>283</v>
      </c>
      <c r="AM2853">
        <v>597</v>
      </c>
      <c r="AN2853">
        <v>44</v>
      </c>
      <c r="AP2853">
        <v>1</v>
      </c>
      <c r="AR2853" t="s">
        <v>2948</v>
      </c>
      <c r="AS2853" s="1">
        <v>44354.106944444444</v>
      </c>
      <c r="AT2853" s="1">
        <v>44354.125208333331</v>
      </c>
      <c r="AU2853" s="1">
        <v>44354.125821759262</v>
      </c>
      <c r="AV2853" t="s">
        <v>71</v>
      </c>
      <c r="AW2853" t="s">
        <v>72</v>
      </c>
      <c r="AX2853" t="s">
        <v>73</v>
      </c>
    </row>
    <row r="2854" spans="1:50" x14ac:dyDescent="0.3">
      <c r="A2854" t="str">
        <f>"200559C0200"</f>
        <v>200559C0200</v>
      </c>
      <c r="B2854" t="str">
        <f>"200559C02002"</f>
        <v>200559C02002</v>
      </c>
      <c r="C2854" t="str">
        <f t="shared" si="139"/>
        <v>20</v>
      </c>
      <c r="D2854" t="s">
        <v>67</v>
      </c>
      <c r="E2854" t="str">
        <f t="shared" si="138"/>
        <v>013</v>
      </c>
      <c r="F2854" t="s">
        <v>2914</v>
      </c>
      <c r="G2854" t="str">
        <f>"0559"</f>
        <v>0559</v>
      </c>
      <c r="H2854" t="str">
        <f>"0002"</f>
        <v>0002</v>
      </c>
      <c r="I2854" t="s">
        <v>75</v>
      </c>
      <c r="J2854">
        <v>0</v>
      </c>
      <c r="K2854">
        <v>1</v>
      </c>
      <c r="L2854">
        <v>2</v>
      </c>
      <c r="M2854">
        <v>321</v>
      </c>
      <c r="N2854">
        <v>320</v>
      </c>
      <c r="O2854">
        <v>7</v>
      </c>
      <c r="P2854">
        <v>318</v>
      </c>
      <c r="Q2854">
        <v>6</v>
      </c>
      <c r="R2854">
        <v>49</v>
      </c>
      <c r="S2854">
        <v>2</v>
      </c>
      <c r="T2854">
        <v>2</v>
      </c>
      <c r="U2854">
        <v>14</v>
      </c>
      <c r="V2854">
        <v>14</v>
      </c>
      <c r="W2854">
        <v>1</v>
      </c>
      <c r="X2854">
        <v>188</v>
      </c>
      <c r="Y2854">
        <v>6</v>
      </c>
      <c r="Z2854">
        <v>9</v>
      </c>
      <c r="AA2854">
        <v>1</v>
      </c>
      <c r="AB2854">
        <v>17</v>
      </c>
      <c r="AD2854">
        <v>0</v>
      </c>
      <c r="AE2854">
        <v>1</v>
      </c>
      <c r="AF2854">
        <v>0</v>
      </c>
      <c r="AG2854">
        <v>0</v>
      </c>
      <c r="AH2854">
        <v>0</v>
      </c>
      <c r="AI2854">
        <v>0</v>
      </c>
      <c r="AJ2854">
        <v>8</v>
      </c>
      <c r="AK2854">
        <v>318</v>
      </c>
      <c r="AL2854">
        <v>318</v>
      </c>
      <c r="AM2854">
        <v>596</v>
      </c>
      <c r="AN2854">
        <v>44</v>
      </c>
      <c r="AP2854">
        <v>1</v>
      </c>
      <c r="AR2854" t="s">
        <v>2949</v>
      </c>
      <c r="AS2854" s="1">
        <v>44353.999305555553</v>
      </c>
      <c r="AT2854" s="1">
        <v>44354.118078703701</v>
      </c>
      <c r="AU2854" s="1">
        <v>44354.118472222224</v>
      </c>
      <c r="AV2854" t="s">
        <v>71</v>
      </c>
      <c r="AW2854" t="s">
        <v>72</v>
      </c>
      <c r="AX2854" t="s">
        <v>73</v>
      </c>
    </row>
    <row r="2855" spans="1:50" x14ac:dyDescent="0.3">
      <c r="A2855" t="str">
        <f>"200560B0000"</f>
        <v>200560B0000</v>
      </c>
      <c r="B2855" t="str">
        <f>"200560B00002"</f>
        <v>200560B00002</v>
      </c>
      <c r="C2855" t="str">
        <f t="shared" si="139"/>
        <v>20</v>
      </c>
      <c r="D2855" t="s">
        <v>67</v>
      </c>
      <c r="E2855" t="str">
        <f t="shared" si="138"/>
        <v>013</v>
      </c>
      <c r="F2855" t="s">
        <v>2914</v>
      </c>
      <c r="G2855" t="str">
        <f>"0560"</f>
        <v>0560</v>
      </c>
      <c r="H2855" t="str">
        <f>"0000"</f>
        <v>0000</v>
      </c>
      <c r="I2855" t="s">
        <v>69</v>
      </c>
      <c r="J2855">
        <v>0</v>
      </c>
      <c r="K2855">
        <v>1</v>
      </c>
      <c r="L2855">
        <v>2</v>
      </c>
      <c r="M2855">
        <v>430</v>
      </c>
      <c r="N2855">
        <v>282</v>
      </c>
      <c r="O2855">
        <v>1</v>
      </c>
      <c r="P2855" t="s">
        <v>80</v>
      </c>
      <c r="Q2855">
        <v>8</v>
      </c>
      <c r="R2855">
        <v>40</v>
      </c>
      <c r="S2855">
        <v>4</v>
      </c>
      <c r="T2855">
        <v>3</v>
      </c>
      <c r="U2855">
        <v>11</v>
      </c>
      <c r="V2855">
        <v>9</v>
      </c>
      <c r="W2855">
        <v>1</v>
      </c>
      <c r="X2855">
        <v>175</v>
      </c>
      <c r="Y2855">
        <v>0</v>
      </c>
      <c r="Z2855">
        <v>13</v>
      </c>
      <c r="AA2855">
        <v>6</v>
      </c>
      <c r="AB2855">
        <v>5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7</v>
      </c>
      <c r="AK2855">
        <v>282</v>
      </c>
      <c r="AL2855">
        <v>282</v>
      </c>
      <c r="AM2855">
        <v>668</v>
      </c>
      <c r="AN2855">
        <v>44</v>
      </c>
      <c r="AP2855">
        <v>1</v>
      </c>
      <c r="AR2855" t="s">
        <v>2950</v>
      </c>
      <c r="AS2855" s="1">
        <v>44354.104861111111</v>
      </c>
      <c r="AT2855" s="1">
        <v>44354.122233796297</v>
      </c>
      <c r="AU2855" s="1">
        <v>44354.123240740744</v>
      </c>
      <c r="AV2855" t="s">
        <v>71</v>
      </c>
      <c r="AW2855" t="s">
        <v>72</v>
      </c>
      <c r="AX2855" t="s">
        <v>73</v>
      </c>
    </row>
    <row r="2856" spans="1:50" x14ac:dyDescent="0.3">
      <c r="A2856" t="str">
        <f>"200560C0100"</f>
        <v>200560C0100</v>
      </c>
      <c r="B2856" t="str">
        <f>"200560C01002"</f>
        <v>200560C01002</v>
      </c>
      <c r="C2856" t="str">
        <f t="shared" si="139"/>
        <v>20</v>
      </c>
      <c r="D2856" t="s">
        <v>67</v>
      </c>
      <c r="E2856" t="str">
        <f t="shared" si="138"/>
        <v>013</v>
      </c>
      <c r="F2856" t="s">
        <v>2914</v>
      </c>
      <c r="G2856" t="str">
        <f>"0560"</f>
        <v>0560</v>
      </c>
      <c r="H2856" t="str">
        <f>"0001"</f>
        <v>0001</v>
      </c>
      <c r="I2856" t="s">
        <v>75</v>
      </c>
      <c r="J2856">
        <v>0</v>
      </c>
      <c r="K2856">
        <v>1</v>
      </c>
      <c r="L2856">
        <v>2</v>
      </c>
      <c r="M2856">
        <v>381</v>
      </c>
      <c r="N2856">
        <v>331</v>
      </c>
      <c r="O2856">
        <v>4</v>
      </c>
      <c r="P2856">
        <v>331</v>
      </c>
      <c r="Q2856">
        <v>12</v>
      </c>
      <c r="R2856">
        <v>71</v>
      </c>
      <c r="S2856">
        <v>4</v>
      </c>
      <c r="T2856">
        <v>2</v>
      </c>
      <c r="U2856">
        <v>17</v>
      </c>
      <c r="V2856">
        <v>5</v>
      </c>
      <c r="W2856">
        <v>2</v>
      </c>
      <c r="X2856">
        <v>174</v>
      </c>
      <c r="Y2856">
        <v>3</v>
      </c>
      <c r="Z2856">
        <v>18</v>
      </c>
      <c r="AA2856">
        <v>2</v>
      </c>
      <c r="AB2856">
        <v>6</v>
      </c>
      <c r="AD2856">
        <v>4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11</v>
      </c>
      <c r="AK2856">
        <v>331</v>
      </c>
      <c r="AL2856">
        <v>331</v>
      </c>
      <c r="AM2856">
        <v>668</v>
      </c>
      <c r="AN2856">
        <v>44</v>
      </c>
      <c r="AP2856">
        <v>1</v>
      </c>
      <c r="AR2856" t="s">
        <v>2951</v>
      </c>
      <c r="AS2856" s="1">
        <v>44354.109722222223</v>
      </c>
      <c r="AT2856" s="1">
        <v>44354.127141203702</v>
      </c>
      <c r="AU2856" s="1">
        <v>44354.127847222226</v>
      </c>
      <c r="AV2856" t="s">
        <v>71</v>
      </c>
      <c r="AW2856" t="s">
        <v>72</v>
      </c>
      <c r="AX2856" t="s">
        <v>73</v>
      </c>
    </row>
    <row r="2857" spans="1:50" x14ac:dyDescent="0.3">
      <c r="A2857" t="str">
        <f>"200560C0200"</f>
        <v>200560C0200</v>
      </c>
      <c r="B2857" t="str">
        <f>"200560C02002"</f>
        <v>200560C02002</v>
      </c>
      <c r="C2857" t="str">
        <f t="shared" si="139"/>
        <v>20</v>
      </c>
      <c r="D2857" t="s">
        <v>67</v>
      </c>
      <c r="E2857" t="str">
        <f t="shared" si="138"/>
        <v>013</v>
      </c>
      <c r="F2857" t="s">
        <v>2914</v>
      </c>
      <c r="G2857" t="str">
        <f>"0560"</f>
        <v>0560</v>
      </c>
      <c r="H2857" t="str">
        <f>"0002"</f>
        <v>0002</v>
      </c>
      <c r="I2857" t="s">
        <v>75</v>
      </c>
      <c r="J2857">
        <v>0</v>
      </c>
      <c r="K2857">
        <v>1</v>
      </c>
      <c r="L2857">
        <v>2</v>
      </c>
      <c r="M2857">
        <v>412</v>
      </c>
      <c r="N2857">
        <v>300</v>
      </c>
      <c r="O2857">
        <v>9</v>
      </c>
      <c r="P2857" t="s">
        <v>80</v>
      </c>
      <c r="Q2857">
        <v>6</v>
      </c>
      <c r="R2857">
        <v>71</v>
      </c>
      <c r="S2857">
        <v>6</v>
      </c>
      <c r="T2857">
        <v>6</v>
      </c>
      <c r="U2857">
        <v>8</v>
      </c>
      <c r="V2857">
        <v>11</v>
      </c>
      <c r="W2857">
        <v>5</v>
      </c>
      <c r="X2857">
        <v>141</v>
      </c>
      <c r="Y2857">
        <v>2</v>
      </c>
      <c r="Z2857">
        <v>14</v>
      </c>
      <c r="AA2857">
        <v>7</v>
      </c>
      <c r="AB2857">
        <v>5</v>
      </c>
      <c r="AD2857">
        <v>3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15</v>
      </c>
      <c r="AK2857">
        <v>300</v>
      </c>
      <c r="AL2857">
        <v>300</v>
      </c>
      <c r="AM2857">
        <v>668</v>
      </c>
      <c r="AN2857">
        <v>44</v>
      </c>
      <c r="AP2857">
        <v>1</v>
      </c>
      <c r="AR2857" t="s">
        <v>2952</v>
      </c>
      <c r="AS2857" s="1">
        <v>44354.113888888889</v>
      </c>
      <c r="AT2857" s="1">
        <v>44354.134050925924</v>
      </c>
      <c r="AU2857" s="1">
        <v>44354.13517361111</v>
      </c>
      <c r="AV2857" t="s">
        <v>71</v>
      </c>
      <c r="AW2857" t="s">
        <v>72</v>
      </c>
      <c r="AX2857" t="s">
        <v>73</v>
      </c>
    </row>
    <row r="2858" spans="1:50" x14ac:dyDescent="0.3">
      <c r="A2858" t="str">
        <f>"200560C0300"</f>
        <v>200560C0300</v>
      </c>
      <c r="B2858" t="str">
        <f>"200560C03002"</f>
        <v>200560C03002</v>
      </c>
      <c r="C2858" t="str">
        <f t="shared" si="139"/>
        <v>20</v>
      </c>
      <c r="D2858" t="s">
        <v>67</v>
      </c>
      <c r="E2858" t="str">
        <f t="shared" si="138"/>
        <v>013</v>
      </c>
      <c r="F2858" t="s">
        <v>2914</v>
      </c>
      <c r="G2858" t="str">
        <f>"0560"</f>
        <v>0560</v>
      </c>
      <c r="H2858" t="str">
        <f>"0003"</f>
        <v>0003</v>
      </c>
      <c r="I2858" t="s">
        <v>75</v>
      </c>
      <c r="J2858">
        <v>0</v>
      </c>
      <c r="K2858">
        <v>1</v>
      </c>
      <c r="L2858">
        <v>2</v>
      </c>
      <c r="M2858">
        <v>419</v>
      </c>
      <c r="N2858">
        <v>293</v>
      </c>
      <c r="O2858">
        <v>2</v>
      </c>
      <c r="P2858">
        <v>293</v>
      </c>
      <c r="Q2858">
        <v>9</v>
      </c>
      <c r="R2858">
        <v>50</v>
      </c>
      <c r="S2858">
        <v>2</v>
      </c>
      <c r="T2858">
        <v>1</v>
      </c>
      <c r="U2858">
        <v>11</v>
      </c>
      <c r="V2858">
        <v>7</v>
      </c>
      <c r="W2858">
        <v>6</v>
      </c>
      <c r="X2858">
        <v>154</v>
      </c>
      <c r="Y2858">
        <v>0</v>
      </c>
      <c r="Z2858">
        <v>11</v>
      </c>
      <c r="AA2858">
        <v>6</v>
      </c>
      <c r="AB2858">
        <v>11</v>
      </c>
      <c r="AD2858">
        <v>3</v>
      </c>
      <c r="AE2858">
        <v>2</v>
      </c>
      <c r="AF2858">
        <v>0</v>
      </c>
      <c r="AG2858">
        <v>1</v>
      </c>
      <c r="AH2858">
        <v>0</v>
      </c>
      <c r="AI2858" t="s">
        <v>77</v>
      </c>
      <c r="AJ2858">
        <v>19</v>
      </c>
      <c r="AK2858">
        <v>274</v>
      </c>
      <c r="AL2858">
        <v>293</v>
      </c>
      <c r="AM2858">
        <v>668</v>
      </c>
      <c r="AN2858">
        <v>44</v>
      </c>
      <c r="AO2858" t="s">
        <v>78</v>
      </c>
      <c r="AP2858">
        <v>1</v>
      </c>
      <c r="AR2858" t="s">
        <v>2953</v>
      </c>
      <c r="AS2858" s="1">
        <v>44354.118055555555</v>
      </c>
      <c r="AT2858" s="1">
        <v>44354.133831018517</v>
      </c>
      <c r="AU2858" s="1">
        <v>44354.134421296294</v>
      </c>
      <c r="AV2858" t="s">
        <v>71</v>
      </c>
      <c r="AW2858" t="s">
        <v>72</v>
      </c>
      <c r="AX2858" t="s">
        <v>73</v>
      </c>
    </row>
    <row r="2859" spans="1:50" x14ac:dyDescent="0.3">
      <c r="A2859" t="str">
        <f>"200561B0000"</f>
        <v>200561B0000</v>
      </c>
      <c r="B2859" t="str">
        <f>"200561B00002"</f>
        <v>200561B00002</v>
      </c>
      <c r="C2859" t="str">
        <f t="shared" si="139"/>
        <v>20</v>
      </c>
      <c r="D2859" t="s">
        <v>67</v>
      </c>
      <c r="E2859" t="str">
        <f t="shared" si="138"/>
        <v>013</v>
      </c>
      <c r="F2859" t="s">
        <v>2914</v>
      </c>
      <c r="G2859" t="str">
        <f>"0561"</f>
        <v>0561</v>
      </c>
      <c r="H2859" t="str">
        <f>"0000"</f>
        <v>0000</v>
      </c>
      <c r="I2859" t="s">
        <v>69</v>
      </c>
      <c r="J2859">
        <v>0</v>
      </c>
      <c r="K2859">
        <v>1</v>
      </c>
      <c r="L2859">
        <v>2</v>
      </c>
      <c r="M2859">
        <v>340</v>
      </c>
      <c r="N2859">
        <v>301</v>
      </c>
      <c r="O2859">
        <v>6</v>
      </c>
      <c r="P2859">
        <v>301</v>
      </c>
      <c r="Q2859">
        <v>12</v>
      </c>
      <c r="R2859">
        <v>53</v>
      </c>
      <c r="S2859">
        <v>3</v>
      </c>
      <c r="T2859">
        <v>6</v>
      </c>
      <c r="U2859">
        <v>8</v>
      </c>
      <c r="V2859">
        <v>9</v>
      </c>
      <c r="W2859">
        <v>1</v>
      </c>
      <c r="X2859">
        <v>176</v>
      </c>
      <c r="Y2859">
        <v>2</v>
      </c>
      <c r="Z2859">
        <v>17</v>
      </c>
      <c r="AA2859">
        <v>3</v>
      </c>
      <c r="AB2859">
        <v>2</v>
      </c>
      <c r="AD2859">
        <v>1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8</v>
      </c>
      <c r="AK2859">
        <v>301</v>
      </c>
      <c r="AL2859">
        <v>301</v>
      </c>
      <c r="AM2859">
        <v>597</v>
      </c>
      <c r="AN2859">
        <v>44</v>
      </c>
      <c r="AP2859">
        <v>1</v>
      </c>
      <c r="AR2859" t="s">
        <v>2954</v>
      </c>
      <c r="AS2859" s="1">
        <v>44353.981944444444</v>
      </c>
      <c r="AT2859" s="1">
        <v>44353.983912037038</v>
      </c>
      <c r="AU2859" s="1">
        <v>44353.98474537037</v>
      </c>
      <c r="AV2859" t="s">
        <v>71</v>
      </c>
      <c r="AW2859" t="s">
        <v>72</v>
      </c>
      <c r="AX2859" t="s">
        <v>73</v>
      </c>
    </row>
    <row r="2860" spans="1:50" x14ac:dyDescent="0.3">
      <c r="A2860" t="str">
        <f>"200561C0100"</f>
        <v>200561C0100</v>
      </c>
      <c r="B2860" t="str">
        <f>"200561C01002"</f>
        <v>200561C01002</v>
      </c>
      <c r="C2860" t="str">
        <f t="shared" si="139"/>
        <v>20</v>
      </c>
      <c r="D2860" t="s">
        <v>67</v>
      </c>
      <c r="E2860" t="str">
        <f t="shared" si="138"/>
        <v>013</v>
      </c>
      <c r="F2860" t="s">
        <v>2914</v>
      </c>
      <c r="G2860" t="str">
        <f>"0561"</f>
        <v>0561</v>
      </c>
      <c r="H2860" t="str">
        <f>"0001"</f>
        <v>0001</v>
      </c>
      <c r="I2860" t="s">
        <v>75</v>
      </c>
      <c r="J2860">
        <v>0</v>
      </c>
      <c r="K2860">
        <v>1</v>
      </c>
      <c r="L2860">
        <v>2</v>
      </c>
      <c r="M2860">
        <v>352</v>
      </c>
      <c r="N2860">
        <v>289</v>
      </c>
      <c r="O2860">
        <v>8</v>
      </c>
      <c r="P2860">
        <v>289</v>
      </c>
      <c r="Q2860">
        <v>7</v>
      </c>
      <c r="R2860">
        <v>52</v>
      </c>
      <c r="S2860">
        <v>1</v>
      </c>
      <c r="T2860">
        <v>3</v>
      </c>
      <c r="U2860">
        <v>6</v>
      </c>
      <c r="V2860">
        <v>7</v>
      </c>
      <c r="W2860">
        <v>1</v>
      </c>
      <c r="X2860">
        <v>179</v>
      </c>
      <c r="Y2860">
        <v>2</v>
      </c>
      <c r="Z2860">
        <v>17</v>
      </c>
      <c r="AA2860">
        <v>3</v>
      </c>
      <c r="AB2860">
        <v>5</v>
      </c>
      <c r="AD2860" t="s">
        <v>77</v>
      </c>
      <c r="AE2860" t="s">
        <v>77</v>
      </c>
      <c r="AF2860" t="s">
        <v>77</v>
      </c>
      <c r="AG2860" t="s">
        <v>77</v>
      </c>
      <c r="AH2860" t="s">
        <v>77</v>
      </c>
      <c r="AI2860" t="s">
        <v>77</v>
      </c>
      <c r="AJ2860">
        <v>6</v>
      </c>
      <c r="AK2860">
        <v>289</v>
      </c>
      <c r="AL2860">
        <v>289</v>
      </c>
      <c r="AM2860">
        <v>597</v>
      </c>
      <c r="AN2860">
        <v>44</v>
      </c>
      <c r="AO2860" t="s">
        <v>78</v>
      </c>
      <c r="AP2860">
        <v>1</v>
      </c>
      <c r="AR2860" t="s">
        <v>2955</v>
      </c>
      <c r="AS2860" s="1">
        <v>44353.984722222223</v>
      </c>
      <c r="AT2860" s="1">
        <v>44353.987337962964</v>
      </c>
      <c r="AU2860" s="1">
        <v>44353.988587962966</v>
      </c>
      <c r="AV2860" t="s">
        <v>71</v>
      </c>
      <c r="AW2860" t="s">
        <v>72</v>
      </c>
      <c r="AX2860" t="s">
        <v>73</v>
      </c>
    </row>
    <row r="2861" spans="1:50" x14ac:dyDescent="0.3">
      <c r="A2861" t="str">
        <f>"200562B0000"</f>
        <v>200562B0000</v>
      </c>
      <c r="B2861" t="str">
        <f>"200562B00002"</f>
        <v>200562B00002</v>
      </c>
      <c r="C2861" t="str">
        <f t="shared" si="139"/>
        <v>20</v>
      </c>
      <c r="D2861" t="s">
        <v>67</v>
      </c>
      <c r="E2861" t="str">
        <f t="shared" si="138"/>
        <v>013</v>
      </c>
      <c r="F2861" t="s">
        <v>2914</v>
      </c>
      <c r="G2861" t="str">
        <f>"0562"</f>
        <v>0562</v>
      </c>
      <c r="H2861" t="str">
        <f>"0000"</f>
        <v>0000</v>
      </c>
      <c r="I2861" t="s">
        <v>69</v>
      </c>
      <c r="J2861">
        <v>0</v>
      </c>
      <c r="K2861">
        <v>1</v>
      </c>
      <c r="L2861">
        <v>2</v>
      </c>
      <c r="M2861">
        <v>309</v>
      </c>
      <c r="N2861">
        <v>271</v>
      </c>
      <c r="O2861">
        <v>10</v>
      </c>
      <c r="P2861">
        <v>271</v>
      </c>
      <c r="Q2861">
        <v>5</v>
      </c>
      <c r="R2861">
        <v>60</v>
      </c>
      <c r="S2861">
        <v>0</v>
      </c>
      <c r="T2861">
        <v>1</v>
      </c>
      <c r="U2861">
        <v>10</v>
      </c>
      <c r="V2861">
        <v>5</v>
      </c>
      <c r="W2861">
        <v>2</v>
      </c>
      <c r="X2861">
        <v>156</v>
      </c>
      <c r="Y2861">
        <v>2</v>
      </c>
      <c r="Z2861">
        <v>12</v>
      </c>
      <c r="AA2861">
        <v>1</v>
      </c>
      <c r="AB2861">
        <v>9</v>
      </c>
      <c r="AD2861" t="s">
        <v>77</v>
      </c>
      <c r="AE2861" t="s">
        <v>77</v>
      </c>
      <c r="AF2861" t="s">
        <v>77</v>
      </c>
      <c r="AG2861" t="s">
        <v>77</v>
      </c>
      <c r="AH2861" t="s">
        <v>77</v>
      </c>
      <c r="AI2861">
        <v>1</v>
      </c>
      <c r="AJ2861">
        <v>7</v>
      </c>
      <c r="AK2861">
        <v>271</v>
      </c>
      <c r="AL2861">
        <v>271</v>
      </c>
      <c r="AM2861">
        <v>536</v>
      </c>
      <c r="AN2861">
        <v>44</v>
      </c>
      <c r="AO2861" t="s">
        <v>78</v>
      </c>
      <c r="AP2861">
        <v>1</v>
      </c>
      <c r="AR2861" t="s">
        <v>2956</v>
      </c>
      <c r="AS2861" s="1">
        <v>44353.970833333333</v>
      </c>
      <c r="AT2861" s="1">
        <v>44353.972314814811</v>
      </c>
      <c r="AU2861" s="1">
        <v>44353.972893518519</v>
      </c>
      <c r="AV2861" t="s">
        <v>71</v>
      </c>
      <c r="AW2861" t="s">
        <v>72</v>
      </c>
      <c r="AX2861" t="s">
        <v>73</v>
      </c>
    </row>
    <row r="2862" spans="1:50" x14ac:dyDescent="0.3">
      <c r="A2862" t="str">
        <f>"200562C0100"</f>
        <v>200562C0100</v>
      </c>
      <c r="B2862" t="str">
        <f>"200562C01002"</f>
        <v>200562C01002</v>
      </c>
      <c r="C2862" t="str">
        <f t="shared" si="139"/>
        <v>20</v>
      </c>
      <c r="D2862" t="s">
        <v>67</v>
      </c>
      <c r="E2862" t="str">
        <f t="shared" si="138"/>
        <v>013</v>
      </c>
      <c r="F2862" t="s">
        <v>2914</v>
      </c>
      <c r="G2862" t="str">
        <f>"0562"</f>
        <v>0562</v>
      </c>
      <c r="H2862" t="str">
        <f>"0001"</f>
        <v>0001</v>
      </c>
      <c r="I2862" t="s">
        <v>75</v>
      </c>
      <c r="J2862">
        <v>0</v>
      </c>
      <c r="K2862">
        <v>1</v>
      </c>
      <c r="L2862">
        <v>2</v>
      </c>
      <c r="M2862">
        <v>311</v>
      </c>
      <c r="N2862">
        <v>268</v>
      </c>
      <c r="O2862">
        <v>9</v>
      </c>
      <c r="P2862">
        <v>268</v>
      </c>
      <c r="Q2862">
        <v>9</v>
      </c>
      <c r="R2862">
        <v>45</v>
      </c>
      <c r="S2862">
        <v>2</v>
      </c>
      <c r="T2862">
        <v>3</v>
      </c>
      <c r="U2862">
        <v>4</v>
      </c>
      <c r="V2862">
        <v>5</v>
      </c>
      <c r="W2862">
        <v>6</v>
      </c>
      <c r="X2862">
        <v>167</v>
      </c>
      <c r="Y2862">
        <v>4</v>
      </c>
      <c r="Z2862">
        <v>14</v>
      </c>
      <c r="AA2862">
        <v>1</v>
      </c>
      <c r="AB2862">
        <v>1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7</v>
      </c>
      <c r="AK2862">
        <v>268</v>
      </c>
      <c r="AL2862">
        <v>268</v>
      </c>
      <c r="AM2862">
        <v>535</v>
      </c>
      <c r="AN2862">
        <v>44</v>
      </c>
      <c r="AP2862">
        <v>1</v>
      </c>
      <c r="AR2862" t="s">
        <v>2957</v>
      </c>
      <c r="AS2862" s="1">
        <v>44354.101388888892</v>
      </c>
      <c r="AT2862" s="1">
        <v>44354.117407407408</v>
      </c>
      <c r="AU2862" s="1">
        <v>44354.11791666667</v>
      </c>
      <c r="AV2862" t="s">
        <v>71</v>
      </c>
      <c r="AW2862" t="s">
        <v>72</v>
      </c>
      <c r="AX2862" t="s">
        <v>73</v>
      </c>
    </row>
    <row r="2863" spans="1:50" x14ac:dyDescent="0.3">
      <c r="A2863" t="str">
        <f>"200563B0000"</f>
        <v>200563B0000</v>
      </c>
      <c r="B2863" t="str">
        <f>"200563B00002"</f>
        <v>200563B00002</v>
      </c>
      <c r="C2863" t="str">
        <f t="shared" si="139"/>
        <v>20</v>
      </c>
      <c r="D2863" t="s">
        <v>67</v>
      </c>
      <c r="E2863" t="str">
        <f t="shared" si="138"/>
        <v>013</v>
      </c>
      <c r="F2863" t="s">
        <v>2914</v>
      </c>
      <c r="G2863" t="str">
        <f>"0563"</f>
        <v>0563</v>
      </c>
      <c r="H2863" t="str">
        <f>"0000"</f>
        <v>0000</v>
      </c>
      <c r="I2863" t="s">
        <v>69</v>
      </c>
      <c r="J2863">
        <v>0</v>
      </c>
      <c r="K2863">
        <v>1</v>
      </c>
      <c r="L2863">
        <v>2</v>
      </c>
      <c r="M2863">
        <v>289</v>
      </c>
      <c r="N2863">
        <v>242</v>
      </c>
      <c r="O2863">
        <v>5</v>
      </c>
      <c r="P2863">
        <v>242</v>
      </c>
      <c r="Q2863">
        <v>8</v>
      </c>
      <c r="R2863">
        <v>38</v>
      </c>
      <c r="S2863">
        <v>1</v>
      </c>
      <c r="T2863">
        <v>4</v>
      </c>
      <c r="U2863">
        <v>6</v>
      </c>
      <c r="V2863">
        <v>7</v>
      </c>
      <c r="W2863">
        <v>7</v>
      </c>
      <c r="X2863">
        <v>147</v>
      </c>
      <c r="Y2863">
        <v>3</v>
      </c>
      <c r="Z2863">
        <v>7</v>
      </c>
      <c r="AA2863">
        <v>2</v>
      </c>
      <c r="AB2863">
        <v>3</v>
      </c>
      <c r="AD2863">
        <v>2</v>
      </c>
      <c r="AE2863">
        <v>0</v>
      </c>
      <c r="AF2863">
        <v>0</v>
      </c>
      <c r="AG2863">
        <v>0</v>
      </c>
      <c r="AH2863">
        <v>0</v>
      </c>
      <c r="AI2863">
        <v>1</v>
      </c>
      <c r="AJ2863">
        <v>6</v>
      </c>
      <c r="AK2863">
        <v>242</v>
      </c>
      <c r="AL2863">
        <v>242</v>
      </c>
      <c r="AM2863">
        <v>487</v>
      </c>
      <c r="AN2863">
        <v>44</v>
      </c>
      <c r="AP2863">
        <v>1</v>
      </c>
      <c r="AR2863" t="s">
        <v>2958</v>
      </c>
      <c r="AS2863" s="1">
        <v>44354.288055555553</v>
      </c>
      <c r="AT2863" s="1">
        <v>44354.289293981485</v>
      </c>
      <c r="AU2863" s="1">
        <v>44354.289976851855</v>
      </c>
      <c r="AV2863" t="s">
        <v>71</v>
      </c>
      <c r="AW2863" t="s">
        <v>72</v>
      </c>
      <c r="AX2863" t="s">
        <v>347</v>
      </c>
    </row>
    <row r="2864" spans="1:50" x14ac:dyDescent="0.3">
      <c r="A2864" t="str">
        <f>"200563C0100"</f>
        <v>200563C0100</v>
      </c>
      <c r="B2864" t="str">
        <f>"200563C01002"</f>
        <v>200563C01002</v>
      </c>
      <c r="C2864" t="str">
        <f t="shared" si="139"/>
        <v>20</v>
      </c>
      <c r="D2864" t="s">
        <v>67</v>
      </c>
      <c r="E2864" t="str">
        <f t="shared" si="138"/>
        <v>013</v>
      </c>
      <c r="F2864" t="s">
        <v>2914</v>
      </c>
      <c r="G2864" t="str">
        <f>"0563"</f>
        <v>0563</v>
      </c>
      <c r="H2864" t="str">
        <f>"0001"</f>
        <v>0001</v>
      </c>
      <c r="I2864" t="s">
        <v>75</v>
      </c>
      <c r="J2864">
        <v>0</v>
      </c>
      <c r="K2864">
        <v>1</v>
      </c>
      <c r="L2864">
        <v>2</v>
      </c>
      <c r="M2864">
        <v>287</v>
      </c>
      <c r="N2864">
        <v>244</v>
      </c>
      <c r="O2864">
        <v>6</v>
      </c>
      <c r="P2864">
        <v>244</v>
      </c>
      <c r="Q2864">
        <v>6</v>
      </c>
      <c r="R2864">
        <v>36</v>
      </c>
      <c r="S2864">
        <v>0</v>
      </c>
      <c r="T2864">
        <v>3</v>
      </c>
      <c r="U2864">
        <v>5</v>
      </c>
      <c r="V2864">
        <v>6</v>
      </c>
      <c r="W2864">
        <v>4</v>
      </c>
      <c r="X2864">
        <v>152</v>
      </c>
      <c r="Y2864">
        <v>3</v>
      </c>
      <c r="Z2864">
        <v>13</v>
      </c>
      <c r="AA2864">
        <v>2</v>
      </c>
      <c r="AB2864">
        <v>3</v>
      </c>
      <c r="AD2864">
        <v>1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10</v>
      </c>
      <c r="AK2864">
        <v>244</v>
      </c>
      <c r="AL2864">
        <v>244</v>
      </c>
      <c r="AM2864">
        <v>487</v>
      </c>
      <c r="AN2864">
        <v>44</v>
      </c>
      <c r="AP2864">
        <v>1</v>
      </c>
      <c r="AR2864" t="s">
        <v>2959</v>
      </c>
      <c r="AS2864" s="1">
        <v>44354.018750000003</v>
      </c>
      <c r="AT2864" s="1">
        <v>44354.028379629628</v>
      </c>
      <c r="AU2864" s="1">
        <v>44354.028993055559</v>
      </c>
      <c r="AV2864" t="s">
        <v>71</v>
      </c>
      <c r="AW2864" t="s">
        <v>72</v>
      </c>
      <c r="AX2864" t="s">
        <v>73</v>
      </c>
    </row>
    <row r="2865" spans="1:50" x14ac:dyDescent="0.3">
      <c r="A2865" t="str">
        <f>"200564B0000"</f>
        <v>200564B0000</v>
      </c>
      <c r="B2865" t="str">
        <f>"200564B00002"</f>
        <v>200564B00002</v>
      </c>
      <c r="C2865" t="str">
        <f t="shared" si="139"/>
        <v>20</v>
      </c>
      <c r="D2865" t="s">
        <v>67</v>
      </c>
      <c r="E2865" t="str">
        <f t="shared" si="138"/>
        <v>013</v>
      </c>
      <c r="F2865" t="s">
        <v>2914</v>
      </c>
      <c r="G2865" t="str">
        <f>"0564"</f>
        <v>0564</v>
      </c>
      <c r="H2865" t="str">
        <f>"0000"</f>
        <v>0000</v>
      </c>
      <c r="I2865" t="s">
        <v>69</v>
      </c>
      <c r="J2865">
        <v>0</v>
      </c>
      <c r="K2865">
        <v>1</v>
      </c>
      <c r="L2865">
        <v>2</v>
      </c>
      <c r="M2865">
        <v>387</v>
      </c>
      <c r="N2865">
        <v>306</v>
      </c>
      <c r="O2865">
        <v>9</v>
      </c>
      <c r="P2865">
        <v>306</v>
      </c>
      <c r="Q2865">
        <v>23</v>
      </c>
      <c r="R2865">
        <v>75</v>
      </c>
      <c r="S2865">
        <v>0</v>
      </c>
      <c r="T2865">
        <v>10</v>
      </c>
      <c r="U2865">
        <v>7</v>
      </c>
      <c r="V2865">
        <v>5</v>
      </c>
      <c r="W2865">
        <v>1</v>
      </c>
      <c r="X2865">
        <v>158</v>
      </c>
      <c r="Y2865">
        <v>3</v>
      </c>
      <c r="Z2865">
        <v>6</v>
      </c>
      <c r="AA2865">
        <v>1</v>
      </c>
      <c r="AB2865">
        <v>3</v>
      </c>
      <c r="AD2865">
        <v>1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13</v>
      </c>
      <c r="AK2865">
        <v>14</v>
      </c>
      <c r="AL2865">
        <v>306</v>
      </c>
      <c r="AM2865">
        <v>649</v>
      </c>
      <c r="AN2865">
        <v>44</v>
      </c>
      <c r="AP2865">
        <v>1</v>
      </c>
      <c r="AR2865" t="s">
        <v>2960</v>
      </c>
      <c r="AS2865" s="1">
        <v>44354.02847222222</v>
      </c>
      <c r="AT2865" s="1">
        <v>44354.043842592589</v>
      </c>
      <c r="AU2865" s="1">
        <v>44354.04478009259</v>
      </c>
      <c r="AV2865" t="s">
        <v>71</v>
      </c>
      <c r="AW2865" t="s">
        <v>72</v>
      </c>
      <c r="AX2865" t="s">
        <v>73</v>
      </c>
    </row>
    <row r="2866" spans="1:50" x14ac:dyDescent="0.3">
      <c r="A2866" t="str">
        <f>"200564C0100"</f>
        <v>200564C0100</v>
      </c>
      <c r="B2866" t="str">
        <f>"200564C01002"</f>
        <v>200564C01002</v>
      </c>
      <c r="C2866" t="str">
        <f t="shared" si="139"/>
        <v>20</v>
      </c>
      <c r="D2866" t="s">
        <v>67</v>
      </c>
      <c r="E2866" t="str">
        <f t="shared" si="138"/>
        <v>013</v>
      </c>
      <c r="F2866" t="s">
        <v>2914</v>
      </c>
      <c r="G2866" t="str">
        <f>"0564"</f>
        <v>0564</v>
      </c>
      <c r="H2866" t="str">
        <f>"0001"</f>
        <v>0001</v>
      </c>
      <c r="I2866" t="s">
        <v>75</v>
      </c>
      <c r="J2866">
        <v>0</v>
      </c>
      <c r="K2866">
        <v>1</v>
      </c>
      <c r="L2866">
        <v>2</v>
      </c>
      <c r="M2866">
        <v>393</v>
      </c>
      <c r="N2866">
        <v>7</v>
      </c>
      <c r="O2866">
        <v>7</v>
      </c>
      <c r="P2866">
        <v>300</v>
      </c>
      <c r="Q2866">
        <v>11</v>
      </c>
      <c r="R2866">
        <v>73</v>
      </c>
      <c r="S2866">
        <v>3</v>
      </c>
      <c r="T2866">
        <v>4</v>
      </c>
      <c r="U2866">
        <v>17</v>
      </c>
      <c r="V2866">
        <v>20</v>
      </c>
      <c r="W2866">
        <v>4</v>
      </c>
      <c r="X2866">
        <v>140</v>
      </c>
      <c r="Y2866">
        <v>1</v>
      </c>
      <c r="Z2866">
        <v>12</v>
      </c>
      <c r="AA2866">
        <v>1</v>
      </c>
      <c r="AB2866">
        <v>4</v>
      </c>
      <c r="AD2866" t="s">
        <v>77</v>
      </c>
      <c r="AE2866" t="s">
        <v>77</v>
      </c>
      <c r="AF2866" t="s">
        <v>77</v>
      </c>
      <c r="AG2866" t="s">
        <v>77</v>
      </c>
      <c r="AH2866" t="s">
        <v>77</v>
      </c>
      <c r="AI2866" t="s">
        <v>77</v>
      </c>
      <c r="AJ2866" t="s">
        <v>77</v>
      </c>
      <c r="AK2866" t="s">
        <v>77</v>
      </c>
      <c r="AL2866">
        <v>290</v>
      </c>
      <c r="AM2866">
        <v>649</v>
      </c>
      <c r="AN2866">
        <v>44</v>
      </c>
      <c r="AO2866" t="s">
        <v>78</v>
      </c>
      <c r="AP2866">
        <v>1</v>
      </c>
      <c r="AR2866" t="s">
        <v>2961</v>
      </c>
      <c r="AS2866" s="1">
        <v>44353.804861111108</v>
      </c>
      <c r="AT2866" s="1">
        <v>44354.032696759263</v>
      </c>
      <c r="AU2866" s="1">
        <v>44354.033171296294</v>
      </c>
      <c r="AV2866" t="s">
        <v>71</v>
      </c>
      <c r="AW2866" t="s">
        <v>72</v>
      </c>
      <c r="AX2866" t="s">
        <v>73</v>
      </c>
    </row>
    <row r="2867" spans="1:50" x14ac:dyDescent="0.3">
      <c r="A2867" t="str">
        <f>"200565B0000"</f>
        <v>200565B0000</v>
      </c>
      <c r="B2867" t="str">
        <f>"200565B00002"</f>
        <v>200565B00002</v>
      </c>
      <c r="C2867" t="str">
        <f t="shared" si="139"/>
        <v>20</v>
      </c>
      <c r="D2867" t="s">
        <v>67</v>
      </c>
      <c r="E2867" t="str">
        <f t="shared" si="138"/>
        <v>013</v>
      </c>
      <c r="F2867" t="s">
        <v>2914</v>
      </c>
      <c r="G2867" t="str">
        <f>"0565"</f>
        <v>0565</v>
      </c>
      <c r="H2867" t="str">
        <f>"0000"</f>
        <v>0000</v>
      </c>
      <c r="I2867" t="s">
        <v>69</v>
      </c>
      <c r="J2867">
        <v>0</v>
      </c>
      <c r="K2867">
        <v>1</v>
      </c>
      <c r="L2867">
        <v>2</v>
      </c>
      <c r="M2867">
        <v>244</v>
      </c>
      <c r="N2867">
        <v>241</v>
      </c>
      <c r="O2867">
        <v>6</v>
      </c>
      <c r="P2867">
        <v>239</v>
      </c>
      <c r="Q2867">
        <v>13</v>
      </c>
      <c r="R2867">
        <v>42</v>
      </c>
      <c r="S2867">
        <v>0</v>
      </c>
      <c r="T2867">
        <v>3</v>
      </c>
      <c r="U2867">
        <v>4</v>
      </c>
      <c r="V2867">
        <v>3</v>
      </c>
      <c r="W2867">
        <v>6</v>
      </c>
      <c r="X2867">
        <v>152</v>
      </c>
      <c r="Y2867">
        <v>3</v>
      </c>
      <c r="Z2867">
        <v>5</v>
      </c>
      <c r="AA2867">
        <v>0</v>
      </c>
      <c r="AB2867">
        <v>5</v>
      </c>
      <c r="AD2867">
        <v>1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2</v>
      </c>
      <c r="AK2867">
        <v>239</v>
      </c>
      <c r="AL2867">
        <v>239</v>
      </c>
      <c r="AM2867">
        <v>439</v>
      </c>
      <c r="AN2867">
        <v>44</v>
      </c>
      <c r="AP2867">
        <v>1</v>
      </c>
      <c r="AR2867" t="s">
        <v>2962</v>
      </c>
      <c r="AS2867" s="1">
        <v>44354.085416666669</v>
      </c>
      <c r="AT2867" s="1">
        <v>44354.097997685189</v>
      </c>
      <c r="AU2867" s="1">
        <v>44354.098425925928</v>
      </c>
      <c r="AV2867" t="s">
        <v>71</v>
      </c>
      <c r="AW2867" t="s">
        <v>72</v>
      </c>
      <c r="AX2867" t="s">
        <v>73</v>
      </c>
    </row>
    <row r="2868" spans="1:50" x14ac:dyDescent="0.3">
      <c r="A2868" t="str">
        <f>"200565C0100"</f>
        <v>200565C0100</v>
      </c>
      <c r="B2868" t="str">
        <f>"200565C01002"</f>
        <v>200565C01002</v>
      </c>
      <c r="C2868" t="str">
        <f t="shared" si="139"/>
        <v>20</v>
      </c>
      <c r="D2868" t="s">
        <v>67</v>
      </c>
      <c r="E2868" t="str">
        <f t="shared" si="138"/>
        <v>013</v>
      </c>
      <c r="F2868" t="s">
        <v>2914</v>
      </c>
      <c r="G2868" t="str">
        <f>"0565"</f>
        <v>0565</v>
      </c>
      <c r="H2868" t="str">
        <f>"0001"</f>
        <v>0001</v>
      </c>
      <c r="I2868" t="s">
        <v>75</v>
      </c>
      <c r="J2868">
        <v>0</v>
      </c>
      <c r="K2868">
        <v>1</v>
      </c>
      <c r="L2868">
        <v>2</v>
      </c>
      <c r="M2868">
        <v>270</v>
      </c>
      <c r="N2868">
        <v>213</v>
      </c>
      <c r="O2868">
        <v>9</v>
      </c>
      <c r="P2868">
        <v>213</v>
      </c>
      <c r="Q2868">
        <v>10</v>
      </c>
      <c r="R2868">
        <v>51</v>
      </c>
      <c r="S2868">
        <v>2</v>
      </c>
      <c r="T2868">
        <v>2</v>
      </c>
      <c r="U2868">
        <v>6</v>
      </c>
      <c r="V2868">
        <v>8</v>
      </c>
      <c r="W2868">
        <v>2</v>
      </c>
      <c r="X2868">
        <v>109</v>
      </c>
      <c r="Y2868">
        <v>1</v>
      </c>
      <c r="Z2868">
        <v>6</v>
      </c>
      <c r="AA2868">
        <v>0</v>
      </c>
      <c r="AB2868">
        <v>6</v>
      </c>
      <c r="AD2868">
        <v>2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8</v>
      </c>
      <c r="AK2868">
        <v>213</v>
      </c>
      <c r="AL2868">
        <v>213</v>
      </c>
      <c r="AM2868">
        <v>439</v>
      </c>
      <c r="AN2868">
        <v>44</v>
      </c>
      <c r="AP2868">
        <v>1</v>
      </c>
      <c r="AR2868" t="s">
        <v>2963</v>
      </c>
      <c r="AS2868" s="1">
        <v>44354.083333333336</v>
      </c>
      <c r="AT2868" s="1">
        <v>44354.096238425926</v>
      </c>
      <c r="AU2868" s="1">
        <v>44354.096493055556</v>
      </c>
      <c r="AV2868" t="s">
        <v>71</v>
      </c>
      <c r="AW2868" t="s">
        <v>72</v>
      </c>
      <c r="AX2868" t="s">
        <v>73</v>
      </c>
    </row>
    <row r="2869" spans="1:50" x14ac:dyDescent="0.3">
      <c r="A2869" t="str">
        <f>"200566B0000"</f>
        <v>200566B0000</v>
      </c>
      <c r="B2869" t="str">
        <f>"200566B00002"</f>
        <v>200566B00002</v>
      </c>
      <c r="C2869" t="str">
        <f t="shared" si="139"/>
        <v>20</v>
      </c>
      <c r="D2869" t="s">
        <v>67</v>
      </c>
      <c r="E2869" t="str">
        <f t="shared" si="138"/>
        <v>013</v>
      </c>
      <c r="F2869" t="s">
        <v>2914</v>
      </c>
      <c r="G2869" t="str">
        <f>"0566"</f>
        <v>0566</v>
      </c>
      <c r="H2869" t="str">
        <f>"0000"</f>
        <v>0000</v>
      </c>
      <c r="I2869" t="s">
        <v>69</v>
      </c>
      <c r="J2869">
        <v>0</v>
      </c>
      <c r="K2869">
        <v>1</v>
      </c>
      <c r="L2869">
        <v>2</v>
      </c>
      <c r="M2869">
        <v>327</v>
      </c>
      <c r="N2869">
        <v>296</v>
      </c>
      <c r="O2869">
        <v>4</v>
      </c>
      <c r="P2869">
        <v>296</v>
      </c>
      <c r="Q2869">
        <v>32</v>
      </c>
      <c r="R2869">
        <v>75</v>
      </c>
      <c r="S2869">
        <v>0</v>
      </c>
      <c r="T2869">
        <v>5</v>
      </c>
      <c r="U2869">
        <v>7</v>
      </c>
      <c r="V2869">
        <v>5</v>
      </c>
      <c r="W2869">
        <v>3</v>
      </c>
      <c r="X2869">
        <v>138</v>
      </c>
      <c r="Y2869">
        <v>9</v>
      </c>
      <c r="Z2869">
        <v>6</v>
      </c>
      <c r="AA2869">
        <v>2</v>
      </c>
      <c r="AB2869">
        <v>7</v>
      </c>
      <c r="AD2869">
        <v>1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6</v>
      </c>
      <c r="AK2869">
        <v>296</v>
      </c>
      <c r="AL2869">
        <v>296</v>
      </c>
      <c r="AM2869">
        <v>579</v>
      </c>
      <c r="AN2869">
        <v>44</v>
      </c>
      <c r="AP2869">
        <v>1</v>
      </c>
      <c r="AR2869" t="s">
        <v>2964</v>
      </c>
      <c r="AS2869" s="1">
        <v>44354.070138888892</v>
      </c>
      <c r="AT2869" s="1">
        <v>44354.076944444445</v>
      </c>
      <c r="AU2869" s="1">
        <v>44354.077673611115</v>
      </c>
      <c r="AV2869" t="s">
        <v>71</v>
      </c>
      <c r="AW2869" t="s">
        <v>72</v>
      </c>
      <c r="AX2869" t="s">
        <v>73</v>
      </c>
    </row>
    <row r="2870" spans="1:50" x14ac:dyDescent="0.3">
      <c r="A2870" t="str">
        <f>"200566C0100"</f>
        <v>200566C0100</v>
      </c>
      <c r="B2870" t="str">
        <f>"200566C01002"</f>
        <v>200566C01002</v>
      </c>
      <c r="C2870" t="str">
        <f t="shared" si="139"/>
        <v>20</v>
      </c>
      <c r="D2870" t="s">
        <v>67</v>
      </c>
      <c r="E2870" t="str">
        <f t="shared" si="138"/>
        <v>013</v>
      </c>
      <c r="F2870" t="s">
        <v>2914</v>
      </c>
      <c r="G2870" t="str">
        <f>"0566"</f>
        <v>0566</v>
      </c>
      <c r="H2870" t="str">
        <f>"0001"</f>
        <v>0001</v>
      </c>
      <c r="I2870" t="s">
        <v>75</v>
      </c>
      <c r="J2870">
        <v>0</v>
      </c>
      <c r="K2870">
        <v>1</v>
      </c>
      <c r="L2870">
        <v>2</v>
      </c>
      <c r="M2870">
        <v>685</v>
      </c>
      <c r="N2870">
        <v>279</v>
      </c>
      <c r="O2870">
        <v>3</v>
      </c>
      <c r="P2870">
        <v>279</v>
      </c>
      <c r="Q2870">
        <v>22</v>
      </c>
      <c r="R2870">
        <v>69</v>
      </c>
      <c r="S2870">
        <v>2</v>
      </c>
      <c r="T2870">
        <v>6</v>
      </c>
      <c r="U2870">
        <v>7</v>
      </c>
      <c r="V2870">
        <v>6</v>
      </c>
      <c r="W2870">
        <v>4</v>
      </c>
      <c r="X2870">
        <v>121</v>
      </c>
      <c r="Y2870">
        <v>5</v>
      </c>
      <c r="Z2870">
        <v>7</v>
      </c>
      <c r="AA2870">
        <v>2</v>
      </c>
      <c r="AB2870">
        <v>13</v>
      </c>
      <c r="AD2870">
        <v>4</v>
      </c>
      <c r="AE2870">
        <v>2</v>
      </c>
      <c r="AF2870">
        <v>0</v>
      </c>
      <c r="AG2870">
        <v>0</v>
      </c>
      <c r="AH2870">
        <v>0</v>
      </c>
      <c r="AI2870">
        <v>0</v>
      </c>
      <c r="AJ2870">
        <v>9</v>
      </c>
      <c r="AK2870">
        <v>279</v>
      </c>
      <c r="AL2870">
        <v>279</v>
      </c>
      <c r="AM2870">
        <v>579</v>
      </c>
      <c r="AN2870">
        <v>44</v>
      </c>
      <c r="AP2870">
        <v>1</v>
      </c>
      <c r="AR2870" t="s">
        <v>2965</v>
      </c>
      <c r="AS2870" s="1">
        <v>44354.084027777775</v>
      </c>
      <c r="AT2870" s="1">
        <v>44354.096053240741</v>
      </c>
      <c r="AU2870" s="1">
        <v>44354.096620370372</v>
      </c>
      <c r="AV2870" t="s">
        <v>71</v>
      </c>
      <c r="AW2870" t="s">
        <v>72</v>
      </c>
      <c r="AX2870" t="s">
        <v>73</v>
      </c>
    </row>
    <row r="2871" spans="1:50" x14ac:dyDescent="0.3">
      <c r="A2871" t="str">
        <f>"200567B0000"</f>
        <v>200567B0000</v>
      </c>
      <c r="B2871" t="str">
        <f>"200567B00002"</f>
        <v>200567B00002</v>
      </c>
      <c r="C2871" t="str">
        <f t="shared" si="139"/>
        <v>20</v>
      </c>
      <c r="D2871" t="s">
        <v>67</v>
      </c>
      <c r="E2871" t="str">
        <f t="shared" si="138"/>
        <v>013</v>
      </c>
      <c r="F2871" t="s">
        <v>2914</v>
      </c>
      <c r="G2871" t="str">
        <f>"0567"</f>
        <v>0567</v>
      </c>
      <c r="H2871" t="str">
        <f>"0000"</f>
        <v>0000</v>
      </c>
      <c r="I2871" t="s">
        <v>69</v>
      </c>
      <c r="J2871">
        <v>0</v>
      </c>
      <c r="K2871">
        <v>1</v>
      </c>
      <c r="L2871">
        <v>2</v>
      </c>
      <c r="M2871">
        <v>396</v>
      </c>
      <c r="N2871">
        <v>374</v>
      </c>
      <c r="O2871">
        <v>2</v>
      </c>
      <c r="P2871">
        <v>374</v>
      </c>
      <c r="Q2871">
        <v>25</v>
      </c>
      <c r="R2871">
        <v>91</v>
      </c>
      <c r="S2871">
        <v>5</v>
      </c>
      <c r="T2871">
        <v>11</v>
      </c>
      <c r="U2871">
        <v>10</v>
      </c>
      <c r="V2871">
        <v>11</v>
      </c>
      <c r="W2871">
        <v>10</v>
      </c>
      <c r="X2871">
        <v>165</v>
      </c>
      <c r="Y2871">
        <v>5</v>
      </c>
      <c r="Z2871">
        <v>12</v>
      </c>
      <c r="AA2871">
        <v>5</v>
      </c>
      <c r="AB2871">
        <v>8</v>
      </c>
      <c r="AD2871">
        <v>4</v>
      </c>
      <c r="AE2871">
        <v>1</v>
      </c>
      <c r="AF2871">
        <v>0</v>
      </c>
      <c r="AG2871">
        <v>0</v>
      </c>
      <c r="AH2871">
        <v>0</v>
      </c>
      <c r="AI2871">
        <v>0</v>
      </c>
      <c r="AJ2871">
        <v>11</v>
      </c>
      <c r="AK2871">
        <v>374</v>
      </c>
      <c r="AL2871">
        <v>374</v>
      </c>
      <c r="AM2871">
        <v>726</v>
      </c>
      <c r="AN2871">
        <v>44</v>
      </c>
      <c r="AP2871">
        <v>1</v>
      </c>
      <c r="AR2871" t="s">
        <v>2966</v>
      </c>
      <c r="AS2871" s="1">
        <v>44354.081250000003</v>
      </c>
      <c r="AT2871" s="1">
        <v>44354.091273148151</v>
      </c>
      <c r="AU2871" s="1">
        <v>44354.091944444444</v>
      </c>
      <c r="AV2871" t="s">
        <v>71</v>
      </c>
      <c r="AW2871" t="s">
        <v>72</v>
      </c>
      <c r="AX2871" t="s">
        <v>73</v>
      </c>
    </row>
    <row r="2872" spans="1:50" x14ac:dyDescent="0.3">
      <c r="A2872" t="str">
        <f>"200568B0000"</f>
        <v>200568B0000</v>
      </c>
      <c r="B2872" t="str">
        <f>"200568B00002"</f>
        <v>200568B00002</v>
      </c>
      <c r="C2872" t="str">
        <f t="shared" si="139"/>
        <v>20</v>
      </c>
      <c r="D2872" t="s">
        <v>67</v>
      </c>
      <c r="E2872" t="str">
        <f t="shared" si="138"/>
        <v>013</v>
      </c>
      <c r="F2872" t="s">
        <v>2914</v>
      </c>
      <c r="G2872" t="str">
        <f>"0568"</f>
        <v>0568</v>
      </c>
      <c r="H2872" t="str">
        <f>"0000"</f>
        <v>0000</v>
      </c>
      <c r="I2872" t="s">
        <v>69</v>
      </c>
      <c r="J2872">
        <v>0</v>
      </c>
      <c r="K2872">
        <v>1</v>
      </c>
      <c r="L2872">
        <v>2</v>
      </c>
      <c r="M2872">
        <v>286</v>
      </c>
      <c r="N2872">
        <v>361</v>
      </c>
      <c r="O2872">
        <v>11</v>
      </c>
      <c r="P2872">
        <v>358</v>
      </c>
      <c r="Q2872">
        <v>58</v>
      </c>
      <c r="R2872">
        <v>94</v>
      </c>
      <c r="S2872">
        <v>1</v>
      </c>
      <c r="T2872">
        <v>8</v>
      </c>
      <c r="U2872">
        <v>9</v>
      </c>
      <c r="V2872">
        <v>7</v>
      </c>
      <c r="W2872">
        <v>5</v>
      </c>
      <c r="X2872">
        <v>141</v>
      </c>
      <c r="Y2872">
        <v>4</v>
      </c>
      <c r="Z2872">
        <v>2</v>
      </c>
      <c r="AA2872">
        <v>1</v>
      </c>
      <c r="AB2872">
        <v>13</v>
      </c>
      <c r="AD2872">
        <v>2</v>
      </c>
      <c r="AE2872">
        <v>0</v>
      </c>
      <c r="AF2872">
        <v>0</v>
      </c>
      <c r="AG2872">
        <v>1</v>
      </c>
      <c r="AH2872">
        <v>1</v>
      </c>
      <c r="AI2872">
        <v>2</v>
      </c>
      <c r="AJ2872">
        <v>9</v>
      </c>
      <c r="AK2872">
        <v>358</v>
      </c>
      <c r="AL2872">
        <v>358</v>
      </c>
      <c r="AM2872">
        <v>601</v>
      </c>
      <c r="AN2872">
        <v>44</v>
      </c>
      <c r="AP2872">
        <v>1</v>
      </c>
      <c r="AR2872" t="s">
        <v>2967</v>
      </c>
      <c r="AS2872" s="1">
        <v>44354.074305555558</v>
      </c>
      <c r="AT2872" s="1">
        <v>44354.081793981481</v>
      </c>
      <c r="AU2872" s="1">
        <v>44354.082384259258</v>
      </c>
      <c r="AV2872" t="s">
        <v>71</v>
      </c>
      <c r="AW2872" t="s">
        <v>72</v>
      </c>
      <c r="AX2872" t="s">
        <v>73</v>
      </c>
    </row>
    <row r="2873" spans="1:50" x14ac:dyDescent="0.3">
      <c r="A2873" t="str">
        <f>"200568C0100"</f>
        <v>200568C0100</v>
      </c>
      <c r="B2873" t="str">
        <f>"200568C01002"</f>
        <v>200568C01002</v>
      </c>
      <c r="C2873" t="str">
        <f t="shared" si="139"/>
        <v>20</v>
      </c>
      <c r="D2873" t="s">
        <v>67</v>
      </c>
      <c r="E2873" t="str">
        <f t="shared" si="138"/>
        <v>013</v>
      </c>
      <c r="F2873" t="s">
        <v>2914</v>
      </c>
      <c r="G2873" t="str">
        <f>"0568"</f>
        <v>0568</v>
      </c>
      <c r="H2873" t="str">
        <f>"0001"</f>
        <v>0001</v>
      </c>
      <c r="I2873" t="s">
        <v>75</v>
      </c>
      <c r="J2873">
        <v>0</v>
      </c>
      <c r="K2873">
        <v>1</v>
      </c>
      <c r="L2873">
        <v>2</v>
      </c>
      <c r="M2873">
        <v>310</v>
      </c>
      <c r="N2873">
        <v>336</v>
      </c>
      <c r="O2873">
        <v>5</v>
      </c>
      <c r="P2873">
        <v>336</v>
      </c>
      <c r="Q2873">
        <v>40</v>
      </c>
      <c r="R2873">
        <v>84</v>
      </c>
      <c r="S2873">
        <v>3</v>
      </c>
      <c r="T2873">
        <v>5</v>
      </c>
      <c r="U2873">
        <v>7</v>
      </c>
      <c r="V2873">
        <v>16</v>
      </c>
      <c r="W2873">
        <v>8</v>
      </c>
      <c r="X2873">
        <v>141</v>
      </c>
      <c r="Y2873">
        <v>7</v>
      </c>
      <c r="Z2873">
        <v>3</v>
      </c>
      <c r="AA2873">
        <v>2</v>
      </c>
      <c r="AB2873">
        <v>8</v>
      </c>
      <c r="AD2873">
        <v>3</v>
      </c>
      <c r="AE2873">
        <v>1</v>
      </c>
      <c r="AF2873">
        <v>0</v>
      </c>
      <c r="AG2873">
        <v>0</v>
      </c>
      <c r="AH2873">
        <v>0</v>
      </c>
      <c r="AI2873">
        <v>0</v>
      </c>
      <c r="AJ2873">
        <v>7</v>
      </c>
      <c r="AK2873">
        <v>336</v>
      </c>
      <c r="AL2873">
        <v>335</v>
      </c>
      <c r="AM2873">
        <v>601</v>
      </c>
      <c r="AN2873">
        <v>44</v>
      </c>
      <c r="AP2873">
        <v>1</v>
      </c>
      <c r="AR2873" t="s">
        <v>2968</v>
      </c>
      <c r="AS2873" s="1">
        <v>44354.07708333333</v>
      </c>
      <c r="AT2873" s="1">
        <v>44354.085949074077</v>
      </c>
      <c r="AU2873" s="1">
        <v>44354.086967592593</v>
      </c>
      <c r="AV2873" t="s">
        <v>71</v>
      </c>
      <c r="AW2873" t="s">
        <v>72</v>
      </c>
      <c r="AX2873" t="s">
        <v>73</v>
      </c>
    </row>
    <row r="2874" spans="1:50" x14ac:dyDescent="0.3">
      <c r="A2874" t="str">
        <f>"200570B0000"</f>
        <v>200570B0000</v>
      </c>
      <c r="B2874" t="str">
        <f>"200570B00002"</f>
        <v>200570B00002</v>
      </c>
      <c r="C2874" t="str">
        <f t="shared" si="139"/>
        <v>20</v>
      </c>
      <c r="D2874" t="s">
        <v>67</v>
      </c>
      <c r="E2874" t="str">
        <f t="shared" si="138"/>
        <v>013</v>
      </c>
      <c r="F2874" t="s">
        <v>2914</v>
      </c>
      <c r="G2874" t="str">
        <f>"0570"</f>
        <v>0570</v>
      </c>
      <c r="H2874" t="str">
        <f>"0000"</f>
        <v>0000</v>
      </c>
      <c r="I2874" t="s">
        <v>69</v>
      </c>
      <c r="J2874">
        <v>0</v>
      </c>
      <c r="K2874">
        <v>1</v>
      </c>
      <c r="L2874">
        <v>2</v>
      </c>
      <c r="M2874">
        <v>248</v>
      </c>
      <c r="N2874">
        <v>246</v>
      </c>
      <c r="O2874">
        <v>6</v>
      </c>
      <c r="P2874">
        <v>245</v>
      </c>
      <c r="Q2874">
        <v>22</v>
      </c>
      <c r="R2874">
        <v>55</v>
      </c>
      <c r="S2874">
        <v>5</v>
      </c>
      <c r="T2874">
        <v>0</v>
      </c>
      <c r="U2874">
        <v>7</v>
      </c>
      <c r="V2874">
        <v>8</v>
      </c>
      <c r="W2874">
        <v>7</v>
      </c>
      <c r="X2874">
        <v>106</v>
      </c>
      <c r="Y2874">
        <v>1</v>
      </c>
      <c r="Z2874">
        <v>8</v>
      </c>
      <c r="AA2874">
        <v>2</v>
      </c>
      <c r="AB2874">
        <v>9</v>
      </c>
      <c r="AD2874">
        <v>4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11</v>
      </c>
      <c r="AK2874">
        <v>245</v>
      </c>
      <c r="AL2874">
        <v>245</v>
      </c>
      <c r="AM2874">
        <v>449</v>
      </c>
      <c r="AN2874">
        <v>44</v>
      </c>
      <c r="AP2874">
        <v>1</v>
      </c>
      <c r="AR2874" t="s">
        <v>2969</v>
      </c>
      <c r="AS2874" s="1">
        <v>44354.011805555558</v>
      </c>
      <c r="AT2874" s="1">
        <v>44354.019618055558</v>
      </c>
      <c r="AU2874" s="1">
        <v>44354.020150462966</v>
      </c>
      <c r="AV2874" t="s">
        <v>71</v>
      </c>
      <c r="AW2874" t="s">
        <v>72</v>
      </c>
      <c r="AX2874" t="s">
        <v>73</v>
      </c>
    </row>
    <row r="2875" spans="1:50" x14ac:dyDescent="0.3">
      <c r="A2875" t="str">
        <f>"200570C0100"</f>
        <v>200570C0100</v>
      </c>
      <c r="B2875" t="str">
        <f>"200570C01002"</f>
        <v>200570C01002</v>
      </c>
      <c r="C2875" t="str">
        <f t="shared" si="139"/>
        <v>20</v>
      </c>
      <c r="D2875" t="s">
        <v>67</v>
      </c>
      <c r="E2875" t="str">
        <f t="shared" si="138"/>
        <v>013</v>
      </c>
      <c r="F2875" t="s">
        <v>2914</v>
      </c>
      <c r="G2875" t="str">
        <f>"0570"</f>
        <v>0570</v>
      </c>
      <c r="H2875" t="str">
        <f>"0001"</f>
        <v>0001</v>
      </c>
      <c r="I2875" t="s">
        <v>75</v>
      </c>
      <c r="J2875">
        <v>0</v>
      </c>
      <c r="K2875">
        <v>1</v>
      </c>
      <c r="L2875">
        <v>2</v>
      </c>
      <c r="M2875">
        <v>239</v>
      </c>
      <c r="N2875">
        <v>254</v>
      </c>
      <c r="O2875">
        <v>4</v>
      </c>
      <c r="P2875">
        <v>252</v>
      </c>
      <c r="Q2875">
        <v>32</v>
      </c>
      <c r="R2875">
        <v>83</v>
      </c>
      <c r="S2875">
        <v>2</v>
      </c>
      <c r="T2875">
        <v>6</v>
      </c>
      <c r="U2875">
        <v>5</v>
      </c>
      <c r="V2875">
        <v>5</v>
      </c>
      <c r="W2875">
        <v>5</v>
      </c>
      <c r="X2875">
        <v>91</v>
      </c>
      <c r="Y2875">
        <v>4</v>
      </c>
      <c r="Z2875">
        <v>4</v>
      </c>
      <c r="AA2875">
        <v>3</v>
      </c>
      <c r="AB2875">
        <v>5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1</v>
      </c>
      <c r="AJ2875">
        <v>6</v>
      </c>
      <c r="AK2875">
        <v>252</v>
      </c>
      <c r="AL2875">
        <v>252</v>
      </c>
      <c r="AM2875">
        <v>449</v>
      </c>
      <c r="AN2875">
        <v>44</v>
      </c>
      <c r="AP2875">
        <v>1</v>
      </c>
      <c r="AR2875" t="s">
        <v>2970</v>
      </c>
      <c r="AS2875" s="1">
        <v>44353.877083333333</v>
      </c>
      <c r="AT2875" s="1">
        <v>44354.025682870371</v>
      </c>
      <c r="AU2875" s="1">
        <v>44354.026620370372</v>
      </c>
      <c r="AV2875" t="s">
        <v>71</v>
      </c>
      <c r="AW2875" t="s">
        <v>72</v>
      </c>
      <c r="AX2875" t="s">
        <v>73</v>
      </c>
    </row>
    <row r="2876" spans="1:50" x14ac:dyDescent="0.3">
      <c r="A2876" t="str">
        <f>"200571B0000"</f>
        <v>200571B0000</v>
      </c>
      <c r="B2876" t="str">
        <f>"200571B00002"</f>
        <v>200571B00002</v>
      </c>
      <c r="C2876" t="str">
        <f t="shared" si="139"/>
        <v>20</v>
      </c>
      <c r="D2876" t="s">
        <v>67</v>
      </c>
      <c r="E2876" t="str">
        <f t="shared" si="138"/>
        <v>013</v>
      </c>
      <c r="F2876" t="s">
        <v>2914</v>
      </c>
      <c r="G2876" t="str">
        <f>"0571"</f>
        <v>0571</v>
      </c>
      <c r="H2876" t="str">
        <f>"0000"</f>
        <v>0000</v>
      </c>
      <c r="I2876" t="s">
        <v>69</v>
      </c>
      <c r="J2876">
        <v>0</v>
      </c>
      <c r="K2876">
        <v>1</v>
      </c>
      <c r="L2876">
        <v>2</v>
      </c>
      <c r="M2876">
        <v>284</v>
      </c>
      <c r="N2876">
        <v>372</v>
      </c>
      <c r="O2876">
        <v>1</v>
      </c>
      <c r="P2876">
        <v>372</v>
      </c>
      <c r="Q2876">
        <v>74</v>
      </c>
      <c r="R2876">
        <v>111</v>
      </c>
      <c r="S2876">
        <v>8</v>
      </c>
      <c r="T2876">
        <v>0</v>
      </c>
      <c r="U2876">
        <v>5</v>
      </c>
      <c r="V2876">
        <v>11</v>
      </c>
      <c r="W2876">
        <v>6</v>
      </c>
      <c r="X2876">
        <v>124</v>
      </c>
      <c r="Y2876">
        <v>1</v>
      </c>
      <c r="Z2876">
        <v>8</v>
      </c>
      <c r="AA2876">
        <v>2</v>
      </c>
      <c r="AB2876">
        <v>9</v>
      </c>
      <c r="AD2876">
        <v>5</v>
      </c>
      <c r="AE2876">
        <v>1</v>
      </c>
      <c r="AF2876">
        <v>0</v>
      </c>
      <c r="AG2876">
        <v>0</v>
      </c>
      <c r="AH2876">
        <v>0</v>
      </c>
      <c r="AI2876">
        <v>0</v>
      </c>
      <c r="AJ2876">
        <v>7</v>
      </c>
      <c r="AK2876">
        <v>372</v>
      </c>
      <c r="AL2876">
        <v>372</v>
      </c>
      <c r="AM2876">
        <v>612</v>
      </c>
      <c r="AN2876">
        <v>44</v>
      </c>
      <c r="AP2876">
        <v>1</v>
      </c>
      <c r="AR2876" t="s">
        <v>2971</v>
      </c>
      <c r="AS2876" s="1">
        <v>44353.947222222225</v>
      </c>
      <c r="AT2876" s="1">
        <v>44353.948923611111</v>
      </c>
      <c r="AU2876" s="1">
        <v>44353.94972222222</v>
      </c>
      <c r="AV2876" t="s">
        <v>71</v>
      </c>
      <c r="AW2876" t="s">
        <v>72</v>
      </c>
      <c r="AX2876" t="s">
        <v>73</v>
      </c>
    </row>
    <row r="2877" spans="1:50" x14ac:dyDescent="0.3">
      <c r="A2877" t="str">
        <f>"200572B0000"</f>
        <v>200572B0000</v>
      </c>
      <c r="B2877" t="str">
        <f>"200572B00002"</f>
        <v>200572B00002</v>
      </c>
      <c r="C2877" t="str">
        <f t="shared" si="139"/>
        <v>20</v>
      </c>
      <c r="D2877" t="s">
        <v>67</v>
      </c>
      <c r="E2877" t="str">
        <f t="shared" si="138"/>
        <v>013</v>
      </c>
      <c r="F2877" t="s">
        <v>2914</v>
      </c>
      <c r="G2877" t="str">
        <f>"0572"</f>
        <v>0572</v>
      </c>
      <c r="H2877" t="str">
        <f>"0000"</f>
        <v>0000</v>
      </c>
      <c r="I2877" t="s">
        <v>69</v>
      </c>
      <c r="J2877">
        <v>0</v>
      </c>
      <c r="K2877">
        <v>1</v>
      </c>
      <c r="L2877">
        <v>2</v>
      </c>
      <c r="M2877">
        <v>231</v>
      </c>
      <c r="N2877">
        <v>231</v>
      </c>
      <c r="O2877">
        <v>10</v>
      </c>
      <c r="P2877">
        <v>230</v>
      </c>
      <c r="Q2877">
        <v>55</v>
      </c>
      <c r="R2877">
        <v>52</v>
      </c>
      <c r="S2877">
        <v>6</v>
      </c>
      <c r="T2877">
        <v>4</v>
      </c>
      <c r="U2877">
        <v>5</v>
      </c>
      <c r="V2877">
        <v>4</v>
      </c>
      <c r="W2877">
        <v>3</v>
      </c>
      <c r="X2877">
        <v>73</v>
      </c>
      <c r="Y2877">
        <v>0</v>
      </c>
      <c r="Z2877">
        <v>5</v>
      </c>
      <c r="AA2877">
        <v>2</v>
      </c>
      <c r="AB2877">
        <v>8</v>
      </c>
      <c r="AD2877">
        <v>6</v>
      </c>
      <c r="AE2877">
        <v>0</v>
      </c>
      <c r="AF2877">
        <v>0</v>
      </c>
      <c r="AG2877">
        <v>0</v>
      </c>
      <c r="AH2877">
        <v>0</v>
      </c>
      <c r="AI2877">
        <v>1</v>
      </c>
      <c r="AJ2877">
        <v>6</v>
      </c>
      <c r="AK2877">
        <v>230</v>
      </c>
      <c r="AL2877">
        <v>230</v>
      </c>
      <c r="AM2877">
        <v>416</v>
      </c>
      <c r="AN2877">
        <v>44</v>
      </c>
      <c r="AP2877">
        <v>1</v>
      </c>
      <c r="AR2877" t="s">
        <v>2972</v>
      </c>
      <c r="AS2877" s="1">
        <v>44353.955555555556</v>
      </c>
      <c r="AT2877" s="1">
        <v>44353.963148148148</v>
      </c>
      <c r="AU2877" s="1">
        <v>44353.96365740741</v>
      </c>
      <c r="AV2877" t="s">
        <v>71</v>
      </c>
      <c r="AW2877" t="s">
        <v>72</v>
      </c>
      <c r="AX2877" t="s">
        <v>73</v>
      </c>
    </row>
    <row r="2878" spans="1:50" x14ac:dyDescent="0.3">
      <c r="A2878" t="str">
        <f>"200572C0100"</f>
        <v>200572C0100</v>
      </c>
      <c r="B2878" t="str">
        <f>"200572C01002"</f>
        <v>200572C01002</v>
      </c>
      <c r="C2878" t="str">
        <f t="shared" si="139"/>
        <v>20</v>
      </c>
      <c r="D2878" t="s">
        <v>67</v>
      </c>
      <c r="E2878" t="str">
        <f t="shared" si="138"/>
        <v>013</v>
      </c>
      <c r="F2878" t="s">
        <v>2914</v>
      </c>
      <c r="G2878" t="str">
        <f>"0572"</f>
        <v>0572</v>
      </c>
      <c r="H2878" t="str">
        <f>"0001"</f>
        <v>0001</v>
      </c>
      <c r="I2878" t="s">
        <v>75</v>
      </c>
      <c r="J2878">
        <v>0</v>
      </c>
      <c r="K2878">
        <v>1</v>
      </c>
      <c r="L2878">
        <v>2</v>
      </c>
      <c r="M2878">
        <v>203</v>
      </c>
      <c r="N2878">
        <v>253</v>
      </c>
      <c r="O2878">
        <v>1</v>
      </c>
      <c r="P2878">
        <v>253</v>
      </c>
      <c r="Q2878">
        <v>53</v>
      </c>
      <c r="R2878" t="s">
        <v>99</v>
      </c>
      <c r="S2878">
        <v>3</v>
      </c>
      <c r="T2878">
        <v>1</v>
      </c>
      <c r="U2878">
        <v>2</v>
      </c>
      <c r="V2878">
        <v>16</v>
      </c>
      <c r="W2878">
        <v>0</v>
      </c>
      <c r="X2878">
        <v>84</v>
      </c>
      <c r="Y2878">
        <v>3</v>
      </c>
      <c r="Z2878">
        <v>5</v>
      </c>
      <c r="AA2878">
        <v>1</v>
      </c>
      <c r="AB2878">
        <v>14</v>
      </c>
      <c r="AD2878">
        <v>1</v>
      </c>
      <c r="AE2878">
        <v>1</v>
      </c>
      <c r="AF2878">
        <v>0</v>
      </c>
      <c r="AG2878">
        <v>0</v>
      </c>
      <c r="AH2878">
        <v>0</v>
      </c>
      <c r="AI2878">
        <v>1</v>
      </c>
      <c r="AJ2878">
        <v>6</v>
      </c>
      <c r="AK2878">
        <v>253</v>
      </c>
      <c r="AL2878">
        <v>191</v>
      </c>
      <c r="AM2878">
        <v>415</v>
      </c>
      <c r="AN2878">
        <v>44</v>
      </c>
      <c r="AO2878" t="s">
        <v>78</v>
      </c>
      <c r="AP2878">
        <v>1</v>
      </c>
      <c r="AR2878" t="s">
        <v>2973</v>
      </c>
      <c r="AS2878" s="1">
        <v>44353.960416666669</v>
      </c>
      <c r="AT2878" s="1">
        <v>44353.96980324074</v>
      </c>
      <c r="AU2878" s="1">
        <v>44353.971909722219</v>
      </c>
      <c r="AV2878" t="s">
        <v>71</v>
      </c>
      <c r="AW2878" t="s">
        <v>72</v>
      </c>
      <c r="AX2878" t="s">
        <v>73</v>
      </c>
    </row>
    <row r="2879" spans="1:50" x14ac:dyDescent="0.3">
      <c r="A2879" t="str">
        <f>"200573B0000"</f>
        <v>200573B0000</v>
      </c>
      <c r="B2879" t="str">
        <f>"200573B00002"</f>
        <v>200573B00002</v>
      </c>
      <c r="C2879" t="str">
        <f t="shared" si="139"/>
        <v>20</v>
      </c>
      <c r="D2879" t="s">
        <v>67</v>
      </c>
      <c r="E2879" t="str">
        <f t="shared" si="138"/>
        <v>013</v>
      </c>
      <c r="F2879" t="s">
        <v>2914</v>
      </c>
      <c r="G2879" t="str">
        <f>"0573"</f>
        <v>0573</v>
      </c>
      <c r="H2879" t="str">
        <f>"0000"</f>
        <v>0000</v>
      </c>
      <c r="I2879" t="s">
        <v>69</v>
      </c>
      <c r="J2879">
        <v>0</v>
      </c>
      <c r="K2879">
        <v>1</v>
      </c>
      <c r="L2879">
        <v>2</v>
      </c>
      <c r="M2879">
        <v>219</v>
      </c>
      <c r="N2879">
        <v>235</v>
      </c>
      <c r="O2879">
        <v>9</v>
      </c>
      <c r="P2879">
        <v>235</v>
      </c>
      <c r="Q2879">
        <v>45</v>
      </c>
      <c r="R2879">
        <v>65</v>
      </c>
      <c r="S2879">
        <v>1</v>
      </c>
      <c r="T2879">
        <v>1</v>
      </c>
      <c r="U2879">
        <v>4</v>
      </c>
      <c r="V2879">
        <v>10</v>
      </c>
      <c r="W2879">
        <v>5</v>
      </c>
      <c r="X2879">
        <v>78</v>
      </c>
      <c r="Y2879">
        <v>2</v>
      </c>
      <c r="Z2879">
        <v>2</v>
      </c>
      <c r="AA2879">
        <v>3</v>
      </c>
      <c r="AB2879">
        <v>2</v>
      </c>
      <c r="AD2879">
        <v>3</v>
      </c>
      <c r="AE2879">
        <v>1</v>
      </c>
      <c r="AF2879">
        <v>0</v>
      </c>
      <c r="AG2879">
        <v>0</v>
      </c>
      <c r="AH2879">
        <v>0</v>
      </c>
      <c r="AI2879">
        <v>0</v>
      </c>
      <c r="AJ2879">
        <v>7</v>
      </c>
      <c r="AK2879">
        <v>229</v>
      </c>
      <c r="AL2879">
        <v>229</v>
      </c>
      <c r="AM2879">
        <v>404</v>
      </c>
      <c r="AN2879">
        <v>44</v>
      </c>
      <c r="AP2879">
        <v>1</v>
      </c>
      <c r="AR2879" t="s">
        <v>2974</v>
      </c>
      <c r="AS2879" s="1">
        <v>44354.086111111108</v>
      </c>
      <c r="AT2879" s="1">
        <v>44354.098738425928</v>
      </c>
      <c r="AU2879" s="1">
        <v>44354.099421296298</v>
      </c>
      <c r="AV2879" t="s">
        <v>71</v>
      </c>
      <c r="AW2879" t="s">
        <v>72</v>
      </c>
      <c r="AX2879" t="s">
        <v>73</v>
      </c>
    </row>
    <row r="2880" spans="1:50" x14ac:dyDescent="0.3">
      <c r="A2880" t="str">
        <f>"200573C0100"</f>
        <v>200573C0100</v>
      </c>
      <c r="B2880" t="str">
        <f>"200573C01002"</f>
        <v>200573C01002</v>
      </c>
      <c r="C2880" t="str">
        <f t="shared" si="139"/>
        <v>20</v>
      </c>
      <c r="D2880" t="s">
        <v>67</v>
      </c>
      <c r="E2880" t="str">
        <f t="shared" si="138"/>
        <v>013</v>
      </c>
      <c r="F2880" t="s">
        <v>2914</v>
      </c>
      <c r="G2880" t="str">
        <f>"0573"</f>
        <v>0573</v>
      </c>
      <c r="H2880" t="str">
        <f>"0001"</f>
        <v>0001</v>
      </c>
      <c r="I2880" t="s">
        <v>75</v>
      </c>
      <c r="J2880">
        <v>0</v>
      </c>
      <c r="K2880">
        <v>1</v>
      </c>
      <c r="L2880">
        <v>2</v>
      </c>
      <c r="M2880">
        <v>219</v>
      </c>
      <c r="N2880">
        <v>229</v>
      </c>
      <c r="O2880">
        <v>3</v>
      </c>
      <c r="P2880">
        <v>229</v>
      </c>
      <c r="Q2880">
        <v>48</v>
      </c>
      <c r="R2880">
        <v>63</v>
      </c>
      <c r="S2880">
        <v>0</v>
      </c>
      <c r="T2880">
        <v>2</v>
      </c>
      <c r="U2880">
        <v>4</v>
      </c>
      <c r="V2880">
        <v>12</v>
      </c>
      <c r="W2880">
        <v>0</v>
      </c>
      <c r="X2880">
        <v>80</v>
      </c>
      <c r="Y2880">
        <v>3</v>
      </c>
      <c r="Z2880">
        <v>3</v>
      </c>
      <c r="AA2880">
        <v>0</v>
      </c>
      <c r="AB2880">
        <v>3</v>
      </c>
      <c r="AD2880">
        <v>2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9</v>
      </c>
      <c r="AK2880">
        <v>229</v>
      </c>
      <c r="AL2880">
        <v>229</v>
      </c>
      <c r="AM2880">
        <v>404</v>
      </c>
      <c r="AN2880">
        <v>44</v>
      </c>
      <c r="AP2880">
        <v>1</v>
      </c>
      <c r="AR2880" t="s">
        <v>2975</v>
      </c>
      <c r="AS2880" s="1">
        <v>44354.09652777778</v>
      </c>
      <c r="AT2880" s="1">
        <v>44354.109050925923</v>
      </c>
      <c r="AU2880" s="1">
        <v>44354.109791666669</v>
      </c>
      <c r="AV2880" t="s">
        <v>71</v>
      </c>
      <c r="AW2880" t="s">
        <v>72</v>
      </c>
      <c r="AX2880" t="s">
        <v>73</v>
      </c>
    </row>
    <row r="2881" spans="1:50" x14ac:dyDescent="0.3">
      <c r="A2881" t="str">
        <f>"200574B0000"</f>
        <v>200574B0000</v>
      </c>
      <c r="B2881" t="str">
        <f>"200574B00002"</f>
        <v>200574B00002</v>
      </c>
      <c r="C2881" t="str">
        <f t="shared" si="139"/>
        <v>20</v>
      </c>
      <c r="D2881" t="s">
        <v>67</v>
      </c>
      <c r="E2881" t="str">
        <f t="shared" si="138"/>
        <v>013</v>
      </c>
      <c r="F2881" t="s">
        <v>2914</v>
      </c>
      <c r="G2881" t="str">
        <f>"0574"</f>
        <v>0574</v>
      </c>
      <c r="H2881" t="str">
        <f>"0000"</f>
        <v>0000</v>
      </c>
      <c r="I2881" t="s">
        <v>69</v>
      </c>
      <c r="J2881">
        <v>0</v>
      </c>
      <c r="K2881">
        <v>1</v>
      </c>
      <c r="L2881">
        <v>2</v>
      </c>
      <c r="M2881">
        <v>376</v>
      </c>
      <c r="N2881">
        <v>319</v>
      </c>
      <c r="O2881">
        <v>0</v>
      </c>
      <c r="P2881">
        <v>319</v>
      </c>
      <c r="Q2881">
        <v>32</v>
      </c>
      <c r="R2881">
        <v>69</v>
      </c>
      <c r="S2881">
        <v>3</v>
      </c>
      <c r="T2881">
        <v>3</v>
      </c>
      <c r="U2881">
        <v>5</v>
      </c>
      <c r="V2881">
        <v>8</v>
      </c>
      <c r="W2881">
        <v>5</v>
      </c>
      <c r="X2881">
        <v>164</v>
      </c>
      <c r="Y2881">
        <v>3</v>
      </c>
      <c r="Z2881">
        <v>6</v>
      </c>
      <c r="AA2881">
        <v>1</v>
      </c>
      <c r="AB2881">
        <v>5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1</v>
      </c>
      <c r="AJ2881">
        <v>14</v>
      </c>
      <c r="AK2881">
        <v>319</v>
      </c>
      <c r="AL2881">
        <v>319</v>
      </c>
      <c r="AM2881">
        <v>651</v>
      </c>
      <c r="AN2881">
        <v>44</v>
      </c>
      <c r="AP2881">
        <v>1</v>
      </c>
      <c r="AR2881" t="s">
        <v>2976</v>
      </c>
      <c r="AS2881" s="1">
        <v>44354.090277777781</v>
      </c>
      <c r="AT2881" s="1">
        <v>44354.107465277775</v>
      </c>
      <c r="AU2881" s="1">
        <v>44354.108032407406</v>
      </c>
      <c r="AV2881" t="s">
        <v>71</v>
      </c>
      <c r="AW2881" t="s">
        <v>72</v>
      </c>
      <c r="AX2881" t="s">
        <v>73</v>
      </c>
    </row>
    <row r="2882" spans="1:50" x14ac:dyDescent="0.3">
      <c r="A2882" t="str">
        <f>"200574C0100"</f>
        <v>200574C0100</v>
      </c>
      <c r="B2882" t="str">
        <f>"200574C01002"</f>
        <v>200574C01002</v>
      </c>
      <c r="C2882" t="str">
        <f t="shared" si="139"/>
        <v>20</v>
      </c>
      <c r="D2882" t="s">
        <v>67</v>
      </c>
      <c r="E2882" t="str">
        <f t="shared" si="138"/>
        <v>013</v>
      </c>
      <c r="F2882" t="s">
        <v>2914</v>
      </c>
      <c r="G2882" t="str">
        <f>"0574"</f>
        <v>0574</v>
      </c>
      <c r="H2882" t="str">
        <f>"0001"</f>
        <v>0001</v>
      </c>
      <c r="I2882" t="s">
        <v>75</v>
      </c>
      <c r="J2882">
        <v>0</v>
      </c>
      <c r="K2882">
        <v>1</v>
      </c>
      <c r="L2882">
        <v>2</v>
      </c>
      <c r="M2882">
        <v>384</v>
      </c>
      <c r="N2882">
        <v>311</v>
      </c>
      <c r="O2882">
        <v>0</v>
      </c>
      <c r="P2882">
        <v>311</v>
      </c>
      <c r="Q2882">
        <v>29</v>
      </c>
      <c r="R2882">
        <v>61</v>
      </c>
      <c r="S2882">
        <v>4</v>
      </c>
      <c r="T2882">
        <v>3</v>
      </c>
      <c r="U2882">
        <v>11</v>
      </c>
      <c r="V2882">
        <v>14</v>
      </c>
      <c r="W2882">
        <v>6</v>
      </c>
      <c r="X2882">
        <v>149</v>
      </c>
      <c r="Y2882">
        <v>4</v>
      </c>
      <c r="Z2882">
        <v>4</v>
      </c>
      <c r="AA2882">
        <v>5</v>
      </c>
      <c r="AB2882">
        <v>4</v>
      </c>
      <c r="AD2882">
        <v>3</v>
      </c>
      <c r="AE2882">
        <v>1</v>
      </c>
      <c r="AF2882">
        <v>0</v>
      </c>
      <c r="AG2882">
        <v>0</v>
      </c>
      <c r="AH2882">
        <v>0</v>
      </c>
      <c r="AI2882">
        <v>0</v>
      </c>
      <c r="AJ2882">
        <v>13</v>
      </c>
      <c r="AK2882">
        <v>311</v>
      </c>
      <c r="AL2882">
        <v>311</v>
      </c>
      <c r="AM2882">
        <v>651</v>
      </c>
      <c r="AN2882">
        <v>44</v>
      </c>
      <c r="AP2882">
        <v>1</v>
      </c>
      <c r="AR2882" t="s">
        <v>2977</v>
      </c>
      <c r="AS2882" s="1">
        <v>44354.09375</v>
      </c>
      <c r="AT2882" s="1">
        <v>44354.105810185189</v>
      </c>
      <c r="AU2882" s="1">
        <v>44354.106944444444</v>
      </c>
      <c r="AV2882" t="s">
        <v>71</v>
      </c>
      <c r="AW2882" t="s">
        <v>72</v>
      </c>
      <c r="AX2882" t="s">
        <v>73</v>
      </c>
    </row>
    <row r="2883" spans="1:50" x14ac:dyDescent="0.3">
      <c r="A2883" t="str">
        <f>"200575B0000"</f>
        <v>200575B0000</v>
      </c>
      <c r="B2883" t="str">
        <f>"200575B00002"</f>
        <v>200575B00002</v>
      </c>
      <c r="C2883" t="str">
        <f t="shared" si="139"/>
        <v>20</v>
      </c>
      <c r="D2883" t="s">
        <v>67</v>
      </c>
      <c r="E2883" t="str">
        <f t="shared" si="138"/>
        <v>013</v>
      </c>
      <c r="F2883" t="s">
        <v>2914</v>
      </c>
      <c r="G2883" t="str">
        <f>"0575"</f>
        <v>0575</v>
      </c>
      <c r="H2883" t="str">
        <f>"0000"</f>
        <v>0000</v>
      </c>
      <c r="I2883" t="s">
        <v>69</v>
      </c>
      <c r="J2883">
        <v>0</v>
      </c>
      <c r="K2883">
        <v>1</v>
      </c>
      <c r="L2883">
        <v>2</v>
      </c>
      <c r="M2883">
        <v>432</v>
      </c>
      <c r="N2883">
        <v>310</v>
      </c>
      <c r="O2883">
        <v>9</v>
      </c>
      <c r="P2883">
        <v>310</v>
      </c>
      <c r="Q2883">
        <v>15</v>
      </c>
      <c r="R2883">
        <v>70</v>
      </c>
      <c r="S2883">
        <v>4</v>
      </c>
      <c r="T2883">
        <v>3</v>
      </c>
      <c r="U2883">
        <v>4</v>
      </c>
      <c r="V2883">
        <v>11</v>
      </c>
      <c r="W2883">
        <v>5</v>
      </c>
      <c r="X2883">
        <v>168</v>
      </c>
      <c r="Y2883">
        <v>4</v>
      </c>
      <c r="Z2883">
        <v>3</v>
      </c>
      <c r="AA2883">
        <v>6</v>
      </c>
      <c r="AB2883">
        <v>2</v>
      </c>
      <c r="AD2883">
        <v>3</v>
      </c>
      <c r="AE2883">
        <v>1</v>
      </c>
      <c r="AF2883">
        <v>0</v>
      </c>
      <c r="AG2883">
        <v>0</v>
      </c>
      <c r="AH2883">
        <v>0</v>
      </c>
      <c r="AI2883">
        <v>0</v>
      </c>
      <c r="AJ2883">
        <v>11</v>
      </c>
      <c r="AK2883">
        <v>310</v>
      </c>
      <c r="AL2883">
        <v>310</v>
      </c>
      <c r="AM2883">
        <v>698</v>
      </c>
      <c r="AN2883">
        <v>44</v>
      </c>
      <c r="AP2883">
        <v>1</v>
      </c>
      <c r="AR2883" t="s">
        <v>2978</v>
      </c>
      <c r="AS2883" s="1">
        <v>44354.11041666667</v>
      </c>
      <c r="AT2883" s="1">
        <v>44354.127638888887</v>
      </c>
      <c r="AU2883" s="1">
        <v>44354.128854166665</v>
      </c>
      <c r="AV2883" t="s">
        <v>71</v>
      </c>
      <c r="AW2883" t="s">
        <v>72</v>
      </c>
      <c r="AX2883" t="s">
        <v>73</v>
      </c>
    </row>
    <row r="2884" spans="1:50" x14ac:dyDescent="0.3">
      <c r="A2884" t="str">
        <f>"200575C0100"</f>
        <v>200575C0100</v>
      </c>
      <c r="B2884" t="str">
        <f>"200575C01002"</f>
        <v>200575C01002</v>
      </c>
      <c r="C2884" t="str">
        <f t="shared" si="139"/>
        <v>20</v>
      </c>
      <c r="D2884" t="s">
        <v>67</v>
      </c>
      <c r="E2884" t="str">
        <f t="shared" ref="E2884:E2947" si="140">"013"</f>
        <v>013</v>
      </c>
      <c r="F2884" t="s">
        <v>2914</v>
      </c>
      <c r="G2884" t="str">
        <f>"0575"</f>
        <v>0575</v>
      </c>
      <c r="H2884" t="str">
        <f>"0001"</f>
        <v>0001</v>
      </c>
      <c r="I2884" t="s">
        <v>75</v>
      </c>
      <c r="J2884">
        <v>0</v>
      </c>
      <c r="K2884">
        <v>1</v>
      </c>
      <c r="L2884">
        <v>2</v>
      </c>
      <c r="M2884">
        <v>451</v>
      </c>
      <c r="N2884">
        <v>290</v>
      </c>
      <c r="O2884">
        <v>8</v>
      </c>
      <c r="P2884">
        <v>290</v>
      </c>
      <c r="Q2884">
        <v>11</v>
      </c>
      <c r="R2884">
        <v>63</v>
      </c>
      <c r="S2884">
        <v>5</v>
      </c>
      <c r="T2884">
        <v>4</v>
      </c>
      <c r="U2884">
        <v>8</v>
      </c>
      <c r="V2884">
        <v>7</v>
      </c>
      <c r="W2884">
        <v>3</v>
      </c>
      <c r="X2884">
        <v>161</v>
      </c>
      <c r="Y2884">
        <v>5</v>
      </c>
      <c r="Z2884">
        <v>7</v>
      </c>
      <c r="AA2884">
        <v>4</v>
      </c>
      <c r="AB2884">
        <v>2</v>
      </c>
      <c r="AD2884">
        <v>1</v>
      </c>
      <c r="AE2884">
        <v>1</v>
      </c>
      <c r="AF2884">
        <v>0</v>
      </c>
      <c r="AG2884">
        <v>0</v>
      </c>
      <c r="AH2884">
        <v>1</v>
      </c>
      <c r="AI2884">
        <v>1</v>
      </c>
      <c r="AJ2884">
        <v>6</v>
      </c>
      <c r="AK2884">
        <v>290</v>
      </c>
      <c r="AL2884">
        <v>290</v>
      </c>
      <c r="AM2884">
        <v>697</v>
      </c>
      <c r="AN2884">
        <v>44</v>
      </c>
      <c r="AP2884">
        <v>1</v>
      </c>
      <c r="AR2884" t="s">
        <v>2979</v>
      </c>
      <c r="AS2884" s="1">
        <v>44354.102777777778</v>
      </c>
      <c r="AT2884" s="1">
        <v>44354.119120370371</v>
      </c>
      <c r="AU2884" s="1">
        <v>44354.119930555556</v>
      </c>
      <c r="AV2884" t="s">
        <v>71</v>
      </c>
      <c r="AW2884" t="s">
        <v>72</v>
      </c>
      <c r="AX2884" t="s">
        <v>73</v>
      </c>
    </row>
    <row r="2885" spans="1:50" x14ac:dyDescent="0.3">
      <c r="A2885" t="str">
        <f>"200576B0000"</f>
        <v>200576B0000</v>
      </c>
      <c r="B2885" t="str">
        <f>"200576B00002"</f>
        <v>200576B00002</v>
      </c>
      <c r="C2885" t="str">
        <f t="shared" si="139"/>
        <v>20</v>
      </c>
      <c r="D2885" t="s">
        <v>67</v>
      </c>
      <c r="E2885" t="str">
        <f t="shared" si="140"/>
        <v>013</v>
      </c>
      <c r="F2885" t="s">
        <v>2914</v>
      </c>
      <c r="G2885" t="str">
        <f>"0576"</f>
        <v>0576</v>
      </c>
      <c r="H2885" t="str">
        <f>"0000"</f>
        <v>0000</v>
      </c>
      <c r="I2885" t="s">
        <v>69</v>
      </c>
      <c r="J2885">
        <v>0</v>
      </c>
      <c r="K2885">
        <v>1</v>
      </c>
      <c r="L2885">
        <v>2</v>
      </c>
      <c r="M2885">
        <v>355</v>
      </c>
      <c r="N2885">
        <v>282</v>
      </c>
      <c r="O2885">
        <v>5</v>
      </c>
      <c r="P2885">
        <v>282</v>
      </c>
      <c r="Q2885">
        <v>19</v>
      </c>
      <c r="R2885">
        <v>63</v>
      </c>
      <c r="S2885">
        <v>2</v>
      </c>
      <c r="T2885">
        <v>3</v>
      </c>
      <c r="U2885">
        <v>7</v>
      </c>
      <c r="V2885">
        <v>5</v>
      </c>
      <c r="W2885">
        <v>2</v>
      </c>
      <c r="X2885">
        <v>156</v>
      </c>
      <c r="Y2885">
        <v>3</v>
      </c>
      <c r="Z2885">
        <v>4</v>
      </c>
      <c r="AA2885">
        <v>6</v>
      </c>
      <c r="AB2885">
        <v>3</v>
      </c>
      <c r="AD2885" t="s">
        <v>99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7</v>
      </c>
      <c r="AK2885" t="s">
        <v>99</v>
      </c>
      <c r="AL2885">
        <v>280</v>
      </c>
      <c r="AM2885">
        <v>593</v>
      </c>
      <c r="AN2885">
        <v>44</v>
      </c>
      <c r="AO2885" t="s">
        <v>78</v>
      </c>
      <c r="AP2885">
        <v>1</v>
      </c>
      <c r="AR2885" t="s">
        <v>2980</v>
      </c>
      <c r="AS2885" s="1">
        <v>44353.999305555553</v>
      </c>
      <c r="AT2885" s="1">
        <v>44354.05296296296</v>
      </c>
      <c r="AU2885" s="1">
        <v>44354.054942129631</v>
      </c>
      <c r="AV2885" t="s">
        <v>71</v>
      </c>
      <c r="AW2885" t="s">
        <v>72</v>
      </c>
      <c r="AX2885" t="s">
        <v>73</v>
      </c>
    </row>
    <row r="2886" spans="1:50" x14ac:dyDescent="0.3">
      <c r="A2886" t="str">
        <f>"200576C0100"</f>
        <v>200576C0100</v>
      </c>
      <c r="B2886" t="str">
        <f>"200576C01002"</f>
        <v>200576C01002</v>
      </c>
      <c r="C2886" t="str">
        <f t="shared" si="139"/>
        <v>20</v>
      </c>
      <c r="D2886" t="s">
        <v>67</v>
      </c>
      <c r="E2886" t="str">
        <f t="shared" si="140"/>
        <v>013</v>
      </c>
      <c r="F2886" t="s">
        <v>2914</v>
      </c>
      <c r="G2886" t="str">
        <f>"0576"</f>
        <v>0576</v>
      </c>
      <c r="H2886" t="str">
        <f>"0001"</f>
        <v>0001</v>
      </c>
      <c r="I2886" t="s">
        <v>75</v>
      </c>
      <c r="J2886">
        <v>0</v>
      </c>
      <c r="K2886">
        <v>1</v>
      </c>
      <c r="L2886">
        <v>2</v>
      </c>
      <c r="M2886">
        <v>353</v>
      </c>
      <c r="N2886">
        <v>284</v>
      </c>
      <c r="O2886">
        <v>10</v>
      </c>
      <c r="P2886">
        <v>0</v>
      </c>
      <c r="Q2886">
        <v>12</v>
      </c>
      <c r="R2886">
        <v>62</v>
      </c>
      <c r="S2886">
        <v>6</v>
      </c>
      <c r="T2886">
        <v>5</v>
      </c>
      <c r="U2886">
        <v>6</v>
      </c>
      <c r="V2886">
        <v>3</v>
      </c>
      <c r="W2886">
        <v>1</v>
      </c>
      <c r="X2886">
        <v>167</v>
      </c>
      <c r="Y2886">
        <v>1</v>
      </c>
      <c r="Z2886">
        <v>7</v>
      </c>
      <c r="AA2886">
        <v>2</v>
      </c>
      <c r="AB2886">
        <v>4</v>
      </c>
      <c r="AD2886">
        <v>0</v>
      </c>
      <c r="AE2886">
        <v>1</v>
      </c>
      <c r="AF2886">
        <v>0</v>
      </c>
      <c r="AG2886">
        <v>0</v>
      </c>
      <c r="AH2886">
        <v>0</v>
      </c>
      <c r="AI2886">
        <v>0</v>
      </c>
      <c r="AJ2886">
        <v>7</v>
      </c>
      <c r="AK2886">
        <v>284</v>
      </c>
      <c r="AL2886">
        <v>284</v>
      </c>
      <c r="AM2886">
        <v>593</v>
      </c>
      <c r="AN2886">
        <v>44</v>
      </c>
      <c r="AP2886">
        <v>1</v>
      </c>
      <c r="AR2886" t="s">
        <v>2981</v>
      </c>
      <c r="AS2886" s="1">
        <v>44354.042361111111</v>
      </c>
      <c r="AT2886" s="1">
        <v>44354.054108796299</v>
      </c>
      <c r="AU2886" s="1">
        <v>44354.054710648146</v>
      </c>
      <c r="AV2886" t="s">
        <v>71</v>
      </c>
      <c r="AW2886" t="s">
        <v>72</v>
      </c>
      <c r="AX2886" t="s">
        <v>73</v>
      </c>
    </row>
    <row r="2887" spans="1:50" x14ac:dyDescent="0.3">
      <c r="A2887" t="str">
        <f>"200576C0200"</f>
        <v>200576C0200</v>
      </c>
      <c r="B2887" t="str">
        <f>"200576C02002"</f>
        <v>200576C02002</v>
      </c>
      <c r="C2887" t="str">
        <f t="shared" ref="C2887:C2950" si="141">"20"</f>
        <v>20</v>
      </c>
      <c r="D2887" t="s">
        <v>67</v>
      </c>
      <c r="E2887" t="str">
        <f t="shared" si="140"/>
        <v>013</v>
      </c>
      <c r="F2887" t="s">
        <v>2914</v>
      </c>
      <c r="G2887" t="str">
        <f>"0576"</f>
        <v>0576</v>
      </c>
      <c r="H2887" t="str">
        <f>"0002"</f>
        <v>0002</v>
      </c>
      <c r="I2887" t="s">
        <v>75</v>
      </c>
      <c r="J2887">
        <v>0</v>
      </c>
      <c r="K2887">
        <v>1</v>
      </c>
      <c r="L2887">
        <v>2</v>
      </c>
      <c r="M2887">
        <v>337</v>
      </c>
      <c r="N2887">
        <v>299</v>
      </c>
      <c r="O2887">
        <v>7</v>
      </c>
      <c r="P2887">
        <v>299</v>
      </c>
      <c r="Q2887">
        <v>16</v>
      </c>
      <c r="R2887">
        <v>60</v>
      </c>
      <c r="S2887">
        <v>1</v>
      </c>
      <c r="T2887">
        <v>1</v>
      </c>
      <c r="U2887">
        <v>7</v>
      </c>
      <c r="V2887">
        <v>15</v>
      </c>
      <c r="W2887">
        <v>3</v>
      </c>
      <c r="X2887">
        <v>160</v>
      </c>
      <c r="Y2887">
        <v>5</v>
      </c>
      <c r="Z2887">
        <v>13</v>
      </c>
      <c r="AA2887">
        <v>1</v>
      </c>
      <c r="AB2887">
        <v>7</v>
      </c>
      <c r="AD2887">
        <v>3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7</v>
      </c>
      <c r="AK2887">
        <v>299</v>
      </c>
      <c r="AL2887">
        <v>299</v>
      </c>
      <c r="AM2887">
        <v>592</v>
      </c>
      <c r="AN2887">
        <v>44</v>
      </c>
      <c r="AP2887">
        <v>1</v>
      </c>
      <c r="AR2887" t="s">
        <v>2982</v>
      </c>
      <c r="AS2887" s="1">
        <v>44354.044444444444</v>
      </c>
      <c r="AT2887" s="1">
        <v>44354.056122685186</v>
      </c>
      <c r="AU2887" s="1">
        <v>44354.056516203702</v>
      </c>
      <c r="AV2887" t="s">
        <v>71</v>
      </c>
      <c r="AW2887" t="s">
        <v>72</v>
      </c>
      <c r="AX2887" t="s">
        <v>73</v>
      </c>
    </row>
    <row r="2888" spans="1:50" x14ac:dyDescent="0.3">
      <c r="A2888" t="str">
        <f>"200577B0000"</f>
        <v>200577B0000</v>
      </c>
      <c r="B2888" t="str">
        <f>"200577B00002"</f>
        <v>200577B00002</v>
      </c>
      <c r="C2888" t="str">
        <f t="shared" si="141"/>
        <v>20</v>
      </c>
      <c r="D2888" t="s">
        <v>67</v>
      </c>
      <c r="E2888" t="str">
        <f t="shared" si="140"/>
        <v>013</v>
      </c>
      <c r="F2888" t="s">
        <v>2914</v>
      </c>
      <c r="G2888" t="str">
        <f>"0577"</f>
        <v>0577</v>
      </c>
      <c r="H2888" t="str">
        <f>"0000"</f>
        <v>0000</v>
      </c>
      <c r="I2888" t="s">
        <v>69</v>
      </c>
      <c r="J2888">
        <v>0</v>
      </c>
      <c r="K2888">
        <v>1</v>
      </c>
      <c r="L2888">
        <v>2</v>
      </c>
      <c r="M2888">
        <v>429</v>
      </c>
      <c r="N2888">
        <v>362</v>
      </c>
      <c r="O2888">
        <v>5</v>
      </c>
      <c r="P2888">
        <v>362</v>
      </c>
      <c r="Q2888">
        <v>17</v>
      </c>
      <c r="R2888">
        <v>79</v>
      </c>
      <c r="S2888">
        <v>1</v>
      </c>
      <c r="T2888">
        <v>1</v>
      </c>
      <c r="U2888">
        <v>6</v>
      </c>
      <c r="V2888">
        <v>14</v>
      </c>
      <c r="W2888">
        <v>3</v>
      </c>
      <c r="X2888">
        <v>189</v>
      </c>
      <c r="Y2888">
        <v>10</v>
      </c>
      <c r="Z2888">
        <v>13</v>
      </c>
      <c r="AA2888">
        <v>6</v>
      </c>
      <c r="AB2888">
        <v>8</v>
      </c>
      <c r="AD2888">
        <v>4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11</v>
      </c>
      <c r="AK2888">
        <v>362</v>
      </c>
      <c r="AL2888">
        <v>362</v>
      </c>
      <c r="AM2888">
        <v>747</v>
      </c>
      <c r="AN2888">
        <v>44</v>
      </c>
      <c r="AP2888">
        <v>1</v>
      </c>
      <c r="AR2888" t="s">
        <v>2983</v>
      </c>
      <c r="AS2888" s="1">
        <v>44354.036805555559</v>
      </c>
      <c r="AT2888" s="1">
        <v>44354.050520833334</v>
      </c>
      <c r="AU2888" s="1">
        <v>44354.051053240742</v>
      </c>
      <c r="AV2888" t="s">
        <v>71</v>
      </c>
      <c r="AW2888" t="s">
        <v>72</v>
      </c>
      <c r="AX2888" t="s">
        <v>73</v>
      </c>
    </row>
    <row r="2889" spans="1:50" x14ac:dyDescent="0.3">
      <c r="A2889" t="str">
        <f>"200577C0100"</f>
        <v>200577C0100</v>
      </c>
      <c r="B2889" t="str">
        <f>"200577C01002"</f>
        <v>200577C01002</v>
      </c>
      <c r="C2889" t="str">
        <f t="shared" si="141"/>
        <v>20</v>
      </c>
      <c r="D2889" t="s">
        <v>67</v>
      </c>
      <c r="E2889" t="str">
        <f t="shared" si="140"/>
        <v>013</v>
      </c>
      <c r="F2889" t="s">
        <v>2914</v>
      </c>
      <c r="G2889" t="str">
        <f>"0577"</f>
        <v>0577</v>
      </c>
      <c r="H2889" t="str">
        <f>"0001"</f>
        <v>0001</v>
      </c>
      <c r="I2889" t="s">
        <v>75</v>
      </c>
      <c r="J2889">
        <v>0</v>
      </c>
      <c r="K2889">
        <v>1</v>
      </c>
      <c r="L2889">
        <v>2</v>
      </c>
      <c r="M2889">
        <v>440</v>
      </c>
      <c r="N2889">
        <v>350</v>
      </c>
      <c r="O2889">
        <v>7</v>
      </c>
      <c r="P2889" t="s">
        <v>80</v>
      </c>
      <c r="Q2889">
        <v>10</v>
      </c>
      <c r="R2889">
        <v>71</v>
      </c>
      <c r="S2889">
        <v>2</v>
      </c>
      <c r="T2889">
        <v>2</v>
      </c>
      <c r="U2889">
        <v>12</v>
      </c>
      <c r="V2889">
        <v>9</v>
      </c>
      <c r="W2889">
        <v>4</v>
      </c>
      <c r="X2889">
        <v>194</v>
      </c>
      <c r="Y2889">
        <v>3</v>
      </c>
      <c r="Z2889">
        <v>14</v>
      </c>
      <c r="AA2889">
        <v>3</v>
      </c>
      <c r="AB2889">
        <v>13</v>
      </c>
      <c r="AD2889">
        <v>0</v>
      </c>
      <c r="AE2889">
        <v>1</v>
      </c>
      <c r="AF2889">
        <v>0</v>
      </c>
      <c r="AG2889">
        <v>0</v>
      </c>
      <c r="AH2889">
        <v>0</v>
      </c>
      <c r="AI2889">
        <v>0</v>
      </c>
      <c r="AJ2889">
        <v>1</v>
      </c>
      <c r="AK2889">
        <v>350</v>
      </c>
      <c r="AL2889">
        <v>339</v>
      </c>
      <c r="AM2889">
        <v>746</v>
      </c>
      <c r="AN2889">
        <v>44</v>
      </c>
      <c r="AP2889">
        <v>1</v>
      </c>
      <c r="AR2889" t="s">
        <v>2984</v>
      </c>
      <c r="AS2889" s="1">
        <v>44354.034722222219</v>
      </c>
      <c r="AT2889" s="1">
        <v>44354.049409722225</v>
      </c>
      <c r="AU2889" s="1">
        <v>44354.049988425926</v>
      </c>
      <c r="AV2889" t="s">
        <v>71</v>
      </c>
      <c r="AW2889" t="s">
        <v>72</v>
      </c>
      <c r="AX2889" t="s">
        <v>73</v>
      </c>
    </row>
    <row r="2890" spans="1:50" x14ac:dyDescent="0.3">
      <c r="A2890" t="str">
        <f>"200578B0000"</f>
        <v>200578B0000</v>
      </c>
      <c r="B2890" t="str">
        <f>"200578B00002"</f>
        <v>200578B00002</v>
      </c>
      <c r="C2890" t="str">
        <f t="shared" si="141"/>
        <v>20</v>
      </c>
      <c r="D2890" t="s">
        <v>67</v>
      </c>
      <c r="E2890" t="str">
        <f t="shared" si="140"/>
        <v>013</v>
      </c>
      <c r="F2890" t="s">
        <v>2914</v>
      </c>
      <c r="G2890" t="str">
        <f>"0578"</f>
        <v>0578</v>
      </c>
      <c r="H2890" t="str">
        <f>"0000"</f>
        <v>0000</v>
      </c>
      <c r="I2890" t="s">
        <v>69</v>
      </c>
      <c r="J2890">
        <v>0</v>
      </c>
      <c r="K2890">
        <v>1</v>
      </c>
      <c r="L2890">
        <v>2</v>
      </c>
      <c r="M2890">
        <v>459</v>
      </c>
      <c r="N2890">
        <v>303</v>
      </c>
      <c r="O2890">
        <v>7</v>
      </c>
      <c r="P2890">
        <v>304</v>
      </c>
      <c r="Q2890">
        <v>19</v>
      </c>
      <c r="R2890">
        <v>67</v>
      </c>
      <c r="S2890">
        <v>1</v>
      </c>
      <c r="T2890">
        <v>1</v>
      </c>
      <c r="U2890">
        <v>13</v>
      </c>
      <c r="V2890">
        <v>8</v>
      </c>
      <c r="W2890">
        <v>3</v>
      </c>
      <c r="X2890">
        <v>150</v>
      </c>
      <c r="Y2890">
        <v>4</v>
      </c>
      <c r="Z2890">
        <v>18</v>
      </c>
      <c r="AA2890">
        <v>6</v>
      </c>
      <c r="AB2890">
        <v>4</v>
      </c>
      <c r="AD2890">
        <v>1</v>
      </c>
      <c r="AE2890">
        <v>1</v>
      </c>
      <c r="AF2890">
        <v>0</v>
      </c>
      <c r="AG2890">
        <v>0</v>
      </c>
      <c r="AH2890">
        <v>0</v>
      </c>
      <c r="AI2890">
        <v>0</v>
      </c>
      <c r="AJ2890">
        <v>13</v>
      </c>
      <c r="AK2890">
        <v>304</v>
      </c>
      <c r="AL2890">
        <v>309</v>
      </c>
      <c r="AM2890">
        <v>718</v>
      </c>
      <c r="AN2890">
        <v>44</v>
      </c>
      <c r="AP2890">
        <v>1</v>
      </c>
      <c r="AR2890" t="s">
        <v>2985</v>
      </c>
      <c r="AS2890" s="1">
        <v>44354.038888888892</v>
      </c>
      <c r="AT2890" s="1">
        <v>44354.05190972222</v>
      </c>
      <c r="AU2890" s="1">
        <v>44354.052523148152</v>
      </c>
      <c r="AV2890" t="s">
        <v>71</v>
      </c>
      <c r="AW2890" t="s">
        <v>72</v>
      </c>
      <c r="AX2890" t="s">
        <v>73</v>
      </c>
    </row>
    <row r="2891" spans="1:50" x14ac:dyDescent="0.3">
      <c r="A2891" t="str">
        <f>"200578C0100"</f>
        <v>200578C0100</v>
      </c>
      <c r="B2891" t="str">
        <f>"200578C01002"</f>
        <v>200578C01002</v>
      </c>
      <c r="C2891" t="str">
        <f t="shared" si="141"/>
        <v>20</v>
      </c>
      <c r="D2891" t="s">
        <v>67</v>
      </c>
      <c r="E2891" t="str">
        <f t="shared" si="140"/>
        <v>013</v>
      </c>
      <c r="F2891" t="s">
        <v>2914</v>
      </c>
      <c r="G2891" t="str">
        <f>"0578"</f>
        <v>0578</v>
      </c>
      <c r="H2891" t="str">
        <f>"0001"</f>
        <v>0001</v>
      </c>
      <c r="I2891" t="s">
        <v>75</v>
      </c>
      <c r="J2891">
        <v>0</v>
      </c>
      <c r="K2891">
        <v>1</v>
      </c>
      <c r="L2891">
        <v>2</v>
      </c>
      <c r="M2891">
        <v>485</v>
      </c>
      <c r="N2891">
        <v>277</v>
      </c>
      <c r="O2891">
        <v>8</v>
      </c>
      <c r="P2891">
        <v>276</v>
      </c>
      <c r="Q2891">
        <v>18</v>
      </c>
      <c r="R2891">
        <v>79</v>
      </c>
      <c r="S2891">
        <v>3</v>
      </c>
      <c r="T2891">
        <v>3</v>
      </c>
      <c r="U2891">
        <v>8</v>
      </c>
      <c r="V2891">
        <v>6</v>
      </c>
      <c r="W2891">
        <v>2</v>
      </c>
      <c r="X2891">
        <v>114</v>
      </c>
      <c r="Y2891">
        <v>3</v>
      </c>
      <c r="Z2891">
        <v>15</v>
      </c>
      <c r="AA2891">
        <v>3</v>
      </c>
      <c r="AB2891">
        <v>6</v>
      </c>
      <c r="AD2891">
        <v>1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15</v>
      </c>
      <c r="AK2891">
        <v>276</v>
      </c>
      <c r="AL2891">
        <v>276</v>
      </c>
      <c r="AM2891">
        <v>718</v>
      </c>
      <c r="AN2891">
        <v>44</v>
      </c>
      <c r="AP2891">
        <v>1</v>
      </c>
      <c r="AR2891" t="s">
        <v>2986</v>
      </c>
      <c r="AS2891" s="1">
        <v>44354.045138888891</v>
      </c>
      <c r="AT2891" s="1">
        <v>44354.057638888888</v>
      </c>
      <c r="AU2891" s="1">
        <v>44354.058472222219</v>
      </c>
      <c r="AV2891" t="s">
        <v>71</v>
      </c>
      <c r="AW2891" t="s">
        <v>72</v>
      </c>
      <c r="AX2891" t="s">
        <v>73</v>
      </c>
    </row>
    <row r="2892" spans="1:50" x14ac:dyDescent="0.3">
      <c r="A2892" t="str">
        <f>"200578C0200"</f>
        <v>200578C0200</v>
      </c>
      <c r="B2892" t="str">
        <f>"200578C02002"</f>
        <v>200578C02002</v>
      </c>
      <c r="C2892" t="str">
        <f t="shared" si="141"/>
        <v>20</v>
      </c>
      <c r="D2892" t="s">
        <v>67</v>
      </c>
      <c r="E2892" t="str">
        <f t="shared" si="140"/>
        <v>013</v>
      </c>
      <c r="F2892" t="s">
        <v>2914</v>
      </c>
      <c r="G2892" t="str">
        <f>"0578"</f>
        <v>0578</v>
      </c>
      <c r="H2892" t="str">
        <f>"0002"</f>
        <v>0002</v>
      </c>
      <c r="I2892" t="s">
        <v>75</v>
      </c>
      <c r="J2892">
        <v>0</v>
      </c>
      <c r="K2892">
        <v>1</v>
      </c>
      <c r="L2892">
        <v>2</v>
      </c>
      <c r="M2892">
        <v>441</v>
      </c>
      <c r="N2892">
        <v>321</v>
      </c>
      <c r="O2892">
        <v>7</v>
      </c>
      <c r="P2892">
        <v>321</v>
      </c>
      <c r="Q2892">
        <v>19</v>
      </c>
      <c r="R2892">
        <v>65</v>
      </c>
      <c r="S2892">
        <v>3</v>
      </c>
      <c r="T2892">
        <v>7</v>
      </c>
      <c r="U2892">
        <v>20</v>
      </c>
      <c r="V2892">
        <v>9</v>
      </c>
      <c r="W2892">
        <v>7</v>
      </c>
      <c r="X2892">
        <v>145</v>
      </c>
      <c r="Y2892">
        <v>3</v>
      </c>
      <c r="Z2892">
        <v>16</v>
      </c>
      <c r="AA2892">
        <v>6</v>
      </c>
      <c r="AB2892">
        <v>7</v>
      </c>
      <c r="AD2892" t="s">
        <v>77</v>
      </c>
      <c r="AE2892" t="s">
        <v>77</v>
      </c>
      <c r="AF2892" t="s">
        <v>77</v>
      </c>
      <c r="AG2892" t="s">
        <v>77</v>
      </c>
      <c r="AH2892" t="s">
        <v>77</v>
      </c>
      <c r="AI2892" t="s">
        <v>77</v>
      </c>
      <c r="AJ2892">
        <v>14</v>
      </c>
      <c r="AK2892">
        <v>321</v>
      </c>
      <c r="AL2892">
        <v>321</v>
      </c>
      <c r="AM2892">
        <v>718</v>
      </c>
      <c r="AN2892">
        <v>44</v>
      </c>
      <c r="AO2892" t="s">
        <v>78</v>
      </c>
      <c r="AP2892">
        <v>1</v>
      </c>
      <c r="AR2892" t="s">
        <v>2987</v>
      </c>
      <c r="AS2892" s="1">
        <v>44354.035416666666</v>
      </c>
      <c r="AT2892" s="1">
        <v>44354.050451388888</v>
      </c>
      <c r="AU2892" s="1">
        <v>44354.050868055558</v>
      </c>
      <c r="AV2892" t="s">
        <v>71</v>
      </c>
      <c r="AW2892" t="s">
        <v>72</v>
      </c>
      <c r="AX2892" t="s">
        <v>73</v>
      </c>
    </row>
    <row r="2893" spans="1:50" x14ac:dyDescent="0.3">
      <c r="A2893" t="str">
        <f>"200579B0000"</f>
        <v>200579B0000</v>
      </c>
      <c r="B2893" t="str">
        <f>"200579B00002"</f>
        <v>200579B00002</v>
      </c>
      <c r="C2893" t="str">
        <f t="shared" si="141"/>
        <v>20</v>
      </c>
      <c r="D2893" t="s">
        <v>67</v>
      </c>
      <c r="E2893" t="str">
        <f t="shared" si="140"/>
        <v>013</v>
      </c>
      <c r="F2893" t="s">
        <v>2914</v>
      </c>
      <c r="G2893" t="str">
        <f>"0579"</f>
        <v>0579</v>
      </c>
      <c r="H2893" t="str">
        <f>"0000"</f>
        <v>0000</v>
      </c>
      <c r="I2893" t="s">
        <v>69</v>
      </c>
      <c r="J2893">
        <v>0</v>
      </c>
      <c r="K2893">
        <v>1</v>
      </c>
      <c r="L2893">
        <v>2</v>
      </c>
      <c r="M2893">
        <v>306</v>
      </c>
      <c r="N2893">
        <v>289</v>
      </c>
      <c r="O2893">
        <v>4</v>
      </c>
      <c r="P2893">
        <v>289</v>
      </c>
      <c r="Q2893">
        <v>12</v>
      </c>
      <c r="R2893">
        <v>49</v>
      </c>
      <c r="S2893">
        <v>2</v>
      </c>
      <c r="T2893">
        <v>2</v>
      </c>
      <c r="U2893">
        <v>13</v>
      </c>
      <c r="V2893">
        <v>3</v>
      </c>
      <c r="W2893">
        <v>1</v>
      </c>
      <c r="X2893">
        <v>148</v>
      </c>
      <c r="Y2893">
        <v>6</v>
      </c>
      <c r="Z2893">
        <v>10</v>
      </c>
      <c r="AA2893">
        <v>5</v>
      </c>
      <c r="AB2893">
        <v>24</v>
      </c>
      <c r="AD2893">
        <v>1</v>
      </c>
      <c r="AE2893" t="s">
        <v>77</v>
      </c>
      <c r="AF2893" t="s">
        <v>77</v>
      </c>
      <c r="AG2893" t="s">
        <v>77</v>
      </c>
      <c r="AH2893" t="s">
        <v>77</v>
      </c>
      <c r="AI2893" t="s">
        <v>77</v>
      </c>
      <c r="AJ2893">
        <v>13</v>
      </c>
      <c r="AK2893">
        <v>289</v>
      </c>
      <c r="AL2893">
        <v>289</v>
      </c>
      <c r="AM2893">
        <v>552</v>
      </c>
      <c r="AN2893">
        <v>44</v>
      </c>
      <c r="AO2893" t="s">
        <v>78</v>
      </c>
      <c r="AP2893">
        <v>1</v>
      </c>
      <c r="AR2893" t="s">
        <v>2988</v>
      </c>
      <c r="AS2893" s="1">
        <v>44354.021527777775</v>
      </c>
      <c r="AT2893" s="1">
        <v>44354.030069444445</v>
      </c>
      <c r="AU2893" s="1">
        <v>44354.031122685185</v>
      </c>
      <c r="AV2893" t="s">
        <v>71</v>
      </c>
      <c r="AW2893" t="s">
        <v>72</v>
      </c>
      <c r="AX2893" t="s">
        <v>73</v>
      </c>
    </row>
    <row r="2894" spans="1:50" x14ac:dyDescent="0.3">
      <c r="A2894" t="str">
        <f>"200579C0100"</f>
        <v>200579C0100</v>
      </c>
      <c r="B2894" t="str">
        <f>"200579C01002"</f>
        <v>200579C01002</v>
      </c>
      <c r="C2894" t="str">
        <f t="shared" si="141"/>
        <v>20</v>
      </c>
      <c r="D2894" t="s">
        <v>67</v>
      </c>
      <c r="E2894" t="str">
        <f t="shared" si="140"/>
        <v>013</v>
      </c>
      <c r="F2894" t="s">
        <v>2914</v>
      </c>
      <c r="G2894" t="str">
        <f>"0579"</f>
        <v>0579</v>
      </c>
      <c r="H2894" t="str">
        <f>"0001"</f>
        <v>0001</v>
      </c>
      <c r="I2894" t="s">
        <v>75</v>
      </c>
      <c r="J2894">
        <v>0</v>
      </c>
      <c r="K2894">
        <v>1</v>
      </c>
      <c r="L2894">
        <v>2</v>
      </c>
      <c r="M2894">
        <v>322</v>
      </c>
      <c r="N2894">
        <v>274</v>
      </c>
      <c r="O2894">
        <v>7</v>
      </c>
      <c r="P2894">
        <v>274</v>
      </c>
      <c r="Q2894">
        <v>6</v>
      </c>
      <c r="R2894">
        <v>56</v>
      </c>
      <c r="S2894">
        <v>3</v>
      </c>
      <c r="T2894">
        <v>3</v>
      </c>
      <c r="U2894">
        <v>9</v>
      </c>
      <c r="V2894">
        <v>3</v>
      </c>
      <c r="W2894">
        <v>3</v>
      </c>
      <c r="X2894">
        <v>141</v>
      </c>
      <c r="Y2894">
        <v>2</v>
      </c>
      <c r="Z2894">
        <v>4</v>
      </c>
      <c r="AA2894">
        <v>2</v>
      </c>
      <c r="AB2894">
        <v>34</v>
      </c>
      <c r="AD2894">
        <v>1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7</v>
      </c>
      <c r="AK2894">
        <v>274</v>
      </c>
      <c r="AL2894">
        <v>274</v>
      </c>
      <c r="AM2894">
        <v>552</v>
      </c>
      <c r="AN2894">
        <v>44</v>
      </c>
      <c r="AP2894">
        <v>1</v>
      </c>
      <c r="AR2894" t="s">
        <v>2989</v>
      </c>
      <c r="AS2894" s="1">
        <v>44354.002083333333</v>
      </c>
      <c r="AT2894" s="1">
        <v>44354.007847222223</v>
      </c>
      <c r="AU2894" s="1">
        <v>44354.008263888885</v>
      </c>
      <c r="AV2894" t="s">
        <v>71</v>
      </c>
      <c r="AW2894" t="s">
        <v>72</v>
      </c>
      <c r="AX2894" t="s">
        <v>73</v>
      </c>
    </row>
    <row r="2895" spans="1:50" x14ac:dyDescent="0.3">
      <c r="A2895" t="str">
        <f>"200579C0200"</f>
        <v>200579C0200</v>
      </c>
      <c r="B2895" t="str">
        <f>"200579C02002"</f>
        <v>200579C02002</v>
      </c>
      <c r="C2895" t="str">
        <f t="shared" si="141"/>
        <v>20</v>
      </c>
      <c r="D2895" t="s">
        <v>67</v>
      </c>
      <c r="E2895" t="str">
        <f t="shared" si="140"/>
        <v>013</v>
      </c>
      <c r="F2895" t="s">
        <v>2914</v>
      </c>
      <c r="G2895" t="str">
        <f>"0579"</f>
        <v>0579</v>
      </c>
      <c r="H2895" t="str">
        <f>"0002"</f>
        <v>0002</v>
      </c>
      <c r="I2895" t="s">
        <v>75</v>
      </c>
      <c r="J2895">
        <v>0</v>
      </c>
      <c r="K2895">
        <v>1</v>
      </c>
      <c r="L2895">
        <v>2</v>
      </c>
      <c r="M2895">
        <v>318</v>
      </c>
      <c r="N2895">
        <v>277</v>
      </c>
      <c r="O2895">
        <v>3</v>
      </c>
      <c r="P2895">
        <v>277</v>
      </c>
      <c r="Q2895">
        <v>9</v>
      </c>
      <c r="R2895">
        <v>62</v>
      </c>
      <c r="S2895">
        <v>5</v>
      </c>
      <c r="T2895">
        <v>2</v>
      </c>
      <c r="U2895">
        <v>7</v>
      </c>
      <c r="V2895">
        <v>1</v>
      </c>
      <c r="W2895">
        <v>1</v>
      </c>
      <c r="X2895">
        <v>146</v>
      </c>
      <c r="Y2895">
        <v>4</v>
      </c>
      <c r="Z2895">
        <v>8</v>
      </c>
      <c r="AA2895">
        <v>2</v>
      </c>
      <c r="AB2895">
        <v>22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 t="s">
        <v>77</v>
      </c>
      <c r="AJ2895">
        <v>8</v>
      </c>
      <c r="AK2895">
        <v>277</v>
      </c>
      <c r="AL2895">
        <v>277</v>
      </c>
      <c r="AM2895">
        <v>551</v>
      </c>
      <c r="AN2895">
        <v>44</v>
      </c>
      <c r="AO2895" t="s">
        <v>78</v>
      </c>
      <c r="AP2895">
        <v>1</v>
      </c>
      <c r="AR2895" t="s">
        <v>2990</v>
      </c>
      <c r="AS2895" s="1">
        <v>44354.006944444445</v>
      </c>
      <c r="AT2895" s="1">
        <v>44354.014027777775</v>
      </c>
      <c r="AU2895" s="1">
        <v>44354.015011574076</v>
      </c>
      <c r="AV2895" t="s">
        <v>71</v>
      </c>
      <c r="AW2895" t="s">
        <v>72</v>
      </c>
      <c r="AX2895" t="s">
        <v>73</v>
      </c>
    </row>
    <row r="2896" spans="1:50" x14ac:dyDescent="0.3">
      <c r="A2896" t="str">
        <f>"200580B0000"</f>
        <v>200580B0000</v>
      </c>
      <c r="B2896" t="str">
        <f>"200580B00002"</f>
        <v>200580B00002</v>
      </c>
      <c r="C2896" t="str">
        <f t="shared" si="141"/>
        <v>20</v>
      </c>
      <c r="D2896" t="s">
        <v>67</v>
      </c>
      <c r="E2896" t="str">
        <f t="shared" si="140"/>
        <v>013</v>
      </c>
      <c r="F2896" t="s">
        <v>2914</v>
      </c>
      <c r="G2896" t="str">
        <f>"0580"</f>
        <v>0580</v>
      </c>
      <c r="H2896" t="str">
        <f>"0000"</f>
        <v>0000</v>
      </c>
      <c r="I2896" t="s">
        <v>69</v>
      </c>
      <c r="J2896">
        <v>0</v>
      </c>
      <c r="K2896">
        <v>1</v>
      </c>
      <c r="L2896">
        <v>2</v>
      </c>
      <c r="M2896">
        <v>320</v>
      </c>
      <c r="N2896">
        <v>305</v>
      </c>
      <c r="O2896">
        <v>5</v>
      </c>
      <c r="P2896">
        <v>305</v>
      </c>
      <c r="Q2896">
        <v>24</v>
      </c>
      <c r="R2896">
        <v>62</v>
      </c>
      <c r="S2896">
        <v>2</v>
      </c>
      <c r="T2896">
        <v>2</v>
      </c>
      <c r="U2896">
        <v>11</v>
      </c>
      <c r="V2896">
        <v>13</v>
      </c>
      <c r="W2896">
        <v>2</v>
      </c>
      <c r="X2896">
        <v>151</v>
      </c>
      <c r="Y2896">
        <v>4</v>
      </c>
      <c r="Z2896">
        <v>14</v>
      </c>
      <c r="AA2896">
        <v>0</v>
      </c>
      <c r="AB2896">
        <v>8</v>
      </c>
      <c r="AD2896">
        <v>1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11</v>
      </c>
      <c r="AK2896">
        <v>305</v>
      </c>
      <c r="AL2896">
        <v>305</v>
      </c>
      <c r="AM2896">
        <v>581</v>
      </c>
      <c r="AN2896">
        <v>44</v>
      </c>
      <c r="AP2896">
        <v>1</v>
      </c>
      <c r="AR2896" s="2" t="s">
        <v>2991</v>
      </c>
      <c r="AS2896" s="1">
        <v>44354.013194444444</v>
      </c>
      <c r="AT2896" s="1">
        <v>44354.021203703705</v>
      </c>
      <c r="AU2896" s="1">
        <v>44354.022106481483</v>
      </c>
      <c r="AV2896" t="s">
        <v>71</v>
      </c>
      <c r="AW2896" t="s">
        <v>72</v>
      </c>
      <c r="AX2896" t="s">
        <v>73</v>
      </c>
    </row>
    <row r="2897" spans="1:50" x14ac:dyDescent="0.3">
      <c r="A2897" t="str">
        <f>"200580C0100"</f>
        <v>200580C0100</v>
      </c>
      <c r="B2897" t="str">
        <f>"200580C01002"</f>
        <v>200580C01002</v>
      </c>
      <c r="C2897" t="str">
        <f t="shared" si="141"/>
        <v>20</v>
      </c>
      <c r="D2897" t="s">
        <v>67</v>
      </c>
      <c r="E2897" t="str">
        <f t="shared" si="140"/>
        <v>013</v>
      </c>
      <c r="F2897" t="s">
        <v>2914</v>
      </c>
      <c r="G2897" t="str">
        <f>"0580"</f>
        <v>0580</v>
      </c>
      <c r="H2897" t="str">
        <f>"0001"</f>
        <v>0001</v>
      </c>
      <c r="I2897" t="s">
        <v>75</v>
      </c>
      <c r="J2897">
        <v>0</v>
      </c>
      <c r="K2897">
        <v>1</v>
      </c>
      <c r="L2897">
        <v>2</v>
      </c>
      <c r="M2897">
        <v>328</v>
      </c>
      <c r="N2897">
        <v>297</v>
      </c>
      <c r="O2897">
        <v>8</v>
      </c>
      <c r="P2897">
        <v>297</v>
      </c>
      <c r="Q2897">
        <v>14</v>
      </c>
      <c r="R2897">
        <v>69</v>
      </c>
      <c r="S2897">
        <v>0</v>
      </c>
      <c r="T2897">
        <v>3</v>
      </c>
      <c r="U2897">
        <v>6</v>
      </c>
      <c r="V2897">
        <v>5</v>
      </c>
      <c r="W2897">
        <v>5</v>
      </c>
      <c r="X2897">
        <v>155</v>
      </c>
      <c r="Y2897">
        <v>8</v>
      </c>
      <c r="Z2897">
        <v>12</v>
      </c>
      <c r="AA2897">
        <v>4</v>
      </c>
      <c r="AB2897">
        <v>5</v>
      </c>
      <c r="AD2897">
        <v>1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10</v>
      </c>
      <c r="AK2897">
        <v>297</v>
      </c>
      <c r="AL2897">
        <v>297</v>
      </c>
      <c r="AM2897">
        <v>581</v>
      </c>
      <c r="AN2897">
        <v>44</v>
      </c>
      <c r="AP2897">
        <v>1</v>
      </c>
      <c r="AR2897" t="s">
        <v>2992</v>
      </c>
      <c r="AS2897" s="1">
        <v>44354.015972222223</v>
      </c>
      <c r="AT2897" s="1">
        <v>44354.02652777778</v>
      </c>
      <c r="AU2897" s="1">
        <v>44354.027256944442</v>
      </c>
      <c r="AV2897" t="s">
        <v>71</v>
      </c>
      <c r="AW2897" t="s">
        <v>72</v>
      </c>
      <c r="AX2897" t="s">
        <v>73</v>
      </c>
    </row>
    <row r="2898" spans="1:50" x14ac:dyDescent="0.3">
      <c r="A2898" t="str">
        <f>"200581B0000"</f>
        <v>200581B0000</v>
      </c>
      <c r="B2898" t="str">
        <f>"200581B00002"</f>
        <v>200581B00002</v>
      </c>
      <c r="C2898" t="str">
        <f t="shared" si="141"/>
        <v>20</v>
      </c>
      <c r="D2898" t="s">
        <v>67</v>
      </c>
      <c r="E2898" t="str">
        <f t="shared" si="140"/>
        <v>013</v>
      </c>
      <c r="F2898" t="s">
        <v>2914</v>
      </c>
      <c r="G2898" t="str">
        <f>"0581"</f>
        <v>0581</v>
      </c>
      <c r="H2898" t="str">
        <f>"0000"</f>
        <v>0000</v>
      </c>
      <c r="I2898" t="s">
        <v>69</v>
      </c>
      <c r="J2898">
        <v>0</v>
      </c>
      <c r="K2898">
        <v>1</v>
      </c>
      <c r="L2898">
        <v>2</v>
      </c>
      <c r="M2898">
        <v>373</v>
      </c>
      <c r="N2898">
        <v>271</v>
      </c>
      <c r="O2898">
        <v>5</v>
      </c>
      <c r="P2898">
        <v>271</v>
      </c>
      <c r="Q2898">
        <v>22</v>
      </c>
      <c r="R2898">
        <v>32</v>
      </c>
      <c r="S2898">
        <v>3</v>
      </c>
      <c r="T2898">
        <v>7</v>
      </c>
      <c r="U2898">
        <v>9</v>
      </c>
      <c r="V2898">
        <v>15</v>
      </c>
      <c r="W2898">
        <v>4</v>
      </c>
      <c r="X2898">
        <v>149</v>
      </c>
      <c r="Y2898">
        <v>4</v>
      </c>
      <c r="Z2898">
        <v>3</v>
      </c>
      <c r="AA2898">
        <v>2</v>
      </c>
      <c r="AB2898">
        <v>9</v>
      </c>
      <c r="AD2898">
        <v>2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10</v>
      </c>
      <c r="AK2898">
        <v>271</v>
      </c>
      <c r="AL2898">
        <v>271</v>
      </c>
      <c r="AM2898">
        <v>600</v>
      </c>
      <c r="AN2898">
        <v>44</v>
      </c>
      <c r="AP2898">
        <v>1</v>
      </c>
      <c r="AR2898" t="s">
        <v>2993</v>
      </c>
      <c r="AS2898" s="1">
        <v>44354.038194444445</v>
      </c>
      <c r="AT2898" s="1">
        <v>44354.050347222219</v>
      </c>
      <c r="AU2898" s="1">
        <v>44354.050682870373</v>
      </c>
      <c r="AV2898" t="s">
        <v>71</v>
      </c>
      <c r="AW2898" t="s">
        <v>72</v>
      </c>
      <c r="AX2898" t="s">
        <v>73</v>
      </c>
    </row>
    <row r="2899" spans="1:50" x14ac:dyDescent="0.3">
      <c r="A2899" t="str">
        <f>"200581C0100"</f>
        <v>200581C0100</v>
      </c>
      <c r="B2899" t="str">
        <f>"200581C01002"</f>
        <v>200581C01002</v>
      </c>
      <c r="C2899" t="str">
        <f t="shared" si="141"/>
        <v>20</v>
      </c>
      <c r="D2899" t="s">
        <v>67</v>
      </c>
      <c r="E2899" t="str">
        <f t="shared" si="140"/>
        <v>013</v>
      </c>
      <c r="F2899" t="s">
        <v>2914</v>
      </c>
      <c r="G2899" t="str">
        <f>"0581"</f>
        <v>0581</v>
      </c>
      <c r="H2899" t="str">
        <f>"0001"</f>
        <v>0001</v>
      </c>
      <c r="I2899" t="s">
        <v>75</v>
      </c>
      <c r="J2899">
        <v>0</v>
      </c>
      <c r="K2899">
        <v>1</v>
      </c>
      <c r="L2899">
        <v>2</v>
      </c>
      <c r="M2899">
        <v>403</v>
      </c>
      <c r="N2899">
        <v>240</v>
      </c>
      <c r="O2899">
        <v>5</v>
      </c>
      <c r="P2899">
        <v>240</v>
      </c>
      <c r="Q2899">
        <v>28</v>
      </c>
      <c r="R2899">
        <v>42</v>
      </c>
      <c r="S2899">
        <v>3</v>
      </c>
      <c r="T2899">
        <v>1</v>
      </c>
      <c r="U2899">
        <v>5</v>
      </c>
      <c r="V2899">
        <v>11</v>
      </c>
      <c r="W2899">
        <v>2</v>
      </c>
      <c r="X2899">
        <v>119</v>
      </c>
      <c r="Y2899">
        <v>1</v>
      </c>
      <c r="Z2899">
        <v>5</v>
      </c>
      <c r="AA2899">
        <v>2</v>
      </c>
      <c r="AB2899">
        <v>10</v>
      </c>
      <c r="AD2899">
        <v>4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7</v>
      </c>
      <c r="AK2899">
        <v>240</v>
      </c>
      <c r="AL2899">
        <v>240</v>
      </c>
      <c r="AM2899">
        <v>599</v>
      </c>
      <c r="AN2899">
        <v>44</v>
      </c>
      <c r="AP2899">
        <v>1</v>
      </c>
      <c r="AR2899" t="s">
        <v>2994</v>
      </c>
      <c r="AS2899" s="1">
        <v>44354.044444444444</v>
      </c>
      <c r="AT2899" s="1">
        <v>44354.057245370372</v>
      </c>
      <c r="AU2899" s="1">
        <v>44354.057928240742</v>
      </c>
      <c r="AV2899" t="s">
        <v>71</v>
      </c>
      <c r="AW2899" t="s">
        <v>72</v>
      </c>
      <c r="AX2899" t="s">
        <v>73</v>
      </c>
    </row>
    <row r="2900" spans="1:50" x14ac:dyDescent="0.3">
      <c r="A2900" t="str">
        <f>"200581S0100"</f>
        <v>200581S0100</v>
      </c>
      <c r="B2900" t="str">
        <f>"200581S01002EMR"</f>
        <v>200581S01002EMR</v>
      </c>
      <c r="C2900" t="str">
        <f t="shared" si="141"/>
        <v>20</v>
      </c>
      <c r="D2900" t="s">
        <v>67</v>
      </c>
      <c r="E2900" t="str">
        <f t="shared" si="140"/>
        <v>013</v>
      </c>
      <c r="F2900" t="s">
        <v>2914</v>
      </c>
      <c r="G2900" t="str">
        <f>"0581"</f>
        <v>0581</v>
      </c>
      <c r="H2900" t="str">
        <f>"0001"</f>
        <v>0001</v>
      </c>
      <c r="I2900" t="s">
        <v>85</v>
      </c>
      <c r="J2900">
        <v>0</v>
      </c>
      <c r="K2900">
        <v>1</v>
      </c>
      <c r="L2900" t="s">
        <v>86</v>
      </c>
      <c r="M2900">
        <v>296</v>
      </c>
      <c r="N2900">
        <v>69</v>
      </c>
      <c r="O2900">
        <v>0</v>
      </c>
      <c r="P2900">
        <v>69</v>
      </c>
      <c r="Q2900">
        <v>3</v>
      </c>
      <c r="R2900">
        <v>17</v>
      </c>
      <c r="S2900">
        <v>0</v>
      </c>
      <c r="T2900">
        <v>0</v>
      </c>
      <c r="U2900">
        <v>2</v>
      </c>
      <c r="V2900">
        <v>1</v>
      </c>
      <c r="W2900">
        <v>0</v>
      </c>
      <c r="X2900">
        <v>37</v>
      </c>
      <c r="Y2900">
        <v>0</v>
      </c>
      <c r="Z2900">
        <v>3</v>
      </c>
      <c r="AA2900">
        <v>2</v>
      </c>
      <c r="AB2900">
        <v>1</v>
      </c>
      <c r="AD2900">
        <v>0</v>
      </c>
      <c r="AE2900">
        <v>1</v>
      </c>
      <c r="AF2900">
        <v>0</v>
      </c>
      <c r="AG2900">
        <v>0</v>
      </c>
      <c r="AH2900">
        <v>0</v>
      </c>
      <c r="AI2900">
        <v>0</v>
      </c>
      <c r="AJ2900">
        <v>2</v>
      </c>
      <c r="AK2900">
        <v>69</v>
      </c>
      <c r="AL2900">
        <v>69</v>
      </c>
      <c r="AM2900">
        <v>0</v>
      </c>
      <c r="AN2900">
        <v>44</v>
      </c>
      <c r="AP2900">
        <v>1</v>
      </c>
      <c r="AR2900" t="s">
        <v>2995</v>
      </c>
      <c r="AS2900" s="1">
        <v>44354.290972222225</v>
      </c>
      <c r="AT2900" s="1">
        <v>44354.291886574072</v>
      </c>
      <c r="AU2900" s="1">
        <v>44354.292731481481</v>
      </c>
      <c r="AV2900" t="s">
        <v>71</v>
      </c>
      <c r="AW2900" t="s">
        <v>72</v>
      </c>
      <c r="AX2900" t="s">
        <v>347</v>
      </c>
    </row>
    <row r="2901" spans="1:50" x14ac:dyDescent="0.3">
      <c r="A2901" t="str">
        <f>"200582B0000"</f>
        <v>200582B0000</v>
      </c>
      <c r="B2901" t="str">
        <f>"200582B00002"</f>
        <v>200582B00002</v>
      </c>
      <c r="C2901" t="str">
        <f t="shared" si="141"/>
        <v>20</v>
      </c>
      <c r="D2901" t="s">
        <v>67</v>
      </c>
      <c r="E2901" t="str">
        <f t="shared" si="140"/>
        <v>013</v>
      </c>
      <c r="F2901" t="s">
        <v>2914</v>
      </c>
      <c r="G2901" t="str">
        <f>"0582"</f>
        <v>0582</v>
      </c>
      <c r="H2901" t="str">
        <f>"0000"</f>
        <v>0000</v>
      </c>
      <c r="I2901" t="s">
        <v>69</v>
      </c>
      <c r="J2901">
        <v>0</v>
      </c>
      <c r="K2901">
        <v>1</v>
      </c>
      <c r="L2901">
        <v>2</v>
      </c>
      <c r="M2901">
        <v>376</v>
      </c>
      <c r="N2901">
        <v>306</v>
      </c>
      <c r="O2901">
        <v>6</v>
      </c>
      <c r="P2901">
        <v>306</v>
      </c>
      <c r="Q2901">
        <v>34</v>
      </c>
      <c r="R2901">
        <v>65</v>
      </c>
      <c r="S2901">
        <v>5</v>
      </c>
      <c r="T2901">
        <v>3</v>
      </c>
      <c r="U2901">
        <v>7</v>
      </c>
      <c r="V2901">
        <v>4</v>
      </c>
      <c r="W2901">
        <v>3</v>
      </c>
      <c r="X2901">
        <v>162</v>
      </c>
      <c r="Y2901">
        <v>6</v>
      </c>
      <c r="Z2901">
        <v>2</v>
      </c>
      <c r="AA2901">
        <v>2</v>
      </c>
      <c r="AB2901">
        <v>4</v>
      </c>
      <c r="AD2901">
        <v>3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6</v>
      </c>
      <c r="AK2901">
        <v>306</v>
      </c>
      <c r="AL2901">
        <v>306</v>
      </c>
      <c r="AM2901">
        <v>638</v>
      </c>
      <c r="AN2901">
        <v>44</v>
      </c>
      <c r="AP2901">
        <v>1</v>
      </c>
      <c r="AR2901" t="s">
        <v>2996</v>
      </c>
      <c r="AS2901" s="1">
        <v>44354.046527777777</v>
      </c>
      <c r="AT2901" s="1">
        <v>44354.059525462966</v>
      </c>
      <c r="AU2901" s="1">
        <v>44354.06</v>
      </c>
      <c r="AV2901" t="s">
        <v>71</v>
      </c>
      <c r="AW2901" t="s">
        <v>72</v>
      </c>
      <c r="AX2901" t="s">
        <v>73</v>
      </c>
    </row>
    <row r="2902" spans="1:50" x14ac:dyDescent="0.3">
      <c r="A2902" t="str">
        <f>"200582C0100"</f>
        <v>200582C0100</v>
      </c>
      <c r="B2902" t="str">
        <f>"200582C01002"</f>
        <v>200582C01002</v>
      </c>
      <c r="C2902" t="str">
        <f t="shared" si="141"/>
        <v>20</v>
      </c>
      <c r="D2902" t="s">
        <v>67</v>
      </c>
      <c r="E2902" t="str">
        <f t="shared" si="140"/>
        <v>013</v>
      </c>
      <c r="F2902" t="s">
        <v>2914</v>
      </c>
      <c r="G2902" t="str">
        <f>"0582"</f>
        <v>0582</v>
      </c>
      <c r="H2902" t="str">
        <f>"0001"</f>
        <v>0001</v>
      </c>
      <c r="I2902" t="s">
        <v>75</v>
      </c>
      <c r="J2902">
        <v>0</v>
      </c>
      <c r="K2902">
        <v>1</v>
      </c>
      <c r="L2902">
        <v>2</v>
      </c>
      <c r="M2902">
        <v>364</v>
      </c>
      <c r="N2902">
        <v>318</v>
      </c>
      <c r="O2902">
        <v>9</v>
      </c>
      <c r="P2902">
        <v>318</v>
      </c>
      <c r="Q2902">
        <v>18</v>
      </c>
      <c r="R2902">
        <v>65</v>
      </c>
      <c r="S2902">
        <v>0</v>
      </c>
      <c r="T2902">
        <v>2</v>
      </c>
      <c r="U2902">
        <v>8</v>
      </c>
      <c r="V2902">
        <v>8</v>
      </c>
      <c r="W2902">
        <v>4</v>
      </c>
      <c r="X2902">
        <v>181</v>
      </c>
      <c r="Y2902">
        <v>6</v>
      </c>
      <c r="Z2902">
        <v>6</v>
      </c>
      <c r="AA2902">
        <v>3</v>
      </c>
      <c r="AB2902">
        <v>4</v>
      </c>
      <c r="AD2902">
        <v>5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8</v>
      </c>
      <c r="AK2902">
        <v>318</v>
      </c>
      <c r="AL2902">
        <v>318</v>
      </c>
      <c r="AM2902">
        <v>638</v>
      </c>
      <c r="AN2902">
        <v>44</v>
      </c>
      <c r="AP2902">
        <v>1</v>
      </c>
      <c r="AR2902" t="s">
        <v>2997</v>
      </c>
      <c r="AS2902" s="1">
        <v>44353.992361111108</v>
      </c>
      <c r="AT2902" s="1">
        <v>44354.001851851855</v>
      </c>
      <c r="AU2902" s="1">
        <v>44354.002766203703</v>
      </c>
      <c r="AV2902" t="s">
        <v>71</v>
      </c>
      <c r="AW2902" t="s">
        <v>72</v>
      </c>
      <c r="AX2902" t="s">
        <v>73</v>
      </c>
    </row>
    <row r="2903" spans="1:50" x14ac:dyDescent="0.3">
      <c r="A2903" t="str">
        <f>"200583B0000"</f>
        <v>200583B0000</v>
      </c>
      <c r="B2903" t="str">
        <f>"200583B00002"</f>
        <v>200583B00002</v>
      </c>
      <c r="C2903" t="str">
        <f t="shared" si="141"/>
        <v>20</v>
      </c>
      <c r="D2903" t="s">
        <v>67</v>
      </c>
      <c r="E2903" t="str">
        <f t="shared" si="140"/>
        <v>013</v>
      </c>
      <c r="F2903" t="s">
        <v>2914</v>
      </c>
      <c r="G2903" t="str">
        <f>"0583"</f>
        <v>0583</v>
      </c>
      <c r="H2903" t="str">
        <f>"0000"</f>
        <v>0000</v>
      </c>
      <c r="I2903" t="s">
        <v>69</v>
      </c>
      <c r="J2903">
        <v>0</v>
      </c>
      <c r="K2903">
        <v>1</v>
      </c>
      <c r="L2903">
        <v>2</v>
      </c>
      <c r="AM2903">
        <v>577</v>
      </c>
      <c r="AN2903">
        <v>44</v>
      </c>
      <c r="AO2903" t="s">
        <v>143</v>
      </c>
      <c r="AP2903">
        <v>0</v>
      </c>
      <c r="AR2903" t="s">
        <v>2998</v>
      </c>
      <c r="AS2903" s="1">
        <v>44354.430555555555</v>
      </c>
      <c r="AT2903" s="1">
        <v>44354.445034722223</v>
      </c>
      <c r="AU2903" s="1">
        <v>44354.445034722223</v>
      </c>
      <c r="AV2903" t="s">
        <v>71</v>
      </c>
      <c r="AW2903" t="s">
        <v>72</v>
      </c>
      <c r="AX2903" t="s">
        <v>73</v>
      </c>
    </row>
    <row r="2904" spans="1:50" x14ac:dyDescent="0.3">
      <c r="A2904" t="str">
        <f>"200583C0100"</f>
        <v>200583C0100</v>
      </c>
      <c r="B2904" t="str">
        <f>"200583C01002"</f>
        <v>200583C01002</v>
      </c>
      <c r="C2904" t="str">
        <f t="shared" si="141"/>
        <v>20</v>
      </c>
      <c r="D2904" t="s">
        <v>67</v>
      </c>
      <c r="E2904" t="str">
        <f t="shared" si="140"/>
        <v>013</v>
      </c>
      <c r="F2904" t="s">
        <v>2914</v>
      </c>
      <c r="G2904" t="str">
        <f>"0583"</f>
        <v>0583</v>
      </c>
      <c r="H2904" t="str">
        <f>"0001"</f>
        <v>0001</v>
      </c>
      <c r="I2904" t="s">
        <v>75</v>
      </c>
      <c r="J2904">
        <v>0</v>
      </c>
      <c r="K2904">
        <v>1</v>
      </c>
      <c r="L2904">
        <v>2</v>
      </c>
      <c r="M2904">
        <v>294</v>
      </c>
      <c r="N2904">
        <v>325</v>
      </c>
      <c r="O2904">
        <v>1</v>
      </c>
      <c r="P2904">
        <v>0</v>
      </c>
      <c r="Q2904">
        <v>46</v>
      </c>
      <c r="R2904">
        <v>91</v>
      </c>
      <c r="S2904">
        <v>1</v>
      </c>
      <c r="T2904">
        <v>4</v>
      </c>
      <c r="U2904">
        <v>8</v>
      </c>
      <c r="V2904">
        <v>16</v>
      </c>
      <c r="W2904">
        <v>8</v>
      </c>
      <c r="X2904">
        <v>130</v>
      </c>
      <c r="Y2904">
        <v>3</v>
      </c>
      <c r="Z2904">
        <v>6</v>
      </c>
      <c r="AA2904">
        <v>1</v>
      </c>
      <c r="AB2904">
        <v>3</v>
      </c>
      <c r="AD2904">
        <v>6</v>
      </c>
      <c r="AE2904">
        <v>2</v>
      </c>
      <c r="AF2904">
        <v>0</v>
      </c>
      <c r="AG2904">
        <v>0</v>
      </c>
      <c r="AH2904">
        <v>0</v>
      </c>
      <c r="AI2904">
        <v>0</v>
      </c>
      <c r="AJ2904">
        <v>2</v>
      </c>
      <c r="AK2904">
        <v>327</v>
      </c>
      <c r="AL2904">
        <v>327</v>
      </c>
      <c r="AM2904">
        <v>577</v>
      </c>
      <c r="AN2904">
        <v>44</v>
      </c>
      <c r="AP2904">
        <v>1</v>
      </c>
      <c r="AR2904" t="s">
        <v>2999</v>
      </c>
      <c r="AS2904" s="1">
        <v>44354.012499999997</v>
      </c>
      <c r="AT2904" s="1">
        <v>44354.020613425928</v>
      </c>
      <c r="AU2904" s="1">
        <v>44354.021273148152</v>
      </c>
      <c r="AV2904" t="s">
        <v>71</v>
      </c>
      <c r="AW2904" t="s">
        <v>72</v>
      </c>
      <c r="AX2904" t="s">
        <v>73</v>
      </c>
    </row>
    <row r="2905" spans="1:50" x14ac:dyDescent="0.3">
      <c r="A2905" t="str">
        <f>"200584B0000"</f>
        <v>200584B0000</v>
      </c>
      <c r="B2905" t="str">
        <f>"200584B00002"</f>
        <v>200584B00002</v>
      </c>
      <c r="C2905" t="str">
        <f t="shared" si="141"/>
        <v>20</v>
      </c>
      <c r="D2905" t="s">
        <v>67</v>
      </c>
      <c r="E2905" t="str">
        <f t="shared" si="140"/>
        <v>013</v>
      </c>
      <c r="F2905" t="s">
        <v>2914</v>
      </c>
      <c r="G2905" t="str">
        <f>"0584"</f>
        <v>0584</v>
      </c>
      <c r="H2905" t="str">
        <f>"0000"</f>
        <v>0000</v>
      </c>
      <c r="I2905" t="s">
        <v>69</v>
      </c>
      <c r="J2905">
        <v>0</v>
      </c>
      <c r="K2905">
        <v>1</v>
      </c>
      <c r="L2905">
        <v>2</v>
      </c>
      <c r="M2905">
        <v>194</v>
      </c>
      <c r="N2905">
        <v>268</v>
      </c>
      <c r="O2905">
        <v>5</v>
      </c>
      <c r="P2905">
        <v>268</v>
      </c>
      <c r="Q2905">
        <v>37</v>
      </c>
      <c r="R2905">
        <v>76</v>
      </c>
      <c r="S2905">
        <v>5</v>
      </c>
      <c r="T2905">
        <v>7</v>
      </c>
      <c r="U2905">
        <v>7</v>
      </c>
      <c r="V2905">
        <v>5</v>
      </c>
      <c r="W2905">
        <v>3</v>
      </c>
      <c r="X2905">
        <v>99</v>
      </c>
      <c r="Y2905">
        <v>3</v>
      </c>
      <c r="Z2905">
        <v>5</v>
      </c>
      <c r="AA2905">
        <v>2</v>
      </c>
      <c r="AB2905">
        <v>1</v>
      </c>
      <c r="AD2905">
        <v>3</v>
      </c>
      <c r="AE2905">
        <v>1</v>
      </c>
      <c r="AF2905">
        <v>0</v>
      </c>
      <c r="AG2905">
        <v>0</v>
      </c>
      <c r="AH2905">
        <v>0</v>
      </c>
      <c r="AI2905">
        <v>1</v>
      </c>
      <c r="AJ2905">
        <v>13</v>
      </c>
      <c r="AK2905">
        <v>268</v>
      </c>
      <c r="AL2905">
        <v>268</v>
      </c>
      <c r="AM2905">
        <v>418</v>
      </c>
      <c r="AN2905">
        <v>44</v>
      </c>
      <c r="AP2905">
        <v>1</v>
      </c>
      <c r="AR2905" t="s">
        <v>3000</v>
      </c>
      <c r="AS2905" s="1">
        <v>44353.999305555553</v>
      </c>
      <c r="AT2905" s="1">
        <v>44354.017627314817</v>
      </c>
      <c r="AU2905" s="1">
        <v>44354.018391203703</v>
      </c>
      <c r="AV2905" t="s">
        <v>71</v>
      </c>
      <c r="AW2905" t="s">
        <v>72</v>
      </c>
      <c r="AX2905" t="s">
        <v>73</v>
      </c>
    </row>
    <row r="2906" spans="1:50" x14ac:dyDescent="0.3">
      <c r="A2906" t="str">
        <f>"200584C0100"</f>
        <v>200584C0100</v>
      </c>
      <c r="B2906" t="str">
        <f>"200584C01002"</f>
        <v>200584C01002</v>
      </c>
      <c r="C2906" t="str">
        <f t="shared" si="141"/>
        <v>20</v>
      </c>
      <c r="D2906" t="s">
        <v>67</v>
      </c>
      <c r="E2906" t="str">
        <f t="shared" si="140"/>
        <v>013</v>
      </c>
      <c r="F2906" t="s">
        <v>2914</v>
      </c>
      <c r="G2906" t="str">
        <f>"0584"</f>
        <v>0584</v>
      </c>
      <c r="H2906" t="str">
        <f>"0001"</f>
        <v>0001</v>
      </c>
      <c r="I2906" t="s">
        <v>75</v>
      </c>
      <c r="J2906">
        <v>0</v>
      </c>
      <c r="K2906">
        <v>1</v>
      </c>
      <c r="L2906">
        <v>2</v>
      </c>
      <c r="M2906">
        <v>217</v>
      </c>
      <c r="N2906">
        <v>244</v>
      </c>
      <c r="O2906">
        <v>4</v>
      </c>
      <c r="P2906">
        <v>244</v>
      </c>
      <c r="Q2906">
        <v>32</v>
      </c>
      <c r="R2906">
        <v>70</v>
      </c>
      <c r="S2906">
        <v>3</v>
      </c>
      <c r="T2906">
        <v>2</v>
      </c>
      <c r="U2906">
        <v>10</v>
      </c>
      <c r="V2906">
        <v>8</v>
      </c>
      <c r="W2906">
        <v>5</v>
      </c>
      <c r="X2906">
        <v>87</v>
      </c>
      <c r="Y2906">
        <v>1</v>
      </c>
      <c r="Z2906">
        <v>6</v>
      </c>
      <c r="AA2906">
        <v>1</v>
      </c>
      <c r="AB2906">
        <v>7</v>
      </c>
      <c r="AD2906">
        <v>2</v>
      </c>
      <c r="AE2906">
        <v>1</v>
      </c>
      <c r="AF2906">
        <v>0</v>
      </c>
      <c r="AG2906">
        <v>0</v>
      </c>
      <c r="AH2906">
        <v>0</v>
      </c>
      <c r="AI2906">
        <v>1</v>
      </c>
      <c r="AJ2906">
        <v>8</v>
      </c>
      <c r="AK2906">
        <v>244</v>
      </c>
      <c r="AL2906">
        <v>244</v>
      </c>
      <c r="AM2906">
        <v>417</v>
      </c>
      <c r="AN2906">
        <v>44</v>
      </c>
      <c r="AP2906">
        <v>1</v>
      </c>
      <c r="AR2906" t="s">
        <v>3001</v>
      </c>
      <c r="AS2906" s="1">
        <v>44354.015277777777</v>
      </c>
      <c r="AT2906" s="1">
        <v>44354.023969907408</v>
      </c>
      <c r="AU2906" s="1">
        <v>44354.024710648147</v>
      </c>
      <c r="AV2906" t="s">
        <v>71</v>
      </c>
      <c r="AW2906" t="s">
        <v>72</v>
      </c>
      <c r="AX2906" t="s">
        <v>73</v>
      </c>
    </row>
    <row r="2907" spans="1:50" x14ac:dyDescent="0.3">
      <c r="A2907" t="str">
        <f>"200585B0000"</f>
        <v>200585B0000</v>
      </c>
      <c r="B2907" t="str">
        <f>"200585B00002"</f>
        <v>200585B00002</v>
      </c>
      <c r="C2907" t="str">
        <f t="shared" si="141"/>
        <v>20</v>
      </c>
      <c r="D2907" t="s">
        <v>67</v>
      </c>
      <c r="E2907" t="str">
        <f t="shared" si="140"/>
        <v>013</v>
      </c>
      <c r="F2907" t="s">
        <v>2914</v>
      </c>
      <c r="G2907" t="str">
        <f>"0585"</f>
        <v>0585</v>
      </c>
      <c r="H2907" t="str">
        <f>"0000"</f>
        <v>0000</v>
      </c>
      <c r="I2907" t="s">
        <v>69</v>
      </c>
      <c r="J2907">
        <v>0</v>
      </c>
      <c r="K2907">
        <v>1</v>
      </c>
      <c r="L2907">
        <v>2</v>
      </c>
      <c r="M2907">
        <v>223</v>
      </c>
      <c r="N2907">
        <v>258</v>
      </c>
      <c r="O2907">
        <v>4</v>
      </c>
      <c r="P2907">
        <v>258</v>
      </c>
      <c r="Q2907">
        <v>45</v>
      </c>
      <c r="R2907">
        <v>76</v>
      </c>
      <c r="S2907">
        <v>2</v>
      </c>
      <c r="T2907">
        <v>3</v>
      </c>
      <c r="U2907">
        <v>5</v>
      </c>
      <c r="V2907">
        <v>5</v>
      </c>
      <c r="W2907">
        <v>0</v>
      </c>
      <c r="X2907">
        <v>92</v>
      </c>
      <c r="Y2907">
        <v>4</v>
      </c>
      <c r="Z2907">
        <v>5</v>
      </c>
      <c r="AA2907">
        <v>2</v>
      </c>
      <c r="AB2907">
        <v>5</v>
      </c>
      <c r="AD2907">
        <v>4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8</v>
      </c>
      <c r="AK2907">
        <v>258</v>
      </c>
      <c r="AL2907">
        <v>256</v>
      </c>
      <c r="AM2907">
        <v>437</v>
      </c>
      <c r="AN2907">
        <v>44</v>
      </c>
      <c r="AP2907">
        <v>1</v>
      </c>
      <c r="AR2907" t="s">
        <v>3002</v>
      </c>
      <c r="AS2907" s="1">
        <v>44354.018750000003</v>
      </c>
      <c r="AT2907" s="1">
        <v>44354.02753472222</v>
      </c>
      <c r="AU2907" s="1">
        <v>44354.028101851851</v>
      </c>
      <c r="AV2907" t="s">
        <v>71</v>
      </c>
      <c r="AW2907" t="s">
        <v>72</v>
      </c>
      <c r="AX2907" t="s">
        <v>73</v>
      </c>
    </row>
    <row r="2908" spans="1:50" x14ac:dyDescent="0.3">
      <c r="A2908" t="str">
        <f>"200585C0100"</f>
        <v>200585C0100</v>
      </c>
      <c r="B2908" t="str">
        <f>"200585C01002"</f>
        <v>200585C01002</v>
      </c>
      <c r="C2908" t="str">
        <f t="shared" si="141"/>
        <v>20</v>
      </c>
      <c r="D2908" t="s">
        <v>67</v>
      </c>
      <c r="E2908" t="str">
        <f t="shared" si="140"/>
        <v>013</v>
      </c>
      <c r="F2908" t="s">
        <v>2914</v>
      </c>
      <c r="G2908" t="str">
        <f>"0585"</f>
        <v>0585</v>
      </c>
      <c r="H2908" t="str">
        <f>"0001"</f>
        <v>0001</v>
      </c>
      <c r="I2908" t="s">
        <v>75</v>
      </c>
      <c r="J2908">
        <v>0</v>
      </c>
      <c r="K2908">
        <v>1</v>
      </c>
      <c r="L2908">
        <v>2</v>
      </c>
      <c r="M2908">
        <v>238</v>
      </c>
      <c r="N2908">
        <v>243</v>
      </c>
      <c r="O2908">
        <v>3</v>
      </c>
      <c r="P2908">
        <v>243</v>
      </c>
      <c r="Q2908">
        <v>40</v>
      </c>
      <c r="R2908">
        <v>64</v>
      </c>
      <c r="S2908">
        <v>5</v>
      </c>
      <c r="T2908">
        <v>4</v>
      </c>
      <c r="U2908">
        <v>4</v>
      </c>
      <c r="V2908">
        <v>9</v>
      </c>
      <c r="W2908">
        <v>1</v>
      </c>
      <c r="X2908">
        <v>105</v>
      </c>
      <c r="Y2908">
        <v>0</v>
      </c>
      <c r="Z2908">
        <v>6</v>
      </c>
      <c r="AA2908">
        <v>0</v>
      </c>
      <c r="AB2908">
        <v>3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2</v>
      </c>
      <c r="AK2908">
        <v>243</v>
      </c>
      <c r="AL2908">
        <v>243</v>
      </c>
      <c r="AM2908">
        <v>437</v>
      </c>
      <c r="AN2908">
        <v>44</v>
      </c>
      <c r="AP2908">
        <v>1</v>
      </c>
      <c r="AR2908" t="s">
        <v>3003</v>
      </c>
      <c r="AS2908" s="1">
        <v>44354.147222222222</v>
      </c>
      <c r="AT2908" s="1">
        <v>44354.157349537039</v>
      </c>
      <c r="AU2908" s="1">
        <v>44354.157766203702</v>
      </c>
      <c r="AV2908" t="s">
        <v>71</v>
      </c>
      <c r="AW2908" t="s">
        <v>72</v>
      </c>
      <c r="AX2908" t="s">
        <v>73</v>
      </c>
    </row>
    <row r="2909" spans="1:50" x14ac:dyDescent="0.3">
      <c r="A2909" t="str">
        <f>"200586B0000"</f>
        <v>200586B0000</v>
      </c>
      <c r="B2909" t="str">
        <f>"200586B00002"</f>
        <v>200586B00002</v>
      </c>
      <c r="C2909" t="str">
        <f t="shared" si="141"/>
        <v>20</v>
      </c>
      <c r="D2909" t="s">
        <v>67</v>
      </c>
      <c r="E2909" t="str">
        <f t="shared" si="140"/>
        <v>013</v>
      </c>
      <c r="F2909" t="s">
        <v>2914</v>
      </c>
      <c r="G2909" t="str">
        <f>"0586"</f>
        <v>0586</v>
      </c>
      <c r="H2909" t="str">
        <f>"0000"</f>
        <v>0000</v>
      </c>
      <c r="I2909" t="s">
        <v>69</v>
      </c>
      <c r="J2909">
        <v>0</v>
      </c>
      <c r="K2909">
        <v>1</v>
      </c>
      <c r="L2909">
        <v>2</v>
      </c>
      <c r="M2909">
        <v>287</v>
      </c>
      <c r="N2909">
        <v>344</v>
      </c>
      <c r="O2909">
        <v>4</v>
      </c>
      <c r="P2909">
        <v>344</v>
      </c>
      <c r="Q2909">
        <v>20</v>
      </c>
      <c r="R2909">
        <v>70</v>
      </c>
      <c r="S2909">
        <v>4</v>
      </c>
      <c r="T2909">
        <v>3</v>
      </c>
      <c r="U2909">
        <v>9</v>
      </c>
      <c r="V2909">
        <v>6</v>
      </c>
      <c r="W2909">
        <v>1</v>
      </c>
      <c r="X2909">
        <v>202</v>
      </c>
      <c r="Y2909">
        <v>2</v>
      </c>
      <c r="Z2909">
        <v>5</v>
      </c>
      <c r="AA2909">
        <v>3</v>
      </c>
      <c r="AB2909">
        <v>10</v>
      </c>
      <c r="AD2909">
        <v>2</v>
      </c>
      <c r="AE2909">
        <v>0</v>
      </c>
      <c r="AF2909">
        <v>0</v>
      </c>
      <c r="AG2909">
        <v>0</v>
      </c>
      <c r="AH2909">
        <v>0</v>
      </c>
      <c r="AI2909">
        <v>1</v>
      </c>
      <c r="AJ2909">
        <v>6</v>
      </c>
      <c r="AK2909">
        <v>344</v>
      </c>
      <c r="AL2909">
        <v>344</v>
      </c>
      <c r="AM2909">
        <v>587</v>
      </c>
      <c r="AN2909">
        <v>44</v>
      </c>
      <c r="AP2909">
        <v>1</v>
      </c>
      <c r="AR2909" t="s">
        <v>3004</v>
      </c>
      <c r="AS2909" s="1">
        <v>44354.022916666669</v>
      </c>
      <c r="AT2909" s="1">
        <v>44354.031921296293</v>
      </c>
      <c r="AU2909" s="1">
        <v>44354.032754629632</v>
      </c>
      <c r="AV2909" t="s">
        <v>71</v>
      </c>
      <c r="AW2909" t="s">
        <v>72</v>
      </c>
      <c r="AX2909" t="s">
        <v>73</v>
      </c>
    </row>
    <row r="2910" spans="1:50" x14ac:dyDescent="0.3">
      <c r="A2910" t="str">
        <f>"200586C0100"</f>
        <v>200586C0100</v>
      </c>
      <c r="B2910" t="str">
        <f>"200586C01002"</f>
        <v>200586C01002</v>
      </c>
      <c r="C2910" t="str">
        <f t="shared" si="141"/>
        <v>20</v>
      </c>
      <c r="D2910" t="s">
        <v>67</v>
      </c>
      <c r="E2910" t="str">
        <f t="shared" si="140"/>
        <v>013</v>
      </c>
      <c r="F2910" t="s">
        <v>2914</v>
      </c>
      <c r="G2910" t="str">
        <f>"0586"</f>
        <v>0586</v>
      </c>
      <c r="H2910" t="str">
        <f>"0001"</f>
        <v>0001</v>
      </c>
      <c r="I2910" t="s">
        <v>75</v>
      </c>
      <c r="J2910">
        <v>0</v>
      </c>
      <c r="K2910">
        <v>1</v>
      </c>
      <c r="L2910">
        <v>2</v>
      </c>
      <c r="M2910">
        <v>294</v>
      </c>
      <c r="N2910">
        <v>337</v>
      </c>
      <c r="O2910">
        <v>2</v>
      </c>
      <c r="P2910">
        <v>337</v>
      </c>
      <c r="Q2910">
        <v>15</v>
      </c>
      <c r="R2910">
        <v>78</v>
      </c>
      <c r="S2910">
        <v>3</v>
      </c>
      <c r="T2910">
        <v>4</v>
      </c>
      <c r="U2910">
        <v>10</v>
      </c>
      <c r="V2910">
        <v>10</v>
      </c>
      <c r="W2910">
        <v>3</v>
      </c>
      <c r="X2910">
        <v>181</v>
      </c>
      <c r="Y2910">
        <v>3</v>
      </c>
      <c r="Z2910">
        <v>4</v>
      </c>
      <c r="AA2910">
        <v>0</v>
      </c>
      <c r="AB2910">
        <v>12</v>
      </c>
      <c r="AD2910">
        <v>1</v>
      </c>
      <c r="AE2910">
        <v>1</v>
      </c>
      <c r="AF2910">
        <v>0</v>
      </c>
      <c r="AG2910">
        <v>0</v>
      </c>
      <c r="AH2910">
        <v>0</v>
      </c>
      <c r="AI2910">
        <v>0</v>
      </c>
      <c r="AJ2910">
        <v>13</v>
      </c>
      <c r="AK2910">
        <v>337</v>
      </c>
      <c r="AL2910">
        <v>338</v>
      </c>
      <c r="AM2910">
        <v>587</v>
      </c>
      <c r="AN2910">
        <v>44</v>
      </c>
      <c r="AP2910">
        <v>1</v>
      </c>
      <c r="AR2910" t="s">
        <v>3005</v>
      </c>
      <c r="AS2910" s="1">
        <v>44354.020833333336</v>
      </c>
      <c r="AT2910" s="1">
        <v>44354.02957175926</v>
      </c>
      <c r="AU2910" s="1">
        <v>44354.030162037037</v>
      </c>
      <c r="AV2910" t="s">
        <v>71</v>
      </c>
      <c r="AW2910" t="s">
        <v>72</v>
      </c>
      <c r="AX2910" t="s">
        <v>73</v>
      </c>
    </row>
    <row r="2911" spans="1:50" x14ac:dyDescent="0.3">
      <c r="A2911" t="str">
        <f>"200587B0000"</f>
        <v>200587B0000</v>
      </c>
      <c r="B2911" t="str">
        <f>"200587B00002"</f>
        <v>200587B00002</v>
      </c>
      <c r="C2911" t="str">
        <f t="shared" si="141"/>
        <v>20</v>
      </c>
      <c r="D2911" t="s">
        <v>67</v>
      </c>
      <c r="E2911" t="str">
        <f t="shared" si="140"/>
        <v>013</v>
      </c>
      <c r="F2911" t="s">
        <v>2914</v>
      </c>
      <c r="G2911" t="str">
        <f>"0587"</f>
        <v>0587</v>
      </c>
      <c r="H2911" t="str">
        <f>"0000"</f>
        <v>0000</v>
      </c>
      <c r="I2911" t="s">
        <v>69</v>
      </c>
      <c r="J2911">
        <v>0</v>
      </c>
      <c r="K2911">
        <v>1</v>
      </c>
      <c r="L2911">
        <v>2</v>
      </c>
      <c r="M2911" t="s">
        <v>99</v>
      </c>
      <c r="N2911">
        <v>369</v>
      </c>
      <c r="O2911">
        <v>2</v>
      </c>
      <c r="P2911">
        <v>370</v>
      </c>
      <c r="Q2911">
        <v>38</v>
      </c>
      <c r="R2911">
        <v>66</v>
      </c>
      <c r="S2911">
        <v>3</v>
      </c>
      <c r="T2911">
        <v>2</v>
      </c>
      <c r="U2911">
        <v>8</v>
      </c>
      <c r="V2911">
        <v>7</v>
      </c>
      <c r="W2911">
        <v>5</v>
      </c>
      <c r="X2911">
        <v>197</v>
      </c>
      <c r="Y2911">
        <v>5</v>
      </c>
      <c r="Z2911">
        <v>6</v>
      </c>
      <c r="AA2911">
        <v>4</v>
      </c>
      <c r="AB2911">
        <v>12</v>
      </c>
      <c r="AD2911">
        <v>3</v>
      </c>
      <c r="AE2911" t="s">
        <v>77</v>
      </c>
      <c r="AF2911">
        <v>1</v>
      </c>
      <c r="AG2911" t="s">
        <v>77</v>
      </c>
      <c r="AH2911">
        <v>1</v>
      </c>
      <c r="AI2911" t="s">
        <v>77</v>
      </c>
      <c r="AJ2911">
        <v>12</v>
      </c>
      <c r="AK2911">
        <v>370</v>
      </c>
      <c r="AL2911">
        <v>370</v>
      </c>
      <c r="AM2911">
        <v>670</v>
      </c>
      <c r="AN2911">
        <v>44</v>
      </c>
      <c r="AO2911" t="s">
        <v>78</v>
      </c>
      <c r="AP2911">
        <v>1</v>
      </c>
      <c r="AR2911" t="s">
        <v>3006</v>
      </c>
      <c r="AS2911" s="1">
        <v>44354.086805555555</v>
      </c>
      <c r="AT2911" s="1">
        <v>44354.099085648151</v>
      </c>
      <c r="AU2911" s="1">
        <v>44354.099780092591</v>
      </c>
      <c r="AV2911" t="s">
        <v>71</v>
      </c>
      <c r="AW2911" t="s">
        <v>72</v>
      </c>
      <c r="AX2911" t="s">
        <v>73</v>
      </c>
    </row>
    <row r="2912" spans="1:50" x14ac:dyDescent="0.3">
      <c r="A2912" t="str">
        <f>"200587C0100"</f>
        <v>200587C0100</v>
      </c>
      <c r="B2912" t="str">
        <f>"200587C01002"</f>
        <v>200587C01002</v>
      </c>
      <c r="C2912" t="str">
        <f t="shared" si="141"/>
        <v>20</v>
      </c>
      <c r="D2912" t="s">
        <v>67</v>
      </c>
      <c r="E2912" t="str">
        <f t="shared" si="140"/>
        <v>013</v>
      </c>
      <c r="F2912" t="s">
        <v>2914</v>
      </c>
      <c r="G2912" t="str">
        <f>"0587"</f>
        <v>0587</v>
      </c>
      <c r="H2912" t="str">
        <f>"0001"</f>
        <v>0001</v>
      </c>
      <c r="I2912" t="s">
        <v>75</v>
      </c>
      <c r="J2912">
        <v>0</v>
      </c>
      <c r="K2912">
        <v>1</v>
      </c>
      <c r="L2912">
        <v>2</v>
      </c>
      <c r="M2912">
        <v>381</v>
      </c>
      <c r="N2912">
        <v>332</v>
      </c>
      <c r="O2912">
        <v>2</v>
      </c>
      <c r="P2912">
        <v>331</v>
      </c>
      <c r="Q2912">
        <v>28</v>
      </c>
      <c r="R2912">
        <v>54</v>
      </c>
      <c r="S2912">
        <v>2</v>
      </c>
      <c r="T2912">
        <v>6</v>
      </c>
      <c r="U2912">
        <v>17</v>
      </c>
      <c r="V2912">
        <v>7</v>
      </c>
      <c r="W2912">
        <v>8</v>
      </c>
      <c r="X2912">
        <v>182</v>
      </c>
      <c r="Y2912">
        <v>3</v>
      </c>
      <c r="Z2912">
        <v>3</v>
      </c>
      <c r="AA2912">
        <v>0</v>
      </c>
      <c r="AB2912">
        <v>10</v>
      </c>
      <c r="AD2912">
        <v>2</v>
      </c>
      <c r="AE2912">
        <v>1</v>
      </c>
      <c r="AF2912">
        <v>0</v>
      </c>
      <c r="AG2912">
        <v>0</v>
      </c>
      <c r="AH2912">
        <v>0</v>
      </c>
      <c r="AI2912">
        <v>0</v>
      </c>
      <c r="AJ2912">
        <v>9</v>
      </c>
      <c r="AK2912">
        <v>332</v>
      </c>
      <c r="AL2912">
        <v>332</v>
      </c>
      <c r="AM2912">
        <v>669</v>
      </c>
      <c r="AN2912">
        <v>44</v>
      </c>
      <c r="AP2912">
        <v>1</v>
      </c>
      <c r="AR2912" t="s">
        <v>3007</v>
      </c>
      <c r="AS2912" s="1">
        <v>44354.051388888889</v>
      </c>
      <c r="AT2912" s="1">
        <v>44354.062511574077</v>
      </c>
      <c r="AU2912" s="1">
        <v>44354.0628125</v>
      </c>
      <c r="AV2912" t="s">
        <v>71</v>
      </c>
      <c r="AW2912" t="s">
        <v>72</v>
      </c>
      <c r="AX2912" t="s">
        <v>73</v>
      </c>
    </row>
    <row r="2913" spans="1:50" x14ac:dyDescent="0.3">
      <c r="A2913" t="str">
        <f>"200588B0000"</f>
        <v>200588B0000</v>
      </c>
      <c r="B2913" t="str">
        <f>"200588B00002"</f>
        <v>200588B00002</v>
      </c>
      <c r="C2913" t="str">
        <f t="shared" si="141"/>
        <v>20</v>
      </c>
      <c r="D2913" t="s">
        <v>67</v>
      </c>
      <c r="E2913" t="str">
        <f t="shared" si="140"/>
        <v>013</v>
      </c>
      <c r="F2913" t="s">
        <v>2914</v>
      </c>
      <c r="G2913" t="str">
        <f>"0588"</f>
        <v>0588</v>
      </c>
      <c r="H2913" t="str">
        <f>"0000"</f>
        <v>0000</v>
      </c>
      <c r="I2913" t="s">
        <v>69</v>
      </c>
      <c r="J2913">
        <v>0</v>
      </c>
      <c r="K2913">
        <v>1</v>
      </c>
      <c r="L2913">
        <v>2</v>
      </c>
      <c r="M2913">
        <v>279</v>
      </c>
      <c r="N2913">
        <v>309</v>
      </c>
      <c r="O2913">
        <v>4</v>
      </c>
      <c r="P2913">
        <v>309</v>
      </c>
      <c r="Q2913">
        <v>13</v>
      </c>
      <c r="R2913">
        <v>74</v>
      </c>
      <c r="S2913">
        <v>6</v>
      </c>
      <c r="T2913">
        <v>3</v>
      </c>
      <c r="U2913">
        <v>8</v>
      </c>
      <c r="V2913">
        <v>8</v>
      </c>
      <c r="W2913">
        <v>2</v>
      </c>
      <c r="X2913">
        <v>156</v>
      </c>
      <c r="Y2913">
        <v>1</v>
      </c>
      <c r="Z2913">
        <v>9</v>
      </c>
      <c r="AA2913">
        <v>3</v>
      </c>
      <c r="AB2913">
        <v>11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15</v>
      </c>
      <c r="AK2913">
        <v>309</v>
      </c>
      <c r="AL2913">
        <v>309</v>
      </c>
      <c r="AM2913">
        <v>544</v>
      </c>
      <c r="AN2913">
        <v>44</v>
      </c>
      <c r="AP2913">
        <v>1</v>
      </c>
      <c r="AR2913" t="s">
        <v>3008</v>
      </c>
      <c r="AS2913" s="1">
        <v>44354.088888888888</v>
      </c>
      <c r="AT2913" s="1">
        <v>44354.10050925926</v>
      </c>
      <c r="AU2913" s="1">
        <v>44354.101203703707</v>
      </c>
      <c r="AV2913" t="s">
        <v>71</v>
      </c>
      <c r="AW2913" t="s">
        <v>72</v>
      </c>
      <c r="AX2913" t="s">
        <v>73</v>
      </c>
    </row>
    <row r="2914" spans="1:50" x14ac:dyDescent="0.3">
      <c r="A2914" t="str">
        <f>"200588C0100"</f>
        <v>200588C0100</v>
      </c>
      <c r="B2914" t="str">
        <f>"200588C01002"</f>
        <v>200588C01002</v>
      </c>
      <c r="C2914" t="str">
        <f t="shared" si="141"/>
        <v>20</v>
      </c>
      <c r="D2914" t="s">
        <v>67</v>
      </c>
      <c r="E2914" t="str">
        <f t="shared" si="140"/>
        <v>013</v>
      </c>
      <c r="F2914" t="s">
        <v>2914</v>
      </c>
      <c r="G2914" t="str">
        <f>"0588"</f>
        <v>0588</v>
      </c>
      <c r="H2914" t="str">
        <f>"0001"</f>
        <v>0001</v>
      </c>
      <c r="I2914" t="s">
        <v>75</v>
      </c>
      <c r="J2914">
        <v>0</v>
      </c>
      <c r="K2914">
        <v>1</v>
      </c>
      <c r="L2914">
        <v>2</v>
      </c>
      <c r="M2914" t="s">
        <v>80</v>
      </c>
      <c r="N2914">
        <v>277</v>
      </c>
      <c r="O2914">
        <v>3</v>
      </c>
      <c r="P2914">
        <v>277</v>
      </c>
      <c r="Q2914">
        <v>10</v>
      </c>
      <c r="R2914">
        <v>60</v>
      </c>
      <c r="S2914">
        <v>2</v>
      </c>
      <c r="T2914">
        <v>7</v>
      </c>
      <c r="U2914">
        <v>8</v>
      </c>
      <c r="V2914">
        <v>9</v>
      </c>
      <c r="W2914">
        <v>4</v>
      </c>
      <c r="X2914">
        <v>138</v>
      </c>
      <c r="Y2914">
        <v>2</v>
      </c>
      <c r="Z2914">
        <v>6</v>
      </c>
      <c r="AA2914">
        <v>4</v>
      </c>
      <c r="AB2914">
        <v>10</v>
      </c>
      <c r="AD2914">
        <v>2</v>
      </c>
      <c r="AE2914">
        <v>0</v>
      </c>
      <c r="AF2914">
        <v>0</v>
      </c>
      <c r="AG2914">
        <v>0</v>
      </c>
      <c r="AH2914">
        <v>0</v>
      </c>
      <c r="AI2914">
        <v>1</v>
      </c>
      <c r="AJ2914">
        <v>11</v>
      </c>
      <c r="AK2914">
        <v>274</v>
      </c>
      <c r="AL2914">
        <v>274</v>
      </c>
      <c r="AM2914">
        <v>544</v>
      </c>
      <c r="AN2914">
        <v>44</v>
      </c>
      <c r="AP2914">
        <v>1</v>
      </c>
      <c r="AR2914" t="s">
        <v>3009</v>
      </c>
      <c r="AS2914" s="1">
        <v>44354.043055555558</v>
      </c>
      <c r="AT2914" s="1">
        <v>44354.057824074072</v>
      </c>
      <c r="AU2914" s="1">
        <v>44354.058229166665</v>
      </c>
      <c r="AV2914" t="s">
        <v>71</v>
      </c>
      <c r="AW2914" t="s">
        <v>72</v>
      </c>
      <c r="AX2914" t="s">
        <v>73</v>
      </c>
    </row>
    <row r="2915" spans="1:50" x14ac:dyDescent="0.3">
      <c r="A2915" t="str">
        <f>"200589B0000"</f>
        <v>200589B0000</v>
      </c>
      <c r="B2915" t="str">
        <f>"200589B00002"</f>
        <v>200589B00002</v>
      </c>
      <c r="C2915" t="str">
        <f t="shared" si="141"/>
        <v>20</v>
      </c>
      <c r="D2915" t="s">
        <v>67</v>
      </c>
      <c r="E2915" t="str">
        <f t="shared" si="140"/>
        <v>013</v>
      </c>
      <c r="F2915" t="s">
        <v>2914</v>
      </c>
      <c r="G2915" t="str">
        <f>"0589"</f>
        <v>0589</v>
      </c>
      <c r="H2915" t="str">
        <f>"0000"</f>
        <v>0000</v>
      </c>
      <c r="I2915" t="s">
        <v>69</v>
      </c>
      <c r="J2915">
        <v>0</v>
      </c>
      <c r="K2915">
        <v>1</v>
      </c>
      <c r="L2915">
        <v>2</v>
      </c>
      <c r="M2915">
        <v>346</v>
      </c>
      <c r="N2915">
        <v>328</v>
      </c>
      <c r="O2915">
        <v>8</v>
      </c>
      <c r="P2915">
        <v>328</v>
      </c>
      <c r="Q2915">
        <v>48</v>
      </c>
      <c r="R2915">
        <v>84</v>
      </c>
      <c r="S2915">
        <v>5</v>
      </c>
      <c r="T2915">
        <v>3</v>
      </c>
      <c r="U2915">
        <v>5</v>
      </c>
      <c r="V2915">
        <v>9</v>
      </c>
      <c r="W2915">
        <v>3</v>
      </c>
      <c r="X2915">
        <v>139</v>
      </c>
      <c r="Y2915">
        <v>2</v>
      </c>
      <c r="Z2915">
        <v>8</v>
      </c>
      <c r="AA2915">
        <v>2</v>
      </c>
      <c r="AB2915">
        <v>2</v>
      </c>
      <c r="AD2915">
        <v>3</v>
      </c>
      <c r="AE2915">
        <v>1</v>
      </c>
      <c r="AF2915">
        <v>0</v>
      </c>
      <c r="AG2915">
        <v>0</v>
      </c>
      <c r="AH2915">
        <v>0</v>
      </c>
      <c r="AI2915">
        <v>0</v>
      </c>
      <c r="AJ2915">
        <v>14</v>
      </c>
      <c r="AK2915">
        <v>328</v>
      </c>
      <c r="AL2915">
        <v>328</v>
      </c>
      <c r="AM2915">
        <v>630</v>
      </c>
      <c r="AN2915">
        <v>44</v>
      </c>
      <c r="AP2915">
        <v>1</v>
      </c>
      <c r="AR2915" t="s">
        <v>3010</v>
      </c>
      <c r="AS2915" s="1">
        <v>44353.994444444441</v>
      </c>
      <c r="AT2915" s="1">
        <v>44354.001967592594</v>
      </c>
      <c r="AU2915" s="1">
        <v>44354.00271990741</v>
      </c>
      <c r="AV2915" t="s">
        <v>71</v>
      </c>
      <c r="AW2915" t="s">
        <v>72</v>
      </c>
      <c r="AX2915" t="s">
        <v>73</v>
      </c>
    </row>
    <row r="2916" spans="1:50" x14ac:dyDescent="0.3">
      <c r="A2916" t="str">
        <f>"200589C0100"</f>
        <v>200589C0100</v>
      </c>
      <c r="B2916" t="str">
        <f>"200589C01002"</f>
        <v>200589C01002</v>
      </c>
      <c r="C2916" t="str">
        <f t="shared" si="141"/>
        <v>20</v>
      </c>
      <c r="D2916" t="s">
        <v>67</v>
      </c>
      <c r="E2916" t="str">
        <f t="shared" si="140"/>
        <v>013</v>
      </c>
      <c r="F2916" t="s">
        <v>2914</v>
      </c>
      <c r="G2916" t="str">
        <f>"0589"</f>
        <v>0589</v>
      </c>
      <c r="H2916" t="str">
        <f>"0001"</f>
        <v>0001</v>
      </c>
      <c r="I2916" t="s">
        <v>75</v>
      </c>
      <c r="J2916">
        <v>0</v>
      </c>
      <c r="K2916">
        <v>1</v>
      </c>
      <c r="L2916">
        <v>2</v>
      </c>
      <c r="M2916">
        <v>340</v>
      </c>
      <c r="N2916">
        <v>333</v>
      </c>
      <c r="O2916">
        <v>3</v>
      </c>
      <c r="P2916">
        <v>333</v>
      </c>
      <c r="Q2916">
        <v>41</v>
      </c>
      <c r="R2916">
        <v>73</v>
      </c>
      <c r="S2916">
        <v>5</v>
      </c>
      <c r="T2916">
        <v>3</v>
      </c>
      <c r="U2916">
        <v>10</v>
      </c>
      <c r="V2916">
        <v>16</v>
      </c>
      <c r="W2916">
        <v>3</v>
      </c>
      <c r="X2916">
        <v>154</v>
      </c>
      <c r="Y2916">
        <v>1</v>
      </c>
      <c r="Z2916">
        <v>10</v>
      </c>
      <c r="AA2916">
        <v>2</v>
      </c>
      <c r="AB2916">
        <v>8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7</v>
      </c>
      <c r="AK2916">
        <v>333</v>
      </c>
      <c r="AL2916">
        <v>333</v>
      </c>
      <c r="AM2916">
        <v>629</v>
      </c>
      <c r="AN2916">
        <v>44</v>
      </c>
      <c r="AP2916">
        <v>1</v>
      </c>
      <c r="AR2916" t="s">
        <v>3011</v>
      </c>
      <c r="AS2916" s="1">
        <v>44354.025000000001</v>
      </c>
      <c r="AT2916" s="1">
        <v>44354.036273148151</v>
      </c>
      <c r="AU2916" s="1">
        <v>44354.036817129629</v>
      </c>
      <c r="AV2916" t="s">
        <v>71</v>
      </c>
      <c r="AW2916" t="s">
        <v>72</v>
      </c>
      <c r="AX2916" t="s">
        <v>73</v>
      </c>
    </row>
    <row r="2917" spans="1:50" x14ac:dyDescent="0.3">
      <c r="A2917" t="str">
        <f>"200590B0000"</f>
        <v>200590B0000</v>
      </c>
      <c r="B2917" t="str">
        <f>"200590B00002"</f>
        <v>200590B00002</v>
      </c>
      <c r="C2917" t="str">
        <f t="shared" si="141"/>
        <v>20</v>
      </c>
      <c r="D2917" t="s">
        <v>67</v>
      </c>
      <c r="E2917" t="str">
        <f t="shared" si="140"/>
        <v>013</v>
      </c>
      <c r="F2917" t="s">
        <v>2914</v>
      </c>
      <c r="G2917" t="str">
        <f>"0590"</f>
        <v>0590</v>
      </c>
      <c r="H2917" t="str">
        <f>"0000"</f>
        <v>0000</v>
      </c>
      <c r="I2917" t="s">
        <v>69</v>
      </c>
      <c r="J2917">
        <v>0</v>
      </c>
      <c r="K2917">
        <v>1</v>
      </c>
      <c r="L2917">
        <v>2</v>
      </c>
      <c r="M2917">
        <v>426</v>
      </c>
      <c r="N2917">
        <v>272</v>
      </c>
      <c r="O2917" t="s">
        <v>99</v>
      </c>
      <c r="P2917">
        <v>272</v>
      </c>
      <c r="Q2917">
        <v>25</v>
      </c>
      <c r="R2917">
        <v>46</v>
      </c>
      <c r="S2917">
        <v>3</v>
      </c>
      <c r="T2917">
        <v>6</v>
      </c>
      <c r="U2917">
        <v>6</v>
      </c>
      <c r="V2917">
        <v>6</v>
      </c>
      <c r="W2917">
        <v>2</v>
      </c>
      <c r="X2917">
        <v>152</v>
      </c>
      <c r="Y2917">
        <v>2</v>
      </c>
      <c r="Z2917">
        <v>8</v>
      </c>
      <c r="AA2917">
        <v>3</v>
      </c>
      <c r="AB2917">
        <v>4</v>
      </c>
      <c r="AD2917">
        <v>1</v>
      </c>
      <c r="AE2917">
        <v>1</v>
      </c>
      <c r="AF2917" t="s">
        <v>77</v>
      </c>
      <c r="AG2917" t="s">
        <v>77</v>
      </c>
      <c r="AH2917" t="s">
        <v>77</v>
      </c>
      <c r="AI2917" t="s">
        <v>77</v>
      </c>
      <c r="AJ2917">
        <v>7</v>
      </c>
      <c r="AK2917">
        <v>272</v>
      </c>
      <c r="AL2917">
        <v>272</v>
      </c>
      <c r="AM2917">
        <v>654</v>
      </c>
      <c r="AN2917">
        <v>44</v>
      </c>
      <c r="AO2917" t="s">
        <v>78</v>
      </c>
      <c r="AP2917">
        <v>1</v>
      </c>
      <c r="AR2917" t="s">
        <v>3012</v>
      </c>
      <c r="AS2917" s="1">
        <v>44354.005555555559</v>
      </c>
      <c r="AT2917" s="1">
        <v>44354.010648148149</v>
      </c>
      <c r="AU2917" s="1">
        <v>44354.011192129627</v>
      </c>
      <c r="AV2917" t="s">
        <v>71</v>
      </c>
      <c r="AW2917" t="s">
        <v>72</v>
      </c>
      <c r="AX2917" t="s">
        <v>73</v>
      </c>
    </row>
    <row r="2918" spans="1:50" x14ac:dyDescent="0.3">
      <c r="A2918" t="str">
        <f>"200590C0100"</f>
        <v>200590C0100</v>
      </c>
      <c r="B2918" t="str">
        <f>"200590C01002"</f>
        <v>200590C01002</v>
      </c>
      <c r="C2918" t="str">
        <f t="shared" si="141"/>
        <v>20</v>
      </c>
      <c r="D2918" t="s">
        <v>67</v>
      </c>
      <c r="E2918" t="str">
        <f t="shared" si="140"/>
        <v>013</v>
      </c>
      <c r="F2918" t="s">
        <v>2914</v>
      </c>
      <c r="G2918" t="str">
        <f>"0590"</f>
        <v>0590</v>
      </c>
      <c r="H2918" t="str">
        <f>"0001"</f>
        <v>0001</v>
      </c>
      <c r="I2918" t="s">
        <v>75</v>
      </c>
      <c r="J2918">
        <v>0</v>
      </c>
      <c r="K2918">
        <v>1</v>
      </c>
      <c r="L2918">
        <v>2</v>
      </c>
      <c r="M2918">
        <v>432</v>
      </c>
      <c r="N2918">
        <v>260</v>
      </c>
      <c r="O2918">
        <v>0</v>
      </c>
      <c r="P2918">
        <v>264</v>
      </c>
      <c r="Q2918">
        <v>13</v>
      </c>
      <c r="R2918">
        <v>36</v>
      </c>
      <c r="S2918">
        <v>2</v>
      </c>
      <c r="T2918">
        <v>8</v>
      </c>
      <c r="U2918">
        <v>10</v>
      </c>
      <c r="V2918">
        <v>9</v>
      </c>
      <c r="W2918">
        <v>5</v>
      </c>
      <c r="X2918">
        <v>154</v>
      </c>
      <c r="Y2918">
        <v>1</v>
      </c>
      <c r="Z2918">
        <v>7</v>
      </c>
      <c r="AA2918">
        <v>2</v>
      </c>
      <c r="AB2918">
        <v>5</v>
      </c>
      <c r="AD2918">
        <v>1</v>
      </c>
      <c r="AE2918">
        <v>0</v>
      </c>
      <c r="AF2918">
        <v>0</v>
      </c>
      <c r="AG2918">
        <v>1</v>
      </c>
      <c r="AH2918">
        <v>0</v>
      </c>
      <c r="AI2918">
        <v>0</v>
      </c>
      <c r="AJ2918">
        <v>10</v>
      </c>
      <c r="AK2918">
        <v>264</v>
      </c>
      <c r="AL2918">
        <v>264</v>
      </c>
      <c r="AM2918">
        <v>653</v>
      </c>
      <c r="AN2918">
        <v>44</v>
      </c>
      <c r="AP2918">
        <v>1</v>
      </c>
      <c r="AR2918" t="s">
        <v>3013</v>
      </c>
      <c r="AS2918" s="1">
        <v>44354.001388888886</v>
      </c>
      <c r="AT2918" s="1">
        <v>44354.00712962963</v>
      </c>
      <c r="AU2918" s="1">
        <v>44354.008356481485</v>
      </c>
      <c r="AV2918" t="s">
        <v>71</v>
      </c>
      <c r="AW2918" t="s">
        <v>72</v>
      </c>
      <c r="AX2918" t="s">
        <v>73</v>
      </c>
    </row>
    <row r="2919" spans="1:50" x14ac:dyDescent="0.3">
      <c r="A2919" t="str">
        <f>"200591B0000"</f>
        <v>200591B0000</v>
      </c>
      <c r="B2919" t="str">
        <f>"200591B00002"</f>
        <v>200591B00002</v>
      </c>
      <c r="C2919" t="str">
        <f t="shared" si="141"/>
        <v>20</v>
      </c>
      <c r="D2919" t="s">
        <v>67</v>
      </c>
      <c r="E2919" t="str">
        <f t="shared" si="140"/>
        <v>013</v>
      </c>
      <c r="F2919" t="s">
        <v>2914</v>
      </c>
      <c r="G2919" t="str">
        <f>"0591"</f>
        <v>0591</v>
      </c>
      <c r="H2919" t="str">
        <f>"0000"</f>
        <v>0000</v>
      </c>
      <c r="I2919" t="s">
        <v>69</v>
      </c>
      <c r="J2919">
        <v>0</v>
      </c>
      <c r="K2919">
        <v>1</v>
      </c>
      <c r="L2919">
        <v>2</v>
      </c>
      <c r="M2919">
        <v>364</v>
      </c>
      <c r="N2919">
        <v>281</v>
      </c>
      <c r="O2919">
        <v>5</v>
      </c>
      <c r="P2919">
        <v>281</v>
      </c>
      <c r="Q2919">
        <v>21</v>
      </c>
      <c r="R2919">
        <v>51</v>
      </c>
      <c r="S2919">
        <v>4</v>
      </c>
      <c r="T2919">
        <v>2</v>
      </c>
      <c r="U2919">
        <v>4</v>
      </c>
      <c r="V2919">
        <v>6</v>
      </c>
      <c r="W2919">
        <v>1</v>
      </c>
      <c r="X2919">
        <v>150</v>
      </c>
      <c r="Y2919">
        <v>9</v>
      </c>
      <c r="Z2919">
        <v>6</v>
      </c>
      <c r="AA2919">
        <v>12</v>
      </c>
      <c r="AB2919">
        <v>6</v>
      </c>
      <c r="AD2919" t="s">
        <v>77</v>
      </c>
      <c r="AE2919" t="s">
        <v>77</v>
      </c>
      <c r="AF2919" t="s">
        <v>77</v>
      </c>
      <c r="AG2919" t="s">
        <v>77</v>
      </c>
      <c r="AH2919" t="s">
        <v>77</v>
      </c>
      <c r="AI2919" t="s">
        <v>77</v>
      </c>
      <c r="AJ2919">
        <v>9</v>
      </c>
      <c r="AK2919">
        <v>281</v>
      </c>
      <c r="AL2919">
        <v>281</v>
      </c>
      <c r="AM2919">
        <v>601</v>
      </c>
      <c r="AN2919">
        <v>44</v>
      </c>
      <c r="AO2919" t="s">
        <v>78</v>
      </c>
      <c r="AP2919">
        <v>1</v>
      </c>
      <c r="AR2919" t="s">
        <v>3014</v>
      </c>
      <c r="AS2919" s="1">
        <v>44354.107638888891</v>
      </c>
      <c r="AT2919" s="1">
        <v>44354.126331018517</v>
      </c>
      <c r="AU2919" s="1">
        <v>44354.126840277779</v>
      </c>
      <c r="AV2919" t="s">
        <v>71</v>
      </c>
      <c r="AW2919" t="s">
        <v>72</v>
      </c>
      <c r="AX2919" t="s">
        <v>73</v>
      </c>
    </row>
    <row r="2920" spans="1:50" x14ac:dyDescent="0.3">
      <c r="A2920" t="str">
        <f>"200591C0100"</f>
        <v>200591C0100</v>
      </c>
      <c r="B2920" t="str">
        <f>"200591C01002"</f>
        <v>200591C01002</v>
      </c>
      <c r="C2920" t="str">
        <f t="shared" si="141"/>
        <v>20</v>
      </c>
      <c r="D2920" t="s">
        <v>67</v>
      </c>
      <c r="E2920" t="str">
        <f t="shared" si="140"/>
        <v>013</v>
      </c>
      <c r="F2920" t="s">
        <v>2914</v>
      </c>
      <c r="G2920" t="str">
        <f>"0591"</f>
        <v>0591</v>
      </c>
      <c r="H2920" t="str">
        <f>"0001"</f>
        <v>0001</v>
      </c>
      <c r="I2920" t="s">
        <v>75</v>
      </c>
      <c r="J2920">
        <v>0</v>
      </c>
      <c r="K2920">
        <v>1</v>
      </c>
      <c r="L2920">
        <v>2</v>
      </c>
      <c r="M2920">
        <v>355</v>
      </c>
      <c r="N2920">
        <v>288</v>
      </c>
      <c r="O2920">
        <v>4</v>
      </c>
      <c r="P2920">
        <v>288</v>
      </c>
      <c r="Q2920">
        <v>22</v>
      </c>
      <c r="R2920">
        <v>66</v>
      </c>
      <c r="S2920">
        <v>4</v>
      </c>
      <c r="T2920">
        <v>4</v>
      </c>
      <c r="U2920">
        <v>6</v>
      </c>
      <c r="V2920">
        <v>9</v>
      </c>
      <c r="W2920">
        <v>5</v>
      </c>
      <c r="X2920">
        <v>134</v>
      </c>
      <c r="Y2920">
        <v>6</v>
      </c>
      <c r="Z2920">
        <v>5</v>
      </c>
      <c r="AA2920">
        <v>8</v>
      </c>
      <c r="AB2920">
        <v>9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10</v>
      </c>
      <c r="AK2920">
        <v>288</v>
      </c>
      <c r="AL2920">
        <v>288</v>
      </c>
      <c r="AM2920">
        <v>600</v>
      </c>
      <c r="AN2920">
        <v>44</v>
      </c>
      <c r="AP2920">
        <v>1</v>
      </c>
      <c r="AR2920" t="s">
        <v>3015</v>
      </c>
      <c r="AS2920" s="1">
        <v>44354.100694444445</v>
      </c>
      <c r="AT2920" s="1">
        <v>44354.115729166668</v>
      </c>
      <c r="AU2920" s="1">
        <v>44354.116157407407</v>
      </c>
      <c r="AV2920" t="s">
        <v>71</v>
      </c>
      <c r="AW2920" t="s">
        <v>72</v>
      </c>
      <c r="AX2920" t="s">
        <v>73</v>
      </c>
    </row>
    <row r="2921" spans="1:50" x14ac:dyDescent="0.3">
      <c r="A2921" t="str">
        <f>"200592B0000"</f>
        <v>200592B0000</v>
      </c>
      <c r="B2921" t="str">
        <f>"200592B00002"</f>
        <v>200592B00002</v>
      </c>
      <c r="C2921" t="str">
        <f t="shared" si="141"/>
        <v>20</v>
      </c>
      <c r="D2921" t="s">
        <v>67</v>
      </c>
      <c r="E2921" t="str">
        <f t="shared" si="140"/>
        <v>013</v>
      </c>
      <c r="F2921" t="s">
        <v>2914</v>
      </c>
      <c r="G2921" t="str">
        <f>"0592"</f>
        <v>0592</v>
      </c>
      <c r="H2921" t="str">
        <f>"0000"</f>
        <v>0000</v>
      </c>
      <c r="I2921" t="s">
        <v>69</v>
      </c>
      <c r="J2921">
        <v>0</v>
      </c>
      <c r="K2921">
        <v>1</v>
      </c>
      <c r="L2921">
        <v>2</v>
      </c>
      <c r="M2921">
        <v>368</v>
      </c>
      <c r="N2921">
        <v>327</v>
      </c>
      <c r="O2921">
        <v>8</v>
      </c>
      <c r="P2921" t="s">
        <v>80</v>
      </c>
      <c r="Q2921">
        <v>26</v>
      </c>
      <c r="R2921">
        <v>64</v>
      </c>
      <c r="S2921">
        <v>0</v>
      </c>
      <c r="T2921">
        <v>6</v>
      </c>
      <c r="U2921">
        <v>11</v>
      </c>
      <c r="V2921">
        <v>4</v>
      </c>
      <c r="W2921">
        <v>7</v>
      </c>
      <c r="X2921">
        <v>174</v>
      </c>
      <c r="Y2921">
        <v>7</v>
      </c>
      <c r="Z2921">
        <v>6</v>
      </c>
      <c r="AA2921">
        <v>3</v>
      </c>
      <c r="AB2921">
        <v>7</v>
      </c>
      <c r="AD2921">
        <v>2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10</v>
      </c>
      <c r="AK2921">
        <v>327</v>
      </c>
      <c r="AL2921">
        <v>327</v>
      </c>
      <c r="AM2921">
        <v>651</v>
      </c>
      <c r="AN2921">
        <v>44</v>
      </c>
      <c r="AP2921">
        <v>1</v>
      </c>
      <c r="AR2921" t="s">
        <v>3016</v>
      </c>
      <c r="AS2921" s="1">
        <v>44354.106944444444</v>
      </c>
      <c r="AT2921" s="1">
        <v>44354.124479166669</v>
      </c>
      <c r="AU2921" s="1">
        <v>44354.125393518516</v>
      </c>
      <c r="AV2921" t="s">
        <v>71</v>
      </c>
      <c r="AW2921" t="s">
        <v>72</v>
      </c>
      <c r="AX2921" t="s">
        <v>73</v>
      </c>
    </row>
    <row r="2922" spans="1:50" x14ac:dyDescent="0.3">
      <c r="A2922" t="str">
        <f>"200592C0100"</f>
        <v>200592C0100</v>
      </c>
      <c r="B2922" t="str">
        <f>"200592C01002"</f>
        <v>200592C01002</v>
      </c>
      <c r="C2922" t="str">
        <f t="shared" si="141"/>
        <v>20</v>
      </c>
      <c r="D2922" t="s">
        <v>67</v>
      </c>
      <c r="E2922" t="str">
        <f t="shared" si="140"/>
        <v>013</v>
      </c>
      <c r="F2922" t="s">
        <v>2914</v>
      </c>
      <c r="G2922" t="str">
        <f>"0592"</f>
        <v>0592</v>
      </c>
      <c r="H2922" t="str">
        <f>"0001"</f>
        <v>0001</v>
      </c>
      <c r="I2922" t="s">
        <v>75</v>
      </c>
      <c r="J2922">
        <v>0</v>
      </c>
      <c r="K2922">
        <v>1</v>
      </c>
      <c r="L2922">
        <v>2</v>
      </c>
      <c r="M2922">
        <v>361</v>
      </c>
      <c r="N2922">
        <v>334</v>
      </c>
      <c r="O2922">
        <v>9</v>
      </c>
      <c r="P2922">
        <v>334</v>
      </c>
      <c r="Q2922">
        <v>13</v>
      </c>
      <c r="R2922">
        <v>66</v>
      </c>
      <c r="S2922">
        <v>4</v>
      </c>
      <c r="T2922">
        <v>4</v>
      </c>
      <c r="U2922">
        <v>11</v>
      </c>
      <c r="V2922">
        <v>9</v>
      </c>
      <c r="W2922">
        <v>11</v>
      </c>
      <c r="X2922">
        <v>173</v>
      </c>
      <c r="Y2922">
        <v>10</v>
      </c>
      <c r="Z2922">
        <v>8</v>
      </c>
      <c r="AA2922">
        <v>6</v>
      </c>
      <c r="AB2922">
        <v>7</v>
      </c>
      <c r="AD2922">
        <v>2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10</v>
      </c>
      <c r="AK2922">
        <v>334</v>
      </c>
      <c r="AL2922">
        <v>334</v>
      </c>
      <c r="AM2922">
        <v>651</v>
      </c>
      <c r="AN2922">
        <v>44</v>
      </c>
      <c r="AP2922">
        <v>1</v>
      </c>
      <c r="AR2922" t="s">
        <v>3017</v>
      </c>
      <c r="AS2922" s="1">
        <v>44354.111805555556</v>
      </c>
      <c r="AT2922" s="1">
        <v>44354.130416666667</v>
      </c>
      <c r="AU2922" s="1">
        <v>44354.131192129629</v>
      </c>
      <c r="AV2922" t="s">
        <v>71</v>
      </c>
      <c r="AW2922" t="s">
        <v>72</v>
      </c>
      <c r="AX2922" t="s">
        <v>73</v>
      </c>
    </row>
    <row r="2923" spans="1:50" x14ac:dyDescent="0.3">
      <c r="A2923" t="str">
        <f>"200593B0000"</f>
        <v>200593B0000</v>
      </c>
      <c r="B2923" t="str">
        <f>"200593B00002"</f>
        <v>200593B00002</v>
      </c>
      <c r="C2923" t="str">
        <f t="shared" si="141"/>
        <v>20</v>
      </c>
      <c r="D2923" t="s">
        <v>67</v>
      </c>
      <c r="E2923" t="str">
        <f t="shared" si="140"/>
        <v>013</v>
      </c>
      <c r="F2923" t="s">
        <v>2914</v>
      </c>
      <c r="G2923" t="str">
        <f>"0593"</f>
        <v>0593</v>
      </c>
      <c r="H2923" t="str">
        <f>"0000"</f>
        <v>0000</v>
      </c>
      <c r="I2923" t="s">
        <v>69</v>
      </c>
      <c r="J2923">
        <v>0</v>
      </c>
      <c r="K2923">
        <v>1</v>
      </c>
      <c r="L2923">
        <v>2</v>
      </c>
      <c r="M2923">
        <v>460</v>
      </c>
      <c r="N2923">
        <v>300</v>
      </c>
      <c r="O2923">
        <v>2</v>
      </c>
      <c r="P2923">
        <v>298</v>
      </c>
      <c r="Q2923">
        <v>8</v>
      </c>
      <c r="R2923">
        <v>71</v>
      </c>
      <c r="S2923">
        <v>7</v>
      </c>
      <c r="T2923">
        <v>3</v>
      </c>
      <c r="U2923">
        <v>18</v>
      </c>
      <c r="V2923">
        <v>4</v>
      </c>
      <c r="W2923">
        <v>4</v>
      </c>
      <c r="X2923">
        <v>144</v>
      </c>
      <c r="Y2923">
        <v>1</v>
      </c>
      <c r="Z2923">
        <v>5</v>
      </c>
      <c r="AA2923">
        <v>3</v>
      </c>
      <c r="AB2923">
        <v>18</v>
      </c>
      <c r="AD2923">
        <v>1</v>
      </c>
      <c r="AE2923">
        <v>0</v>
      </c>
      <c r="AF2923">
        <v>0</v>
      </c>
      <c r="AG2923">
        <v>0</v>
      </c>
      <c r="AH2923">
        <v>1</v>
      </c>
      <c r="AI2923">
        <v>0</v>
      </c>
      <c r="AJ2923">
        <v>14</v>
      </c>
      <c r="AK2923">
        <v>301</v>
      </c>
      <c r="AL2923">
        <v>302</v>
      </c>
      <c r="AM2923">
        <v>718</v>
      </c>
      <c r="AN2923">
        <v>44</v>
      </c>
      <c r="AP2923">
        <v>1</v>
      </c>
      <c r="AR2923" t="s">
        <v>3018</v>
      </c>
      <c r="AS2923" s="1">
        <v>44353.999305555553</v>
      </c>
      <c r="AT2923" s="1">
        <v>44354.042384259257</v>
      </c>
      <c r="AU2923" s="1">
        <v>44354.04378472222</v>
      </c>
      <c r="AV2923" t="s">
        <v>71</v>
      </c>
      <c r="AW2923" t="s">
        <v>72</v>
      </c>
      <c r="AX2923" t="s">
        <v>73</v>
      </c>
    </row>
    <row r="2924" spans="1:50" x14ac:dyDescent="0.3">
      <c r="A2924" t="str">
        <f>"200593C0100"</f>
        <v>200593C0100</v>
      </c>
      <c r="B2924" t="str">
        <f>"200593C01002"</f>
        <v>200593C01002</v>
      </c>
      <c r="C2924" t="str">
        <f t="shared" si="141"/>
        <v>20</v>
      </c>
      <c r="D2924" t="s">
        <v>67</v>
      </c>
      <c r="E2924" t="str">
        <f t="shared" si="140"/>
        <v>013</v>
      </c>
      <c r="F2924" t="s">
        <v>2914</v>
      </c>
      <c r="G2924" t="str">
        <f>"0593"</f>
        <v>0593</v>
      </c>
      <c r="H2924" t="str">
        <f>"0001"</f>
        <v>0001</v>
      </c>
      <c r="I2924" t="s">
        <v>75</v>
      </c>
      <c r="J2924">
        <v>0</v>
      </c>
      <c r="K2924">
        <v>1</v>
      </c>
      <c r="L2924">
        <v>2</v>
      </c>
      <c r="M2924">
        <v>477</v>
      </c>
      <c r="N2924">
        <v>283</v>
      </c>
      <c r="O2924">
        <v>6</v>
      </c>
      <c r="P2924">
        <v>284</v>
      </c>
      <c r="Q2924">
        <v>11</v>
      </c>
      <c r="R2924">
        <v>54</v>
      </c>
      <c r="S2924">
        <v>5</v>
      </c>
      <c r="T2924">
        <v>1</v>
      </c>
      <c r="U2924">
        <v>15</v>
      </c>
      <c r="V2924">
        <v>2</v>
      </c>
      <c r="W2924">
        <v>9</v>
      </c>
      <c r="X2924">
        <v>147</v>
      </c>
      <c r="Y2924">
        <v>4</v>
      </c>
      <c r="Z2924">
        <v>7</v>
      </c>
      <c r="AA2924">
        <v>3</v>
      </c>
      <c r="AB2924">
        <v>14</v>
      </c>
      <c r="AD2924">
        <v>0</v>
      </c>
      <c r="AE2924">
        <v>1</v>
      </c>
      <c r="AF2924">
        <v>0</v>
      </c>
      <c r="AG2924">
        <v>0</v>
      </c>
      <c r="AH2924">
        <v>0</v>
      </c>
      <c r="AI2924">
        <v>1</v>
      </c>
      <c r="AJ2924">
        <v>10</v>
      </c>
      <c r="AK2924">
        <v>284</v>
      </c>
      <c r="AL2924">
        <v>284</v>
      </c>
      <c r="AM2924">
        <v>717</v>
      </c>
      <c r="AN2924">
        <v>44</v>
      </c>
      <c r="AP2924">
        <v>1</v>
      </c>
      <c r="AR2924" t="s">
        <v>3019</v>
      </c>
      <c r="AS2924" s="1">
        <v>44354.029861111114</v>
      </c>
      <c r="AT2924" s="1">
        <v>44354.047384259262</v>
      </c>
      <c r="AU2924" s="1">
        <v>44354.047962962963</v>
      </c>
      <c r="AV2924" t="s">
        <v>71</v>
      </c>
      <c r="AW2924" t="s">
        <v>72</v>
      </c>
      <c r="AX2924" t="s">
        <v>73</v>
      </c>
    </row>
    <row r="2925" spans="1:50" x14ac:dyDescent="0.3">
      <c r="A2925" t="str">
        <f>"200593C0200"</f>
        <v>200593C0200</v>
      </c>
      <c r="B2925" t="str">
        <f>"200593C02002"</f>
        <v>200593C02002</v>
      </c>
      <c r="C2925" t="str">
        <f t="shared" si="141"/>
        <v>20</v>
      </c>
      <c r="D2925" t="s">
        <v>67</v>
      </c>
      <c r="E2925" t="str">
        <f t="shared" si="140"/>
        <v>013</v>
      </c>
      <c r="F2925" t="s">
        <v>2914</v>
      </c>
      <c r="G2925" t="str">
        <f>"0593"</f>
        <v>0593</v>
      </c>
      <c r="H2925" t="str">
        <f>"0002"</f>
        <v>0002</v>
      </c>
      <c r="I2925" t="s">
        <v>75</v>
      </c>
      <c r="J2925">
        <v>0</v>
      </c>
      <c r="K2925">
        <v>1</v>
      </c>
      <c r="L2925">
        <v>2</v>
      </c>
      <c r="M2925">
        <v>444</v>
      </c>
      <c r="N2925">
        <v>317</v>
      </c>
      <c r="O2925">
        <v>6</v>
      </c>
      <c r="P2925">
        <v>317</v>
      </c>
      <c r="Q2925">
        <v>13</v>
      </c>
      <c r="R2925">
        <v>70</v>
      </c>
      <c r="S2925">
        <v>3</v>
      </c>
      <c r="T2925">
        <v>2</v>
      </c>
      <c r="U2925">
        <v>17</v>
      </c>
      <c r="V2925">
        <v>4</v>
      </c>
      <c r="W2925">
        <v>6</v>
      </c>
      <c r="X2925">
        <v>166</v>
      </c>
      <c r="Y2925">
        <v>3</v>
      </c>
      <c r="Z2925">
        <v>3</v>
      </c>
      <c r="AA2925">
        <v>2</v>
      </c>
      <c r="AB2925">
        <v>13</v>
      </c>
      <c r="AD2925">
        <v>3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12</v>
      </c>
      <c r="AK2925">
        <v>317</v>
      </c>
      <c r="AL2925">
        <v>317</v>
      </c>
      <c r="AM2925">
        <v>717</v>
      </c>
      <c r="AN2925">
        <v>44</v>
      </c>
      <c r="AP2925">
        <v>1</v>
      </c>
      <c r="AR2925" t="s">
        <v>3020</v>
      </c>
      <c r="AS2925" s="1">
        <v>44354.041666666664</v>
      </c>
      <c r="AT2925" s="1">
        <v>44354.053842592592</v>
      </c>
      <c r="AU2925" s="1">
        <v>44354.054861111108</v>
      </c>
      <c r="AV2925" t="s">
        <v>71</v>
      </c>
      <c r="AW2925" t="s">
        <v>72</v>
      </c>
      <c r="AX2925" t="s">
        <v>73</v>
      </c>
    </row>
    <row r="2926" spans="1:50" x14ac:dyDescent="0.3">
      <c r="A2926" t="str">
        <f>"200593E0100"</f>
        <v>200593E0100</v>
      </c>
      <c r="B2926" t="str">
        <f>"200593E01002"</f>
        <v>200593E01002</v>
      </c>
      <c r="C2926" t="str">
        <f t="shared" si="141"/>
        <v>20</v>
      </c>
      <c r="D2926" t="s">
        <v>67</v>
      </c>
      <c r="E2926" t="str">
        <f t="shared" si="140"/>
        <v>013</v>
      </c>
      <c r="F2926" t="s">
        <v>2914</v>
      </c>
      <c r="G2926" t="str">
        <f>"0593"</f>
        <v>0593</v>
      </c>
      <c r="H2926" t="str">
        <f>"0001"</f>
        <v>0001</v>
      </c>
      <c r="I2926" t="s">
        <v>109</v>
      </c>
      <c r="J2926">
        <v>0</v>
      </c>
      <c r="K2926">
        <v>1</v>
      </c>
      <c r="L2926">
        <v>2</v>
      </c>
      <c r="M2926">
        <v>414</v>
      </c>
      <c r="N2926">
        <v>272</v>
      </c>
      <c r="O2926">
        <v>6</v>
      </c>
      <c r="P2926">
        <v>272</v>
      </c>
      <c r="Q2926">
        <v>9</v>
      </c>
      <c r="R2926">
        <v>56</v>
      </c>
      <c r="S2926">
        <v>2</v>
      </c>
      <c r="T2926">
        <v>5</v>
      </c>
      <c r="U2926">
        <v>16</v>
      </c>
      <c r="V2926">
        <v>5</v>
      </c>
      <c r="W2926">
        <v>5</v>
      </c>
      <c r="X2926">
        <v>142</v>
      </c>
      <c r="Y2926">
        <v>5</v>
      </c>
      <c r="Z2926">
        <v>6</v>
      </c>
      <c r="AA2926">
        <v>4</v>
      </c>
      <c r="AB2926">
        <v>9</v>
      </c>
      <c r="AD2926">
        <v>2</v>
      </c>
      <c r="AE2926">
        <v>2</v>
      </c>
      <c r="AF2926">
        <v>0</v>
      </c>
      <c r="AG2926">
        <v>0</v>
      </c>
      <c r="AH2926">
        <v>0</v>
      </c>
      <c r="AI2926">
        <v>0</v>
      </c>
      <c r="AJ2926">
        <v>4</v>
      </c>
      <c r="AK2926">
        <v>272</v>
      </c>
      <c r="AL2926">
        <v>272</v>
      </c>
      <c r="AM2926">
        <v>642</v>
      </c>
      <c r="AN2926">
        <v>44</v>
      </c>
      <c r="AP2926">
        <v>1</v>
      </c>
      <c r="AR2926" t="s">
        <v>3021</v>
      </c>
      <c r="AS2926" s="1">
        <v>44353.854166666664</v>
      </c>
      <c r="AT2926" s="1">
        <v>44354.119016203702</v>
      </c>
      <c r="AU2926" s="1">
        <v>44354.119375000002</v>
      </c>
      <c r="AV2926" t="s">
        <v>71</v>
      </c>
      <c r="AW2926" t="s">
        <v>72</v>
      </c>
      <c r="AX2926" t="s">
        <v>73</v>
      </c>
    </row>
    <row r="2927" spans="1:50" x14ac:dyDescent="0.3">
      <c r="A2927" t="str">
        <f>"200593E0101"</f>
        <v>200593E0101</v>
      </c>
      <c r="B2927" t="str">
        <f>"200593E01012"</f>
        <v>200593E01012</v>
      </c>
      <c r="C2927" t="str">
        <f t="shared" si="141"/>
        <v>20</v>
      </c>
      <c r="D2927" t="s">
        <v>67</v>
      </c>
      <c r="E2927" t="str">
        <f t="shared" si="140"/>
        <v>013</v>
      </c>
      <c r="F2927" t="s">
        <v>2914</v>
      </c>
      <c r="G2927" t="str">
        <f>"0593"</f>
        <v>0593</v>
      </c>
      <c r="H2927" t="str">
        <f>"0001"</f>
        <v>0001</v>
      </c>
      <c r="I2927" t="s">
        <v>109</v>
      </c>
      <c r="J2927">
        <v>1</v>
      </c>
      <c r="K2927">
        <v>1</v>
      </c>
      <c r="L2927">
        <v>2</v>
      </c>
      <c r="M2927">
        <v>377</v>
      </c>
      <c r="N2927">
        <v>308</v>
      </c>
      <c r="O2927">
        <v>7</v>
      </c>
      <c r="P2927">
        <v>308</v>
      </c>
      <c r="Q2927">
        <v>6</v>
      </c>
      <c r="R2927">
        <v>67</v>
      </c>
      <c r="S2927">
        <v>2</v>
      </c>
      <c r="T2927">
        <v>2</v>
      </c>
      <c r="U2927">
        <v>13</v>
      </c>
      <c r="V2927">
        <v>9</v>
      </c>
      <c r="W2927">
        <v>3</v>
      </c>
      <c r="X2927">
        <v>165</v>
      </c>
      <c r="Y2927">
        <v>3</v>
      </c>
      <c r="Z2927">
        <v>9</v>
      </c>
      <c r="AA2927">
        <v>4</v>
      </c>
      <c r="AB2927">
        <v>13</v>
      </c>
      <c r="AD2927">
        <v>2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10</v>
      </c>
      <c r="AK2927">
        <v>308</v>
      </c>
      <c r="AL2927">
        <v>308</v>
      </c>
      <c r="AM2927">
        <v>641</v>
      </c>
      <c r="AN2927">
        <v>44</v>
      </c>
      <c r="AP2927">
        <v>1</v>
      </c>
      <c r="AR2927" t="s">
        <v>3022</v>
      </c>
      <c r="AS2927" s="1">
        <v>44354.10833333333</v>
      </c>
      <c r="AT2927" s="1">
        <v>44354.126956018517</v>
      </c>
      <c r="AU2927" s="1">
        <v>44354.127291666664</v>
      </c>
      <c r="AV2927" t="s">
        <v>71</v>
      </c>
      <c r="AW2927" t="s">
        <v>72</v>
      </c>
      <c r="AX2927" t="s">
        <v>73</v>
      </c>
    </row>
    <row r="2928" spans="1:50" x14ac:dyDescent="0.3">
      <c r="A2928" t="str">
        <f>"200594B0000"</f>
        <v>200594B0000</v>
      </c>
      <c r="B2928" t="str">
        <f>"200594B00002"</f>
        <v>200594B00002</v>
      </c>
      <c r="C2928" t="str">
        <f t="shared" si="141"/>
        <v>20</v>
      </c>
      <c r="D2928" t="s">
        <v>67</v>
      </c>
      <c r="E2928" t="str">
        <f t="shared" si="140"/>
        <v>013</v>
      </c>
      <c r="F2928" t="s">
        <v>2914</v>
      </c>
      <c r="G2928" t="str">
        <f>"0594"</f>
        <v>0594</v>
      </c>
      <c r="H2928" t="str">
        <f>"0000"</f>
        <v>0000</v>
      </c>
      <c r="I2928" t="s">
        <v>69</v>
      </c>
      <c r="J2928">
        <v>0</v>
      </c>
      <c r="K2928">
        <v>1</v>
      </c>
      <c r="L2928">
        <v>2</v>
      </c>
      <c r="M2928">
        <v>366</v>
      </c>
      <c r="N2928">
        <v>294</v>
      </c>
      <c r="O2928">
        <v>6</v>
      </c>
      <c r="P2928">
        <v>295</v>
      </c>
      <c r="Q2928">
        <v>7</v>
      </c>
      <c r="R2928">
        <v>61</v>
      </c>
      <c r="S2928">
        <v>2</v>
      </c>
      <c r="T2928">
        <v>2</v>
      </c>
      <c r="U2928">
        <v>15</v>
      </c>
      <c r="V2928">
        <v>7</v>
      </c>
      <c r="W2928">
        <v>9</v>
      </c>
      <c r="X2928">
        <v>135</v>
      </c>
      <c r="Y2928">
        <v>4</v>
      </c>
      <c r="Z2928">
        <v>3</v>
      </c>
      <c r="AA2928">
        <v>6</v>
      </c>
      <c r="AB2928">
        <v>27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1</v>
      </c>
      <c r="AJ2928">
        <v>16</v>
      </c>
      <c r="AK2928">
        <v>295</v>
      </c>
      <c r="AL2928">
        <v>295</v>
      </c>
      <c r="AM2928">
        <v>616</v>
      </c>
      <c r="AN2928">
        <v>44</v>
      </c>
      <c r="AP2928">
        <v>1</v>
      </c>
      <c r="AR2928" t="s">
        <v>3023</v>
      </c>
      <c r="AS2928" s="1">
        <v>44354.043749999997</v>
      </c>
      <c r="AT2928" s="1">
        <v>44354.054942129631</v>
      </c>
      <c r="AU2928" s="1">
        <v>44354.055497685185</v>
      </c>
      <c r="AV2928" t="s">
        <v>71</v>
      </c>
      <c r="AW2928" t="s">
        <v>72</v>
      </c>
      <c r="AX2928" t="s">
        <v>73</v>
      </c>
    </row>
    <row r="2929" spans="1:50" x14ac:dyDescent="0.3">
      <c r="A2929" t="str">
        <f>"200594C0100"</f>
        <v>200594C0100</v>
      </c>
      <c r="B2929" t="str">
        <f>"200594C01002"</f>
        <v>200594C01002</v>
      </c>
      <c r="C2929" t="str">
        <f t="shared" si="141"/>
        <v>20</v>
      </c>
      <c r="D2929" t="s">
        <v>67</v>
      </c>
      <c r="E2929" t="str">
        <f t="shared" si="140"/>
        <v>013</v>
      </c>
      <c r="F2929" t="s">
        <v>2914</v>
      </c>
      <c r="G2929" t="str">
        <f>"0594"</f>
        <v>0594</v>
      </c>
      <c r="H2929" t="str">
        <f>"0001"</f>
        <v>0001</v>
      </c>
      <c r="I2929" t="s">
        <v>75</v>
      </c>
      <c r="J2929">
        <v>0</v>
      </c>
      <c r="K2929">
        <v>1</v>
      </c>
      <c r="L2929">
        <v>2</v>
      </c>
      <c r="M2929">
        <v>355</v>
      </c>
      <c r="N2929">
        <v>305</v>
      </c>
      <c r="O2929">
        <v>3</v>
      </c>
      <c r="P2929">
        <v>304</v>
      </c>
      <c r="Q2929">
        <v>12</v>
      </c>
      <c r="R2929">
        <v>76</v>
      </c>
      <c r="S2929">
        <v>3</v>
      </c>
      <c r="T2929">
        <v>5</v>
      </c>
      <c r="U2929">
        <v>18</v>
      </c>
      <c r="V2929">
        <v>2</v>
      </c>
      <c r="W2929">
        <v>4</v>
      </c>
      <c r="X2929">
        <v>146</v>
      </c>
      <c r="Y2929">
        <v>3</v>
      </c>
      <c r="Z2929">
        <v>3</v>
      </c>
      <c r="AA2929">
        <v>0</v>
      </c>
      <c r="AB2929">
        <v>23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9</v>
      </c>
      <c r="AK2929">
        <v>304</v>
      </c>
      <c r="AL2929">
        <v>304</v>
      </c>
      <c r="AM2929">
        <v>616</v>
      </c>
      <c r="AN2929">
        <v>44</v>
      </c>
      <c r="AP2929">
        <v>1</v>
      </c>
      <c r="AR2929" t="s">
        <v>3024</v>
      </c>
      <c r="AS2929" s="1">
        <v>44354.040277777778</v>
      </c>
      <c r="AT2929" s="1">
        <v>44354.052685185183</v>
      </c>
      <c r="AU2929" s="1">
        <v>44354.053090277775</v>
      </c>
      <c r="AV2929" t="s">
        <v>71</v>
      </c>
      <c r="AW2929" t="s">
        <v>72</v>
      </c>
      <c r="AX2929" t="s">
        <v>73</v>
      </c>
    </row>
    <row r="2930" spans="1:50" x14ac:dyDescent="0.3">
      <c r="A2930" t="str">
        <f>"200594C0200"</f>
        <v>200594C0200</v>
      </c>
      <c r="B2930" t="str">
        <f>"200594C02002"</f>
        <v>200594C02002</v>
      </c>
      <c r="C2930" t="str">
        <f t="shared" si="141"/>
        <v>20</v>
      </c>
      <c r="D2930" t="s">
        <v>67</v>
      </c>
      <c r="E2930" t="str">
        <f t="shared" si="140"/>
        <v>013</v>
      </c>
      <c r="F2930" t="s">
        <v>2914</v>
      </c>
      <c r="G2930" t="str">
        <f>"0594"</f>
        <v>0594</v>
      </c>
      <c r="H2930" t="str">
        <f>"0002"</f>
        <v>0002</v>
      </c>
      <c r="I2930" t="s">
        <v>75</v>
      </c>
      <c r="J2930">
        <v>0</v>
      </c>
      <c r="K2930">
        <v>1</v>
      </c>
      <c r="L2930">
        <v>2</v>
      </c>
      <c r="M2930">
        <v>370</v>
      </c>
      <c r="N2930">
        <v>289</v>
      </c>
      <c r="O2930">
        <v>1</v>
      </c>
      <c r="P2930">
        <v>289</v>
      </c>
      <c r="Q2930">
        <v>6</v>
      </c>
      <c r="R2930">
        <v>54</v>
      </c>
      <c r="S2930">
        <v>1</v>
      </c>
      <c r="T2930">
        <v>6</v>
      </c>
      <c r="U2930">
        <v>25</v>
      </c>
      <c r="V2930">
        <v>8</v>
      </c>
      <c r="W2930">
        <v>6</v>
      </c>
      <c r="X2930">
        <v>139</v>
      </c>
      <c r="Y2930">
        <v>2</v>
      </c>
      <c r="Z2930">
        <v>4</v>
      </c>
      <c r="AA2930">
        <v>4</v>
      </c>
      <c r="AB2930">
        <v>21</v>
      </c>
      <c r="AD2930">
        <v>2</v>
      </c>
      <c r="AE2930">
        <v>1</v>
      </c>
      <c r="AF2930">
        <v>0</v>
      </c>
      <c r="AG2930">
        <v>0</v>
      </c>
      <c r="AH2930">
        <v>0</v>
      </c>
      <c r="AI2930">
        <v>1</v>
      </c>
      <c r="AJ2930">
        <v>9</v>
      </c>
      <c r="AK2930">
        <v>289</v>
      </c>
      <c r="AL2930">
        <v>289</v>
      </c>
      <c r="AM2930">
        <v>615</v>
      </c>
      <c r="AN2930">
        <v>44</v>
      </c>
      <c r="AP2930">
        <v>1</v>
      </c>
      <c r="AR2930" t="s">
        <v>3025</v>
      </c>
      <c r="AS2930" s="1">
        <v>44354.036805555559</v>
      </c>
      <c r="AT2930" s="1">
        <v>44354.050509259258</v>
      </c>
      <c r="AU2930" s="1">
        <v>44354.051111111112</v>
      </c>
      <c r="AV2930" t="s">
        <v>71</v>
      </c>
      <c r="AW2930" t="s">
        <v>72</v>
      </c>
      <c r="AX2930" t="s">
        <v>73</v>
      </c>
    </row>
    <row r="2931" spans="1:50" x14ac:dyDescent="0.3">
      <c r="A2931" t="str">
        <f>"200595B0000"</f>
        <v>200595B0000</v>
      </c>
      <c r="B2931" t="str">
        <f>"200595B00002"</f>
        <v>200595B00002</v>
      </c>
      <c r="C2931" t="str">
        <f t="shared" si="141"/>
        <v>20</v>
      </c>
      <c r="D2931" t="s">
        <v>67</v>
      </c>
      <c r="E2931" t="str">
        <f t="shared" si="140"/>
        <v>013</v>
      </c>
      <c r="F2931" t="s">
        <v>2914</v>
      </c>
      <c r="G2931" t="str">
        <f>"0595"</f>
        <v>0595</v>
      </c>
      <c r="H2931" t="str">
        <f>"0000"</f>
        <v>0000</v>
      </c>
      <c r="I2931" t="s">
        <v>69</v>
      </c>
      <c r="J2931">
        <v>0</v>
      </c>
      <c r="K2931">
        <v>1</v>
      </c>
      <c r="L2931">
        <v>2</v>
      </c>
      <c r="M2931">
        <v>432</v>
      </c>
      <c r="N2931">
        <v>261</v>
      </c>
      <c r="O2931">
        <v>6</v>
      </c>
      <c r="P2931">
        <v>261</v>
      </c>
      <c r="Q2931">
        <v>8</v>
      </c>
      <c r="R2931">
        <v>57</v>
      </c>
      <c r="S2931">
        <v>2</v>
      </c>
      <c r="T2931">
        <v>3</v>
      </c>
      <c r="U2931">
        <v>19</v>
      </c>
      <c r="V2931">
        <v>11</v>
      </c>
      <c r="W2931">
        <v>1</v>
      </c>
      <c r="X2931">
        <v>134</v>
      </c>
      <c r="Y2931">
        <v>4</v>
      </c>
      <c r="Z2931">
        <v>7</v>
      </c>
      <c r="AA2931">
        <v>0</v>
      </c>
      <c r="AB2931">
        <v>5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10</v>
      </c>
      <c r="AK2931">
        <v>261</v>
      </c>
      <c r="AL2931">
        <v>261</v>
      </c>
      <c r="AM2931">
        <v>649</v>
      </c>
      <c r="AN2931">
        <v>44</v>
      </c>
      <c r="AP2931">
        <v>1</v>
      </c>
      <c r="AR2931" t="s">
        <v>3026</v>
      </c>
      <c r="AS2931" s="1">
        <v>44354.114583333336</v>
      </c>
      <c r="AT2931" s="1">
        <v>44354.131168981483</v>
      </c>
      <c r="AU2931" s="1">
        <v>44354.131944444445</v>
      </c>
      <c r="AV2931" t="s">
        <v>71</v>
      </c>
      <c r="AW2931" t="s">
        <v>72</v>
      </c>
      <c r="AX2931" t="s">
        <v>73</v>
      </c>
    </row>
    <row r="2932" spans="1:50" x14ac:dyDescent="0.3">
      <c r="A2932" t="str">
        <f>"200595C0100"</f>
        <v>200595C0100</v>
      </c>
      <c r="B2932" t="str">
        <f>"200595C01002"</f>
        <v>200595C01002</v>
      </c>
      <c r="C2932" t="str">
        <f t="shared" si="141"/>
        <v>20</v>
      </c>
      <c r="D2932" t="s">
        <v>67</v>
      </c>
      <c r="E2932" t="str">
        <f t="shared" si="140"/>
        <v>013</v>
      </c>
      <c r="F2932" t="s">
        <v>2914</v>
      </c>
      <c r="G2932" t="str">
        <f>"0595"</f>
        <v>0595</v>
      </c>
      <c r="H2932" t="str">
        <f>"0001"</f>
        <v>0001</v>
      </c>
      <c r="I2932" t="s">
        <v>75</v>
      </c>
      <c r="J2932">
        <v>0</v>
      </c>
      <c r="K2932">
        <v>1</v>
      </c>
      <c r="L2932">
        <v>2</v>
      </c>
      <c r="M2932">
        <v>396</v>
      </c>
      <c r="N2932">
        <v>296</v>
      </c>
      <c r="O2932">
        <v>6</v>
      </c>
      <c r="P2932">
        <v>296</v>
      </c>
      <c r="Q2932">
        <v>18</v>
      </c>
      <c r="R2932">
        <v>74</v>
      </c>
      <c r="S2932">
        <v>3</v>
      </c>
      <c r="T2932">
        <v>4</v>
      </c>
      <c r="U2932">
        <v>10</v>
      </c>
      <c r="V2932">
        <v>8</v>
      </c>
      <c r="W2932">
        <v>2</v>
      </c>
      <c r="X2932">
        <v>144</v>
      </c>
      <c r="Y2932">
        <v>5</v>
      </c>
      <c r="Z2932">
        <v>8</v>
      </c>
      <c r="AA2932">
        <v>1</v>
      </c>
      <c r="AB2932">
        <v>8</v>
      </c>
      <c r="AD2932">
        <v>2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9</v>
      </c>
      <c r="AK2932">
        <v>296</v>
      </c>
      <c r="AL2932">
        <v>296</v>
      </c>
      <c r="AM2932">
        <v>648</v>
      </c>
      <c r="AN2932">
        <v>44</v>
      </c>
      <c r="AP2932">
        <v>1</v>
      </c>
      <c r="AR2932" t="s">
        <v>3027</v>
      </c>
      <c r="AS2932" s="1">
        <v>44354.122916666667</v>
      </c>
      <c r="AT2932" s="1">
        <v>44354.135000000002</v>
      </c>
      <c r="AU2932" s="1">
        <v>44354.135659722226</v>
      </c>
      <c r="AV2932" t="s">
        <v>71</v>
      </c>
      <c r="AW2932" t="s">
        <v>72</v>
      </c>
      <c r="AX2932" t="s">
        <v>73</v>
      </c>
    </row>
    <row r="2933" spans="1:50" x14ac:dyDescent="0.3">
      <c r="A2933" t="str">
        <f>"200596B0000"</f>
        <v>200596B0000</v>
      </c>
      <c r="B2933" t="str">
        <f>"200596B00002"</f>
        <v>200596B00002</v>
      </c>
      <c r="C2933" t="str">
        <f t="shared" si="141"/>
        <v>20</v>
      </c>
      <c r="D2933" t="s">
        <v>67</v>
      </c>
      <c r="E2933" t="str">
        <f t="shared" si="140"/>
        <v>013</v>
      </c>
      <c r="F2933" t="s">
        <v>2914</v>
      </c>
      <c r="G2933" t="str">
        <f>"0596"</f>
        <v>0596</v>
      </c>
      <c r="H2933" t="str">
        <f>"0000"</f>
        <v>0000</v>
      </c>
      <c r="I2933" t="s">
        <v>69</v>
      </c>
      <c r="J2933">
        <v>0</v>
      </c>
      <c r="K2933">
        <v>1</v>
      </c>
      <c r="L2933">
        <v>2</v>
      </c>
      <c r="M2933">
        <v>413</v>
      </c>
      <c r="N2933">
        <v>277</v>
      </c>
      <c r="O2933">
        <v>5</v>
      </c>
      <c r="P2933">
        <v>277</v>
      </c>
      <c r="Q2933">
        <v>6</v>
      </c>
      <c r="R2933">
        <v>59</v>
      </c>
      <c r="S2933">
        <v>0</v>
      </c>
      <c r="T2933">
        <v>5</v>
      </c>
      <c r="U2933">
        <v>25</v>
      </c>
      <c r="V2933">
        <v>5</v>
      </c>
      <c r="W2933">
        <v>2</v>
      </c>
      <c r="X2933">
        <v>141</v>
      </c>
      <c r="Y2933">
        <v>9</v>
      </c>
      <c r="Z2933">
        <v>7</v>
      </c>
      <c r="AA2933">
        <v>4</v>
      </c>
      <c r="AB2933">
        <v>9</v>
      </c>
      <c r="AD2933">
        <v>0</v>
      </c>
      <c r="AE2933">
        <v>1</v>
      </c>
      <c r="AF2933">
        <v>0</v>
      </c>
      <c r="AG2933">
        <v>0</v>
      </c>
      <c r="AH2933">
        <v>0</v>
      </c>
      <c r="AI2933">
        <v>0</v>
      </c>
      <c r="AJ2933">
        <v>4</v>
      </c>
      <c r="AK2933">
        <v>277</v>
      </c>
      <c r="AL2933">
        <v>277</v>
      </c>
      <c r="AM2933">
        <v>646</v>
      </c>
      <c r="AN2933">
        <v>44</v>
      </c>
      <c r="AP2933">
        <v>1</v>
      </c>
      <c r="AR2933" t="s">
        <v>3028</v>
      </c>
      <c r="AS2933" s="1">
        <v>44354.09097222222</v>
      </c>
      <c r="AT2933" s="1">
        <v>44354.103425925925</v>
      </c>
      <c r="AU2933" s="1">
        <v>44354.104027777779</v>
      </c>
      <c r="AV2933" t="s">
        <v>71</v>
      </c>
      <c r="AW2933" t="s">
        <v>72</v>
      </c>
      <c r="AX2933" t="s">
        <v>73</v>
      </c>
    </row>
    <row r="2934" spans="1:50" x14ac:dyDescent="0.3">
      <c r="A2934" t="str">
        <f>"200596C0100"</f>
        <v>200596C0100</v>
      </c>
      <c r="B2934" t="str">
        <f>"200596C01002"</f>
        <v>200596C01002</v>
      </c>
      <c r="C2934" t="str">
        <f t="shared" si="141"/>
        <v>20</v>
      </c>
      <c r="D2934" t="s">
        <v>67</v>
      </c>
      <c r="E2934" t="str">
        <f t="shared" si="140"/>
        <v>013</v>
      </c>
      <c r="F2934" t="s">
        <v>2914</v>
      </c>
      <c r="G2934" t="str">
        <f>"0596"</f>
        <v>0596</v>
      </c>
      <c r="H2934" t="str">
        <f>"0001"</f>
        <v>0001</v>
      </c>
      <c r="I2934" t="s">
        <v>75</v>
      </c>
      <c r="J2934">
        <v>0</v>
      </c>
      <c r="K2934">
        <v>1</v>
      </c>
      <c r="L2934">
        <v>2</v>
      </c>
      <c r="M2934">
        <v>428</v>
      </c>
      <c r="N2934">
        <v>262</v>
      </c>
      <c r="O2934">
        <v>5</v>
      </c>
      <c r="P2934">
        <v>262</v>
      </c>
      <c r="Q2934">
        <v>11</v>
      </c>
      <c r="R2934">
        <v>47</v>
      </c>
      <c r="S2934">
        <v>0</v>
      </c>
      <c r="T2934">
        <v>3</v>
      </c>
      <c r="U2934">
        <v>22</v>
      </c>
      <c r="V2934">
        <v>2</v>
      </c>
      <c r="W2934">
        <v>1</v>
      </c>
      <c r="X2934">
        <v>141</v>
      </c>
      <c r="Y2934">
        <v>13</v>
      </c>
      <c r="Z2934">
        <v>5</v>
      </c>
      <c r="AA2934">
        <v>1</v>
      </c>
      <c r="AB2934">
        <v>8</v>
      </c>
      <c r="AD2934">
        <v>1</v>
      </c>
      <c r="AE2934">
        <v>3</v>
      </c>
      <c r="AF2934">
        <v>0</v>
      </c>
      <c r="AG2934">
        <v>0</v>
      </c>
      <c r="AH2934">
        <v>0</v>
      </c>
      <c r="AI2934">
        <v>0</v>
      </c>
      <c r="AJ2934">
        <v>4</v>
      </c>
      <c r="AK2934">
        <v>262</v>
      </c>
      <c r="AL2934">
        <v>262</v>
      </c>
      <c r="AM2934">
        <v>646</v>
      </c>
      <c r="AN2934">
        <v>44</v>
      </c>
      <c r="AP2934">
        <v>1</v>
      </c>
      <c r="AR2934" t="s">
        <v>3029</v>
      </c>
      <c r="AS2934" s="1">
        <v>44354.099305555559</v>
      </c>
      <c r="AT2934" s="1">
        <v>44354.113206018519</v>
      </c>
      <c r="AU2934" s="1">
        <v>44354.113437499997</v>
      </c>
      <c r="AV2934" t="s">
        <v>71</v>
      </c>
      <c r="AW2934" t="s">
        <v>72</v>
      </c>
      <c r="AX2934" t="s">
        <v>73</v>
      </c>
    </row>
    <row r="2935" spans="1:50" x14ac:dyDescent="0.3">
      <c r="A2935" t="str">
        <f>"200596C0200"</f>
        <v>200596C0200</v>
      </c>
      <c r="B2935" t="str">
        <f>"200596C02002"</f>
        <v>200596C02002</v>
      </c>
      <c r="C2935" t="str">
        <f t="shared" si="141"/>
        <v>20</v>
      </c>
      <c r="D2935" t="s">
        <v>67</v>
      </c>
      <c r="E2935" t="str">
        <f t="shared" si="140"/>
        <v>013</v>
      </c>
      <c r="F2935" t="s">
        <v>2914</v>
      </c>
      <c r="G2935" t="str">
        <f>"0596"</f>
        <v>0596</v>
      </c>
      <c r="H2935" t="str">
        <f>"0002"</f>
        <v>0002</v>
      </c>
      <c r="I2935" t="s">
        <v>75</v>
      </c>
      <c r="J2935">
        <v>0</v>
      </c>
      <c r="K2935">
        <v>1</v>
      </c>
      <c r="L2935">
        <v>2</v>
      </c>
      <c r="M2935">
        <v>450</v>
      </c>
      <c r="N2935">
        <v>239</v>
      </c>
      <c r="O2935">
        <v>3</v>
      </c>
      <c r="P2935">
        <v>239</v>
      </c>
      <c r="Q2935">
        <v>9</v>
      </c>
      <c r="R2935">
        <v>51</v>
      </c>
      <c r="S2935">
        <v>4</v>
      </c>
      <c r="T2935">
        <v>2</v>
      </c>
      <c r="U2935">
        <v>19</v>
      </c>
      <c r="V2935">
        <v>5</v>
      </c>
      <c r="W2935">
        <v>4</v>
      </c>
      <c r="X2935">
        <v>122</v>
      </c>
      <c r="Y2935">
        <v>2</v>
      </c>
      <c r="Z2935">
        <v>7</v>
      </c>
      <c r="AA2935">
        <v>1</v>
      </c>
      <c r="AB2935">
        <v>7</v>
      </c>
      <c r="AD2935">
        <v>3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3</v>
      </c>
      <c r="AK2935">
        <v>239</v>
      </c>
      <c r="AL2935">
        <v>239</v>
      </c>
      <c r="AM2935">
        <v>645</v>
      </c>
      <c r="AN2935">
        <v>44</v>
      </c>
      <c r="AP2935">
        <v>1</v>
      </c>
      <c r="AR2935" s="2" t="s">
        <v>3030</v>
      </c>
      <c r="AS2935" s="1">
        <v>44354.097916666666</v>
      </c>
      <c r="AT2935" s="1">
        <v>44354.114259259259</v>
      </c>
      <c r="AU2935" s="1">
        <v>44354.114791666667</v>
      </c>
      <c r="AV2935" t="s">
        <v>71</v>
      </c>
      <c r="AW2935" t="s">
        <v>72</v>
      </c>
      <c r="AX2935" t="s">
        <v>73</v>
      </c>
    </row>
    <row r="2936" spans="1:50" x14ac:dyDescent="0.3">
      <c r="A2936" t="str">
        <f>"200597B0000"</f>
        <v>200597B0000</v>
      </c>
      <c r="B2936" t="str">
        <f>"200597B00002"</f>
        <v>200597B00002</v>
      </c>
      <c r="C2936" t="str">
        <f t="shared" si="141"/>
        <v>20</v>
      </c>
      <c r="D2936" t="s">
        <v>67</v>
      </c>
      <c r="E2936" t="str">
        <f t="shared" si="140"/>
        <v>013</v>
      </c>
      <c r="F2936" t="s">
        <v>2914</v>
      </c>
      <c r="G2936" t="str">
        <f>"0597"</f>
        <v>0597</v>
      </c>
      <c r="H2936" t="str">
        <f>"0000"</f>
        <v>0000</v>
      </c>
      <c r="I2936" t="s">
        <v>69</v>
      </c>
      <c r="J2936">
        <v>0</v>
      </c>
      <c r="K2936">
        <v>1</v>
      </c>
      <c r="L2936">
        <v>2</v>
      </c>
      <c r="M2936">
        <v>295</v>
      </c>
      <c r="N2936">
        <v>254</v>
      </c>
      <c r="O2936">
        <v>4</v>
      </c>
      <c r="P2936">
        <v>254</v>
      </c>
      <c r="Q2936">
        <v>16</v>
      </c>
      <c r="R2936">
        <v>65</v>
      </c>
      <c r="S2936">
        <v>1</v>
      </c>
      <c r="T2936">
        <v>4</v>
      </c>
      <c r="U2936">
        <v>5</v>
      </c>
      <c r="V2936">
        <v>7</v>
      </c>
      <c r="W2936">
        <v>2</v>
      </c>
      <c r="X2936">
        <v>122</v>
      </c>
      <c r="Y2936">
        <v>3</v>
      </c>
      <c r="Z2936">
        <v>9</v>
      </c>
      <c r="AA2936">
        <v>3</v>
      </c>
      <c r="AB2936">
        <v>6</v>
      </c>
      <c r="AD2936">
        <v>1</v>
      </c>
      <c r="AE2936">
        <v>2</v>
      </c>
      <c r="AF2936">
        <v>0</v>
      </c>
      <c r="AG2936">
        <v>0</v>
      </c>
      <c r="AH2936">
        <v>0</v>
      </c>
      <c r="AI2936">
        <v>1</v>
      </c>
      <c r="AJ2936">
        <v>7</v>
      </c>
      <c r="AK2936">
        <v>254</v>
      </c>
      <c r="AL2936">
        <v>254</v>
      </c>
      <c r="AM2936">
        <v>505</v>
      </c>
      <c r="AN2936">
        <v>44</v>
      </c>
      <c r="AP2936">
        <v>1</v>
      </c>
      <c r="AR2936" t="s">
        <v>3031</v>
      </c>
      <c r="AS2936" s="1">
        <v>44353.906944444447</v>
      </c>
      <c r="AT2936" s="1">
        <v>44354.034212962964</v>
      </c>
      <c r="AU2936" s="1">
        <v>44354.034745370373</v>
      </c>
      <c r="AV2936" t="s">
        <v>71</v>
      </c>
      <c r="AW2936" t="s">
        <v>72</v>
      </c>
      <c r="AX2936" t="s">
        <v>73</v>
      </c>
    </row>
    <row r="2937" spans="1:50" x14ac:dyDescent="0.3">
      <c r="A2937" t="str">
        <f>"200597C0100"</f>
        <v>200597C0100</v>
      </c>
      <c r="B2937" t="str">
        <f>"200597C01002"</f>
        <v>200597C01002</v>
      </c>
      <c r="C2937" t="str">
        <f t="shared" si="141"/>
        <v>20</v>
      </c>
      <c r="D2937" t="s">
        <v>67</v>
      </c>
      <c r="E2937" t="str">
        <f t="shared" si="140"/>
        <v>013</v>
      </c>
      <c r="F2937" t="s">
        <v>2914</v>
      </c>
      <c r="G2937" t="str">
        <f>"0597"</f>
        <v>0597</v>
      </c>
      <c r="H2937" t="str">
        <f>"0001"</f>
        <v>0001</v>
      </c>
      <c r="I2937" t="s">
        <v>75</v>
      </c>
      <c r="J2937">
        <v>0</v>
      </c>
      <c r="K2937">
        <v>1</v>
      </c>
      <c r="L2937">
        <v>2</v>
      </c>
      <c r="M2937">
        <v>353</v>
      </c>
      <c r="N2937">
        <v>196</v>
      </c>
      <c r="O2937">
        <v>4</v>
      </c>
      <c r="P2937">
        <v>196</v>
      </c>
      <c r="Q2937">
        <v>5</v>
      </c>
      <c r="R2937">
        <v>45</v>
      </c>
      <c r="S2937">
        <v>3</v>
      </c>
      <c r="T2937">
        <v>1</v>
      </c>
      <c r="U2937">
        <v>4</v>
      </c>
      <c r="V2937">
        <v>7</v>
      </c>
      <c r="W2937">
        <v>4</v>
      </c>
      <c r="X2937">
        <v>109</v>
      </c>
      <c r="Y2937">
        <v>5</v>
      </c>
      <c r="Z2937">
        <v>0</v>
      </c>
      <c r="AA2937">
        <v>0</v>
      </c>
      <c r="AB2937">
        <v>3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10</v>
      </c>
      <c r="AK2937">
        <v>196</v>
      </c>
      <c r="AL2937">
        <v>196</v>
      </c>
      <c r="AM2937">
        <v>505</v>
      </c>
      <c r="AN2937">
        <v>44</v>
      </c>
      <c r="AP2937">
        <v>1</v>
      </c>
      <c r="AR2937" t="s">
        <v>3032</v>
      </c>
      <c r="AS2937" s="1">
        <v>44354.01666666667</v>
      </c>
      <c r="AT2937" s="1">
        <v>44354.026805555557</v>
      </c>
      <c r="AU2937" s="1">
        <v>44354.02752314815</v>
      </c>
      <c r="AV2937" t="s">
        <v>71</v>
      </c>
      <c r="AW2937" t="s">
        <v>72</v>
      </c>
      <c r="AX2937" t="s">
        <v>73</v>
      </c>
    </row>
    <row r="2938" spans="1:50" x14ac:dyDescent="0.3">
      <c r="A2938" t="str">
        <f>"200597C0200"</f>
        <v>200597C0200</v>
      </c>
      <c r="B2938" t="str">
        <f>"200597C02002"</f>
        <v>200597C02002</v>
      </c>
      <c r="C2938" t="str">
        <f t="shared" si="141"/>
        <v>20</v>
      </c>
      <c r="D2938" t="s">
        <v>67</v>
      </c>
      <c r="E2938" t="str">
        <f t="shared" si="140"/>
        <v>013</v>
      </c>
      <c r="F2938" t="s">
        <v>2914</v>
      </c>
      <c r="G2938" t="str">
        <f>"0597"</f>
        <v>0597</v>
      </c>
      <c r="H2938" t="str">
        <f>"0002"</f>
        <v>0002</v>
      </c>
      <c r="I2938" t="s">
        <v>75</v>
      </c>
      <c r="J2938">
        <v>0</v>
      </c>
      <c r="K2938">
        <v>1</v>
      </c>
      <c r="L2938">
        <v>2</v>
      </c>
      <c r="M2938">
        <v>288</v>
      </c>
      <c r="N2938">
        <v>261</v>
      </c>
      <c r="O2938">
        <v>4</v>
      </c>
      <c r="P2938">
        <v>261</v>
      </c>
      <c r="Q2938">
        <v>19</v>
      </c>
      <c r="R2938">
        <v>56</v>
      </c>
      <c r="S2938">
        <v>3</v>
      </c>
      <c r="T2938">
        <v>5</v>
      </c>
      <c r="U2938">
        <v>4</v>
      </c>
      <c r="V2938">
        <v>13</v>
      </c>
      <c r="W2938">
        <v>1</v>
      </c>
      <c r="X2938">
        <v>124</v>
      </c>
      <c r="Y2938">
        <v>3</v>
      </c>
      <c r="Z2938">
        <v>9</v>
      </c>
      <c r="AA2938">
        <v>3</v>
      </c>
      <c r="AB2938">
        <v>10</v>
      </c>
      <c r="AD2938">
        <v>3</v>
      </c>
      <c r="AE2938">
        <v>1</v>
      </c>
      <c r="AF2938" t="s">
        <v>77</v>
      </c>
      <c r="AG2938" t="s">
        <v>77</v>
      </c>
      <c r="AH2938" t="s">
        <v>77</v>
      </c>
      <c r="AI2938" t="s">
        <v>77</v>
      </c>
      <c r="AJ2938">
        <v>7</v>
      </c>
      <c r="AK2938">
        <v>261</v>
      </c>
      <c r="AL2938">
        <v>261</v>
      </c>
      <c r="AM2938">
        <v>505</v>
      </c>
      <c r="AN2938">
        <v>44</v>
      </c>
      <c r="AO2938" t="s">
        <v>78</v>
      </c>
      <c r="AP2938">
        <v>1</v>
      </c>
      <c r="AR2938" t="s">
        <v>3033</v>
      </c>
      <c r="AS2938" s="1">
        <v>44353.890277777777</v>
      </c>
      <c r="AT2938" s="1">
        <v>44354.012303240743</v>
      </c>
      <c r="AU2938" s="1">
        <v>44354.01289351852</v>
      </c>
      <c r="AV2938" t="s">
        <v>71</v>
      </c>
      <c r="AW2938" t="s">
        <v>72</v>
      </c>
      <c r="AX2938" t="s">
        <v>73</v>
      </c>
    </row>
    <row r="2939" spans="1:50" x14ac:dyDescent="0.3">
      <c r="A2939" t="str">
        <f>"200598B0000"</f>
        <v>200598B0000</v>
      </c>
      <c r="B2939" t="str">
        <f>"200598B00002"</f>
        <v>200598B00002</v>
      </c>
      <c r="C2939" t="str">
        <f t="shared" si="141"/>
        <v>20</v>
      </c>
      <c r="D2939" t="s">
        <v>67</v>
      </c>
      <c r="E2939" t="str">
        <f t="shared" si="140"/>
        <v>013</v>
      </c>
      <c r="F2939" t="s">
        <v>2914</v>
      </c>
      <c r="G2939" t="str">
        <f>"0598"</f>
        <v>0598</v>
      </c>
      <c r="H2939" t="str">
        <f>"0000"</f>
        <v>0000</v>
      </c>
      <c r="I2939" t="s">
        <v>69</v>
      </c>
      <c r="J2939">
        <v>0</v>
      </c>
      <c r="K2939">
        <v>1</v>
      </c>
      <c r="L2939">
        <v>2</v>
      </c>
      <c r="M2939">
        <v>338</v>
      </c>
      <c r="N2939">
        <v>410</v>
      </c>
      <c r="O2939">
        <v>4</v>
      </c>
      <c r="P2939">
        <v>410</v>
      </c>
      <c r="Q2939">
        <v>45</v>
      </c>
      <c r="R2939">
        <v>93</v>
      </c>
      <c r="S2939">
        <v>2</v>
      </c>
      <c r="T2939">
        <v>6</v>
      </c>
      <c r="U2939">
        <v>18</v>
      </c>
      <c r="V2939">
        <v>10</v>
      </c>
      <c r="W2939">
        <v>7</v>
      </c>
      <c r="X2939">
        <v>191</v>
      </c>
      <c r="Y2939">
        <v>4</v>
      </c>
      <c r="Z2939">
        <v>9</v>
      </c>
      <c r="AA2939">
        <v>2</v>
      </c>
      <c r="AB2939">
        <v>9</v>
      </c>
      <c r="AD2939">
        <v>4</v>
      </c>
      <c r="AE2939">
        <v>2</v>
      </c>
      <c r="AF2939">
        <v>0</v>
      </c>
      <c r="AG2939">
        <v>0</v>
      </c>
      <c r="AH2939">
        <v>0</v>
      </c>
      <c r="AI2939">
        <v>0</v>
      </c>
      <c r="AJ2939">
        <v>8</v>
      </c>
      <c r="AK2939">
        <v>410</v>
      </c>
      <c r="AL2939">
        <v>410</v>
      </c>
      <c r="AM2939">
        <v>704</v>
      </c>
      <c r="AN2939">
        <v>44</v>
      </c>
      <c r="AP2939">
        <v>1</v>
      </c>
      <c r="AR2939" t="s">
        <v>3034</v>
      </c>
      <c r="AS2939" s="1">
        <v>44354.082638888889</v>
      </c>
      <c r="AT2939" s="1">
        <v>44354.095150462963</v>
      </c>
      <c r="AU2939" s="1">
        <v>44354.095960648148</v>
      </c>
      <c r="AV2939" t="s">
        <v>71</v>
      </c>
      <c r="AW2939" t="s">
        <v>72</v>
      </c>
      <c r="AX2939" t="s">
        <v>73</v>
      </c>
    </row>
    <row r="2940" spans="1:50" x14ac:dyDescent="0.3">
      <c r="A2940" t="str">
        <f>"200599B0000"</f>
        <v>200599B0000</v>
      </c>
      <c r="B2940" t="str">
        <f>"200599B00002"</f>
        <v>200599B00002</v>
      </c>
      <c r="C2940" t="str">
        <f t="shared" si="141"/>
        <v>20</v>
      </c>
      <c r="D2940" t="s">
        <v>67</v>
      </c>
      <c r="E2940" t="str">
        <f t="shared" si="140"/>
        <v>013</v>
      </c>
      <c r="F2940" t="s">
        <v>2914</v>
      </c>
      <c r="G2940" t="str">
        <f>"0599"</f>
        <v>0599</v>
      </c>
      <c r="H2940" t="str">
        <f>"0000"</f>
        <v>0000</v>
      </c>
      <c r="I2940" t="s">
        <v>69</v>
      </c>
      <c r="J2940">
        <v>0</v>
      </c>
      <c r="K2940">
        <v>1</v>
      </c>
      <c r="L2940">
        <v>2</v>
      </c>
      <c r="M2940">
        <v>197</v>
      </c>
      <c r="N2940">
        <v>225</v>
      </c>
      <c r="O2940">
        <v>0</v>
      </c>
      <c r="P2940">
        <v>225</v>
      </c>
      <c r="Q2940">
        <v>27</v>
      </c>
      <c r="R2940">
        <v>66</v>
      </c>
      <c r="S2940">
        <v>3</v>
      </c>
      <c r="T2940">
        <v>1</v>
      </c>
      <c r="U2940">
        <v>1</v>
      </c>
      <c r="V2940">
        <v>6</v>
      </c>
      <c r="W2940">
        <v>4</v>
      </c>
      <c r="X2940">
        <v>96</v>
      </c>
      <c r="Y2940">
        <v>0</v>
      </c>
      <c r="Z2940">
        <v>6</v>
      </c>
      <c r="AA2940">
        <v>2</v>
      </c>
      <c r="AB2940">
        <v>4</v>
      </c>
      <c r="AD2940">
        <v>2</v>
      </c>
      <c r="AE2940">
        <v>2</v>
      </c>
      <c r="AF2940" t="s">
        <v>77</v>
      </c>
      <c r="AG2940" t="s">
        <v>77</v>
      </c>
      <c r="AH2940" t="s">
        <v>77</v>
      </c>
      <c r="AI2940" t="s">
        <v>77</v>
      </c>
      <c r="AJ2940">
        <v>5</v>
      </c>
      <c r="AK2940">
        <v>225</v>
      </c>
      <c r="AL2940">
        <v>225</v>
      </c>
      <c r="AM2940">
        <v>378</v>
      </c>
      <c r="AN2940">
        <v>44</v>
      </c>
      <c r="AO2940" t="s">
        <v>78</v>
      </c>
      <c r="AP2940">
        <v>1</v>
      </c>
      <c r="AR2940" t="s">
        <v>3035</v>
      </c>
      <c r="AS2940" s="1">
        <v>44354.077777777777</v>
      </c>
      <c r="AT2940" s="1">
        <v>44354.086527777778</v>
      </c>
      <c r="AU2940" s="1">
        <v>44354.086805555555</v>
      </c>
      <c r="AV2940" t="s">
        <v>71</v>
      </c>
      <c r="AW2940" t="s">
        <v>72</v>
      </c>
      <c r="AX2940" t="s">
        <v>73</v>
      </c>
    </row>
    <row r="2941" spans="1:50" x14ac:dyDescent="0.3">
      <c r="A2941" t="str">
        <f>"200599C0100"</f>
        <v>200599C0100</v>
      </c>
      <c r="B2941" t="str">
        <f>"200599C01002"</f>
        <v>200599C01002</v>
      </c>
      <c r="C2941" t="str">
        <f t="shared" si="141"/>
        <v>20</v>
      </c>
      <c r="D2941" t="s">
        <v>67</v>
      </c>
      <c r="E2941" t="str">
        <f t="shared" si="140"/>
        <v>013</v>
      </c>
      <c r="F2941" t="s">
        <v>2914</v>
      </c>
      <c r="G2941" t="str">
        <f>"0599"</f>
        <v>0599</v>
      </c>
      <c r="H2941" t="str">
        <f>"0001"</f>
        <v>0001</v>
      </c>
      <c r="I2941" t="s">
        <v>75</v>
      </c>
      <c r="J2941">
        <v>0</v>
      </c>
      <c r="K2941">
        <v>1</v>
      </c>
      <c r="L2941">
        <v>2</v>
      </c>
      <c r="M2941">
        <v>193</v>
      </c>
      <c r="N2941">
        <v>230</v>
      </c>
      <c r="O2941">
        <v>1</v>
      </c>
      <c r="P2941">
        <v>229</v>
      </c>
      <c r="Q2941">
        <v>23</v>
      </c>
      <c r="R2941">
        <v>50</v>
      </c>
      <c r="S2941">
        <v>0</v>
      </c>
      <c r="T2941">
        <v>5</v>
      </c>
      <c r="U2941">
        <v>5</v>
      </c>
      <c r="V2941">
        <v>7</v>
      </c>
      <c r="W2941">
        <v>116</v>
      </c>
      <c r="X2941">
        <v>2</v>
      </c>
      <c r="Y2941">
        <v>6</v>
      </c>
      <c r="Z2941">
        <v>0</v>
      </c>
      <c r="AA2941">
        <v>0</v>
      </c>
      <c r="AB2941">
        <v>5</v>
      </c>
      <c r="AD2941">
        <v>2</v>
      </c>
      <c r="AE2941">
        <v>1</v>
      </c>
      <c r="AF2941">
        <v>0</v>
      </c>
      <c r="AG2941">
        <v>0</v>
      </c>
      <c r="AH2941">
        <v>0</v>
      </c>
      <c r="AI2941">
        <v>0</v>
      </c>
      <c r="AJ2941">
        <v>5</v>
      </c>
      <c r="AK2941">
        <v>229</v>
      </c>
      <c r="AL2941">
        <v>227</v>
      </c>
      <c r="AM2941">
        <v>378</v>
      </c>
      <c r="AN2941">
        <v>44</v>
      </c>
      <c r="AP2941">
        <v>1</v>
      </c>
      <c r="AR2941" t="s">
        <v>3036</v>
      </c>
      <c r="AS2941" s="1">
        <v>44354.091666666667</v>
      </c>
      <c r="AT2941" s="1">
        <v>44354.104479166665</v>
      </c>
      <c r="AU2941" s="1">
        <v>44354.105520833335</v>
      </c>
      <c r="AV2941" t="s">
        <v>71</v>
      </c>
      <c r="AW2941" t="s">
        <v>72</v>
      </c>
      <c r="AX2941" t="s">
        <v>73</v>
      </c>
    </row>
    <row r="2942" spans="1:50" x14ac:dyDescent="0.3">
      <c r="A2942" t="str">
        <f>"200600B0000"</f>
        <v>200600B0000</v>
      </c>
      <c r="B2942" t="str">
        <f>"200600B00002"</f>
        <v>200600B00002</v>
      </c>
      <c r="C2942" t="str">
        <f t="shared" si="141"/>
        <v>20</v>
      </c>
      <c r="D2942" t="s">
        <v>67</v>
      </c>
      <c r="E2942" t="str">
        <f t="shared" si="140"/>
        <v>013</v>
      </c>
      <c r="F2942" t="s">
        <v>2914</v>
      </c>
      <c r="G2942" t="str">
        <f>"0600"</f>
        <v>0600</v>
      </c>
      <c r="H2942" t="str">
        <f>"0000"</f>
        <v>0000</v>
      </c>
      <c r="I2942" t="s">
        <v>69</v>
      </c>
      <c r="J2942">
        <v>0</v>
      </c>
      <c r="K2942">
        <v>1</v>
      </c>
      <c r="L2942">
        <v>2</v>
      </c>
      <c r="M2942">
        <v>275</v>
      </c>
      <c r="N2942">
        <v>280</v>
      </c>
      <c r="O2942">
        <v>5</v>
      </c>
      <c r="P2942">
        <v>280</v>
      </c>
      <c r="Q2942">
        <v>32</v>
      </c>
      <c r="R2942">
        <v>60</v>
      </c>
      <c r="S2942">
        <v>5</v>
      </c>
      <c r="T2942">
        <v>4</v>
      </c>
      <c r="U2942">
        <v>11</v>
      </c>
      <c r="V2942">
        <v>11</v>
      </c>
      <c r="W2942">
        <v>9</v>
      </c>
      <c r="X2942">
        <v>123</v>
      </c>
      <c r="Y2942">
        <v>4</v>
      </c>
      <c r="Z2942">
        <v>7</v>
      </c>
      <c r="AA2942">
        <v>1</v>
      </c>
      <c r="AB2942">
        <v>8</v>
      </c>
      <c r="AD2942">
        <v>3</v>
      </c>
      <c r="AE2942">
        <v>0</v>
      </c>
      <c r="AF2942">
        <v>1</v>
      </c>
      <c r="AG2942">
        <v>0</v>
      </c>
      <c r="AH2942">
        <v>0</v>
      </c>
      <c r="AI2942">
        <v>0</v>
      </c>
      <c r="AJ2942">
        <v>9</v>
      </c>
      <c r="AK2942">
        <v>280</v>
      </c>
      <c r="AL2942">
        <v>288</v>
      </c>
      <c r="AM2942">
        <v>511</v>
      </c>
      <c r="AN2942">
        <v>44</v>
      </c>
      <c r="AP2942">
        <v>1</v>
      </c>
      <c r="AR2942" t="s">
        <v>3037</v>
      </c>
      <c r="AS2942" s="1">
        <v>44353.9375</v>
      </c>
      <c r="AT2942" s="1">
        <v>44353.939421296294</v>
      </c>
      <c r="AU2942" s="1">
        <v>44353.940486111111</v>
      </c>
      <c r="AV2942" t="s">
        <v>71</v>
      </c>
      <c r="AW2942" t="s">
        <v>72</v>
      </c>
      <c r="AX2942" t="s">
        <v>73</v>
      </c>
    </row>
    <row r="2943" spans="1:50" x14ac:dyDescent="0.3">
      <c r="A2943" t="str">
        <f>"200600C0100"</f>
        <v>200600C0100</v>
      </c>
      <c r="B2943" t="str">
        <f>"200600C01002"</f>
        <v>200600C01002</v>
      </c>
      <c r="C2943" t="str">
        <f t="shared" si="141"/>
        <v>20</v>
      </c>
      <c r="D2943" t="s">
        <v>67</v>
      </c>
      <c r="E2943" t="str">
        <f t="shared" si="140"/>
        <v>013</v>
      </c>
      <c r="F2943" t="s">
        <v>2914</v>
      </c>
      <c r="G2943" t="str">
        <f>"0600"</f>
        <v>0600</v>
      </c>
      <c r="H2943" t="str">
        <f>"0001"</f>
        <v>0001</v>
      </c>
      <c r="I2943" t="s">
        <v>75</v>
      </c>
      <c r="J2943">
        <v>0</v>
      </c>
      <c r="K2943">
        <v>1</v>
      </c>
      <c r="L2943">
        <v>2</v>
      </c>
      <c r="M2943">
        <v>278</v>
      </c>
      <c r="N2943">
        <v>277</v>
      </c>
      <c r="O2943">
        <v>2</v>
      </c>
      <c r="P2943">
        <v>277</v>
      </c>
      <c r="Q2943">
        <v>32</v>
      </c>
      <c r="R2943">
        <v>75</v>
      </c>
      <c r="S2943">
        <v>1</v>
      </c>
      <c r="T2943">
        <v>5</v>
      </c>
      <c r="U2943">
        <v>6</v>
      </c>
      <c r="V2943">
        <v>6</v>
      </c>
      <c r="W2943">
        <v>1</v>
      </c>
      <c r="X2943">
        <v>118</v>
      </c>
      <c r="Y2943">
        <v>6</v>
      </c>
      <c r="Z2943">
        <v>4</v>
      </c>
      <c r="AA2943">
        <v>3</v>
      </c>
      <c r="AB2943">
        <v>3</v>
      </c>
      <c r="AD2943">
        <v>2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15</v>
      </c>
      <c r="AK2943">
        <v>277</v>
      </c>
      <c r="AL2943">
        <v>277</v>
      </c>
      <c r="AM2943">
        <v>511</v>
      </c>
      <c r="AN2943">
        <v>44</v>
      </c>
      <c r="AP2943">
        <v>1</v>
      </c>
      <c r="AR2943" t="s">
        <v>3038</v>
      </c>
      <c r="AS2943" s="1">
        <v>44353.944444444445</v>
      </c>
      <c r="AT2943" s="1">
        <v>44353.945474537039</v>
      </c>
      <c r="AU2943" s="1">
        <v>44353.946562500001</v>
      </c>
      <c r="AV2943" t="s">
        <v>71</v>
      </c>
      <c r="AW2943" t="s">
        <v>72</v>
      </c>
      <c r="AX2943" t="s">
        <v>73</v>
      </c>
    </row>
    <row r="2944" spans="1:50" x14ac:dyDescent="0.3">
      <c r="A2944" t="str">
        <f>"200600C0200"</f>
        <v>200600C0200</v>
      </c>
      <c r="B2944" t="str">
        <f>"200600C02002"</f>
        <v>200600C02002</v>
      </c>
      <c r="C2944" t="str">
        <f t="shared" si="141"/>
        <v>20</v>
      </c>
      <c r="D2944" t="s">
        <v>67</v>
      </c>
      <c r="E2944" t="str">
        <f t="shared" si="140"/>
        <v>013</v>
      </c>
      <c r="F2944" t="s">
        <v>2914</v>
      </c>
      <c r="G2944" t="str">
        <f>"0600"</f>
        <v>0600</v>
      </c>
      <c r="H2944" t="str">
        <f>"0002"</f>
        <v>0002</v>
      </c>
      <c r="I2944" t="s">
        <v>75</v>
      </c>
      <c r="J2944">
        <v>0</v>
      </c>
      <c r="K2944">
        <v>1</v>
      </c>
      <c r="L2944">
        <v>2</v>
      </c>
      <c r="M2944">
        <v>282</v>
      </c>
      <c r="N2944" t="s">
        <v>99</v>
      </c>
      <c r="O2944">
        <v>4</v>
      </c>
      <c r="P2944" t="s">
        <v>80</v>
      </c>
      <c r="Q2944">
        <v>33</v>
      </c>
      <c r="R2944">
        <v>47</v>
      </c>
      <c r="S2944">
        <v>4</v>
      </c>
      <c r="T2944">
        <v>5</v>
      </c>
      <c r="U2944">
        <v>5</v>
      </c>
      <c r="V2944">
        <v>8</v>
      </c>
      <c r="W2944">
        <v>0</v>
      </c>
      <c r="X2944">
        <v>141</v>
      </c>
      <c r="Y2944">
        <v>3</v>
      </c>
      <c r="Z2944">
        <v>6</v>
      </c>
      <c r="AA2944">
        <v>3</v>
      </c>
      <c r="AB2944">
        <v>7</v>
      </c>
      <c r="AD2944" t="s">
        <v>77</v>
      </c>
      <c r="AE2944" t="s">
        <v>77</v>
      </c>
      <c r="AF2944" t="s">
        <v>77</v>
      </c>
      <c r="AG2944" t="s">
        <v>77</v>
      </c>
      <c r="AH2944" t="s">
        <v>77</v>
      </c>
      <c r="AI2944" t="s">
        <v>77</v>
      </c>
      <c r="AJ2944" t="s">
        <v>77</v>
      </c>
      <c r="AK2944" t="s">
        <v>77</v>
      </c>
      <c r="AL2944">
        <v>262</v>
      </c>
      <c r="AM2944">
        <v>510</v>
      </c>
      <c r="AN2944">
        <v>44</v>
      </c>
      <c r="AO2944" t="s">
        <v>78</v>
      </c>
      <c r="AP2944">
        <v>1</v>
      </c>
      <c r="AR2944" t="s">
        <v>3039</v>
      </c>
      <c r="AS2944" s="1">
        <v>44353.94027777778</v>
      </c>
      <c r="AT2944" s="1">
        <v>44353.941782407404</v>
      </c>
      <c r="AU2944" s="1">
        <v>44353.942314814813</v>
      </c>
      <c r="AV2944" t="s">
        <v>71</v>
      </c>
      <c r="AW2944" t="s">
        <v>72</v>
      </c>
      <c r="AX2944" t="s">
        <v>73</v>
      </c>
    </row>
    <row r="2945" spans="1:50" x14ac:dyDescent="0.3">
      <c r="A2945" t="str">
        <f>"200601B0000"</f>
        <v>200601B0000</v>
      </c>
      <c r="B2945" t="str">
        <f>"200601B00002"</f>
        <v>200601B00002</v>
      </c>
      <c r="C2945" t="str">
        <f t="shared" si="141"/>
        <v>20</v>
      </c>
      <c r="D2945" t="s">
        <v>67</v>
      </c>
      <c r="E2945" t="str">
        <f t="shared" si="140"/>
        <v>013</v>
      </c>
      <c r="F2945" t="s">
        <v>2914</v>
      </c>
      <c r="G2945" t="str">
        <f>"0601"</f>
        <v>0601</v>
      </c>
      <c r="H2945" t="str">
        <f>"0000"</f>
        <v>0000</v>
      </c>
      <c r="I2945" t="s">
        <v>69</v>
      </c>
      <c r="J2945">
        <v>0</v>
      </c>
      <c r="K2945">
        <v>1</v>
      </c>
      <c r="L2945">
        <v>2</v>
      </c>
      <c r="M2945">
        <v>320</v>
      </c>
      <c r="N2945">
        <v>263</v>
      </c>
      <c r="O2945">
        <v>0</v>
      </c>
      <c r="P2945">
        <v>263</v>
      </c>
      <c r="Q2945">
        <v>15</v>
      </c>
      <c r="R2945">
        <v>54</v>
      </c>
      <c r="S2945">
        <v>2</v>
      </c>
      <c r="T2945">
        <v>3</v>
      </c>
      <c r="U2945">
        <v>5</v>
      </c>
      <c r="V2945">
        <v>9</v>
      </c>
      <c r="W2945">
        <v>3</v>
      </c>
      <c r="X2945">
        <v>133</v>
      </c>
      <c r="Y2945">
        <v>4</v>
      </c>
      <c r="Z2945">
        <v>6</v>
      </c>
      <c r="AA2945">
        <v>3</v>
      </c>
      <c r="AB2945">
        <v>16</v>
      </c>
      <c r="AD2945">
        <v>0</v>
      </c>
      <c r="AE2945">
        <v>2</v>
      </c>
      <c r="AF2945">
        <v>0</v>
      </c>
      <c r="AG2945">
        <v>0</v>
      </c>
      <c r="AH2945">
        <v>0</v>
      </c>
      <c r="AI2945">
        <v>0</v>
      </c>
      <c r="AJ2945">
        <v>8</v>
      </c>
      <c r="AK2945">
        <v>263</v>
      </c>
      <c r="AL2945">
        <v>263</v>
      </c>
      <c r="AM2945">
        <v>539</v>
      </c>
      <c r="AN2945">
        <v>44</v>
      </c>
      <c r="AP2945">
        <v>1</v>
      </c>
      <c r="AR2945" t="s">
        <v>3040</v>
      </c>
      <c r="AS2945" s="1">
        <v>44354.088888888888</v>
      </c>
      <c r="AT2945" s="1">
        <v>44354.100763888891</v>
      </c>
      <c r="AU2945" s="1">
        <v>44354.101168981484</v>
      </c>
      <c r="AV2945" t="s">
        <v>71</v>
      </c>
      <c r="AW2945" t="s">
        <v>72</v>
      </c>
      <c r="AX2945" t="s">
        <v>73</v>
      </c>
    </row>
    <row r="2946" spans="1:50" x14ac:dyDescent="0.3">
      <c r="A2946" t="str">
        <f>"200601C0100"</f>
        <v>200601C0100</v>
      </c>
      <c r="B2946" t="str">
        <f>"200601C01002"</f>
        <v>200601C01002</v>
      </c>
      <c r="C2946" t="str">
        <f t="shared" si="141"/>
        <v>20</v>
      </c>
      <c r="D2946" t="s">
        <v>67</v>
      </c>
      <c r="E2946" t="str">
        <f t="shared" si="140"/>
        <v>013</v>
      </c>
      <c r="F2946" t="s">
        <v>2914</v>
      </c>
      <c r="G2946" t="str">
        <f>"0601"</f>
        <v>0601</v>
      </c>
      <c r="H2946" t="str">
        <f>"0001"</f>
        <v>0001</v>
      </c>
      <c r="I2946" t="s">
        <v>75</v>
      </c>
      <c r="J2946">
        <v>0</v>
      </c>
      <c r="K2946">
        <v>1</v>
      </c>
      <c r="L2946">
        <v>2</v>
      </c>
      <c r="M2946">
        <v>283</v>
      </c>
      <c r="N2946">
        <v>300</v>
      </c>
      <c r="O2946">
        <v>2</v>
      </c>
      <c r="P2946" t="s">
        <v>80</v>
      </c>
      <c r="Q2946">
        <v>23</v>
      </c>
      <c r="R2946">
        <v>63</v>
      </c>
      <c r="S2946">
        <v>3</v>
      </c>
      <c r="T2946">
        <v>1</v>
      </c>
      <c r="U2946">
        <v>8</v>
      </c>
      <c r="V2946">
        <v>7</v>
      </c>
      <c r="W2946">
        <v>12</v>
      </c>
      <c r="X2946" t="s">
        <v>99</v>
      </c>
      <c r="Y2946">
        <v>4</v>
      </c>
      <c r="Z2946">
        <v>5</v>
      </c>
      <c r="AA2946">
        <v>3</v>
      </c>
      <c r="AB2946">
        <v>23</v>
      </c>
      <c r="AD2946">
        <v>0</v>
      </c>
      <c r="AE2946">
        <v>1</v>
      </c>
      <c r="AF2946">
        <v>0</v>
      </c>
      <c r="AG2946">
        <v>0</v>
      </c>
      <c r="AH2946">
        <v>0</v>
      </c>
      <c r="AI2946">
        <v>0</v>
      </c>
      <c r="AJ2946">
        <v>7</v>
      </c>
      <c r="AK2946">
        <v>300</v>
      </c>
      <c r="AL2946">
        <v>160</v>
      </c>
      <c r="AM2946">
        <v>539</v>
      </c>
      <c r="AN2946">
        <v>44</v>
      </c>
      <c r="AO2946" t="s">
        <v>78</v>
      </c>
      <c r="AP2946">
        <v>1</v>
      </c>
      <c r="AR2946" t="s">
        <v>3041</v>
      </c>
      <c r="AS2946" s="1">
        <v>44354.040277777778</v>
      </c>
      <c r="AT2946" s="1">
        <v>44354.05364583333</v>
      </c>
      <c r="AU2946" s="1">
        <v>44354.055405092593</v>
      </c>
      <c r="AV2946" t="s">
        <v>71</v>
      </c>
      <c r="AW2946" t="s">
        <v>72</v>
      </c>
      <c r="AX2946" t="s">
        <v>73</v>
      </c>
    </row>
    <row r="2947" spans="1:50" x14ac:dyDescent="0.3">
      <c r="A2947" t="str">
        <f>"200602B0000"</f>
        <v>200602B0000</v>
      </c>
      <c r="B2947" t="str">
        <f>"200602B00002"</f>
        <v>200602B00002</v>
      </c>
      <c r="C2947" t="str">
        <f t="shared" si="141"/>
        <v>20</v>
      </c>
      <c r="D2947" t="s">
        <v>67</v>
      </c>
      <c r="E2947" t="str">
        <f t="shared" si="140"/>
        <v>013</v>
      </c>
      <c r="F2947" t="s">
        <v>2914</v>
      </c>
      <c r="G2947" t="str">
        <f>"0602"</f>
        <v>0602</v>
      </c>
      <c r="H2947" t="str">
        <f>"0000"</f>
        <v>0000</v>
      </c>
      <c r="I2947" t="s">
        <v>69</v>
      </c>
      <c r="J2947">
        <v>0</v>
      </c>
      <c r="K2947">
        <v>1</v>
      </c>
      <c r="L2947">
        <v>2</v>
      </c>
      <c r="M2947" t="s">
        <v>80</v>
      </c>
      <c r="N2947" t="s">
        <v>80</v>
      </c>
      <c r="O2947" t="s">
        <v>80</v>
      </c>
      <c r="P2947" t="s">
        <v>80</v>
      </c>
      <c r="Q2947">
        <v>18</v>
      </c>
      <c r="R2947">
        <v>56</v>
      </c>
      <c r="S2947">
        <v>4</v>
      </c>
      <c r="T2947">
        <v>2</v>
      </c>
      <c r="U2947">
        <v>3</v>
      </c>
      <c r="V2947">
        <v>10</v>
      </c>
      <c r="W2947">
        <v>6</v>
      </c>
      <c r="X2947">
        <v>177</v>
      </c>
      <c r="Y2947">
        <v>4</v>
      </c>
      <c r="Z2947">
        <v>9</v>
      </c>
      <c r="AA2947">
        <v>9</v>
      </c>
      <c r="AB2947">
        <v>13</v>
      </c>
      <c r="AD2947">
        <v>1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11</v>
      </c>
      <c r="AK2947">
        <v>323</v>
      </c>
      <c r="AL2947">
        <v>323</v>
      </c>
      <c r="AM2947">
        <v>690</v>
      </c>
      <c r="AN2947">
        <v>44</v>
      </c>
      <c r="AP2947">
        <v>1</v>
      </c>
      <c r="AR2947" t="s">
        <v>3042</v>
      </c>
      <c r="AS2947" s="1">
        <v>44354.284722222219</v>
      </c>
      <c r="AT2947" s="1">
        <v>44354.285810185182</v>
      </c>
      <c r="AU2947" s="1">
        <v>44354.286412037036</v>
      </c>
      <c r="AV2947" t="s">
        <v>71</v>
      </c>
      <c r="AW2947" t="s">
        <v>72</v>
      </c>
      <c r="AX2947" t="s">
        <v>347</v>
      </c>
    </row>
    <row r="2948" spans="1:50" x14ac:dyDescent="0.3">
      <c r="A2948" t="str">
        <f>"200602C0100"</f>
        <v>200602C0100</v>
      </c>
      <c r="B2948" t="str">
        <f>"200602C01002"</f>
        <v>200602C01002</v>
      </c>
      <c r="C2948" t="str">
        <f t="shared" si="141"/>
        <v>20</v>
      </c>
      <c r="D2948" t="s">
        <v>67</v>
      </c>
      <c r="E2948" t="str">
        <f t="shared" ref="E2948:E3011" si="142">"013"</f>
        <v>013</v>
      </c>
      <c r="F2948" t="s">
        <v>2914</v>
      </c>
      <c r="G2948" t="str">
        <f>"0602"</f>
        <v>0602</v>
      </c>
      <c r="H2948" t="str">
        <f>"0001"</f>
        <v>0001</v>
      </c>
      <c r="I2948" t="s">
        <v>75</v>
      </c>
      <c r="J2948">
        <v>0</v>
      </c>
      <c r="K2948">
        <v>1</v>
      </c>
      <c r="L2948">
        <v>2</v>
      </c>
      <c r="M2948" t="s">
        <v>80</v>
      </c>
      <c r="N2948" t="s">
        <v>80</v>
      </c>
      <c r="O2948" t="s">
        <v>80</v>
      </c>
      <c r="P2948" t="s">
        <v>80</v>
      </c>
      <c r="Q2948">
        <v>25</v>
      </c>
      <c r="R2948">
        <v>80</v>
      </c>
      <c r="S2948">
        <v>1</v>
      </c>
      <c r="T2948">
        <v>5</v>
      </c>
      <c r="U2948">
        <v>12</v>
      </c>
      <c r="V2948">
        <v>5</v>
      </c>
      <c r="W2948">
        <v>2</v>
      </c>
      <c r="X2948">
        <v>196</v>
      </c>
      <c r="Y2948">
        <v>3</v>
      </c>
      <c r="Z2948">
        <v>3</v>
      </c>
      <c r="AA2948">
        <v>7</v>
      </c>
      <c r="AB2948">
        <v>18</v>
      </c>
      <c r="AD2948">
        <v>1</v>
      </c>
      <c r="AE2948">
        <v>0</v>
      </c>
      <c r="AF2948">
        <v>0</v>
      </c>
      <c r="AG2948">
        <v>0</v>
      </c>
      <c r="AH2948">
        <v>6</v>
      </c>
      <c r="AI2948">
        <v>0</v>
      </c>
      <c r="AJ2948">
        <v>8</v>
      </c>
      <c r="AK2948" t="s">
        <v>99</v>
      </c>
      <c r="AL2948">
        <v>372</v>
      </c>
      <c r="AM2948">
        <v>690</v>
      </c>
      <c r="AN2948">
        <v>44</v>
      </c>
      <c r="AP2948">
        <v>1</v>
      </c>
      <c r="AR2948" t="s">
        <v>3043</v>
      </c>
      <c r="AS2948" s="1">
        <v>44354.078472222223</v>
      </c>
      <c r="AT2948" s="1">
        <v>44354.089097222219</v>
      </c>
      <c r="AU2948" s="1">
        <v>44354.090266203704</v>
      </c>
      <c r="AV2948" t="s">
        <v>71</v>
      </c>
      <c r="AW2948" t="s">
        <v>72</v>
      </c>
      <c r="AX2948" t="s">
        <v>73</v>
      </c>
    </row>
    <row r="2949" spans="1:50" x14ac:dyDescent="0.3">
      <c r="A2949" t="str">
        <f>"200603B0000"</f>
        <v>200603B0000</v>
      </c>
      <c r="B2949" t="str">
        <f>"200603B00002"</f>
        <v>200603B00002</v>
      </c>
      <c r="C2949" t="str">
        <f t="shared" si="141"/>
        <v>20</v>
      </c>
      <c r="D2949" t="s">
        <v>67</v>
      </c>
      <c r="E2949" t="str">
        <f t="shared" si="142"/>
        <v>013</v>
      </c>
      <c r="F2949" t="s">
        <v>2914</v>
      </c>
      <c r="G2949" t="str">
        <f>"0603"</f>
        <v>0603</v>
      </c>
      <c r="H2949" t="str">
        <f>"0000"</f>
        <v>0000</v>
      </c>
      <c r="I2949" t="s">
        <v>69</v>
      </c>
      <c r="J2949">
        <v>0</v>
      </c>
      <c r="K2949">
        <v>1</v>
      </c>
      <c r="L2949">
        <v>2</v>
      </c>
      <c r="M2949">
        <v>265</v>
      </c>
      <c r="N2949">
        <v>470</v>
      </c>
      <c r="O2949">
        <v>6</v>
      </c>
      <c r="P2949">
        <v>470</v>
      </c>
      <c r="Q2949">
        <v>85</v>
      </c>
      <c r="R2949">
        <v>136</v>
      </c>
      <c r="S2949">
        <v>7</v>
      </c>
      <c r="T2949">
        <v>5</v>
      </c>
      <c r="U2949">
        <v>8</v>
      </c>
      <c r="V2949">
        <v>10</v>
      </c>
      <c r="W2949">
        <v>8</v>
      </c>
      <c r="X2949">
        <v>167</v>
      </c>
      <c r="Y2949">
        <v>3</v>
      </c>
      <c r="Z2949">
        <v>2</v>
      </c>
      <c r="AA2949">
        <v>2</v>
      </c>
      <c r="AB2949">
        <v>14</v>
      </c>
      <c r="AD2949">
        <v>8</v>
      </c>
      <c r="AE2949">
        <v>3</v>
      </c>
      <c r="AF2949">
        <v>0</v>
      </c>
      <c r="AG2949">
        <v>0</v>
      </c>
      <c r="AH2949">
        <v>0</v>
      </c>
      <c r="AI2949">
        <v>0</v>
      </c>
      <c r="AJ2949">
        <v>12</v>
      </c>
      <c r="AK2949">
        <v>470</v>
      </c>
      <c r="AL2949">
        <v>470</v>
      </c>
      <c r="AM2949">
        <v>697</v>
      </c>
      <c r="AN2949">
        <v>44</v>
      </c>
      <c r="AP2949">
        <v>1</v>
      </c>
      <c r="AR2949" t="s">
        <v>3044</v>
      </c>
      <c r="AS2949" s="1">
        <v>44353.942361111112</v>
      </c>
      <c r="AT2949" s="1">
        <v>44353.944594907407</v>
      </c>
      <c r="AU2949" s="1">
        <v>44353.9455787037</v>
      </c>
      <c r="AV2949" t="s">
        <v>71</v>
      </c>
      <c r="AW2949" t="s">
        <v>72</v>
      </c>
      <c r="AX2949" t="s">
        <v>73</v>
      </c>
    </row>
    <row r="2950" spans="1:50" x14ac:dyDescent="0.3">
      <c r="A2950" t="str">
        <f>"200604B0000"</f>
        <v>200604B0000</v>
      </c>
      <c r="B2950" t="str">
        <f>"200604B00002"</f>
        <v>200604B00002</v>
      </c>
      <c r="C2950" t="str">
        <f t="shared" si="141"/>
        <v>20</v>
      </c>
      <c r="D2950" t="s">
        <v>67</v>
      </c>
      <c r="E2950" t="str">
        <f t="shared" si="142"/>
        <v>013</v>
      </c>
      <c r="F2950" t="s">
        <v>2914</v>
      </c>
      <c r="G2950" t="str">
        <f>"0604"</f>
        <v>0604</v>
      </c>
      <c r="H2950" t="str">
        <f>"0000"</f>
        <v>0000</v>
      </c>
      <c r="I2950" t="s">
        <v>69</v>
      </c>
      <c r="J2950">
        <v>0</v>
      </c>
      <c r="K2950">
        <v>1</v>
      </c>
      <c r="L2950">
        <v>2</v>
      </c>
      <c r="M2950">
        <v>271</v>
      </c>
      <c r="N2950">
        <v>294</v>
      </c>
      <c r="O2950">
        <v>4</v>
      </c>
      <c r="P2950">
        <v>298</v>
      </c>
      <c r="Q2950">
        <v>30</v>
      </c>
      <c r="R2950">
        <v>90</v>
      </c>
      <c r="S2950">
        <v>2</v>
      </c>
      <c r="T2950">
        <v>3</v>
      </c>
      <c r="U2950">
        <v>7</v>
      </c>
      <c r="V2950">
        <v>9</v>
      </c>
      <c r="W2950">
        <v>3</v>
      </c>
      <c r="X2950">
        <v>135</v>
      </c>
      <c r="Y2950">
        <v>4</v>
      </c>
      <c r="Z2950">
        <v>2</v>
      </c>
      <c r="AA2950">
        <v>1</v>
      </c>
      <c r="AB2950">
        <v>6</v>
      </c>
      <c r="AD2950">
        <v>1</v>
      </c>
      <c r="AE2950" t="s">
        <v>77</v>
      </c>
      <c r="AF2950" t="s">
        <v>77</v>
      </c>
      <c r="AG2950" t="s">
        <v>77</v>
      </c>
      <c r="AH2950" t="s">
        <v>77</v>
      </c>
      <c r="AI2950" t="s">
        <v>77</v>
      </c>
      <c r="AJ2950">
        <v>5</v>
      </c>
      <c r="AK2950">
        <v>298</v>
      </c>
      <c r="AL2950">
        <v>298</v>
      </c>
      <c r="AM2950">
        <v>553</v>
      </c>
      <c r="AN2950">
        <v>44</v>
      </c>
      <c r="AO2950" t="s">
        <v>78</v>
      </c>
      <c r="AP2950">
        <v>1</v>
      </c>
      <c r="AR2950" t="s">
        <v>3045</v>
      </c>
      <c r="AS2950" s="1">
        <v>44353.963194444441</v>
      </c>
      <c r="AT2950" s="1">
        <v>44353.968148148146</v>
      </c>
      <c r="AU2950" s="1">
        <v>44353.969247685185</v>
      </c>
      <c r="AV2950" t="s">
        <v>71</v>
      </c>
      <c r="AW2950" t="s">
        <v>72</v>
      </c>
      <c r="AX2950" t="s">
        <v>73</v>
      </c>
    </row>
    <row r="2951" spans="1:50" x14ac:dyDescent="0.3">
      <c r="A2951" t="str">
        <f>"200604C0100"</f>
        <v>200604C0100</v>
      </c>
      <c r="B2951" t="str">
        <f>"200604C01002"</f>
        <v>200604C01002</v>
      </c>
      <c r="C2951" t="str">
        <f t="shared" ref="C2951:C3014" si="143">"20"</f>
        <v>20</v>
      </c>
      <c r="D2951" t="s">
        <v>67</v>
      </c>
      <c r="E2951" t="str">
        <f t="shared" si="142"/>
        <v>013</v>
      </c>
      <c r="F2951" t="s">
        <v>2914</v>
      </c>
      <c r="G2951" t="str">
        <f>"0604"</f>
        <v>0604</v>
      </c>
      <c r="H2951" t="str">
        <f>"0001"</f>
        <v>0001</v>
      </c>
      <c r="I2951" t="s">
        <v>75</v>
      </c>
      <c r="J2951">
        <v>0</v>
      </c>
      <c r="K2951">
        <v>1</v>
      </c>
      <c r="L2951">
        <v>2</v>
      </c>
      <c r="M2951">
        <v>305</v>
      </c>
      <c r="N2951">
        <v>289</v>
      </c>
      <c r="O2951">
        <v>4</v>
      </c>
      <c r="P2951">
        <v>287</v>
      </c>
      <c r="Q2951">
        <v>27</v>
      </c>
      <c r="R2951">
        <v>57</v>
      </c>
      <c r="S2951">
        <v>5</v>
      </c>
      <c r="T2951">
        <v>3</v>
      </c>
      <c r="U2951">
        <v>16</v>
      </c>
      <c r="V2951">
        <v>13</v>
      </c>
      <c r="W2951">
        <v>5</v>
      </c>
      <c r="X2951">
        <v>128</v>
      </c>
      <c r="Y2951">
        <v>2</v>
      </c>
      <c r="Z2951">
        <v>10</v>
      </c>
      <c r="AA2951">
        <v>4</v>
      </c>
      <c r="AB2951">
        <v>5</v>
      </c>
      <c r="AD2951">
        <v>4</v>
      </c>
      <c r="AE2951">
        <v>1</v>
      </c>
      <c r="AF2951" t="s">
        <v>77</v>
      </c>
      <c r="AG2951" t="s">
        <v>77</v>
      </c>
      <c r="AH2951" t="s">
        <v>77</v>
      </c>
      <c r="AI2951" t="s">
        <v>77</v>
      </c>
      <c r="AJ2951">
        <v>7</v>
      </c>
      <c r="AK2951">
        <v>287</v>
      </c>
      <c r="AL2951">
        <v>287</v>
      </c>
      <c r="AM2951">
        <v>553</v>
      </c>
      <c r="AN2951">
        <v>44</v>
      </c>
      <c r="AO2951" t="s">
        <v>78</v>
      </c>
      <c r="AP2951">
        <v>1</v>
      </c>
      <c r="AR2951" t="s">
        <v>3046</v>
      </c>
      <c r="AS2951" s="1">
        <v>44354.167361111111</v>
      </c>
      <c r="AT2951" s="1">
        <v>44354.169178240743</v>
      </c>
      <c r="AU2951" s="1">
        <v>44354.170138888891</v>
      </c>
      <c r="AV2951" t="s">
        <v>71</v>
      </c>
      <c r="AW2951" t="s">
        <v>72</v>
      </c>
      <c r="AX2951" t="s">
        <v>73</v>
      </c>
    </row>
    <row r="2952" spans="1:50" x14ac:dyDescent="0.3">
      <c r="A2952" t="str">
        <f>"200605B0000"</f>
        <v>200605B0000</v>
      </c>
      <c r="B2952" t="str">
        <f>"200605B00002"</f>
        <v>200605B00002</v>
      </c>
      <c r="C2952" t="str">
        <f t="shared" si="143"/>
        <v>20</v>
      </c>
      <c r="D2952" t="s">
        <v>67</v>
      </c>
      <c r="E2952" t="str">
        <f t="shared" si="142"/>
        <v>013</v>
      </c>
      <c r="F2952" t="s">
        <v>2914</v>
      </c>
      <c r="G2952" t="str">
        <f>"0605"</f>
        <v>0605</v>
      </c>
      <c r="H2952" t="str">
        <f>"0000"</f>
        <v>0000</v>
      </c>
      <c r="I2952" t="s">
        <v>69</v>
      </c>
      <c r="J2952">
        <v>0</v>
      </c>
      <c r="K2952">
        <v>1</v>
      </c>
      <c r="L2952">
        <v>2</v>
      </c>
      <c r="M2952">
        <v>448</v>
      </c>
      <c r="N2952">
        <v>300</v>
      </c>
      <c r="O2952">
        <v>2</v>
      </c>
      <c r="P2952">
        <v>299</v>
      </c>
      <c r="Q2952">
        <v>10</v>
      </c>
      <c r="R2952">
        <v>92</v>
      </c>
      <c r="S2952">
        <v>2</v>
      </c>
      <c r="T2952">
        <v>1</v>
      </c>
      <c r="U2952">
        <v>14</v>
      </c>
      <c r="V2952">
        <v>8</v>
      </c>
      <c r="W2952">
        <v>4</v>
      </c>
      <c r="X2952">
        <v>137</v>
      </c>
      <c r="Y2952">
        <v>1</v>
      </c>
      <c r="Z2952">
        <v>5</v>
      </c>
      <c r="AA2952">
        <v>2</v>
      </c>
      <c r="AB2952">
        <v>7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16</v>
      </c>
      <c r="AK2952">
        <v>299</v>
      </c>
      <c r="AL2952">
        <v>299</v>
      </c>
      <c r="AM2952">
        <v>704</v>
      </c>
      <c r="AN2952">
        <v>44</v>
      </c>
      <c r="AP2952">
        <v>1</v>
      </c>
      <c r="AR2952" t="s">
        <v>3047</v>
      </c>
      <c r="AS2952" s="1">
        <v>44354.111111111109</v>
      </c>
      <c r="AT2952" s="1">
        <v>44354.128425925926</v>
      </c>
      <c r="AU2952" s="1">
        <v>44354.128923611112</v>
      </c>
      <c r="AV2952" t="s">
        <v>71</v>
      </c>
      <c r="AW2952" t="s">
        <v>72</v>
      </c>
      <c r="AX2952" t="s">
        <v>73</v>
      </c>
    </row>
    <row r="2953" spans="1:50" x14ac:dyDescent="0.3">
      <c r="A2953" t="str">
        <f>"200605C0100"</f>
        <v>200605C0100</v>
      </c>
      <c r="B2953" t="str">
        <f>"200605C01002"</f>
        <v>200605C01002</v>
      </c>
      <c r="C2953" t="str">
        <f t="shared" si="143"/>
        <v>20</v>
      </c>
      <c r="D2953" t="s">
        <v>67</v>
      </c>
      <c r="E2953" t="str">
        <f t="shared" si="142"/>
        <v>013</v>
      </c>
      <c r="F2953" t="s">
        <v>2914</v>
      </c>
      <c r="G2953" t="str">
        <f>"0605"</f>
        <v>0605</v>
      </c>
      <c r="H2953" t="str">
        <f>"0001"</f>
        <v>0001</v>
      </c>
      <c r="I2953" t="s">
        <v>75</v>
      </c>
      <c r="J2953">
        <v>0</v>
      </c>
      <c r="K2953">
        <v>1</v>
      </c>
      <c r="L2953">
        <v>2</v>
      </c>
      <c r="M2953">
        <v>396</v>
      </c>
      <c r="N2953">
        <v>351</v>
      </c>
      <c r="O2953">
        <v>2</v>
      </c>
      <c r="P2953">
        <v>351</v>
      </c>
      <c r="Q2953">
        <v>19</v>
      </c>
      <c r="R2953">
        <v>73</v>
      </c>
      <c r="S2953">
        <v>2</v>
      </c>
      <c r="T2953">
        <v>7</v>
      </c>
      <c r="U2953">
        <v>19</v>
      </c>
      <c r="V2953">
        <v>8</v>
      </c>
      <c r="W2953">
        <v>7</v>
      </c>
      <c r="X2953">
        <v>183</v>
      </c>
      <c r="Y2953">
        <v>1</v>
      </c>
      <c r="Z2953">
        <v>8</v>
      </c>
      <c r="AA2953">
        <v>1</v>
      </c>
      <c r="AB2953">
        <v>14</v>
      </c>
      <c r="AD2953">
        <v>1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9</v>
      </c>
      <c r="AL2953">
        <v>343</v>
      </c>
      <c r="AM2953">
        <v>703</v>
      </c>
      <c r="AN2953">
        <v>44</v>
      </c>
      <c r="AP2953">
        <v>1</v>
      </c>
      <c r="AR2953" t="s">
        <v>3048</v>
      </c>
      <c r="AS2953" s="1">
        <v>44354.242361111108</v>
      </c>
      <c r="AT2953" s="1">
        <v>44354.243750000001</v>
      </c>
      <c r="AU2953" s="1">
        <v>44354.244525462964</v>
      </c>
      <c r="AV2953" t="s">
        <v>71</v>
      </c>
      <c r="AW2953" t="s">
        <v>72</v>
      </c>
      <c r="AX2953" t="s">
        <v>347</v>
      </c>
    </row>
    <row r="2954" spans="1:50" x14ac:dyDescent="0.3">
      <c r="A2954" t="str">
        <f>"200606B0000"</f>
        <v>200606B0000</v>
      </c>
      <c r="B2954" t="str">
        <f>"200606B00002"</f>
        <v>200606B00002</v>
      </c>
      <c r="C2954" t="str">
        <f t="shared" si="143"/>
        <v>20</v>
      </c>
      <c r="D2954" t="s">
        <v>67</v>
      </c>
      <c r="E2954" t="str">
        <f t="shared" si="142"/>
        <v>013</v>
      </c>
      <c r="F2954" t="s">
        <v>2914</v>
      </c>
      <c r="G2954" t="str">
        <f>"0606"</f>
        <v>0606</v>
      </c>
      <c r="H2954" t="str">
        <f>"0000"</f>
        <v>0000</v>
      </c>
      <c r="I2954" t="s">
        <v>69</v>
      </c>
      <c r="J2954">
        <v>0</v>
      </c>
      <c r="K2954">
        <v>1</v>
      </c>
      <c r="L2954">
        <v>2</v>
      </c>
      <c r="M2954">
        <v>320</v>
      </c>
      <c r="N2954">
        <v>260</v>
      </c>
      <c r="O2954">
        <v>4</v>
      </c>
      <c r="P2954" t="s">
        <v>80</v>
      </c>
      <c r="Q2954">
        <v>14</v>
      </c>
      <c r="R2954">
        <v>70</v>
      </c>
      <c r="S2954">
        <v>0</v>
      </c>
      <c r="T2954">
        <v>5</v>
      </c>
      <c r="U2954">
        <v>2</v>
      </c>
      <c r="V2954">
        <v>9</v>
      </c>
      <c r="W2954">
        <v>3</v>
      </c>
      <c r="X2954">
        <v>134</v>
      </c>
      <c r="Y2954">
        <v>3</v>
      </c>
      <c r="Z2954">
        <v>8</v>
      </c>
      <c r="AA2954">
        <v>2</v>
      </c>
      <c r="AB2954">
        <v>6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19</v>
      </c>
      <c r="AK2954">
        <v>275</v>
      </c>
      <c r="AL2954">
        <v>275</v>
      </c>
      <c r="AM2954">
        <v>558</v>
      </c>
      <c r="AN2954">
        <v>44</v>
      </c>
      <c r="AP2954">
        <v>1</v>
      </c>
      <c r="AR2954" t="s">
        <v>3049</v>
      </c>
      <c r="AS2954" s="1">
        <v>44354.286805555559</v>
      </c>
      <c r="AT2954" s="1">
        <v>44354.288368055553</v>
      </c>
      <c r="AU2954" s="1">
        <v>44354.288888888892</v>
      </c>
      <c r="AV2954" t="s">
        <v>71</v>
      </c>
      <c r="AW2954" t="s">
        <v>72</v>
      </c>
      <c r="AX2954" t="s">
        <v>347</v>
      </c>
    </row>
    <row r="2955" spans="1:50" x14ac:dyDescent="0.3">
      <c r="A2955" t="str">
        <f>"200606C0100"</f>
        <v>200606C0100</v>
      </c>
      <c r="B2955" t="str">
        <f>"200606C01002"</f>
        <v>200606C01002</v>
      </c>
      <c r="C2955" t="str">
        <f t="shared" si="143"/>
        <v>20</v>
      </c>
      <c r="D2955" t="s">
        <v>67</v>
      </c>
      <c r="E2955" t="str">
        <f t="shared" si="142"/>
        <v>013</v>
      </c>
      <c r="F2955" t="s">
        <v>2914</v>
      </c>
      <c r="G2955" t="str">
        <f>"0606"</f>
        <v>0606</v>
      </c>
      <c r="H2955" t="str">
        <f>"0001"</f>
        <v>0001</v>
      </c>
      <c r="I2955" t="s">
        <v>75</v>
      </c>
      <c r="J2955">
        <v>0</v>
      </c>
      <c r="K2955">
        <v>1</v>
      </c>
      <c r="L2955">
        <v>2</v>
      </c>
      <c r="M2955">
        <v>328</v>
      </c>
      <c r="N2955">
        <v>273</v>
      </c>
      <c r="O2955">
        <v>6</v>
      </c>
      <c r="P2955">
        <v>273</v>
      </c>
      <c r="Q2955">
        <v>16</v>
      </c>
      <c r="R2955">
        <v>60</v>
      </c>
      <c r="S2955">
        <v>5</v>
      </c>
      <c r="T2955">
        <v>1</v>
      </c>
      <c r="U2955">
        <v>6</v>
      </c>
      <c r="V2955">
        <v>10</v>
      </c>
      <c r="W2955">
        <v>5</v>
      </c>
      <c r="X2955">
        <v>146</v>
      </c>
      <c r="Y2955">
        <v>6</v>
      </c>
      <c r="Z2955">
        <v>4</v>
      </c>
      <c r="AA2955">
        <v>0</v>
      </c>
      <c r="AB2955">
        <v>7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1</v>
      </c>
      <c r="AJ2955">
        <v>6</v>
      </c>
      <c r="AK2955">
        <v>273</v>
      </c>
      <c r="AL2955">
        <v>273</v>
      </c>
      <c r="AM2955">
        <v>557</v>
      </c>
      <c r="AN2955">
        <v>44</v>
      </c>
      <c r="AP2955">
        <v>1</v>
      </c>
      <c r="AR2955" t="s">
        <v>3050</v>
      </c>
      <c r="AS2955" s="1">
        <v>44353.916666666664</v>
      </c>
      <c r="AT2955" s="1">
        <v>44354.172407407408</v>
      </c>
      <c r="AU2955" s="1">
        <v>44354.173333333332</v>
      </c>
      <c r="AV2955" t="s">
        <v>71</v>
      </c>
      <c r="AW2955" t="s">
        <v>72</v>
      </c>
      <c r="AX2955" t="s">
        <v>347</v>
      </c>
    </row>
    <row r="2956" spans="1:50" x14ac:dyDescent="0.3">
      <c r="A2956" t="str">
        <f>"200607B0000"</f>
        <v>200607B0000</v>
      </c>
      <c r="B2956" t="str">
        <f>"200607B00002"</f>
        <v>200607B00002</v>
      </c>
      <c r="C2956" t="str">
        <f t="shared" si="143"/>
        <v>20</v>
      </c>
      <c r="D2956" t="s">
        <v>67</v>
      </c>
      <c r="E2956" t="str">
        <f t="shared" si="142"/>
        <v>013</v>
      </c>
      <c r="F2956" t="s">
        <v>2914</v>
      </c>
      <c r="G2956" t="str">
        <f>"0607"</f>
        <v>0607</v>
      </c>
      <c r="H2956" t="str">
        <f>"0000"</f>
        <v>0000</v>
      </c>
      <c r="I2956" t="s">
        <v>69</v>
      </c>
      <c r="J2956">
        <v>0</v>
      </c>
      <c r="K2956">
        <v>1</v>
      </c>
      <c r="L2956">
        <v>2</v>
      </c>
      <c r="M2956">
        <v>371</v>
      </c>
      <c r="N2956">
        <v>333</v>
      </c>
      <c r="O2956">
        <v>8</v>
      </c>
      <c r="P2956">
        <v>330</v>
      </c>
      <c r="Q2956">
        <v>30</v>
      </c>
      <c r="R2956">
        <v>65</v>
      </c>
      <c r="S2956">
        <v>4</v>
      </c>
      <c r="T2956">
        <v>7</v>
      </c>
      <c r="U2956">
        <v>10</v>
      </c>
      <c r="V2956">
        <v>7</v>
      </c>
      <c r="W2956">
        <v>6</v>
      </c>
      <c r="X2956">
        <v>167</v>
      </c>
      <c r="Y2956">
        <v>5</v>
      </c>
      <c r="Z2956">
        <v>10</v>
      </c>
      <c r="AA2956">
        <v>3</v>
      </c>
      <c r="AB2956">
        <v>0</v>
      </c>
      <c r="AD2956">
        <v>2</v>
      </c>
      <c r="AE2956">
        <v>0</v>
      </c>
      <c r="AF2956">
        <v>0</v>
      </c>
      <c r="AG2956">
        <v>2</v>
      </c>
      <c r="AH2956">
        <v>0</v>
      </c>
      <c r="AI2956">
        <v>0</v>
      </c>
      <c r="AJ2956">
        <v>4</v>
      </c>
      <c r="AK2956">
        <v>330</v>
      </c>
      <c r="AL2956">
        <v>322</v>
      </c>
      <c r="AM2956">
        <v>660</v>
      </c>
      <c r="AN2956">
        <v>44</v>
      </c>
      <c r="AP2956">
        <v>1</v>
      </c>
      <c r="AR2956" t="s">
        <v>3051</v>
      </c>
      <c r="AS2956" s="1">
        <v>44354.259027777778</v>
      </c>
      <c r="AT2956" s="1">
        <v>44354.293842592589</v>
      </c>
      <c r="AU2956" s="1">
        <v>44354.294178240743</v>
      </c>
      <c r="AV2956" t="s">
        <v>71</v>
      </c>
      <c r="AW2956" t="s">
        <v>72</v>
      </c>
      <c r="AX2956" t="s">
        <v>73</v>
      </c>
    </row>
    <row r="2957" spans="1:50" x14ac:dyDescent="0.3">
      <c r="A2957" t="str">
        <f>"200607C0100"</f>
        <v>200607C0100</v>
      </c>
      <c r="B2957" t="str">
        <f>"200607C01002"</f>
        <v>200607C01002</v>
      </c>
      <c r="C2957" t="str">
        <f t="shared" si="143"/>
        <v>20</v>
      </c>
      <c r="D2957" t="s">
        <v>67</v>
      </c>
      <c r="E2957" t="str">
        <f t="shared" si="142"/>
        <v>013</v>
      </c>
      <c r="F2957" t="s">
        <v>2914</v>
      </c>
      <c r="G2957" t="str">
        <f>"0607"</f>
        <v>0607</v>
      </c>
      <c r="H2957" t="str">
        <f>"0001"</f>
        <v>0001</v>
      </c>
      <c r="I2957" t="s">
        <v>75</v>
      </c>
      <c r="J2957">
        <v>0</v>
      </c>
      <c r="K2957">
        <v>1</v>
      </c>
      <c r="L2957">
        <v>2</v>
      </c>
      <c r="M2957">
        <v>409</v>
      </c>
      <c r="N2957">
        <v>295</v>
      </c>
      <c r="O2957">
        <v>4</v>
      </c>
      <c r="P2957" t="s">
        <v>80</v>
      </c>
      <c r="Q2957">
        <v>29</v>
      </c>
      <c r="R2957">
        <v>60</v>
      </c>
      <c r="S2957">
        <v>3</v>
      </c>
      <c r="T2957">
        <v>3</v>
      </c>
      <c r="U2957">
        <v>6</v>
      </c>
      <c r="V2957">
        <v>6</v>
      </c>
      <c r="W2957">
        <v>7</v>
      </c>
      <c r="X2957">
        <v>154</v>
      </c>
      <c r="Y2957">
        <v>1</v>
      </c>
      <c r="Z2957">
        <v>13</v>
      </c>
      <c r="AA2957">
        <v>2</v>
      </c>
      <c r="AB2957">
        <v>10</v>
      </c>
      <c r="AD2957">
        <v>2</v>
      </c>
      <c r="AE2957" t="s">
        <v>77</v>
      </c>
      <c r="AF2957" t="s">
        <v>77</v>
      </c>
      <c r="AG2957" t="s">
        <v>77</v>
      </c>
      <c r="AH2957" t="s">
        <v>77</v>
      </c>
      <c r="AI2957" t="s">
        <v>77</v>
      </c>
      <c r="AJ2957">
        <v>2</v>
      </c>
      <c r="AK2957">
        <v>298</v>
      </c>
      <c r="AL2957">
        <v>298</v>
      </c>
      <c r="AM2957">
        <v>660</v>
      </c>
      <c r="AN2957">
        <v>44</v>
      </c>
      <c r="AO2957" t="s">
        <v>78</v>
      </c>
      <c r="AP2957">
        <v>1</v>
      </c>
      <c r="AR2957" t="s">
        <v>3052</v>
      </c>
      <c r="AS2957" s="1">
        <v>44354.024305555555</v>
      </c>
      <c r="AT2957" s="1">
        <v>44354.03496527778</v>
      </c>
      <c r="AU2957" s="1">
        <v>44354.03570601852</v>
      </c>
      <c r="AV2957" t="s">
        <v>71</v>
      </c>
      <c r="AW2957" t="s">
        <v>72</v>
      </c>
      <c r="AX2957" t="s">
        <v>73</v>
      </c>
    </row>
    <row r="2958" spans="1:50" x14ac:dyDescent="0.3">
      <c r="A2958" t="str">
        <f>"200608B0000"</f>
        <v>200608B0000</v>
      </c>
      <c r="B2958" t="str">
        <f>"200608B00002"</f>
        <v>200608B00002</v>
      </c>
      <c r="C2958" t="str">
        <f t="shared" si="143"/>
        <v>20</v>
      </c>
      <c r="D2958" t="s">
        <v>67</v>
      </c>
      <c r="E2958" t="str">
        <f t="shared" si="142"/>
        <v>013</v>
      </c>
      <c r="F2958" t="s">
        <v>2914</v>
      </c>
      <c r="G2958" t="str">
        <f>"0608"</f>
        <v>0608</v>
      </c>
      <c r="H2958" t="str">
        <f>"0000"</f>
        <v>0000</v>
      </c>
      <c r="I2958" t="s">
        <v>69</v>
      </c>
      <c r="J2958">
        <v>0</v>
      </c>
      <c r="K2958">
        <v>1</v>
      </c>
      <c r="L2958">
        <v>2</v>
      </c>
      <c r="M2958">
        <v>202</v>
      </c>
      <c r="N2958">
        <v>273</v>
      </c>
      <c r="O2958">
        <v>8</v>
      </c>
      <c r="P2958">
        <v>273</v>
      </c>
      <c r="Q2958">
        <v>53</v>
      </c>
      <c r="R2958">
        <v>86</v>
      </c>
      <c r="S2958">
        <v>5</v>
      </c>
      <c r="T2958">
        <v>1</v>
      </c>
      <c r="U2958">
        <v>8</v>
      </c>
      <c r="V2958">
        <v>5</v>
      </c>
      <c r="W2958">
        <v>1</v>
      </c>
      <c r="X2958">
        <v>88</v>
      </c>
      <c r="Y2958">
        <v>3</v>
      </c>
      <c r="Z2958">
        <v>5</v>
      </c>
      <c r="AA2958">
        <v>2</v>
      </c>
      <c r="AB2958">
        <v>3</v>
      </c>
      <c r="AD2958">
        <v>4</v>
      </c>
      <c r="AE2958">
        <v>0</v>
      </c>
      <c r="AF2958">
        <v>0</v>
      </c>
      <c r="AG2958">
        <v>0</v>
      </c>
      <c r="AH2958">
        <v>0</v>
      </c>
      <c r="AI2958">
        <v>2</v>
      </c>
      <c r="AJ2958">
        <v>7</v>
      </c>
      <c r="AK2958">
        <v>273</v>
      </c>
      <c r="AL2958">
        <v>273</v>
      </c>
      <c r="AM2958">
        <v>431</v>
      </c>
      <c r="AN2958">
        <v>44</v>
      </c>
      <c r="AP2958">
        <v>1</v>
      </c>
      <c r="AR2958" t="s">
        <v>3053</v>
      </c>
      <c r="AS2958" s="1">
        <v>44354.004166666666</v>
      </c>
      <c r="AT2958" s="1">
        <v>44354.009386574071</v>
      </c>
      <c r="AU2958" s="1">
        <v>44354.009965277779</v>
      </c>
      <c r="AV2958" t="s">
        <v>71</v>
      </c>
      <c r="AW2958" t="s">
        <v>72</v>
      </c>
      <c r="AX2958" t="s">
        <v>73</v>
      </c>
    </row>
    <row r="2959" spans="1:50" x14ac:dyDescent="0.3">
      <c r="A2959" t="str">
        <f>"200608C0100"</f>
        <v>200608C0100</v>
      </c>
      <c r="B2959" t="str">
        <f>"200608C01002"</f>
        <v>200608C01002</v>
      </c>
      <c r="C2959" t="str">
        <f t="shared" si="143"/>
        <v>20</v>
      </c>
      <c r="D2959" t="s">
        <v>67</v>
      </c>
      <c r="E2959" t="str">
        <f t="shared" si="142"/>
        <v>013</v>
      </c>
      <c r="F2959" t="s">
        <v>2914</v>
      </c>
      <c r="G2959" t="str">
        <f>"0608"</f>
        <v>0608</v>
      </c>
      <c r="H2959" t="str">
        <f>"0001"</f>
        <v>0001</v>
      </c>
      <c r="I2959" t="s">
        <v>75</v>
      </c>
      <c r="J2959">
        <v>0</v>
      </c>
      <c r="K2959">
        <v>1</v>
      </c>
      <c r="L2959">
        <v>2</v>
      </c>
      <c r="M2959">
        <v>232</v>
      </c>
      <c r="N2959">
        <v>242</v>
      </c>
      <c r="O2959">
        <v>4</v>
      </c>
      <c r="P2959">
        <v>242</v>
      </c>
      <c r="Q2959">
        <v>46</v>
      </c>
      <c r="R2959">
        <v>66</v>
      </c>
      <c r="S2959">
        <v>1</v>
      </c>
      <c r="T2959">
        <v>1</v>
      </c>
      <c r="U2959">
        <v>7</v>
      </c>
      <c r="V2959">
        <v>1</v>
      </c>
      <c r="W2959" t="s">
        <v>99</v>
      </c>
      <c r="X2959">
        <v>85</v>
      </c>
      <c r="Y2959">
        <v>2</v>
      </c>
      <c r="Z2959">
        <v>7</v>
      </c>
      <c r="AA2959">
        <v>2</v>
      </c>
      <c r="AB2959">
        <v>2</v>
      </c>
      <c r="AD2959">
        <v>2</v>
      </c>
      <c r="AE2959">
        <v>1</v>
      </c>
      <c r="AF2959">
        <v>0</v>
      </c>
      <c r="AG2959">
        <v>1</v>
      </c>
      <c r="AH2959">
        <v>0</v>
      </c>
      <c r="AI2959">
        <v>0</v>
      </c>
      <c r="AJ2959">
        <v>12</v>
      </c>
      <c r="AK2959">
        <v>242</v>
      </c>
      <c r="AL2959">
        <v>236</v>
      </c>
      <c r="AM2959">
        <v>430</v>
      </c>
      <c r="AN2959">
        <v>44</v>
      </c>
      <c r="AO2959" t="s">
        <v>78</v>
      </c>
      <c r="AP2959">
        <v>1</v>
      </c>
      <c r="AR2959" t="s">
        <v>3054</v>
      </c>
      <c r="AS2959" s="1">
        <v>44354.000694444447</v>
      </c>
      <c r="AT2959" s="1">
        <v>44354.010462962964</v>
      </c>
      <c r="AU2959" s="1">
        <v>44354.011203703703</v>
      </c>
      <c r="AV2959" t="s">
        <v>71</v>
      </c>
      <c r="AW2959" t="s">
        <v>72</v>
      </c>
      <c r="AX2959" t="s">
        <v>73</v>
      </c>
    </row>
    <row r="2960" spans="1:50" x14ac:dyDescent="0.3">
      <c r="A2960" t="str">
        <f>"200609B0000"</f>
        <v>200609B0000</v>
      </c>
      <c r="B2960" t="str">
        <f>"200609B00002"</f>
        <v>200609B00002</v>
      </c>
      <c r="C2960" t="str">
        <f t="shared" si="143"/>
        <v>20</v>
      </c>
      <c r="D2960" t="s">
        <v>67</v>
      </c>
      <c r="E2960" t="str">
        <f t="shared" si="142"/>
        <v>013</v>
      </c>
      <c r="F2960" t="s">
        <v>2914</v>
      </c>
      <c r="G2960" t="str">
        <f>"0609"</f>
        <v>0609</v>
      </c>
      <c r="H2960" t="str">
        <f>"0000"</f>
        <v>0000</v>
      </c>
      <c r="I2960" t="s">
        <v>69</v>
      </c>
      <c r="J2960">
        <v>0</v>
      </c>
      <c r="K2960">
        <v>1</v>
      </c>
      <c r="L2960">
        <v>2</v>
      </c>
      <c r="M2960">
        <v>384</v>
      </c>
      <c r="N2960">
        <v>295</v>
      </c>
      <c r="O2960">
        <v>0</v>
      </c>
      <c r="P2960">
        <v>295</v>
      </c>
      <c r="Q2960">
        <v>27</v>
      </c>
      <c r="R2960">
        <v>77</v>
      </c>
      <c r="S2960">
        <v>2</v>
      </c>
      <c r="T2960">
        <v>2</v>
      </c>
      <c r="U2960">
        <v>6</v>
      </c>
      <c r="V2960">
        <v>9</v>
      </c>
      <c r="W2960">
        <v>2</v>
      </c>
      <c r="X2960">
        <v>133</v>
      </c>
      <c r="Y2960">
        <v>3</v>
      </c>
      <c r="Z2960">
        <v>5</v>
      </c>
      <c r="AA2960">
        <v>1</v>
      </c>
      <c r="AB2960">
        <v>11</v>
      </c>
      <c r="AD2960">
        <v>2</v>
      </c>
      <c r="AE2960">
        <v>0</v>
      </c>
      <c r="AF2960">
        <v>0</v>
      </c>
      <c r="AG2960">
        <v>0</v>
      </c>
      <c r="AH2960">
        <v>0</v>
      </c>
      <c r="AI2960">
        <v>2</v>
      </c>
      <c r="AJ2960">
        <v>12</v>
      </c>
      <c r="AK2960">
        <v>295</v>
      </c>
      <c r="AL2960">
        <v>294</v>
      </c>
      <c r="AM2960">
        <v>635</v>
      </c>
      <c r="AN2960">
        <v>44</v>
      </c>
      <c r="AP2960">
        <v>1</v>
      </c>
      <c r="AR2960" t="s">
        <v>3055</v>
      </c>
      <c r="AS2960" s="1">
        <v>44354.058333333334</v>
      </c>
      <c r="AT2960" s="1">
        <v>44354.066967592589</v>
      </c>
      <c r="AU2960" s="1">
        <v>44354.067488425928</v>
      </c>
      <c r="AV2960" t="s">
        <v>71</v>
      </c>
      <c r="AW2960" t="s">
        <v>72</v>
      </c>
      <c r="AX2960" t="s">
        <v>73</v>
      </c>
    </row>
    <row r="2961" spans="1:50" x14ac:dyDescent="0.3">
      <c r="A2961" t="str">
        <f>"200609C0100"</f>
        <v>200609C0100</v>
      </c>
      <c r="B2961" t="str">
        <f>"200609C01002"</f>
        <v>200609C01002</v>
      </c>
      <c r="C2961" t="str">
        <f t="shared" si="143"/>
        <v>20</v>
      </c>
      <c r="D2961" t="s">
        <v>67</v>
      </c>
      <c r="E2961" t="str">
        <f t="shared" si="142"/>
        <v>013</v>
      </c>
      <c r="F2961" t="s">
        <v>2914</v>
      </c>
      <c r="G2961" t="str">
        <f>"0609"</f>
        <v>0609</v>
      </c>
      <c r="H2961" t="str">
        <f>"0001"</f>
        <v>0001</v>
      </c>
      <c r="I2961" t="s">
        <v>75</v>
      </c>
      <c r="J2961">
        <v>0</v>
      </c>
      <c r="K2961">
        <v>1</v>
      </c>
      <c r="L2961">
        <v>2</v>
      </c>
      <c r="M2961">
        <v>386</v>
      </c>
      <c r="N2961">
        <v>292</v>
      </c>
      <c r="O2961">
        <v>0</v>
      </c>
      <c r="P2961">
        <v>292</v>
      </c>
      <c r="Q2961">
        <v>35</v>
      </c>
      <c r="R2961">
        <v>68</v>
      </c>
      <c r="S2961">
        <v>4</v>
      </c>
      <c r="T2961">
        <v>7</v>
      </c>
      <c r="U2961">
        <v>10</v>
      </c>
      <c r="V2961">
        <v>7</v>
      </c>
      <c r="W2961">
        <v>3</v>
      </c>
      <c r="X2961">
        <v>131</v>
      </c>
      <c r="Y2961">
        <v>5</v>
      </c>
      <c r="Z2961">
        <v>3</v>
      </c>
      <c r="AA2961">
        <v>0</v>
      </c>
      <c r="AB2961">
        <v>9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10</v>
      </c>
      <c r="AK2961">
        <v>292</v>
      </c>
      <c r="AL2961">
        <v>292</v>
      </c>
      <c r="AM2961">
        <v>634</v>
      </c>
      <c r="AN2961">
        <v>44</v>
      </c>
      <c r="AP2961">
        <v>1</v>
      </c>
      <c r="AR2961" t="s">
        <v>3056</v>
      </c>
      <c r="AS2961" s="1">
        <v>44354.050694444442</v>
      </c>
      <c r="AT2961" s="1">
        <v>44354.061053240737</v>
      </c>
      <c r="AU2961" s="1">
        <v>44354.061921296299</v>
      </c>
      <c r="AV2961" t="s">
        <v>71</v>
      </c>
      <c r="AW2961" t="s">
        <v>72</v>
      </c>
      <c r="AX2961" t="s">
        <v>73</v>
      </c>
    </row>
    <row r="2962" spans="1:50" x14ac:dyDescent="0.3">
      <c r="A2962" t="str">
        <f>"200609C0200"</f>
        <v>200609C0200</v>
      </c>
      <c r="B2962" t="str">
        <f>"200609C02002"</f>
        <v>200609C02002</v>
      </c>
      <c r="C2962" t="str">
        <f t="shared" si="143"/>
        <v>20</v>
      </c>
      <c r="D2962" t="s">
        <v>67</v>
      </c>
      <c r="E2962" t="str">
        <f t="shared" si="142"/>
        <v>013</v>
      </c>
      <c r="F2962" t="s">
        <v>2914</v>
      </c>
      <c r="G2962" t="str">
        <f>"0609"</f>
        <v>0609</v>
      </c>
      <c r="H2962" t="str">
        <f>"0002"</f>
        <v>0002</v>
      </c>
      <c r="I2962" t="s">
        <v>75</v>
      </c>
      <c r="J2962">
        <v>0</v>
      </c>
      <c r="K2962">
        <v>1</v>
      </c>
      <c r="L2962">
        <v>2</v>
      </c>
      <c r="M2962">
        <v>354</v>
      </c>
      <c r="N2962">
        <v>281</v>
      </c>
      <c r="O2962">
        <v>2</v>
      </c>
      <c r="P2962">
        <v>281</v>
      </c>
      <c r="Q2962">
        <v>14</v>
      </c>
      <c r="R2962">
        <v>57</v>
      </c>
      <c r="S2962">
        <v>2</v>
      </c>
      <c r="T2962">
        <v>4</v>
      </c>
      <c r="U2962">
        <v>15</v>
      </c>
      <c r="V2962">
        <v>7</v>
      </c>
      <c r="W2962">
        <v>4</v>
      </c>
      <c r="X2962">
        <v>144</v>
      </c>
      <c r="Y2962">
        <v>4</v>
      </c>
      <c r="Z2962">
        <v>7</v>
      </c>
      <c r="AA2962">
        <v>7</v>
      </c>
      <c r="AB2962">
        <v>13</v>
      </c>
      <c r="AD2962" t="s">
        <v>77</v>
      </c>
      <c r="AE2962" t="s">
        <v>77</v>
      </c>
      <c r="AF2962" t="s">
        <v>77</v>
      </c>
      <c r="AG2962" t="s">
        <v>77</v>
      </c>
      <c r="AH2962" t="s">
        <v>77</v>
      </c>
      <c r="AI2962" t="s">
        <v>77</v>
      </c>
      <c r="AJ2962">
        <v>6</v>
      </c>
      <c r="AK2962">
        <v>279</v>
      </c>
      <c r="AL2962">
        <v>284</v>
      </c>
      <c r="AM2962">
        <v>634</v>
      </c>
      <c r="AN2962">
        <v>44</v>
      </c>
      <c r="AO2962" t="s">
        <v>78</v>
      </c>
      <c r="AP2962">
        <v>1</v>
      </c>
      <c r="AR2962" t="s">
        <v>3057</v>
      </c>
      <c r="AS2962" s="1">
        <v>44354.086111111108</v>
      </c>
      <c r="AT2962" s="1">
        <v>44354.098171296297</v>
      </c>
      <c r="AU2962" s="1">
        <v>44354.099374999998</v>
      </c>
      <c r="AV2962" t="s">
        <v>71</v>
      </c>
      <c r="AW2962" t="s">
        <v>72</v>
      </c>
      <c r="AX2962" t="s">
        <v>73</v>
      </c>
    </row>
    <row r="2963" spans="1:50" x14ac:dyDescent="0.3">
      <c r="A2963" t="str">
        <f>"200609C0300"</f>
        <v>200609C0300</v>
      </c>
      <c r="B2963" t="str">
        <f>"200609C03002"</f>
        <v>200609C03002</v>
      </c>
      <c r="C2963" t="str">
        <f t="shared" si="143"/>
        <v>20</v>
      </c>
      <c r="D2963" t="s">
        <v>67</v>
      </c>
      <c r="E2963" t="str">
        <f t="shared" si="142"/>
        <v>013</v>
      </c>
      <c r="F2963" t="s">
        <v>2914</v>
      </c>
      <c r="G2963" t="str">
        <f>"0609"</f>
        <v>0609</v>
      </c>
      <c r="H2963" t="str">
        <f>"0003"</f>
        <v>0003</v>
      </c>
      <c r="I2963" t="s">
        <v>75</v>
      </c>
      <c r="J2963">
        <v>0</v>
      </c>
      <c r="K2963">
        <v>1</v>
      </c>
      <c r="L2963">
        <v>2</v>
      </c>
      <c r="M2963">
        <v>374</v>
      </c>
      <c r="N2963">
        <v>304</v>
      </c>
      <c r="O2963">
        <v>0</v>
      </c>
      <c r="P2963">
        <v>304</v>
      </c>
      <c r="Q2963">
        <v>27</v>
      </c>
      <c r="R2963">
        <v>75</v>
      </c>
      <c r="S2963">
        <v>1</v>
      </c>
      <c r="T2963">
        <v>9</v>
      </c>
      <c r="U2963">
        <v>3</v>
      </c>
      <c r="V2963">
        <v>5</v>
      </c>
      <c r="W2963">
        <v>3</v>
      </c>
      <c r="X2963">
        <v>144</v>
      </c>
      <c r="Y2963">
        <v>3</v>
      </c>
      <c r="Z2963">
        <v>8</v>
      </c>
      <c r="AA2963">
        <v>4</v>
      </c>
      <c r="AB2963">
        <v>14</v>
      </c>
      <c r="AD2963">
        <v>1</v>
      </c>
      <c r="AE2963">
        <v>1</v>
      </c>
      <c r="AF2963">
        <v>0</v>
      </c>
      <c r="AG2963">
        <v>0</v>
      </c>
      <c r="AH2963">
        <v>0</v>
      </c>
      <c r="AI2963">
        <v>0</v>
      </c>
      <c r="AJ2963">
        <v>6</v>
      </c>
      <c r="AK2963">
        <v>304</v>
      </c>
      <c r="AL2963">
        <v>304</v>
      </c>
      <c r="AM2963">
        <v>634</v>
      </c>
      <c r="AN2963">
        <v>44</v>
      </c>
      <c r="AP2963">
        <v>1</v>
      </c>
      <c r="AR2963" t="s">
        <v>3058</v>
      </c>
      <c r="AS2963" s="1">
        <v>44354.147222222222</v>
      </c>
      <c r="AT2963" s="1">
        <v>44354.157048611109</v>
      </c>
      <c r="AU2963" s="1">
        <v>44354.157673611109</v>
      </c>
      <c r="AV2963" t="s">
        <v>71</v>
      </c>
      <c r="AW2963" t="s">
        <v>72</v>
      </c>
      <c r="AX2963" t="s">
        <v>73</v>
      </c>
    </row>
    <row r="2964" spans="1:50" x14ac:dyDescent="0.3">
      <c r="A2964" t="str">
        <f>"200609C0400"</f>
        <v>200609C0400</v>
      </c>
      <c r="B2964" t="str">
        <f>"200609C04002"</f>
        <v>200609C04002</v>
      </c>
      <c r="C2964" t="str">
        <f t="shared" si="143"/>
        <v>20</v>
      </c>
      <c r="D2964" t="s">
        <v>67</v>
      </c>
      <c r="E2964" t="str">
        <f t="shared" si="142"/>
        <v>013</v>
      </c>
      <c r="F2964" t="s">
        <v>2914</v>
      </c>
      <c r="G2964" t="str">
        <f>"0609"</f>
        <v>0609</v>
      </c>
      <c r="H2964" t="str">
        <f>"0004"</f>
        <v>0004</v>
      </c>
      <c r="I2964" t="s">
        <v>75</v>
      </c>
      <c r="J2964">
        <v>0</v>
      </c>
      <c r="K2964">
        <v>1</v>
      </c>
      <c r="L2964">
        <v>2</v>
      </c>
      <c r="M2964">
        <v>407</v>
      </c>
      <c r="N2964">
        <v>271</v>
      </c>
      <c r="O2964">
        <v>0</v>
      </c>
      <c r="P2964">
        <v>271</v>
      </c>
      <c r="Q2964">
        <v>26</v>
      </c>
      <c r="R2964">
        <v>72</v>
      </c>
      <c r="S2964">
        <v>2</v>
      </c>
      <c r="T2964">
        <v>4</v>
      </c>
      <c r="U2964">
        <v>12</v>
      </c>
      <c r="V2964">
        <v>10</v>
      </c>
      <c r="W2964">
        <v>2</v>
      </c>
      <c r="X2964">
        <v>115</v>
      </c>
      <c r="Y2964">
        <v>3</v>
      </c>
      <c r="Z2964">
        <v>3</v>
      </c>
      <c r="AA2964">
        <v>2</v>
      </c>
      <c r="AB2964">
        <v>9</v>
      </c>
      <c r="AD2964">
        <v>1</v>
      </c>
      <c r="AE2964">
        <v>1</v>
      </c>
      <c r="AF2964">
        <v>0</v>
      </c>
      <c r="AG2964">
        <v>0</v>
      </c>
      <c r="AH2964">
        <v>0</v>
      </c>
      <c r="AI2964">
        <v>0</v>
      </c>
      <c r="AJ2964">
        <v>9</v>
      </c>
      <c r="AK2964">
        <v>271</v>
      </c>
      <c r="AL2964">
        <v>271</v>
      </c>
      <c r="AM2964">
        <v>634</v>
      </c>
      <c r="AN2964">
        <v>44</v>
      </c>
      <c r="AP2964">
        <v>1</v>
      </c>
      <c r="AR2964" t="s">
        <v>3059</v>
      </c>
      <c r="AS2964" s="1">
        <v>44354.059027777781</v>
      </c>
      <c r="AT2964" s="1">
        <v>44354.067060185182</v>
      </c>
      <c r="AU2964" s="1">
        <v>44354.06790509259</v>
      </c>
      <c r="AV2964" t="s">
        <v>71</v>
      </c>
      <c r="AW2964" t="s">
        <v>72</v>
      </c>
      <c r="AX2964" t="s">
        <v>73</v>
      </c>
    </row>
    <row r="2965" spans="1:50" x14ac:dyDescent="0.3">
      <c r="A2965" t="str">
        <f>"200610B0000"</f>
        <v>200610B0000</v>
      </c>
      <c r="B2965" t="str">
        <f>"200610B00002"</f>
        <v>200610B00002</v>
      </c>
      <c r="C2965" t="str">
        <f t="shared" si="143"/>
        <v>20</v>
      </c>
      <c r="D2965" t="s">
        <v>67</v>
      </c>
      <c r="E2965" t="str">
        <f t="shared" si="142"/>
        <v>013</v>
      </c>
      <c r="F2965" t="s">
        <v>2914</v>
      </c>
      <c r="G2965" t="str">
        <f>"0610"</f>
        <v>0610</v>
      </c>
      <c r="H2965" t="str">
        <f>"0000"</f>
        <v>0000</v>
      </c>
      <c r="I2965" t="s">
        <v>69</v>
      </c>
      <c r="J2965">
        <v>0</v>
      </c>
      <c r="K2965">
        <v>1</v>
      </c>
      <c r="L2965">
        <v>2</v>
      </c>
      <c r="M2965">
        <v>192</v>
      </c>
      <c r="N2965">
        <v>471</v>
      </c>
      <c r="O2965">
        <v>6</v>
      </c>
      <c r="P2965">
        <v>279</v>
      </c>
      <c r="Q2965">
        <v>48</v>
      </c>
      <c r="R2965">
        <v>84</v>
      </c>
      <c r="S2965">
        <v>1</v>
      </c>
      <c r="T2965">
        <v>4</v>
      </c>
      <c r="U2965">
        <v>6</v>
      </c>
      <c r="V2965">
        <v>2</v>
      </c>
      <c r="W2965">
        <v>5</v>
      </c>
      <c r="X2965">
        <v>100</v>
      </c>
      <c r="Y2965">
        <v>2</v>
      </c>
      <c r="Z2965">
        <v>7</v>
      </c>
      <c r="AA2965">
        <v>0</v>
      </c>
      <c r="AB2965">
        <v>8</v>
      </c>
      <c r="AD2965">
        <v>2</v>
      </c>
      <c r="AE2965">
        <v>0</v>
      </c>
      <c r="AF2965">
        <v>0</v>
      </c>
      <c r="AG2965">
        <v>0</v>
      </c>
      <c r="AH2965">
        <v>0</v>
      </c>
      <c r="AI2965">
        <v>2</v>
      </c>
      <c r="AJ2965">
        <v>8</v>
      </c>
      <c r="AK2965">
        <v>279</v>
      </c>
      <c r="AL2965">
        <v>279</v>
      </c>
      <c r="AM2965">
        <v>427</v>
      </c>
      <c r="AN2965">
        <v>44</v>
      </c>
      <c r="AP2965">
        <v>1</v>
      </c>
      <c r="AR2965" s="2" t="s">
        <v>3060</v>
      </c>
      <c r="AS2965" s="1">
        <v>44354.080555555556</v>
      </c>
      <c r="AT2965" s="1">
        <v>44354.091666666667</v>
      </c>
      <c r="AU2965" s="1">
        <v>44354.092465277776</v>
      </c>
      <c r="AV2965" t="s">
        <v>71</v>
      </c>
      <c r="AW2965" t="s">
        <v>72</v>
      </c>
      <c r="AX2965" t="s">
        <v>73</v>
      </c>
    </row>
    <row r="2966" spans="1:50" x14ac:dyDescent="0.3">
      <c r="A2966" t="str">
        <f>"200610C0100"</f>
        <v>200610C0100</v>
      </c>
      <c r="B2966" t="str">
        <f>"200610C01002"</f>
        <v>200610C01002</v>
      </c>
      <c r="C2966" t="str">
        <f t="shared" si="143"/>
        <v>20</v>
      </c>
      <c r="D2966" t="s">
        <v>67</v>
      </c>
      <c r="E2966" t="str">
        <f t="shared" si="142"/>
        <v>013</v>
      </c>
      <c r="F2966" t="s">
        <v>2914</v>
      </c>
      <c r="G2966" t="str">
        <f>"0610"</f>
        <v>0610</v>
      </c>
      <c r="H2966" t="str">
        <f>"0001"</f>
        <v>0001</v>
      </c>
      <c r="I2966" t="s">
        <v>75</v>
      </c>
      <c r="J2966">
        <v>0</v>
      </c>
      <c r="K2966">
        <v>1</v>
      </c>
      <c r="L2966">
        <v>2</v>
      </c>
      <c r="M2966">
        <v>209</v>
      </c>
      <c r="N2966">
        <v>261</v>
      </c>
      <c r="O2966">
        <v>0</v>
      </c>
      <c r="P2966">
        <v>261</v>
      </c>
      <c r="Q2966">
        <v>21</v>
      </c>
      <c r="R2966">
        <v>76</v>
      </c>
      <c r="S2966">
        <v>1</v>
      </c>
      <c r="T2966">
        <v>0</v>
      </c>
      <c r="U2966">
        <v>5</v>
      </c>
      <c r="V2966">
        <v>7</v>
      </c>
      <c r="W2966">
        <v>4</v>
      </c>
      <c r="X2966">
        <v>117</v>
      </c>
      <c r="Y2966">
        <v>5</v>
      </c>
      <c r="Z2966">
        <v>4</v>
      </c>
      <c r="AA2966">
        <v>2</v>
      </c>
      <c r="AB2966">
        <v>8</v>
      </c>
      <c r="AD2966">
        <v>3</v>
      </c>
      <c r="AE2966">
        <v>0</v>
      </c>
      <c r="AF2966">
        <v>0</v>
      </c>
      <c r="AG2966">
        <v>0</v>
      </c>
      <c r="AH2966">
        <v>0</v>
      </c>
      <c r="AI2966">
        <v>2</v>
      </c>
      <c r="AJ2966">
        <v>6</v>
      </c>
      <c r="AK2966">
        <v>261</v>
      </c>
      <c r="AL2966">
        <v>261</v>
      </c>
      <c r="AM2966">
        <v>426</v>
      </c>
      <c r="AN2966">
        <v>44</v>
      </c>
      <c r="AP2966">
        <v>1</v>
      </c>
      <c r="AR2966" t="s">
        <v>3061</v>
      </c>
      <c r="AS2966" s="1">
        <v>44353.999305555553</v>
      </c>
      <c r="AT2966" s="1">
        <v>44354.08321759259</v>
      </c>
      <c r="AU2966" s="1">
        <v>44354.083692129629</v>
      </c>
      <c r="AV2966" t="s">
        <v>71</v>
      </c>
      <c r="AW2966" t="s">
        <v>72</v>
      </c>
      <c r="AX2966" t="s">
        <v>73</v>
      </c>
    </row>
    <row r="2967" spans="1:50" x14ac:dyDescent="0.3">
      <c r="A2967" t="str">
        <f>"200611B0000"</f>
        <v>200611B0000</v>
      </c>
      <c r="B2967" t="str">
        <f>"200611B00002"</f>
        <v>200611B00002</v>
      </c>
      <c r="C2967" t="str">
        <f t="shared" si="143"/>
        <v>20</v>
      </c>
      <c r="D2967" t="s">
        <v>67</v>
      </c>
      <c r="E2967" t="str">
        <f t="shared" si="142"/>
        <v>013</v>
      </c>
      <c r="F2967" t="s">
        <v>2914</v>
      </c>
      <c r="G2967" t="str">
        <f>"0611"</f>
        <v>0611</v>
      </c>
      <c r="H2967" t="str">
        <f>"0000"</f>
        <v>0000</v>
      </c>
      <c r="I2967" t="s">
        <v>69</v>
      </c>
      <c r="J2967">
        <v>0</v>
      </c>
      <c r="K2967">
        <v>1</v>
      </c>
      <c r="L2967">
        <v>2</v>
      </c>
      <c r="M2967">
        <v>312</v>
      </c>
      <c r="N2967">
        <v>305</v>
      </c>
      <c r="O2967">
        <v>4</v>
      </c>
      <c r="P2967">
        <v>306</v>
      </c>
      <c r="Q2967">
        <v>20</v>
      </c>
      <c r="R2967">
        <v>52</v>
      </c>
      <c r="S2967">
        <v>0</v>
      </c>
      <c r="T2967">
        <v>5</v>
      </c>
      <c r="U2967">
        <v>7</v>
      </c>
      <c r="V2967">
        <v>8</v>
      </c>
      <c r="W2967">
        <v>2</v>
      </c>
      <c r="X2967">
        <v>189</v>
      </c>
      <c r="Y2967">
        <v>3</v>
      </c>
      <c r="Z2967">
        <v>2</v>
      </c>
      <c r="AA2967">
        <v>2</v>
      </c>
      <c r="AB2967">
        <v>3</v>
      </c>
      <c r="AD2967">
        <v>5</v>
      </c>
      <c r="AE2967">
        <v>0</v>
      </c>
      <c r="AF2967">
        <v>0</v>
      </c>
      <c r="AG2967">
        <v>0</v>
      </c>
      <c r="AH2967">
        <v>1</v>
      </c>
      <c r="AI2967">
        <v>0</v>
      </c>
      <c r="AJ2967">
        <v>7</v>
      </c>
      <c r="AK2967">
        <v>306</v>
      </c>
      <c r="AL2967">
        <v>306</v>
      </c>
      <c r="AM2967">
        <v>573</v>
      </c>
      <c r="AN2967">
        <v>44</v>
      </c>
      <c r="AP2967">
        <v>1</v>
      </c>
      <c r="AR2967" t="s">
        <v>3062</v>
      </c>
      <c r="AS2967" s="1">
        <v>44354.081250000003</v>
      </c>
      <c r="AT2967" s="1">
        <v>44354.095173611109</v>
      </c>
      <c r="AU2967" s="1">
        <v>44354.09574074074</v>
      </c>
      <c r="AV2967" t="s">
        <v>71</v>
      </c>
      <c r="AW2967" t="s">
        <v>72</v>
      </c>
      <c r="AX2967" t="s">
        <v>73</v>
      </c>
    </row>
    <row r="2968" spans="1:50" x14ac:dyDescent="0.3">
      <c r="A2968" t="str">
        <f>"200611C0100"</f>
        <v>200611C0100</v>
      </c>
      <c r="B2968" t="str">
        <f>"200611C01002"</f>
        <v>200611C01002</v>
      </c>
      <c r="C2968" t="str">
        <f t="shared" si="143"/>
        <v>20</v>
      </c>
      <c r="D2968" t="s">
        <v>67</v>
      </c>
      <c r="E2968" t="str">
        <f t="shared" si="142"/>
        <v>013</v>
      </c>
      <c r="F2968" t="s">
        <v>2914</v>
      </c>
      <c r="G2968" t="str">
        <f>"0611"</f>
        <v>0611</v>
      </c>
      <c r="H2968" t="str">
        <f>"0001"</f>
        <v>0001</v>
      </c>
      <c r="I2968" t="s">
        <v>75</v>
      </c>
      <c r="J2968">
        <v>0</v>
      </c>
      <c r="K2968">
        <v>1</v>
      </c>
      <c r="L2968">
        <v>2</v>
      </c>
      <c r="M2968">
        <v>296</v>
      </c>
      <c r="N2968">
        <v>321</v>
      </c>
      <c r="O2968">
        <v>5</v>
      </c>
      <c r="P2968">
        <v>320</v>
      </c>
      <c r="Q2968">
        <v>24</v>
      </c>
      <c r="R2968">
        <v>43</v>
      </c>
      <c r="S2968">
        <v>3</v>
      </c>
      <c r="T2968">
        <v>6</v>
      </c>
      <c r="U2968">
        <v>4</v>
      </c>
      <c r="V2968">
        <v>8</v>
      </c>
      <c r="W2968">
        <v>2</v>
      </c>
      <c r="X2968">
        <v>196</v>
      </c>
      <c r="Y2968">
        <v>2</v>
      </c>
      <c r="Z2968">
        <v>11</v>
      </c>
      <c r="AA2968">
        <v>2</v>
      </c>
      <c r="AB2968">
        <v>5</v>
      </c>
      <c r="AD2968">
        <v>4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10</v>
      </c>
      <c r="AK2968">
        <v>320</v>
      </c>
      <c r="AL2968">
        <v>320</v>
      </c>
      <c r="AM2968">
        <v>573</v>
      </c>
      <c r="AN2968">
        <v>44</v>
      </c>
      <c r="AP2968">
        <v>1</v>
      </c>
      <c r="AR2968" t="s">
        <v>3063</v>
      </c>
      <c r="AS2968" s="1">
        <v>44354.078472222223</v>
      </c>
      <c r="AT2968" s="1">
        <v>44354.088067129633</v>
      </c>
      <c r="AU2968" s="1">
        <v>44354.088506944441</v>
      </c>
      <c r="AV2968" t="s">
        <v>71</v>
      </c>
      <c r="AW2968" t="s">
        <v>72</v>
      </c>
      <c r="AX2968" t="s">
        <v>73</v>
      </c>
    </row>
    <row r="2969" spans="1:50" x14ac:dyDescent="0.3">
      <c r="A2969" t="str">
        <f>"200612B0000"</f>
        <v>200612B0000</v>
      </c>
      <c r="B2969" t="str">
        <f>"200612B00002"</f>
        <v>200612B00002</v>
      </c>
      <c r="C2969" t="str">
        <f t="shared" si="143"/>
        <v>20</v>
      </c>
      <c r="D2969" t="s">
        <v>67</v>
      </c>
      <c r="E2969" t="str">
        <f t="shared" si="142"/>
        <v>013</v>
      </c>
      <c r="F2969" t="s">
        <v>2914</v>
      </c>
      <c r="G2969" t="str">
        <f>"0612"</f>
        <v>0612</v>
      </c>
      <c r="H2969" t="str">
        <f>"0000"</f>
        <v>0000</v>
      </c>
      <c r="I2969" t="s">
        <v>69</v>
      </c>
      <c r="J2969">
        <v>0</v>
      </c>
      <c r="K2969">
        <v>1</v>
      </c>
      <c r="L2969">
        <v>2</v>
      </c>
      <c r="M2969">
        <v>327</v>
      </c>
      <c r="N2969">
        <v>303</v>
      </c>
      <c r="O2969">
        <v>4</v>
      </c>
      <c r="P2969">
        <v>303</v>
      </c>
      <c r="Q2969">
        <v>19</v>
      </c>
      <c r="R2969">
        <v>69</v>
      </c>
      <c r="S2969">
        <v>3</v>
      </c>
      <c r="T2969">
        <v>3</v>
      </c>
      <c r="U2969">
        <v>4</v>
      </c>
      <c r="V2969">
        <v>7</v>
      </c>
      <c r="W2969">
        <v>0</v>
      </c>
      <c r="X2969">
        <v>166</v>
      </c>
      <c r="Y2969">
        <v>4</v>
      </c>
      <c r="Z2969">
        <v>4</v>
      </c>
      <c r="AA2969">
        <v>2</v>
      </c>
      <c r="AB2969">
        <v>9</v>
      </c>
      <c r="AD2969">
        <v>2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11</v>
      </c>
      <c r="AK2969">
        <v>303</v>
      </c>
      <c r="AL2969">
        <v>303</v>
      </c>
      <c r="AM2969">
        <v>586</v>
      </c>
      <c r="AN2969">
        <v>44</v>
      </c>
      <c r="AP2969">
        <v>1</v>
      </c>
      <c r="AR2969" t="s">
        <v>3064</v>
      </c>
      <c r="AS2969" s="1">
        <v>44353.866666666669</v>
      </c>
      <c r="AT2969" s="1">
        <v>44354.04105324074</v>
      </c>
      <c r="AU2969" s="1">
        <v>44354.041400462964</v>
      </c>
      <c r="AV2969" t="s">
        <v>71</v>
      </c>
      <c r="AW2969" t="s">
        <v>72</v>
      </c>
      <c r="AX2969" t="s">
        <v>73</v>
      </c>
    </row>
    <row r="2970" spans="1:50" x14ac:dyDescent="0.3">
      <c r="A2970" t="str">
        <f>"200612C0100"</f>
        <v>200612C0100</v>
      </c>
      <c r="B2970" t="str">
        <f>"200612C01002"</f>
        <v>200612C01002</v>
      </c>
      <c r="C2970" t="str">
        <f t="shared" si="143"/>
        <v>20</v>
      </c>
      <c r="D2970" t="s">
        <v>67</v>
      </c>
      <c r="E2970" t="str">
        <f t="shared" si="142"/>
        <v>013</v>
      </c>
      <c r="F2970" t="s">
        <v>2914</v>
      </c>
      <c r="G2970" t="str">
        <f>"0612"</f>
        <v>0612</v>
      </c>
      <c r="H2970" t="str">
        <f>"0001"</f>
        <v>0001</v>
      </c>
      <c r="I2970" t="s">
        <v>75</v>
      </c>
      <c r="J2970">
        <v>0</v>
      </c>
      <c r="K2970">
        <v>1</v>
      </c>
      <c r="L2970">
        <v>2</v>
      </c>
      <c r="M2970">
        <v>340</v>
      </c>
      <c r="N2970">
        <v>290</v>
      </c>
      <c r="O2970">
        <v>4</v>
      </c>
      <c r="P2970">
        <v>289</v>
      </c>
      <c r="Q2970">
        <v>22</v>
      </c>
      <c r="R2970">
        <v>66</v>
      </c>
      <c r="S2970">
        <v>4</v>
      </c>
      <c r="T2970">
        <v>3</v>
      </c>
      <c r="U2970">
        <v>3</v>
      </c>
      <c r="V2970">
        <v>2</v>
      </c>
      <c r="W2970">
        <v>4</v>
      </c>
      <c r="X2970">
        <v>155</v>
      </c>
      <c r="Y2970">
        <v>6</v>
      </c>
      <c r="Z2970">
        <v>6</v>
      </c>
      <c r="AA2970">
        <v>0</v>
      </c>
      <c r="AB2970">
        <v>9</v>
      </c>
      <c r="AD2970">
        <v>2</v>
      </c>
      <c r="AE2970">
        <v>1</v>
      </c>
      <c r="AF2970">
        <v>0</v>
      </c>
      <c r="AG2970">
        <v>0</v>
      </c>
      <c r="AH2970">
        <v>1</v>
      </c>
      <c r="AI2970">
        <v>0</v>
      </c>
      <c r="AJ2970">
        <v>5</v>
      </c>
      <c r="AK2970">
        <v>289</v>
      </c>
      <c r="AL2970">
        <v>289</v>
      </c>
      <c r="AM2970">
        <v>585</v>
      </c>
      <c r="AN2970">
        <v>44</v>
      </c>
      <c r="AP2970">
        <v>1</v>
      </c>
      <c r="AR2970" t="s">
        <v>3065</v>
      </c>
      <c r="AS2970" s="1">
        <v>44354.029166666667</v>
      </c>
      <c r="AT2970" s="1">
        <v>44354.045613425929</v>
      </c>
      <c r="AU2970" s="1">
        <v>44354.046481481484</v>
      </c>
      <c r="AV2970" t="s">
        <v>71</v>
      </c>
      <c r="AW2970" t="s">
        <v>72</v>
      </c>
      <c r="AX2970" t="s">
        <v>73</v>
      </c>
    </row>
    <row r="2971" spans="1:50" x14ac:dyDescent="0.3">
      <c r="A2971" t="str">
        <f>"200613B0000"</f>
        <v>200613B0000</v>
      </c>
      <c r="B2971" t="str">
        <f>"200613B00002"</f>
        <v>200613B00002</v>
      </c>
      <c r="C2971" t="str">
        <f t="shared" si="143"/>
        <v>20</v>
      </c>
      <c r="D2971" t="s">
        <v>67</v>
      </c>
      <c r="E2971" t="str">
        <f t="shared" si="142"/>
        <v>013</v>
      </c>
      <c r="F2971" t="s">
        <v>2914</v>
      </c>
      <c r="G2971" t="str">
        <f>"0613"</f>
        <v>0613</v>
      </c>
      <c r="H2971" t="str">
        <f>"0000"</f>
        <v>0000</v>
      </c>
      <c r="I2971" t="s">
        <v>69</v>
      </c>
      <c r="J2971">
        <v>0</v>
      </c>
      <c r="K2971">
        <v>1</v>
      </c>
      <c r="L2971">
        <v>2</v>
      </c>
      <c r="M2971">
        <v>281</v>
      </c>
      <c r="N2971">
        <v>241</v>
      </c>
      <c r="O2971">
        <v>5</v>
      </c>
      <c r="P2971">
        <v>3</v>
      </c>
      <c r="Q2971">
        <v>8</v>
      </c>
      <c r="R2971">
        <v>61</v>
      </c>
      <c r="S2971">
        <v>2</v>
      </c>
      <c r="T2971">
        <v>1</v>
      </c>
      <c r="U2971">
        <v>15</v>
      </c>
      <c r="V2971">
        <v>5</v>
      </c>
      <c r="W2971">
        <v>3</v>
      </c>
      <c r="X2971">
        <v>137</v>
      </c>
      <c r="Y2971">
        <v>2</v>
      </c>
      <c r="Z2971">
        <v>0</v>
      </c>
      <c r="AA2971">
        <v>1</v>
      </c>
      <c r="AB2971">
        <v>2</v>
      </c>
      <c r="AD2971">
        <v>1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3</v>
      </c>
      <c r="AK2971">
        <v>241</v>
      </c>
      <c r="AL2971">
        <v>241</v>
      </c>
      <c r="AM2971">
        <v>478</v>
      </c>
      <c r="AN2971">
        <v>44</v>
      </c>
      <c r="AP2971">
        <v>1</v>
      </c>
      <c r="AR2971" t="s">
        <v>3066</v>
      </c>
      <c r="AS2971" s="1">
        <v>44354.1</v>
      </c>
      <c r="AT2971" s="1">
        <v>44354.11445601852</v>
      </c>
      <c r="AU2971" s="1">
        <v>44354.114837962959</v>
      </c>
      <c r="AV2971" t="s">
        <v>71</v>
      </c>
      <c r="AW2971" t="s">
        <v>72</v>
      </c>
      <c r="AX2971" t="s">
        <v>73</v>
      </c>
    </row>
    <row r="2972" spans="1:50" x14ac:dyDescent="0.3">
      <c r="A2972" t="str">
        <f>"200613C0100"</f>
        <v>200613C0100</v>
      </c>
      <c r="B2972" t="str">
        <f>"200613C01002"</f>
        <v>200613C01002</v>
      </c>
      <c r="C2972" t="str">
        <f t="shared" si="143"/>
        <v>20</v>
      </c>
      <c r="D2972" t="s">
        <v>67</v>
      </c>
      <c r="E2972" t="str">
        <f t="shared" si="142"/>
        <v>013</v>
      </c>
      <c r="F2972" t="s">
        <v>2914</v>
      </c>
      <c r="G2972" t="str">
        <f>"0613"</f>
        <v>0613</v>
      </c>
      <c r="H2972" t="str">
        <f>"0001"</f>
        <v>0001</v>
      </c>
      <c r="I2972" t="s">
        <v>75</v>
      </c>
      <c r="J2972">
        <v>0</v>
      </c>
      <c r="K2972">
        <v>1</v>
      </c>
      <c r="L2972">
        <v>2</v>
      </c>
      <c r="M2972">
        <v>253</v>
      </c>
      <c r="N2972">
        <v>266</v>
      </c>
      <c r="O2972">
        <v>4</v>
      </c>
      <c r="P2972">
        <v>260</v>
      </c>
      <c r="Q2972">
        <v>9</v>
      </c>
      <c r="R2972">
        <v>54</v>
      </c>
      <c r="S2972">
        <v>1</v>
      </c>
      <c r="T2972">
        <v>2</v>
      </c>
      <c r="U2972">
        <v>17</v>
      </c>
      <c r="V2972">
        <v>2</v>
      </c>
      <c r="W2972">
        <v>3</v>
      </c>
      <c r="X2972">
        <v>161</v>
      </c>
      <c r="Y2972">
        <v>4</v>
      </c>
      <c r="Z2972">
        <v>4</v>
      </c>
      <c r="AA2972">
        <v>1</v>
      </c>
      <c r="AB2972">
        <v>2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260</v>
      </c>
      <c r="AM2972">
        <v>478</v>
      </c>
      <c r="AN2972">
        <v>44</v>
      </c>
      <c r="AP2972">
        <v>1</v>
      </c>
      <c r="AR2972" t="s">
        <v>3067</v>
      </c>
      <c r="AS2972" s="1">
        <v>44354.098611111112</v>
      </c>
      <c r="AT2972" s="1">
        <v>44354.112847222219</v>
      </c>
      <c r="AU2972" s="1">
        <v>44354.114189814813</v>
      </c>
      <c r="AV2972" t="s">
        <v>71</v>
      </c>
      <c r="AW2972" t="s">
        <v>72</v>
      </c>
      <c r="AX2972" t="s">
        <v>73</v>
      </c>
    </row>
    <row r="2973" spans="1:50" x14ac:dyDescent="0.3">
      <c r="A2973" t="str">
        <f>"200614B0000"</f>
        <v>200614B0000</v>
      </c>
      <c r="B2973" t="str">
        <f>"200614B00002"</f>
        <v>200614B00002</v>
      </c>
      <c r="C2973" t="str">
        <f t="shared" si="143"/>
        <v>20</v>
      </c>
      <c r="D2973" t="s">
        <v>67</v>
      </c>
      <c r="E2973" t="str">
        <f t="shared" si="142"/>
        <v>013</v>
      </c>
      <c r="F2973" t="s">
        <v>2914</v>
      </c>
      <c r="G2973" t="str">
        <f>"0614"</f>
        <v>0614</v>
      </c>
      <c r="H2973" t="str">
        <f>"0000"</f>
        <v>0000</v>
      </c>
      <c r="I2973" t="s">
        <v>69</v>
      </c>
      <c r="J2973">
        <v>0</v>
      </c>
      <c r="K2973">
        <v>1</v>
      </c>
      <c r="L2973">
        <v>2</v>
      </c>
      <c r="M2973">
        <v>300</v>
      </c>
      <c r="N2973">
        <v>293</v>
      </c>
      <c r="O2973">
        <v>6</v>
      </c>
      <c r="P2973">
        <v>293</v>
      </c>
      <c r="Q2973">
        <v>19</v>
      </c>
      <c r="R2973">
        <v>39</v>
      </c>
      <c r="S2973">
        <v>0</v>
      </c>
      <c r="T2973">
        <v>2</v>
      </c>
      <c r="U2973">
        <v>10</v>
      </c>
      <c r="V2973">
        <v>10</v>
      </c>
      <c r="W2973">
        <v>11</v>
      </c>
      <c r="X2973">
        <v>174</v>
      </c>
      <c r="Y2973">
        <v>2</v>
      </c>
      <c r="Z2973">
        <v>6</v>
      </c>
      <c r="AA2973">
        <v>0</v>
      </c>
      <c r="AB2973">
        <v>8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12</v>
      </c>
      <c r="AK2973">
        <v>293</v>
      </c>
      <c r="AL2973">
        <v>293</v>
      </c>
      <c r="AM2973">
        <v>549</v>
      </c>
      <c r="AN2973">
        <v>44</v>
      </c>
      <c r="AP2973">
        <v>1</v>
      </c>
      <c r="AR2973" t="s">
        <v>3068</v>
      </c>
      <c r="AS2973" s="1">
        <v>44354.106249999997</v>
      </c>
      <c r="AT2973" s="1">
        <v>44354.124259259261</v>
      </c>
      <c r="AU2973" s="1">
        <v>44354.125127314815</v>
      </c>
      <c r="AV2973" t="s">
        <v>71</v>
      </c>
      <c r="AW2973" t="s">
        <v>72</v>
      </c>
      <c r="AX2973" t="s">
        <v>73</v>
      </c>
    </row>
    <row r="2974" spans="1:50" x14ac:dyDescent="0.3">
      <c r="A2974" t="str">
        <f>"200614C0100"</f>
        <v>200614C0100</v>
      </c>
      <c r="B2974" t="str">
        <f>"200614C01002"</f>
        <v>200614C01002</v>
      </c>
      <c r="C2974" t="str">
        <f t="shared" si="143"/>
        <v>20</v>
      </c>
      <c r="D2974" t="s">
        <v>67</v>
      </c>
      <c r="E2974" t="str">
        <f t="shared" si="142"/>
        <v>013</v>
      </c>
      <c r="F2974" t="s">
        <v>2914</v>
      </c>
      <c r="G2974" t="str">
        <f>"0614"</f>
        <v>0614</v>
      </c>
      <c r="H2974" t="str">
        <f>"0001"</f>
        <v>0001</v>
      </c>
      <c r="I2974" t="s">
        <v>75</v>
      </c>
      <c r="J2974">
        <v>0</v>
      </c>
      <c r="K2974">
        <v>1</v>
      </c>
      <c r="L2974">
        <v>2</v>
      </c>
      <c r="M2974">
        <v>320</v>
      </c>
      <c r="N2974">
        <v>273</v>
      </c>
      <c r="O2974">
        <v>5</v>
      </c>
      <c r="P2974">
        <v>273</v>
      </c>
      <c r="Q2974">
        <v>6</v>
      </c>
      <c r="R2974">
        <v>54</v>
      </c>
      <c r="S2974">
        <v>1</v>
      </c>
      <c r="T2974">
        <v>0</v>
      </c>
      <c r="U2974">
        <v>6</v>
      </c>
      <c r="V2974">
        <v>3</v>
      </c>
      <c r="W2974">
        <v>4</v>
      </c>
      <c r="X2974">
        <v>170</v>
      </c>
      <c r="Y2974">
        <v>3</v>
      </c>
      <c r="Z2974">
        <v>5</v>
      </c>
      <c r="AA2974">
        <v>6</v>
      </c>
      <c r="AB2974">
        <v>4</v>
      </c>
      <c r="AD2974">
        <v>0</v>
      </c>
      <c r="AE2974">
        <v>3</v>
      </c>
      <c r="AF2974">
        <v>0</v>
      </c>
      <c r="AG2974">
        <v>0</v>
      </c>
      <c r="AH2974">
        <v>0</v>
      </c>
      <c r="AI2974">
        <v>0</v>
      </c>
      <c r="AJ2974">
        <v>8</v>
      </c>
      <c r="AK2974">
        <v>273</v>
      </c>
      <c r="AL2974">
        <v>273</v>
      </c>
      <c r="AM2974">
        <v>549</v>
      </c>
      <c r="AN2974">
        <v>44</v>
      </c>
      <c r="AP2974">
        <v>1</v>
      </c>
      <c r="AR2974" t="s">
        <v>3069</v>
      </c>
      <c r="AS2974" s="1">
        <v>44354.105555555558</v>
      </c>
      <c r="AT2974" s="1">
        <v>44354.123495370368</v>
      </c>
      <c r="AU2974" s="1">
        <v>44354.123888888891</v>
      </c>
      <c r="AV2974" t="s">
        <v>71</v>
      </c>
      <c r="AW2974" t="s">
        <v>72</v>
      </c>
      <c r="AX2974" t="s">
        <v>73</v>
      </c>
    </row>
    <row r="2975" spans="1:50" x14ac:dyDescent="0.3">
      <c r="A2975" t="str">
        <f>"200615B0000"</f>
        <v>200615B0000</v>
      </c>
      <c r="B2975" t="str">
        <f>"200615B00002"</f>
        <v>200615B00002</v>
      </c>
      <c r="C2975" t="str">
        <f t="shared" si="143"/>
        <v>20</v>
      </c>
      <c r="D2975" t="s">
        <v>67</v>
      </c>
      <c r="E2975" t="str">
        <f t="shared" si="142"/>
        <v>013</v>
      </c>
      <c r="F2975" t="s">
        <v>2914</v>
      </c>
      <c r="G2975" t="str">
        <f>"0615"</f>
        <v>0615</v>
      </c>
      <c r="H2975" t="str">
        <f>"0000"</f>
        <v>0000</v>
      </c>
      <c r="I2975" t="s">
        <v>69</v>
      </c>
      <c r="J2975">
        <v>0</v>
      </c>
      <c r="K2975">
        <v>1</v>
      </c>
      <c r="L2975">
        <v>2</v>
      </c>
      <c r="M2975">
        <v>401</v>
      </c>
      <c r="N2975">
        <v>287</v>
      </c>
      <c r="O2975">
        <v>6</v>
      </c>
      <c r="P2975">
        <v>287</v>
      </c>
      <c r="Q2975">
        <v>24</v>
      </c>
      <c r="R2975">
        <v>50</v>
      </c>
      <c r="S2975">
        <v>3</v>
      </c>
      <c r="T2975">
        <v>1</v>
      </c>
      <c r="U2975">
        <v>11</v>
      </c>
      <c r="V2975">
        <v>4</v>
      </c>
      <c r="W2975">
        <v>6</v>
      </c>
      <c r="X2975">
        <v>161</v>
      </c>
      <c r="Y2975">
        <v>4</v>
      </c>
      <c r="Z2975">
        <v>6</v>
      </c>
      <c r="AA2975">
        <v>2</v>
      </c>
      <c r="AB2975">
        <v>4</v>
      </c>
      <c r="AD2975">
        <v>1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10</v>
      </c>
      <c r="AK2975">
        <v>287</v>
      </c>
      <c r="AL2975">
        <v>287</v>
      </c>
      <c r="AM2975">
        <v>644</v>
      </c>
      <c r="AN2975">
        <v>44</v>
      </c>
      <c r="AP2975">
        <v>1</v>
      </c>
      <c r="AR2975" t="s">
        <v>3070</v>
      </c>
      <c r="AS2975" s="1">
        <v>44354.087500000001</v>
      </c>
      <c r="AT2975" s="1">
        <v>44354.100081018521</v>
      </c>
      <c r="AU2975" s="1">
        <v>44354.100613425922</v>
      </c>
      <c r="AV2975" t="s">
        <v>71</v>
      </c>
      <c r="AW2975" t="s">
        <v>72</v>
      </c>
      <c r="AX2975" t="s">
        <v>73</v>
      </c>
    </row>
    <row r="2976" spans="1:50" x14ac:dyDescent="0.3">
      <c r="A2976" t="str">
        <f>"200615C0100"</f>
        <v>200615C0100</v>
      </c>
      <c r="B2976" t="str">
        <f>"200615C01002"</f>
        <v>200615C01002</v>
      </c>
      <c r="C2976" t="str">
        <f t="shared" si="143"/>
        <v>20</v>
      </c>
      <c r="D2976" t="s">
        <v>67</v>
      </c>
      <c r="E2976" t="str">
        <f t="shared" si="142"/>
        <v>013</v>
      </c>
      <c r="F2976" t="s">
        <v>2914</v>
      </c>
      <c r="G2976" t="str">
        <f>"0615"</f>
        <v>0615</v>
      </c>
      <c r="H2976" t="str">
        <f>"0001"</f>
        <v>0001</v>
      </c>
      <c r="I2976" t="s">
        <v>75</v>
      </c>
      <c r="J2976">
        <v>0</v>
      </c>
      <c r="K2976">
        <v>1</v>
      </c>
      <c r="L2976">
        <v>2</v>
      </c>
      <c r="AM2976">
        <v>644</v>
      </c>
      <c r="AN2976">
        <v>44</v>
      </c>
      <c r="AO2976" t="s">
        <v>143</v>
      </c>
      <c r="AP2976">
        <v>0</v>
      </c>
      <c r="AR2976" t="s">
        <v>3071</v>
      </c>
      <c r="AS2976" s="1">
        <v>44354.430555555555</v>
      </c>
      <c r="AT2976" s="1">
        <v>44354.445254629631</v>
      </c>
      <c r="AU2976" s="1">
        <v>44354.445254629631</v>
      </c>
      <c r="AV2976" t="s">
        <v>71</v>
      </c>
      <c r="AW2976" t="s">
        <v>72</v>
      </c>
      <c r="AX2976" t="s">
        <v>73</v>
      </c>
    </row>
    <row r="2977" spans="1:50" x14ac:dyDescent="0.3">
      <c r="A2977" t="str">
        <f>"200917B0000"</f>
        <v>200917B0000</v>
      </c>
      <c r="B2977" t="str">
        <f>"200917B00002"</f>
        <v>200917B00002</v>
      </c>
      <c r="C2977" t="str">
        <f t="shared" si="143"/>
        <v>20</v>
      </c>
      <c r="D2977" t="s">
        <v>67</v>
      </c>
      <c r="E2977" t="str">
        <f t="shared" si="142"/>
        <v>013</v>
      </c>
      <c r="F2977" t="s">
        <v>2914</v>
      </c>
      <c r="G2977" t="str">
        <f>"0917"</f>
        <v>0917</v>
      </c>
      <c r="H2977" t="str">
        <f>"0000"</f>
        <v>0000</v>
      </c>
      <c r="I2977" t="s">
        <v>69</v>
      </c>
      <c r="J2977">
        <v>0</v>
      </c>
      <c r="K2977">
        <v>1</v>
      </c>
      <c r="L2977">
        <v>2</v>
      </c>
      <c r="M2977">
        <v>272</v>
      </c>
      <c r="N2977">
        <v>440</v>
      </c>
      <c r="O2977">
        <v>1</v>
      </c>
      <c r="P2977">
        <v>440</v>
      </c>
      <c r="Q2977">
        <v>8</v>
      </c>
      <c r="R2977">
        <v>56</v>
      </c>
      <c r="S2977">
        <v>43</v>
      </c>
      <c r="T2977">
        <v>18</v>
      </c>
      <c r="U2977">
        <v>49</v>
      </c>
      <c r="V2977">
        <v>6</v>
      </c>
      <c r="W2977">
        <v>11</v>
      </c>
      <c r="X2977">
        <v>162</v>
      </c>
      <c r="Y2977">
        <v>34</v>
      </c>
      <c r="Z2977">
        <v>5</v>
      </c>
      <c r="AA2977">
        <v>6</v>
      </c>
      <c r="AB2977">
        <v>23</v>
      </c>
      <c r="AD2977">
        <v>5</v>
      </c>
      <c r="AE2977">
        <v>0</v>
      </c>
      <c r="AF2977">
        <v>0</v>
      </c>
      <c r="AG2977">
        <v>0</v>
      </c>
      <c r="AH2977">
        <v>1</v>
      </c>
      <c r="AI2977">
        <v>0</v>
      </c>
      <c r="AJ2977">
        <v>13</v>
      </c>
      <c r="AK2977">
        <v>440</v>
      </c>
      <c r="AL2977">
        <v>440</v>
      </c>
      <c r="AM2977">
        <v>668</v>
      </c>
      <c r="AN2977">
        <v>44</v>
      </c>
      <c r="AP2977">
        <v>1</v>
      </c>
      <c r="AR2977" t="s">
        <v>3072</v>
      </c>
      <c r="AS2977" s="1">
        <v>44354.016134259262</v>
      </c>
      <c r="AT2977" s="1">
        <v>44354.022789351853</v>
      </c>
      <c r="AU2977" s="1">
        <v>44354.023344907408</v>
      </c>
      <c r="AV2977" t="s">
        <v>269</v>
      </c>
      <c r="AW2977" t="s">
        <v>270</v>
      </c>
      <c r="AX2977" t="s">
        <v>73</v>
      </c>
    </row>
    <row r="2978" spans="1:50" x14ac:dyDescent="0.3">
      <c r="A2978" t="str">
        <f>"200917C0100"</f>
        <v>200917C0100</v>
      </c>
      <c r="B2978" t="str">
        <f>"200917C01002"</f>
        <v>200917C01002</v>
      </c>
      <c r="C2978" t="str">
        <f t="shared" si="143"/>
        <v>20</v>
      </c>
      <c r="D2978" t="s">
        <v>67</v>
      </c>
      <c r="E2978" t="str">
        <f t="shared" si="142"/>
        <v>013</v>
      </c>
      <c r="F2978" t="s">
        <v>2914</v>
      </c>
      <c r="G2978" t="str">
        <f>"0917"</f>
        <v>0917</v>
      </c>
      <c r="H2978" t="str">
        <f>"0001"</f>
        <v>0001</v>
      </c>
      <c r="I2978" t="s">
        <v>75</v>
      </c>
      <c r="J2978">
        <v>0</v>
      </c>
      <c r="K2978">
        <v>1</v>
      </c>
      <c r="L2978">
        <v>2</v>
      </c>
      <c r="M2978">
        <v>294</v>
      </c>
      <c r="N2978">
        <v>420</v>
      </c>
      <c r="O2978">
        <v>2</v>
      </c>
      <c r="P2978">
        <v>1</v>
      </c>
      <c r="Q2978">
        <v>14</v>
      </c>
      <c r="R2978">
        <v>76</v>
      </c>
      <c r="S2978">
        <v>52</v>
      </c>
      <c r="T2978">
        <v>19</v>
      </c>
      <c r="U2978">
        <v>5</v>
      </c>
      <c r="V2978">
        <v>5</v>
      </c>
      <c r="W2978">
        <v>11</v>
      </c>
      <c r="X2978">
        <v>113</v>
      </c>
      <c r="Y2978">
        <v>25</v>
      </c>
      <c r="Z2978">
        <v>13</v>
      </c>
      <c r="AA2978">
        <v>6</v>
      </c>
      <c r="AB2978">
        <v>20</v>
      </c>
      <c r="AD2978">
        <v>3</v>
      </c>
      <c r="AE2978">
        <v>0</v>
      </c>
      <c r="AF2978">
        <v>0</v>
      </c>
      <c r="AG2978">
        <v>0</v>
      </c>
      <c r="AH2978">
        <v>1</v>
      </c>
      <c r="AI2978">
        <v>0</v>
      </c>
      <c r="AJ2978">
        <v>4</v>
      </c>
      <c r="AK2978">
        <v>417</v>
      </c>
      <c r="AL2978">
        <v>367</v>
      </c>
      <c r="AM2978">
        <v>668</v>
      </c>
      <c r="AN2978">
        <v>44</v>
      </c>
      <c r="AP2978">
        <v>1</v>
      </c>
      <c r="AR2978" t="s">
        <v>3073</v>
      </c>
      <c r="AS2978" s="1">
        <v>44353.987245370372</v>
      </c>
      <c r="AT2978" s="1">
        <v>44354.007384259261</v>
      </c>
      <c r="AU2978" s="1">
        <v>44354.023495370369</v>
      </c>
      <c r="AV2978" t="s">
        <v>269</v>
      </c>
      <c r="AW2978" t="s">
        <v>270</v>
      </c>
      <c r="AX2978" t="s">
        <v>73</v>
      </c>
    </row>
    <row r="2979" spans="1:50" x14ac:dyDescent="0.3">
      <c r="A2979" t="str">
        <f>"200917C0200"</f>
        <v>200917C0200</v>
      </c>
      <c r="B2979" t="str">
        <f>"200917C02002"</f>
        <v>200917C02002</v>
      </c>
      <c r="C2979" t="str">
        <f t="shared" si="143"/>
        <v>20</v>
      </c>
      <c r="D2979" t="s">
        <v>67</v>
      </c>
      <c r="E2979" t="str">
        <f t="shared" si="142"/>
        <v>013</v>
      </c>
      <c r="F2979" t="s">
        <v>2914</v>
      </c>
      <c r="G2979" t="str">
        <f>"0917"</f>
        <v>0917</v>
      </c>
      <c r="H2979" t="str">
        <f>"0002"</f>
        <v>0002</v>
      </c>
      <c r="I2979" t="s">
        <v>75</v>
      </c>
      <c r="J2979">
        <v>0</v>
      </c>
      <c r="K2979">
        <v>1</v>
      </c>
      <c r="L2979">
        <v>2</v>
      </c>
      <c r="M2979">
        <v>290</v>
      </c>
      <c r="N2979">
        <v>420</v>
      </c>
      <c r="O2979">
        <v>0</v>
      </c>
      <c r="P2979">
        <v>420</v>
      </c>
      <c r="Q2979">
        <v>15</v>
      </c>
      <c r="R2979">
        <v>61</v>
      </c>
      <c r="S2979">
        <v>70</v>
      </c>
      <c r="T2979">
        <v>27</v>
      </c>
      <c r="U2979">
        <v>45</v>
      </c>
      <c r="V2979">
        <v>5</v>
      </c>
      <c r="W2979">
        <v>7</v>
      </c>
      <c r="X2979">
        <v>118</v>
      </c>
      <c r="Y2979">
        <v>26</v>
      </c>
      <c r="Z2979">
        <v>11</v>
      </c>
      <c r="AA2979">
        <v>4</v>
      </c>
      <c r="AB2979">
        <v>23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8</v>
      </c>
      <c r="AK2979">
        <v>420</v>
      </c>
      <c r="AL2979">
        <v>420</v>
      </c>
      <c r="AM2979">
        <v>667</v>
      </c>
      <c r="AN2979">
        <v>44</v>
      </c>
      <c r="AP2979">
        <v>1</v>
      </c>
      <c r="AR2979" t="s">
        <v>3074</v>
      </c>
      <c r="AS2979" s="1">
        <v>44353.901423611111</v>
      </c>
      <c r="AT2979" s="1">
        <v>44353.90425925926</v>
      </c>
      <c r="AU2979" s="1">
        <v>44353.905486111114</v>
      </c>
      <c r="AV2979" t="s">
        <v>269</v>
      </c>
      <c r="AW2979" t="s">
        <v>270</v>
      </c>
      <c r="AX2979" t="s">
        <v>73</v>
      </c>
    </row>
    <row r="2980" spans="1:50" x14ac:dyDescent="0.3">
      <c r="A2980" t="str">
        <f>"200917C0300"</f>
        <v>200917C0300</v>
      </c>
      <c r="B2980" t="str">
        <f>"200917C03002"</f>
        <v>200917C03002</v>
      </c>
      <c r="C2980" t="str">
        <f t="shared" si="143"/>
        <v>20</v>
      </c>
      <c r="D2980" t="s">
        <v>67</v>
      </c>
      <c r="E2980" t="str">
        <f t="shared" si="142"/>
        <v>013</v>
      </c>
      <c r="F2980" t="s">
        <v>2914</v>
      </c>
      <c r="G2980" t="str">
        <f>"0917"</f>
        <v>0917</v>
      </c>
      <c r="H2980" t="str">
        <f>"0003"</f>
        <v>0003</v>
      </c>
      <c r="I2980" t="s">
        <v>75</v>
      </c>
      <c r="J2980">
        <v>0</v>
      </c>
      <c r="K2980">
        <v>1</v>
      </c>
      <c r="L2980">
        <v>2</v>
      </c>
      <c r="M2980">
        <v>284</v>
      </c>
      <c r="N2980" t="s">
        <v>99</v>
      </c>
      <c r="O2980">
        <v>0</v>
      </c>
      <c r="P2980">
        <v>426</v>
      </c>
      <c r="Q2980">
        <v>15</v>
      </c>
      <c r="R2980">
        <v>37</v>
      </c>
      <c r="S2980">
        <v>45</v>
      </c>
      <c r="T2980">
        <v>30</v>
      </c>
      <c r="U2980">
        <v>58</v>
      </c>
      <c r="V2980">
        <v>12</v>
      </c>
      <c r="W2980">
        <v>13</v>
      </c>
      <c r="X2980">
        <v>140</v>
      </c>
      <c r="Y2980">
        <v>30</v>
      </c>
      <c r="Z2980">
        <v>5</v>
      </c>
      <c r="AA2980">
        <v>9</v>
      </c>
      <c r="AB2980">
        <v>20</v>
      </c>
      <c r="AD2980">
        <v>1</v>
      </c>
      <c r="AE2980" t="s">
        <v>77</v>
      </c>
      <c r="AF2980" t="s">
        <v>77</v>
      </c>
      <c r="AG2980" t="s">
        <v>77</v>
      </c>
      <c r="AH2980" t="s">
        <v>77</v>
      </c>
      <c r="AI2980" t="s">
        <v>77</v>
      </c>
      <c r="AJ2980">
        <v>11</v>
      </c>
      <c r="AK2980">
        <v>427</v>
      </c>
      <c r="AL2980">
        <v>426</v>
      </c>
      <c r="AM2980">
        <v>667</v>
      </c>
      <c r="AN2980">
        <v>44</v>
      </c>
      <c r="AO2980" t="s">
        <v>78</v>
      </c>
      <c r="AP2980">
        <v>1</v>
      </c>
      <c r="AR2980" t="s">
        <v>3075</v>
      </c>
      <c r="AS2980" s="1">
        <v>44353.980624999997</v>
      </c>
      <c r="AT2980" s="1">
        <v>44353.981944444444</v>
      </c>
      <c r="AU2980" s="1">
        <v>44353.982523148145</v>
      </c>
      <c r="AV2980" t="s">
        <v>269</v>
      </c>
      <c r="AW2980" t="s">
        <v>270</v>
      </c>
      <c r="AX2980" t="s">
        <v>73</v>
      </c>
    </row>
    <row r="2981" spans="1:50" x14ac:dyDescent="0.3">
      <c r="A2981" t="str">
        <f>"200917C0400"</f>
        <v>200917C0400</v>
      </c>
      <c r="B2981" t="str">
        <f>"200917C04002"</f>
        <v>200917C04002</v>
      </c>
      <c r="C2981" t="str">
        <f t="shared" si="143"/>
        <v>20</v>
      </c>
      <c r="D2981" t="s">
        <v>67</v>
      </c>
      <c r="E2981" t="str">
        <f t="shared" si="142"/>
        <v>013</v>
      </c>
      <c r="F2981" t="s">
        <v>2914</v>
      </c>
      <c r="G2981" t="str">
        <f>"0917"</f>
        <v>0917</v>
      </c>
      <c r="H2981" t="str">
        <f>"0004"</f>
        <v>0004</v>
      </c>
      <c r="I2981" t="s">
        <v>75</v>
      </c>
      <c r="J2981">
        <v>0</v>
      </c>
      <c r="K2981">
        <v>1</v>
      </c>
      <c r="L2981">
        <v>2</v>
      </c>
      <c r="M2981">
        <v>287</v>
      </c>
      <c r="N2981">
        <v>424</v>
      </c>
      <c r="O2981">
        <v>1</v>
      </c>
      <c r="P2981">
        <v>424</v>
      </c>
      <c r="Q2981">
        <v>15</v>
      </c>
      <c r="R2981">
        <v>66</v>
      </c>
      <c r="S2981">
        <v>37</v>
      </c>
      <c r="T2981">
        <v>28</v>
      </c>
      <c r="U2981">
        <v>49</v>
      </c>
      <c r="V2981">
        <v>5</v>
      </c>
      <c r="W2981">
        <v>8</v>
      </c>
      <c r="X2981">
        <v>157</v>
      </c>
      <c r="Y2981">
        <v>14</v>
      </c>
      <c r="Z2981">
        <v>9</v>
      </c>
      <c r="AA2981">
        <v>8</v>
      </c>
      <c r="AB2981">
        <v>20</v>
      </c>
      <c r="AD2981">
        <v>0</v>
      </c>
      <c r="AE2981">
        <v>0</v>
      </c>
      <c r="AF2981">
        <v>0</v>
      </c>
      <c r="AG2981">
        <v>1</v>
      </c>
      <c r="AH2981">
        <v>0</v>
      </c>
      <c r="AI2981" t="s">
        <v>77</v>
      </c>
      <c r="AJ2981">
        <v>7</v>
      </c>
      <c r="AK2981">
        <v>424</v>
      </c>
      <c r="AL2981">
        <v>424</v>
      </c>
      <c r="AM2981">
        <v>667</v>
      </c>
      <c r="AN2981">
        <v>44</v>
      </c>
      <c r="AO2981" t="s">
        <v>78</v>
      </c>
      <c r="AP2981">
        <v>1</v>
      </c>
      <c r="AR2981" t="s">
        <v>3076</v>
      </c>
      <c r="AS2981" s="1">
        <v>44354.12222222222</v>
      </c>
      <c r="AT2981" s="1">
        <v>44354.134826388887</v>
      </c>
      <c r="AU2981" s="1">
        <v>44354.136018518519</v>
      </c>
      <c r="AV2981" t="s">
        <v>71</v>
      </c>
      <c r="AW2981" t="s">
        <v>72</v>
      </c>
      <c r="AX2981" t="s">
        <v>73</v>
      </c>
    </row>
    <row r="2982" spans="1:50" x14ac:dyDescent="0.3">
      <c r="A2982" t="str">
        <f>"200918B0000"</f>
        <v>200918B0000</v>
      </c>
      <c r="B2982" t="str">
        <f>"200918B00002"</f>
        <v>200918B00002</v>
      </c>
      <c r="C2982" t="str">
        <f t="shared" si="143"/>
        <v>20</v>
      </c>
      <c r="D2982" t="s">
        <v>67</v>
      </c>
      <c r="E2982" t="str">
        <f t="shared" si="142"/>
        <v>013</v>
      </c>
      <c r="F2982" t="s">
        <v>2914</v>
      </c>
      <c r="G2982" t="str">
        <f>"0918"</f>
        <v>0918</v>
      </c>
      <c r="H2982" t="str">
        <f>"0000"</f>
        <v>0000</v>
      </c>
      <c r="I2982" t="s">
        <v>69</v>
      </c>
      <c r="J2982">
        <v>0</v>
      </c>
      <c r="K2982">
        <v>1</v>
      </c>
      <c r="L2982">
        <v>2</v>
      </c>
      <c r="M2982">
        <v>332</v>
      </c>
      <c r="N2982">
        <v>347</v>
      </c>
      <c r="O2982">
        <v>5</v>
      </c>
      <c r="P2982">
        <v>347</v>
      </c>
      <c r="Q2982">
        <v>20</v>
      </c>
      <c r="R2982">
        <v>58</v>
      </c>
      <c r="S2982">
        <v>26</v>
      </c>
      <c r="T2982">
        <v>11</v>
      </c>
      <c r="U2982">
        <v>30</v>
      </c>
      <c r="V2982">
        <v>6</v>
      </c>
      <c r="W2982">
        <v>9</v>
      </c>
      <c r="X2982">
        <v>139</v>
      </c>
      <c r="Y2982">
        <v>9</v>
      </c>
      <c r="Z2982">
        <v>5</v>
      </c>
      <c r="AA2982">
        <v>7</v>
      </c>
      <c r="AB2982">
        <v>15</v>
      </c>
      <c r="AD2982">
        <v>1</v>
      </c>
      <c r="AE2982">
        <v>1</v>
      </c>
      <c r="AF2982">
        <v>0</v>
      </c>
      <c r="AG2982">
        <v>0</v>
      </c>
      <c r="AH2982">
        <v>0</v>
      </c>
      <c r="AI2982">
        <v>0</v>
      </c>
      <c r="AJ2982">
        <v>10</v>
      </c>
      <c r="AK2982">
        <v>347</v>
      </c>
      <c r="AL2982">
        <v>347</v>
      </c>
      <c r="AM2982">
        <v>635</v>
      </c>
      <c r="AN2982">
        <v>44</v>
      </c>
      <c r="AP2982">
        <v>1</v>
      </c>
      <c r="AR2982" t="s">
        <v>3077</v>
      </c>
      <c r="AS2982" s="1">
        <v>44353.892187500001</v>
      </c>
      <c r="AT2982" s="1">
        <v>44353.894953703704</v>
      </c>
      <c r="AU2982" s="1">
        <v>44353.895405092589</v>
      </c>
      <c r="AV2982" t="s">
        <v>269</v>
      </c>
      <c r="AW2982" t="s">
        <v>270</v>
      </c>
      <c r="AX2982" t="s">
        <v>73</v>
      </c>
    </row>
    <row r="2983" spans="1:50" x14ac:dyDescent="0.3">
      <c r="A2983" t="str">
        <f>"200918C0100"</f>
        <v>200918C0100</v>
      </c>
      <c r="B2983" t="str">
        <f>"200918C01002"</f>
        <v>200918C01002</v>
      </c>
      <c r="C2983" t="str">
        <f t="shared" si="143"/>
        <v>20</v>
      </c>
      <c r="D2983" t="s">
        <v>67</v>
      </c>
      <c r="E2983" t="str">
        <f t="shared" si="142"/>
        <v>013</v>
      </c>
      <c r="F2983" t="s">
        <v>2914</v>
      </c>
      <c r="G2983" t="str">
        <f>"0918"</f>
        <v>0918</v>
      </c>
      <c r="H2983" t="str">
        <f>"0001"</f>
        <v>0001</v>
      </c>
      <c r="I2983" t="s">
        <v>75</v>
      </c>
      <c r="J2983">
        <v>0</v>
      </c>
      <c r="K2983">
        <v>1</v>
      </c>
      <c r="L2983">
        <v>2</v>
      </c>
      <c r="M2983">
        <v>326</v>
      </c>
      <c r="N2983">
        <v>353</v>
      </c>
      <c r="O2983">
        <v>5</v>
      </c>
      <c r="P2983">
        <v>353</v>
      </c>
      <c r="Q2983">
        <v>20</v>
      </c>
      <c r="R2983">
        <v>60</v>
      </c>
      <c r="S2983">
        <v>19</v>
      </c>
      <c r="T2983">
        <v>15</v>
      </c>
      <c r="U2983">
        <v>19</v>
      </c>
      <c r="V2983">
        <v>9</v>
      </c>
      <c r="W2983">
        <v>10</v>
      </c>
      <c r="X2983">
        <v>159</v>
      </c>
      <c r="Y2983">
        <v>8</v>
      </c>
      <c r="Z2983">
        <v>5</v>
      </c>
      <c r="AA2983">
        <v>11</v>
      </c>
      <c r="AB2983">
        <v>13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5</v>
      </c>
      <c r="AK2983">
        <v>353</v>
      </c>
      <c r="AL2983">
        <v>353</v>
      </c>
      <c r="AM2983">
        <v>635</v>
      </c>
      <c r="AN2983">
        <v>44</v>
      </c>
      <c r="AP2983">
        <v>1</v>
      </c>
      <c r="AR2983" s="2" t="s">
        <v>3078</v>
      </c>
      <c r="AS2983" s="1">
        <v>44353.886076388888</v>
      </c>
      <c r="AT2983" s="1">
        <v>44353.888275462959</v>
      </c>
      <c r="AU2983" s="1">
        <v>44353.889189814814</v>
      </c>
      <c r="AV2983" t="s">
        <v>269</v>
      </c>
      <c r="AW2983" t="s">
        <v>270</v>
      </c>
      <c r="AX2983" t="s">
        <v>73</v>
      </c>
    </row>
    <row r="2984" spans="1:50" x14ac:dyDescent="0.3">
      <c r="A2984" t="str">
        <f>"200918C0200"</f>
        <v>200918C0200</v>
      </c>
      <c r="B2984" t="str">
        <f>"200918C02002"</f>
        <v>200918C02002</v>
      </c>
      <c r="C2984" t="str">
        <f t="shared" si="143"/>
        <v>20</v>
      </c>
      <c r="D2984" t="s">
        <v>67</v>
      </c>
      <c r="E2984" t="str">
        <f t="shared" si="142"/>
        <v>013</v>
      </c>
      <c r="F2984" t="s">
        <v>2914</v>
      </c>
      <c r="G2984" t="str">
        <f>"0918"</f>
        <v>0918</v>
      </c>
      <c r="H2984" t="str">
        <f>"0002"</f>
        <v>0002</v>
      </c>
      <c r="I2984" t="s">
        <v>75</v>
      </c>
      <c r="J2984">
        <v>0</v>
      </c>
      <c r="K2984">
        <v>1</v>
      </c>
      <c r="L2984">
        <v>2</v>
      </c>
      <c r="M2984">
        <v>311</v>
      </c>
      <c r="N2984">
        <v>368</v>
      </c>
      <c r="O2984">
        <v>8</v>
      </c>
      <c r="P2984">
        <v>368</v>
      </c>
      <c r="Q2984">
        <v>16</v>
      </c>
      <c r="R2984">
        <v>53</v>
      </c>
      <c r="S2984">
        <v>22</v>
      </c>
      <c r="T2984">
        <v>30</v>
      </c>
      <c r="U2984">
        <v>30</v>
      </c>
      <c r="V2984">
        <v>7</v>
      </c>
      <c r="W2984">
        <v>7</v>
      </c>
      <c r="X2984">
        <v>141</v>
      </c>
      <c r="Y2984">
        <v>12</v>
      </c>
      <c r="Z2984">
        <v>8</v>
      </c>
      <c r="AA2984">
        <v>14</v>
      </c>
      <c r="AB2984">
        <v>14</v>
      </c>
      <c r="AD2984">
        <v>3</v>
      </c>
      <c r="AE2984" t="s">
        <v>77</v>
      </c>
      <c r="AF2984" t="s">
        <v>77</v>
      </c>
      <c r="AG2984" t="s">
        <v>77</v>
      </c>
      <c r="AH2984" t="s">
        <v>77</v>
      </c>
      <c r="AI2984" t="s">
        <v>77</v>
      </c>
      <c r="AJ2984" t="s">
        <v>77</v>
      </c>
      <c r="AK2984" t="s">
        <v>77</v>
      </c>
      <c r="AL2984">
        <v>357</v>
      </c>
      <c r="AM2984">
        <v>635</v>
      </c>
      <c r="AN2984">
        <v>44</v>
      </c>
      <c r="AO2984" t="s">
        <v>78</v>
      </c>
      <c r="AP2984">
        <v>1</v>
      </c>
      <c r="AR2984" t="s">
        <v>3079</v>
      </c>
      <c r="AS2984" s="1">
        <v>44353.902974537035</v>
      </c>
      <c r="AT2984" s="1">
        <v>44353.904293981483</v>
      </c>
      <c r="AU2984" s="1">
        <v>44353.905474537038</v>
      </c>
      <c r="AV2984" t="s">
        <v>269</v>
      </c>
      <c r="AW2984" t="s">
        <v>270</v>
      </c>
      <c r="AX2984" t="s">
        <v>73</v>
      </c>
    </row>
    <row r="2985" spans="1:50" x14ac:dyDescent="0.3">
      <c r="A2985" t="str">
        <f>"200918C0300"</f>
        <v>200918C0300</v>
      </c>
      <c r="B2985" t="str">
        <f>"200918C03002"</f>
        <v>200918C03002</v>
      </c>
      <c r="C2985" t="str">
        <f t="shared" si="143"/>
        <v>20</v>
      </c>
      <c r="D2985" t="s">
        <v>67</v>
      </c>
      <c r="E2985" t="str">
        <f t="shared" si="142"/>
        <v>013</v>
      </c>
      <c r="F2985" t="s">
        <v>2914</v>
      </c>
      <c r="G2985" t="str">
        <f>"0918"</f>
        <v>0918</v>
      </c>
      <c r="H2985" t="str">
        <f>"0003"</f>
        <v>0003</v>
      </c>
      <c r="I2985" t="s">
        <v>75</v>
      </c>
      <c r="J2985">
        <v>0</v>
      </c>
      <c r="K2985">
        <v>1</v>
      </c>
      <c r="L2985">
        <v>2</v>
      </c>
      <c r="M2985">
        <v>311</v>
      </c>
      <c r="N2985">
        <v>369</v>
      </c>
      <c r="O2985">
        <v>6</v>
      </c>
      <c r="P2985">
        <v>370</v>
      </c>
      <c r="Q2985">
        <v>25</v>
      </c>
      <c r="R2985">
        <v>54</v>
      </c>
      <c r="S2985">
        <v>24</v>
      </c>
      <c r="T2985">
        <v>25</v>
      </c>
      <c r="U2985">
        <v>26</v>
      </c>
      <c r="V2985">
        <v>11</v>
      </c>
      <c r="W2985">
        <v>6</v>
      </c>
      <c r="X2985">
        <v>137</v>
      </c>
      <c r="Y2985">
        <v>10</v>
      </c>
      <c r="Z2985">
        <v>14</v>
      </c>
      <c r="AA2985">
        <v>5</v>
      </c>
      <c r="AB2985">
        <v>19</v>
      </c>
      <c r="AD2985">
        <v>2</v>
      </c>
      <c r="AE2985">
        <v>2</v>
      </c>
      <c r="AF2985">
        <v>0</v>
      </c>
      <c r="AG2985">
        <v>0</v>
      </c>
      <c r="AH2985">
        <v>0</v>
      </c>
      <c r="AI2985">
        <v>0</v>
      </c>
      <c r="AJ2985">
        <v>10</v>
      </c>
      <c r="AK2985">
        <v>370</v>
      </c>
      <c r="AL2985">
        <v>370</v>
      </c>
      <c r="AM2985">
        <v>635</v>
      </c>
      <c r="AN2985">
        <v>44</v>
      </c>
      <c r="AP2985">
        <v>1</v>
      </c>
      <c r="AR2985" t="s">
        <v>3080</v>
      </c>
      <c r="AS2985" s="1">
        <v>44353.944837962961</v>
      </c>
      <c r="AT2985" s="1">
        <v>44353.946944444448</v>
      </c>
      <c r="AU2985" s="1">
        <v>44353.947893518518</v>
      </c>
      <c r="AV2985" t="s">
        <v>269</v>
      </c>
      <c r="AW2985" t="s">
        <v>270</v>
      </c>
      <c r="AX2985" t="s">
        <v>73</v>
      </c>
    </row>
    <row r="2986" spans="1:50" x14ac:dyDescent="0.3">
      <c r="A2986" t="str">
        <f>"200918C0400"</f>
        <v>200918C0400</v>
      </c>
      <c r="B2986" t="str">
        <f>"200918C04002"</f>
        <v>200918C04002</v>
      </c>
      <c r="C2986" t="str">
        <f t="shared" si="143"/>
        <v>20</v>
      </c>
      <c r="D2986" t="s">
        <v>67</v>
      </c>
      <c r="E2986" t="str">
        <f t="shared" si="142"/>
        <v>013</v>
      </c>
      <c r="F2986" t="s">
        <v>2914</v>
      </c>
      <c r="G2986" t="str">
        <f>"0918"</f>
        <v>0918</v>
      </c>
      <c r="H2986" t="str">
        <f>"0004"</f>
        <v>0004</v>
      </c>
      <c r="I2986" t="s">
        <v>75</v>
      </c>
      <c r="J2986">
        <v>0</v>
      </c>
      <c r="K2986">
        <v>1</v>
      </c>
      <c r="L2986">
        <v>2</v>
      </c>
      <c r="M2986">
        <v>314</v>
      </c>
      <c r="N2986">
        <v>363</v>
      </c>
      <c r="O2986">
        <v>4</v>
      </c>
      <c r="P2986">
        <v>363</v>
      </c>
      <c r="Q2986">
        <v>21</v>
      </c>
      <c r="R2986">
        <v>59</v>
      </c>
      <c r="S2986">
        <v>19</v>
      </c>
      <c r="T2986">
        <v>8</v>
      </c>
      <c r="U2986">
        <v>20</v>
      </c>
      <c r="V2986">
        <v>4</v>
      </c>
      <c r="W2986">
        <v>9</v>
      </c>
      <c r="X2986">
        <v>167</v>
      </c>
      <c r="Y2986">
        <v>8</v>
      </c>
      <c r="Z2986">
        <v>5</v>
      </c>
      <c r="AA2986">
        <v>10</v>
      </c>
      <c r="AB2986">
        <v>17</v>
      </c>
      <c r="AD2986">
        <v>3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13</v>
      </c>
      <c r="AK2986">
        <v>363</v>
      </c>
      <c r="AL2986">
        <v>363</v>
      </c>
      <c r="AM2986">
        <v>634</v>
      </c>
      <c r="AN2986">
        <v>44</v>
      </c>
      <c r="AP2986">
        <v>1</v>
      </c>
      <c r="AR2986" t="s">
        <v>3081</v>
      </c>
      <c r="AS2986" s="1">
        <v>44353.933807870373</v>
      </c>
      <c r="AT2986" s="1">
        <v>44353.93550925926</v>
      </c>
      <c r="AU2986" s="1">
        <v>44353.936331018522</v>
      </c>
      <c r="AV2986" t="s">
        <v>269</v>
      </c>
      <c r="AW2986" t="s">
        <v>270</v>
      </c>
      <c r="AX2986" t="s">
        <v>73</v>
      </c>
    </row>
    <row r="2987" spans="1:50" x14ac:dyDescent="0.3">
      <c r="A2987" t="str">
        <f>"201784B0000"</f>
        <v>201784B0000</v>
      </c>
      <c r="B2987" t="str">
        <f>"201784B00002"</f>
        <v>201784B00002</v>
      </c>
      <c r="C2987" t="str">
        <f t="shared" si="143"/>
        <v>20</v>
      </c>
      <c r="D2987" t="s">
        <v>67</v>
      </c>
      <c r="E2987" t="str">
        <f t="shared" si="142"/>
        <v>013</v>
      </c>
      <c r="F2987" t="s">
        <v>2914</v>
      </c>
      <c r="G2987" t="str">
        <f t="shared" ref="G2987:G3001" si="144">"1784"</f>
        <v>1784</v>
      </c>
      <c r="H2987" t="str">
        <f>"0000"</f>
        <v>0000</v>
      </c>
      <c r="I2987" t="s">
        <v>69</v>
      </c>
      <c r="J2987">
        <v>0</v>
      </c>
      <c r="K2987">
        <v>1</v>
      </c>
      <c r="L2987">
        <v>2</v>
      </c>
      <c r="M2987">
        <v>445</v>
      </c>
      <c r="N2987">
        <v>281</v>
      </c>
      <c r="O2987">
        <v>8</v>
      </c>
      <c r="P2987">
        <v>279</v>
      </c>
      <c r="Q2987">
        <v>14</v>
      </c>
      <c r="R2987">
        <v>44</v>
      </c>
      <c r="S2987">
        <v>2</v>
      </c>
      <c r="T2987">
        <v>3</v>
      </c>
      <c r="U2987">
        <v>11</v>
      </c>
      <c r="V2987">
        <v>2</v>
      </c>
      <c r="W2987">
        <v>1</v>
      </c>
      <c r="X2987">
        <v>178</v>
      </c>
      <c r="Y2987">
        <v>7</v>
      </c>
      <c r="Z2987">
        <v>3</v>
      </c>
      <c r="AA2987">
        <v>5</v>
      </c>
      <c r="AB2987">
        <v>2</v>
      </c>
      <c r="AD2987">
        <v>0</v>
      </c>
      <c r="AE2987">
        <v>0</v>
      </c>
      <c r="AF2987">
        <v>0</v>
      </c>
      <c r="AG2987">
        <v>0</v>
      </c>
      <c r="AH2987">
        <v>1</v>
      </c>
      <c r="AI2987">
        <v>0</v>
      </c>
      <c r="AJ2987">
        <v>6</v>
      </c>
      <c r="AK2987">
        <v>279</v>
      </c>
      <c r="AL2987">
        <v>279</v>
      </c>
      <c r="AM2987">
        <v>682</v>
      </c>
      <c r="AN2987">
        <v>44</v>
      </c>
      <c r="AP2987">
        <v>1</v>
      </c>
      <c r="AR2987" t="s">
        <v>3082</v>
      </c>
      <c r="AS2987" s="1">
        <v>44353.961805555555</v>
      </c>
      <c r="AT2987" s="1">
        <v>44353.963969907411</v>
      </c>
      <c r="AU2987" s="1">
        <v>44353.964571759258</v>
      </c>
      <c r="AV2987" t="s">
        <v>71</v>
      </c>
      <c r="AW2987" t="s">
        <v>72</v>
      </c>
      <c r="AX2987" t="s">
        <v>73</v>
      </c>
    </row>
    <row r="2988" spans="1:50" x14ac:dyDescent="0.3">
      <c r="A2988" t="str">
        <f>"201784C0100"</f>
        <v>201784C0100</v>
      </c>
      <c r="B2988" t="str">
        <f>"201784C01002"</f>
        <v>201784C01002</v>
      </c>
      <c r="C2988" t="str">
        <f t="shared" si="143"/>
        <v>20</v>
      </c>
      <c r="D2988" t="s">
        <v>67</v>
      </c>
      <c r="E2988" t="str">
        <f t="shared" si="142"/>
        <v>013</v>
      </c>
      <c r="F2988" t="s">
        <v>2914</v>
      </c>
      <c r="G2988" t="str">
        <f t="shared" si="144"/>
        <v>1784</v>
      </c>
      <c r="H2988" t="str">
        <f>"0001"</f>
        <v>0001</v>
      </c>
      <c r="I2988" t="s">
        <v>75</v>
      </c>
      <c r="J2988">
        <v>0</v>
      </c>
      <c r="K2988">
        <v>1</v>
      </c>
      <c r="L2988">
        <v>2</v>
      </c>
      <c r="M2988">
        <v>441</v>
      </c>
      <c r="N2988">
        <v>285</v>
      </c>
      <c r="O2988">
        <v>7</v>
      </c>
      <c r="P2988">
        <v>285</v>
      </c>
      <c r="Q2988">
        <v>12</v>
      </c>
      <c r="R2988">
        <v>50</v>
      </c>
      <c r="S2988">
        <v>2</v>
      </c>
      <c r="T2988">
        <v>1</v>
      </c>
      <c r="U2988">
        <v>9</v>
      </c>
      <c r="V2988">
        <v>4</v>
      </c>
      <c r="W2988">
        <v>4</v>
      </c>
      <c r="X2988">
        <v>156</v>
      </c>
      <c r="Y2988">
        <v>11</v>
      </c>
      <c r="Z2988">
        <v>5</v>
      </c>
      <c r="AA2988">
        <v>4</v>
      </c>
      <c r="AB2988">
        <v>6</v>
      </c>
      <c r="AD2988">
        <v>4</v>
      </c>
      <c r="AE2988">
        <v>1</v>
      </c>
      <c r="AF2988">
        <v>0</v>
      </c>
      <c r="AG2988">
        <v>0</v>
      </c>
      <c r="AH2988">
        <v>0</v>
      </c>
      <c r="AI2988">
        <v>0</v>
      </c>
      <c r="AJ2988">
        <v>16</v>
      </c>
      <c r="AK2988">
        <v>285</v>
      </c>
      <c r="AL2988">
        <v>285</v>
      </c>
      <c r="AM2988">
        <v>682</v>
      </c>
      <c r="AN2988">
        <v>44</v>
      </c>
      <c r="AP2988">
        <v>1</v>
      </c>
      <c r="AR2988" t="s">
        <v>3083</v>
      </c>
      <c r="AS2988" s="1">
        <v>44353.966666666667</v>
      </c>
      <c r="AT2988" s="1">
        <v>44353.969340277778</v>
      </c>
      <c r="AU2988" s="1">
        <v>44353.969953703701</v>
      </c>
      <c r="AV2988" t="s">
        <v>71</v>
      </c>
      <c r="AW2988" t="s">
        <v>72</v>
      </c>
      <c r="AX2988" t="s">
        <v>73</v>
      </c>
    </row>
    <row r="2989" spans="1:50" x14ac:dyDescent="0.3">
      <c r="A2989" t="str">
        <f>"201784C0200"</f>
        <v>201784C0200</v>
      </c>
      <c r="B2989" t="str">
        <f>"201784C02002"</f>
        <v>201784C02002</v>
      </c>
      <c r="C2989" t="str">
        <f t="shared" si="143"/>
        <v>20</v>
      </c>
      <c r="D2989" t="s">
        <v>67</v>
      </c>
      <c r="E2989" t="str">
        <f t="shared" si="142"/>
        <v>013</v>
      </c>
      <c r="F2989" t="s">
        <v>2914</v>
      </c>
      <c r="G2989" t="str">
        <f t="shared" si="144"/>
        <v>1784</v>
      </c>
      <c r="H2989" t="str">
        <f>"0002"</f>
        <v>0002</v>
      </c>
      <c r="I2989" t="s">
        <v>75</v>
      </c>
      <c r="J2989">
        <v>0</v>
      </c>
      <c r="K2989">
        <v>1</v>
      </c>
      <c r="L2989">
        <v>2</v>
      </c>
      <c r="M2989">
        <v>461</v>
      </c>
      <c r="N2989">
        <v>266</v>
      </c>
      <c r="O2989">
        <v>6</v>
      </c>
      <c r="P2989">
        <v>267</v>
      </c>
      <c r="Q2989">
        <v>8</v>
      </c>
      <c r="R2989">
        <v>48</v>
      </c>
      <c r="S2989">
        <v>3</v>
      </c>
      <c r="T2989">
        <v>4</v>
      </c>
      <c r="U2989">
        <v>6</v>
      </c>
      <c r="V2989">
        <v>0</v>
      </c>
      <c r="W2989">
        <v>9</v>
      </c>
      <c r="X2989">
        <v>146</v>
      </c>
      <c r="Y2989">
        <v>18</v>
      </c>
      <c r="Z2989">
        <v>6</v>
      </c>
      <c r="AA2989">
        <v>1</v>
      </c>
      <c r="AB2989">
        <v>4</v>
      </c>
      <c r="AD2989">
        <v>2</v>
      </c>
      <c r="AE2989">
        <v>1</v>
      </c>
      <c r="AF2989">
        <v>0</v>
      </c>
      <c r="AG2989">
        <v>0</v>
      </c>
      <c r="AH2989">
        <v>0</v>
      </c>
      <c r="AI2989">
        <v>0</v>
      </c>
      <c r="AJ2989">
        <v>8</v>
      </c>
      <c r="AK2989">
        <v>267</v>
      </c>
      <c r="AL2989">
        <v>264</v>
      </c>
      <c r="AM2989">
        <v>681</v>
      </c>
      <c r="AN2989">
        <v>44</v>
      </c>
      <c r="AP2989">
        <v>1</v>
      </c>
      <c r="AR2989" t="s">
        <v>3084</v>
      </c>
      <c r="AS2989" s="1">
        <v>44353.981249999997</v>
      </c>
      <c r="AT2989" s="1">
        <v>44353.983090277776</v>
      </c>
      <c r="AU2989" s="1">
        <v>44353.983634259261</v>
      </c>
      <c r="AV2989" t="s">
        <v>71</v>
      </c>
      <c r="AW2989" t="s">
        <v>72</v>
      </c>
      <c r="AX2989" t="s">
        <v>73</v>
      </c>
    </row>
    <row r="2990" spans="1:50" x14ac:dyDescent="0.3">
      <c r="A2990" t="str">
        <f>"201784C0300"</f>
        <v>201784C0300</v>
      </c>
      <c r="B2990" t="str">
        <f>"201784C03002"</f>
        <v>201784C03002</v>
      </c>
      <c r="C2990" t="str">
        <f t="shared" si="143"/>
        <v>20</v>
      </c>
      <c r="D2990" t="s">
        <v>67</v>
      </c>
      <c r="E2990" t="str">
        <f t="shared" si="142"/>
        <v>013</v>
      </c>
      <c r="F2990" t="s">
        <v>2914</v>
      </c>
      <c r="G2990" t="str">
        <f t="shared" si="144"/>
        <v>1784</v>
      </c>
      <c r="H2990" t="str">
        <f>"0003"</f>
        <v>0003</v>
      </c>
      <c r="I2990" t="s">
        <v>75</v>
      </c>
      <c r="J2990">
        <v>0</v>
      </c>
      <c r="K2990">
        <v>1</v>
      </c>
      <c r="L2990">
        <v>2</v>
      </c>
      <c r="M2990">
        <v>479</v>
      </c>
      <c r="N2990">
        <v>246</v>
      </c>
      <c r="O2990">
        <v>4</v>
      </c>
      <c r="P2990">
        <v>246</v>
      </c>
      <c r="Q2990">
        <v>11</v>
      </c>
      <c r="R2990">
        <v>40</v>
      </c>
      <c r="S2990">
        <v>6</v>
      </c>
      <c r="T2990">
        <v>2</v>
      </c>
      <c r="U2990">
        <v>8</v>
      </c>
      <c r="V2990">
        <v>6</v>
      </c>
      <c r="W2990">
        <v>3</v>
      </c>
      <c r="X2990">
        <v>139</v>
      </c>
      <c r="Y2990">
        <v>4</v>
      </c>
      <c r="Z2990">
        <v>7</v>
      </c>
      <c r="AA2990">
        <v>1</v>
      </c>
      <c r="AB2990">
        <v>9</v>
      </c>
      <c r="AD2990">
        <v>1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9</v>
      </c>
      <c r="AK2990">
        <v>246</v>
      </c>
      <c r="AL2990">
        <v>246</v>
      </c>
      <c r="AM2990">
        <v>681</v>
      </c>
      <c r="AN2990">
        <v>44</v>
      </c>
      <c r="AP2990">
        <v>1</v>
      </c>
      <c r="AR2990" t="s">
        <v>3085</v>
      </c>
      <c r="AS2990" s="1">
        <v>44353.972222222219</v>
      </c>
      <c r="AT2990" s="1">
        <v>44353.975891203707</v>
      </c>
      <c r="AU2990" s="1">
        <v>44353.976504629631</v>
      </c>
      <c r="AV2990" t="s">
        <v>71</v>
      </c>
      <c r="AW2990" t="s">
        <v>72</v>
      </c>
      <c r="AX2990" t="s">
        <v>73</v>
      </c>
    </row>
    <row r="2991" spans="1:50" x14ac:dyDescent="0.3">
      <c r="A2991" t="str">
        <f>"201784C0400"</f>
        <v>201784C0400</v>
      </c>
      <c r="B2991" t="str">
        <f>"201784C04002"</f>
        <v>201784C04002</v>
      </c>
      <c r="C2991" t="str">
        <f t="shared" si="143"/>
        <v>20</v>
      </c>
      <c r="D2991" t="s">
        <v>67</v>
      </c>
      <c r="E2991" t="str">
        <f t="shared" si="142"/>
        <v>013</v>
      </c>
      <c r="F2991" t="s">
        <v>2914</v>
      </c>
      <c r="G2991" t="str">
        <f t="shared" si="144"/>
        <v>1784</v>
      </c>
      <c r="H2991" t="str">
        <f>"0004"</f>
        <v>0004</v>
      </c>
      <c r="I2991" t="s">
        <v>75</v>
      </c>
      <c r="J2991">
        <v>0</v>
      </c>
      <c r="K2991">
        <v>1</v>
      </c>
      <c r="L2991">
        <v>2</v>
      </c>
      <c r="M2991">
        <v>458</v>
      </c>
      <c r="N2991">
        <v>267</v>
      </c>
      <c r="O2991">
        <v>3</v>
      </c>
      <c r="P2991">
        <v>267</v>
      </c>
      <c r="Q2991">
        <v>8</v>
      </c>
      <c r="R2991">
        <v>45</v>
      </c>
      <c r="S2991">
        <v>4</v>
      </c>
      <c r="T2991">
        <v>2</v>
      </c>
      <c r="U2991">
        <v>11</v>
      </c>
      <c r="V2991">
        <v>4</v>
      </c>
      <c r="W2991">
        <v>6</v>
      </c>
      <c r="X2991">
        <v>142</v>
      </c>
      <c r="Y2991">
        <v>11</v>
      </c>
      <c r="Z2991">
        <v>8</v>
      </c>
      <c r="AA2991">
        <v>4</v>
      </c>
      <c r="AB2991">
        <v>7</v>
      </c>
      <c r="AD2991">
        <v>3</v>
      </c>
      <c r="AE2991">
        <v>0</v>
      </c>
      <c r="AF2991">
        <v>0</v>
      </c>
      <c r="AG2991">
        <v>0</v>
      </c>
      <c r="AH2991">
        <v>0</v>
      </c>
      <c r="AI2991">
        <v>1</v>
      </c>
      <c r="AJ2991">
        <v>11</v>
      </c>
      <c r="AK2991">
        <v>267</v>
      </c>
      <c r="AL2991">
        <v>267</v>
      </c>
      <c r="AM2991">
        <v>681</v>
      </c>
      <c r="AN2991">
        <v>44</v>
      </c>
      <c r="AP2991">
        <v>1</v>
      </c>
      <c r="AR2991" t="s">
        <v>3086</v>
      </c>
      <c r="AS2991" s="1">
        <v>44354.047222222223</v>
      </c>
      <c r="AT2991" s="1">
        <v>44354.060069444444</v>
      </c>
      <c r="AU2991" s="1">
        <v>44354.060671296298</v>
      </c>
      <c r="AV2991" t="s">
        <v>71</v>
      </c>
      <c r="AW2991" t="s">
        <v>72</v>
      </c>
      <c r="AX2991" t="s">
        <v>73</v>
      </c>
    </row>
    <row r="2992" spans="1:50" x14ac:dyDescent="0.3">
      <c r="A2992" t="str">
        <f>"201784E0100"</f>
        <v>201784E0100</v>
      </c>
      <c r="B2992" t="str">
        <f>"201784E01002"</f>
        <v>201784E01002</v>
      </c>
      <c r="C2992" t="str">
        <f t="shared" si="143"/>
        <v>20</v>
      </c>
      <c r="D2992" t="s">
        <v>67</v>
      </c>
      <c r="E2992" t="str">
        <f t="shared" si="142"/>
        <v>013</v>
      </c>
      <c r="F2992" t="s">
        <v>2914</v>
      </c>
      <c r="G2992" t="str">
        <f t="shared" si="144"/>
        <v>1784</v>
      </c>
      <c r="H2992" t="str">
        <f>"0001"</f>
        <v>0001</v>
      </c>
      <c r="I2992" t="s">
        <v>109</v>
      </c>
      <c r="J2992">
        <v>0</v>
      </c>
      <c r="K2992">
        <v>1</v>
      </c>
      <c r="L2992">
        <v>2</v>
      </c>
      <c r="M2992">
        <v>475</v>
      </c>
      <c r="N2992">
        <v>245</v>
      </c>
      <c r="O2992">
        <v>5</v>
      </c>
      <c r="P2992">
        <v>245</v>
      </c>
      <c r="Q2992">
        <v>15</v>
      </c>
      <c r="R2992">
        <v>37</v>
      </c>
      <c r="S2992">
        <v>1</v>
      </c>
      <c r="T2992">
        <v>1</v>
      </c>
      <c r="U2992">
        <v>9</v>
      </c>
      <c r="V2992">
        <v>3</v>
      </c>
      <c r="W2992">
        <v>5</v>
      </c>
      <c r="X2992">
        <v>143</v>
      </c>
      <c r="Y2992">
        <v>6</v>
      </c>
      <c r="Z2992">
        <v>5</v>
      </c>
      <c r="AA2992">
        <v>2</v>
      </c>
      <c r="AB2992">
        <v>2</v>
      </c>
      <c r="AD2992">
        <v>0</v>
      </c>
      <c r="AE2992">
        <v>1</v>
      </c>
      <c r="AF2992">
        <v>0</v>
      </c>
      <c r="AG2992">
        <v>0</v>
      </c>
      <c r="AH2992">
        <v>0</v>
      </c>
      <c r="AI2992">
        <v>1</v>
      </c>
      <c r="AJ2992">
        <v>14</v>
      </c>
      <c r="AK2992">
        <v>245</v>
      </c>
      <c r="AL2992">
        <v>245</v>
      </c>
      <c r="AM2992">
        <v>676</v>
      </c>
      <c r="AN2992">
        <v>44</v>
      </c>
      <c r="AP2992">
        <v>1</v>
      </c>
      <c r="AR2992" t="s">
        <v>3087</v>
      </c>
      <c r="AS2992" s="1">
        <v>44354.079861111109</v>
      </c>
      <c r="AT2992" s="1">
        <v>44354.089618055557</v>
      </c>
      <c r="AU2992" s="1">
        <v>44354.090231481481</v>
      </c>
      <c r="AV2992" t="s">
        <v>71</v>
      </c>
      <c r="AW2992" t="s">
        <v>72</v>
      </c>
      <c r="AX2992" t="s">
        <v>73</v>
      </c>
    </row>
    <row r="2993" spans="1:50" x14ac:dyDescent="0.3">
      <c r="A2993" t="str">
        <f>"201784E0101"</f>
        <v>201784E0101</v>
      </c>
      <c r="B2993" t="str">
        <f>"201784E01012"</f>
        <v>201784E01012</v>
      </c>
      <c r="C2993" t="str">
        <f t="shared" si="143"/>
        <v>20</v>
      </c>
      <c r="D2993" t="s">
        <v>67</v>
      </c>
      <c r="E2993" t="str">
        <f t="shared" si="142"/>
        <v>013</v>
      </c>
      <c r="F2993" t="s">
        <v>2914</v>
      </c>
      <c r="G2993" t="str">
        <f t="shared" si="144"/>
        <v>1784</v>
      </c>
      <c r="H2993" t="str">
        <f>"0001"</f>
        <v>0001</v>
      </c>
      <c r="I2993" t="s">
        <v>109</v>
      </c>
      <c r="J2993">
        <v>1</v>
      </c>
      <c r="K2993">
        <v>1</v>
      </c>
      <c r="L2993">
        <v>2</v>
      </c>
      <c r="M2993">
        <v>462</v>
      </c>
      <c r="N2993">
        <v>257</v>
      </c>
      <c r="O2993">
        <v>9</v>
      </c>
      <c r="P2993">
        <v>257</v>
      </c>
      <c r="Q2993">
        <v>16</v>
      </c>
      <c r="R2993">
        <v>42</v>
      </c>
      <c r="S2993">
        <v>3</v>
      </c>
      <c r="T2993">
        <v>2</v>
      </c>
      <c r="U2993">
        <v>13</v>
      </c>
      <c r="V2993">
        <v>5</v>
      </c>
      <c r="W2993">
        <v>1</v>
      </c>
      <c r="X2993">
        <v>154</v>
      </c>
      <c r="Y2993">
        <v>5</v>
      </c>
      <c r="Z2993">
        <v>4</v>
      </c>
      <c r="AA2993">
        <v>2</v>
      </c>
      <c r="AB2993">
        <v>1</v>
      </c>
      <c r="AD2993">
        <v>0</v>
      </c>
      <c r="AE2993">
        <v>1</v>
      </c>
      <c r="AF2993">
        <v>0</v>
      </c>
      <c r="AG2993">
        <v>0</v>
      </c>
      <c r="AH2993">
        <v>0</v>
      </c>
      <c r="AI2993">
        <v>1</v>
      </c>
      <c r="AJ2993">
        <v>6</v>
      </c>
      <c r="AK2993">
        <v>257</v>
      </c>
      <c r="AL2993">
        <v>256</v>
      </c>
      <c r="AM2993">
        <v>675</v>
      </c>
      <c r="AN2993">
        <v>44</v>
      </c>
      <c r="AP2993">
        <v>1</v>
      </c>
      <c r="AR2993" t="s">
        <v>3088</v>
      </c>
      <c r="AS2993" s="1">
        <v>44354.104861111111</v>
      </c>
      <c r="AT2993" s="1">
        <v>44354.121874999997</v>
      </c>
      <c r="AU2993" s="1">
        <v>44354.12232638889</v>
      </c>
      <c r="AV2993" t="s">
        <v>71</v>
      </c>
      <c r="AW2993" t="s">
        <v>72</v>
      </c>
      <c r="AX2993" t="s">
        <v>73</v>
      </c>
    </row>
    <row r="2994" spans="1:50" x14ac:dyDescent="0.3">
      <c r="A2994" t="str">
        <f>"201784E0102"</f>
        <v>201784E0102</v>
      </c>
      <c r="B2994" t="str">
        <f>"201784E01022"</f>
        <v>201784E01022</v>
      </c>
      <c r="C2994" t="str">
        <f t="shared" si="143"/>
        <v>20</v>
      </c>
      <c r="D2994" t="s">
        <v>67</v>
      </c>
      <c r="E2994" t="str">
        <f t="shared" si="142"/>
        <v>013</v>
      </c>
      <c r="F2994" t="s">
        <v>2914</v>
      </c>
      <c r="G2994" t="str">
        <f t="shared" si="144"/>
        <v>1784</v>
      </c>
      <c r="H2994" t="str">
        <f>"0001"</f>
        <v>0001</v>
      </c>
      <c r="I2994" t="s">
        <v>109</v>
      </c>
      <c r="J2994">
        <v>2</v>
      </c>
      <c r="K2994">
        <v>1</v>
      </c>
      <c r="L2994">
        <v>2</v>
      </c>
      <c r="M2994">
        <v>528</v>
      </c>
      <c r="N2994">
        <v>206</v>
      </c>
      <c r="O2994">
        <v>4</v>
      </c>
      <c r="P2994">
        <v>206</v>
      </c>
      <c r="Q2994">
        <v>12</v>
      </c>
      <c r="R2994">
        <v>35</v>
      </c>
      <c r="S2994">
        <v>3</v>
      </c>
      <c r="T2994">
        <v>2</v>
      </c>
      <c r="U2994">
        <v>12</v>
      </c>
      <c r="V2994">
        <v>5</v>
      </c>
      <c r="W2994">
        <v>4</v>
      </c>
      <c r="X2994">
        <v>107</v>
      </c>
      <c r="Y2994">
        <v>5</v>
      </c>
      <c r="Z2994">
        <v>9</v>
      </c>
      <c r="AA2994">
        <v>1</v>
      </c>
      <c r="AB2994">
        <v>4</v>
      </c>
      <c r="AD2994">
        <v>2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5</v>
      </c>
      <c r="AK2994">
        <v>206</v>
      </c>
      <c r="AL2994">
        <v>206</v>
      </c>
      <c r="AM2994">
        <v>675</v>
      </c>
      <c r="AN2994">
        <v>44</v>
      </c>
      <c r="AP2994">
        <v>1</v>
      </c>
      <c r="AR2994" t="s">
        <v>3089</v>
      </c>
      <c r="AS2994" s="1">
        <v>44353.968055555553</v>
      </c>
      <c r="AT2994" s="1">
        <v>44353.97016203704</v>
      </c>
      <c r="AU2994" s="1">
        <v>44353.97084490741</v>
      </c>
      <c r="AV2994" t="s">
        <v>71</v>
      </c>
      <c r="AW2994" t="s">
        <v>72</v>
      </c>
      <c r="AX2994" t="s">
        <v>73</v>
      </c>
    </row>
    <row r="2995" spans="1:50" x14ac:dyDescent="0.3">
      <c r="A2995" t="str">
        <f>"201784E0103"</f>
        <v>201784E0103</v>
      </c>
      <c r="B2995" t="str">
        <f>"201784E01032"</f>
        <v>201784E01032</v>
      </c>
      <c r="C2995" t="str">
        <f t="shared" si="143"/>
        <v>20</v>
      </c>
      <c r="D2995" t="s">
        <v>67</v>
      </c>
      <c r="E2995" t="str">
        <f t="shared" si="142"/>
        <v>013</v>
      </c>
      <c r="F2995" t="s">
        <v>2914</v>
      </c>
      <c r="G2995" t="str">
        <f t="shared" si="144"/>
        <v>1784</v>
      </c>
      <c r="H2995" t="str">
        <f>"0001"</f>
        <v>0001</v>
      </c>
      <c r="I2995" t="s">
        <v>109</v>
      </c>
      <c r="J2995">
        <v>3</v>
      </c>
      <c r="K2995">
        <v>1</v>
      </c>
      <c r="L2995">
        <v>2</v>
      </c>
      <c r="M2995">
        <v>497</v>
      </c>
      <c r="N2995">
        <v>222</v>
      </c>
      <c r="O2995">
        <v>2</v>
      </c>
      <c r="P2995">
        <v>222</v>
      </c>
      <c r="Q2995">
        <v>7</v>
      </c>
      <c r="R2995">
        <v>44</v>
      </c>
      <c r="S2995">
        <v>2</v>
      </c>
      <c r="T2995">
        <v>4</v>
      </c>
      <c r="U2995">
        <v>6</v>
      </c>
      <c r="V2995">
        <v>4</v>
      </c>
      <c r="W2995">
        <v>2</v>
      </c>
      <c r="X2995">
        <v>130</v>
      </c>
      <c r="Y2995">
        <v>4</v>
      </c>
      <c r="Z2995">
        <v>2</v>
      </c>
      <c r="AA2995">
        <v>3</v>
      </c>
      <c r="AB2995">
        <v>0</v>
      </c>
      <c r="AD2995">
        <v>2</v>
      </c>
      <c r="AE2995">
        <v>1</v>
      </c>
      <c r="AF2995">
        <v>0</v>
      </c>
      <c r="AG2995">
        <v>0</v>
      </c>
      <c r="AH2995">
        <v>0</v>
      </c>
      <c r="AI2995">
        <v>0</v>
      </c>
      <c r="AJ2995">
        <v>11</v>
      </c>
      <c r="AK2995">
        <v>222</v>
      </c>
      <c r="AL2995">
        <v>222</v>
      </c>
      <c r="AM2995">
        <v>675</v>
      </c>
      <c r="AN2995">
        <v>44</v>
      </c>
      <c r="AP2995">
        <v>1</v>
      </c>
      <c r="AR2995" t="s">
        <v>3090</v>
      </c>
      <c r="AS2995" s="1">
        <v>44353.978472222225</v>
      </c>
      <c r="AT2995" s="1">
        <v>44353.981481481482</v>
      </c>
      <c r="AU2995" s="1">
        <v>44353.981979166667</v>
      </c>
      <c r="AV2995" t="s">
        <v>71</v>
      </c>
      <c r="AW2995" t="s">
        <v>72</v>
      </c>
      <c r="AX2995" t="s">
        <v>73</v>
      </c>
    </row>
    <row r="2996" spans="1:50" x14ac:dyDescent="0.3">
      <c r="A2996" t="str">
        <f>"201784E0104"</f>
        <v>201784E0104</v>
      </c>
      <c r="B2996" t="str">
        <f>"201784E01042"</f>
        <v>201784E01042</v>
      </c>
      <c r="C2996" t="str">
        <f t="shared" si="143"/>
        <v>20</v>
      </c>
      <c r="D2996" t="s">
        <v>67</v>
      </c>
      <c r="E2996" t="str">
        <f t="shared" si="142"/>
        <v>013</v>
      </c>
      <c r="F2996" t="s">
        <v>2914</v>
      </c>
      <c r="G2996" t="str">
        <f t="shared" si="144"/>
        <v>1784</v>
      </c>
      <c r="H2996" t="str">
        <f>"0001"</f>
        <v>0001</v>
      </c>
      <c r="I2996" t="s">
        <v>109</v>
      </c>
      <c r="J2996">
        <v>4</v>
      </c>
      <c r="K2996">
        <v>1</v>
      </c>
      <c r="L2996">
        <v>2</v>
      </c>
      <c r="M2996">
        <v>478</v>
      </c>
      <c r="N2996">
        <v>241</v>
      </c>
      <c r="O2996">
        <v>7</v>
      </c>
      <c r="P2996">
        <v>241</v>
      </c>
      <c r="Q2996">
        <v>5</v>
      </c>
      <c r="R2996">
        <v>57</v>
      </c>
      <c r="S2996">
        <v>3</v>
      </c>
      <c r="T2996">
        <v>2</v>
      </c>
      <c r="U2996">
        <v>10</v>
      </c>
      <c r="V2996">
        <v>2</v>
      </c>
      <c r="W2996">
        <v>5</v>
      </c>
      <c r="X2996">
        <v>132</v>
      </c>
      <c r="Y2996">
        <v>5</v>
      </c>
      <c r="Z2996">
        <v>3</v>
      </c>
      <c r="AA2996">
        <v>5</v>
      </c>
      <c r="AB2996">
        <v>3</v>
      </c>
      <c r="AD2996">
        <v>1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8</v>
      </c>
      <c r="AK2996">
        <v>241</v>
      </c>
      <c r="AL2996">
        <v>241</v>
      </c>
      <c r="AM2996">
        <v>675</v>
      </c>
      <c r="AN2996">
        <v>44</v>
      </c>
      <c r="AP2996">
        <v>1</v>
      </c>
      <c r="AR2996" t="s">
        <v>3091</v>
      </c>
      <c r="AS2996" s="1">
        <v>44353.980555555558</v>
      </c>
      <c r="AT2996" s="1">
        <v>44353.982800925929</v>
      </c>
      <c r="AU2996" s="1">
        <v>44353.983206018522</v>
      </c>
      <c r="AV2996" t="s">
        <v>71</v>
      </c>
      <c r="AW2996" t="s">
        <v>72</v>
      </c>
      <c r="AX2996" t="s">
        <v>73</v>
      </c>
    </row>
    <row r="2997" spans="1:50" x14ac:dyDescent="0.3">
      <c r="A2997" t="str">
        <f>"201784E0200"</f>
        <v>201784E0200</v>
      </c>
      <c r="B2997" t="str">
        <f>"201784E02002"</f>
        <v>201784E02002</v>
      </c>
      <c r="C2997" t="str">
        <f t="shared" si="143"/>
        <v>20</v>
      </c>
      <c r="D2997" t="s">
        <v>67</v>
      </c>
      <c r="E2997" t="str">
        <f t="shared" si="142"/>
        <v>013</v>
      </c>
      <c r="F2997" t="s">
        <v>2914</v>
      </c>
      <c r="G2997" t="str">
        <f t="shared" si="144"/>
        <v>1784</v>
      </c>
      <c r="H2997" t="str">
        <f>"0002"</f>
        <v>0002</v>
      </c>
      <c r="I2997" t="s">
        <v>109</v>
      </c>
      <c r="J2997">
        <v>0</v>
      </c>
      <c r="K2997">
        <v>1</v>
      </c>
      <c r="L2997">
        <v>2</v>
      </c>
      <c r="M2997">
        <v>480</v>
      </c>
      <c r="N2997">
        <v>285</v>
      </c>
      <c r="O2997">
        <v>7</v>
      </c>
      <c r="P2997">
        <v>6</v>
      </c>
      <c r="Q2997">
        <v>11</v>
      </c>
      <c r="R2997">
        <v>45</v>
      </c>
      <c r="S2997">
        <v>5</v>
      </c>
      <c r="T2997">
        <v>5</v>
      </c>
      <c r="U2997">
        <v>19</v>
      </c>
      <c r="V2997">
        <v>10</v>
      </c>
      <c r="W2997">
        <v>4</v>
      </c>
      <c r="X2997">
        <v>154</v>
      </c>
      <c r="Y2997">
        <v>1</v>
      </c>
      <c r="Z2997">
        <v>7</v>
      </c>
      <c r="AA2997">
        <v>3</v>
      </c>
      <c r="AB2997">
        <v>4</v>
      </c>
      <c r="AD2997">
        <v>5</v>
      </c>
      <c r="AE2997">
        <v>1</v>
      </c>
      <c r="AF2997">
        <v>0</v>
      </c>
      <c r="AG2997">
        <v>0</v>
      </c>
      <c r="AH2997">
        <v>0</v>
      </c>
      <c r="AI2997">
        <v>0</v>
      </c>
      <c r="AJ2997">
        <v>11</v>
      </c>
      <c r="AK2997">
        <v>285</v>
      </c>
      <c r="AL2997">
        <v>285</v>
      </c>
      <c r="AM2997">
        <v>722</v>
      </c>
      <c r="AN2997">
        <v>44</v>
      </c>
      <c r="AP2997">
        <v>1</v>
      </c>
      <c r="AR2997" t="s">
        <v>3092</v>
      </c>
      <c r="AS2997" s="1">
        <v>44354.003472222219</v>
      </c>
      <c r="AT2997" s="1">
        <v>44354.008738425924</v>
      </c>
      <c r="AU2997" s="1">
        <v>44354.010046296295</v>
      </c>
      <c r="AV2997" t="s">
        <v>71</v>
      </c>
      <c r="AW2997" t="s">
        <v>72</v>
      </c>
      <c r="AX2997" t="s">
        <v>73</v>
      </c>
    </row>
    <row r="2998" spans="1:50" x14ac:dyDescent="0.3">
      <c r="A2998" t="str">
        <f>"201784E0201"</f>
        <v>201784E0201</v>
      </c>
      <c r="B2998" t="str">
        <f>"201784E02012"</f>
        <v>201784E02012</v>
      </c>
      <c r="C2998" t="str">
        <f t="shared" si="143"/>
        <v>20</v>
      </c>
      <c r="D2998" t="s">
        <v>67</v>
      </c>
      <c r="E2998" t="str">
        <f t="shared" si="142"/>
        <v>013</v>
      </c>
      <c r="F2998" t="s">
        <v>2914</v>
      </c>
      <c r="G2998" t="str">
        <f t="shared" si="144"/>
        <v>1784</v>
      </c>
      <c r="H2998" t="str">
        <f>"0002"</f>
        <v>0002</v>
      </c>
      <c r="I2998" t="s">
        <v>109</v>
      </c>
      <c r="J2998">
        <v>1</v>
      </c>
      <c r="K2998">
        <v>1</v>
      </c>
      <c r="L2998">
        <v>2</v>
      </c>
      <c r="M2998">
        <v>529</v>
      </c>
      <c r="N2998">
        <v>237</v>
      </c>
      <c r="O2998">
        <v>5</v>
      </c>
      <c r="P2998">
        <v>237</v>
      </c>
      <c r="Q2998">
        <v>12</v>
      </c>
      <c r="R2998">
        <v>40</v>
      </c>
      <c r="S2998">
        <v>3</v>
      </c>
      <c r="T2998">
        <v>2</v>
      </c>
      <c r="U2998">
        <v>10</v>
      </c>
      <c r="V2998">
        <v>2</v>
      </c>
      <c r="W2998">
        <v>4</v>
      </c>
      <c r="X2998">
        <v>127</v>
      </c>
      <c r="Y2998">
        <v>4</v>
      </c>
      <c r="Z2998">
        <v>5</v>
      </c>
      <c r="AA2998">
        <v>11</v>
      </c>
      <c r="AB2998">
        <v>3</v>
      </c>
      <c r="AD2998">
        <v>5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9</v>
      </c>
      <c r="AK2998">
        <v>237</v>
      </c>
      <c r="AL2998">
        <v>237</v>
      </c>
      <c r="AM2998">
        <v>722</v>
      </c>
      <c r="AN2998">
        <v>44</v>
      </c>
      <c r="AP2998">
        <v>1</v>
      </c>
      <c r="AR2998" t="s">
        <v>3093</v>
      </c>
      <c r="AS2998" s="1">
        <v>44353.863194444442</v>
      </c>
      <c r="AT2998" s="1">
        <v>44354.004594907405</v>
      </c>
      <c r="AU2998" s="1">
        <v>44354.005243055559</v>
      </c>
      <c r="AV2998" t="s">
        <v>71</v>
      </c>
      <c r="AW2998" t="s">
        <v>72</v>
      </c>
      <c r="AX2998" t="s">
        <v>73</v>
      </c>
    </row>
    <row r="2999" spans="1:50" x14ac:dyDescent="0.3">
      <c r="A2999" t="str">
        <f>"201784E0202"</f>
        <v>201784E0202</v>
      </c>
      <c r="B2999" t="str">
        <f>"201784E02022"</f>
        <v>201784E02022</v>
      </c>
      <c r="C2999" t="str">
        <f t="shared" si="143"/>
        <v>20</v>
      </c>
      <c r="D2999" t="s">
        <v>67</v>
      </c>
      <c r="E2999" t="str">
        <f t="shared" si="142"/>
        <v>013</v>
      </c>
      <c r="F2999" t="s">
        <v>2914</v>
      </c>
      <c r="G2999" t="str">
        <f t="shared" si="144"/>
        <v>1784</v>
      </c>
      <c r="H2999" t="str">
        <f>"0002"</f>
        <v>0002</v>
      </c>
      <c r="I2999" t="s">
        <v>109</v>
      </c>
      <c r="J2999">
        <v>2</v>
      </c>
      <c r="K2999">
        <v>1</v>
      </c>
      <c r="L2999">
        <v>2</v>
      </c>
      <c r="M2999">
        <v>520</v>
      </c>
      <c r="N2999">
        <v>245</v>
      </c>
      <c r="O2999">
        <v>5</v>
      </c>
      <c r="P2999">
        <v>245</v>
      </c>
      <c r="Q2999">
        <v>5</v>
      </c>
      <c r="R2999">
        <v>26</v>
      </c>
      <c r="S2999">
        <v>1</v>
      </c>
      <c r="T2999">
        <v>3</v>
      </c>
      <c r="U2999">
        <v>16</v>
      </c>
      <c r="V2999">
        <v>4</v>
      </c>
      <c r="W2999">
        <v>2</v>
      </c>
      <c r="X2999">
        <v>154</v>
      </c>
      <c r="Y2999">
        <v>4</v>
      </c>
      <c r="Z2999">
        <v>7</v>
      </c>
      <c r="AA2999">
        <v>10</v>
      </c>
      <c r="AB2999">
        <v>5</v>
      </c>
      <c r="AD2999">
        <v>2</v>
      </c>
      <c r="AE2999">
        <v>0</v>
      </c>
      <c r="AF2999">
        <v>0</v>
      </c>
      <c r="AG2999">
        <v>1</v>
      </c>
      <c r="AH2999">
        <v>0</v>
      </c>
      <c r="AI2999">
        <v>0</v>
      </c>
      <c r="AJ2999">
        <v>5</v>
      </c>
      <c r="AK2999">
        <v>245</v>
      </c>
      <c r="AL2999">
        <v>245</v>
      </c>
      <c r="AM2999">
        <v>721</v>
      </c>
      <c r="AN2999">
        <v>44</v>
      </c>
      <c r="AP2999">
        <v>1</v>
      </c>
      <c r="AR2999" t="s">
        <v>3094</v>
      </c>
      <c r="AS2999" s="1">
        <v>44353.763888888891</v>
      </c>
      <c r="AT2999" s="1">
        <v>44354.048136574071</v>
      </c>
      <c r="AU2999" s="1">
        <v>44354.04923611111</v>
      </c>
      <c r="AV2999" t="s">
        <v>71</v>
      </c>
      <c r="AW2999" t="s">
        <v>72</v>
      </c>
      <c r="AX2999" t="s">
        <v>73</v>
      </c>
    </row>
    <row r="3000" spans="1:50" x14ac:dyDescent="0.3">
      <c r="A3000" t="str">
        <f>"201784E0300"</f>
        <v>201784E0300</v>
      </c>
      <c r="B3000" t="str">
        <f>"201784E03002"</f>
        <v>201784E03002</v>
      </c>
      <c r="C3000" t="str">
        <f t="shared" si="143"/>
        <v>20</v>
      </c>
      <c r="D3000" t="s">
        <v>67</v>
      </c>
      <c r="E3000" t="str">
        <f t="shared" si="142"/>
        <v>013</v>
      </c>
      <c r="F3000" t="s">
        <v>2914</v>
      </c>
      <c r="G3000" t="str">
        <f t="shared" si="144"/>
        <v>1784</v>
      </c>
      <c r="H3000" t="str">
        <f>"0003"</f>
        <v>0003</v>
      </c>
      <c r="I3000" t="s">
        <v>109</v>
      </c>
      <c r="J3000">
        <v>0</v>
      </c>
      <c r="K3000">
        <v>1</v>
      </c>
      <c r="L3000">
        <v>2</v>
      </c>
      <c r="M3000">
        <v>418</v>
      </c>
      <c r="N3000">
        <v>209</v>
      </c>
      <c r="O3000">
        <v>5</v>
      </c>
      <c r="P3000">
        <v>209</v>
      </c>
      <c r="Q3000">
        <v>19</v>
      </c>
      <c r="R3000">
        <v>41</v>
      </c>
      <c r="S3000">
        <v>4</v>
      </c>
      <c r="T3000">
        <v>4</v>
      </c>
      <c r="U3000">
        <v>9</v>
      </c>
      <c r="V3000">
        <v>2</v>
      </c>
      <c r="W3000">
        <v>2</v>
      </c>
      <c r="X3000">
        <v>100</v>
      </c>
      <c r="Y3000">
        <v>4</v>
      </c>
      <c r="Z3000">
        <v>3</v>
      </c>
      <c r="AA3000">
        <v>1</v>
      </c>
      <c r="AB3000">
        <v>5</v>
      </c>
      <c r="AD3000">
        <v>1</v>
      </c>
      <c r="AE3000">
        <v>2</v>
      </c>
      <c r="AF3000">
        <v>0</v>
      </c>
      <c r="AG3000">
        <v>0</v>
      </c>
      <c r="AH3000">
        <v>0</v>
      </c>
      <c r="AI3000">
        <v>0</v>
      </c>
      <c r="AJ3000">
        <v>12</v>
      </c>
      <c r="AK3000">
        <v>209</v>
      </c>
      <c r="AL3000">
        <v>209</v>
      </c>
      <c r="AM3000">
        <v>583</v>
      </c>
      <c r="AN3000">
        <v>44</v>
      </c>
      <c r="AP3000">
        <v>1</v>
      </c>
      <c r="AR3000" t="s">
        <v>3095</v>
      </c>
      <c r="AS3000" s="1">
        <v>44354.019444444442</v>
      </c>
      <c r="AT3000" s="1">
        <v>44354.029282407406</v>
      </c>
      <c r="AU3000" s="1">
        <v>44354.029756944445</v>
      </c>
      <c r="AV3000" t="s">
        <v>71</v>
      </c>
      <c r="AW3000" t="s">
        <v>72</v>
      </c>
      <c r="AX3000" t="s">
        <v>73</v>
      </c>
    </row>
    <row r="3001" spans="1:50" x14ac:dyDescent="0.3">
      <c r="A3001" t="str">
        <f>"201784E0400"</f>
        <v>201784E0400</v>
      </c>
      <c r="B3001" t="str">
        <f>"201784E04002"</f>
        <v>201784E04002</v>
      </c>
      <c r="C3001" t="str">
        <f t="shared" si="143"/>
        <v>20</v>
      </c>
      <c r="D3001" t="s">
        <v>67</v>
      </c>
      <c r="E3001" t="str">
        <f t="shared" si="142"/>
        <v>013</v>
      </c>
      <c r="F3001" t="s">
        <v>2914</v>
      </c>
      <c r="G3001" t="str">
        <f t="shared" si="144"/>
        <v>1784</v>
      </c>
      <c r="H3001" t="str">
        <f>"0004"</f>
        <v>0004</v>
      </c>
      <c r="I3001" t="s">
        <v>109</v>
      </c>
      <c r="J3001">
        <v>0</v>
      </c>
      <c r="K3001">
        <v>1</v>
      </c>
      <c r="L3001">
        <v>2</v>
      </c>
      <c r="M3001">
        <v>504</v>
      </c>
      <c r="N3001">
        <v>286</v>
      </c>
      <c r="O3001">
        <v>9</v>
      </c>
      <c r="P3001">
        <v>286</v>
      </c>
      <c r="Q3001">
        <v>10</v>
      </c>
      <c r="R3001">
        <v>52</v>
      </c>
      <c r="S3001">
        <v>3</v>
      </c>
      <c r="T3001">
        <v>2</v>
      </c>
      <c r="U3001">
        <v>22</v>
      </c>
      <c r="V3001">
        <v>5</v>
      </c>
      <c r="W3001">
        <v>1</v>
      </c>
      <c r="X3001">
        <v>137</v>
      </c>
      <c r="Y3001">
        <v>7</v>
      </c>
      <c r="Z3001">
        <v>10</v>
      </c>
      <c r="AA3001">
        <v>6</v>
      </c>
      <c r="AB3001">
        <v>5</v>
      </c>
      <c r="AD3001">
        <v>5</v>
      </c>
      <c r="AE3001">
        <v>2</v>
      </c>
      <c r="AF3001">
        <v>0</v>
      </c>
      <c r="AG3001">
        <v>0</v>
      </c>
      <c r="AH3001">
        <v>1</v>
      </c>
      <c r="AI3001">
        <v>1</v>
      </c>
      <c r="AJ3001">
        <v>17</v>
      </c>
      <c r="AK3001">
        <v>286</v>
      </c>
      <c r="AL3001">
        <v>286</v>
      </c>
      <c r="AM3001">
        <v>746</v>
      </c>
      <c r="AN3001">
        <v>44</v>
      </c>
      <c r="AP3001">
        <v>1</v>
      </c>
      <c r="AR3001" t="s">
        <v>3096</v>
      </c>
      <c r="AS3001" s="1">
        <v>44354.025000000001</v>
      </c>
      <c r="AT3001" s="1">
        <v>44354.042615740742</v>
      </c>
      <c r="AU3001" s="1">
        <v>44354.054965277777</v>
      </c>
      <c r="AV3001" t="s">
        <v>71</v>
      </c>
      <c r="AW3001" t="s">
        <v>72</v>
      </c>
      <c r="AX3001" t="s">
        <v>73</v>
      </c>
    </row>
    <row r="3002" spans="1:50" x14ac:dyDescent="0.3">
      <c r="A3002" t="str">
        <f>"201786B0000"</f>
        <v>201786B0000</v>
      </c>
      <c r="B3002" t="str">
        <f>"201786B00002"</f>
        <v>201786B00002</v>
      </c>
      <c r="C3002" t="str">
        <f t="shared" si="143"/>
        <v>20</v>
      </c>
      <c r="D3002" t="s">
        <v>67</v>
      </c>
      <c r="E3002" t="str">
        <f t="shared" si="142"/>
        <v>013</v>
      </c>
      <c r="F3002" t="s">
        <v>2914</v>
      </c>
      <c r="G3002" t="str">
        <f t="shared" ref="G3002:G3007" si="145">"1786"</f>
        <v>1786</v>
      </c>
      <c r="H3002" t="str">
        <f>"0000"</f>
        <v>0000</v>
      </c>
      <c r="I3002" t="s">
        <v>69</v>
      </c>
      <c r="J3002">
        <v>0</v>
      </c>
      <c r="K3002">
        <v>1</v>
      </c>
      <c r="L3002">
        <v>2</v>
      </c>
      <c r="M3002">
        <v>481</v>
      </c>
      <c r="N3002">
        <v>302</v>
      </c>
      <c r="O3002">
        <v>4</v>
      </c>
      <c r="P3002">
        <v>302</v>
      </c>
      <c r="Q3002">
        <v>9</v>
      </c>
      <c r="R3002">
        <v>119</v>
      </c>
      <c r="S3002">
        <v>2</v>
      </c>
      <c r="T3002">
        <v>2</v>
      </c>
      <c r="U3002">
        <v>6</v>
      </c>
      <c r="V3002">
        <v>1</v>
      </c>
      <c r="W3002">
        <v>6</v>
      </c>
      <c r="X3002">
        <v>119</v>
      </c>
      <c r="Y3002">
        <v>4</v>
      </c>
      <c r="Z3002">
        <v>6</v>
      </c>
      <c r="AA3002">
        <v>6</v>
      </c>
      <c r="AB3002">
        <v>6</v>
      </c>
      <c r="AD3002">
        <v>1</v>
      </c>
      <c r="AE3002">
        <v>0</v>
      </c>
      <c r="AF3002">
        <v>0</v>
      </c>
      <c r="AG3002">
        <v>1</v>
      </c>
      <c r="AH3002">
        <v>1</v>
      </c>
      <c r="AI3002">
        <v>0</v>
      </c>
      <c r="AJ3002">
        <v>13</v>
      </c>
      <c r="AK3002">
        <v>302</v>
      </c>
      <c r="AL3002">
        <v>302</v>
      </c>
      <c r="AM3002">
        <v>739</v>
      </c>
      <c r="AN3002">
        <v>44</v>
      </c>
      <c r="AP3002">
        <v>1</v>
      </c>
      <c r="AR3002" t="s">
        <v>3097</v>
      </c>
      <c r="AS3002" s="1">
        <v>44354.013194444444</v>
      </c>
      <c r="AT3002" s="1">
        <v>44354.02138888889</v>
      </c>
      <c r="AU3002" s="1">
        <v>44354.021886574075</v>
      </c>
      <c r="AV3002" t="s">
        <v>71</v>
      </c>
      <c r="AW3002" t="s">
        <v>72</v>
      </c>
      <c r="AX3002" t="s">
        <v>73</v>
      </c>
    </row>
    <row r="3003" spans="1:50" x14ac:dyDescent="0.3">
      <c r="A3003" t="str">
        <f>"201786C0100"</f>
        <v>201786C0100</v>
      </c>
      <c r="B3003" t="str">
        <f>"201786C01002"</f>
        <v>201786C01002</v>
      </c>
      <c r="C3003" t="str">
        <f t="shared" si="143"/>
        <v>20</v>
      </c>
      <c r="D3003" t="s">
        <v>67</v>
      </c>
      <c r="E3003" t="str">
        <f t="shared" si="142"/>
        <v>013</v>
      </c>
      <c r="F3003" t="s">
        <v>2914</v>
      </c>
      <c r="G3003" t="str">
        <f t="shared" si="145"/>
        <v>1786</v>
      </c>
      <c r="H3003" t="str">
        <f>"0001"</f>
        <v>0001</v>
      </c>
      <c r="I3003" t="s">
        <v>75</v>
      </c>
      <c r="J3003">
        <v>0</v>
      </c>
      <c r="K3003">
        <v>1</v>
      </c>
      <c r="L3003">
        <v>2</v>
      </c>
      <c r="M3003">
        <v>531</v>
      </c>
      <c r="N3003">
        <v>252</v>
      </c>
      <c r="O3003">
        <v>6</v>
      </c>
      <c r="P3003" t="s">
        <v>80</v>
      </c>
      <c r="Q3003">
        <v>6</v>
      </c>
      <c r="R3003">
        <v>82</v>
      </c>
      <c r="S3003">
        <v>1</v>
      </c>
      <c r="T3003">
        <v>5</v>
      </c>
      <c r="U3003">
        <v>8</v>
      </c>
      <c r="V3003">
        <v>2</v>
      </c>
      <c r="W3003">
        <v>8</v>
      </c>
      <c r="X3003">
        <v>111</v>
      </c>
      <c r="Y3003">
        <v>6</v>
      </c>
      <c r="Z3003">
        <v>2</v>
      </c>
      <c r="AA3003">
        <v>7</v>
      </c>
      <c r="AB3003">
        <v>2</v>
      </c>
      <c r="AD3003">
        <v>4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8</v>
      </c>
      <c r="AK3003">
        <v>252</v>
      </c>
      <c r="AL3003">
        <v>252</v>
      </c>
      <c r="AM3003">
        <v>739</v>
      </c>
      <c r="AN3003">
        <v>44</v>
      </c>
      <c r="AP3003">
        <v>1</v>
      </c>
      <c r="AR3003" t="s">
        <v>3098</v>
      </c>
      <c r="AS3003" s="1">
        <v>44354.01458333333</v>
      </c>
      <c r="AT3003" s="1">
        <v>44354.022152777776</v>
      </c>
      <c r="AU3003" s="1">
        <v>44354.022673611114</v>
      </c>
      <c r="AV3003" t="s">
        <v>71</v>
      </c>
      <c r="AW3003" t="s">
        <v>72</v>
      </c>
      <c r="AX3003" t="s">
        <v>73</v>
      </c>
    </row>
    <row r="3004" spans="1:50" x14ac:dyDescent="0.3">
      <c r="A3004" t="str">
        <f>"201786E0100"</f>
        <v>201786E0100</v>
      </c>
      <c r="B3004" t="str">
        <f>"201786E01002"</f>
        <v>201786E01002</v>
      </c>
      <c r="C3004" t="str">
        <f t="shared" si="143"/>
        <v>20</v>
      </c>
      <c r="D3004" t="s">
        <v>67</v>
      </c>
      <c r="E3004" t="str">
        <f t="shared" si="142"/>
        <v>013</v>
      </c>
      <c r="F3004" t="s">
        <v>2914</v>
      </c>
      <c r="G3004" t="str">
        <f t="shared" si="145"/>
        <v>1786</v>
      </c>
      <c r="H3004" t="str">
        <f>"0001"</f>
        <v>0001</v>
      </c>
      <c r="I3004" t="s">
        <v>109</v>
      </c>
      <c r="J3004">
        <v>0</v>
      </c>
      <c r="K3004">
        <v>1</v>
      </c>
      <c r="L3004">
        <v>2</v>
      </c>
      <c r="M3004">
        <v>506</v>
      </c>
      <c r="N3004">
        <v>157</v>
      </c>
      <c r="O3004">
        <v>5</v>
      </c>
      <c r="P3004">
        <v>157</v>
      </c>
      <c r="Q3004">
        <v>4</v>
      </c>
      <c r="R3004">
        <v>45</v>
      </c>
      <c r="S3004">
        <v>4</v>
      </c>
      <c r="T3004">
        <v>2</v>
      </c>
      <c r="U3004">
        <v>13</v>
      </c>
      <c r="V3004">
        <v>2</v>
      </c>
      <c r="W3004">
        <v>0</v>
      </c>
      <c r="X3004">
        <v>67</v>
      </c>
      <c r="Y3004">
        <v>6</v>
      </c>
      <c r="Z3004">
        <v>2</v>
      </c>
      <c r="AA3004">
        <v>3</v>
      </c>
      <c r="AB3004">
        <v>2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7</v>
      </c>
      <c r="AK3004">
        <v>157</v>
      </c>
      <c r="AL3004">
        <v>157</v>
      </c>
      <c r="AM3004">
        <v>619</v>
      </c>
      <c r="AN3004">
        <v>44</v>
      </c>
      <c r="AP3004">
        <v>1</v>
      </c>
      <c r="AR3004" t="s">
        <v>3099</v>
      </c>
      <c r="AS3004" s="1">
        <v>44353.854166666664</v>
      </c>
      <c r="AT3004" s="1">
        <v>44354.065798611111</v>
      </c>
      <c r="AU3004" s="1">
        <v>44354.066296296296</v>
      </c>
      <c r="AV3004" t="s">
        <v>71</v>
      </c>
      <c r="AW3004" t="s">
        <v>72</v>
      </c>
      <c r="AX3004" t="s">
        <v>73</v>
      </c>
    </row>
    <row r="3005" spans="1:50" x14ac:dyDescent="0.3">
      <c r="A3005" t="str">
        <f>"201786E0200"</f>
        <v>201786E0200</v>
      </c>
      <c r="B3005" t="str">
        <f>"201786E02002"</f>
        <v>201786E02002</v>
      </c>
      <c r="C3005" t="str">
        <f t="shared" si="143"/>
        <v>20</v>
      </c>
      <c r="D3005" t="s">
        <v>67</v>
      </c>
      <c r="E3005" t="str">
        <f t="shared" si="142"/>
        <v>013</v>
      </c>
      <c r="F3005" t="s">
        <v>2914</v>
      </c>
      <c r="G3005" t="str">
        <f t="shared" si="145"/>
        <v>1786</v>
      </c>
      <c r="H3005" t="str">
        <f>"0002"</f>
        <v>0002</v>
      </c>
      <c r="I3005" t="s">
        <v>109</v>
      </c>
      <c r="J3005">
        <v>0</v>
      </c>
      <c r="K3005">
        <v>1</v>
      </c>
      <c r="L3005">
        <v>2</v>
      </c>
      <c r="M3005">
        <v>325</v>
      </c>
      <c r="N3005">
        <v>228</v>
      </c>
      <c r="O3005">
        <v>5</v>
      </c>
      <c r="P3005">
        <v>235</v>
      </c>
      <c r="Q3005">
        <v>14</v>
      </c>
      <c r="R3005">
        <v>49</v>
      </c>
      <c r="S3005">
        <v>4</v>
      </c>
      <c r="T3005">
        <v>2</v>
      </c>
      <c r="U3005">
        <v>11</v>
      </c>
      <c r="V3005">
        <v>4</v>
      </c>
      <c r="W3005">
        <v>4</v>
      </c>
      <c r="X3005">
        <v>115</v>
      </c>
      <c r="Y3005">
        <v>2</v>
      </c>
      <c r="Z3005">
        <v>7</v>
      </c>
      <c r="AA3005">
        <v>4</v>
      </c>
      <c r="AB3005">
        <v>6</v>
      </c>
      <c r="AD3005">
        <v>1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12</v>
      </c>
      <c r="AK3005">
        <v>235</v>
      </c>
      <c r="AL3005">
        <v>235</v>
      </c>
      <c r="AM3005">
        <v>516</v>
      </c>
      <c r="AN3005">
        <v>44</v>
      </c>
      <c r="AP3005">
        <v>1</v>
      </c>
      <c r="AR3005" t="s">
        <v>3100</v>
      </c>
      <c r="AS3005" s="1">
        <v>44354.013888888891</v>
      </c>
      <c r="AT3005" s="1">
        <v>44354.022662037038</v>
      </c>
      <c r="AU3005" s="1">
        <v>44354.023194444446</v>
      </c>
      <c r="AV3005" t="s">
        <v>71</v>
      </c>
      <c r="AW3005" t="s">
        <v>72</v>
      </c>
      <c r="AX3005" t="s">
        <v>73</v>
      </c>
    </row>
    <row r="3006" spans="1:50" x14ac:dyDescent="0.3">
      <c r="A3006" t="str">
        <f>"201786E0201"</f>
        <v>201786E0201</v>
      </c>
      <c r="B3006" t="str">
        <f>"201786E02012"</f>
        <v>201786E02012</v>
      </c>
      <c r="C3006" t="str">
        <f t="shared" si="143"/>
        <v>20</v>
      </c>
      <c r="D3006" t="s">
        <v>67</v>
      </c>
      <c r="E3006" t="str">
        <f t="shared" si="142"/>
        <v>013</v>
      </c>
      <c r="F3006" t="s">
        <v>2914</v>
      </c>
      <c r="G3006" t="str">
        <f t="shared" si="145"/>
        <v>1786</v>
      </c>
      <c r="H3006" t="str">
        <f>"0002"</f>
        <v>0002</v>
      </c>
      <c r="I3006" t="s">
        <v>109</v>
      </c>
      <c r="J3006">
        <v>1</v>
      </c>
      <c r="K3006">
        <v>1</v>
      </c>
      <c r="L3006">
        <v>2</v>
      </c>
      <c r="M3006">
        <v>326</v>
      </c>
      <c r="N3006">
        <v>233</v>
      </c>
      <c r="O3006">
        <v>5</v>
      </c>
      <c r="P3006">
        <v>233</v>
      </c>
      <c r="Q3006">
        <v>5</v>
      </c>
      <c r="R3006">
        <v>41</v>
      </c>
      <c r="S3006">
        <v>2</v>
      </c>
      <c r="T3006">
        <v>4</v>
      </c>
      <c r="U3006">
        <v>17</v>
      </c>
      <c r="V3006">
        <v>4</v>
      </c>
      <c r="W3006">
        <v>0</v>
      </c>
      <c r="X3006">
        <v>119</v>
      </c>
      <c r="Y3006">
        <v>2</v>
      </c>
      <c r="Z3006">
        <v>8</v>
      </c>
      <c r="AA3006">
        <v>5</v>
      </c>
      <c r="AB3006">
        <v>8</v>
      </c>
      <c r="AD3006">
        <v>0</v>
      </c>
      <c r="AE3006">
        <v>2</v>
      </c>
      <c r="AF3006">
        <v>0</v>
      </c>
      <c r="AG3006">
        <v>0</v>
      </c>
      <c r="AH3006">
        <v>0</v>
      </c>
      <c r="AI3006">
        <v>0</v>
      </c>
      <c r="AJ3006">
        <v>16</v>
      </c>
      <c r="AK3006">
        <v>233</v>
      </c>
      <c r="AL3006">
        <v>233</v>
      </c>
      <c r="AM3006">
        <v>515</v>
      </c>
      <c r="AN3006">
        <v>44</v>
      </c>
      <c r="AP3006">
        <v>1</v>
      </c>
      <c r="AR3006" t="s">
        <v>3101</v>
      </c>
      <c r="AS3006" s="1">
        <v>44354.04583333333</v>
      </c>
      <c r="AT3006" s="1">
        <v>44354.058356481481</v>
      </c>
      <c r="AU3006" s="1">
        <v>44354.05878472222</v>
      </c>
      <c r="AV3006" t="s">
        <v>71</v>
      </c>
      <c r="AW3006" t="s">
        <v>72</v>
      </c>
      <c r="AX3006" t="s">
        <v>73</v>
      </c>
    </row>
    <row r="3007" spans="1:50" x14ac:dyDescent="0.3">
      <c r="A3007" t="str">
        <f>"201786E0202"</f>
        <v>201786E0202</v>
      </c>
      <c r="B3007" t="str">
        <f>"201786E02022"</f>
        <v>201786E02022</v>
      </c>
      <c r="C3007" t="str">
        <f t="shared" si="143"/>
        <v>20</v>
      </c>
      <c r="D3007" t="s">
        <v>67</v>
      </c>
      <c r="E3007" t="str">
        <f t="shared" si="142"/>
        <v>013</v>
      </c>
      <c r="F3007" t="s">
        <v>2914</v>
      </c>
      <c r="G3007" t="str">
        <f t="shared" si="145"/>
        <v>1786</v>
      </c>
      <c r="H3007" t="str">
        <f>"0002"</f>
        <v>0002</v>
      </c>
      <c r="I3007" t="s">
        <v>109</v>
      </c>
      <c r="J3007">
        <v>2</v>
      </c>
      <c r="K3007">
        <v>1</v>
      </c>
      <c r="L3007">
        <v>2</v>
      </c>
      <c r="M3007">
        <v>345</v>
      </c>
      <c r="N3007">
        <v>214</v>
      </c>
      <c r="O3007">
        <v>7</v>
      </c>
      <c r="P3007">
        <v>214</v>
      </c>
      <c r="Q3007">
        <v>10</v>
      </c>
      <c r="R3007">
        <v>29</v>
      </c>
      <c r="S3007">
        <v>1</v>
      </c>
      <c r="T3007">
        <v>2</v>
      </c>
      <c r="U3007">
        <v>11</v>
      </c>
      <c r="V3007">
        <v>6</v>
      </c>
      <c r="W3007">
        <v>2</v>
      </c>
      <c r="X3007">
        <v>119</v>
      </c>
      <c r="Y3007">
        <v>5</v>
      </c>
      <c r="Z3007">
        <v>11</v>
      </c>
      <c r="AA3007">
        <v>2</v>
      </c>
      <c r="AB3007">
        <v>3</v>
      </c>
      <c r="AD3007">
        <v>1</v>
      </c>
      <c r="AE3007">
        <v>0</v>
      </c>
      <c r="AF3007">
        <v>1</v>
      </c>
      <c r="AG3007">
        <v>1</v>
      </c>
      <c r="AH3007">
        <v>0</v>
      </c>
      <c r="AI3007">
        <v>0</v>
      </c>
      <c r="AJ3007">
        <v>10</v>
      </c>
      <c r="AK3007">
        <v>214</v>
      </c>
      <c r="AL3007">
        <v>214</v>
      </c>
      <c r="AM3007">
        <v>515</v>
      </c>
      <c r="AN3007">
        <v>44</v>
      </c>
      <c r="AP3007">
        <v>1</v>
      </c>
      <c r="AR3007" t="s">
        <v>3102</v>
      </c>
      <c r="AS3007" s="1">
        <v>44354.009027777778</v>
      </c>
      <c r="AT3007" s="1">
        <v>44354.016319444447</v>
      </c>
      <c r="AU3007" s="1">
        <v>44354.016932870371</v>
      </c>
      <c r="AV3007" t="s">
        <v>71</v>
      </c>
      <c r="AW3007" t="s">
        <v>72</v>
      </c>
      <c r="AX3007" t="s">
        <v>73</v>
      </c>
    </row>
    <row r="3008" spans="1:50" x14ac:dyDescent="0.3">
      <c r="A3008" t="str">
        <f>"202480B0000"</f>
        <v>202480B0000</v>
      </c>
      <c r="B3008" t="str">
        <f>"202480B00002"</f>
        <v>202480B00002</v>
      </c>
      <c r="C3008" t="str">
        <f t="shared" si="143"/>
        <v>20</v>
      </c>
      <c r="D3008" t="s">
        <v>67</v>
      </c>
      <c r="E3008" t="str">
        <f t="shared" si="142"/>
        <v>013</v>
      </c>
      <c r="F3008" t="s">
        <v>2914</v>
      </c>
      <c r="G3008" t="str">
        <f>"2480"</f>
        <v>2480</v>
      </c>
      <c r="H3008" t="str">
        <f>"0000"</f>
        <v>0000</v>
      </c>
      <c r="I3008" t="s">
        <v>69</v>
      </c>
      <c r="J3008">
        <v>0</v>
      </c>
      <c r="K3008">
        <v>1</v>
      </c>
      <c r="L3008">
        <v>2</v>
      </c>
      <c r="M3008">
        <v>373</v>
      </c>
      <c r="N3008">
        <v>267</v>
      </c>
      <c r="O3008">
        <v>6</v>
      </c>
      <c r="P3008">
        <v>266</v>
      </c>
      <c r="Q3008">
        <v>9</v>
      </c>
      <c r="R3008">
        <v>68</v>
      </c>
      <c r="S3008">
        <v>1</v>
      </c>
      <c r="T3008">
        <v>5</v>
      </c>
      <c r="U3008">
        <v>8</v>
      </c>
      <c r="V3008">
        <v>4</v>
      </c>
      <c r="W3008">
        <v>2</v>
      </c>
      <c r="X3008">
        <v>153</v>
      </c>
      <c r="Y3008">
        <v>1</v>
      </c>
      <c r="Z3008">
        <v>2</v>
      </c>
      <c r="AA3008">
        <v>1</v>
      </c>
      <c r="AB3008">
        <v>5</v>
      </c>
      <c r="AD3008">
        <v>0</v>
      </c>
      <c r="AE3008">
        <v>1</v>
      </c>
      <c r="AF3008">
        <v>0</v>
      </c>
      <c r="AG3008">
        <v>0</v>
      </c>
      <c r="AH3008">
        <v>0</v>
      </c>
      <c r="AI3008">
        <v>0</v>
      </c>
      <c r="AJ3008">
        <v>6</v>
      </c>
      <c r="AK3008">
        <v>266</v>
      </c>
      <c r="AL3008">
        <v>266</v>
      </c>
      <c r="AM3008">
        <v>597</v>
      </c>
      <c r="AN3008">
        <v>44</v>
      </c>
      <c r="AP3008">
        <v>1</v>
      </c>
      <c r="AR3008" t="s">
        <v>3103</v>
      </c>
      <c r="AS3008" s="1">
        <v>44354.074999999997</v>
      </c>
      <c r="AT3008" s="1">
        <v>44354.082314814812</v>
      </c>
      <c r="AU3008" s="1">
        <v>44354.082997685182</v>
      </c>
      <c r="AV3008" t="s">
        <v>71</v>
      </c>
      <c r="AW3008" t="s">
        <v>72</v>
      </c>
      <c r="AX3008" t="s">
        <v>73</v>
      </c>
    </row>
    <row r="3009" spans="1:50" x14ac:dyDescent="0.3">
      <c r="A3009" t="str">
        <f>"202480C0100"</f>
        <v>202480C0100</v>
      </c>
      <c r="B3009" t="str">
        <f>"202480C01002"</f>
        <v>202480C01002</v>
      </c>
      <c r="C3009" t="str">
        <f t="shared" si="143"/>
        <v>20</v>
      </c>
      <c r="D3009" t="s">
        <v>67</v>
      </c>
      <c r="E3009" t="str">
        <f t="shared" si="142"/>
        <v>013</v>
      </c>
      <c r="F3009" t="s">
        <v>2914</v>
      </c>
      <c r="G3009" t="str">
        <f>"2480"</f>
        <v>2480</v>
      </c>
      <c r="H3009" t="str">
        <f>"0001"</f>
        <v>0001</v>
      </c>
      <c r="I3009" t="s">
        <v>75</v>
      </c>
      <c r="J3009">
        <v>0</v>
      </c>
      <c r="K3009">
        <v>1</v>
      </c>
      <c r="L3009">
        <v>2</v>
      </c>
      <c r="M3009">
        <v>405</v>
      </c>
      <c r="N3009">
        <v>236</v>
      </c>
      <c r="O3009">
        <v>8</v>
      </c>
      <c r="P3009">
        <v>237</v>
      </c>
      <c r="Q3009">
        <v>7</v>
      </c>
      <c r="R3009">
        <v>43</v>
      </c>
      <c r="S3009">
        <v>1</v>
      </c>
      <c r="T3009">
        <v>1</v>
      </c>
      <c r="U3009">
        <v>8</v>
      </c>
      <c r="V3009">
        <v>6</v>
      </c>
      <c r="W3009">
        <v>3</v>
      </c>
      <c r="X3009">
        <v>142</v>
      </c>
      <c r="Y3009">
        <v>4</v>
      </c>
      <c r="Z3009">
        <v>5</v>
      </c>
      <c r="AA3009">
        <v>2</v>
      </c>
      <c r="AB3009">
        <v>4</v>
      </c>
      <c r="AD3009">
        <v>0</v>
      </c>
      <c r="AE3009">
        <v>0</v>
      </c>
      <c r="AF3009">
        <v>1</v>
      </c>
      <c r="AG3009">
        <v>0</v>
      </c>
      <c r="AH3009">
        <v>0</v>
      </c>
      <c r="AI3009">
        <v>0</v>
      </c>
      <c r="AJ3009">
        <v>8</v>
      </c>
      <c r="AK3009">
        <v>237</v>
      </c>
      <c r="AL3009">
        <v>235</v>
      </c>
      <c r="AM3009">
        <v>597</v>
      </c>
      <c r="AN3009">
        <v>44</v>
      </c>
      <c r="AP3009">
        <v>1</v>
      </c>
      <c r="AR3009" t="s">
        <v>3104</v>
      </c>
      <c r="AS3009" s="1">
        <v>44354.286111111112</v>
      </c>
      <c r="AT3009" s="1">
        <v>44354.287210648145</v>
      </c>
      <c r="AU3009" s="1">
        <v>44354.287708333337</v>
      </c>
      <c r="AV3009" t="s">
        <v>71</v>
      </c>
      <c r="AW3009" t="s">
        <v>72</v>
      </c>
      <c r="AX3009" t="s">
        <v>347</v>
      </c>
    </row>
    <row r="3010" spans="1:50" x14ac:dyDescent="0.3">
      <c r="A3010" t="str">
        <f>"202480C0200"</f>
        <v>202480C0200</v>
      </c>
      <c r="B3010" t="str">
        <f>"202480C02002"</f>
        <v>202480C02002</v>
      </c>
      <c r="C3010" t="str">
        <f t="shared" si="143"/>
        <v>20</v>
      </c>
      <c r="D3010" t="s">
        <v>67</v>
      </c>
      <c r="E3010" t="str">
        <f t="shared" si="142"/>
        <v>013</v>
      </c>
      <c r="F3010" t="s">
        <v>2914</v>
      </c>
      <c r="G3010" t="str">
        <f>"2480"</f>
        <v>2480</v>
      </c>
      <c r="H3010" t="str">
        <f>"0002"</f>
        <v>0002</v>
      </c>
      <c r="I3010" t="s">
        <v>75</v>
      </c>
      <c r="J3010">
        <v>0</v>
      </c>
      <c r="K3010">
        <v>1</v>
      </c>
      <c r="L3010">
        <v>2</v>
      </c>
      <c r="M3010">
        <v>404</v>
      </c>
      <c r="N3010">
        <v>237</v>
      </c>
      <c r="O3010">
        <v>8</v>
      </c>
      <c r="P3010">
        <v>236</v>
      </c>
      <c r="Q3010">
        <v>6</v>
      </c>
      <c r="R3010">
        <v>60</v>
      </c>
      <c r="S3010">
        <v>2</v>
      </c>
      <c r="T3010">
        <v>3</v>
      </c>
      <c r="U3010">
        <v>11</v>
      </c>
      <c r="V3010">
        <v>0</v>
      </c>
      <c r="W3010">
        <v>0</v>
      </c>
      <c r="X3010">
        <v>134</v>
      </c>
      <c r="Y3010">
        <v>1</v>
      </c>
      <c r="Z3010">
        <v>4</v>
      </c>
      <c r="AA3010">
        <v>2</v>
      </c>
      <c r="AB3010">
        <v>3</v>
      </c>
      <c r="AD3010">
        <v>2</v>
      </c>
      <c r="AE3010">
        <v>1</v>
      </c>
      <c r="AF3010">
        <v>0</v>
      </c>
      <c r="AG3010">
        <v>1</v>
      </c>
      <c r="AH3010">
        <v>0</v>
      </c>
      <c r="AI3010">
        <v>0</v>
      </c>
      <c r="AJ3010">
        <v>6</v>
      </c>
      <c r="AK3010">
        <v>236</v>
      </c>
      <c r="AL3010">
        <v>236</v>
      </c>
      <c r="AM3010">
        <v>597</v>
      </c>
      <c r="AN3010">
        <v>44</v>
      </c>
      <c r="AP3010">
        <v>1</v>
      </c>
      <c r="AR3010" t="s">
        <v>3105</v>
      </c>
      <c r="AS3010" s="1">
        <v>44353.833333333336</v>
      </c>
      <c r="AT3010" s="1">
        <v>44354.096828703703</v>
      </c>
      <c r="AU3010" s="1">
        <v>44354.097326388888</v>
      </c>
      <c r="AV3010" t="s">
        <v>71</v>
      </c>
      <c r="AW3010" t="s">
        <v>72</v>
      </c>
      <c r="AX3010" t="s">
        <v>73</v>
      </c>
    </row>
    <row r="3011" spans="1:50" x14ac:dyDescent="0.3">
      <c r="A3011" t="str">
        <f>"202480C0300"</f>
        <v>202480C0300</v>
      </c>
      <c r="B3011" t="str">
        <f>"202480C03002"</f>
        <v>202480C03002</v>
      </c>
      <c r="C3011" t="str">
        <f t="shared" si="143"/>
        <v>20</v>
      </c>
      <c r="D3011" t="s">
        <v>67</v>
      </c>
      <c r="E3011" t="str">
        <f t="shared" si="142"/>
        <v>013</v>
      </c>
      <c r="F3011" t="s">
        <v>2914</v>
      </c>
      <c r="G3011" t="str">
        <f>"2480"</f>
        <v>2480</v>
      </c>
      <c r="H3011" t="str">
        <f>"0003"</f>
        <v>0003</v>
      </c>
      <c r="I3011" t="s">
        <v>75</v>
      </c>
      <c r="J3011">
        <v>0</v>
      </c>
      <c r="K3011">
        <v>1</v>
      </c>
      <c r="L3011">
        <v>2</v>
      </c>
      <c r="M3011">
        <v>407</v>
      </c>
      <c r="N3011">
        <v>234</v>
      </c>
      <c r="O3011">
        <v>6</v>
      </c>
      <c r="P3011">
        <v>235</v>
      </c>
      <c r="Q3011">
        <v>7</v>
      </c>
      <c r="R3011">
        <v>46</v>
      </c>
      <c r="S3011">
        <v>1</v>
      </c>
      <c r="T3011">
        <v>4</v>
      </c>
      <c r="U3011">
        <v>15</v>
      </c>
      <c r="V3011">
        <v>2</v>
      </c>
      <c r="W3011">
        <v>5</v>
      </c>
      <c r="X3011">
        <v>128</v>
      </c>
      <c r="Y3011">
        <v>4</v>
      </c>
      <c r="Z3011">
        <v>5</v>
      </c>
      <c r="AA3011">
        <v>0</v>
      </c>
      <c r="AB3011">
        <v>10</v>
      </c>
      <c r="AD3011">
        <v>2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6</v>
      </c>
      <c r="AK3011">
        <v>235</v>
      </c>
      <c r="AL3011">
        <v>235</v>
      </c>
      <c r="AM3011">
        <v>597</v>
      </c>
      <c r="AN3011">
        <v>44</v>
      </c>
      <c r="AP3011">
        <v>1</v>
      </c>
      <c r="AR3011" t="s">
        <v>3106</v>
      </c>
      <c r="AS3011" s="1">
        <v>44354.089583333334</v>
      </c>
      <c r="AT3011" s="1">
        <v>44354.102314814816</v>
      </c>
      <c r="AU3011" s="1">
        <v>44354.103067129632</v>
      </c>
      <c r="AV3011" t="s">
        <v>71</v>
      </c>
      <c r="AW3011" t="s">
        <v>72</v>
      </c>
      <c r="AX3011" t="s">
        <v>73</v>
      </c>
    </row>
    <row r="3012" spans="1:50" x14ac:dyDescent="0.3">
      <c r="A3012" t="str">
        <f>"202481B0000"</f>
        <v>202481B0000</v>
      </c>
      <c r="B3012" t="str">
        <f>"202481B00002"</f>
        <v>202481B00002</v>
      </c>
      <c r="C3012" t="str">
        <f t="shared" si="143"/>
        <v>20</v>
      </c>
      <c r="D3012" t="s">
        <v>67</v>
      </c>
      <c r="E3012" t="str">
        <f t="shared" ref="E3012:E3042" si="146">"013"</f>
        <v>013</v>
      </c>
      <c r="F3012" t="s">
        <v>2914</v>
      </c>
      <c r="G3012" t="str">
        <f>"2481"</f>
        <v>2481</v>
      </c>
      <c r="H3012" t="str">
        <f>"0000"</f>
        <v>0000</v>
      </c>
      <c r="I3012" t="s">
        <v>69</v>
      </c>
      <c r="J3012">
        <v>0</v>
      </c>
      <c r="K3012">
        <v>1</v>
      </c>
      <c r="L3012">
        <v>2</v>
      </c>
      <c r="M3012">
        <v>302</v>
      </c>
      <c r="N3012">
        <v>318</v>
      </c>
      <c r="O3012">
        <v>9</v>
      </c>
      <c r="P3012">
        <v>318</v>
      </c>
      <c r="Q3012">
        <v>19</v>
      </c>
      <c r="R3012">
        <v>62</v>
      </c>
      <c r="S3012">
        <v>3</v>
      </c>
      <c r="T3012">
        <v>6</v>
      </c>
      <c r="U3012">
        <v>10</v>
      </c>
      <c r="V3012">
        <v>10</v>
      </c>
      <c r="W3012">
        <v>2</v>
      </c>
      <c r="X3012">
        <v>174</v>
      </c>
      <c r="Y3012">
        <v>3</v>
      </c>
      <c r="Z3012">
        <v>7</v>
      </c>
      <c r="AA3012">
        <v>7</v>
      </c>
      <c r="AB3012">
        <v>5</v>
      </c>
      <c r="AD3012">
        <v>1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9</v>
      </c>
      <c r="AK3012">
        <v>318</v>
      </c>
      <c r="AL3012">
        <v>318</v>
      </c>
      <c r="AM3012">
        <v>576</v>
      </c>
      <c r="AN3012">
        <v>44</v>
      </c>
      <c r="AP3012">
        <v>1</v>
      </c>
      <c r="AR3012" t="s">
        <v>3107</v>
      </c>
      <c r="AS3012" s="1">
        <v>44354.290277777778</v>
      </c>
      <c r="AT3012" s="1">
        <v>44354.29146990741</v>
      </c>
      <c r="AU3012" s="1">
        <v>44354.292164351849</v>
      </c>
      <c r="AV3012" t="s">
        <v>71</v>
      </c>
      <c r="AW3012" t="s">
        <v>72</v>
      </c>
      <c r="AX3012" t="s">
        <v>347</v>
      </c>
    </row>
    <row r="3013" spans="1:50" x14ac:dyDescent="0.3">
      <c r="A3013" t="str">
        <f>"202481C0100"</f>
        <v>202481C0100</v>
      </c>
      <c r="B3013" t="str">
        <f>"202481C01002"</f>
        <v>202481C01002</v>
      </c>
      <c r="C3013" t="str">
        <f t="shared" si="143"/>
        <v>20</v>
      </c>
      <c r="D3013" t="s">
        <v>67</v>
      </c>
      <c r="E3013" t="str">
        <f t="shared" si="146"/>
        <v>013</v>
      </c>
      <c r="F3013" t="s">
        <v>2914</v>
      </c>
      <c r="G3013" t="str">
        <f>"2481"</f>
        <v>2481</v>
      </c>
      <c r="H3013" t="str">
        <f>"0001"</f>
        <v>0001</v>
      </c>
      <c r="I3013" t="s">
        <v>75</v>
      </c>
      <c r="J3013">
        <v>0</v>
      </c>
      <c r="K3013">
        <v>1</v>
      </c>
      <c r="L3013">
        <v>2</v>
      </c>
      <c r="M3013">
        <v>310</v>
      </c>
      <c r="N3013">
        <v>310</v>
      </c>
      <c r="O3013">
        <v>3</v>
      </c>
      <c r="P3013">
        <v>310</v>
      </c>
      <c r="Q3013">
        <v>12</v>
      </c>
      <c r="R3013">
        <v>67</v>
      </c>
      <c r="S3013">
        <v>2</v>
      </c>
      <c r="T3013">
        <v>4</v>
      </c>
      <c r="U3013">
        <v>12</v>
      </c>
      <c r="V3013">
        <v>8</v>
      </c>
      <c r="W3013">
        <v>3</v>
      </c>
      <c r="X3013">
        <v>170</v>
      </c>
      <c r="Y3013">
        <v>3</v>
      </c>
      <c r="Z3013">
        <v>8</v>
      </c>
      <c r="AA3013">
        <v>7</v>
      </c>
      <c r="AB3013">
        <v>6</v>
      </c>
      <c r="AD3013">
        <v>2</v>
      </c>
      <c r="AE3013">
        <v>1</v>
      </c>
      <c r="AF3013">
        <v>0</v>
      </c>
      <c r="AG3013">
        <v>0</v>
      </c>
      <c r="AH3013">
        <v>0</v>
      </c>
      <c r="AI3013">
        <v>1</v>
      </c>
      <c r="AJ3013">
        <v>4</v>
      </c>
      <c r="AK3013">
        <v>310</v>
      </c>
      <c r="AL3013">
        <v>310</v>
      </c>
      <c r="AM3013">
        <v>576</v>
      </c>
      <c r="AN3013">
        <v>44</v>
      </c>
      <c r="AP3013">
        <v>1</v>
      </c>
      <c r="AR3013" t="s">
        <v>3108</v>
      </c>
      <c r="AS3013" s="1">
        <v>44354.287499999999</v>
      </c>
      <c r="AT3013" s="1">
        <v>44354.289201388892</v>
      </c>
      <c r="AU3013" s="1">
        <v>44354.289861111109</v>
      </c>
      <c r="AV3013" t="s">
        <v>71</v>
      </c>
      <c r="AW3013" t="s">
        <v>72</v>
      </c>
      <c r="AX3013" t="s">
        <v>347</v>
      </c>
    </row>
    <row r="3014" spans="1:50" x14ac:dyDescent="0.3">
      <c r="A3014" t="str">
        <f>"202481C0200"</f>
        <v>202481C0200</v>
      </c>
      <c r="B3014" t="str">
        <f>"202481C02002"</f>
        <v>202481C02002</v>
      </c>
      <c r="C3014" t="str">
        <f t="shared" si="143"/>
        <v>20</v>
      </c>
      <c r="D3014" t="s">
        <v>67</v>
      </c>
      <c r="E3014" t="str">
        <f t="shared" si="146"/>
        <v>013</v>
      </c>
      <c r="F3014" t="s">
        <v>2914</v>
      </c>
      <c r="G3014" t="str">
        <f>"2481"</f>
        <v>2481</v>
      </c>
      <c r="H3014" t="str">
        <f>"0002"</f>
        <v>0002</v>
      </c>
      <c r="I3014" t="s">
        <v>75</v>
      </c>
      <c r="J3014">
        <v>0</v>
      </c>
      <c r="K3014">
        <v>1</v>
      </c>
      <c r="L3014">
        <v>2</v>
      </c>
      <c r="M3014">
        <v>324</v>
      </c>
      <c r="N3014">
        <v>296</v>
      </c>
      <c r="O3014">
        <v>9</v>
      </c>
      <c r="P3014" t="s">
        <v>80</v>
      </c>
      <c r="Q3014">
        <v>20</v>
      </c>
      <c r="R3014">
        <v>62</v>
      </c>
      <c r="S3014">
        <v>2</v>
      </c>
      <c r="T3014">
        <v>8</v>
      </c>
      <c r="U3014">
        <v>8</v>
      </c>
      <c r="V3014">
        <v>9</v>
      </c>
      <c r="W3014">
        <v>1</v>
      </c>
      <c r="X3014">
        <v>145</v>
      </c>
      <c r="Y3014">
        <v>5</v>
      </c>
      <c r="Z3014">
        <v>7</v>
      </c>
      <c r="AA3014">
        <v>5</v>
      </c>
      <c r="AB3014">
        <v>13</v>
      </c>
      <c r="AD3014">
        <v>3</v>
      </c>
      <c r="AE3014">
        <v>0</v>
      </c>
      <c r="AF3014">
        <v>0</v>
      </c>
      <c r="AG3014">
        <v>0</v>
      </c>
      <c r="AH3014">
        <v>1</v>
      </c>
      <c r="AI3014">
        <v>0</v>
      </c>
      <c r="AJ3014">
        <v>7</v>
      </c>
      <c r="AK3014">
        <v>296</v>
      </c>
      <c r="AL3014">
        <v>296</v>
      </c>
      <c r="AM3014">
        <v>576</v>
      </c>
      <c r="AN3014">
        <v>44</v>
      </c>
      <c r="AP3014">
        <v>1</v>
      </c>
      <c r="AR3014" t="s">
        <v>3109</v>
      </c>
      <c r="AS3014" s="1">
        <v>44354.022222222222</v>
      </c>
      <c r="AT3014" s="1">
        <v>44354.031469907408</v>
      </c>
      <c r="AU3014" s="1">
        <v>44354.032060185185</v>
      </c>
      <c r="AV3014" t="s">
        <v>71</v>
      </c>
      <c r="AW3014" t="s">
        <v>72</v>
      </c>
      <c r="AX3014" t="s">
        <v>73</v>
      </c>
    </row>
    <row r="3015" spans="1:50" x14ac:dyDescent="0.3">
      <c r="A3015" t="str">
        <f>"202481C0300"</f>
        <v>202481C0300</v>
      </c>
      <c r="B3015" t="str">
        <f>"202481C03002"</f>
        <v>202481C03002</v>
      </c>
      <c r="C3015" t="str">
        <f t="shared" ref="C3015:C3078" si="147">"20"</f>
        <v>20</v>
      </c>
      <c r="D3015" t="s">
        <v>67</v>
      </c>
      <c r="E3015" t="str">
        <f t="shared" si="146"/>
        <v>013</v>
      </c>
      <c r="F3015" t="s">
        <v>2914</v>
      </c>
      <c r="G3015" t="str">
        <f>"2481"</f>
        <v>2481</v>
      </c>
      <c r="H3015" t="str">
        <f>"0003"</f>
        <v>0003</v>
      </c>
      <c r="I3015" t="s">
        <v>75</v>
      </c>
      <c r="J3015">
        <v>0</v>
      </c>
      <c r="K3015">
        <v>1</v>
      </c>
      <c r="L3015">
        <v>2</v>
      </c>
      <c r="M3015">
        <v>304</v>
      </c>
      <c r="N3015">
        <v>316</v>
      </c>
      <c r="O3015">
        <v>6</v>
      </c>
      <c r="P3015">
        <v>315</v>
      </c>
      <c r="Q3015">
        <v>23</v>
      </c>
      <c r="R3015">
        <v>68</v>
      </c>
      <c r="S3015">
        <v>1</v>
      </c>
      <c r="T3015">
        <v>4</v>
      </c>
      <c r="U3015">
        <v>18</v>
      </c>
      <c r="V3015">
        <v>10</v>
      </c>
      <c r="W3015">
        <v>5</v>
      </c>
      <c r="X3015">
        <v>149</v>
      </c>
      <c r="Y3015">
        <v>2</v>
      </c>
      <c r="Z3015">
        <v>13</v>
      </c>
      <c r="AA3015">
        <v>2</v>
      </c>
      <c r="AB3015">
        <v>10</v>
      </c>
      <c r="AD3015">
        <v>2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8</v>
      </c>
      <c r="AK3015">
        <v>315</v>
      </c>
      <c r="AL3015">
        <v>315</v>
      </c>
      <c r="AM3015">
        <v>575</v>
      </c>
      <c r="AN3015">
        <v>44</v>
      </c>
      <c r="AP3015">
        <v>1</v>
      </c>
      <c r="AR3015" t="s">
        <v>3110</v>
      </c>
      <c r="AS3015" s="1">
        <v>44354.038194444445</v>
      </c>
      <c r="AT3015" s="1">
        <v>44354.051574074074</v>
      </c>
      <c r="AU3015" s="1">
        <v>44354.052557870367</v>
      </c>
      <c r="AV3015" t="s">
        <v>71</v>
      </c>
      <c r="AW3015" t="s">
        <v>72</v>
      </c>
      <c r="AX3015" t="s">
        <v>73</v>
      </c>
    </row>
    <row r="3016" spans="1:50" x14ac:dyDescent="0.3">
      <c r="A3016" t="str">
        <f>"202482B0000"</f>
        <v>202482B0000</v>
      </c>
      <c r="B3016" t="str">
        <f>"202482B00002"</f>
        <v>202482B00002</v>
      </c>
      <c r="C3016" t="str">
        <f t="shared" si="147"/>
        <v>20</v>
      </c>
      <c r="D3016" t="s">
        <v>67</v>
      </c>
      <c r="E3016" t="str">
        <f t="shared" si="146"/>
        <v>013</v>
      </c>
      <c r="F3016" t="s">
        <v>2914</v>
      </c>
      <c r="G3016" t="str">
        <f>"2482"</f>
        <v>2482</v>
      </c>
      <c r="H3016" t="str">
        <f>"0000"</f>
        <v>0000</v>
      </c>
      <c r="I3016" t="s">
        <v>69</v>
      </c>
      <c r="J3016">
        <v>0</v>
      </c>
      <c r="K3016">
        <v>1</v>
      </c>
      <c r="L3016">
        <v>2</v>
      </c>
      <c r="M3016">
        <v>318</v>
      </c>
      <c r="N3016">
        <v>454</v>
      </c>
      <c r="O3016">
        <v>9</v>
      </c>
      <c r="P3016">
        <v>454</v>
      </c>
      <c r="Q3016">
        <v>18</v>
      </c>
      <c r="R3016">
        <v>69</v>
      </c>
      <c r="S3016">
        <v>25</v>
      </c>
      <c r="T3016">
        <v>41</v>
      </c>
      <c r="U3016">
        <v>61</v>
      </c>
      <c r="V3016">
        <v>6</v>
      </c>
      <c r="W3016">
        <v>20</v>
      </c>
      <c r="X3016">
        <v>151</v>
      </c>
      <c r="Y3016">
        <v>3</v>
      </c>
      <c r="Z3016">
        <v>2</v>
      </c>
      <c r="AA3016">
        <v>15</v>
      </c>
      <c r="AB3016">
        <v>17</v>
      </c>
      <c r="AD3016">
        <v>3</v>
      </c>
      <c r="AE3016">
        <v>1</v>
      </c>
      <c r="AF3016">
        <v>0</v>
      </c>
      <c r="AG3016">
        <v>0</v>
      </c>
      <c r="AH3016">
        <v>0</v>
      </c>
      <c r="AI3016">
        <v>0</v>
      </c>
      <c r="AJ3016">
        <v>12</v>
      </c>
      <c r="AK3016">
        <v>454</v>
      </c>
      <c r="AL3016">
        <v>444</v>
      </c>
      <c r="AM3016">
        <v>728</v>
      </c>
      <c r="AN3016">
        <v>44</v>
      </c>
      <c r="AP3016">
        <v>1</v>
      </c>
      <c r="AR3016" t="s">
        <v>3111</v>
      </c>
      <c r="AS3016" s="1">
        <v>44354.051388888889</v>
      </c>
      <c r="AT3016" s="1">
        <v>44354.062430555554</v>
      </c>
      <c r="AU3016" s="1">
        <v>44354.0628125</v>
      </c>
      <c r="AV3016" t="s">
        <v>71</v>
      </c>
      <c r="AW3016" t="s">
        <v>72</v>
      </c>
      <c r="AX3016" t="s">
        <v>73</v>
      </c>
    </row>
    <row r="3017" spans="1:50" x14ac:dyDescent="0.3">
      <c r="A3017" t="str">
        <f>"202482C0100"</f>
        <v>202482C0100</v>
      </c>
      <c r="B3017" t="str">
        <f>"202482C01002"</f>
        <v>202482C01002</v>
      </c>
      <c r="C3017" t="str">
        <f t="shared" si="147"/>
        <v>20</v>
      </c>
      <c r="D3017" t="s">
        <v>67</v>
      </c>
      <c r="E3017" t="str">
        <f t="shared" si="146"/>
        <v>013</v>
      </c>
      <c r="F3017" t="s">
        <v>2914</v>
      </c>
      <c r="G3017" t="str">
        <f>"2482"</f>
        <v>2482</v>
      </c>
      <c r="H3017" t="str">
        <f>"0001"</f>
        <v>0001</v>
      </c>
      <c r="I3017" t="s">
        <v>75</v>
      </c>
      <c r="J3017">
        <v>0</v>
      </c>
      <c r="K3017">
        <v>1</v>
      </c>
      <c r="L3017">
        <v>2</v>
      </c>
      <c r="M3017">
        <v>357</v>
      </c>
      <c r="N3017">
        <v>415</v>
      </c>
      <c r="O3017">
        <v>6</v>
      </c>
      <c r="P3017">
        <v>414</v>
      </c>
      <c r="Q3017">
        <v>22</v>
      </c>
      <c r="R3017">
        <v>75</v>
      </c>
      <c r="S3017">
        <v>32</v>
      </c>
      <c r="T3017">
        <v>29</v>
      </c>
      <c r="U3017">
        <v>42</v>
      </c>
      <c r="V3017">
        <v>6</v>
      </c>
      <c r="W3017">
        <v>15</v>
      </c>
      <c r="X3017">
        <v>140</v>
      </c>
      <c r="Y3017">
        <v>5</v>
      </c>
      <c r="Z3017">
        <v>8</v>
      </c>
      <c r="AA3017">
        <v>5</v>
      </c>
      <c r="AB3017">
        <v>19</v>
      </c>
      <c r="AD3017">
        <v>0</v>
      </c>
      <c r="AE3017">
        <v>0</v>
      </c>
      <c r="AF3017">
        <v>1</v>
      </c>
      <c r="AG3017">
        <v>0</v>
      </c>
      <c r="AH3017">
        <v>0</v>
      </c>
      <c r="AI3017">
        <v>0</v>
      </c>
      <c r="AJ3017">
        <v>15</v>
      </c>
      <c r="AK3017">
        <v>414</v>
      </c>
      <c r="AL3017">
        <v>414</v>
      </c>
      <c r="AM3017">
        <v>728</v>
      </c>
      <c r="AN3017">
        <v>44</v>
      </c>
      <c r="AP3017">
        <v>1</v>
      </c>
      <c r="AR3017" t="s">
        <v>3112</v>
      </c>
      <c r="AS3017" s="1">
        <v>44354.087500000001</v>
      </c>
      <c r="AT3017" s="1">
        <v>44354.099756944444</v>
      </c>
      <c r="AU3017" s="1">
        <v>44354.100324074076</v>
      </c>
      <c r="AV3017" t="s">
        <v>71</v>
      </c>
      <c r="AW3017" t="s">
        <v>72</v>
      </c>
      <c r="AX3017" t="s">
        <v>73</v>
      </c>
    </row>
    <row r="3018" spans="1:50" x14ac:dyDescent="0.3">
      <c r="A3018" t="str">
        <f>"202482C0200"</f>
        <v>202482C0200</v>
      </c>
      <c r="B3018" t="str">
        <f>"202482C02002"</f>
        <v>202482C02002</v>
      </c>
      <c r="C3018" t="str">
        <f t="shared" si="147"/>
        <v>20</v>
      </c>
      <c r="D3018" t="s">
        <v>67</v>
      </c>
      <c r="E3018" t="str">
        <f t="shared" si="146"/>
        <v>013</v>
      </c>
      <c r="F3018" t="s">
        <v>2914</v>
      </c>
      <c r="G3018" t="str">
        <f>"2482"</f>
        <v>2482</v>
      </c>
      <c r="H3018" t="str">
        <f>"0002"</f>
        <v>0002</v>
      </c>
      <c r="I3018" t="s">
        <v>75</v>
      </c>
      <c r="J3018">
        <v>0</v>
      </c>
      <c r="K3018">
        <v>1</v>
      </c>
      <c r="L3018">
        <v>2</v>
      </c>
      <c r="M3018">
        <v>325</v>
      </c>
      <c r="N3018">
        <v>446</v>
      </c>
      <c r="O3018">
        <v>5</v>
      </c>
      <c r="P3018">
        <v>447</v>
      </c>
      <c r="Q3018">
        <v>18</v>
      </c>
      <c r="R3018">
        <v>88</v>
      </c>
      <c r="S3018">
        <v>30</v>
      </c>
      <c r="T3018">
        <v>32</v>
      </c>
      <c r="U3018">
        <v>72</v>
      </c>
      <c r="V3018">
        <v>4</v>
      </c>
      <c r="W3018">
        <v>13</v>
      </c>
      <c r="X3018">
        <v>136</v>
      </c>
      <c r="Y3018">
        <v>3</v>
      </c>
      <c r="Z3018">
        <v>13</v>
      </c>
      <c r="AA3018">
        <v>8</v>
      </c>
      <c r="AB3018">
        <v>14</v>
      </c>
      <c r="AD3018">
        <v>3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13</v>
      </c>
      <c r="AK3018">
        <v>447</v>
      </c>
      <c r="AL3018">
        <v>447</v>
      </c>
      <c r="AM3018">
        <v>727</v>
      </c>
      <c r="AN3018">
        <v>44</v>
      </c>
      <c r="AP3018">
        <v>1</v>
      </c>
      <c r="AR3018" t="s">
        <v>3113</v>
      </c>
      <c r="AS3018" s="1">
        <v>44353.952048611114</v>
      </c>
      <c r="AT3018" s="1">
        <v>44353.954212962963</v>
      </c>
      <c r="AU3018" s="1">
        <v>44353.956701388888</v>
      </c>
      <c r="AV3018" t="s">
        <v>269</v>
      </c>
      <c r="AW3018" t="s">
        <v>270</v>
      </c>
      <c r="AX3018" t="s">
        <v>73</v>
      </c>
    </row>
    <row r="3019" spans="1:50" x14ac:dyDescent="0.3">
      <c r="A3019" t="str">
        <f>"202483B0000"</f>
        <v>202483B0000</v>
      </c>
      <c r="B3019" t="str">
        <f>"202483B00002"</f>
        <v>202483B00002</v>
      </c>
      <c r="C3019" t="str">
        <f t="shared" si="147"/>
        <v>20</v>
      </c>
      <c r="D3019" t="s">
        <v>67</v>
      </c>
      <c r="E3019" t="str">
        <f t="shared" si="146"/>
        <v>013</v>
      </c>
      <c r="F3019" t="s">
        <v>2914</v>
      </c>
      <c r="G3019" t="str">
        <f>"2483"</f>
        <v>2483</v>
      </c>
      <c r="H3019" t="str">
        <f>"0000"</f>
        <v>0000</v>
      </c>
      <c r="I3019" t="s">
        <v>69</v>
      </c>
      <c r="J3019">
        <v>0</v>
      </c>
      <c r="K3019">
        <v>1</v>
      </c>
      <c r="L3019">
        <v>2</v>
      </c>
      <c r="M3019">
        <v>618</v>
      </c>
      <c r="N3019">
        <v>325</v>
      </c>
      <c r="O3019">
        <v>9</v>
      </c>
      <c r="P3019">
        <v>325</v>
      </c>
      <c r="Q3019">
        <v>6</v>
      </c>
      <c r="R3019">
        <v>36</v>
      </c>
      <c r="S3019">
        <v>17</v>
      </c>
      <c r="T3019">
        <v>29</v>
      </c>
      <c r="U3019">
        <v>41</v>
      </c>
      <c r="V3019">
        <v>4</v>
      </c>
      <c r="W3019">
        <v>12</v>
      </c>
      <c r="X3019">
        <v>140</v>
      </c>
      <c r="Y3019">
        <v>9</v>
      </c>
      <c r="Z3019">
        <v>6</v>
      </c>
      <c r="AA3019">
        <v>2</v>
      </c>
      <c r="AB3019">
        <v>14</v>
      </c>
      <c r="AD3019">
        <v>1</v>
      </c>
      <c r="AE3019">
        <v>0</v>
      </c>
      <c r="AF3019">
        <v>0</v>
      </c>
      <c r="AG3019">
        <v>1</v>
      </c>
      <c r="AH3019">
        <v>2</v>
      </c>
      <c r="AI3019">
        <v>0</v>
      </c>
      <c r="AJ3019">
        <v>5</v>
      </c>
      <c r="AK3019">
        <v>325</v>
      </c>
      <c r="AL3019">
        <v>325</v>
      </c>
      <c r="AM3019">
        <v>590</v>
      </c>
      <c r="AN3019">
        <v>44</v>
      </c>
      <c r="AP3019">
        <v>1</v>
      </c>
      <c r="AR3019" t="s">
        <v>3114</v>
      </c>
      <c r="AS3019" s="1">
        <v>44353.902627314812</v>
      </c>
      <c r="AT3019" s="1">
        <v>44353.903819444444</v>
      </c>
      <c r="AU3019" s="1">
        <v>44353.904583333337</v>
      </c>
      <c r="AV3019" t="s">
        <v>269</v>
      </c>
      <c r="AW3019" t="s">
        <v>270</v>
      </c>
      <c r="AX3019" t="s">
        <v>73</v>
      </c>
    </row>
    <row r="3020" spans="1:50" x14ac:dyDescent="0.3">
      <c r="A3020" t="str">
        <f>"202483C0100"</f>
        <v>202483C0100</v>
      </c>
      <c r="B3020" t="str">
        <f>"202483C01002"</f>
        <v>202483C01002</v>
      </c>
      <c r="C3020" t="str">
        <f t="shared" si="147"/>
        <v>20</v>
      </c>
      <c r="D3020" t="s">
        <v>67</v>
      </c>
      <c r="E3020" t="str">
        <f t="shared" si="146"/>
        <v>013</v>
      </c>
      <c r="F3020" t="s">
        <v>2914</v>
      </c>
      <c r="G3020" t="str">
        <f>"2483"</f>
        <v>2483</v>
      </c>
      <c r="H3020" t="str">
        <f>"0001"</f>
        <v>0001</v>
      </c>
      <c r="I3020" t="s">
        <v>75</v>
      </c>
      <c r="J3020">
        <v>0</v>
      </c>
      <c r="K3020">
        <v>1</v>
      </c>
      <c r="L3020">
        <v>2</v>
      </c>
      <c r="M3020">
        <v>330</v>
      </c>
      <c r="N3020">
        <v>302</v>
      </c>
      <c r="O3020">
        <v>8</v>
      </c>
      <c r="P3020">
        <v>303</v>
      </c>
      <c r="Q3020">
        <v>7</v>
      </c>
      <c r="R3020">
        <v>32</v>
      </c>
      <c r="S3020">
        <v>9</v>
      </c>
      <c r="T3020">
        <v>35</v>
      </c>
      <c r="U3020">
        <v>35</v>
      </c>
      <c r="V3020">
        <v>5</v>
      </c>
      <c r="W3020">
        <v>7</v>
      </c>
      <c r="X3020">
        <v>120</v>
      </c>
      <c r="Y3020">
        <v>11</v>
      </c>
      <c r="Z3020">
        <v>9</v>
      </c>
      <c r="AA3020">
        <v>8</v>
      </c>
      <c r="AB3020">
        <v>12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13</v>
      </c>
      <c r="AK3020">
        <v>303</v>
      </c>
      <c r="AL3020">
        <v>303</v>
      </c>
      <c r="AM3020">
        <v>589</v>
      </c>
      <c r="AN3020">
        <v>44</v>
      </c>
      <c r="AP3020">
        <v>1</v>
      </c>
      <c r="AR3020" t="s">
        <v>3115</v>
      </c>
      <c r="AS3020" s="1">
        <v>44353.841516203705</v>
      </c>
      <c r="AT3020" s="1">
        <v>44353.844513888886</v>
      </c>
      <c r="AU3020" s="1">
        <v>44353.845289351855</v>
      </c>
      <c r="AV3020" t="s">
        <v>269</v>
      </c>
      <c r="AW3020" t="s">
        <v>270</v>
      </c>
      <c r="AX3020" t="s">
        <v>73</v>
      </c>
    </row>
    <row r="3021" spans="1:50" x14ac:dyDescent="0.3">
      <c r="A3021" t="str">
        <f>"202484B0000"</f>
        <v>202484B0000</v>
      </c>
      <c r="B3021" t="str">
        <f>"202484B00002"</f>
        <v>202484B00002</v>
      </c>
      <c r="C3021" t="str">
        <f t="shared" si="147"/>
        <v>20</v>
      </c>
      <c r="D3021" t="s">
        <v>67</v>
      </c>
      <c r="E3021" t="str">
        <f t="shared" si="146"/>
        <v>013</v>
      </c>
      <c r="F3021" t="s">
        <v>2914</v>
      </c>
      <c r="G3021" t="str">
        <f>"2484"</f>
        <v>2484</v>
      </c>
      <c r="H3021" t="str">
        <f>"0000"</f>
        <v>0000</v>
      </c>
      <c r="I3021" t="s">
        <v>69</v>
      </c>
      <c r="J3021">
        <v>0</v>
      </c>
      <c r="K3021">
        <v>1</v>
      </c>
      <c r="L3021">
        <v>2</v>
      </c>
      <c r="M3021">
        <v>300</v>
      </c>
      <c r="N3021">
        <v>300</v>
      </c>
      <c r="O3021">
        <v>12</v>
      </c>
      <c r="P3021">
        <v>300</v>
      </c>
      <c r="Q3021">
        <v>15</v>
      </c>
      <c r="R3021">
        <v>37</v>
      </c>
      <c r="S3021">
        <v>13</v>
      </c>
      <c r="T3021">
        <v>15</v>
      </c>
      <c r="U3021">
        <v>21</v>
      </c>
      <c r="V3021">
        <v>6</v>
      </c>
      <c r="W3021">
        <v>5</v>
      </c>
      <c r="X3021">
        <v>124</v>
      </c>
      <c r="Y3021">
        <v>5</v>
      </c>
      <c r="Z3021">
        <v>16</v>
      </c>
      <c r="AA3021">
        <v>20</v>
      </c>
      <c r="AB3021">
        <v>16</v>
      </c>
      <c r="AD3021">
        <v>0</v>
      </c>
      <c r="AE3021">
        <v>0</v>
      </c>
      <c r="AF3021">
        <v>0</v>
      </c>
      <c r="AG3021">
        <v>1</v>
      </c>
      <c r="AH3021">
        <v>0</v>
      </c>
      <c r="AI3021">
        <v>0</v>
      </c>
      <c r="AJ3021">
        <v>6</v>
      </c>
      <c r="AK3021">
        <v>300</v>
      </c>
      <c r="AL3021">
        <v>300</v>
      </c>
      <c r="AM3021">
        <v>556</v>
      </c>
      <c r="AN3021">
        <v>44</v>
      </c>
      <c r="AP3021">
        <v>1</v>
      </c>
      <c r="AR3021" t="s">
        <v>3116</v>
      </c>
      <c r="AS3021" s="1">
        <v>44353.93172453704</v>
      </c>
      <c r="AT3021" s="1">
        <v>44353.933796296296</v>
      </c>
      <c r="AU3021" s="1">
        <v>44353.934270833335</v>
      </c>
      <c r="AV3021" t="s">
        <v>269</v>
      </c>
      <c r="AW3021" t="s">
        <v>270</v>
      </c>
      <c r="AX3021" t="s">
        <v>73</v>
      </c>
    </row>
    <row r="3022" spans="1:50" x14ac:dyDescent="0.3">
      <c r="A3022" t="str">
        <f>"202484C0100"</f>
        <v>202484C0100</v>
      </c>
      <c r="B3022" t="str">
        <f>"202484C01002"</f>
        <v>202484C01002</v>
      </c>
      <c r="C3022" t="str">
        <f t="shared" si="147"/>
        <v>20</v>
      </c>
      <c r="D3022" t="s">
        <v>67</v>
      </c>
      <c r="E3022" t="str">
        <f t="shared" si="146"/>
        <v>013</v>
      </c>
      <c r="F3022" t="s">
        <v>2914</v>
      </c>
      <c r="G3022" t="str">
        <f>"2484"</f>
        <v>2484</v>
      </c>
      <c r="H3022" t="str">
        <f>"0001"</f>
        <v>0001</v>
      </c>
      <c r="I3022" t="s">
        <v>75</v>
      </c>
      <c r="J3022">
        <v>0</v>
      </c>
      <c r="K3022">
        <v>1</v>
      </c>
      <c r="L3022">
        <v>2</v>
      </c>
      <c r="M3022">
        <v>307</v>
      </c>
      <c r="N3022">
        <v>293</v>
      </c>
      <c r="O3022">
        <v>9</v>
      </c>
      <c r="P3022">
        <v>293</v>
      </c>
      <c r="Q3022">
        <v>11</v>
      </c>
      <c r="R3022">
        <v>40</v>
      </c>
      <c r="S3022">
        <v>11</v>
      </c>
      <c r="T3022">
        <v>25</v>
      </c>
      <c r="U3022">
        <v>22</v>
      </c>
      <c r="V3022">
        <v>6</v>
      </c>
      <c r="W3022">
        <v>3</v>
      </c>
      <c r="X3022">
        <v>130</v>
      </c>
      <c r="Y3022">
        <v>5</v>
      </c>
      <c r="Z3022">
        <v>2</v>
      </c>
      <c r="AA3022">
        <v>13</v>
      </c>
      <c r="AB3022">
        <v>16</v>
      </c>
      <c r="AD3022">
        <v>1</v>
      </c>
      <c r="AE3022">
        <v>0</v>
      </c>
      <c r="AF3022">
        <v>0</v>
      </c>
      <c r="AG3022">
        <v>0</v>
      </c>
      <c r="AH3022">
        <v>1</v>
      </c>
      <c r="AI3022">
        <v>0</v>
      </c>
      <c r="AJ3022">
        <v>7</v>
      </c>
      <c r="AK3022">
        <v>293</v>
      </c>
      <c r="AL3022">
        <v>293</v>
      </c>
      <c r="AM3022">
        <v>556</v>
      </c>
      <c r="AN3022">
        <v>44</v>
      </c>
      <c r="AP3022">
        <v>1</v>
      </c>
      <c r="AR3022" t="s">
        <v>3117</v>
      </c>
      <c r="AS3022" s="1">
        <v>44353.929722222223</v>
      </c>
      <c r="AT3022" s="1">
        <v>44353.93173611111</v>
      </c>
      <c r="AU3022" s="1">
        <v>44353.932488425926</v>
      </c>
      <c r="AV3022" t="s">
        <v>269</v>
      </c>
      <c r="AW3022" t="s">
        <v>270</v>
      </c>
      <c r="AX3022" t="s">
        <v>73</v>
      </c>
    </row>
    <row r="3023" spans="1:50" x14ac:dyDescent="0.3">
      <c r="A3023" t="str">
        <f>"202484C0200"</f>
        <v>202484C0200</v>
      </c>
      <c r="B3023" t="str">
        <f>"202484C02002"</f>
        <v>202484C02002</v>
      </c>
      <c r="C3023" t="str">
        <f t="shared" si="147"/>
        <v>20</v>
      </c>
      <c r="D3023" t="s">
        <v>67</v>
      </c>
      <c r="E3023" t="str">
        <f t="shared" si="146"/>
        <v>013</v>
      </c>
      <c r="F3023" t="s">
        <v>2914</v>
      </c>
      <c r="G3023" t="str">
        <f>"2484"</f>
        <v>2484</v>
      </c>
      <c r="H3023" t="str">
        <f>"0002"</f>
        <v>0002</v>
      </c>
      <c r="I3023" t="s">
        <v>75</v>
      </c>
      <c r="J3023">
        <v>0</v>
      </c>
      <c r="K3023">
        <v>1</v>
      </c>
      <c r="L3023">
        <v>2</v>
      </c>
      <c r="M3023">
        <v>306</v>
      </c>
      <c r="N3023">
        <v>293</v>
      </c>
      <c r="O3023">
        <v>15</v>
      </c>
      <c r="P3023">
        <v>293</v>
      </c>
      <c r="Q3023">
        <v>9</v>
      </c>
      <c r="R3023">
        <v>22</v>
      </c>
      <c r="S3023">
        <v>13</v>
      </c>
      <c r="T3023">
        <v>14</v>
      </c>
      <c r="U3023">
        <v>37</v>
      </c>
      <c r="V3023">
        <v>2</v>
      </c>
      <c r="W3023">
        <v>10</v>
      </c>
      <c r="X3023">
        <v>124</v>
      </c>
      <c r="Y3023">
        <v>7</v>
      </c>
      <c r="Z3023">
        <v>18</v>
      </c>
      <c r="AA3023">
        <v>13</v>
      </c>
      <c r="AB3023">
        <v>13</v>
      </c>
      <c r="AD3023">
        <v>2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9</v>
      </c>
      <c r="AK3023">
        <v>293</v>
      </c>
      <c r="AL3023">
        <v>293</v>
      </c>
      <c r="AM3023">
        <v>555</v>
      </c>
      <c r="AN3023">
        <v>44</v>
      </c>
      <c r="AP3023">
        <v>1</v>
      </c>
      <c r="AR3023" t="s">
        <v>3118</v>
      </c>
      <c r="AS3023" s="1">
        <v>44353.92596064815</v>
      </c>
      <c r="AT3023" s="1">
        <v>44353.928287037037</v>
      </c>
      <c r="AU3023" s="1">
        <v>44353.929548611108</v>
      </c>
      <c r="AV3023" t="s">
        <v>269</v>
      </c>
      <c r="AW3023" t="s">
        <v>270</v>
      </c>
      <c r="AX3023" t="s">
        <v>73</v>
      </c>
    </row>
    <row r="3024" spans="1:50" x14ac:dyDescent="0.3">
      <c r="A3024" t="str">
        <f>"202485B0000"</f>
        <v>202485B0000</v>
      </c>
      <c r="B3024" t="str">
        <f>"202485B00002"</f>
        <v>202485B00002</v>
      </c>
      <c r="C3024" t="str">
        <f t="shared" si="147"/>
        <v>20</v>
      </c>
      <c r="D3024" t="s">
        <v>67</v>
      </c>
      <c r="E3024" t="str">
        <f t="shared" si="146"/>
        <v>013</v>
      </c>
      <c r="F3024" t="s">
        <v>2914</v>
      </c>
      <c r="G3024" t="str">
        <f>"2485"</f>
        <v>2485</v>
      </c>
      <c r="H3024" t="str">
        <f>"0000"</f>
        <v>0000</v>
      </c>
      <c r="I3024" t="s">
        <v>69</v>
      </c>
      <c r="J3024">
        <v>0</v>
      </c>
      <c r="K3024">
        <v>1</v>
      </c>
      <c r="L3024">
        <v>2</v>
      </c>
      <c r="M3024">
        <v>480</v>
      </c>
      <c r="N3024">
        <v>198</v>
      </c>
      <c r="O3024">
        <v>3</v>
      </c>
      <c r="P3024">
        <v>198</v>
      </c>
      <c r="Q3024">
        <v>2</v>
      </c>
      <c r="R3024">
        <v>43</v>
      </c>
      <c r="S3024">
        <v>1</v>
      </c>
      <c r="T3024">
        <v>2</v>
      </c>
      <c r="U3024">
        <v>6</v>
      </c>
      <c r="V3024">
        <v>3</v>
      </c>
      <c r="W3024">
        <v>3</v>
      </c>
      <c r="X3024">
        <v>118</v>
      </c>
      <c r="Y3024">
        <v>10</v>
      </c>
      <c r="Z3024">
        <v>2</v>
      </c>
      <c r="AA3024">
        <v>2</v>
      </c>
      <c r="AB3024">
        <v>2</v>
      </c>
      <c r="AD3024">
        <v>2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2</v>
      </c>
      <c r="AK3024">
        <v>198</v>
      </c>
      <c r="AL3024">
        <v>198</v>
      </c>
      <c r="AM3024">
        <v>634</v>
      </c>
      <c r="AN3024">
        <v>44</v>
      </c>
      <c r="AP3024">
        <v>1</v>
      </c>
      <c r="AR3024" s="2" t="s">
        <v>3119</v>
      </c>
      <c r="AS3024" s="1">
        <v>44353.961111111108</v>
      </c>
      <c r="AT3024" s="1">
        <v>44353.966574074075</v>
      </c>
      <c r="AU3024" s="1">
        <v>44353.967002314814</v>
      </c>
      <c r="AV3024" t="s">
        <v>71</v>
      </c>
      <c r="AW3024" t="s">
        <v>72</v>
      </c>
      <c r="AX3024" t="s">
        <v>73</v>
      </c>
    </row>
    <row r="3025" spans="1:50" x14ac:dyDescent="0.3">
      <c r="A3025" t="str">
        <f>"202485C0100"</f>
        <v>202485C0100</v>
      </c>
      <c r="B3025" t="str">
        <f>"202485C01002"</f>
        <v>202485C01002</v>
      </c>
      <c r="C3025" t="str">
        <f t="shared" si="147"/>
        <v>20</v>
      </c>
      <c r="D3025" t="s">
        <v>67</v>
      </c>
      <c r="E3025" t="str">
        <f t="shared" si="146"/>
        <v>013</v>
      </c>
      <c r="F3025" t="s">
        <v>2914</v>
      </c>
      <c r="G3025" t="str">
        <f>"2485"</f>
        <v>2485</v>
      </c>
      <c r="H3025" t="str">
        <f>"0001"</f>
        <v>0001</v>
      </c>
      <c r="I3025" t="s">
        <v>75</v>
      </c>
      <c r="J3025">
        <v>0</v>
      </c>
      <c r="K3025">
        <v>1</v>
      </c>
      <c r="L3025">
        <v>2</v>
      </c>
      <c r="M3025">
        <v>454</v>
      </c>
      <c r="N3025">
        <v>223</v>
      </c>
      <c r="O3025">
        <v>5</v>
      </c>
      <c r="P3025">
        <v>677</v>
      </c>
      <c r="Q3025">
        <v>5</v>
      </c>
      <c r="R3025">
        <v>47</v>
      </c>
      <c r="S3025">
        <v>2</v>
      </c>
      <c r="T3025">
        <v>1</v>
      </c>
      <c r="U3025">
        <v>4</v>
      </c>
      <c r="V3025">
        <v>2</v>
      </c>
      <c r="W3025">
        <v>2</v>
      </c>
      <c r="X3025">
        <v>134</v>
      </c>
      <c r="Y3025">
        <v>12</v>
      </c>
      <c r="Z3025">
        <v>2</v>
      </c>
      <c r="AA3025">
        <v>2</v>
      </c>
      <c r="AB3025">
        <v>2</v>
      </c>
      <c r="AD3025">
        <v>1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7</v>
      </c>
      <c r="AK3025">
        <v>223</v>
      </c>
      <c r="AL3025">
        <v>223</v>
      </c>
      <c r="AM3025">
        <v>633</v>
      </c>
      <c r="AN3025">
        <v>44</v>
      </c>
      <c r="AP3025">
        <v>1</v>
      </c>
      <c r="AR3025" t="s">
        <v>3120</v>
      </c>
      <c r="AS3025" s="1">
        <v>44354.07916666667</v>
      </c>
      <c r="AT3025" s="1">
        <v>44354.089085648149</v>
      </c>
      <c r="AU3025" s="1">
        <v>44354.090416666666</v>
      </c>
      <c r="AV3025" t="s">
        <v>71</v>
      </c>
      <c r="AW3025" t="s">
        <v>72</v>
      </c>
      <c r="AX3025" t="s">
        <v>73</v>
      </c>
    </row>
    <row r="3026" spans="1:50" x14ac:dyDescent="0.3">
      <c r="A3026" t="str">
        <f>"202485C0200"</f>
        <v>202485C0200</v>
      </c>
      <c r="B3026" t="str">
        <f>"202485C02002"</f>
        <v>202485C02002</v>
      </c>
      <c r="C3026" t="str">
        <f t="shared" si="147"/>
        <v>20</v>
      </c>
      <c r="D3026" t="s">
        <v>67</v>
      </c>
      <c r="E3026" t="str">
        <f t="shared" si="146"/>
        <v>013</v>
      </c>
      <c r="F3026" t="s">
        <v>2914</v>
      </c>
      <c r="G3026" t="str">
        <f>"2485"</f>
        <v>2485</v>
      </c>
      <c r="H3026" t="str">
        <f>"0002"</f>
        <v>0002</v>
      </c>
      <c r="I3026" t="s">
        <v>75</v>
      </c>
      <c r="J3026">
        <v>0</v>
      </c>
      <c r="K3026">
        <v>1</v>
      </c>
      <c r="L3026">
        <v>2</v>
      </c>
      <c r="M3026">
        <v>461</v>
      </c>
      <c r="N3026">
        <v>216</v>
      </c>
      <c r="O3026">
        <v>6</v>
      </c>
      <c r="P3026">
        <v>216</v>
      </c>
      <c r="Q3026">
        <v>3</v>
      </c>
      <c r="R3026">
        <v>50</v>
      </c>
      <c r="S3026">
        <v>2</v>
      </c>
      <c r="T3026">
        <v>1</v>
      </c>
      <c r="U3026">
        <v>4</v>
      </c>
      <c r="V3026">
        <v>4</v>
      </c>
      <c r="W3026">
        <v>1</v>
      </c>
      <c r="X3026">
        <v>119</v>
      </c>
      <c r="Y3026">
        <v>8</v>
      </c>
      <c r="Z3026">
        <v>3</v>
      </c>
      <c r="AA3026">
        <v>2</v>
      </c>
      <c r="AB3026">
        <v>0</v>
      </c>
      <c r="AD3026">
        <v>1</v>
      </c>
      <c r="AE3026">
        <v>2</v>
      </c>
      <c r="AF3026">
        <v>1</v>
      </c>
      <c r="AG3026">
        <v>1</v>
      </c>
      <c r="AH3026">
        <v>1</v>
      </c>
      <c r="AI3026">
        <v>0</v>
      </c>
      <c r="AJ3026">
        <v>13</v>
      </c>
      <c r="AK3026">
        <v>216</v>
      </c>
      <c r="AL3026">
        <v>216</v>
      </c>
      <c r="AM3026">
        <v>633</v>
      </c>
      <c r="AN3026">
        <v>44</v>
      </c>
      <c r="AP3026">
        <v>1</v>
      </c>
      <c r="AR3026" t="s">
        <v>3121</v>
      </c>
      <c r="AS3026" s="1">
        <v>44353.956944444442</v>
      </c>
      <c r="AT3026" s="1">
        <v>44353.962488425925</v>
      </c>
      <c r="AU3026" s="1">
        <v>44353.963229166664</v>
      </c>
      <c r="AV3026" t="s">
        <v>71</v>
      </c>
      <c r="AW3026" t="s">
        <v>72</v>
      </c>
      <c r="AX3026" t="s">
        <v>73</v>
      </c>
    </row>
    <row r="3027" spans="1:50" x14ac:dyDescent="0.3">
      <c r="A3027" t="str">
        <f>"202485C0300"</f>
        <v>202485C0300</v>
      </c>
      <c r="B3027" t="str">
        <f>"202485C03002"</f>
        <v>202485C03002</v>
      </c>
      <c r="C3027" t="str">
        <f t="shared" si="147"/>
        <v>20</v>
      </c>
      <c r="D3027" t="s">
        <v>67</v>
      </c>
      <c r="E3027" t="str">
        <f t="shared" si="146"/>
        <v>013</v>
      </c>
      <c r="F3027" t="s">
        <v>2914</v>
      </c>
      <c r="G3027" t="str">
        <f>"2485"</f>
        <v>2485</v>
      </c>
      <c r="H3027" t="str">
        <f>"0003"</f>
        <v>0003</v>
      </c>
      <c r="I3027" t="s">
        <v>75</v>
      </c>
      <c r="J3027">
        <v>0</v>
      </c>
      <c r="K3027">
        <v>1</v>
      </c>
      <c r="L3027">
        <v>2</v>
      </c>
      <c r="M3027">
        <v>480</v>
      </c>
      <c r="N3027">
        <v>197</v>
      </c>
      <c r="O3027">
        <v>4</v>
      </c>
      <c r="P3027">
        <v>197</v>
      </c>
      <c r="Q3027">
        <v>5</v>
      </c>
      <c r="R3027">
        <v>47</v>
      </c>
      <c r="S3027">
        <v>0</v>
      </c>
      <c r="T3027">
        <v>0</v>
      </c>
      <c r="U3027">
        <v>7</v>
      </c>
      <c r="V3027">
        <v>3</v>
      </c>
      <c r="W3027">
        <v>3</v>
      </c>
      <c r="X3027">
        <v>98</v>
      </c>
      <c r="Y3027">
        <v>10</v>
      </c>
      <c r="Z3027">
        <v>7</v>
      </c>
      <c r="AA3027">
        <v>3</v>
      </c>
      <c r="AB3027">
        <v>3</v>
      </c>
      <c r="AD3027">
        <v>0</v>
      </c>
      <c r="AE3027">
        <v>1</v>
      </c>
      <c r="AF3027">
        <v>0</v>
      </c>
      <c r="AG3027">
        <v>0</v>
      </c>
      <c r="AH3027">
        <v>0</v>
      </c>
      <c r="AI3027">
        <v>0</v>
      </c>
      <c r="AJ3027">
        <v>10</v>
      </c>
      <c r="AK3027">
        <v>197</v>
      </c>
      <c r="AL3027">
        <v>197</v>
      </c>
      <c r="AM3027">
        <v>633</v>
      </c>
      <c r="AN3027">
        <v>44</v>
      </c>
      <c r="AP3027">
        <v>1</v>
      </c>
      <c r="AR3027" t="s">
        <v>3122</v>
      </c>
      <c r="AS3027" s="1">
        <v>44353.958333333336</v>
      </c>
      <c r="AT3027" s="1">
        <v>44353.968402777777</v>
      </c>
      <c r="AU3027" s="1">
        <v>44353.969236111108</v>
      </c>
      <c r="AV3027" t="s">
        <v>71</v>
      </c>
      <c r="AW3027" t="s">
        <v>72</v>
      </c>
      <c r="AX3027" t="s">
        <v>73</v>
      </c>
    </row>
    <row r="3028" spans="1:50" x14ac:dyDescent="0.3">
      <c r="A3028" t="str">
        <f>"202486B0000"</f>
        <v>202486B0000</v>
      </c>
      <c r="B3028" t="str">
        <f>"202486B00002"</f>
        <v>202486B00002</v>
      </c>
      <c r="C3028" t="str">
        <f t="shared" si="147"/>
        <v>20</v>
      </c>
      <c r="D3028" t="s">
        <v>67</v>
      </c>
      <c r="E3028" t="str">
        <f t="shared" si="146"/>
        <v>013</v>
      </c>
      <c r="F3028" t="s">
        <v>2914</v>
      </c>
      <c r="G3028" t="str">
        <f>"2486"</f>
        <v>2486</v>
      </c>
      <c r="H3028" t="str">
        <f>"0000"</f>
        <v>0000</v>
      </c>
      <c r="I3028" t="s">
        <v>69</v>
      </c>
      <c r="J3028">
        <v>0</v>
      </c>
      <c r="K3028">
        <v>1</v>
      </c>
      <c r="L3028">
        <v>2</v>
      </c>
      <c r="M3028">
        <v>431</v>
      </c>
      <c r="N3028">
        <v>193</v>
      </c>
      <c r="O3028">
        <v>8</v>
      </c>
      <c r="P3028">
        <v>193</v>
      </c>
      <c r="Q3028">
        <v>9</v>
      </c>
      <c r="R3028">
        <v>28</v>
      </c>
      <c r="S3028">
        <v>1</v>
      </c>
      <c r="T3028">
        <v>3</v>
      </c>
      <c r="U3028">
        <v>4</v>
      </c>
      <c r="V3028">
        <v>3</v>
      </c>
      <c r="W3028">
        <v>0</v>
      </c>
      <c r="X3028">
        <v>120</v>
      </c>
      <c r="Y3028">
        <v>1</v>
      </c>
      <c r="Z3028">
        <v>7</v>
      </c>
      <c r="AA3028">
        <v>2</v>
      </c>
      <c r="AB3028">
        <v>4</v>
      </c>
      <c r="AD3028">
        <v>2</v>
      </c>
      <c r="AE3028">
        <v>2</v>
      </c>
      <c r="AF3028">
        <v>0</v>
      </c>
      <c r="AG3028">
        <v>0</v>
      </c>
      <c r="AH3028">
        <v>0</v>
      </c>
      <c r="AI3028">
        <v>0</v>
      </c>
      <c r="AJ3028">
        <v>7</v>
      </c>
      <c r="AK3028">
        <v>193</v>
      </c>
      <c r="AL3028">
        <v>193</v>
      </c>
      <c r="AM3028">
        <v>580</v>
      </c>
      <c r="AN3028">
        <v>44</v>
      </c>
      <c r="AP3028">
        <v>1</v>
      </c>
      <c r="AR3028" t="s">
        <v>3123</v>
      </c>
      <c r="AS3028" s="1">
        <v>44353.953472222223</v>
      </c>
      <c r="AT3028" s="1">
        <v>44353.955300925925</v>
      </c>
      <c r="AU3028" s="1">
        <v>44353.956053240741</v>
      </c>
      <c r="AV3028" t="s">
        <v>71</v>
      </c>
      <c r="AW3028" t="s">
        <v>72</v>
      </c>
      <c r="AX3028" t="s">
        <v>73</v>
      </c>
    </row>
    <row r="3029" spans="1:50" x14ac:dyDescent="0.3">
      <c r="A3029" t="str">
        <f>"202486C0100"</f>
        <v>202486C0100</v>
      </c>
      <c r="B3029" t="str">
        <f>"202486C01002"</f>
        <v>202486C01002</v>
      </c>
      <c r="C3029" t="str">
        <f t="shared" si="147"/>
        <v>20</v>
      </c>
      <c r="D3029" t="s">
        <v>67</v>
      </c>
      <c r="E3029" t="str">
        <f t="shared" si="146"/>
        <v>013</v>
      </c>
      <c r="F3029" t="s">
        <v>2914</v>
      </c>
      <c r="G3029" t="str">
        <f>"2486"</f>
        <v>2486</v>
      </c>
      <c r="H3029" t="str">
        <f>"0001"</f>
        <v>0001</v>
      </c>
      <c r="I3029" t="s">
        <v>75</v>
      </c>
      <c r="J3029">
        <v>0</v>
      </c>
      <c r="K3029">
        <v>1</v>
      </c>
      <c r="L3029">
        <v>2</v>
      </c>
      <c r="M3029">
        <v>411</v>
      </c>
      <c r="N3029">
        <v>212</v>
      </c>
      <c r="O3029">
        <v>8</v>
      </c>
      <c r="P3029">
        <v>212</v>
      </c>
      <c r="Q3029">
        <v>8</v>
      </c>
      <c r="R3029">
        <v>47</v>
      </c>
      <c r="S3029">
        <v>1</v>
      </c>
      <c r="T3029">
        <v>2</v>
      </c>
      <c r="U3029">
        <v>11</v>
      </c>
      <c r="V3029">
        <v>0</v>
      </c>
      <c r="W3029">
        <v>2</v>
      </c>
      <c r="X3029">
        <v>115</v>
      </c>
      <c r="Y3029">
        <v>1</v>
      </c>
      <c r="Z3029">
        <v>6</v>
      </c>
      <c r="AA3029">
        <v>7</v>
      </c>
      <c r="AB3029">
        <v>6</v>
      </c>
      <c r="AD3029">
        <v>2</v>
      </c>
      <c r="AE3029">
        <v>1</v>
      </c>
      <c r="AF3029">
        <v>0</v>
      </c>
      <c r="AG3029">
        <v>0</v>
      </c>
      <c r="AH3029">
        <v>0</v>
      </c>
      <c r="AI3029">
        <v>0</v>
      </c>
      <c r="AJ3029">
        <v>3</v>
      </c>
      <c r="AK3029">
        <v>212</v>
      </c>
      <c r="AL3029">
        <v>212</v>
      </c>
      <c r="AM3029">
        <v>579</v>
      </c>
      <c r="AN3029">
        <v>44</v>
      </c>
      <c r="AP3029">
        <v>1</v>
      </c>
      <c r="AR3029" t="s">
        <v>3124</v>
      </c>
      <c r="AS3029" s="1">
        <v>44353.946527777778</v>
      </c>
      <c r="AT3029" s="1">
        <v>44353.947870370372</v>
      </c>
      <c r="AU3029" s="1">
        <v>44353.948391203703</v>
      </c>
      <c r="AV3029" t="s">
        <v>71</v>
      </c>
      <c r="AW3029" t="s">
        <v>72</v>
      </c>
      <c r="AX3029" t="s">
        <v>73</v>
      </c>
    </row>
    <row r="3030" spans="1:50" x14ac:dyDescent="0.3">
      <c r="A3030" t="str">
        <f>"202486C0200"</f>
        <v>202486C0200</v>
      </c>
      <c r="B3030" t="str">
        <f>"202486C02002"</f>
        <v>202486C02002</v>
      </c>
      <c r="C3030" t="str">
        <f t="shared" si="147"/>
        <v>20</v>
      </c>
      <c r="D3030" t="s">
        <v>67</v>
      </c>
      <c r="E3030" t="str">
        <f t="shared" si="146"/>
        <v>013</v>
      </c>
      <c r="F3030" t="s">
        <v>2914</v>
      </c>
      <c r="G3030" t="str">
        <f>"2486"</f>
        <v>2486</v>
      </c>
      <c r="H3030" t="str">
        <f>"0002"</f>
        <v>0002</v>
      </c>
      <c r="I3030" t="s">
        <v>75</v>
      </c>
      <c r="J3030">
        <v>0</v>
      </c>
      <c r="K3030">
        <v>1</v>
      </c>
      <c r="L3030">
        <v>2</v>
      </c>
      <c r="M3030">
        <v>445</v>
      </c>
      <c r="N3030">
        <v>178</v>
      </c>
      <c r="O3030">
        <v>6</v>
      </c>
      <c r="P3030">
        <v>178</v>
      </c>
      <c r="Q3030">
        <v>6</v>
      </c>
      <c r="R3030">
        <v>32</v>
      </c>
      <c r="S3030">
        <v>2</v>
      </c>
      <c r="T3030">
        <v>3</v>
      </c>
      <c r="U3030">
        <v>6</v>
      </c>
      <c r="V3030">
        <v>3</v>
      </c>
      <c r="W3030">
        <v>3</v>
      </c>
      <c r="X3030">
        <v>103</v>
      </c>
      <c r="Y3030">
        <v>0</v>
      </c>
      <c r="Z3030">
        <v>3</v>
      </c>
      <c r="AA3030">
        <v>4</v>
      </c>
      <c r="AB3030">
        <v>1</v>
      </c>
      <c r="AD3030">
        <v>2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10</v>
      </c>
      <c r="AK3030">
        <v>178</v>
      </c>
      <c r="AL3030">
        <v>178</v>
      </c>
      <c r="AM3030">
        <v>579</v>
      </c>
      <c r="AN3030">
        <v>44</v>
      </c>
      <c r="AP3030">
        <v>1</v>
      </c>
      <c r="AR3030" t="s">
        <v>3125</v>
      </c>
      <c r="AS3030" s="1">
        <v>44354.25277777778</v>
      </c>
      <c r="AT3030" s="1">
        <v>44354.254212962966</v>
      </c>
      <c r="AU3030" s="1">
        <v>44354.254756944443</v>
      </c>
      <c r="AV3030" t="s">
        <v>71</v>
      </c>
      <c r="AW3030" t="s">
        <v>72</v>
      </c>
      <c r="AX3030" t="s">
        <v>347</v>
      </c>
    </row>
    <row r="3031" spans="1:50" x14ac:dyDescent="0.3">
      <c r="A3031" t="str">
        <f>"202486C0300"</f>
        <v>202486C0300</v>
      </c>
      <c r="B3031" t="str">
        <f>"202486C03002"</f>
        <v>202486C03002</v>
      </c>
      <c r="C3031" t="str">
        <f t="shared" si="147"/>
        <v>20</v>
      </c>
      <c r="D3031" t="s">
        <v>67</v>
      </c>
      <c r="E3031" t="str">
        <f t="shared" si="146"/>
        <v>013</v>
      </c>
      <c r="F3031" t="s">
        <v>2914</v>
      </c>
      <c r="G3031" t="str">
        <f>"2486"</f>
        <v>2486</v>
      </c>
      <c r="H3031" t="str">
        <f>"0003"</f>
        <v>0003</v>
      </c>
      <c r="I3031" t="s">
        <v>75</v>
      </c>
      <c r="J3031">
        <v>0</v>
      </c>
      <c r="K3031">
        <v>1</v>
      </c>
      <c r="L3031">
        <v>2</v>
      </c>
      <c r="M3031">
        <v>425</v>
      </c>
      <c r="N3031">
        <v>196</v>
      </c>
      <c r="O3031">
        <v>4</v>
      </c>
      <c r="P3031">
        <v>198</v>
      </c>
      <c r="Q3031">
        <v>9</v>
      </c>
      <c r="R3031">
        <v>32</v>
      </c>
      <c r="S3031">
        <v>0</v>
      </c>
      <c r="T3031">
        <v>0</v>
      </c>
      <c r="U3031">
        <v>2</v>
      </c>
      <c r="V3031">
        <v>5</v>
      </c>
      <c r="W3031">
        <v>1</v>
      </c>
      <c r="X3031">
        <v>116</v>
      </c>
      <c r="Y3031">
        <v>5</v>
      </c>
      <c r="Z3031">
        <v>3</v>
      </c>
      <c r="AA3031">
        <v>8</v>
      </c>
      <c r="AB3031">
        <v>5</v>
      </c>
      <c r="AD3031">
        <v>2</v>
      </c>
      <c r="AE3031">
        <v>1</v>
      </c>
      <c r="AF3031">
        <v>0</v>
      </c>
      <c r="AG3031">
        <v>0</v>
      </c>
      <c r="AH3031">
        <v>0</v>
      </c>
      <c r="AI3031">
        <v>0</v>
      </c>
      <c r="AJ3031">
        <v>9</v>
      </c>
      <c r="AK3031">
        <v>198</v>
      </c>
      <c r="AL3031">
        <v>198</v>
      </c>
      <c r="AM3031">
        <v>579</v>
      </c>
      <c r="AN3031">
        <v>44</v>
      </c>
      <c r="AP3031">
        <v>1</v>
      </c>
      <c r="AR3031" t="s">
        <v>3126</v>
      </c>
      <c r="AS3031" s="1">
        <v>44353.974999999999</v>
      </c>
      <c r="AT3031" s="1">
        <v>44353.980138888888</v>
      </c>
      <c r="AU3031" s="1">
        <v>44353.980706018519</v>
      </c>
      <c r="AV3031" t="s">
        <v>71</v>
      </c>
      <c r="AW3031" t="s">
        <v>72</v>
      </c>
      <c r="AX3031" t="s">
        <v>73</v>
      </c>
    </row>
    <row r="3032" spans="1:50" x14ac:dyDescent="0.3">
      <c r="A3032" t="str">
        <f>"202487B0000"</f>
        <v>202487B0000</v>
      </c>
      <c r="B3032" t="str">
        <f>"202487B00002"</f>
        <v>202487B00002</v>
      </c>
      <c r="C3032" t="str">
        <f t="shared" si="147"/>
        <v>20</v>
      </c>
      <c r="D3032" t="s">
        <v>67</v>
      </c>
      <c r="E3032" t="str">
        <f t="shared" si="146"/>
        <v>013</v>
      </c>
      <c r="F3032" t="s">
        <v>2914</v>
      </c>
      <c r="G3032" t="str">
        <f>"2487"</f>
        <v>2487</v>
      </c>
      <c r="H3032" t="str">
        <f>"0000"</f>
        <v>0000</v>
      </c>
      <c r="I3032" t="s">
        <v>69</v>
      </c>
      <c r="J3032">
        <v>0</v>
      </c>
      <c r="K3032">
        <v>1</v>
      </c>
      <c r="L3032">
        <v>2</v>
      </c>
      <c r="M3032">
        <v>309</v>
      </c>
      <c r="N3032">
        <v>208</v>
      </c>
      <c r="O3032">
        <v>5</v>
      </c>
      <c r="P3032">
        <v>208</v>
      </c>
      <c r="Q3032">
        <v>13</v>
      </c>
      <c r="R3032">
        <v>20</v>
      </c>
      <c r="S3032">
        <v>2</v>
      </c>
      <c r="T3032">
        <v>3</v>
      </c>
      <c r="U3032">
        <v>6</v>
      </c>
      <c r="V3032">
        <v>8</v>
      </c>
      <c r="W3032">
        <v>4</v>
      </c>
      <c r="X3032">
        <v>137</v>
      </c>
      <c r="Y3032">
        <v>4</v>
      </c>
      <c r="Z3032">
        <v>1</v>
      </c>
      <c r="AA3032">
        <v>2</v>
      </c>
      <c r="AB3032">
        <v>1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7</v>
      </c>
      <c r="AK3032">
        <v>208</v>
      </c>
      <c r="AL3032">
        <v>208</v>
      </c>
      <c r="AM3032">
        <v>473</v>
      </c>
      <c r="AN3032">
        <v>44</v>
      </c>
      <c r="AP3032">
        <v>1</v>
      </c>
      <c r="AR3032" t="s">
        <v>3127</v>
      </c>
      <c r="AS3032" s="1">
        <v>44353.97152777778</v>
      </c>
      <c r="AT3032" s="1">
        <v>44353.973298611112</v>
      </c>
      <c r="AU3032" s="1">
        <v>44353.974108796298</v>
      </c>
      <c r="AV3032" t="s">
        <v>71</v>
      </c>
      <c r="AW3032" t="s">
        <v>72</v>
      </c>
      <c r="AX3032" t="s">
        <v>73</v>
      </c>
    </row>
    <row r="3033" spans="1:50" x14ac:dyDescent="0.3">
      <c r="A3033" t="str">
        <f>"202487C0100"</f>
        <v>202487C0100</v>
      </c>
      <c r="B3033" t="str">
        <f>"202487C01002"</f>
        <v>202487C01002</v>
      </c>
      <c r="C3033" t="str">
        <f t="shared" si="147"/>
        <v>20</v>
      </c>
      <c r="D3033" t="s">
        <v>67</v>
      </c>
      <c r="E3033" t="str">
        <f t="shared" si="146"/>
        <v>013</v>
      </c>
      <c r="F3033" t="s">
        <v>2914</v>
      </c>
      <c r="G3033" t="str">
        <f>"2487"</f>
        <v>2487</v>
      </c>
      <c r="H3033" t="str">
        <f>"0001"</f>
        <v>0001</v>
      </c>
      <c r="I3033" t="s">
        <v>75</v>
      </c>
      <c r="J3033">
        <v>0</v>
      </c>
      <c r="K3033">
        <v>1</v>
      </c>
      <c r="L3033">
        <v>2</v>
      </c>
      <c r="M3033">
        <v>326</v>
      </c>
      <c r="N3033">
        <v>191</v>
      </c>
      <c r="O3033">
        <v>5</v>
      </c>
      <c r="P3033">
        <v>191</v>
      </c>
      <c r="Q3033">
        <v>13</v>
      </c>
      <c r="R3033">
        <v>28</v>
      </c>
      <c r="S3033">
        <v>1</v>
      </c>
      <c r="T3033">
        <v>6</v>
      </c>
      <c r="U3033">
        <v>9</v>
      </c>
      <c r="V3033">
        <v>8</v>
      </c>
      <c r="W3033">
        <v>3</v>
      </c>
      <c r="X3033">
        <v>97</v>
      </c>
      <c r="Y3033">
        <v>3</v>
      </c>
      <c r="Z3033">
        <v>2</v>
      </c>
      <c r="AA3033">
        <v>4</v>
      </c>
      <c r="AB3033">
        <v>3</v>
      </c>
      <c r="AD3033">
        <v>2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12</v>
      </c>
      <c r="AK3033">
        <v>191</v>
      </c>
      <c r="AL3033">
        <v>191</v>
      </c>
      <c r="AM3033">
        <v>473</v>
      </c>
      <c r="AN3033">
        <v>44</v>
      </c>
      <c r="AP3033">
        <v>1</v>
      </c>
      <c r="AR3033" t="s">
        <v>3128</v>
      </c>
      <c r="AS3033" s="1">
        <v>44354.285416666666</v>
      </c>
      <c r="AT3033" s="1">
        <v>44354.286979166667</v>
      </c>
      <c r="AU3033" s="1">
        <v>44354.287766203706</v>
      </c>
      <c r="AV3033" t="s">
        <v>71</v>
      </c>
      <c r="AW3033" t="s">
        <v>72</v>
      </c>
      <c r="AX3033" t="s">
        <v>347</v>
      </c>
    </row>
    <row r="3034" spans="1:50" x14ac:dyDescent="0.3">
      <c r="A3034" t="str">
        <f>"202488B0000"</f>
        <v>202488B0000</v>
      </c>
      <c r="B3034" t="str">
        <f>"202488B00002"</f>
        <v>202488B00002</v>
      </c>
      <c r="C3034" t="str">
        <f t="shared" si="147"/>
        <v>20</v>
      </c>
      <c r="D3034" t="s">
        <v>67</v>
      </c>
      <c r="E3034" t="str">
        <f t="shared" si="146"/>
        <v>013</v>
      </c>
      <c r="F3034" t="s">
        <v>2914</v>
      </c>
      <c r="G3034" t="str">
        <f>"2488"</f>
        <v>2488</v>
      </c>
      <c r="H3034" t="str">
        <f>"0000"</f>
        <v>0000</v>
      </c>
      <c r="I3034" t="s">
        <v>69</v>
      </c>
      <c r="J3034">
        <v>0</v>
      </c>
      <c r="K3034">
        <v>1</v>
      </c>
      <c r="L3034">
        <v>2</v>
      </c>
      <c r="M3034">
        <v>512</v>
      </c>
      <c r="N3034">
        <v>287</v>
      </c>
      <c r="O3034">
        <v>5</v>
      </c>
      <c r="P3034">
        <v>282</v>
      </c>
      <c r="Q3034">
        <v>8</v>
      </c>
      <c r="R3034">
        <v>40</v>
      </c>
      <c r="S3034">
        <v>2</v>
      </c>
      <c r="T3034">
        <v>3</v>
      </c>
      <c r="U3034">
        <v>12</v>
      </c>
      <c r="V3034">
        <v>2</v>
      </c>
      <c r="W3034">
        <v>1</v>
      </c>
      <c r="X3034">
        <v>172</v>
      </c>
      <c r="Y3034">
        <v>4</v>
      </c>
      <c r="Z3034">
        <v>9</v>
      </c>
      <c r="AA3034">
        <v>8</v>
      </c>
      <c r="AB3034">
        <v>5</v>
      </c>
      <c r="AD3034">
        <v>2</v>
      </c>
      <c r="AE3034">
        <v>2</v>
      </c>
      <c r="AF3034">
        <v>0</v>
      </c>
      <c r="AG3034">
        <v>1</v>
      </c>
      <c r="AH3034">
        <v>1</v>
      </c>
      <c r="AI3034">
        <v>0</v>
      </c>
      <c r="AJ3034">
        <v>10</v>
      </c>
      <c r="AK3034">
        <v>282</v>
      </c>
      <c r="AL3034">
        <v>282</v>
      </c>
      <c r="AM3034">
        <v>750</v>
      </c>
      <c r="AN3034">
        <v>44</v>
      </c>
      <c r="AP3034">
        <v>1</v>
      </c>
      <c r="AR3034" t="s">
        <v>3129</v>
      </c>
      <c r="AS3034" s="1">
        <v>44353.95416666667</v>
      </c>
      <c r="AT3034" s="1">
        <v>44353.956469907411</v>
      </c>
      <c r="AU3034" s="1">
        <v>44353.957407407404</v>
      </c>
      <c r="AV3034" t="s">
        <v>71</v>
      </c>
      <c r="AW3034" t="s">
        <v>72</v>
      </c>
      <c r="AX3034" t="s">
        <v>73</v>
      </c>
    </row>
    <row r="3035" spans="1:50" x14ac:dyDescent="0.3">
      <c r="A3035" t="str">
        <f>"202488C0100"</f>
        <v>202488C0100</v>
      </c>
      <c r="B3035" t="str">
        <f>"202488C01002"</f>
        <v>202488C01002</v>
      </c>
      <c r="C3035" t="str">
        <f t="shared" si="147"/>
        <v>20</v>
      </c>
      <c r="D3035" t="s">
        <v>67</v>
      </c>
      <c r="E3035" t="str">
        <f t="shared" si="146"/>
        <v>013</v>
      </c>
      <c r="F3035" t="s">
        <v>2914</v>
      </c>
      <c r="G3035" t="str">
        <f>"2488"</f>
        <v>2488</v>
      </c>
      <c r="H3035" t="str">
        <f>"0001"</f>
        <v>0001</v>
      </c>
      <c r="I3035" t="s">
        <v>75</v>
      </c>
      <c r="J3035">
        <v>0</v>
      </c>
      <c r="K3035">
        <v>1</v>
      </c>
      <c r="L3035">
        <v>2</v>
      </c>
      <c r="M3035">
        <v>505</v>
      </c>
      <c r="N3035">
        <v>288</v>
      </c>
      <c r="O3035">
        <v>7</v>
      </c>
      <c r="P3035">
        <v>288</v>
      </c>
      <c r="Q3035">
        <v>8</v>
      </c>
      <c r="R3035">
        <v>40</v>
      </c>
      <c r="S3035">
        <v>5</v>
      </c>
      <c r="T3035">
        <v>3</v>
      </c>
      <c r="U3035">
        <v>11</v>
      </c>
      <c r="V3035">
        <v>4</v>
      </c>
      <c r="W3035">
        <v>1</v>
      </c>
      <c r="X3035">
        <v>173</v>
      </c>
      <c r="Y3035">
        <v>2</v>
      </c>
      <c r="Z3035">
        <v>9</v>
      </c>
      <c r="AA3035">
        <v>16</v>
      </c>
      <c r="AB3035">
        <v>5</v>
      </c>
      <c r="AD3035">
        <v>1</v>
      </c>
      <c r="AE3035">
        <v>2</v>
      </c>
      <c r="AF3035">
        <v>0</v>
      </c>
      <c r="AG3035">
        <v>0</v>
      </c>
      <c r="AH3035">
        <v>0</v>
      </c>
      <c r="AI3035">
        <v>0</v>
      </c>
      <c r="AJ3035">
        <v>8</v>
      </c>
      <c r="AK3035">
        <v>288</v>
      </c>
      <c r="AL3035">
        <v>288</v>
      </c>
      <c r="AM3035">
        <v>749</v>
      </c>
      <c r="AN3035">
        <v>44</v>
      </c>
      <c r="AP3035">
        <v>1</v>
      </c>
      <c r="AR3035" t="s">
        <v>3130</v>
      </c>
      <c r="AS3035" s="1">
        <v>44353.957638888889</v>
      </c>
      <c r="AT3035" s="1">
        <v>44353.965289351851</v>
      </c>
      <c r="AU3035" s="1">
        <v>44353.966354166667</v>
      </c>
      <c r="AV3035" t="s">
        <v>71</v>
      </c>
      <c r="AW3035" t="s">
        <v>72</v>
      </c>
      <c r="AX3035" t="s">
        <v>73</v>
      </c>
    </row>
    <row r="3036" spans="1:50" x14ac:dyDescent="0.3">
      <c r="A3036" t="str">
        <f>"202489B0000"</f>
        <v>202489B0000</v>
      </c>
      <c r="B3036" t="str">
        <f>"202489B00002"</f>
        <v>202489B00002</v>
      </c>
      <c r="C3036" t="str">
        <f t="shared" si="147"/>
        <v>20</v>
      </c>
      <c r="D3036" t="s">
        <v>67</v>
      </c>
      <c r="E3036" t="str">
        <f t="shared" si="146"/>
        <v>013</v>
      </c>
      <c r="F3036" t="s">
        <v>2914</v>
      </c>
      <c r="G3036" t="str">
        <f>"2489"</f>
        <v>2489</v>
      </c>
      <c r="H3036" t="str">
        <f>"0000"</f>
        <v>0000</v>
      </c>
      <c r="I3036" t="s">
        <v>69</v>
      </c>
      <c r="J3036">
        <v>0</v>
      </c>
      <c r="K3036">
        <v>1</v>
      </c>
      <c r="L3036">
        <v>2</v>
      </c>
      <c r="M3036">
        <v>359</v>
      </c>
      <c r="N3036">
        <v>9</v>
      </c>
      <c r="O3036">
        <v>0</v>
      </c>
      <c r="P3036">
        <v>233</v>
      </c>
      <c r="Q3036">
        <v>6</v>
      </c>
      <c r="R3036">
        <v>23</v>
      </c>
      <c r="S3036">
        <v>5</v>
      </c>
      <c r="T3036">
        <v>2</v>
      </c>
      <c r="U3036">
        <v>9</v>
      </c>
      <c r="V3036">
        <v>6</v>
      </c>
      <c r="W3036">
        <v>2</v>
      </c>
      <c r="X3036">
        <v>144</v>
      </c>
      <c r="Y3036">
        <v>1</v>
      </c>
      <c r="Z3036">
        <v>5</v>
      </c>
      <c r="AA3036">
        <v>9</v>
      </c>
      <c r="AB3036">
        <v>1</v>
      </c>
      <c r="AD3036">
        <v>1</v>
      </c>
      <c r="AE3036">
        <v>1</v>
      </c>
      <c r="AF3036">
        <v>0</v>
      </c>
      <c r="AG3036">
        <v>0</v>
      </c>
      <c r="AH3036">
        <v>0</v>
      </c>
      <c r="AI3036">
        <v>0</v>
      </c>
      <c r="AJ3036">
        <v>18</v>
      </c>
      <c r="AK3036">
        <v>233</v>
      </c>
      <c r="AL3036">
        <v>233</v>
      </c>
      <c r="AM3036">
        <v>548</v>
      </c>
      <c r="AN3036">
        <v>44</v>
      </c>
      <c r="AP3036">
        <v>1</v>
      </c>
      <c r="AR3036" t="s">
        <v>3131</v>
      </c>
      <c r="AS3036" s="1">
        <v>44354.104166666664</v>
      </c>
      <c r="AT3036" s="1">
        <v>44354.121307870373</v>
      </c>
      <c r="AU3036" s="1">
        <v>44354.122152777774</v>
      </c>
      <c r="AV3036" t="s">
        <v>71</v>
      </c>
      <c r="AW3036" t="s">
        <v>72</v>
      </c>
      <c r="AX3036" t="s">
        <v>73</v>
      </c>
    </row>
    <row r="3037" spans="1:50" x14ac:dyDescent="0.3">
      <c r="A3037" t="str">
        <f>"202490B0000"</f>
        <v>202490B0000</v>
      </c>
      <c r="B3037" t="str">
        <f>"202490B00002"</f>
        <v>202490B00002</v>
      </c>
      <c r="C3037" t="str">
        <f t="shared" si="147"/>
        <v>20</v>
      </c>
      <c r="D3037" t="s">
        <v>67</v>
      </c>
      <c r="E3037" t="str">
        <f t="shared" si="146"/>
        <v>013</v>
      </c>
      <c r="F3037" t="s">
        <v>2914</v>
      </c>
      <c r="G3037" t="str">
        <f>"2490"</f>
        <v>2490</v>
      </c>
      <c r="H3037" t="str">
        <f>"0000"</f>
        <v>0000</v>
      </c>
      <c r="I3037" t="s">
        <v>69</v>
      </c>
      <c r="J3037">
        <v>0</v>
      </c>
      <c r="K3037">
        <v>1</v>
      </c>
      <c r="L3037">
        <v>2</v>
      </c>
      <c r="M3037">
        <v>450</v>
      </c>
      <c r="N3037">
        <v>309</v>
      </c>
      <c r="O3037">
        <v>9</v>
      </c>
      <c r="P3037">
        <v>307</v>
      </c>
      <c r="Q3037">
        <v>6</v>
      </c>
      <c r="R3037">
        <v>26</v>
      </c>
      <c r="S3037">
        <v>4</v>
      </c>
      <c r="T3037">
        <v>4</v>
      </c>
      <c r="U3037">
        <v>15</v>
      </c>
      <c r="V3037">
        <v>6</v>
      </c>
      <c r="W3037">
        <v>10</v>
      </c>
      <c r="X3037">
        <v>196</v>
      </c>
      <c r="Y3037">
        <v>5</v>
      </c>
      <c r="Z3037">
        <v>9</v>
      </c>
      <c r="AA3037">
        <v>6</v>
      </c>
      <c r="AB3037">
        <v>7</v>
      </c>
      <c r="AD3037">
        <v>4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9</v>
      </c>
      <c r="AK3037">
        <v>307</v>
      </c>
      <c r="AL3037">
        <v>307</v>
      </c>
      <c r="AM3037">
        <v>714</v>
      </c>
      <c r="AN3037">
        <v>44</v>
      </c>
      <c r="AP3037">
        <v>1</v>
      </c>
      <c r="AR3037" t="s">
        <v>3132</v>
      </c>
      <c r="AS3037" s="1">
        <v>44353.879166666666</v>
      </c>
      <c r="AT3037" s="1">
        <v>44353.980543981481</v>
      </c>
      <c r="AU3037" s="1">
        <v>44353.981574074074</v>
      </c>
      <c r="AV3037" t="s">
        <v>71</v>
      </c>
      <c r="AW3037" t="s">
        <v>72</v>
      </c>
      <c r="AX3037" t="s">
        <v>73</v>
      </c>
    </row>
    <row r="3038" spans="1:50" x14ac:dyDescent="0.3">
      <c r="A3038" t="str">
        <f>"202490C0100"</f>
        <v>202490C0100</v>
      </c>
      <c r="B3038" t="str">
        <f>"202490C01002"</f>
        <v>202490C01002</v>
      </c>
      <c r="C3038" t="str">
        <f t="shared" si="147"/>
        <v>20</v>
      </c>
      <c r="D3038" t="s">
        <v>67</v>
      </c>
      <c r="E3038" t="str">
        <f t="shared" si="146"/>
        <v>013</v>
      </c>
      <c r="F3038" t="s">
        <v>2914</v>
      </c>
      <c r="G3038" t="str">
        <f>"2490"</f>
        <v>2490</v>
      </c>
      <c r="H3038" t="str">
        <f>"0001"</f>
        <v>0001</v>
      </c>
      <c r="I3038" t="s">
        <v>75</v>
      </c>
      <c r="J3038">
        <v>0</v>
      </c>
      <c r="K3038">
        <v>1</v>
      </c>
      <c r="L3038">
        <v>2</v>
      </c>
      <c r="M3038">
        <v>452</v>
      </c>
      <c r="N3038">
        <v>303</v>
      </c>
      <c r="O3038">
        <v>5</v>
      </c>
      <c r="P3038">
        <v>303</v>
      </c>
      <c r="Q3038">
        <v>14</v>
      </c>
      <c r="R3038">
        <v>26</v>
      </c>
      <c r="S3038">
        <v>2</v>
      </c>
      <c r="T3038">
        <v>5</v>
      </c>
      <c r="U3038">
        <v>11</v>
      </c>
      <c r="V3038">
        <v>6</v>
      </c>
      <c r="W3038">
        <v>6</v>
      </c>
      <c r="X3038">
        <v>206</v>
      </c>
      <c r="Y3038">
        <v>2</v>
      </c>
      <c r="Z3038">
        <v>6</v>
      </c>
      <c r="AA3038">
        <v>4</v>
      </c>
      <c r="AB3038">
        <v>3</v>
      </c>
      <c r="AD3038">
        <v>1</v>
      </c>
      <c r="AE3038">
        <v>0</v>
      </c>
      <c r="AF3038">
        <v>0</v>
      </c>
      <c r="AG3038">
        <v>0</v>
      </c>
      <c r="AH3038">
        <v>1</v>
      </c>
      <c r="AI3038">
        <v>0</v>
      </c>
      <c r="AJ3038">
        <v>10</v>
      </c>
      <c r="AK3038">
        <v>303</v>
      </c>
      <c r="AL3038">
        <v>303</v>
      </c>
      <c r="AM3038">
        <v>714</v>
      </c>
      <c r="AN3038">
        <v>44</v>
      </c>
      <c r="AP3038">
        <v>1</v>
      </c>
      <c r="AR3038" t="s">
        <v>3133</v>
      </c>
      <c r="AS3038" s="1">
        <v>44353.979861111111</v>
      </c>
      <c r="AT3038" s="1">
        <v>44353.981932870367</v>
      </c>
      <c r="AU3038" s="1">
        <v>44353.982581018521</v>
      </c>
      <c r="AV3038" t="s">
        <v>71</v>
      </c>
      <c r="AW3038" t="s">
        <v>72</v>
      </c>
      <c r="AX3038" t="s">
        <v>73</v>
      </c>
    </row>
    <row r="3039" spans="1:50" x14ac:dyDescent="0.3">
      <c r="A3039" t="str">
        <f>"202491B0000"</f>
        <v>202491B0000</v>
      </c>
      <c r="B3039" t="str">
        <f>"202491B00002"</f>
        <v>202491B00002</v>
      </c>
      <c r="C3039" t="str">
        <f t="shared" si="147"/>
        <v>20</v>
      </c>
      <c r="D3039" t="s">
        <v>67</v>
      </c>
      <c r="E3039" t="str">
        <f t="shared" si="146"/>
        <v>013</v>
      </c>
      <c r="F3039" t="s">
        <v>2914</v>
      </c>
      <c r="G3039" t="str">
        <f>"2491"</f>
        <v>2491</v>
      </c>
      <c r="H3039" t="str">
        <f>"0000"</f>
        <v>0000</v>
      </c>
      <c r="I3039" t="s">
        <v>69</v>
      </c>
      <c r="J3039">
        <v>0</v>
      </c>
      <c r="K3039">
        <v>1</v>
      </c>
      <c r="L3039">
        <v>2</v>
      </c>
      <c r="M3039">
        <v>423</v>
      </c>
      <c r="N3039">
        <v>260</v>
      </c>
      <c r="O3039">
        <v>9</v>
      </c>
      <c r="P3039">
        <v>260</v>
      </c>
      <c r="Q3039">
        <v>4</v>
      </c>
      <c r="R3039">
        <v>39</v>
      </c>
      <c r="S3039">
        <v>3</v>
      </c>
      <c r="T3039">
        <v>2</v>
      </c>
      <c r="U3039">
        <v>19</v>
      </c>
      <c r="V3039">
        <v>7</v>
      </c>
      <c r="W3039">
        <v>0</v>
      </c>
      <c r="X3039">
        <v>160</v>
      </c>
      <c r="Y3039">
        <v>2</v>
      </c>
      <c r="Z3039">
        <v>10</v>
      </c>
      <c r="AA3039">
        <v>2</v>
      </c>
      <c r="AB3039">
        <v>4</v>
      </c>
      <c r="AD3039">
        <v>2</v>
      </c>
      <c r="AE3039">
        <v>0</v>
      </c>
      <c r="AF3039">
        <v>0</v>
      </c>
      <c r="AG3039">
        <v>0</v>
      </c>
      <c r="AH3039">
        <v>1</v>
      </c>
      <c r="AI3039">
        <v>0</v>
      </c>
      <c r="AJ3039">
        <v>5</v>
      </c>
      <c r="AK3039">
        <v>260</v>
      </c>
      <c r="AL3039">
        <v>260</v>
      </c>
      <c r="AM3039">
        <v>638</v>
      </c>
      <c r="AN3039">
        <v>44</v>
      </c>
      <c r="AP3039">
        <v>1</v>
      </c>
      <c r="AR3039" t="s">
        <v>3134</v>
      </c>
      <c r="AS3039" s="1">
        <v>44353.861111111109</v>
      </c>
      <c r="AT3039" s="1">
        <v>44353.986006944448</v>
      </c>
      <c r="AU3039" s="1">
        <v>44353.986851851849</v>
      </c>
      <c r="AV3039" t="s">
        <v>71</v>
      </c>
      <c r="AW3039" t="s">
        <v>72</v>
      </c>
      <c r="AX3039" t="s">
        <v>73</v>
      </c>
    </row>
    <row r="3040" spans="1:50" x14ac:dyDescent="0.3">
      <c r="A3040" t="str">
        <f>"202491C0100"</f>
        <v>202491C0100</v>
      </c>
      <c r="B3040" t="str">
        <f>"202491C01002"</f>
        <v>202491C01002</v>
      </c>
      <c r="C3040" t="str">
        <f t="shared" si="147"/>
        <v>20</v>
      </c>
      <c r="D3040" t="s">
        <v>67</v>
      </c>
      <c r="E3040" t="str">
        <f t="shared" si="146"/>
        <v>013</v>
      </c>
      <c r="F3040" t="s">
        <v>2914</v>
      </c>
      <c r="G3040" t="str">
        <f>"2491"</f>
        <v>2491</v>
      </c>
      <c r="H3040" t="str">
        <f>"0001"</f>
        <v>0001</v>
      </c>
      <c r="I3040" t="s">
        <v>75</v>
      </c>
      <c r="J3040">
        <v>0</v>
      </c>
      <c r="K3040">
        <v>1</v>
      </c>
      <c r="L3040">
        <v>2</v>
      </c>
      <c r="M3040">
        <v>453</v>
      </c>
      <c r="N3040">
        <v>229</v>
      </c>
      <c r="O3040">
        <v>6</v>
      </c>
      <c r="P3040">
        <v>229</v>
      </c>
      <c r="Q3040">
        <v>11</v>
      </c>
      <c r="R3040">
        <v>28</v>
      </c>
      <c r="S3040">
        <v>0</v>
      </c>
      <c r="T3040">
        <v>2</v>
      </c>
      <c r="U3040">
        <v>11</v>
      </c>
      <c r="V3040">
        <v>5</v>
      </c>
      <c r="W3040">
        <v>3</v>
      </c>
      <c r="X3040">
        <v>143</v>
      </c>
      <c r="Y3040">
        <v>2</v>
      </c>
      <c r="Z3040">
        <v>3</v>
      </c>
      <c r="AA3040">
        <v>6</v>
      </c>
      <c r="AB3040">
        <v>2</v>
      </c>
      <c r="AD3040">
        <v>3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10</v>
      </c>
      <c r="AK3040">
        <v>229</v>
      </c>
      <c r="AL3040">
        <v>229</v>
      </c>
      <c r="AM3040">
        <v>638</v>
      </c>
      <c r="AN3040">
        <v>44</v>
      </c>
      <c r="AP3040">
        <v>1</v>
      </c>
      <c r="AR3040" t="s">
        <v>3135</v>
      </c>
      <c r="AS3040" s="1">
        <v>44354.094444444447</v>
      </c>
      <c r="AT3040" s="1">
        <v>44354.106805555559</v>
      </c>
      <c r="AU3040" s="1">
        <v>44354.107152777775</v>
      </c>
      <c r="AV3040" t="s">
        <v>71</v>
      </c>
      <c r="AW3040" t="s">
        <v>72</v>
      </c>
      <c r="AX3040" t="s">
        <v>73</v>
      </c>
    </row>
    <row r="3041" spans="1:50" x14ac:dyDescent="0.3">
      <c r="A3041" t="str">
        <f>"202492B0000"</f>
        <v>202492B0000</v>
      </c>
      <c r="B3041" t="str">
        <f>"202492B00002"</f>
        <v>202492B00002</v>
      </c>
      <c r="C3041" t="str">
        <f t="shared" si="147"/>
        <v>20</v>
      </c>
      <c r="D3041" t="s">
        <v>67</v>
      </c>
      <c r="E3041" t="str">
        <f t="shared" si="146"/>
        <v>013</v>
      </c>
      <c r="F3041" t="s">
        <v>2914</v>
      </c>
      <c r="G3041" t="str">
        <f>"2492"</f>
        <v>2492</v>
      </c>
      <c r="H3041" t="str">
        <f>"0000"</f>
        <v>0000</v>
      </c>
      <c r="I3041" t="s">
        <v>69</v>
      </c>
      <c r="J3041">
        <v>0</v>
      </c>
      <c r="K3041">
        <v>1</v>
      </c>
      <c r="L3041">
        <v>2</v>
      </c>
      <c r="M3041">
        <v>398</v>
      </c>
      <c r="N3041">
        <v>245</v>
      </c>
      <c r="O3041">
        <v>5</v>
      </c>
      <c r="P3041">
        <v>1</v>
      </c>
      <c r="Q3041">
        <v>4</v>
      </c>
      <c r="R3041">
        <v>37</v>
      </c>
      <c r="S3041">
        <v>4</v>
      </c>
      <c r="T3041">
        <v>3</v>
      </c>
      <c r="U3041">
        <v>14</v>
      </c>
      <c r="V3041">
        <v>3</v>
      </c>
      <c r="W3041">
        <v>4</v>
      </c>
      <c r="X3041">
        <v>147</v>
      </c>
      <c r="Y3041">
        <v>3</v>
      </c>
      <c r="Z3041">
        <v>9</v>
      </c>
      <c r="AA3041">
        <v>3</v>
      </c>
      <c r="AB3041">
        <v>2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12</v>
      </c>
      <c r="AK3041">
        <v>245</v>
      </c>
      <c r="AL3041">
        <v>245</v>
      </c>
      <c r="AM3041">
        <v>599</v>
      </c>
      <c r="AN3041">
        <v>44</v>
      </c>
      <c r="AP3041">
        <v>1</v>
      </c>
      <c r="AR3041" t="s">
        <v>3136</v>
      </c>
      <c r="AS3041" s="1">
        <v>44353.830555555556</v>
      </c>
      <c r="AT3041" s="1">
        <v>44354.028912037036</v>
      </c>
      <c r="AU3041" s="1">
        <v>44354.029305555552</v>
      </c>
      <c r="AV3041" t="s">
        <v>71</v>
      </c>
      <c r="AW3041" t="s">
        <v>72</v>
      </c>
      <c r="AX3041" t="s">
        <v>73</v>
      </c>
    </row>
    <row r="3042" spans="1:50" x14ac:dyDescent="0.3">
      <c r="A3042" t="str">
        <f>"202492C0100"</f>
        <v>202492C0100</v>
      </c>
      <c r="B3042" t="str">
        <f>"202492C01002"</f>
        <v>202492C01002</v>
      </c>
      <c r="C3042" t="str">
        <f t="shared" si="147"/>
        <v>20</v>
      </c>
      <c r="D3042" t="s">
        <v>67</v>
      </c>
      <c r="E3042" t="str">
        <f t="shared" si="146"/>
        <v>013</v>
      </c>
      <c r="F3042" t="s">
        <v>2914</v>
      </c>
      <c r="G3042" t="str">
        <f>"2492"</f>
        <v>2492</v>
      </c>
      <c r="H3042" t="str">
        <f>"0001"</f>
        <v>0001</v>
      </c>
      <c r="I3042" t="s">
        <v>75</v>
      </c>
      <c r="J3042">
        <v>0</v>
      </c>
      <c r="K3042">
        <v>1</v>
      </c>
      <c r="L3042">
        <v>2</v>
      </c>
      <c r="M3042">
        <v>444</v>
      </c>
      <c r="N3042">
        <v>198</v>
      </c>
      <c r="O3042">
        <v>7</v>
      </c>
      <c r="P3042">
        <v>198</v>
      </c>
      <c r="Q3042">
        <v>5</v>
      </c>
      <c r="R3042">
        <v>33</v>
      </c>
      <c r="S3042">
        <v>3</v>
      </c>
      <c r="T3042">
        <v>3</v>
      </c>
      <c r="U3042">
        <v>19</v>
      </c>
      <c r="V3042">
        <v>1</v>
      </c>
      <c r="W3042">
        <v>3</v>
      </c>
      <c r="X3042">
        <v>109</v>
      </c>
      <c r="Y3042">
        <v>5</v>
      </c>
      <c r="Z3042">
        <v>8</v>
      </c>
      <c r="AA3042">
        <v>3</v>
      </c>
      <c r="AB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6</v>
      </c>
      <c r="AK3042">
        <v>198</v>
      </c>
      <c r="AL3042">
        <v>198</v>
      </c>
      <c r="AM3042">
        <v>598</v>
      </c>
      <c r="AN3042">
        <v>44</v>
      </c>
      <c r="AP3042">
        <v>1</v>
      </c>
      <c r="AR3042" t="s">
        <v>3137</v>
      </c>
      <c r="AS3042" s="1">
        <v>44354.030555555553</v>
      </c>
      <c r="AT3042" s="1">
        <v>44354.046932870369</v>
      </c>
      <c r="AU3042" s="1">
        <v>44354.047233796293</v>
      </c>
      <c r="AV3042" t="s">
        <v>71</v>
      </c>
      <c r="AW3042" t="s">
        <v>72</v>
      </c>
      <c r="AX3042" t="s">
        <v>73</v>
      </c>
    </row>
    <row r="3043" spans="1:50" x14ac:dyDescent="0.3">
      <c r="A3043" t="str">
        <f>"200471B0000"</f>
        <v>200471B0000</v>
      </c>
      <c r="B3043" t="str">
        <f>"200471B00002"</f>
        <v>200471B00002</v>
      </c>
      <c r="C3043" t="str">
        <f t="shared" si="147"/>
        <v>20</v>
      </c>
      <c r="D3043" t="s">
        <v>67</v>
      </c>
      <c r="E3043" t="str">
        <f t="shared" ref="E3043:E3106" si="148">"014"</f>
        <v>014</v>
      </c>
      <c r="F3043" t="s">
        <v>2914</v>
      </c>
      <c r="G3043" t="str">
        <f t="shared" ref="G3043:G3052" si="149">"0471"</f>
        <v>0471</v>
      </c>
      <c r="H3043" t="str">
        <f>"0000"</f>
        <v>0000</v>
      </c>
      <c r="I3043" t="s">
        <v>69</v>
      </c>
      <c r="J3043">
        <v>0</v>
      </c>
      <c r="K3043">
        <v>1</v>
      </c>
      <c r="L3043">
        <v>2</v>
      </c>
      <c r="M3043">
        <v>467</v>
      </c>
      <c r="N3043">
        <v>290</v>
      </c>
      <c r="O3043">
        <v>8</v>
      </c>
      <c r="P3043">
        <v>289</v>
      </c>
      <c r="Q3043">
        <v>8</v>
      </c>
      <c r="R3043">
        <v>61</v>
      </c>
      <c r="S3043">
        <v>8</v>
      </c>
      <c r="T3043">
        <v>5</v>
      </c>
      <c r="U3043">
        <v>9</v>
      </c>
      <c r="V3043">
        <v>4</v>
      </c>
      <c r="W3043">
        <v>2</v>
      </c>
      <c r="X3043">
        <v>136</v>
      </c>
      <c r="Y3043">
        <v>26</v>
      </c>
      <c r="Z3043">
        <v>5</v>
      </c>
      <c r="AA3043">
        <v>3</v>
      </c>
      <c r="AB3043">
        <v>9</v>
      </c>
      <c r="AD3043">
        <v>1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12</v>
      </c>
      <c r="AK3043">
        <v>289</v>
      </c>
      <c r="AL3043">
        <v>289</v>
      </c>
      <c r="AM3043">
        <v>712</v>
      </c>
      <c r="AN3043">
        <v>44</v>
      </c>
      <c r="AP3043">
        <v>1</v>
      </c>
      <c r="AR3043" t="s">
        <v>3138</v>
      </c>
      <c r="AS3043" s="1">
        <v>44353.871527777781</v>
      </c>
      <c r="AT3043" s="1">
        <v>44354.014421296299</v>
      </c>
      <c r="AU3043" s="1">
        <v>44354.0153125</v>
      </c>
      <c r="AV3043" t="s">
        <v>71</v>
      </c>
      <c r="AW3043" t="s">
        <v>72</v>
      </c>
      <c r="AX3043" t="s">
        <v>73</v>
      </c>
    </row>
    <row r="3044" spans="1:50" x14ac:dyDescent="0.3">
      <c r="A3044" t="str">
        <f>"200471C0100"</f>
        <v>200471C0100</v>
      </c>
      <c r="B3044" t="str">
        <f>"200471C01002"</f>
        <v>200471C01002</v>
      </c>
      <c r="C3044" t="str">
        <f t="shared" si="147"/>
        <v>20</v>
      </c>
      <c r="D3044" t="s">
        <v>67</v>
      </c>
      <c r="E3044" t="str">
        <f t="shared" si="148"/>
        <v>014</v>
      </c>
      <c r="F3044" t="s">
        <v>2914</v>
      </c>
      <c r="G3044" t="str">
        <f t="shared" si="149"/>
        <v>0471</v>
      </c>
      <c r="H3044" t="str">
        <f>"0001"</f>
        <v>0001</v>
      </c>
      <c r="I3044" t="s">
        <v>75</v>
      </c>
      <c r="J3044">
        <v>0</v>
      </c>
      <c r="K3044">
        <v>1</v>
      </c>
      <c r="L3044">
        <v>2</v>
      </c>
      <c r="M3044">
        <v>401</v>
      </c>
      <c r="N3044">
        <v>352</v>
      </c>
      <c r="O3044">
        <v>8</v>
      </c>
      <c r="P3044">
        <v>354</v>
      </c>
      <c r="Q3044">
        <v>13</v>
      </c>
      <c r="R3044">
        <v>69</v>
      </c>
      <c r="S3044">
        <v>4</v>
      </c>
      <c r="T3044">
        <v>13</v>
      </c>
      <c r="U3044">
        <v>14</v>
      </c>
      <c r="V3044">
        <v>5</v>
      </c>
      <c r="W3044">
        <v>4</v>
      </c>
      <c r="X3044">
        <v>171</v>
      </c>
      <c r="Y3044">
        <v>21</v>
      </c>
      <c r="Z3044">
        <v>4</v>
      </c>
      <c r="AA3044">
        <v>9</v>
      </c>
      <c r="AB3044">
        <v>9</v>
      </c>
      <c r="AD3044">
        <v>4</v>
      </c>
      <c r="AE3044">
        <v>1</v>
      </c>
      <c r="AF3044">
        <v>0</v>
      </c>
      <c r="AG3044">
        <v>0</v>
      </c>
      <c r="AH3044">
        <v>0</v>
      </c>
      <c r="AI3044">
        <v>10</v>
      </c>
      <c r="AJ3044">
        <v>13</v>
      </c>
      <c r="AK3044">
        <v>354</v>
      </c>
      <c r="AL3044">
        <v>364</v>
      </c>
      <c r="AM3044">
        <v>711</v>
      </c>
      <c r="AN3044">
        <v>44</v>
      </c>
      <c r="AP3044">
        <v>1</v>
      </c>
      <c r="AR3044" t="s">
        <v>3139</v>
      </c>
      <c r="AS3044" s="1">
        <v>44354.006944444445</v>
      </c>
      <c r="AT3044" s="1">
        <v>44354.016435185185</v>
      </c>
      <c r="AU3044" s="1">
        <v>44354.019201388888</v>
      </c>
      <c r="AV3044" t="s">
        <v>71</v>
      </c>
      <c r="AW3044" t="s">
        <v>72</v>
      </c>
      <c r="AX3044" t="s">
        <v>73</v>
      </c>
    </row>
    <row r="3045" spans="1:50" x14ac:dyDescent="0.3">
      <c r="A3045" t="str">
        <f>"200471C0200"</f>
        <v>200471C0200</v>
      </c>
      <c r="B3045" t="str">
        <f>"200471C02002"</f>
        <v>200471C02002</v>
      </c>
      <c r="C3045" t="str">
        <f t="shared" si="147"/>
        <v>20</v>
      </c>
      <c r="D3045" t="s">
        <v>67</v>
      </c>
      <c r="E3045" t="str">
        <f t="shared" si="148"/>
        <v>014</v>
      </c>
      <c r="F3045" t="s">
        <v>2914</v>
      </c>
      <c r="G3045" t="str">
        <f t="shared" si="149"/>
        <v>0471</v>
      </c>
      <c r="H3045" t="str">
        <f>"0002"</f>
        <v>0002</v>
      </c>
      <c r="I3045" t="s">
        <v>75</v>
      </c>
      <c r="J3045">
        <v>0</v>
      </c>
      <c r="K3045">
        <v>1</v>
      </c>
      <c r="L3045">
        <v>2</v>
      </c>
      <c r="M3045">
        <v>455</v>
      </c>
      <c r="N3045">
        <v>301</v>
      </c>
      <c r="O3045">
        <v>4</v>
      </c>
      <c r="P3045">
        <v>301</v>
      </c>
      <c r="Q3045">
        <v>7</v>
      </c>
      <c r="R3045">
        <v>59</v>
      </c>
      <c r="S3045">
        <v>8</v>
      </c>
      <c r="T3045">
        <v>7</v>
      </c>
      <c r="U3045">
        <v>14</v>
      </c>
      <c r="V3045">
        <v>2</v>
      </c>
      <c r="W3045">
        <v>2</v>
      </c>
      <c r="X3045">
        <v>149</v>
      </c>
      <c r="Y3045">
        <v>24</v>
      </c>
      <c r="Z3045">
        <v>2</v>
      </c>
      <c r="AA3045">
        <v>12</v>
      </c>
      <c r="AB3045">
        <v>10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5</v>
      </c>
      <c r="AK3045">
        <v>301</v>
      </c>
      <c r="AL3045">
        <v>301</v>
      </c>
      <c r="AM3045">
        <v>711</v>
      </c>
      <c r="AN3045">
        <v>44</v>
      </c>
      <c r="AP3045">
        <v>1</v>
      </c>
      <c r="AR3045" t="s">
        <v>3140</v>
      </c>
      <c r="AS3045" s="1">
        <v>44353.87222222222</v>
      </c>
      <c r="AT3045" s="1">
        <v>44354.013842592591</v>
      </c>
      <c r="AU3045" s="1">
        <v>44354.014305555553</v>
      </c>
      <c r="AV3045" t="s">
        <v>71</v>
      </c>
      <c r="AW3045" t="s">
        <v>72</v>
      </c>
      <c r="AX3045" t="s">
        <v>73</v>
      </c>
    </row>
    <row r="3046" spans="1:50" x14ac:dyDescent="0.3">
      <c r="A3046" t="str">
        <f>"200471C0300"</f>
        <v>200471C0300</v>
      </c>
      <c r="B3046" t="str">
        <f>"200471C03002"</f>
        <v>200471C03002</v>
      </c>
      <c r="C3046" t="str">
        <f t="shared" si="147"/>
        <v>20</v>
      </c>
      <c r="D3046" t="s">
        <v>67</v>
      </c>
      <c r="E3046" t="str">
        <f t="shared" si="148"/>
        <v>014</v>
      </c>
      <c r="F3046" t="s">
        <v>2914</v>
      </c>
      <c r="G3046" t="str">
        <f t="shared" si="149"/>
        <v>0471</v>
      </c>
      <c r="H3046" t="str">
        <f>"0003"</f>
        <v>0003</v>
      </c>
      <c r="I3046" t="s">
        <v>75</v>
      </c>
      <c r="J3046">
        <v>0</v>
      </c>
      <c r="K3046">
        <v>1</v>
      </c>
      <c r="L3046">
        <v>2</v>
      </c>
      <c r="M3046">
        <v>400</v>
      </c>
      <c r="N3046">
        <v>364</v>
      </c>
      <c r="O3046">
        <v>7</v>
      </c>
      <c r="P3046">
        <v>354</v>
      </c>
      <c r="Q3046">
        <v>15</v>
      </c>
      <c r="R3046">
        <v>68</v>
      </c>
      <c r="S3046">
        <v>1</v>
      </c>
      <c r="T3046">
        <v>13</v>
      </c>
      <c r="U3046">
        <v>8</v>
      </c>
      <c r="V3046">
        <v>4</v>
      </c>
      <c r="W3046">
        <v>4</v>
      </c>
      <c r="X3046">
        <v>182</v>
      </c>
      <c r="Y3046">
        <v>27</v>
      </c>
      <c r="Z3046">
        <v>5</v>
      </c>
      <c r="AA3046">
        <v>8</v>
      </c>
      <c r="AB3046">
        <v>5</v>
      </c>
      <c r="AD3046">
        <v>2</v>
      </c>
      <c r="AE3046">
        <v>2</v>
      </c>
      <c r="AF3046" t="s">
        <v>77</v>
      </c>
      <c r="AG3046" t="s">
        <v>77</v>
      </c>
      <c r="AH3046" t="s">
        <v>77</v>
      </c>
      <c r="AI3046" t="s">
        <v>77</v>
      </c>
      <c r="AJ3046">
        <v>10</v>
      </c>
      <c r="AK3046" t="s">
        <v>77</v>
      </c>
      <c r="AL3046">
        <v>354</v>
      </c>
      <c r="AM3046">
        <v>711</v>
      </c>
      <c r="AN3046">
        <v>44</v>
      </c>
      <c r="AO3046" t="s">
        <v>78</v>
      </c>
      <c r="AP3046">
        <v>1</v>
      </c>
      <c r="AR3046" t="s">
        <v>3141</v>
      </c>
      <c r="AS3046" s="1">
        <v>44353.998611111114</v>
      </c>
      <c r="AT3046" s="1">
        <v>44354.01425925926</v>
      </c>
      <c r="AU3046" s="1">
        <v>44354.014814814815</v>
      </c>
      <c r="AV3046" t="s">
        <v>71</v>
      </c>
      <c r="AW3046" t="s">
        <v>72</v>
      </c>
      <c r="AX3046" t="s">
        <v>73</v>
      </c>
    </row>
    <row r="3047" spans="1:50" x14ac:dyDescent="0.3">
      <c r="A3047" t="str">
        <f>"200471E0100"</f>
        <v>200471E0100</v>
      </c>
      <c r="B3047" t="str">
        <f>"200471E01002"</f>
        <v>200471E01002</v>
      </c>
      <c r="C3047" t="str">
        <f t="shared" si="147"/>
        <v>20</v>
      </c>
      <c r="D3047" t="s">
        <v>67</v>
      </c>
      <c r="E3047" t="str">
        <f t="shared" si="148"/>
        <v>014</v>
      </c>
      <c r="F3047" t="s">
        <v>2914</v>
      </c>
      <c r="G3047" t="str">
        <f t="shared" si="149"/>
        <v>0471</v>
      </c>
      <c r="H3047" t="str">
        <f>"0001"</f>
        <v>0001</v>
      </c>
      <c r="I3047" t="s">
        <v>109</v>
      </c>
      <c r="J3047">
        <v>0</v>
      </c>
      <c r="K3047">
        <v>1</v>
      </c>
      <c r="L3047">
        <v>2</v>
      </c>
      <c r="M3047">
        <v>302</v>
      </c>
      <c r="N3047">
        <v>272</v>
      </c>
      <c r="O3047">
        <v>8</v>
      </c>
      <c r="P3047">
        <v>272</v>
      </c>
      <c r="Q3047">
        <v>15</v>
      </c>
      <c r="R3047">
        <v>55</v>
      </c>
      <c r="S3047">
        <v>1</v>
      </c>
      <c r="T3047">
        <v>8</v>
      </c>
      <c r="U3047">
        <v>5</v>
      </c>
      <c r="V3047">
        <v>2</v>
      </c>
      <c r="W3047">
        <v>2</v>
      </c>
      <c r="X3047">
        <v>138</v>
      </c>
      <c r="Y3047">
        <v>17</v>
      </c>
      <c r="Z3047">
        <v>1</v>
      </c>
      <c r="AA3047">
        <v>0</v>
      </c>
      <c r="AB3047">
        <v>15</v>
      </c>
      <c r="AD3047">
        <v>3</v>
      </c>
      <c r="AE3047">
        <v>1</v>
      </c>
      <c r="AF3047">
        <v>0</v>
      </c>
      <c r="AG3047">
        <v>1</v>
      </c>
      <c r="AH3047">
        <v>0</v>
      </c>
      <c r="AI3047">
        <v>0</v>
      </c>
      <c r="AJ3047">
        <v>8</v>
      </c>
      <c r="AK3047">
        <v>272</v>
      </c>
      <c r="AL3047">
        <v>272</v>
      </c>
      <c r="AM3047">
        <v>530</v>
      </c>
      <c r="AN3047">
        <v>44</v>
      </c>
      <c r="AP3047">
        <v>1</v>
      </c>
      <c r="AR3047" t="s">
        <v>3142</v>
      </c>
      <c r="AS3047" s="1">
        <v>44354.020833333336</v>
      </c>
      <c r="AT3047" s="1">
        <v>44354.03019675926</v>
      </c>
      <c r="AU3047" s="1">
        <v>44354.030902777777</v>
      </c>
      <c r="AV3047" t="s">
        <v>71</v>
      </c>
      <c r="AW3047" t="s">
        <v>72</v>
      </c>
      <c r="AX3047" t="s">
        <v>73</v>
      </c>
    </row>
    <row r="3048" spans="1:50" x14ac:dyDescent="0.3">
      <c r="A3048" t="str">
        <f>"200471E0101"</f>
        <v>200471E0101</v>
      </c>
      <c r="B3048" t="str">
        <f>"200471E01012"</f>
        <v>200471E01012</v>
      </c>
      <c r="C3048" t="str">
        <f t="shared" si="147"/>
        <v>20</v>
      </c>
      <c r="D3048" t="s">
        <v>67</v>
      </c>
      <c r="E3048" t="str">
        <f t="shared" si="148"/>
        <v>014</v>
      </c>
      <c r="F3048" t="s">
        <v>2914</v>
      </c>
      <c r="G3048" t="str">
        <f t="shared" si="149"/>
        <v>0471</v>
      </c>
      <c r="H3048" t="str">
        <f>"0001"</f>
        <v>0001</v>
      </c>
      <c r="I3048" t="s">
        <v>109</v>
      </c>
      <c r="J3048">
        <v>1</v>
      </c>
      <c r="K3048">
        <v>1</v>
      </c>
      <c r="L3048">
        <v>2</v>
      </c>
      <c r="M3048">
        <v>318</v>
      </c>
      <c r="N3048">
        <v>255</v>
      </c>
      <c r="O3048">
        <v>8</v>
      </c>
      <c r="P3048">
        <v>255</v>
      </c>
      <c r="Q3048">
        <v>8</v>
      </c>
      <c r="R3048">
        <v>59</v>
      </c>
      <c r="S3048">
        <v>2</v>
      </c>
      <c r="T3048">
        <v>12</v>
      </c>
      <c r="U3048">
        <v>3</v>
      </c>
      <c r="V3048">
        <v>5</v>
      </c>
      <c r="W3048">
        <v>2</v>
      </c>
      <c r="X3048">
        <v>125</v>
      </c>
      <c r="Y3048">
        <v>12</v>
      </c>
      <c r="Z3048">
        <v>10</v>
      </c>
      <c r="AA3048">
        <v>2</v>
      </c>
      <c r="AB3048">
        <v>8</v>
      </c>
      <c r="AD3048">
        <v>3</v>
      </c>
      <c r="AE3048">
        <v>0</v>
      </c>
      <c r="AF3048">
        <v>0</v>
      </c>
      <c r="AG3048">
        <v>0</v>
      </c>
      <c r="AH3048">
        <v>1</v>
      </c>
      <c r="AI3048">
        <v>0</v>
      </c>
      <c r="AJ3048">
        <v>3</v>
      </c>
      <c r="AK3048">
        <v>255</v>
      </c>
      <c r="AL3048">
        <v>255</v>
      </c>
      <c r="AM3048">
        <v>530</v>
      </c>
      <c r="AN3048">
        <v>44</v>
      </c>
      <c r="AP3048">
        <v>1</v>
      </c>
      <c r="AR3048" t="s">
        <v>3143</v>
      </c>
      <c r="AS3048" s="1">
        <v>44354.021527777775</v>
      </c>
      <c r="AT3048" s="1">
        <v>44354.034814814811</v>
      </c>
      <c r="AU3048" s="1">
        <v>44354.035196759258</v>
      </c>
      <c r="AV3048" t="s">
        <v>71</v>
      </c>
      <c r="AW3048" t="s">
        <v>72</v>
      </c>
      <c r="AX3048" t="s">
        <v>73</v>
      </c>
    </row>
    <row r="3049" spans="1:50" x14ac:dyDescent="0.3">
      <c r="A3049" t="str">
        <f>"200471E0102"</f>
        <v>200471E0102</v>
      </c>
      <c r="B3049" t="str">
        <f>"200471E01022"</f>
        <v>200471E01022</v>
      </c>
      <c r="C3049" t="str">
        <f t="shared" si="147"/>
        <v>20</v>
      </c>
      <c r="D3049" t="s">
        <v>67</v>
      </c>
      <c r="E3049" t="str">
        <f t="shared" si="148"/>
        <v>014</v>
      </c>
      <c r="F3049" t="s">
        <v>2914</v>
      </c>
      <c r="G3049" t="str">
        <f t="shared" si="149"/>
        <v>0471</v>
      </c>
      <c r="H3049" t="str">
        <f>"0001"</f>
        <v>0001</v>
      </c>
      <c r="I3049" t="s">
        <v>109</v>
      </c>
      <c r="J3049">
        <v>2</v>
      </c>
      <c r="K3049">
        <v>1</v>
      </c>
      <c r="L3049">
        <v>2</v>
      </c>
      <c r="M3049">
        <v>320</v>
      </c>
      <c r="N3049">
        <v>253</v>
      </c>
      <c r="O3049">
        <v>8</v>
      </c>
      <c r="P3049">
        <v>253</v>
      </c>
      <c r="Q3049">
        <v>10</v>
      </c>
      <c r="R3049">
        <v>46</v>
      </c>
      <c r="S3049">
        <v>3</v>
      </c>
      <c r="T3049">
        <v>7</v>
      </c>
      <c r="U3049">
        <v>8</v>
      </c>
      <c r="V3049">
        <v>2</v>
      </c>
      <c r="W3049">
        <v>2</v>
      </c>
      <c r="X3049">
        <v>127</v>
      </c>
      <c r="Y3049">
        <v>10</v>
      </c>
      <c r="Z3049">
        <v>3</v>
      </c>
      <c r="AA3049">
        <v>4</v>
      </c>
      <c r="AB3049">
        <v>16</v>
      </c>
      <c r="AD3049">
        <v>4</v>
      </c>
      <c r="AE3049">
        <v>1</v>
      </c>
      <c r="AF3049">
        <v>0</v>
      </c>
      <c r="AG3049">
        <v>0</v>
      </c>
      <c r="AH3049">
        <v>0</v>
      </c>
      <c r="AI3049">
        <v>1</v>
      </c>
      <c r="AJ3049">
        <v>9</v>
      </c>
      <c r="AK3049">
        <v>253</v>
      </c>
      <c r="AL3049">
        <v>253</v>
      </c>
      <c r="AM3049">
        <v>529</v>
      </c>
      <c r="AN3049">
        <v>44</v>
      </c>
      <c r="AP3049">
        <v>1</v>
      </c>
      <c r="AR3049" t="s">
        <v>3144</v>
      </c>
      <c r="AS3049" s="1">
        <v>44354.021527777775</v>
      </c>
      <c r="AT3049" s="1">
        <v>44354.033622685187</v>
      </c>
      <c r="AU3049" s="1">
        <v>44354.034166666665</v>
      </c>
      <c r="AV3049" t="s">
        <v>71</v>
      </c>
      <c r="AW3049" t="s">
        <v>72</v>
      </c>
      <c r="AX3049" t="s">
        <v>73</v>
      </c>
    </row>
    <row r="3050" spans="1:50" x14ac:dyDescent="0.3">
      <c r="A3050" t="str">
        <f>"200471E0200"</f>
        <v>200471E0200</v>
      </c>
      <c r="B3050" t="str">
        <f>"200471E02002"</f>
        <v>200471E02002</v>
      </c>
      <c r="C3050" t="str">
        <f t="shared" si="147"/>
        <v>20</v>
      </c>
      <c r="D3050" t="s">
        <v>67</v>
      </c>
      <c r="E3050" t="str">
        <f t="shared" si="148"/>
        <v>014</v>
      </c>
      <c r="F3050" t="s">
        <v>2914</v>
      </c>
      <c r="G3050" t="str">
        <f t="shared" si="149"/>
        <v>0471</v>
      </c>
      <c r="H3050" t="str">
        <f>"0002"</f>
        <v>0002</v>
      </c>
      <c r="I3050" t="s">
        <v>109</v>
      </c>
      <c r="J3050">
        <v>0</v>
      </c>
      <c r="K3050">
        <v>1</v>
      </c>
      <c r="L3050">
        <v>2</v>
      </c>
      <c r="M3050">
        <v>453</v>
      </c>
      <c r="N3050">
        <v>339</v>
      </c>
      <c r="O3050">
        <v>9</v>
      </c>
      <c r="P3050" t="s">
        <v>80</v>
      </c>
      <c r="Q3050">
        <v>14</v>
      </c>
      <c r="R3050">
        <v>52</v>
      </c>
      <c r="S3050">
        <v>4</v>
      </c>
      <c r="T3050">
        <v>7</v>
      </c>
      <c r="U3050">
        <v>11</v>
      </c>
      <c r="V3050">
        <v>4</v>
      </c>
      <c r="W3050">
        <v>2</v>
      </c>
      <c r="X3050">
        <v>185</v>
      </c>
      <c r="Y3050">
        <v>12</v>
      </c>
      <c r="Z3050">
        <v>9</v>
      </c>
      <c r="AA3050">
        <v>11</v>
      </c>
      <c r="AB3050">
        <v>11</v>
      </c>
      <c r="AD3050">
        <v>5</v>
      </c>
      <c r="AE3050">
        <v>0</v>
      </c>
      <c r="AF3050">
        <v>0</v>
      </c>
      <c r="AG3050">
        <v>0</v>
      </c>
      <c r="AH3050">
        <v>1</v>
      </c>
      <c r="AI3050">
        <v>1</v>
      </c>
      <c r="AJ3050">
        <v>7</v>
      </c>
      <c r="AK3050">
        <v>336</v>
      </c>
      <c r="AL3050">
        <v>336</v>
      </c>
      <c r="AM3050">
        <v>748</v>
      </c>
      <c r="AN3050">
        <v>44</v>
      </c>
      <c r="AP3050">
        <v>1</v>
      </c>
      <c r="AR3050" t="s">
        <v>3145</v>
      </c>
      <c r="AS3050" s="1">
        <v>44353.90347222222</v>
      </c>
      <c r="AT3050" s="1">
        <v>44354.013009259259</v>
      </c>
      <c r="AU3050" s="1">
        <v>44354.01363425926</v>
      </c>
      <c r="AV3050" t="s">
        <v>71</v>
      </c>
      <c r="AW3050" t="s">
        <v>72</v>
      </c>
      <c r="AX3050" t="s">
        <v>73</v>
      </c>
    </row>
    <row r="3051" spans="1:50" x14ac:dyDescent="0.3">
      <c r="A3051" t="str">
        <f>"200471E0201"</f>
        <v>200471E0201</v>
      </c>
      <c r="B3051" t="str">
        <f>"200471E02012"</f>
        <v>200471E02012</v>
      </c>
      <c r="C3051" t="str">
        <f t="shared" si="147"/>
        <v>20</v>
      </c>
      <c r="D3051" t="s">
        <v>67</v>
      </c>
      <c r="E3051" t="str">
        <f t="shared" si="148"/>
        <v>014</v>
      </c>
      <c r="F3051" t="s">
        <v>2914</v>
      </c>
      <c r="G3051" t="str">
        <f t="shared" si="149"/>
        <v>0471</v>
      </c>
      <c r="H3051" t="str">
        <f>"0002"</f>
        <v>0002</v>
      </c>
      <c r="I3051" t="s">
        <v>109</v>
      </c>
      <c r="J3051">
        <v>1</v>
      </c>
      <c r="K3051">
        <v>1</v>
      </c>
      <c r="L3051">
        <v>2</v>
      </c>
      <c r="M3051">
        <v>501</v>
      </c>
      <c r="N3051">
        <v>291</v>
      </c>
      <c r="O3051">
        <v>8</v>
      </c>
      <c r="P3051">
        <v>292</v>
      </c>
      <c r="Q3051">
        <v>17</v>
      </c>
      <c r="R3051">
        <v>45</v>
      </c>
      <c r="S3051">
        <v>1</v>
      </c>
      <c r="T3051">
        <v>25</v>
      </c>
      <c r="U3051">
        <v>7</v>
      </c>
      <c r="V3051">
        <v>7</v>
      </c>
      <c r="W3051">
        <v>3</v>
      </c>
      <c r="X3051">
        <v>140</v>
      </c>
      <c r="Y3051">
        <v>8</v>
      </c>
      <c r="Z3051">
        <v>5</v>
      </c>
      <c r="AA3051">
        <v>14</v>
      </c>
      <c r="AB3051">
        <v>5</v>
      </c>
      <c r="AD3051">
        <v>4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11</v>
      </c>
      <c r="AK3051">
        <v>292</v>
      </c>
      <c r="AL3051">
        <v>292</v>
      </c>
      <c r="AM3051">
        <v>748</v>
      </c>
      <c r="AN3051">
        <v>44</v>
      </c>
      <c r="AP3051">
        <v>1</v>
      </c>
      <c r="AR3051" t="s">
        <v>3146</v>
      </c>
      <c r="AS3051" s="1">
        <v>44354.012499999997</v>
      </c>
      <c r="AT3051" s="1">
        <v>44354.039027777777</v>
      </c>
      <c r="AU3051" s="1">
        <v>44354.039363425924</v>
      </c>
      <c r="AV3051" t="s">
        <v>71</v>
      </c>
      <c r="AW3051" t="s">
        <v>72</v>
      </c>
      <c r="AX3051" t="s">
        <v>73</v>
      </c>
    </row>
    <row r="3052" spans="1:50" x14ac:dyDescent="0.3">
      <c r="A3052" t="str">
        <f>"200471E0202"</f>
        <v>200471E0202</v>
      </c>
      <c r="B3052" t="str">
        <f>"200471E02022"</f>
        <v>200471E02022</v>
      </c>
      <c r="C3052" t="str">
        <f t="shared" si="147"/>
        <v>20</v>
      </c>
      <c r="D3052" t="s">
        <v>67</v>
      </c>
      <c r="E3052" t="str">
        <f t="shared" si="148"/>
        <v>014</v>
      </c>
      <c r="F3052" t="s">
        <v>2914</v>
      </c>
      <c r="G3052" t="str">
        <f t="shared" si="149"/>
        <v>0471</v>
      </c>
      <c r="H3052" t="str">
        <f>"0002"</f>
        <v>0002</v>
      </c>
      <c r="I3052" t="s">
        <v>109</v>
      </c>
      <c r="J3052">
        <v>2</v>
      </c>
      <c r="K3052">
        <v>1</v>
      </c>
      <c r="L3052">
        <v>2</v>
      </c>
      <c r="M3052">
        <v>450</v>
      </c>
      <c r="N3052">
        <v>342</v>
      </c>
      <c r="O3052">
        <v>13</v>
      </c>
      <c r="P3052">
        <v>342</v>
      </c>
      <c r="Q3052">
        <v>13</v>
      </c>
      <c r="R3052">
        <v>63</v>
      </c>
      <c r="S3052">
        <v>8</v>
      </c>
      <c r="T3052">
        <v>4</v>
      </c>
      <c r="U3052">
        <v>5</v>
      </c>
      <c r="V3052">
        <v>5</v>
      </c>
      <c r="W3052">
        <v>3</v>
      </c>
      <c r="X3052">
        <v>182</v>
      </c>
      <c r="Y3052">
        <v>10</v>
      </c>
      <c r="Z3052">
        <v>9</v>
      </c>
      <c r="AA3052">
        <v>17</v>
      </c>
      <c r="AB3052">
        <v>8</v>
      </c>
      <c r="AD3052">
        <v>3</v>
      </c>
      <c r="AE3052">
        <v>0</v>
      </c>
      <c r="AF3052">
        <v>0</v>
      </c>
      <c r="AG3052">
        <v>0</v>
      </c>
      <c r="AH3052">
        <v>1</v>
      </c>
      <c r="AI3052">
        <v>0</v>
      </c>
      <c r="AJ3052">
        <v>12</v>
      </c>
      <c r="AK3052">
        <v>342</v>
      </c>
      <c r="AL3052">
        <v>343</v>
      </c>
      <c r="AM3052">
        <v>747</v>
      </c>
      <c r="AN3052">
        <v>44</v>
      </c>
      <c r="AP3052">
        <v>1</v>
      </c>
      <c r="AR3052" t="s">
        <v>3147</v>
      </c>
      <c r="AS3052" s="1">
        <v>44354.012499999997</v>
      </c>
      <c r="AT3052" s="1">
        <v>44354.041226851848</v>
      </c>
      <c r="AU3052" s="1">
        <v>44354.04173611111</v>
      </c>
      <c r="AV3052" t="s">
        <v>71</v>
      </c>
      <c r="AW3052" t="s">
        <v>72</v>
      </c>
      <c r="AX3052" t="s">
        <v>73</v>
      </c>
    </row>
    <row r="3053" spans="1:50" x14ac:dyDescent="0.3">
      <c r="A3053" t="str">
        <f>"200472B0000"</f>
        <v>200472B0000</v>
      </c>
      <c r="B3053" t="str">
        <f>"200472B00002"</f>
        <v>200472B00002</v>
      </c>
      <c r="C3053" t="str">
        <f t="shared" si="147"/>
        <v>20</v>
      </c>
      <c r="D3053" t="s">
        <v>67</v>
      </c>
      <c r="E3053" t="str">
        <f t="shared" si="148"/>
        <v>014</v>
      </c>
      <c r="F3053" t="s">
        <v>2914</v>
      </c>
      <c r="G3053" t="str">
        <f>"0472"</f>
        <v>0472</v>
      </c>
      <c r="H3053" t="str">
        <f>"0000"</f>
        <v>0000</v>
      </c>
      <c r="I3053" t="s">
        <v>69</v>
      </c>
      <c r="J3053">
        <v>0</v>
      </c>
      <c r="K3053">
        <v>1</v>
      </c>
      <c r="L3053">
        <v>2</v>
      </c>
      <c r="M3053">
        <v>385</v>
      </c>
      <c r="N3053">
        <v>407</v>
      </c>
      <c r="O3053">
        <v>6</v>
      </c>
      <c r="P3053">
        <v>407</v>
      </c>
      <c r="Q3053">
        <v>26</v>
      </c>
      <c r="R3053">
        <v>80</v>
      </c>
      <c r="S3053">
        <v>7</v>
      </c>
      <c r="T3053">
        <v>14</v>
      </c>
      <c r="U3053">
        <v>14</v>
      </c>
      <c r="V3053">
        <v>10</v>
      </c>
      <c r="W3053">
        <v>4</v>
      </c>
      <c r="X3053">
        <v>205</v>
      </c>
      <c r="Y3053">
        <v>11</v>
      </c>
      <c r="Z3053">
        <v>8</v>
      </c>
      <c r="AA3053">
        <v>5</v>
      </c>
      <c r="AB3053">
        <v>14</v>
      </c>
      <c r="AD3053">
        <v>2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7</v>
      </c>
      <c r="AK3053">
        <v>407</v>
      </c>
      <c r="AL3053">
        <v>407</v>
      </c>
      <c r="AM3053">
        <v>748</v>
      </c>
      <c r="AN3053">
        <v>44</v>
      </c>
      <c r="AP3053">
        <v>1</v>
      </c>
      <c r="AR3053" t="s">
        <v>3148</v>
      </c>
      <c r="AS3053" s="1">
        <v>44353.992361111108</v>
      </c>
      <c r="AT3053" s="1">
        <v>44354.002245370371</v>
      </c>
      <c r="AU3053" s="1">
        <v>44354.002662037034</v>
      </c>
      <c r="AV3053" t="s">
        <v>71</v>
      </c>
      <c r="AW3053" t="s">
        <v>72</v>
      </c>
      <c r="AX3053" t="s">
        <v>73</v>
      </c>
    </row>
    <row r="3054" spans="1:50" x14ac:dyDescent="0.3">
      <c r="A3054" t="str">
        <f>"200472C0100"</f>
        <v>200472C0100</v>
      </c>
      <c r="B3054" t="str">
        <f>"200472C01002"</f>
        <v>200472C01002</v>
      </c>
      <c r="C3054" t="str">
        <f t="shared" si="147"/>
        <v>20</v>
      </c>
      <c r="D3054" t="s">
        <v>67</v>
      </c>
      <c r="E3054" t="str">
        <f t="shared" si="148"/>
        <v>014</v>
      </c>
      <c r="F3054" t="s">
        <v>2914</v>
      </c>
      <c r="G3054" t="str">
        <f>"0472"</f>
        <v>0472</v>
      </c>
      <c r="H3054" t="str">
        <f>"0001"</f>
        <v>0001</v>
      </c>
      <c r="I3054" t="s">
        <v>75</v>
      </c>
      <c r="J3054">
        <v>0</v>
      </c>
      <c r="K3054">
        <v>1</v>
      </c>
      <c r="L3054">
        <v>2</v>
      </c>
      <c r="M3054">
        <v>416</v>
      </c>
      <c r="N3054">
        <v>376</v>
      </c>
      <c r="O3054">
        <v>9</v>
      </c>
      <c r="P3054">
        <v>375</v>
      </c>
      <c r="Q3054">
        <v>18</v>
      </c>
      <c r="R3054">
        <v>62</v>
      </c>
      <c r="S3054">
        <v>8</v>
      </c>
      <c r="T3054">
        <v>15</v>
      </c>
      <c r="U3054">
        <v>12</v>
      </c>
      <c r="V3054">
        <v>12</v>
      </c>
      <c r="W3054">
        <v>3</v>
      </c>
      <c r="X3054">
        <v>184</v>
      </c>
      <c r="Y3054">
        <v>13</v>
      </c>
      <c r="Z3054">
        <v>10</v>
      </c>
      <c r="AA3054">
        <v>4</v>
      </c>
      <c r="AB3054">
        <v>18</v>
      </c>
      <c r="AD3054">
        <v>1</v>
      </c>
      <c r="AE3054">
        <v>1</v>
      </c>
      <c r="AF3054">
        <v>0</v>
      </c>
      <c r="AG3054">
        <v>0</v>
      </c>
      <c r="AH3054">
        <v>0</v>
      </c>
      <c r="AI3054">
        <v>0</v>
      </c>
      <c r="AJ3054">
        <v>14</v>
      </c>
      <c r="AK3054">
        <v>375</v>
      </c>
      <c r="AL3054">
        <v>375</v>
      </c>
      <c r="AM3054">
        <v>748</v>
      </c>
      <c r="AN3054">
        <v>44</v>
      </c>
      <c r="AP3054">
        <v>1</v>
      </c>
      <c r="AR3054" t="s">
        <v>3149</v>
      </c>
      <c r="AS3054" s="1">
        <v>44353.993055555555</v>
      </c>
      <c r="AT3054" s="1">
        <v>44354.002141203702</v>
      </c>
      <c r="AU3054" s="1">
        <v>44354.002766203703</v>
      </c>
      <c r="AV3054" t="s">
        <v>71</v>
      </c>
      <c r="AW3054" t="s">
        <v>72</v>
      </c>
      <c r="AX3054" t="s">
        <v>73</v>
      </c>
    </row>
    <row r="3055" spans="1:50" x14ac:dyDescent="0.3">
      <c r="A3055" t="str">
        <f>"200472C0200"</f>
        <v>200472C0200</v>
      </c>
      <c r="B3055" t="str">
        <f>"200472C02002"</f>
        <v>200472C02002</v>
      </c>
      <c r="C3055" t="str">
        <f t="shared" si="147"/>
        <v>20</v>
      </c>
      <c r="D3055" t="s">
        <v>67</v>
      </c>
      <c r="E3055" t="str">
        <f t="shared" si="148"/>
        <v>014</v>
      </c>
      <c r="F3055" t="s">
        <v>2914</v>
      </c>
      <c r="G3055" t="str">
        <f>"0472"</f>
        <v>0472</v>
      </c>
      <c r="H3055" t="str">
        <f>"0002"</f>
        <v>0002</v>
      </c>
      <c r="I3055" t="s">
        <v>75</v>
      </c>
      <c r="J3055">
        <v>0</v>
      </c>
      <c r="K3055">
        <v>1</v>
      </c>
      <c r="L3055">
        <v>2</v>
      </c>
      <c r="M3055">
        <v>426</v>
      </c>
      <c r="N3055">
        <v>366</v>
      </c>
      <c r="O3055">
        <v>8</v>
      </c>
      <c r="P3055">
        <v>367</v>
      </c>
      <c r="Q3055">
        <v>18</v>
      </c>
      <c r="R3055">
        <v>62</v>
      </c>
      <c r="S3055">
        <v>6</v>
      </c>
      <c r="T3055">
        <v>14</v>
      </c>
      <c r="U3055">
        <v>11</v>
      </c>
      <c r="V3055">
        <v>9</v>
      </c>
      <c r="W3055">
        <v>3</v>
      </c>
      <c r="X3055">
        <v>196</v>
      </c>
      <c r="Y3055">
        <v>16</v>
      </c>
      <c r="Z3055">
        <v>8</v>
      </c>
      <c r="AA3055">
        <v>3</v>
      </c>
      <c r="AB3055">
        <v>10</v>
      </c>
      <c r="AD3055">
        <v>2</v>
      </c>
      <c r="AE3055">
        <v>1</v>
      </c>
      <c r="AF3055">
        <v>0</v>
      </c>
      <c r="AG3055">
        <v>0</v>
      </c>
      <c r="AH3055">
        <v>0</v>
      </c>
      <c r="AI3055">
        <v>0</v>
      </c>
      <c r="AJ3055">
        <v>8</v>
      </c>
      <c r="AK3055">
        <v>367</v>
      </c>
      <c r="AL3055">
        <v>367</v>
      </c>
      <c r="AM3055">
        <v>748</v>
      </c>
      <c r="AN3055">
        <v>44</v>
      </c>
      <c r="AP3055">
        <v>1</v>
      </c>
      <c r="AR3055" t="s">
        <v>3150</v>
      </c>
      <c r="AS3055" s="1">
        <v>44354.01666666667</v>
      </c>
      <c r="AT3055" s="1">
        <v>44354.050578703704</v>
      </c>
      <c r="AU3055" s="1">
        <v>44354.051006944443</v>
      </c>
      <c r="AV3055" t="s">
        <v>71</v>
      </c>
      <c r="AW3055" t="s">
        <v>72</v>
      </c>
      <c r="AX3055" t="s">
        <v>73</v>
      </c>
    </row>
    <row r="3056" spans="1:50" x14ac:dyDescent="0.3">
      <c r="A3056" t="str">
        <f>"200472C0300"</f>
        <v>200472C0300</v>
      </c>
      <c r="B3056" t="str">
        <f>"200472C03002"</f>
        <v>200472C03002</v>
      </c>
      <c r="C3056" t="str">
        <f t="shared" si="147"/>
        <v>20</v>
      </c>
      <c r="D3056" t="s">
        <v>67</v>
      </c>
      <c r="E3056" t="str">
        <f t="shared" si="148"/>
        <v>014</v>
      </c>
      <c r="F3056" t="s">
        <v>2914</v>
      </c>
      <c r="G3056" t="str">
        <f>"0472"</f>
        <v>0472</v>
      </c>
      <c r="H3056" t="str">
        <f>"0003"</f>
        <v>0003</v>
      </c>
      <c r="I3056" t="s">
        <v>75</v>
      </c>
      <c r="J3056">
        <v>0</v>
      </c>
      <c r="K3056">
        <v>1</v>
      </c>
      <c r="L3056">
        <v>2</v>
      </c>
      <c r="M3056">
        <v>391</v>
      </c>
      <c r="N3056">
        <v>400</v>
      </c>
      <c r="O3056">
        <v>8</v>
      </c>
      <c r="P3056">
        <v>400</v>
      </c>
      <c r="Q3056">
        <v>17</v>
      </c>
      <c r="R3056">
        <v>79</v>
      </c>
      <c r="S3056">
        <v>7</v>
      </c>
      <c r="T3056">
        <v>17</v>
      </c>
      <c r="U3056">
        <v>12</v>
      </c>
      <c r="V3056">
        <v>9</v>
      </c>
      <c r="W3056">
        <v>3</v>
      </c>
      <c r="X3056">
        <v>194</v>
      </c>
      <c r="Y3056">
        <v>15</v>
      </c>
      <c r="Z3056">
        <v>11</v>
      </c>
      <c r="AA3056">
        <v>7</v>
      </c>
      <c r="AB3056">
        <v>13</v>
      </c>
      <c r="AD3056">
        <v>1</v>
      </c>
      <c r="AE3056">
        <v>0</v>
      </c>
      <c r="AF3056">
        <v>0</v>
      </c>
      <c r="AG3056">
        <v>0</v>
      </c>
      <c r="AH3056">
        <v>1</v>
      </c>
      <c r="AI3056">
        <v>0</v>
      </c>
      <c r="AJ3056">
        <v>14</v>
      </c>
      <c r="AK3056">
        <v>400</v>
      </c>
      <c r="AL3056">
        <v>400</v>
      </c>
      <c r="AM3056">
        <v>747</v>
      </c>
      <c r="AN3056">
        <v>44</v>
      </c>
      <c r="AP3056">
        <v>1</v>
      </c>
      <c r="AR3056" t="s">
        <v>3151</v>
      </c>
      <c r="AS3056" s="1">
        <v>44354.147222222222</v>
      </c>
      <c r="AT3056" s="1">
        <v>44354.148726851854</v>
      </c>
      <c r="AU3056" s="1">
        <v>44354.149525462963</v>
      </c>
      <c r="AV3056" t="s">
        <v>71</v>
      </c>
      <c r="AW3056" t="s">
        <v>72</v>
      </c>
      <c r="AX3056" t="s">
        <v>73</v>
      </c>
    </row>
    <row r="3057" spans="1:50" x14ac:dyDescent="0.3">
      <c r="A3057" t="str">
        <f>"200473B0000"</f>
        <v>200473B0000</v>
      </c>
      <c r="B3057" t="str">
        <f>"200473B00002"</f>
        <v>200473B00002</v>
      </c>
      <c r="C3057" t="str">
        <f t="shared" si="147"/>
        <v>20</v>
      </c>
      <c r="D3057" t="s">
        <v>67</v>
      </c>
      <c r="E3057" t="str">
        <f t="shared" si="148"/>
        <v>014</v>
      </c>
      <c r="F3057" t="s">
        <v>2914</v>
      </c>
      <c r="G3057" t="str">
        <f>"0473"</f>
        <v>0473</v>
      </c>
      <c r="H3057" t="str">
        <f>"0000"</f>
        <v>0000</v>
      </c>
      <c r="I3057" t="s">
        <v>69</v>
      </c>
      <c r="J3057">
        <v>0</v>
      </c>
      <c r="K3057">
        <v>1</v>
      </c>
      <c r="L3057">
        <v>2</v>
      </c>
      <c r="M3057">
        <v>331</v>
      </c>
      <c r="N3057">
        <v>310</v>
      </c>
      <c r="O3057">
        <v>6</v>
      </c>
      <c r="P3057">
        <v>310</v>
      </c>
      <c r="Q3057">
        <v>14</v>
      </c>
      <c r="R3057">
        <v>61</v>
      </c>
      <c r="S3057">
        <v>1</v>
      </c>
      <c r="T3057">
        <v>8</v>
      </c>
      <c r="U3057">
        <v>8</v>
      </c>
      <c r="V3057">
        <v>14</v>
      </c>
      <c r="W3057">
        <v>3</v>
      </c>
      <c r="X3057">
        <v>169</v>
      </c>
      <c r="Y3057">
        <v>4</v>
      </c>
      <c r="Z3057">
        <v>4</v>
      </c>
      <c r="AA3057">
        <v>4</v>
      </c>
      <c r="AB3057">
        <v>8</v>
      </c>
      <c r="AD3057">
        <v>3</v>
      </c>
      <c r="AE3057" t="s">
        <v>77</v>
      </c>
      <c r="AF3057" t="s">
        <v>77</v>
      </c>
      <c r="AG3057" t="s">
        <v>77</v>
      </c>
      <c r="AH3057" t="s">
        <v>77</v>
      </c>
      <c r="AI3057" t="s">
        <v>77</v>
      </c>
      <c r="AJ3057">
        <v>9</v>
      </c>
      <c r="AK3057">
        <v>310</v>
      </c>
      <c r="AL3057">
        <v>310</v>
      </c>
      <c r="AM3057">
        <v>597</v>
      </c>
      <c r="AN3057">
        <v>44</v>
      </c>
      <c r="AO3057" t="s">
        <v>78</v>
      </c>
      <c r="AP3057">
        <v>1</v>
      </c>
      <c r="AR3057" t="s">
        <v>3152</v>
      </c>
      <c r="AS3057" s="1">
        <v>44353.942361111112</v>
      </c>
      <c r="AT3057" s="1">
        <v>44353.964224537034</v>
      </c>
      <c r="AU3057" s="1">
        <v>44353.964999999997</v>
      </c>
      <c r="AV3057" t="s">
        <v>71</v>
      </c>
      <c r="AW3057" t="s">
        <v>72</v>
      </c>
      <c r="AX3057" t="s">
        <v>73</v>
      </c>
    </row>
    <row r="3058" spans="1:50" x14ac:dyDescent="0.3">
      <c r="A3058" t="str">
        <f>"200473C0100"</f>
        <v>200473C0100</v>
      </c>
      <c r="B3058" t="str">
        <f>"200473C01002"</f>
        <v>200473C01002</v>
      </c>
      <c r="C3058" t="str">
        <f t="shared" si="147"/>
        <v>20</v>
      </c>
      <c r="D3058" t="s">
        <v>67</v>
      </c>
      <c r="E3058" t="str">
        <f t="shared" si="148"/>
        <v>014</v>
      </c>
      <c r="F3058" t="s">
        <v>2914</v>
      </c>
      <c r="G3058" t="str">
        <f>"0473"</f>
        <v>0473</v>
      </c>
      <c r="H3058" t="str">
        <f>"0001"</f>
        <v>0001</v>
      </c>
      <c r="I3058" t="s">
        <v>75</v>
      </c>
      <c r="J3058">
        <v>0</v>
      </c>
      <c r="K3058">
        <v>1</v>
      </c>
      <c r="L3058">
        <v>2</v>
      </c>
      <c r="M3058">
        <v>359</v>
      </c>
      <c r="N3058">
        <v>282</v>
      </c>
      <c r="O3058">
        <v>7</v>
      </c>
      <c r="P3058">
        <v>282</v>
      </c>
      <c r="Q3058">
        <v>14</v>
      </c>
      <c r="R3058">
        <v>44</v>
      </c>
      <c r="S3058">
        <v>3</v>
      </c>
      <c r="T3058">
        <v>5</v>
      </c>
      <c r="U3058">
        <v>6</v>
      </c>
      <c r="V3058">
        <v>9</v>
      </c>
      <c r="W3058">
        <v>3</v>
      </c>
      <c r="X3058">
        <v>152</v>
      </c>
      <c r="Y3058">
        <v>7</v>
      </c>
      <c r="Z3058">
        <v>7</v>
      </c>
      <c r="AA3058">
        <v>1</v>
      </c>
      <c r="AB3058">
        <v>21</v>
      </c>
      <c r="AD3058" t="s">
        <v>77</v>
      </c>
      <c r="AE3058" t="s">
        <v>77</v>
      </c>
      <c r="AF3058" t="s">
        <v>77</v>
      </c>
      <c r="AG3058" t="s">
        <v>77</v>
      </c>
      <c r="AH3058" t="s">
        <v>77</v>
      </c>
      <c r="AI3058" t="s">
        <v>77</v>
      </c>
      <c r="AJ3058">
        <v>10</v>
      </c>
      <c r="AK3058">
        <v>282</v>
      </c>
      <c r="AL3058">
        <v>282</v>
      </c>
      <c r="AM3058">
        <v>597</v>
      </c>
      <c r="AN3058">
        <v>44</v>
      </c>
      <c r="AO3058" t="s">
        <v>78</v>
      </c>
      <c r="AP3058">
        <v>1</v>
      </c>
      <c r="AR3058" t="s">
        <v>3153</v>
      </c>
      <c r="AS3058" s="1">
        <v>44353.935416666667</v>
      </c>
      <c r="AT3058" s="1">
        <v>44353.951990740738</v>
      </c>
      <c r="AU3058" s="1">
        <v>44353.952777777777</v>
      </c>
      <c r="AV3058" t="s">
        <v>71</v>
      </c>
      <c r="AW3058" t="s">
        <v>72</v>
      </c>
      <c r="AX3058" t="s">
        <v>73</v>
      </c>
    </row>
    <row r="3059" spans="1:50" x14ac:dyDescent="0.3">
      <c r="A3059" t="str">
        <f>"200473C0200"</f>
        <v>200473C0200</v>
      </c>
      <c r="B3059" t="str">
        <f>"200473C02002"</f>
        <v>200473C02002</v>
      </c>
      <c r="C3059" t="str">
        <f t="shared" si="147"/>
        <v>20</v>
      </c>
      <c r="D3059" t="s">
        <v>67</v>
      </c>
      <c r="E3059" t="str">
        <f t="shared" si="148"/>
        <v>014</v>
      </c>
      <c r="F3059" t="s">
        <v>2914</v>
      </c>
      <c r="G3059" t="str">
        <f>"0473"</f>
        <v>0473</v>
      </c>
      <c r="H3059" t="str">
        <f>"0002"</f>
        <v>0002</v>
      </c>
      <c r="I3059" t="s">
        <v>75</v>
      </c>
      <c r="J3059">
        <v>0</v>
      </c>
      <c r="K3059">
        <v>1</v>
      </c>
      <c r="L3059">
        <v>2</v>
      </c>
      <c r="M3059">
        <v>338</v>
      </c>
      <c r="N3059">
        <v>303</v>
      </c>
      <c r="O3059">
        <v>4</v>
      </c>
      <c r="P3059">
        <v>303</v>
      </c>
      <c r="Q3059">
        <v>15</v>
      </c>
      <c r="R3059">
        <v>47</v>
      </c>
      <c r="S3059">
        <v>2</v>
      </c>
      <c r="T3059">
        <v>5</v>
      </c>
      <c r="U3059">
        <v>5</v>
      </c>
      <c r="V3059">
        <v>6</v>
      </c>
      <c r="W3059">
        <v>4</v>
      </c>
      <c r="X3059">
        <v>181</v>
      </c>
      <c r="Y3059">
        <v>5</v>
      </c>
      <c r="Z3059">
        <v>5</v>
      </c>
      <c r="AA3059">
        <v>5</v>
      </c>
      <c r="AB3059">
        <v>10</v>
      </c>
      <c r="AD3059">
        <v>3</v>
      </c>
      <c r="AE3059">
        <v>1</v>
      </c>
      <c r="AF3059">
        <v>0</v>
      </c>
      <c r="AG3059">
        <v>0</v>
      </c>
      <c r="AH3059">
        <v>1</v>
      </c>
      <c r="AI3059">
        <v>0</v>
      </c>
      <c r="AJ3059">
        <v>8</v>
      </c>
      <c r="AK3059">
        <v>303</v>
      </c>
      <c r="AL3059">
        <v>303</v>
      </c>
      <c r="AM3059">
        <v>597</v>
      </c>
      <c r="AN3059">
        <v>44</v>
      </c>
      <c r="AP3059">
        <v>1</v>
      </c>
      <c r="AR3059" t="s">
        <v>3154</v>
      </c>
      <c r="AS3059" s="1">
        <v>44353.935416666667</v>
      </c>
      <c r="AT3059" s="1">
        <v>44353.94939814815</v>
      </c>
      <c r="AU3059" s="1">
        <v>44353.950092592589</v>
      </c>
      <c r="AV3059" t="s">
        <v>71</v>
      </c>
      <c r="AW3059" t="s">
        <v>72</v>
      </c>
      <c r="AX3059" t="s">
        <v>73</v>
      </c>
    </row>
    <row r="3060" spans="1:50" x14ac:dyDescent="0.3">
      <c r="A3060" t="str">
        <f>"200474B0000"</f>
        <v>200474B0000</v>
      </c>
      <c r="B3060" t="str">
        <f>"200474B00002"</f>
        <v>200474B00002</v>
      </c>
      <c r="C3060" t="str">
        <f t="shared" si="147"/>
        <v>20</v>
      </c>
      <c r="D3060" t="s">
        <v>67</v>
      </c>
      <c r="E3060" t="str">
        <f t="shared" si="148"/>
        <v>014</v>
      </c>
      <c r="F3060" t="s">
        <v>2914</v>
      </c>
      <c r="G3060" t="str">
        <f>"0474"</f>
        <v>0474</v>
      </c>
      <c r="H3060" t="str">
        <f>"0000"</f>
        <v>0000</v>
      </c>
      <c r="I3060" t="s">
        <v>69</v>
      </c>
      <c r="J3060">
        <v>0</v>
      </c>
      <c r="K3060">
        <v>1</v>
      </c>
      <c r="L3060">
        <v>2</v>
      </c>
      <c r="M3060">
        <v>329</v>
      </c>
      <c r="N3060">
        <v>332</v>
      </c>
      <c r="O3060">
        <v>0</v>
      </c>
      <c r="P3060">
        <v>332</v>
      </c>
      <c r="Q3060">
        <v>19</v>
      </c>
      <c r="R3060">
        <v>64</v>
      </c>
      <c r="S3060">
        <v>3</v>
      </c>
      <c r="T3060">
        <v>18</v>
      </c>
      <c r="U3060">
        <v>8</v>
      </c>
      <c r="V3060">
        <v>12</v>
      </c>
      <c r="W3060">
        <v>4</v>
      </c>
      <c r="X3060">
        <v>178</v>
      </c>
      <c r="Y3060">
        <v>2</v>
      </c>
      <c r="Z3060">
        <v>13</v>
      </c>
      <c r="AA3060" t="s">
        <v>77</v>
      </c>
      <c r="AB3060">
        <v>4</v>
      </c>
      <c r="AD3060" t="s">
        <v>77</v>
      </c>
      <c r="AE3060" t="s">
        <v>77</v>
      </c>
      <c r="AF3060" t="s">
        <v>77</v>
      </c>
      <c r="AG3060" t="s">
        <v>77</v>
      </c>
      <c r="AH3060" t="s">
        <v>77</v>
      </c>
      <c r="AI3060" t="s">
        <v>77</v>
      </c>
      <c r="AJ3060" t="s">
        <v>77</v>
      </c>
      <c r="AK3060" t="s">
        <v>77</v>
      </c>
      <c r="AL3060">
        <v>325</v>
      </c>
      <c r="AM3060">
        <v>617</v>
      </c>
      <c r="AN3060">
        <v>44</v>
      </c>
      <c r="AO3060" t="s">
        <v>78</v>
      </c>
      <c r="AP3060">
        <v>1</v>
      </c>
      <c r="AR3060" t="s">
        <v>3155</v>
      </c>
      <c r="AS3060" s="1">
        <v>44354.01666666667</v>
      </c>
      <c r="AT3060" s="1">
        <v>44354.052233796298</v>
      </c>
      <c r="AU3060" s="1">
        <v>44354.052847222221</v>
      </c>
      <c r="AV3060" t="s">
        <v>71</v>
      </c>
      <c r="AW3060" t="s">
        <v>72</v>
      </c>
      <c r="AX3060" t="s">
        <v>73</v>
      </c>
    </row>
    <row r="3061" spans="1:50" x14ac:dyDescent="0.3">
      <c r="A3061" t="str">
        <f>"200474C0100"</f>
        <v>200474C0100</v>
      </c>
      <c r="B3061" t="str">
        <f>"200474C01002"</f>
        <v>200474C01002</v>
      </c>
      <c r="C3061" t="str">
        <f t="shared" si="147"/>
        <v>20</v>
      </c>
      <c r="D3061" t="s">
        <v>67</v>
      </c>
      <c r="E3061" t="str">
        <f t="shared" si="148"/>
        <v>014</v>
      </c>
      <c r="F3061" t="s">
        <v>2914</v>
      </c>
      <c r="G3061" t="str">
        <f>"0474"</f>
        <v>0474</v>
      </c>
      <c r="H3061" t="str">
        <f>"0001"</f>
        <v>0001</v>
      </c>
      <c r="I3061" t="s">
        <v>75</v>
      </c>
      <c r="J3061">
        <v>0</v>
      </c>
      <c r="K3061">
        <v>1</v>
      </c>
      <c r="L3061">
        <v>2</v>
      </c>
      <c r="M3061">
        <v>372</v>
      </c>
      <c r="N3061">
        <v>289</v>
      </c>
      <c r="O3061">
        <v>2</v>
      </c>
      <c r="P3061">
        <v>289</v>
      </c>
      <c r="Q3061">
        <v>16</v>
      </c>
      <c r="R3061">
        <v>50</v>
      </c>
      <c r="S3061">
        <v>5</v>
      </c>
      <c r="T3061">
        <v>10</v>
      </c>
      <c r="U3061">
        <v>9</v>
      </c>
      <c r="V3061">
        <v>16</v>
      </c>
      <c r="W3061">
        <v>3</v>
      </c>
      <c r="X3061">
        <v>143</v>
      </c>
      <c r="Y3061">
        <v>9</v>
      </c>
      <c r="Z3061">
        <v>11</v>
      </c>
      <c r="AA3061">
        <v>4</v>
      </c>
      <c r="AB3061">
        <v>7</v>
      </c>
      <c r="AD3061">
        <v>0</v>
      </c>
      <c r="AE3061">
        <v>0</v>
      </c>
      <c r="AF3061">
        <v>0</v>
      </c>
      <c r="AG3061">
        <v>1</v>
      </c>
      <c r="AH3061">
        <v>0</v>
      </c>
      <c r="AI3061">
        <v>0</v>
      </c>
      <c r="AJ3061">
        <v>5</v>
      </c>
      <c r="AK3061">
        <v>289</v>
      </c>
      <c r="AL3061">
        <v>289</v>
      </c>
      <c r="AM3061">
        <v>617</v>
      </c>
      <c r="AN3061">
        <v>44</v>
      </c>
      <c r="AP3061">
        <v>1</v>
      </c>
      <c r="AR3061" t="s">
        <v>3156</v>
      </c>
      <c r="AS3061" s="1">
        <v>44354.015972222223</v>
      </c>
      <c r="AT3061" s="1">
        <v>44354.052222222221</v>
      </c>
      <c r="AU3061" s="1">
        <v>44354.052777777775</v>
      </c>
      <c r="AV3061" t="s">
        <v>71</v>
      </c>
      <c r="AW3061" t="s">
        <v>72</v>
      </c>
      <c r="AX3061" t="s">
        <v>73</v>
      </c>
    </row>
    <row r="3062" spans="1:50" x14ac:dyDescent="0.3">
      <c r="A3062" t="str">
        <f>"200474C0200"</f>
        <v>200474C0200</v>
      </c>
      <c r="B3062" t="str">
        <f>"200474C02002"</f>
        <v>200474C02002</v>
      </c>
      <c r="C3062" t="str">
        <f t="shared" si="147"/>
        <v>20</v>
      </c>
      <c r="D3062" t="s">
        <v>67</v>
      </c>
      <c r="E3062" t="str">
        <f t="shared" si="148"/>
        <v>014</v>
      </c>
      <c r="F3062" t="s">
        <v>2914</v>
      </c>
      <c r="G3062" t="str">
        <f>"0474"</f>
        <v>0474</v>
      </c>
      <c r="H3062" t="str">
        <f>"0002"</f>
        <v>0002</v>
      </c>
      <c r="I3062" t="s">
        <v>75</v>
      </c>
      <c r="J3062">
        <v>0</v>
      </c>
      <c r="K3062">
        <v>1</v>
      </c>
      <c r="L3062">
        <v>2</v>
      </c>
      <c r="M3062">
        <v>339</v>
      </c>
      <c r="N3062">
        <v>322</v>
      </c>
      <c r="O3062">
        <v>4</v>
      </c>
      <c r="P3062">
        <v>322</v>
      </c>
      <c r="Q3062">
        <v>9</v>
      </c>
      <c r="R3062">
        <v>44</v>
      </c>
      <c r="S3062">
        <v>4</v>
      </c>
      <c r="T3062">
        <v>14</v>
      </c>
      <c r="U3062">
        <v>7</v>
      </c>
      <c r="V3062">
        <v>11</v>
      </c>
      <c r="W3062">
        <v>2</v>
      </c>
      <c r="X3062">
        <v>184</v>
      </c>
      <c r="Y3062">
        <v>9</v>
      </c>
      <c r="Z3062">
        <v>5</v>
      </c>
      <c r="AA3062">
        <v>3</v>
      </c>
      <c r="AB3062">
        <v>14</v>
      </c>
      <c r="AD3062">
        <v>2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14</v>
      </c>
      <c r="AK3062">
        <v>322</v>
      </c>
      <c r="AL3062">
        <v>322</v>
      </c>
      <c r="AM3062">
        <v>617</v>
      </c>
      <c r="AN3062">
        <v>44</v>
      </c>
      <c r="AP3062">
        <v>1</v>
      </c>
      <c r="AR3062" t="s">
        <v>3157</v>
      </c>
      <c r="AS3062" s="1">
        <v>44354.017361111109</v>
      </c>
      <c r="AT3062" s="1">
        <v>44354.05023148148</v>
      </c>
      <c r="AU3062" s="1">
        <v>44354.05091435185</v>
      </c>
      <c r="AV3062" t="s">
        <v>71</v>
      </c>
      <c r="AW3062" t="s">
        <v>72</v>
      </c>
      <c r="AX3062" t="s">
        <v>73</v>
      </c>
    </row>
    <row r="3063" spans="1:50" x14ac:dyDescent="0.3">
      <c r="A3063" t="str">
        <f>"200475B0000"</f>
        <v>200475B0000</v>
      </c>
      <c r="B3063" t="str">
        <f>"200475B00002"</f>
        <v>200475B00002</v>
      </c>
      <c r="C3063" t="str">
        <f t="shared" si="147"/>
        <v>20</v>
      </c>
      <c r="D3063" t="s">
        <v>67</v>
      </c>
      <c r="E3063" t="str">
        <f t="shared" si="148"/>
        <v>014</v>
      </c>
      <c r="F3063" t="s">
        <v>2914</v>
      </c>
      <c r="G3063" t="str">
        <f>"0475"</f>
        <v>0475</v>
      </c>
      <c r="H3063" t="str">
        <f>"0000"</f>
        <v>0000</v>
      </c>
      <c r="I3063" t="s">
        <v>69</v>
      </c>
      <c r="J3063">
        <v>0</v>
      </c>
      <c r="K3063">
        <v>1</v>
      </c>
      <c r="L3063">
        <v>2</v>
      </c>
      <c r="M3063">
        <v>352</v>
      </c>
      <c r="N3063">
        <v>317</v>
      </c>
      <c r="O3063">
        <v>0</v>
      </c>
      <c r="P3063">
        <v>316</v>
      </c>
      <c r="Q3063">
        <v>9</v>
      </c>
      <c r="R3063">
        <v>65</v>
      </c>
      <c r="S3063">
        <v>5</v>
      </c>
      <c r="T3063">
        <v>17</v>
      </c>
      <c r="U3063">
        <v>7</v>
      </c>
      <c r="V3063">
        <v>11</v>
      </c>
      <c r="W3063">
        <v>3</v>
      </c>
      <c r="X3063">
        <v>173</v>
      </c>
      <c r="Y3063">
        <v>5</v>
      </c>
      <c r="Z3063">
        <v>6</v>
      </c>
      <c r="AA3063">
        <v>1</v>
      </c>
      <c r="AB3063">
        <v>7</v>
      </c>
      <c r="AD3063">
        <v>0</v>
      </c>
      <c r="AE3063">
        <v>2</v>
      </c>
      <c r="AF3063">
        <v>0</v>
      </c>
      <c r="AG3063">
        <v>0</v>
      </c>
      <c r="AH3063">
        <v>1</v>
      </c>
      <c r="AI3063">
        <v>0</v>
      </c>
      <c r="AJ3063">
        <v>5</v>
      </c>
      <c r="AK3063">
        <v>316</v>
      </c>
      <c r="AL3063">
        <v>317</v>
      </c>
      <c r="AM3063">
        <v>625</v>
      </c>
      <c r="AN3063">
        <v>44</v>
      </c>
      <c r="AP3063">
        <v>1</v>
      </c>
      <c r="AR3063" t="s">
        <v>3158</v>
      </c>
      <c r="AS3063" s="1">
        <v>44353.942361111112</v>
      </c>
      <c r="AT3063" s="1">
        <v>44353.964317129627</v>
      </c>
      <c r="AU3063" s="1">
        <v>44353.96502314815</v>
      </c>
      <c r="AV3063" t="s">
        <v>71</v>
      </c>
      <c r="AW3063" t="s">
        <v>72</v>
      </c>
      <c r="AX3063" t="s">
        <v>73</v>
      </c>
    </row>
    <row r="3064" spans="1:50" x14ac:dyDescent="0.3">
      <c r="A3064" t="str">
        <f>"200475C0100"</f>
        <v>200475C0100</v>
      </c>
      <c r="B3064" t="str">
        <f>"200475C01002"</f>
        <v>200475C01002</v>
      </c>
      <c r="C3064" t="str">
        <f t="shared" si="147"/>
        <v>20</v>
      </c>
      <c r="D3064" t="s">
        <v>67</v>
      </c>
      <c r="E3064" t="str">
        <f t="shared" si="148"/>
        <v>014</v>
      </c>
      <c r="F3064" t="s">
        <v>2914</v>
      </c>
      <c r="G3064" t="str">
        <f>"0475"</f>
        <v>0475</v>
      </c>
      <c r="H3064" t="str">
        <f>"0001"</f>
        <v>0001</v>
      </c>
      <c r="I3064" t="s">
        <v>75</v>
      </c>
      <c r="J3064">
        <v>0</v>
      </c>
      <c r="K3064">
        <v>1</v>
      </c>
      <c r="L3064">
        <v>2</v>
      </c>
      <c r="M3064">
        <v>374</v>
      </c>
      <c r="N3064">
        <v>295</v>
      </c>
      <c r="O3064">
        <v>1</v>
      </c>
      <c r="P3064">
        <v>295</v>
      </c>
      <c r="Q3064">
        <v>12</v>
      </c>
      <c r="R3064">
        <v>49</v>
      </c>
      <c r="S3064">
        <v>2</v>
      </c>
      <c r="T3064">
        <v>9</v>
      </c>
      <c r="U3064">
        <v>9</v>
      </c>
      <c r="V3064">
        <v>7</v>
      </c>
      <c r="W3064">
        <v>1</v>
      </c>
      <c r="X3064">
        <v>176</v>
      </c>
      <c r="Y3064">
        <v>6</v>
      </c>
      <c r="Z3064">
        <v>4</v>
      </c>
      <c r="AA3064">
        <v>0</v>
      </c>
      <c r="AB3064">
        <v>8</v>
      </c>
      <c r="AD3064">
        <v>0</v>
      </c>
      <c r="AE3064">
        <v>0</v>
      </c>
      <c r="AF3064">
        <v>1</v>
      </c>
      <c r="AG3064">
        <v>0</v>
      </c>
      <c r="AH3064">
        <v>0</v>
      </c>
      <c r="AI3064">
        <v>0</v>
      </c>
      <c r="AJ3064">
        <v>11</v>
      </c>
      <c r="AK3064">
        <v>295</v>
      </c>
      <c r="AL3064">
        <v>295</v>
      </c>
      <c r="AM3064">
        <v>625</v>
      </c>
      <c r="AN3064">
        <v>44</v>
      </c>
      <c r="AP3064">
        <v>1</v>
      </c>
      <c r="AR3064" t="s">
        <v>3159</v>
      </c>
      <c r="AS3064" s="1">
        <v>44353.942361111112</v>
      </c>
      <c r="AT3064" s="1">
        <v>44353.965173611112</v>
      </c>
      <c r="AU3064" s="1">
        <v>44353.966053240743</v>
      </c>
      <c r="AV3064" t="s">
        <v>71</v>
      </c>
      <c r="AW3064" t="s">
        <v>72</v>
      </c>
      <c r="AX3064" t="s">
        <v>73</v>
      </c>
    </row>
    <row r="3065" spans="1:50" x14ac:dyDescent="0.3">
      <c r="A3065" t="str">
        <f>"200475C0200"</f>
        <v>200475C0200</v>
      </c>
      <c r="B3065" t="str">
        <f>"200475C02002"</f>
        <v>200475C02002</v>
      </c>
      <c r="C3065" t="str">
        <f t="shared" si="147"/>
        <v>20</v>
      </c>
      <c r="D3065" t="s">
        <v>67</v>
      </c>
      <c r="E3065" t="str">
        <f t="shared" si="148"/>
        <v>014</v>
      </c>
      <c r="F3065" t="s">
        <v>2914</v>
      </c>
      <c r="G3065" t="str">
        <f>"0475"</f>
        <v>0475</v>
      </c>
      <c r="H3065" t="str">
        <f>"0002"</f>
        <v>0002</v>
      </c>
      <c r="I3065" t="s">
        <v>75</v>
      </c>
      <c r="J3065">
        <v>0</v>
      </c>
      <c r="K3065">
        <v>1</v>
      </c>
      <c r="L3065">
        <v>2</v>
      </c>
      <c r="M3065">
        <v>377</v>
      </c>
      <c r="N3065">
        <v>292</v>
      </c>
      <c r="O3065">
        <v>0</v>
      </c>
      <c r="P3065">
        <v>292</v>
      </c>
      <c r="Q3065">
        <v>4</v>
      </c>
      <c r="R3065">
        <v>65</v>
      </c>
      <c r="S3065">
        <v>2</v>
      </c>
      <c r="T3065">
        <v>7</v>
      </c>
      <c r="U3065">
        <v>6</v>
      </c>
      <c r="V3065">
        <v>7</v>
      </c>
      <c r="W3065">
        <v>2</v>
      </c>
      <c r="X3065">
        <v>164</v>
      </c>
      <c r="Y3065">
        <v>4</v>
      </c>
      <c r="Z3065">
        <v>6</v>
      </c>
      <c r="AA3065">
        <v>6</v>
      </c>
      <c r="AB3065">
        <v>8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11</v>
      </c>
      <c r="AK3065">
        <v>292</v>
      </c>
      <c r="AL3065">
        <v>292</v>
      </c>
      <c r="AM3065">
        <v>625</v>
      </c>
      <c r="AN3065">
        <v>44</v>
      </c>
      <c r="AP3065">
        <v>1</v>
      </c>
      <c r="AR3065" t="s">
        <v>3160</v>
      </c>
      <c r="AS3065" s="1">
        <v>44353.942361111112</v>
      </c>
      <c r="AT3065" s="1">
        <v>44353.957083333335</v>
      </c>
      <c r="AU3065" s="1">
        <v>44353.957928240743</v>
      </c>
      <c r="AV3065" t="s">
        <v>71</v>
      </c>
      <c r="AW3065" t="s">
        <v>72</v>
      </c>
      <c r="AX3065" t="s">
        <v>73</v>
      </c>
    </row>
    <row r="3066" spans="1:50" x14ac:dyDescent="0.3">
      <c r="A3066" t="str">
        <f>"200476B0000"</f>
        <v>200476B0000</v>
      </c>
      <c r="B3066" t="str">
        <f>"200476B00002"</f>
        <v>200476B00002</v>
      </c>
      <c r="C3066" t="str">
        <f t="shared" si="147"/>
        <v>20</v>
      </c>
      <c r="D3066" t="s">
        <v>67</v>
      </c>
      <c r="E3066" t="str">
        <f t="shared" si="148"/>
        <v>014</v>
      </c>
      <c r="F3066" t="s">
        <v>2914</v>
      </c>
      <c r="G3066" t="str">
        <f>"0476"</f>
        <v>0476</v>
      </c>
      <c r="H3066" t="str">
        <f>"0000"</f>
        <v>0000</v>
      </c>
      <c r="I3066" t="s">
        <v>69</v>
      </c>
      <c r="J3066">
        <v>0</v>
      </c>
      <c r="K3066">
        <v>1</v>
      </c>
      <c r="L3066">
        <v>2</v>
      </c>
      <c r="M3066" t="s">
        <v>99</v>
      </c>
      <c r="N3066">
        <v>341</v>
      </c>
      <c r="O3066">
        <v>6</v>
      </c>
      <c r="P3066" t="s">
        <v>99</v>
      </c>
      <c r="Q3066">
        <v>43</v>
      </c>
      <c r="R3066">
        <v>117</v>
      </c>
      <c r="S3066">
        <v>1</v>
      </c>
      <c r="T3066">
        <v>7</v>
      </c>
      <c r="U3066">
        <v>9</v>
      </c>
      <c r="V3066">
        <v>8</v>
      </c>
      <c r="W3066">
        <v>4</v>
      </c>
      <c r="X3066" t="s">
        <v>99</v>
      </c>
      <c r="Y3066">
        <v>1</v>
      </c>
      <c r="Z3066">
        <v>10</v>
      </c>
      <c r="AA3066">
        <v>1</v>
      </c>
      <c r="AB3066">
        <v>9</v>
      </c>
      <c r="AD3066">
        <v>1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26</v>
      </c>
      <c r="AK3066">
        <v>343</v>
      </c>
      <c r="AL3066">
        <v>237</v>
      </c>
      <c r="AM3066">
        <v>597</v>
      </c>
      <c r="AN3066">
        <v>44</v>
      </c>
      <c r="AO3066" t="s">
        <v>78</v>
      </c>
      <c r="AP3066">
        <v>1</v>
      </c>
      <c r="AR3066" t="s">
        <v>3161</v>
      </c>
      <c r="AS3066" s="1">
        <v>44354.017361111109</v>
      </c>
      <c r="AT3066" s="1">
        <v>44354.091550925928</v>
      </c>
      <c r="AU3066" s="1">
        <v>44354.094467592593</v>
      </c>
      <c r="AV3066" t="s">
        <v>71</v>
      </c>
      <c r="AW3066" t="s">
        <v>72</v>
      </c>
      <c r="AX3066" t="s">
        <v>73</v>
      </c>
    </row>
    <row r="3067" spans="1:50" x14ac:dyDescent="0.3">
      <c r="A3067" t="str">
        <f>"200476C0100"</f>
        <v>200476C0100</v>
      </c>
      <c r="B3067" t="str">
        <f>"200476C01002"</f>
        <v>200476C01002</v>
      </c>
      <c r="C3067" t="str">
        <f t="shared" si="147"/>
        <v>20</v>
      </c>
      <c r="D3067" t="s">
        <v>67</v>
      </c>
      <c r="E3067" t="str">
        <f t="shared" si="148"/>
        <v>014</v>
      </c>
      <c r="F3067" t="s">
        <v>2914</v>
      </c>
      <c r="G3067" t="str">
        <f>"0476"</f>
        <v>0476</v>
      </c>
      <c r="H3067" t="str">
        <f>"0001"</f>
        <v>0001</v>
      </c>
      <c r="I3067" t="s">
        <v>75</v>
      </c>
      <c r="J3067">
        <v>0</v>
      </c>
      <c r="K3067">
        <v>1</v>
      </c>
      <c r="L3067">
        <v>2</v>
      </c>
      <c r="M3067">
        <v>297</v>
      </c>
      <c r="N3067">
        <v>344</v>
      </c>
      <c r="O3067">
        <v>7</v>
      </c>
      <c r="P3067">
        <v>343</v>
      </c>
      <c r="Q3067">
        <v>35</v>
      </c>
      <c r="R3067">
        <v>95</v>
      </c>
      <c r="S3067">
        <v>3</v>
      </c>
      <c r="T3067">
        <v>10</v>
      </c>
      <c r="U3067">
        <v>3</v>
      </c>
      <c r="V3067">
        <v>10</v>
      </c>
      <c r="W3067">
        <v>5</v>
      </c>
      <c r="X3067">
        <v>136</v>
      </c>
      <c r="Y3067">
        <v>16</v>
      </c>
      <c r="Z3067">
        <v>9</v>
      </c>
      <c r="AA3067">
        <v>2</v>
      </c>
      <c r="AB3067">
        <v>9</v>
      </c>
      <c r="AD3067">
        <v>0</v>
      </c>
      <c r="AE3067">
        <v>1</v>
      </c>
      <c r="AF3067">
        <v>0</v>
      </c>
      <c r="AG3067">
        <v>0</v>
      </c>
      <c r="AH3067">
        <v>0</v>
      </c>
      <c r="AI3067">
        <v>0</v>
      </c>
      <c r="AJ3067">
        <v>9</v>
      </c>
      <c r="AK3067">
        <v>343</v>
      </c>
      <c r="AL3067">
        <v>343</v>
      </c>
      <c r="AM3067">
        <v>597</v>
      </c>
      <c r="AN3067">
        <v>44</v>
      </c>
      <c r="AP3067">
        <v>1</v>
      </c>
      <c r="AR3067" t="s">
        <v>3162</v>
      </c>
      <c r="AS3067" s="1">
        <v>44354.01666666667</v>
      </c>
      <c r="AT3067" s="1">
        <v>44354.051944444444</v>
      </c>
      <c r="AU3067" s="1">
        <v>44354.052303240744</v>
      </c>
      <c r="AV3067" t="s">
        <v>71</v>
      </c>
      <c r="AW3067" t="s">
        <v>72</v>
      </c>
      <c r="AX3067" t="s">
        <v>73</v>
      </c>
    </row>
    <row r="3068" spans="1:50" x14ac:dyDescent="0.3">
      <c r="A3068" t="str">
        <f>"200476C0200"</f>
        <v>200476C0200</v>
      </c>
      <c r="B3068" t="str">
        <f>"200476C02002"</f>
        <v>200476C02002</v>
      </c>
      <c r="C3068" t="str">
        <f t="shared" si="147"/>
        <v>20</v>
      </c>
      <c r="D3068" t="s">
        <v>67</v>
      </c>
      <c r="E3068" t="str">
        <f t="shared" si="148"/>
        <v>014</v>
      </c>
      <c r="F3068" t="s">
        <v>2914</v>
      </c>
      <c r="G3068" t="str">
        <f>"0476"</f>
        <v>0476</v>
      </c>
      <c r="H3068" t="str">
        <f>"0002"</f>
        <v>0002</v>
      </c>
      <c r="I3068" t="s">
        <v>75</v>
      </c>
      <c r="J3068">
        <v>0</v>
      </c>
      <c r="K3068">
        <v>1</v>
      </c>
      <c r="L3068">
        <v>2</v>
      </c>
      <c r="M3068">
        <v>286</v>
      </c>
      <c r="N3068">
        <v>354</v>
      </c>
      <c r="O3068">
        <v>9</v>
      </c>
      <c r="P3068">
        <v>353</v>
      </c>
      <c r="Q3068">
        <v>25</v>
      </c>
      <c r="R3068">
        <v>131</v>
      </c>
      <c r="S3068">
        <v>5</v>
      </c>
      <c r="T3068">
        <v>10</v>
      </c>
      <c r="U3068">
        <v>4</v>
      </c>
      <c r="V3068">
        <v>2</v>
      </c>
      <c r="W3068">
        <v>5</v>
      </c>
      <c r="X3068">
        <v>125</v>
      </c>
      <c r="Y3068">
        <v>13</v>
      </c>
      <c r="Z3068">
        <v>9</v>
      </c>
      <c r="AA3068">
        <v>3</v>
      </c>
      <c r="AB3068">
        <v>10</v>
      </c>
      <c r="AD3068">
        <v>2</v>
      </c>
      <c r="AE3068">
        <v>1</v>
      </c>
      <c r="AF3068">
        <v>0</v>
      </c>
      <c r="AG3068">
        <v>0</v>
      </c>
      <c r="AH3068">
        <v>0</v>
      </c>
      <c r="AI3068">
        <v>0</v>
      </c>
      <c r="AJ3068">
        <v>8</v>
      </c>
      <c r="AK3068">
        <v>353</v>
      </c>
      <c r="AL3068">
        <v>353</v>
      </c>
      <c r="AM3068">
        <v>596</v>
      </c>
      <c r="AN3068">
        <v>44</v>
      </c>
      <c r="AP3068">
        <v>1</v>
      </c>
      <c r="AR3068" t="s">
        <v>3163</v>
      </c>
      <c r="AS3068" s="1">
        <v>44353.97152777778</v>
      </c>
      <c r="AT3068" s="1">
        <v>44353.979432870372</v>
      </c>
      <c r="AU3068" s="1">
        <v>44353.980243055557</v>
      </c>
      <c r="AV3068" t="s">
        <v>71</v>
      </c>
      <c r="AW3068" t="s">
        <v>72</v>
      </c>
      <c r="AX3068" t="s">
        <v>73</v>
      </c>
    </row>
    <row r="3069" spans="1:50" x14ac:dyDescent="0.3">
      <c r="A3069" t="str">
        <f>"200477B0000"</f>
        <v>200477B0000</v>
      </c>
      <c r="B3069" t="str">
        <f>"200477B00002"</f>
        <v>200477B00002</v>
      </c>
      <c r="C3069" t="str">
        <f t="shared" si="147"/>
        <v>20</v>
      </c>
      <c r="D3069" t="s">
        <v>67</v>
      </c>
      <c r="E3069" t="str">
        <f t="shared" si="148"/>
        <v>014</v>
      </c>
      <c r="F3069" t="s">
        <v>2914</v>
      </c>
      <c r="G3069" t="str">
        <f>"0477"</f>
        <v>0477</v>
      </c>
      <c r="H3069" t="str">
        <f>"0000"</f>
        <v>0000</v>
      </c>
      <c r="I3069" t="s">
        <v>69</v>
      </c>
      <c r="J3069">
        <v>0</v>
      </c>
      <c r="K3069">
        <v>1</v>
      </c>
      <c r="L3069">
        <v>2</v>
      </c>
      <c r="M3069">
        <v>323</v>
      </c>
      <c r="N3069">
        <v>291</v>
      </c>
      <c r="O3069">
        <v>8</v>
      </c>
      <c r="P3069">
        <v>291</v>
      </c>
      <c r="Q3069">
        <v>14</v>
      </c>
      <c r="R3069">
        <v>80</v>
      </c>
      <c r="S3069">
        <v>2</v>
      </c>
      <c r="T3069">
        <v>28</v>
      </c>
      <c r="U3069">
        <v>12</v>
      </c>
      <c r="V3069">
        <v>4</v>
      </c>
      <c r="W3069">
        <v>5</v>
      </c>
      <c r="X3069">
        <v>106</v>
      </c>
      <c r="Y3069">
        <v>7</v>
      </c>
      <c r="Z3069">
        <v>10</v>
      </c>
      <c r="AA3069">
        <v>6</v>
      </c>
      <c r="AB3069">
        <v>7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8</v>
      </c>
      <c r="AK3069">
        <v>291</v>
      </c>
      <c r="AL3069">
        <v>289</v>
      </c>
      <c r="AM3069">
        <v>567</v>
      </c>
      <c r="AN3069">
        <v>44</v>
      </c>
      <c r="AP3069">
        <v>1</v>
      </c>
      <c r="AR3069" t="s">
        <v>3164</v>
      </c>
      <c r="AS3069" s="1">
        <v>44354.040972222225</v>
      </c>
      <c r="AT3069" s="1">
        <v>44354.072511574072</v>
      </c>
      <c r="AU3069" s="1">
        <v>44354.074270833335</v>
      </c>
      <c r="AV3069" t="s">
        <v>71</v>
      </c>
      <c r="AW3069" t="s">
        <v>72</v>
      </c>
      <c r="AX3069" t="s">
        <v>73</v>
      </c>
    </row>
    <row r="3070" spans="1:50" x14ac:dyDescent="0.3">
      <c r="A3070" t="str">
        <f>"200477C0100"</f>
        <v>200477C0100</v>
      </c>
      <c r="B3070" t="str">
        <f>"200477C01002"</f>
        <v>200477C01002</v>
      </c>
      <c r="C3070" t="str">
        <f t="shared" si="147"/>
        <v>20</v>
      </c>
      <c r="D3070" t="s">
        <v>67</v>
      </c>
      <c r="E3070" t="str">
        <f t="shared" si="148"/>
        <v>014</v>
      </c>
      <c r="F3070" t="s">
        <v>2914</v>
      </c>
      <c r="G3070" t="str">
        <f>"0477"</f>
        <v>0477</v>
      </c>
      <c r="H3070" t="str">
        <f>"0001"</f>
        <v>0001</v>
      </c>
      <c r="I3070" t="s">
        <v>75</v>
      </c>
      <c r="J3070">
        <v>0</v>
      </c>
      <c r="K3070">
        <v>1</v>
      </c>
      <c r="L3070">
        <v>2</v>
      </c>
      <c r="M3070">
        <v>349</v>
      </c>
      <c r="N3070">
        <v>259</v>
      </c>
      <c r="O3070">
        <v>1</v>
      </c>
      <c r="P3070">
        <v>259</v>
      </c>
      <c r="Q3070">
        <v>6</v>
      </c>
      <c r="R3070">
        <v>73</v>
      </c>
      <c r="S3070">
        <v>0</v>
      </c>
      <c r="T3070">
        <v>20</v>
      </c>
      <c r="U3070">
        <v>8</v>
      </c>
      <c r="V3070">
        <v>7</v>
      </c>
      <c r="W3070">
        <v>0</v>
      </c>
      <c r="X3070">
        <v>104</v>
      </c>
      <c r="Y3070">
        <v>7</v>
      </c>
      <c r="Z3070">
        <v>5</v>
      </c>
      <c r="AA3070">
        <v>5</v>
      </c>
      <c r="AB3070">
        <v>7</v>
      </c>
      <c r="AD3070">
        <v>2</v>
      </c>
      <c r="AE3070">
        <v>1</v>
      </c>
      <c r="AF3070">
        <v>0</v>
      </c>
      <c r="AG3070">
        <v>0</v>
      </c>
      <c r="AH3070">
        <v>1</v>
      </c>
      <c r="AI3070">
        <v>1</v>
      </c>
      <c r="AJ3070">
        <v>12</v>
      </c>
      <c r="AK3070">
        <v>259</v>
      </c>
      <c r="AL3070">
        <v>259</v>
      </c>
      <c r="AM3070">
        <v>566</v>
      </c>
      <c r="AN3070">
        <v>44</v>
      </c>
      <c r="AP3070">
        <v>1</v>
      </c>
      <c r="AR3070" t="s">
        <v>3165</v>
      </c>
      <c r="AS3070" s="1">
        <v>44354.041666666664</v>
      </c>
      <c r="AT3070" s="1">
        <v>44354.071793981479</v>
      </c>
      <c r="AU3070" s="1">
        <v>44354.073159722226</v>
      </c>
      <c r="AV3070" t="s">
        <v>71</v>
      </c>
      <c r="AW3070" t="s">
        <v>72</v>
      </c>
      <c r="AX3070" t="s">
        <v>73</v>
      </c>
    </row>
    <row r="3071" spans="1:50" x14ac:dyDescent="0.3">
      <c r="A3071" t="str">
        <f>"200477C0200"</f>
        <v>200477C0200</v>
      </c>
      <c r="B3071" t="str">
        <f>"200477C02002"</f>
        <v>200477C02002</v>
      </c>
      <c r="C3071" t="str">
        <f t="shared" si="147"/>
        <v>20</v>
      </c>
      <c r="D3071" t="s">
        <v>67</v>
      </c>
      <c r="E3071" t="str">
        <f t="shared" si="148"/>
        <v>014</v>
      </c>
      <c r="F3071" t="s">
        <v>2914</v>
      </c>
      <c r="G3071" t="str">
        <f>"0477"</f>
        <v>0477</v>
      </c>
      <c r="H3071" t="str">
        <f>"0002"</f>
        <v>0002</v>
      </c>
      <c r="I3071" t="s">
        <v>75</v>
      </c>
      <c r="J3071">
        <v>0</v>
      </c>
      <c r="K3071">
        <v>1</v>
      </c>
      <c r="L3071">
        <v>2</v>
      </c>
      <c r="M3071">
        <v>348</v>
      </c>
      <c r="N3071">
        <v>262</v>
      </c>
      <c r="O3071">
        <v>0</v>
      </c>
      <c r="P3071">
        <v>262</v>
      </c>
      <c r="Q3071">
        <v>10</v>
      </c>
      <c r="R3071">
        <v>61</v>
      </c>
      <c r="S3071">
        <v>2</v>
      </c>
      <c r="T3071">
        <v>33</v>
      </c>
      <c r="U3071">
        <v>9</v>
      </c>
      <c r="V3071">
        <v>3</v>
      </c>
      <c r="W3071">
        <v>0</v>
      </c>
      <c r="X3071">
        <v>108</v>
      </c>
      <c r="Y3071">
        <v>1</v>
      </c>
      <c r="Z3071">
        <v>4</v>
      </c>
      <c r="AA3071">
        <v>3</v>
      </c>
      <c r="AB3071">
        <v>8</v>
      </c>
      <c r="AD3071">
        <v>3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17</v>
      </c>
      <c r="AK3071">
        <v>262</v>
      </c>
      <c r="AL3071">
        <v>262</v>
      </c>
      <c r="AM3071">
        <v>566</v>
      </c>
      <c r="AN3071">
        <v>44</v>
      </c>
      <c r="AP3071">
        <v>1</v>
      </c>
      <c r="AR3071" t="s">
        <v>3166</v>
      </c>
      <c r="AS3071" s="1">
        <v>44354.040972222225</v>
      </c>
      <c r="AT3071" s="1">
        <v>44354.070405092592</v>
      </c>
      <c r="AU3071" s="1">
        <v>44354.070914351854</v>
      </c>
      <c r="AV3071" t="s">
        <v>71</v>
      </c>
      <c r="AW3071" t="s">
        <v>72</v>
      </c>
      <c r="AX3071" t="s">
        <v>73</v>
      </c>
    </row>
    <row r="3072" spans="1:50" x14ac:dyDescent="0.3">
      <c r="A3072" t="str">
        <f>"200477C0300"</f>
        <v>200477C0300</v>
      </c>
      <c r="B3072" t="str">
        <f>"200477C03002"</f>
        <v>200477C03002</v>
      </c>
      <c r="C3072" t="str">
        <f t="shared" si="147"/>
        <v>20</v>
      </c>
      <c r="D3072" t="s">
        <v>67</v>
      </c>
      <c r="E3072" t="str">
        <f t="shared" si="148"/>
        <v>014</v>
      </c>
      <c r="F3072" t="s">
        <v>2914</v>
      </c>
      <c r="G3072" t="str">
        <f>"0477"</f>
        <v>0477</v>
      </c>
      <c r="H3072" t="str">
        <f>"0003"</f>
        <v>0003</v>
      </c>
      <c r="I3072" t="s">
        <v>75</v>
      </c>
      <c r="J3072">
        <v>0</v>
      </c>
      <c r="K3072">
        <v>1</v>
      </c>
      <c r="L3072">
        <v>2</v>
      </c>
      <c r="M3072">
        <v>288</v>
      </c>
      <c r="N3072">
        <v>321</v>
      </c>
      <c r="O3072">
        <v>2</v>
      </c>
      <c r="P3072">
        <v>322</v>
      </c>
      <c r="Q3072">
        <v>12</v>
      </c>
      <c r="R3072">
        <v>71</v>
      </c>
      <c r="S3072">
        <v>3</v>
      </c>
      <c r="T3072">
        <v>22</v>
      </c>
      <c r="U3072">
        <v>10</v>
      </c>
      <c r="V3072">
        <v>4</v>
      </c>
      <c r="W3072">
        <v>4</v>
      </c>
      <c r="X3072">
        <v>138</v>
      </c>
      <c r="Y3072">
        <v>7</v>
      </c>
      <c r="Z3072">
        <v>14</v>
      </c>
      <c r="AA3072">
        <v>3</v>
      </c>
      <c r="AB3072">
        <v>13</v>
      </c>
      <c r="AD3072">
        <v>2</v>
      </c>
      <c r="AE3072">
        <v>1</v>
      </c>
      <c r="AF3072">
        <v>0</v>
      </c>
      <c r="AG3072">
        <v>0</v>
      </c>
      <c r="AH3072">
        <v>0</v>
      </c>
      <c r="AI3072">
        <v>0</v>
      </c>
      <c r="AJ3072">
        <v>18</v>
      </c>
      <c r="AK3072">
        <v>322</v>
      </c>
      <c r="AL3072">
        <v>322</v>
      </c>
      <c r="AM3072">
        <v>566</v>
      </c>
      <c r="AN3072">
        <v>44</v>
      </c>
      <c r="AP3072">
        <v>1</v>
      </c>
      <c r="AR3072" t="s">
        <v>3167</v>
      </c>
      <c r="AS3072" s="1">
        <v>44354.040277777778</v>
      </c>
      <c r="AT3072" s="1">
        <v>44354.07408564815</v>
      </c>
      <c r="AU3072" s="1">
        <v>44354.074699074074</v>
      </c>
      <c r="AV3072" t="s">
        <v>71</v>
      </c>
      <c r="AW3072" t="s">
        <v>72</v>
      </c>
      <c r="AX3072" t="s">
        <v>73</v>
      </c>
    </row>
    <row r="3073" spans="1:50" x14ac:dyDescent="0.3">
      <c r="A3073" t="str">
        <f>"200478B0000"</f>
        <v>200478B0000</v>
      </c>
      <c r="B3073" t="str">
        <f>"200478B00002"</f>
        <v>200478B00002</v>
      </c>
      <c r="C3073" t="str">
        <f t="shared" si="147"/>
        <v>20</v>
      </c>
      <c r="D3073" t="s">
        <v>67</v>
      </c>
      <c r="E3073" t="str">
        <f t="shared" si="148"/>
        <v>014</v>
      </c>
      <c r="F3073" t="s">
        <v>2914</v>
      </c>
      <c r="G3073" t="str">
        <f t="shared" ref="G3073:G3078" si="150">"0478"</f>
        <v>0478</v>
      </c>
      <c r="H3073" t="str">
        <f>"0000"</f>
        <v>0000</v>
      </c>
      <c r="I3073" t="s">
        <v>69</v>
      </c>
      <c r="J3073">
        <v>0</v>
      </c>
      <c r="K3073">
        <v>1</v>
      </c>
      <c r="L3073">
        <v>2</v>
      </c>
      <c r="M3073">
        <v>358</v>
      </c>
      <c r="N3073">
        <v>307</v>
      </c>
      <c r="O3073">
        <v>5</v>
      </c>
      <c r="P3073">
        <v>306</v>
      </c>
      <c r="Q3073">
        <v>13</v>
      </c>
      <c r="R3073">
        <v>75</v>
      </c>
      <c r="S3073">
        <v>5</v>
      </c>
      <c r="T3073">
        <v>17</v>
      </c>
      <c r="U3073">
        <v>13</v>
      </c>
      <c r="V3073">
        <v>10</v>
      </c>
      <c r="W3073">
        <v>1</v>
      </c>
      <c r="X3073">
        <v>133</v>
      </c>
      <c r="Y3073">
        <v>9</v>
      </c>
      <c r="Z3073">
        <v>5</v>
      </c>
      <c r="AA3073">
        <v>5</v>
      </c>
      <c r="AB3073">
        <v>7</v>
      </c>
      <c r="AD3073">
        <v>4</v>
      </c>
      <c r="AE3073">
        <v>0</v>
      </c>
      <c r="AF3073">
        <v>0</v>
      </c>
      <c r="AG3073">
        <v>0</v>
      </c>
      <c r="AH3073">
        <v>1</v>
      </c>
      <c r="AI3073">
        <v>1</v>
      </c>
      <c r="AJ3073">
        <v>7</v>
      </c>
      <c r="AK3073">
        <v>306</v>
      </c>
      <c r="AL3073">
        <v>306</v>
      </c>
      <c r="AM3073">
        <v>621</v>
      </c>
      <c r="AN3073">
        <v>44</v>
      </c>
      <c r="AP3073">
        <v>1</v>
      </c>
      <c r="AR3073" t="s">
        <v>3168</v>
      </c>
      <c r="AS3073" s="1">
        <v>44354.101388888892</v>
      </c>
      <c r="AT3073" s="1">
        <v>44354.10665509259</v>
      </c>
      <c r="AU3073" s="1">
        <v>44354.107037037036</v>
      </c>
      <c r="AV3073" t="s">
        <v>71</v>
      </c>
      <c r="AW3073" t="s">
        <v>72</v>
      </c>
      <c r="AX3073" t="s">
        <v>73</v>
      </c>
    </row>
    <row r="3074" spans="1:50" x14ac:dyDescent="0.3">
      <c r="A3074" t="str">
        <f>"200478C0100"</f>
        <v>200478C0100</v>
      </c>
      <c r="B3074" t="str">
        <f>"200478C01002"</f>
        <v>200478C01002</v>
      </c>
      <c r="C3074" t="str">
        <f t="shared" si="147"/>
        <v>20</v>
      </c>
      <c r="D3074" t="s">
        <v>67</v>
      </c>
      <c r="E3074" t="str">
        <f t="shared" si="148"/>
        <v>014</v>
      </c>
      <c r="F3074" t="s">
        <v>2914</v>
      </c>
      <c r="G3074" t="str">
        <f t="shared" si="150"/>
        <v>0478</v>
      </c>
      <c r="H3074" t="str">
        <f>"0001"</f>
        <v>0001</v>
      </c>
      <c r="I3074" t="s">
        <v>75</v>
      </c>
      <c r="J3074">
        <v>0</v>
      </c>
      <c r="K3074">
        <v>1</v>
      </c>
      <c r="L3074">
        <v>2</v>
      </c>
      <c r="M3074">
        <v>359</v>
      </c>
      <c r="N3074">
        <v>306</v>
      </c>
      <c r="O3074">
        <v>6</v>
      </c>
      <c r="P3074">
        <v>307</v>
      </c>
      <c r="Q3074">
        <v>14</v>
      </c>
      <c r="R3074">
        <v>64</v>
      </c>
      <c r="S3074">
        <v>3</v>
      </c>
      <c r="T3074">
        <v>15</v>
      </c>
      <c r="U3074">
        <v>12</v>
      </c>
      <c r="V3074">
        <v>5</v>
      </c>
      <c r="W3074">
        <v>3</v>
      </c>
      <c r="X3074">
        <v>144</v>
      </c>
      <c r="Y3074">
        <v>9</v>
      </c>
      <c r="Z3074">
        <v>6</v>
      </c>
      <c r="AA3074">
        <v>12</v>
      </c>
      <c r="AB3074">
        <v>6</v>
      </c>
      <c r="AD3074">
        <v>2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12</v>
      </c>
      <c r="AK3074">
        <v>307</v>
      </c>
      <c r="AL3074">
        <v>307</v>
      </c>
      <c r="AM3074">
        <v>621</v>
      </c>
      <c r="AN3074">
        <v>44</v>
      </c>
      <c r="AP3074">
        <v>1</v>
      </c>
      <c r="AR3074" t="s">
        <v>3169</v>
      </c>
      <c r="AS3074" s="1">
        <v>44354.101388888892</v>
      </c>
      <c r="AT3074" s="1">
        <v>44354.106539351851</v>
      </c>
      <c r="AU3074" s="1">
        <v>44354.107199074075</v>
      </c>
      <c r="AV3074" t="s">
        <v>71</v>
      </c>
      <c r="AW3074" t="s">
        <v>72</v>
      </c>
      <c r="AX3074" t="s">
        <v>73</v>
      </c>
    </row>
    <row r="3075" spans="1:50" x14ac:dyDescent="0.3">
      <c r="A3075" t="str">
        <f>"200478C0200"</f>
        <v>200478C0200</v>
      </c>
      <c r="B3075" t="str">
        <f>"200478C02002"</f>
        <v>200478C02002</v>
      </c>
      <c r="C3075" t="str">
        <f t="shared" si="147"/>
        <v>20</v>
      </c>
      <c r="D3075" t="s">
        <v>67</v>
      </c>
      <c r="E3075" t="str">
        <f t="shared" si="148"/>
        <v>014</v>
      </c>
      <c r="F3075" t="s">
        <v>2914</v>
      </c>
      <c r="G3075" t="str">
        <f t="shared" si="150"/>
        <v>0478</v>
      </c>
      <c r="H3075" t="str">
        <f>"0002"</f>
        <v>0002</v>
      </c>
      <c r="I3075" t="s">
        <v>75</v>
      </c>
      <c r="J3075">
        <v>0</v>
      </c>
      <c r="K3075">
        <v>1</v>
      </c>
      <c r="L3075">
        <v>2</v>
      </c>
      <c r="M3075">
        <v>378</v>
      </c>
      <c r="N3075">
        <v>287</v>
      </c>
      <c r="O3075">
        <v>2</v>
      </c>
      <c r="P3075">
        <v>287</v>
      </c>
      <c r="Q3075">
        <v>13</v>
      </c>
      <c r="R3075">
        <v>69</v>
      </c>
      <c r="S3075">
        <v>5</v>
      </c>
      <c r="T3075">
        <v>18</v>
      </c>
      <c r="U3075">
        <v>18</v>
      </c>
      <c r="V3075">
        <v>3</v>
      </c>
      <c r="W3075">
        <v>4</v>
      </c>
      <c r="X3075">
        <v>125</v>
      </c>
      <c r="Y3075">
        <v>5</v>
      </c>
      <c r="Z3075">
        <v>6</v>
      </c>
      <c r="AA3075">
        <v>6</v>
      </c>
      <c r="AB3075">
        <v>6</v>
      </c>
      <c r="AD3075">
        <v>1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8</v>
      </c>
      <c r="AK3075">
        <v>287</v>
      </c>
      <c r="AL3075">
        <v>287</v>
      </c>
      <c r="AM3075">
        <v>621</v>
      </c>
      <c r="AN3075">
        <v>44</v>
      </c>
      <c r="AP3075">
        <v>1</v>
      </c>
      <c r="AR3075" t="s">
        <v>3170</v>
      </c>
      <c r="AS3075" s="1">
        <v>44354.101388888892</v>
      </c>
      <c r="AT3075" s="1">
        <v>44354.105497685188</v>
      </c>
      <c r="AU3075" s="1">
        <v>44354.105995370373</v>
      </c>
      <c r="AV3075" t="s">
        <v>71</v>
      </c>
      <c r="AW3075" t="s">
        <v>72</v>
      </c>
      <c r="AX3075" t="s">
        <v>73</v>
      </c>
    </row>
    <row r="3076" spans="1:50" x14ac:dyDescent="0.3">
      <c r="A3076" t="str">
        <f>"200478E0100"</f>
        <v>200478E0100</v>
      </c>
      <c r="B3076" t="str">
        <f>"200478E01002"</f>
        <v>200478E01002</v>
      </c>
      <c r="C3076" t="str">
        <f t="shared" si="147"/>
        <v>20</v>
      </c>
      <c r="D3076" t="s">
        <v>67</v>
      </c>
      <c r="E3076" t="str">
        <f t="shared" si="148"/>
        <v>014</v>
      </c>
      <c r="F3076" t="s">
        <v>2914</v>
      </c>
      <c r="G3076" t="str">
        <f t="shared" si="150"/>
        <v>0478</v>
      </c>
      <c r="H3076" t="str">
        <f>"0001"</f>
        <v>0001</v>
      </c>
      <c r="I3076" t="s">
        <v>109</v>
      </c>
      <c r="J3076">
        <v>0</v>
      </c>
      <c r="K3076">
        <v>1</v>
      </c>
      <c r="L3076">
        <v>2</v>
      </c>
      <c r="M3076">
        <v>443</v>
      </c>
      <c r="N3076">
        <v>339</v>
      </c>
      <c r="O3076">
        <v>9</v>
      </c>
      <c r="P3076">
        <v>337</v>
      </c>
      <c r="Q3076">
        <v>16</v>
      </c>
      <c r="R3076">
        <v>53</v>
      </c>
      <c r="S3076">
        <v>1</v>
      </c>
      <c r="T3076">
        <v>18</v>
      </c>
      <c r="U3076">
        <v>13</v>
      </c>
      <c r="V3076">
        <v>7</v>
      </c>
      <c r="W3076">
        <v>2</v>
      </c>
      <c r="X3076">
        <v>179</v>
      </c>
      <c r="Y3076">
        <v>4</v>
      </c>
      <c r="Z3076">
        <v>8</v>
      </c>
      <c r="AA3076">
        <v>10</v>
      </c>
      <c r="AB3076">
        <v>10</v>
      </c>
      <c r="AD3076">
        <v>2</v>
      </c>
      <c r="AE3076">
        <v>1</v>
      </c>
      <c r="AF3076">
        <v>0</v>
      </c>
      <c r="AG3076">
        <v>0</v>
      </c>
      <c r="AH3076">
        <v>4</v>
      </c>
      <c r="AI3076">
        <v>0</v>
      </c>
      <c r="AJ3076">
        <v>10</v>
      </c>
      <c r="AK3076">
        <v>337</v>
      </c>
      <c r="AL3076">
        <v>338</v>
      </c>
      <c r="AM3076">
        <v>738</v>
      </c>
      <c r="AN3076">
        <v>44</v>
      </c>
      <c r="AP3076">
        <v>1</v>
      </c>
      <c r="AR3076" t="s">
        <v>3171</v>
      </c>
      <c r="AS3076" s="1">
        <v>44354.063194444447</v>
      </c>
      <c r="AT3076" s="1">
        <v>44354.080520833333</v>
      </c>
      <c r="AU3076" s="1">
        <v>44354.080960648149</v>
      </c>
      <c r="AV3076" t="s">
        <v>71</v>
      </c>
      <c r="AW3076" t="s">
        <v>72</v>
      </c>
      <c r="AX3076" t="s">
        <v>73</v>
      </c>
    </row>
    <row r="3077" spans="1:50" x14ac:dyDescent="0.3">
      <c r="A3077" t="str">
        <f>"200478E0101"</f>
        <v>200478E0101</v>
      </c>
      <c r="B3077" t="str">
        <f>"200478E01012"</f>
        <v>200478E01012</v>
      </c>
      <c r="C3077" t="str">
        <f t="shared" si="147"/>
        <v>20</v>
      </c>
      <c r="D3077" t="s">
        <v>67</v>
      </c>
      <c r="E3077" t="str">
        <f t="shared" si="148"/>
        <v>014</v>
      </c>
      <c r="F3077" t="s">
        <v>2914</v>
      </c>
      <c r="G3077" t="str">
        <f t="shared" si="150"/>
        <v>0478</v>
      </c>
      <c r="H3077" t="str">
        <f>"0001"</f>
        <v>0001</v>
      </c>
      <c r="I3077" t="s">
        <v>109</v>
      </c>
      <c r="J3077">
        <v>1</v>
      </c>
      <c r="K3077">
        <v>1</v>
      </c>
      <c r="L3077">
        <v>2</v>
      </c>
      <c r="M3077">
        <v>448</v>
      </c>
      <c r="N3077">
        <v>333</v>
      </c>
      <c r="O3077">
        <v>7</v>
      </c>
      <c r="P3077">
        <v>333</v>
      </c>
      <c r="Q3077">
        <v>11</v>
      </c>
      <c r="R3077">
        <v>67</v>
      </c>
      <c r="S3077">
        <v>2</v>
      </c>
      <c r="T3077">
        <v>19</v>
      </c>
      <c r="U3077">
        <v>12</v>
      </c>
      <c r="V3077">
        <v>3</v>
      </c>
      <c r="W3077">
        <v>0</v>
      </c>
      <c r="X3077">
        <v>173</v>
      </c>
      <c r="Y3077">
        <v>4</v>
      </c>
      <c r="Z3077">
        <v>12</v>
      </c>
      <c r="AA3077">
        <v>8</v>
      </c>
      <c r="AB3077">
        <v>9</v>
      </c>
      <c r="AD3077">
        <v>2</v>
      </c>
      <c r="AE3077">
        <v>1</v>
      </c>
      <c r="AF3077">
        <v>0</v>
      </c>
      <c r="AG3077">
        <v>0</v>
      </c>
      <c r="AH3077">
        <v>0</v>
      </c>
      <c r="AI3077">
        <v>0</v>
      </c>
      <c r="AJ3077">
        <v>10</v>
      </c>
      <c r="AK3077">
        <v>333</v>
      </c>
      <c r="AL3077">
        <v>333</v>
      </c>
      <c r="AM3077">
        <v>738</v>
      </c>
      <c r="AN3077">
        <v>44</v>
      </c>
      <c r="AP3077">
        <v>1</v>
      </c>
      <c r="AR3077" t="s">
        <v>3172</v>
      </c>
      <c r="AS3077" s="1">
        <v>44354.0625</v>
      </c>
      <c r="AT3077" s="1">
        <v>44354.077881944446</v>
      </c>
      <c r="AU3077" s="1">
        <v>44354.07849537037</v>
      </c>
      <c r="AV3077" t="s">
        <v>71</v>
      </c>
      <c r="AW3077" t="s">
        <v>72</v>
      </c>
      <c r="AX3077" t="s">
        <v>73</v>
      </c>
    </row>
    <row r="3078" spans="1:50" x14ac:dyDescent="0.3">
      <c r="A3078" t="str">
        <f>"200478E0200"</f>
        <v>200478E0200</v>
      </c>
      <c r="B3078" t="str">
        <f>"200478E02002"</f>
        <v>200478E02002</v>
      </c>
      <c r="C3078" t="str">
        <f t="shared" si="147"/>
        <v>20</v>
      </c>
      <c r="D3078" t="s">
        <v>67</v>
      </c>
      <c r="E3078" t="str">
        <f t="shared" si="148"/>
        <v>014</v>
      </c>
      <c r="F3078" t="s">
        <v>2914</v>
      </c>
      <c r="G3078" t="str">
        <f t="shared" si="150"/>
        <v>0478</v>
      </c>
      <c r="H3078" t="str">
        <f>"0002"</f>
        <v>0002</v>
      </c>
      <c r="I3078" t="s">
        <v>109</v>
      </c>
      <c r="J3078">
        <v>0</v>
      </c>
      <c r="K3078">
        <v>1</v>
      </c>
      <c r="L3078">
        <v>2</v>
      </c>
      <c r="M3078">
        <v>145</v>
      </c>
      <c r="N3078">
        <v>157</v>
      </c>
      <c r="O3078">
        <v>9</v>
      </c>
      <c r="P3078">
        <v>157</v>
      </c>
      <c r="Q3078">
        <v>10</v>
      </c>
      <c r="R3078">
        <v>30</v>
      </c>
      <c r="S3078">
        <v>1</v>
      </c>
      <c r="T3078">
        <v>3</v>
      </c>
      <c r="U3078">
        <v>7</v>
      </c>
      <c r="V3078">
        <v>6</v>
      </c>
      <c r="W3078">
        <v>2</v>
      </c>
      <c r="X3078">
        <v>82</v>
      </c>
      <c r="Y3078">
        <v>3</v>
      </c>
      <c r="Z3078">
        <v>0</v>
      </c>
      <c r="AA3078">
        <v>2</v>
      </c>
      <c r="AB3078">
        <v>5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6</v>
      </c>
      <c r="AK3078">
        <v>157</v>
      </c>
      <c r="AL3078">
        <v>157</v>
      </c>
      <c r="AM3078">
        <v>258</v>
      </c>
      <c r="AN3078">
        <v>44</v>
      </c>
      <c r="AP3078">
        <v>1</v>
      </c>
      <c r="AR3078" t="s">
        <v>3173</v>
      </c>
      <c r="AS3078" s="1">
        <v>44354.037499999999</v>
      </c>
      <c r="AT3078" s="1">
        <v>44354.044675925928</v>
      </c>
      <c r="AU3078" s="1">
        <v>44354.045127314814</v>
      </c>
      <c r="AV3078" t="s">
        <v>71</v>
      </c>
      <c r="AW3078" t="s">
        <v>72</v>
      </c>
      <c r="AX3078" t="s">
        <v>73</v>
      </c>
    </row>
    <row r="3079" spans="1:50" x14ac:dyDescent="0.3">
      <c r="A3079" t="str">
        <f>"200479B0000"</f>
        <v>200479B0000</v>
      </c>
      <c r="B3079" t="str">
        <f>"200479B00002"</f>
        <v>200479B00002</v>
      </c>
      <c r="C3079" t="str">
        <f t="shared" ref="C3079:C3142" si="151">"20"</f>
        <v>20</v>
      </c>
      <c r="D3079" t="s">
        <v>67</v>
      </c>
      <c r="E3079" t="str">
        <f t="shared" si="148"/>
        <v>014</v>
      </c>
      <c r="F3079" t="s">
        <v>2914</v>
      </c>
      <c r="G3079" t="str">
        <f>"0479"</f>
        <v>0479</v>
      </c>
      <c r="H3079" t="str">
        <f>"0000"</f>
        <v>0000</v>
      </c>
      <c r="I3079" t="s">
        <v>69</v>
      </c>
      <c r="J3079">
        <v>0</v>
      </c>
      <c r="K3079">
        <v>1</v>
      </c>
      <c r="L3079">
        <v>2</v>
      </c>
      <c r="M3079">
        <v>345</v>
      </c>
      <c r="N3079">
        <v>317</v>
      </c>
      <c r="O3079">
        <v>4</v>
      </c>
      <c r="P3079">
        <v>317</v>
      </c>
      <c r="Q3079">
        <v>15</v>
      </c>
      <c r="R3079">
        <v>63</v>
      </c>
      <c r="S3079">
        <v>4</v>
      </c>
      <c r="T3079">
        <v>9</v>
      </c>
      <c r="U3079">
        <v>8</v>
      </c>
      <c r="V3079">
        <v>10</v>
      </c>
      <c r="W3079">
        <v>2</v>
      </c>
      <c r="X3079">
        <v>155</v>
      </c>
      <c r="Y3079">
        <v>6</v>
      </c>
      <c r="Z3079">
        <v>10</v>
      </c>
      <c r="AA3079">
        <v>7</v>
      </c>
      <c r="AB3079">
        <v>12</v>
      </c>
      <c r="AD3079">
        <v>2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14</v>
      </c>
      <c r="AK3079">
        <v>317</v>
      </c>
      <c r="AL3079">
        <v>317</v>
      </c>
      <c r="AM3079">
        <v>618</v>
      </c>
      <c r="AN3079">
        <v>44</v>
      </c>
      <c r="AP3079">
        <v>1</v>
      </c>
      <c r="AR3079" t="s">
        <v>3174</v>
      </c>
      <c r="AS3079" s="1">
        <v>44354.037476851852</v>
      </c>
      <c r="AT3079" s="1">
        <v>44354.044953703706</v>
      </c>
      <c r="AU3079" s="1">
        <v>44354.045902777776</v>
      </c>
      <c r="AV3079" t="s">
        <v>71</v>
      </c>
      <c r="AW3079" t="s">
        <v>72</v>
      </c>
      <c r="AX3079" t="s">
        <v>73</v>
      </c>
    </row>
    <row r="3080" spans="1:50" x14ac:dyDescent="0.3">
      <c r="A3080" t="str">
        <f>"200479C0100"</f>
        <v>200479C0100</v>
      </c>
      <c r="B3080" t="str">
        <f>"200479C01002"</f>
        <v>200479C01002</v>
      </c>
      <c r="C3080" t="str">
        <f t="shared" si="151"/>
        <v>20</v>
      </c>
      <c r="D3080" t="s">
        <v>67</v>
      </c>
      <c r="E3080" t="str">
        <f t="shared" si="148"/>
        <v>014</v>
      </c>
      <c r="F3080" t="s">
        <v>2914</v>
      </c>
      <c r="G3080" t="str">
        <f>"0479"</f>
        <v>0479</v>
      </c>
      <c r="H3080" t="str">
        <f>"0001"</f>
        <v>0001</v>
      </c>
      <c r="I3080" t="s">
        <v>75</v>
      </c>
      <c r="J3080">
        <v>0</v>
      </c>
      <c r="K3080">
        <v>1</v>
      </c>
      <c r="L3080">
        <v>2</v>
      </c>
      <c r="M3080">
        <v>353</v>
      </c>
      <c r="N3080">
        <v>309</v>
      </c>
      <c r="O3080">
        <v>5</v>
      </c>
      <c r="P3080">
        <v>309</v>
      </c>
      <c r="Q3080">
        <v>18</v>
      </c>
      <c r="R3080">
        <v>53</v>
      </c>
      <c r="S3080">
        <v>3</v>
      </c>
      <c r="T3080">
        <v>10</v>
      </c>
      <c r="U3080">
        <v>14</v>
      </c>
      <c r="V3080">
        <v>10</v>
      </c>
      <c r="W3080">
        <v>5</v>
      </c>
      <c r="X3080">
        <v>154</v>
      </c>
      <c r="Y3080">
        <v>5</v>
      </c>
      <c r="Z3080">
        <v>7</v>
      </c>
      <c r="AA3080">
        <v>2</v>
      </c>
      <c r="AB3080">
        <v>13</v>
      </c>
      <c r="AD3080">
        <v>1</v>
      </c>
      <c r="AE3080">
        <v>1</v>
      </c>
      <c r="AF3080">
        <v>0</v>
      </c>
      <c r="AG3080">
        <v>0</v>
      </c>
      <c r="AH3080">
        <v>1</v>
      </c>
      <c r="AI3080">
        <v>0</v>
      </c>
      <c r="AJ3080">
        <v>12</v>
      </c>
      <c r="AK3080">
        <v>309</v>
      </c>
      <c r="AL3080">
        <v>309</v>
      </c>
      <c r="AM3080">
        <v>618</v>
      </c>
      <c r="AN3080">
        <v>44</v>
      </c>
      <c r="AP3080">
        <v>1</v>
      </c>
      <c r="AR3080" t="s">
        <v>3175</v>
      </c>
      <c r="AS3080" s="1">
        <v>44354.038194444445</v>
      </c>
      <c r="AT3080" s="1">
        <v>44354.067604166667</v>
      </c>
      <c r="AU3080" s="1">
        <v>44354.068611111114</v>
      </c>
      <c r="AV3080" t="s">
        <v>71</v>
      </c>
      <c r="AW3080" t="s">
        <v>72</v>
      </c>
      <c r="AX3080" t="s">
        <v>73</v>
      </c>
    </row>
    <row r="3081" spans="1:50" x14ac:dyDescent="0.3">
      <c r="A3081" t="str">
        <f>"200479C0200"</f>
        <v>200479C0200</v>
      </c>
      <c r="B3081" t="str">
        <f>"200479C02002"</f>
        <v>200479C02002</v>
      </c>
      <c r="C3081" t="str">
        <f t="shared" si="151"/>
        <v>20</v>
      </c>
      <c r="D3081" t="s">
        <v>67</v>
      </c>
      <c r="E3081" t="str">
        <f t="shared" si="148"/>
        <v>014</v>
      </c>
      <c r="F3081" t="s">
        <v>2914</v>
      </c>
      <c r="G3081" t="str">
        <f>"0479"</f>
        <v>0479</v>
      </c>
      <c r="H3081" t="str">
        <f>"0002"</f>
        <v>0002</v>
      </c>
      <c r="I3081" t="s">
        <v>75</v>
      </c>
      <c r="J3081">
        <v>0</v>
      </c>
      <c r="K3081">
        <v>1</v>
      </c>
      <c r="L3081">
        <v>2</v>
      </c>
      <c r="M3081">
        <v>352</v>
      </c>
      <c r="N3081">
        <v>662</v>
      </c>
      <c r="O3081">
        <v>8</v>
      </c>
      <c r="P3081">
        <v>310</v>
      </c>
      <c r="Q3081">
        <v>16</v>
      </c>
      <c r="R3081">
        <v>57</v>
      </c>
      <c r="S3081">
        <v>4</v>
      </c>
      <c r="T3081">
        <v>13</v>
      </c>
      <c r="U3081">
        <v>14</v>
      </c>
      <c r="V3081">
        <v>6</v>
      </c>
      <c r="W3081">
        <v>0</v>
      </c>
      <c r="X3081">
        <v>146</v>
      </c>
      <c r="Y3081">
        <v>10</v>
      </c>
      <c r="Z3081">
        <v>7</v>
      </c>
      <c r="AA3081">
        <v>4</v>
      </c>
      <c r="AB3081">
        <v>17</v>
      </c>
      <c r="AD3081">
        <v>1</v>
      </c>
      <c r="AE3081">
        <v>0</v>
      </c>
      <c r="AF3081">
        <v>0</v>
      </c>
      <c r="AG3081">
        <v>1</v>
      </c>
      <c r="AH3081">
        <v>0</v>
      </c>
      <c r="AI3081">
        <v>1</v>
      </c>
      <c r="AJ3081">
        <v>13</v>
      </c>
      <c r="AK3081">
        <v>310</v>
      </c>
      <c r="AL3081">
        <v>310</v>
      </c>
      <c r="AM3081">
        <v>618</v>
      </c>
      <c r="AN3081">
        <v>44</v>
      </c>
      <c r="AP3081">
        <v>1</v>
      </c>
      <c r="AR3081" t="s">
        <v>3176</v>
      </c>
      <c r="AS3081" s="1">
        <v>44353.869444444441</v>
      </c>
      <c r="AT3081" s="1">
        <v>44354.026909722219</v>
      </c>
      <c r="AU3081" s="1">
        <v>44354.027453703704</v>
      </c>
      <c r="AV3081" t="s">
        <v>71</v>
      </c>
      <c r="AW3081" t="s">
        <v>72</v>
      </c>
      <c r="AX3081" t="s">
        <v>73</v>
      </c>
    </row>
    <row r="3082" spans="1:50" x14ac:dyDescent="0.3">
      <c r="A3082" t="str">
        <f>"200480B0000"</f>
        <v>200480B0000</v>
      </c>
      <c r="B3082" t="str">
        <f>"200480B00002"</f>
        <v>200480B00002</v>
      </c>
      <c r="C3082" t="str">
        <f t="shared" si="151"/>
        <v>20</v>
      </c>
      <c r="D3082" t="s">
        <v>67</v>
      </c>
      <c r="E3082" t="str">
        <f t="shared" si="148"/>
        <v>014</v>
      </c>
      <c r="F3082" t="s">
        <v>2914</v>
      </c>
      <c r="G3082" t="str">
        <f>"0480"</f>
        <v>0480</v>
      </c>
      <c r="H3082" t="str">
        <f>"0000"</f>
        <v>0000</v>
      </c>
      <c r="I3082" t="s">
        <v>69</v>
      </c>
      <c r="J3082">
        <v>0</v>
      </c>
      <c r="K3082">
        <v>1</v>
      </c>
      <c r="L3082">
        <v>2</v>
      </c>
      <c r="M3082">
        <v>288</v>
      </c>
      <c r="N3082">
        <v>405</v>
      </c>
      <c r="O3082">
        <v>6</v>
      </c>
      <c r="P3082">
        <v>405</v>
      </c>
      <c r="Q3082">
        <v>80</v>
      </c>
      <c r="R3082">
        <v>135</v>
      </c>
      <c r="S3082">
        <v>3</v>
      </c>
      <c r="T3082">
        <v>19</v>
      </c>
      <c r="U3082">
        <v>7</v>
      </c>
      <c r="V3082">
        <v>14</v>
      </c>
      <c r="W3082">
        <v>3</v>
      </c>
      <c r="X3082">
        <v>107</v>
      </c>
      <c r="Y3082">
        <v>14</v>
      </c>
      <c r="Z3082">
        <v>7</v>
      </c>
      <c r="AA3082">
        <v>1</v>
      </c>
      <c r="AB3082">
        <v>6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1</v>
      </c>
      <c r="AJ3082">
        <v>8</v>
      </c>
      <c r="AK3082">
        <v>405</v>
      </c>
      <c r="AL3082">
        <v>405</v>
      </c>
      <c r="AM3082">
        <v>649</v>
      </c>
      <c r="AN3082">
        <v>44</v>
      </c>
      <c r="AP3082">
        <v>1</v>
      </c>
      <c r="AR3082" t="s">
        <v>3177</v>
      </c>
      <c r="AS3082" s="1">
        <v>44354.188888888886</v>
      </c>
      <c r="AT3082" s="1">
        <v>44354.192164351851</v>
      </c>
      <c r="AU3082" s="1">
        <v>44354.192893518521</v>
      </c>
      <c r="AV3082" t="s">
        <v>71</v>
      </c>
      <c r="AW3082" t="s">
        <v>72</v>
      </c>
      <c r="AX3082" t="s">
        <v>73</v>
      </c>
    </row>
    <row r="3083" spans="1:50" x14ac:dyDescent="0.3">
      <c r="A3083" t="str">
        <f>"200480C0100"</f>
        <v>200480C0100</v>
      </c>
      <c r="B3083" t="str">
        <f>"200480C01002"</f>
        <v>200480C01002</v>
      </c>
      <c r="C3083" t="str">
        <f t="shared" si="151"/>
        <v>20</v>
      </c>
      <c r="D3083" t="s">
        <v>67</v>
      </c>
      <c r="E3083" t="str">
        <f t="shared" si="148"/>
        <v>014</v>
      </c>
      <c r="F3083" t="s">
        <v>2914</v>
      </c>
      <c r="G3083" t="str">
        <f>"0480"</f>
        <v>0480</v>
      </c>
      <c r="H3083" t="str">
        <f>"0001"</f>
        <v>0001</v>
      </c>
      <c r="I3083" t="s">
        <v>75</v>
      </c>
      <c r="J3083">
        <v>0</v>
      </c>
      <c r="K3083">
        <v>1</v>
      </c>
      <c r="L3083">
        <v>2</v>
      </c>
      <c r="M3083">
        <v>330</v>
      </c>
      <c r="N3083">
        <v>362</v>
      </c>
      <c r="O3083">
        <v>7</v>
      </c>
      <c r="P3083">
        <v>362</v>
      </c>
      <c r="Q3083">
        <v>65</v>
      </c>
      <c r="R3083">
        <v>103</v>
      </c>
      <c r="S3083">
        <v>4</v>
      </c>
      <c r="T3083">
        <v>10</v>
      </c>
      <c r="U3083">
        <v>11</v>
      </c>
      <c r="V3083">
        <v>11</v>
      </c>
      <c r="W3083">
        <v>4</v>
      </c>
      <c r="X3083">
        <v>108</v>
      </c>
      <c r="Y3083">
        <v>7</v>
      </c>
      <c r="Z3083">
        <v>11</v>
      </c>
      <c r="AA3083">
        <v>3</v>
      </c>
      <c r="AB3083">
        <v>12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13</v>
      </c>
      <c r="AK3083">
        <v>362</v>
      </c>
      <c r="AL3083">
        <v>362</v>
      </c>
      <c r="AM3083">
        <v>648</v>
      </c>
      <c r="AN3083">
        <v>44</v>
      </c>
      <c r="AP3083">
        <v>1</v>
      </c>
      <c r="AR3083" t="s">
        <v>3178</v>
      </c>
      <c r="AS3083" s="1">
        <v>44354.048611111109</v>
      </c>
      <c r="AT3083" s="1">
        <v>44354.071666666663</v>
      </c>
      <c r="AU3083" s="1">
        <v>44354.072106481479</v>
      </c>
      <c r="AV3083" t="s">
        <v>71</v>
      </c>
      <c r="AW3083" t="s">
        <v>72</v>
      </c>
      <c r="AX3083" t="s">
        <v>73</v>
      </c>
    </row>
    <row r="3084" spans="1:50" x14ac:dyDescent="0.3">
      <c r="A3084" t="str">
        <f>"200480C0200"</f>
        <v>200480C0200</v>
      </c>
      <c r="B3084" t="str">
        <f>"200480C02002"</f>
        <v>200480C02002</v>
      </c>
      <c r="C3084" t="str">
        <f t="shared" si="151"/>
        <v>20</v>
      </c>
      <c r="D3084" t="s">
        <v>67</v>
      </c>
      <c r="E3084" t="str">
        <f t="shared" si="148"/>
        <v>014</v>
      </c>
      <c r="F3084" t="s">
        <v>2914</v>
      </c>
      <c r="G3084" t="str">
        <f>"0480"</f>
        <v>0480</v>
      </c>
      <c r="H3084" t="str">
        <f>"0002"</f>
        <v>0002</v>
      </c>
      <c r="I3084" t="s">
        <v>75</v>
      </c>
      <c r="J3084">
        <v>0</v>
      </c>
      <c r="K3084">
        <v>1</v>
      </c>
      <c r="L3084">
        <v>2</v>
      </c>
      <c r="M3084">
        <v>274</v>
      </c>
      <c r="N3084">
        <v>418</v>
      </c>
      <c r="O3084">
        <v>11</v>
      </c>
      <c r="P3084">
        <v>418</v>
      </c>
      <c r="Q3084">
        <v>77</v>
      </c>
      <c r="R3084">
        <v>144</v>
      </c>
      <c r="S3084">
        <v>2</v>
      </c>
      <c r="T3084">
        <v>7</v>
      </c>
      <c r="U3084">
        <v>4</v>
      </c>
      <c r="V3084">
        <v>5</v>
      </c>
      <c r="W3084">
        <v>3</v>
      </c>
      <c r="X3084">
        <v>117</v>
      </c>
      <c r="Y3084">
        <v>14</v>
      </c>
      <c r="Z3084">
        <v>16</v>
      </c>
      <c r="AA3084">
        <v>4</v>
      </c>
      <c r="AB3084">
        <v>9</v>
      </c>
      <c r="AD3084">
        <v>4</v>
      </c>
      <c r="AE3084">
        <v>2</v>
      </c>
      <c r="AF3084">
        <v>0</v>
      </c>
      <c r="AG3084">
        <v>0</v>
      </c>
      <c r="AH3084">
        <v>1</v>
      </c>
      <c r="AI3084">
        <v>1</v>
      </c>
      <c r="AJ3084">
        <v>8</v>
      </c>
      <c r="AK3084">
        <v>418</v>
      </c>
      <c r="AL3084">
        <v>418</v>
      </c>
      <c r="AM3084">
        <v>648</v>
      </c>
      <c r="AN3084">
        <v>44</v>
      </c>
      <c r="AP3084">
        <v>1</v>
      </c>
      <c r="AR3084" t="s">
        <v>3179</v>
      </c>
      <c r="AS3084" s="1">
        <v>44354.048611111109</v>
      </c>
      <c r="AT3084" s="1">
        <v>44354.071898148148</v>
      </c>
      <c r="AU3084" s="1">
        <v>44354.072870370372</v>
      </c>
      <c r="AV3084" t="s">
        <v>71</v>
      </c>
      <c r="AW3084" t="s">
        <v>72</v>
      </c>
      <c r="AX3084" t="s">
        <v>73</v>
      </c>
    </row>
    <row r="3085" spans="1:50" x14ac:dyDescent="0.3">
      <c r="A3085" t="str">
        <f>"200481B0000"</f>
        <v>200481B0000</v>
      </c>
      <c r="B3085" t="str">
        <f>"200481B00002"</f>
        <v>200481B00002</v>
      </c>
      <c r="C3085" t="str">
        <f t="shared" si="151"/>
        <v>20</v>
      </c>
      <c r="D3085" t="s">
        <v>67</v>
      </c>
      <c r="E3085" t="str">
        <f t="shared" si="148"/>
        <v>014</v>
      </c>
      <c r="F3085" t="s">
        <v>2914</v>
      </c>
      <c r="G3085" t="str">
        <f>"0481"</f>
        <v>0481</v>
      </c>
      <c r="H3085" t="str">
        <f>"0000"</f>
        <v>0000</v>
      </c>
      <c r="I3085" t="s">
        <v>69</v>
      </c>
      <c r="J3085">
        <v>0</v>
      </c>
      <c r="K3085">
        <v>1</v>
      </c>
      <c r="L3085">
        <v>2</v>
      </c>
      <c r="M3085">
        <v>372</v>
      </c>
      <c r="N3085">
        <v>422</v>
      </c>
      <c r="O3085">
        <v>2</v>
      </c>
      <c r="P3085">
        <v>423</v>
      </c>
      <c r="Q3085">
        <v>79</v>
      </c>
      <c r="R3085">
        <v>117</v>
      </c>
      <c r="S3085">
        <v>3</v>
      </c>
      <c r="T3085">
        <v>14</v>
      </c>
      <c r="U3085">
        <v>9</v>
      </c>
      <c r="V3085">
        <v>8</v>
      </c>
      <c r="W3085">
        <v>1</v>
      </c>
      <c r="X3085">
        <v>146</v>
      </c>
      <c r="Y3085">
        <v>17</v>
      </c>
      <c r="Z3085">
        <v>4</v>
      </c>
      <c r="AA3085">
        <v>4</v>
      </c>
      <c r="AB3085">
        <v>8</v>
      </c>
      <c r="AD3085">
        <v>1</v>
      </c>
      <c r="AE3085">
        <v>1</v>
      </c>
      <c r="AF3085">
        <v>0</v>
      </c>
      <c r="AG3085">
        <v>0</v>
      </c>
      <c r="AH3085">
        <v>0</v>
      </c>
      <c r="AI3085">
        <v>0</v>
      </c>
      <c r="AJ3085">
        <v>11</v>
      </c>
      <c r="AK3085">
        <v>423</v>
      </c>
      <c r="AL3085">
        <v>423</v>
      </c>
      <c r="AM3085">
        <v>750</v>
      </c>
      <c r="AN3085">
        <v>44</v>
      </c>
      <c r="AP3085">
        <v>1</v>
      </c>
      <c r="AR3085" t="s">
        <v>3180</v>
      </c>
      <c r="AS3085" s="1">
        <v>44353.993055555555</v>
      </c>
      <c r="AT3085" s="1">
        <v>44354.002233796295</v>
      </c>
      <c r="AU3085" s="1">
        <v>44354.002766203703</v>
      </c>
      <c r="AV3085" t="s">
        <v>71</v>
      </c>
      <c r="AW3085" t="s">
        <v>72</v>
      </c>
      <c r="AX3085" t="s">
        <v>73</v>
      </c>
    </row>
    <row r="3086" spans="1:50" x14ac:dyDescent="0.3">
      <c r="A3086" t="str">
        <f>"200481C0100"</f>
        <v>200481C0100</v>
      </c>
      <c r="B3086" t="str">
        <f>"200481C01002"</f>
        <v>200481C01002</v>
      </c>
      <c r="C3086" t="str">
        <f t="shared" si="151"/>
        <v>20</v>
      </c>
      <c r="D3086" t="s">
        <v>67</v>
      </c>
      <c r="E3086" t="str">
        <f t="shared" si="148"/>
        <v>014</v>
      </c>
      <c r="F3086" t="s">
        <v>2914</v>
      </c>
      <c r="G3086" t="str">
        <f>"0481"</f>
        <v>0481</v>
      </c>
      <c r="H3086" t="str">
        <f>"0001"</f>
        <v>0001</v>
      </c>
      <c r="I3086" t="s">
        <v>75</v>
      </c>
      <c r="J3086">
        <v>0</v>
      </c>
      <c r="K3086">
        <v>1</v>
      </c>
      <c r="L3086">
        <v>2</v>
      </c>
      <c r="M3086">
        <v>339</v>
      </c>
      <c r="N3086">
        <v>455</v>
      </c>
      <c r="O3086">
        <v>3</v>
      </c>
      <c r="P3086">
        <v>456</v>
      </c>
      <c r="Q3086">
        <v>45</v>
      </c>
      <c r="R3086">
        <v>125</v>
      </c>
      <c r="S3086">
        <v>2</v>
      </c>
      <c r="T3086">
        <v>23</v>
      </c>
      <c r="U3086">
        <v>18</v>
      </c>
      <c r="V3086">
        <v>9</v>
      </c>
      <c r="W3086">
        <v>3</v>
      </c>
      <c r="X3086">
        <v>188</v>
      </c>
      <c r="Y3086">
        <v>10</v>
      </c>
      <c r="Z3086">
        <v>9</v>
      </c>
      <c r="AA3086">
        <v>1</v>
      </c>
      <c r="AB3086">
        <v>11</v>
      </c>
      <c r="AD3086">
        <v>4</v>
      </c>
      <c r="AE3086" t="s">
        <v>77</v>
      </c>
      <c r="AF3086" t="s">
        <v>77</v>
      </c>
      <c r="AG3086" t="s">
        <v>77</v>
      </c>
      <c r="AH3086" t="s">
        <v>77</v>
      </c>
      <c r="AI3086" t="s">
        <v>77</v>
      </c>
      <c r="AJ3086">
        <v>8</v>
      </c>
      <c r="AK3086">
        <v>456</v>
      </c>
      <c r="AL3086">
        <v>456</v>
      </c>
      <c r="AM3086">
        <v>750</v>
      </c>
      <c r="AN3086">
        <v>44</v>
      </c>
      <c r="AO3086" t="s">
        <v>78</v>
      </c>
      <c r="AP3086">
        <v>1</v>
      </c>
      <c r="AR3086" t="s">
        <v>3181</v>
      </c>
      <c r="AS3086" s="1">
        <v>44354.000694444447</v>
      </c>
      <c r="AT3086" s="1">
        <v>44354.017164351855</v>
      </c>
      <c r="AU3086" s="1">
        <v>44354.017731481479</v>
      </c>
      <c r="AV3086" t="s">
        <v>71</v>
      </c>
      <c r="AW3086" t="s">
        <v>72</v>
      </c>
      <c r="AX3086" t="s">
        <v>73</v>
      </c>
    </row>
    <row r="3087" spans="1:50" x14ac:dyDescent="0.3">
      <c r="A3087" t="str">
        <f>"200481C0200"</f>
        <v>200481C0200</v>
      </c>
      <c r="B3087" t="str">
        <f>"200481C02002"</f>
        <v>200481C02002</v>
      </c>
      <c r="C3087" t="str">
        <f t="shared" si="151"/>
        <v>20</v>
      </c>
      <c r="D3087" t="s">
        <v>67</v>
      </c>
      <c r="E3087" t="str">
        <f t="shared" si="148"/>
        <v>014</v>
      </c>
      <c r="F3087" t="s">
        <v>2914</v>
      </c>
      <c r="G3087" t="str">
        <f>"0481"</f>
        <v>0481</v>
      </c>
      <c r="H3087" t="str">
        <f>"0002"</f>
        <v>0002</v>
      </c>
      <c r="I3087" t="s">
        <v>75</v>
      </c>
      <c r="J3087">
        <v>0</v>
      </c>
      <c r="K3087">
        <v>1</v>
      </c>
      <c r="L3087">
        <v>2</v>
      </c>
      <c r="M3087">
        <v>375</v>
      </c>
      <c r="N3087">
        <v>419</v>
      </c>
      <c r="O3087">
        <v>3</v>
      </c>
      <c r="P3087">
        <v>419</v>
      </c>
      <c r="Q3087">
        <v>41</v>
      </c>
      <c r="R3087">
        <v>99</v>
      </c>
      <c r="S3087">
        <v>4</v>
      </c>
      <c r="T3087">
        <v>7</v>
      </c>
      <c r="U3087">
        <v>13</v>
      </c>
      <c r="V3087">
        <v>12</v>
      </c>
      <c r="W3087">
        <v>1</v>
      </c>
      <c r="X3087">
        <v>189</v>
      </c>
      <c r="Y3087">
        <v>12</v>
      </c>
      <c r="Z3087">
        <v>6</v>
      </c>
      <c r="AA3087">
        <v>4</v>
      </c>
      <c r="AB3087">
        <v>10</v>
      </c>
      <c r="AD3087">
        <v>5</v>
      </c>
      <c r="AE3087">
        <v>0</v>
      </c>
      <c r="AF3087">
        <v>0</v>
      </c>
      <c r="AG3087">
        <v>0</v>
      </c>
      <c r="AH3087">
        <v>1</v>
      </c>
      <c r="AI3087">
        <v>4</v>
      </c>
      <c r="AJ3087">
        <v>11</v>
      </c>
      <c r="AK3087">
        <v>419</v>
      </c>
      <c r="AL3087">
        <v>419</v>
      </c>
      <c r="AM3087">
        <v>750</v>
      </c>
      <c r="AN3087">
        <v>44</v>
      </c>
      <c r="AP3087">
        <v>1</v>
      </c>
      <c r="AR3087" t="s">
        <v>3182</v>
      </c>
      <c r="AS3087" s="1">
        <v>44354.001388888886</v>
      </c>
      <c r="AT3087" s="1">
        <v>44354.011620370373</v>
      </c>
      <c r="AU3087" s="1">
        <v>44354.012094907404</v>
      </c>
      <c r="AV3087" t="s">
        <v>71</v>
      </c>
      <c r="AW3087" t="s">
        <v>72</v>
      </c>
      <c r="AX3087" t="s">
        <v>73</v>
      </c>
    </row>
    <row r="3088" spans="1:50" x14ac:dyDescent="0.3">
      <c r="A3088" t="str">
        <f>"200481C0300"</f>
        <v>200481C0300</v>
      </c>
      <c r="B3088" t="str">
        <f>"200481C03002"</f>
        <v>200481C03002</v>
      </c>
      <c r="C3088" t="str">
        <f t="shared" si="151"/>
        <v>20</v>
      </c>
      <c r="D3088" t="s">
        <v>67</v>
      </c>
      <c r="E3088" t="str">
        <f t="shared" si="148"/>
        <v>014</v>
      </c>
      <c r="F3088" t="s">
        <v>2914</v>
      </c>
      <c r="G3088" t="str">
        <f>"0481"</f>
        <v>0481</v>
      </c>
      <c r="H3088" t="str">
        <f>"0003"</f>
        <v>0003</v>
      </c>
      <c r="I3088" t="s">
        <v>75</v>
      </c>
      <c r="J3088">
        <v>0</v>
      </c>
      <c r="K3088">
        <v>1</v>
      </c>
      <c r="L3088">
        <v>2</v>
      </c>
      <c r="M3088">
        <v>385</v>
      </c>
      <c r="N3088">
        <v>429</v>
      </c>
      <c r="O3088">
        <v>3</v>
      </c>
      <c r="P3088">
        <v>429</v>
      </c>
      <c r="Q3088">
        <v>61</v>
      </c>
      <c r="R3088">
        <v>122</v>
      </c>
      <c r="S3088">
        <v>1</v>
      </c>
      <c r="T3088">
        <v>24</v>
      </c>
      <c r="U3088">
        <v>9</v>
      </c>
      <c r="V3088">
        <v>5</v>
      </c>
      <c r="W3088">
        <v>1</v>
      </c>
      <c r="X3088">
        <v>161</v>
      </c>
      <c r="Y3088">
        <v>7</v>
      </c>
      <c r="Z3088">
        <v>7</v>
      </c>
      <c r="AA3088">
        <v>2</v>
      </c>
      <c r="AB3088">
        <v>12</v>
      </c>
      <c r="AD3088">
        <v>6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11</v>
      </c>
      <c r="AK3088">
        <v>429</v>
      </c>
      <c r="AL3088">
        <v>429</v>
      </c>
      <c r="AM3088">
        <v>750</v>
      </c>
      <c r="AN3088">
        <v>44</v>
      </c>
      <c r="AP3088">
        <v>1</v>
      </c>
      <c r="AR3088" t="s">
        <v>3183</v>
      </c>
      <c r="AS3088" s="1">
        <v>44354.000694444447</v>
      </c>
      <c r="AT3088" s="1">
        <v>44354.017268518517</v>
      </c>
      <c r="AU3088" s="1">
        <v>44354.017881944441</v>
      </c>
      <c r="AV3088" t="s">
        <v>71</v>
      </c>
      <c r="AW3088" t="s">
        <v>72</v>
      </c>
      <c r="AX3088" t="s">
        <v>73</v>
      </c>
    </row>
    <row r="3089" spans="1:50" x14ac:dyDescent="0.3">
      <c r="A3089" t="str">
        <f>"200481C0400"</f>
        <v>200481C0400</v>
      </c>
      <c r="B3089" t="str">
        <f>"200481C04002"</f>
        <v>200481C04002</v>
      </c>
      <c r="C3089" t="str">
        <f t="shared" si="151"/>
        <v>20</v>
      </c>
      <c r="D3089" t="s">
        <v>67</v>
      </c>
      <c r="E3089" t="str">
        <f t="shared" si="148"/>
        <v>014</v>
      </c>
      <c r="F3089" t="s">
        <v>2914</v>
      </c>
      <c r="G3089" t="str">
        <f>"0481"</f>
        <v>0481</v>
      </c>
      <c r="H3089" t="str">
        <f>"0004"</f>
        <v>0004</v>
      </c>
      <c r="I3089" t="s">
        <v>75</v>
      </c>
      <c r="J3089">
        <v>0</v>
      </c>
      <c r="K3089">
        <v>1</v>
      </c>
      <c r="L3089">
        <v>2</v>
      </c>
      <c r="M3089">
        <v>323</v>
      </c>
      <c r="N3089">
        <v>449</v>
      </c>
      <c r="O3089">
        <v>2</v>
      </c>
      <c r="P3089" t="s">
        <v>80</v>
      </c>
      <c r="Q3089">
        <v>59</v>
      </c>
      <c r="R3089">
        <v>115</v>
      </c>
      <c r="S3089">
        <v>6</v>
      </c>
      <c r="T3089">
        <v>19</v>
      </c>
      <c r="U3089">
        <v>11</v>
      </c>
      <c r="V3089">
        <v>11</v>
      </c>
      <c r="W3089">
        <v>1</v>
      </c>
      <c r="X3089">
        <v>184</v>
      </c>
      <c r="Y3089">
        <v>4</v>
      </c>
      <c r="Z3089">
        <v>3</v>
      </c>
      <c r="AA3089">
        <v>6</v>
      </c>
      <c r="AB3089">
        <v>15</v>
      </c>
      <c r="AD3089">
        <v>6</v>
      </c>
      <c r="AE3089">
        <v>0</v>
      </c>
      <c r="AF3089">
        <v>0</v>
      </c>
      <c r="AG3089">
        <v>0</v>
      </c>
      <c r="AH3089">
        <v>0</v>
      </c>
      <c r="AI3089" t="s">
        <v>77</v>
      </c>
      <c r="AJ3089">
        <v>9</v>
      </c>
      <c r="AK3089">
        <v>449</v>
      </c>
      <c r="AL3089">
        <v>449</v>
      </c>
      <c r="AM3089">
        <v>750</v>
      </c>
      <c r="AN3089">
        <v>44</v>
      </c>
      <c r="AO3089" t="s">
        <v>78</v>
      </c>
      <c r="AP3089">
        <v>1</v>
      </c>
      <c r="AR3089" t="s">
        <v>3184</v>
      </c>
      <c r="AS3089" s="1">
        <v>44353.996527777781</v>
      </c>
      <c r="AT3089" s="1">
        <v>44354.007418981484</v>
      </c>
      <c r="AU3089" s="1">
        <v>44354.00818287037</v>
      </c>
      <c r="AV3089" t="s">
        <v>71</v>
      </c>
      <c r="AW3089" t="s">
        <v>72</v>
      </c>
      <c r="AX3089" t="s">
        <v>73</v>
      </c>
    </row>
    <row r="3090" spans="1:50" x14ac:dyDescent="0.3">
      <c r="A3090" t="str">
        <f>"200483B0000"</f>
        <v>200483B0000</v>
      </c>
      <c r="B3090" t="str">
        <f>"200483B00002"</f>
        <v>200483B00002</v>
      </c>
      <c r="C3090" t="str">
        <f t="shared" si="151"/>
        <v>20</v>
      </c>
      <c r="D3090" t="s">
        <v>67</v>
      </c>
      <c r="E3090" t="str">
        <f t="shared" si="148"/>
        <v>014</v>
      </c>
      <c r="F3090" t="s">
        <v>2914</v>
      </c>
      <c r="G3090" t="str">
        <f>"0483"</f>
        <v>0483</v>
      </c>
      <c r="H3090" t="str">
        <f>"0000"</f>
        <v>0000</v>
      </c>
      <c r="I3090" t="s">
        <v>69</v>
      </c>
      <c r="J3090">
        <v>0</v>
      </c>
      <c r="K3090">
        <v>1</v>
      </c>
      <c r="L3090">
        <v>2</v>
      </c>
      <c r="M3090">
        <v>284</v>
      </c>
      <c r="N3090">
        <v>307</v>
      </c>
      <c r="O3090">
        <v>5</v>
      </c>
      <c r="P3090">
        <v>307</v>
      </c>
      <c r="Q3090">
        <v>27</v>
      </c>
      <c r="R3090">
        <v>67</v>
      </c>
      <c r="S3090">
        <v>3</v>
      </c>
      <c r="T3090">
        <v>7</v>
      </c>
      <c r="U3090">
        <v>14</v>
      </c>
      <c r="V3090">
        <v>9</v>
      </c>
      <c r="W3090">
        <v>4</v>
      </c>
      <c r="X3090">
        <v>149</v>
      </c>
      <c r="Y3090">
        <v>3</v>
      </c>
      <c r="Z3090">
        <v>4</v>
      </c>
      <c r="AA3090">
        <v>2</v>
      </c>
      <c r="AB3090">
        <v>4</v>
      </c>
      <c r="AD3090">
        <v>4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10</v>
      </c>
      <c r="AK3090">
        <v>307</v>
      </c>
      <c r="AL3090">
        <v>307</v>
      </c>
      <c r="AM3090">
        <v>547</v>
      </c>
      <c r="AN3090">
        <v>44</v>
      </c>
      <c r="AP3090">
        <v>1</v>
      </c>
      <c r="AR3090" t="s">
        <v>3185</v>
      </c>
      <c r="AS3090" s="1">
        <v>44353.904166666667</v>
      </c>
      <c r="AT3090" s="1">
        <v>44353.913553240738</v>
      </c>
      <c r="AU3090" s="1">
        <v>44353.9143287037</v>
      </c>
      <c r="AV3090" t="s">
        <v>71</v>
      </c>
      <c r="AW3090" t="s">
        <v>72</v>
      </c>
      <c r="AX3090" t="s">
        <v>73</v>
      </c>
    </row>
    <row r="3091" spans="1:50" x14ac:dyDescent="0.3">
      <c r="A3091" t="str">
        <f>"200483C0100"</f>
        <v>200483C0100</v>
      </c>
      <c r="B3091" t="str">
        <f>"200483C01002"</f>
        <v>200483C01002</v>
      </c>
      <c r="C3091" t="str">
        <f t="shared" si="151"/>
        <v>20</v>
      </c>
      <c r="D3091" t="s">
        <v>67</v>
      </c>
      <c r="E3091" t="str">
        <f t="shared" si="148"/>
        <v>014</v>
      </c>
      <c r="F3091" t="s">
        <v>2914</v>
      </c>
      <c r="G3091" t="str">
        <f>"0483"</f>
        <v>0483</v>
      </c>
      <c r="H3091" t="str">
        <f>"0001"</f>
        <v>0001</v>
      </c>
      <c r="I3091" t="s">
        <v>75</v>
      </c>
      <c r="J3091">
        <v>0</v>
      </c>
      <c r="K3091">
        <v>1</v>
      </c>
      <c r="L3091">
        <v>2</v>
      </c>
      <c r="M3091">
        <v>308</v>
      </c>
      <c r="N3091">
        <v>282</v>
      </c>
      <c r="O3091">
        <v>3</v>
      </c>
      <c r="P3091">
        <v>282</v>
      </c>
      <c r="Q3091">
        <v>22</v>
      </c>
      <c r="R3091">
        <v>38</v>
      </c>
      <c r="S3091">
        <v>1</v>
      </c>
      <c r="T3091">
        <v>4</v>
      </c>
      <c r="U3091">
        <v>9</v>
      </c>
      <c r="V3091">
        <v>5</v>
      </c>
      <c r="W3091">
        <v>1</v>
      </c>
      <c r="X3091">
        <v>168</v>
      </c>
      <c r="Y3091">
        <v>5</v>
      </c>
      <c r="Z3091">
        <v>8</v>
      </c>
      <c r="AA3091">
        <v>2</v>
      </c>
      <c r="AB3091">
        <v>7</v>
      </c>
      <c r="AD3091">
        <v>3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282</v>
      </c>
      <c r="AL3091">
        <v>273</v>
      </c>
      <c r="AM3091">
        <v>546</v>
      </c>
      <c r="AN3091">
        <v>44</v>
      </c>
      <c r="AP3091">
        <v>1</v>
      </c>
      <c r="AR3091" t="s">
        <v>3186</v>
      </c>
      <c r="AS3091" s="1">
        <v>44353.904166666667</v>
      </c>
      <c r="AT3091" s="1">
        <v>44353.915856481479</v>
      </c>
      <c r="AU3091" s="1">
        <v>44353.916400462964</v>
      </c>
      <c r="AV3091" t="s">
        <v>71</v>
      </c>
      <c r="AW3091" t="s">
        <v>72</v>
      </c>
      <c r="AX3091" t="s">
        <v>73</v>
      </c>
    </row>
    <row r="3092" spans="1:50" x14ac:dyDescent="0.3">
      <c r="A3092" t="str">
        <f>"200483C0200"</f>
        <v>200483C0200</v>
      </c>
      <c r="B3092" t="str">
        <f>"200483C02002"</f>
        <v>200483C02002</v>
      </c>
      <c r="C3092" t="str">
        <f t="shared" si="151"/>
        <v>20</v>
      </c>
      <c r="D3092" t="s">
        <v>67</v>
      </c>
      <c r="E3092" t="str">
        <f t="shared" si="148"/>
        <v>014</v>
      </c>
      <c r="F3092" t="s">
        <v>2914</v>
      </c>
      <c r="G3092" t="str">
        <f>"0483"</f>
        <v>0483</v>
      </c>
      <c r="H3092" t="str">
        <f>"0002"</f>
        <v>0002</v>
      </c>
      <c r="I3092" t="s">
        <v>75</v>
      </c>
      <c r="J3092">
        <v>0</v>
      </c>
      <c r="K3092">
        <v>1</v>
      </c>
      <c r="L3092">
        <v>2</v>
      </c>
      <c r="M3092">
        <v>293</v>
      </c>
      <c r="N3092">
        <v>297</v>
      </c>
      <c r="O3092">
        <v>5</v>
      </c>
      <c r="P3092">
        <v>297</v>
      </c>
      <c r="Q3092">
        <v>23</v>
      </c>
      <c r="R3092">
        <v>61</v>
      </c>
      <c r="S3092">
        <v>1</v>
      </c>
      <c r="T3092">
        <v>5</v>
      </c>
      <c r="U3092">
        <v>8</v>
      </c>
      <c r="V3092">
        <v>10</v>
      </c>
      <c r="W3092">
        <v>0</v>
      </c>
      <c r="X3092">
        <v>162</v>
      </c>
      <c r="Y3092">
        <v>0</v>
      </c>
      <c r="Z3092">
        <v>4</v>
      </c>
      <c r="AA3092">
        <v>3</v>
      </c>
      <c r="AB3092">
        <v>8</v>
      </c>
      <c r="AD3092">
        <v>3</v>
      </c>
      <c r="AE3092">
        <v>0</v>
      </c>
      <c r="AF3092">
        <v>0</v>
      </c>
      <c r="AG3092">
        <v>0</v>
      </c>
      <c r="AH3092">
        <v>1</v>
      </c>
      <c r="AI3092">
        <v>1</v>
      </c>
      <c r="AJ3092">
        <v>7</v>
      </c>
      <c r="AK3092">
        <v>297</v>
      </c>
      <c r="AL3092">
        <v>297</v>
      </c>
      <c r="AM3092">
        <v>546</v>
      </c>
      <c r="AN3092">
        <v>44</v>
      </c>
      <c r="AP3092">
        <v>1</v>
      </c>
      <c r="AR3092" t="s">
        <v>3187</v>
      </c>
      <c r="AS3092" s="1">
        <v>44353.904166666667</v>
      </c>
      <c r="AT3092" s="1">
        <v>44353.917430555557</v>
      </c>
      <c r="AU3092" s="1">
        <v>44353.918506944443</v>
      </c>
      <c r="AV3092" t="s">
        <v>71</v>
      </c>
      <c r="AW3092" t="s">
        <v>72</v>
      </c>
      <c r="AX3092" t="s">
        <v>73</v>
      </c>
    </row>
    <row r="3093" spans="1:50" x14ac:dyDescent="0.3">
      <c r="A3093" t="str">
        <f>"200485B0000"</f>
        <v>200485B0000</v>
      </c>
      <c r="B3093" t="str">
        <f>"200485B00002"</f>
        <v>200485B00002</v>
      </c>
      <c r="C3093" t="str">
        <f t="shared" si="151"/>
        <v>20</v>
      </c>
      <c r="D3093" t="s">
        <v>67</v>
      </c>
      <c r="E3093" t="str">
        <f t="shared" si="148"/>
        <v>014</v>
      </c>
      <c r="F3093" t="s">
        <v>2914</v>
      </c>
      <c r="G3093" t="str">
        <f>"0485"</f>
        <v>0485</v>
      </c>
      <c r="H3093" t="str">
        <f>"0000"</f>
        <v>0000</v>
      </c>
      <c r="I3093" t="s">
        <v>69</v>
      </c>
      <c r="J3093">
        <v>0</v>
      </c>
      <c r="K3093">
        <v>1</v>
      </c>
      <c r="L3093">
        <v>2</v>
      </c>
      <c r="M3093">
        <v>318</v>
      </c>
      <c r="N3093">
        <v>382</v>
      </c>
      <c r="O3093">
        <v>3</v>
      </c>
      <c r="P3093">
        <v>380</v>
      </c>
      <c r="Q3093">
        <v>22</v>
      </c>
      <c r="R3093">
        <v>68</v>
      </c>
      <c r="S3093">
        <v>6</v>
      </c>
      <c r="T3093">
        <v>7</v>
      </c>
      <c r="U3093">
        <v>10</v>
      </c>
      <c r="V3093">
        <v>15</v>
      </c>
      <c r="W3093">
        <v>4</v>
      </c>
      <c r="X3093">
        <v>202</v>
      </c>
      <c r="Y3093">
        <v>9</v>
      </c>
      <c r="Z3093">
        <v>9</v>
      </c>
      <c r="AA3093">
        <v>3</v>
      </c>
      <c r="AB3093">
        <v>12</v>
      </c>
      <c r="AD3093">
        <v>4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9</v>
      </c>
      <c r="AK3093">
        <v>380</v>
      </c>
      <c r="AL3093">
        <v>380</v>
      </c>
      <c r="AM3093">
        <v>655</v>
      </c>
      <c r="AN3093">
        <v>44</v>
      </c>
      <c r="AP3093">
        <v>1</v>
      </c>
      <c r="AR3093" t="s">
        <v>3188</v>
      </c>
      <c r="AS3093" s="1">
        <v>44354.159722222219</v>
      </c>
      <c r="AT3093" s="1">
        <v>44354.160914351851</v>
      </c>
      <c r="AU3093" s="1">
        <v>44354.161446759259</v>
      </c>
      <c r="AV3093" t="s">
        <v>71</v>
      </c>
      <c r="AW3093" t="s">
        <v>72</v>
      </c>
      <c r="AX3093" t="s">
        <v>73</v>
      </c>
    </row>
    <row r="3094" spans="1:50" x14ac:dyDescent="0.3">
      <c r="A3094" t="str">
        <f>"200485C0100"</f>
        <v>200485C0100</v>
      </c>
      <c r="B3094" t="str">
        <f>"200485C01002"</f>
        <v>200485C01002</v>
      </c>
      <c r="C3094" t="str">
        <f t="shared" si="151"/>
        <v>20</v>
      </c>
      <c r="D3094" t="s">
        <v>67</v>
      </c>
      <c r="E3094" t="str">
        <f t="shared" si="148"/>
        <v>014</v>
      </c>
      <c r="F3094" t="s">
        <v>2914</v>
      </c>
      <c r="G3094" t="str">
        <f>"0485"</f>
        <v>0485</v>
      </c>
      <c r="H3094" t="str">
        <f>"0001"</f>
        <v>0001</v>
      </c>
      <c r="I3094" t="s">
        <v>75</v>
      </c>
      <c r="J3094">
        <v>0</v>
      </c>
      <c r="K3094">
        <v>1</v>
      </c>
      <c r="L3094">
        <v>2</v>
      </c>
      <c r="M3094">
        <v>297</v>
      </c>
      <c r="N3094">
        <v>403</v>
      </c>
      <c r="O3094">
        <v>8</v>
      </c>
      <c r="P3094">
        <v>401</v>
      </c>
      <c r="Q3094">
        <v>32</v>
      </c>
      <c r="R3094">
        <v>85</v>
      </c>
      <c r="S3094">
        <v>6</v>
      </c>
      <c r="T3094">
        <v>11</v>
      </c>
      <c r="U3094">
        <v>9</v>
      </c>
      <c r="V3094">
        <v>15</v>
      </c>
      <c r="W3094">
        <v>3</v>
      </c>
      <c r="X3094">
        <v>182</v>
      </c>
      <c r="Y3094">
        <v>10</v>
      </c>
      <c r="Z3094">
        <v>9</v>
      </c>
      <c r="AA3094">
        <v>4</v>
      </c>
      <c r="AB3094">
        <v>17</v>
      </c>
      <c r="AD3094">
        <v>1</v>
      </c>
      <c r="AE3094">
        <v>1</v>
      </c>
      <c r="AF3094">
        <v>0</v>
      </c>
      <c r="AG3094">
        <v>0</v>
      </c>
      <c r="AH3094">
        <v>0</v>
      </c>
      <c r="AI3094">
        <v>0</v>
      </c>
      <c r="AJ3094">
        <v>16</v>
      </c>
      <c r="AK3094">
        <v>401</v>
      </c>
      <c r="AL3094">
        <v>401</v>
      </c>
      <c r="AM3094">
        <v>654</v>
      </c>
      <c r="AN3094">
        <v>44</v>
      </c>
      <c r="AP3094">
        <v>1</v>
      </c>
      <c r="AR3094" t="s">
        <v>3189</v>
      </c>
      <c r="AS3094" s="1">
        <v>44354.019444444442</v>
      </c>
      <c r="AT3094" s="1">
        <v>44354.054143518515</v>
      </c>
      <c r="AU3094" s="1">
        <v>44354.054861111108</v>
      </c>
      <c r="AV3094" t="s">
        <v>71</v>
      </c>
      <c r="AW3094" t="s">
        <v>72</v>
      </c>
      <c r="AX3094" t="s">
        <v>73</v>
      </c>
    </row>
    <row r="3095" spans="1:50" x14ac:dyDescent="0.3">
      <c r="A3095" t="str">
        <f>"200486B0000"</f>
        <v>200486B0000</v>
      </c>
      <c r="B3095" t="str">
        <f>"200486B00002"</f>
        <v>200486B00002</v>
      </c>
      <c r="C3095" t="str">
        <f t="shared" si="151"/>
        <v>20</v>
      </c>
      <c r="D3095" t="s">
        <v>67</v>
      </c>
      <c r="E3095" t="str">
        <f t="shared" si="148"/>
        <v>014</v>
      </c>
      <c r="F3095" t="s">
        <v>2914</v>
      </c>
      <c r="G3095" t="str">
        <f>"0486"</f>
        <v>0486</v>
      </c>
      <c r="H3095" t="str">
        <f>"0000"</f>
        <v>0000</v>
      </c>
      <c r="I3095" t="s">
        <v>69</v>
      </c>
      <c r="J3095">
        <v>0</v>
      </c>
      <c r="K3095">
        <v>1</v>
      </c>
      <c r="L3095">
        <v>2</v>
      </c>
      <c r="M3095">
        <v>338</v>
      </c>
      <c r="N3095">
        <v>326</v>
      </c>
      <c r="O3095">
        <v>7</v>
      </c>
      <c r="P3095">
        <v>325</v>
      </c>
      <c r="Q3095">
        <v>21</v>
      </c>
      <c r="R3095">
        <v>44</v>
      </c>
      <c r="S3095">
        <v>1</v>
      </c>
      <c r="T3095">
        <v>3</v>
      </c>
      <c r="U3095">
        <v>18</v>
      </c>
      <c r="V3095">
        <v>15</v>
      </c>
      <c r="W3095">
        <v>1</v>
      </c>
      <c r="X3095">
        <v>182</v>
      </c>
      <c r="Y3095">
        <v>4</v>
      </c>
      <c r="Z3095">
        <v>5</v>
      </c>
      <c r="AA3095">
        <v>5</v>
      </c>
      <c r="AB3095">
        <v>11</v>
      </c>
      <c r="AD3095">
        <v>2</v>
      </c>
      <c r="AE3095">
        <v>0</v>
      </c>
      <c r="AF3095">
        <v>0</v>
      </c>
      <c r="AG3095">
        <v>0</v>
      </c>
      <c r="AH3095">
        <v>1</v>
      </c>
      <c r="AI3095">
        <v>1</v>
      </c>
      <c r="AJ3095">
        <v>11</v>
      </c>
      <c r="AK3095">
        <v>325</v>
      </c>
      <c r="AL3095">
        <v>325</v>
      </c>
      <c r="AM3095">
        <v>620</v>
      </c>
      <c r="AN3095">
        <v>44</v>
      </c>
      <c r="AP3095">
        <v>1</v>
      </c>
      <c r="AR3095" t="s">
        <v>3190</v>
      </c>
      <c r="AS3095" s="1">
        <v>44354.000694444447</v>
      </c>
      <c r="AT3095" s="1">
        <v>44354.016261574077</v>
      </c>
      <c r="AU3095" s="1">
        <v>44354.016828703701</v>
      </c>
      <c r="AV3095" t="s">
        <v>71</v>
      </c>
      <c r="AW3095" t="s">
        <v>72</v>
      </c>
      <c r="AX3095" t="s">
        <v>73</v>
      </c>
    </row>
    <row r="3096" spans="1:50" x14ac:dyDescent="0.3">
      <c r="A3096" t="str">
        <f>"200486C0100"</f>
        <v>200486C0100</v>
      </c>
      <c r="B3096" t="str">
        <f>"200486C01002"</f>
        <v>200486C01002</v>
      </c>
      <c r="C3096" t="str">
        <f t="shared" si="151"/>
        <v>20</v>
      </c>
      <c r="D3096" t="s">
        <v>67</v>
      </c>
      <c r="E3096" t="str">
        <f t="shared" si="148"/>
        <v>014</v>
      </c>
      <c r="F3096" t="s">
        <v>2914</v>
      </c>
      <c r="G3096" t="str">
        <f>"0486"</f>
        <v>0486</v>
      </c>
      <c r="H3096" t="str">
        <f>"0001"</f>
        <v>0001</v>
      </c>
      <c r="I3096" t="s">
        <v>75</v>
      </c>
      <c r="J3096">
        <v>0</v>
      </c>
      <c r="K3096">
        <v>1</v>
      </c>
      <c r="L3096">
        <v>2</v>
      </c>
      <c r="M3096">
        <v>326</v>
      </c>
      <c r="N3096">
        <v>337</v>
      </c>
      <c r="O3096">
        <v>7</v>
      </c>
      <c r="P3096">
        <v>337</v>
      </c>
      <c r="Q3096">
        <v>15</v>
      </c>
      <c r="R3096">
        <v>63</v>
      </c>
      <c r="S3096">
        <v>6</v>
      </c>
      <c r="T3096">
        <v>10</v>
      </c>
      <c r="U3096">
        <v>15</v>
      </c>
      <c r="V3096">
        <v>14</v>
      </c>
      <c r="W3096">
        <v>3</v>
      </c>
      <c r="X3096">
        <v>174</v>
      </c>
      <c r="Y3096">
        <v>3</v>
      </c>
      <c r="Z3096">
        <v>4</v>
      </c>
      <c r="AA3096">
        <v>1</v>
      </c>
      <c r="AB3096">
        <v>10</v>
      </c>
      <c r="AD3096">
        <v>1</v>
      </c>
      <c r="AE3096">
        <v>2</v>
      </c>
      <c r="AF3096">
        <v>0</v>
      </c>
      <c r="AG3096">
        <v>0</v>
      </c>
      <c r="AH3096">
        <v>0</v>
      </c>
      <c r="AI3096">
        <v>2</v>
      </c>
      <c r="AJ3096">
        <v>14</v>
      </c>
      <c r="AK3096">
        <v>337</v>
      </c>
      <c r="AL3096">
        <v>337</v>
      </c>
      <c r="AM3096">
        <v>619</v>
      </c>
      <c r="AN3096">
        <v>44</v>
      </c>
      <c r="AP3096">
        <v>1</v>
      </c>
      <c r="AR3096" t="s">
        <v>3191</v>
      </c>
      <c r="AS3096" s="1">
        <v>44353.770833333336</v>
      </c>
      <c r="AT3096" s="1">
        <v>44353.995381944442</v>
      </c>
      <c r="AU3096" s="1">
        <v>44353.996006944442</v>
      </c>
      <c r="AV3096" t="s">
        <v>71</v>
      </c>
      <c r="AW3096" t="s">
        <v>72</v>
      </c>
      <c r="AX3096" t="s">
        <v>73</v>
      </c>
    </row>
    <row r="3097" spans="1:50" x14ac:dyDescent="0.3">
      <c r="A3097" t="str">
        <f>"200487B0000"</f>
        <v>200487B0000</v>
      </c>
      <c r="B3097" t="str">
        <f>"200487B00002"</f>
        <v>200487B00002</v>
      </c>
      <c r="C3097" t="str">
        <f t="shared" si="151"/>
        <v>20</v>
      </c>
      <c r="D3097" t="s">
        <v>67</v>
      </c>
      <c r="E3097" t="str">
        <f t="shared" si="148"/>
        <v>014</v>
      </c>
      <c r="F3097" t="s">
        <v>2914</v>
      </c>
      <c r="G3097" t="str">
        <f>"0487"</f>
        <v>0487</v>
      </c>
      <c r="H3097" t="str">
        <f>"0000"</f>
        <v>0000</v>
      </c>
      <c r="I3097" t="s">
        <v>69</v>
      </c>
      <c r="J3097">
        <v>0</v>
      </c>
      <c r="K3097">
        <v>1</v>
      </c>
      <c r="L3097">
        <v>2</v>
      </c>
      <c r="M3097">
        <v>407</v>
      </c>
      <c r="N3097">
        <v>288</v>
      </c>
      <c r="O3097">
        <v>6</v>
      </c>
      <c r="P3097">
        <v>288</v>
      </c>
      <c r="Q3097">
        <v>18</v>
      </c>
      <c r="R3097">
        <v>46</v>
      </c>
      <c r="S3097">
        <v>1</v>
      </c>
      <c r="T3097">
        <v>5</v>
      </c>
      <c r="U3097">
        <v>11</v>
      </c>
      <c r="V3097">
        <v>12</v>
      </c>
      <c r="W3097">
        <v>1</v>
      </c>
      <c r="X3097">
        <v>153</v>
      </c>
      <c r="Y3097">
        <v>6</v>
      </c>
      <c r="Z3097">
        <v>13</v>
      </c>
      <c r="AA3097">
        <v>6</v>
      </c>
      <c r="AB3097">
        <v>6</v>
      </c>
      <c r="AD3097">
        <v>2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8</v>
      </c>
      <c r="AK3097">
        <v>288</v>
      </c>
      <c r="AL3097">
        <v>288</v>
      </c>
      <c r="AM3097">
        <v>652</v>
      </c>
      <c r="AN3097">
        <v>44</v>
      </c>
      <c r="AP3097">
        <v>1</v>
      </c>
      <c r="AR3097" t="s">
        <v>3192</v>
      </c>
      <c r="AS3097" s="1">
        <v>44354.001388888886</v>
      </c>
      <c r="AT3097" s="1">
        <v>44354.01835648148</v>
      </c>
      <c r="AU3097" s="1">
        <v>44354.018773148149</v>
      </c>
      <c r="AV3097" t="s">
        <v>71</v>
      </c>
      <c r="AW3097" t="s">
        <v>72</v>
      </c>
      <c r="AX3097" t="s">
        <v>73</v>
      </c>
    </row>
    <row r="3098" spans="1:50" x14ac:dyDescent="0.3">
      <c r="A3098" t="str">
        <f>"200487C0100"</f>
        <v>200487C0100</v>
      </c>
      <c r="B3098" t="str">
        <f>"200487C01002"</f>
        <v>200487C01002</v>
      </c>
      <c r="C3098" t="str">
        <f t="shared" si="151"/>
        <v>20</v>
      </c>
      <c r="D3098" t="s">
        <v>67</v>
      </c>
      <c r="E3098" t="str">
        <f t="shared" si="148"/>
        <v>014</v>
      </c>
      <c r="F3098" t="s">
        <v>2914</v>
      </c>
      <c r="G3098" t="str">
        <f>"0487"</f>
        <v>0487</v>
      </c>
      <c r="H3098" t="str">
        <f>"0001"</f>
        <v>0001</v>
      </c>
      <c r="I3098" t="s">
        <v>75</v>
      </c>
      <c r="J3098">
        <v>0</v>
      </c>
      <c r="K3098">
        <v>1</v>
      </c>
      <c r="L3098">
        <v>2</v>
      </c>
      <c r="M3098">
        <v>412</v>
      </c>
      <c r="N3098">
        <v>284</v>
      </c>
      <c r="O3098">
        <v>5</v>
      </c>
      <c r="P3098">
        <v>284</v>
      </c>
      <c r="Q3098">
        <v>18</v>
      </c>
      <c r="R3098">
        <v>55</v>
      </c>
      <c r="S3098">
        <v>3</v>
      </c>
      <c r="T3098">
        <v>10</v>
      </c>
      <c r="U3098">
        <v>12</v>
      </c>
      <c r="V3098">
        <v>5</v>
      </c>
      <c r="W3098">
        <v>4</v>
      </c>
      <c r="X3098">
        <v>145</v>
      </c>
      <c r="Y3098">
        <v>5</v>
      </c>
      <c r="Z3098">
        <v>6</v>
      </c>
      <c r="AA3098">
        <v>2</v>
      </c>
      <c r="AB3098">
        <v>9</v>
      </c>
      <c r="AD3098">
        <v>4</v>
      </c>
      <c r="AE3098">
        <v>1</v>
      </c>
      <c r="AF3098">
        <v>0</v>
      </c>
      <c r="AG3098">
        <v>0</v>
      </c>
      <c r="AH3098">
        <v>0</v>
      </c>
      <c r="AI3098">
        <v>0</v>
      </c>
      <c r="AJ3098">
        <v>5</v>
      </c>
      <c r="AK3098">
        <v>284</v>
      </c>
      <c r="AL3098">
        <v>284</v>
      </c>
      <c r="AM3098">
        <v>652</v>
      </c>
      <c r="AN3098">
        <v>44</v>
      </c>
      <c r="AP3098">
        <v>1</v>
      </c>
      <c r="AR3098" t="s">
        <v>3193</v>
      </c>
      <c r="AS3098" s="1">
        <v>44353.989583333336</v>
      </c>
      <c r="AT3098" s="1">
        <v>44353.994722222225</v>
      </c>
      <c r="AU3098" s="1">
        <v>44353.995636574073</v>
      </c>
      <c r="AV3098" t="s">
        <v>71</v>
      </c>
      <c r="AW3098" t="s">
        <v>72</v>
      </c>
      <c r="AX3098" t="s">
        <v>73</v>
      </c>
    </row>
    <row r="3099" spans="1:50" x14ac:dyDescent="0.3">
      <c r="A3099" t="str">
        <f>"200487C0200"</f>
        <v>200487C0200</v>
      </c>
      <c r="B3099" t="str">
        <f>"200487C02002"</f>
        <v>200487C02002</v>
      </c>
      <c r="C3099" t="str">
        <f t="shared" si="151"/>
        <v>20</v>
      </c>
      <c r="D3099" t="s">
        <v>67</v>
      </c>
      <c r="E3099" t="str">
        <f t="shared" si="148"/>
        <v>014</v>
      </c>
      <c r="F3099" t="s">
        <v>2914</v>
      </c>
      <c r="G3099" t="str">
        <f>"0487"</f>
        <v>0487</v>
      </c>
      <c r="H3099" t="str">
        <f>"0002"</f>
        <v>0002</v>
      </c>
      <c r="I3099" t="s">
        <v>75</v>
      </c>
      <c r="J3099">
        <v>0</v>
      </c>
      <c r="K3099">
        <v>1</v>
      </c>
      <c r="L3099">
        <v>2</v>
      </c>
      <c r="M3099">
        <v>390</v>
      </c>
      <c r="N3099">
        <v>305</v>
      </c>
      <c r="O3099">
        <v>6</v>
      </c>
      <c r="P3099">
        <v>305</v>
      </c>
      <c r="Q3099">
        <v>13</v>
      </c>
      <c r="R3099">
        <v>61</v>
      </c>
      <c r="S3099">
        <v>2</v>
      </c>
      <c r="T3099">
        <v>8</v>
      </c>
      <c r="U3099">
        <v>4</v>
      </c>
      <c r="V3099">
        <v>3</v>
      </c>
      <c r="W3099">
        <v>2</v>
      </c>
      <c r="X3099">
        <v>174</v>
      </c>
      <c r="Y3099">
        <v>4</v>
      </c>
      <c r="Z3099">
        <v>9</v>
      </c>
      <c r="AA3099">
        <v>4</v>
      </c>
      <c r="AB3099">
        <v>10</v>
      </c>
      <c r="AD3099">
        <v>1</v>
      </c>
      <c r="AE3099">
        <v>1</v>
      </c>
      <c r="AF3099">
        <v>0</v>
      </c>
      <c r="AG3099">
        <v>0</v>
      </c>
      <c r="AH3099">
        <v>1</v>
      </c>
      <c r="AI3099">
        <v>0</v>
      </c>
      <c r="AJ3099">
        <v>8</v>
      </c>
      <c r="AK3099">
        <v>305</v>
      </c>
      <c r="AL3099">
        <v>305</v>
      </c>
      <c r="AM3099">
        <v>651</v>
      </c>
      <c r="AN3099">
        <v>44</v>
      </c>
      <c r="AP3099">
        <v>1</v>
      </c>
      <c r="AR3099" t="s">
        <v>3194</v>
      </c>
      <c r="AS3099" s="1">
        <v>44353.872916666667</v>
      </c>
      <c r="AT3099" s="1">
        <v>44354.005601851852</v>
      </c>
      <c r="AU3099" s="1">
        <v>44354.006307870368</v>
      </c>
      <c r="AV3099" t="s">
        <v>71</v>
      </c>
      <c r="AW3099" t="s">
        <v>72</v>
      </c>
      <c r="AX3099" t="s">
        <v>73</v>
      </c>
    </row>
    <row r="3100" spans="1:50" x14ac:dyDescent="0.3">
      <c r="A3100" t="str">
        <f>"200488B0000"</f>
        <v>200488B0000</v>
      </c>
      <c r="B3100" t="str">
        <f>"200488B00002"</f>
        <v>200488B00002</v>
      </c>
      <c r="C3100" t="str">
        <f t="shared" si="151"/>
        <v>20</v>
      </c>
      <c r="D3100" t="s">
        <v>67</v>
      </c>
      <c r="E3100" t="str">
        <f t="shared" si="148"/>
        <v>014</v>
      </c>
      <c r="F3100" t="s">
        <v>2914</v>
      </c>
      <c r="G3100" t="str">
        <f>"0488"</f>
        <v>0488</v>
      </c>
      <c r="H3100" t="str">
        <f>"0000"</f>
        <v>0000</v>
      </c>
      <c r="I3100" t="s">
        <v>69</v>
      </c>
      <c r="J3100">
        <v>0</v>
      </c>
      <c r="K3100">
        <v>1</v>
      </c>
      <c r="L3100">
        <v>2</v>
      </c>
      <c r="M3100" t="s">
        <v>99</v>
      </c>
      <c r="N3100">
        <v>280</v>
      </c>
      <c r="O3100">
        <v>5</v>
      </c>
      <c r="P3100">
        <v>280</v>
      </c>
      <c r="Q3100">
        <v>23</v>
      </c>
      <c r="R3100">
        <v>63</v>
      </c>
      <c r="S3100">
        <v>4</v>
      </c>
      <c r="T3100">
        <v>12</v>
      </c>
      <c r="U3100">
        <v>15</v>
      </c>
      <c r="V3100">
        <v>5</v>
      </c>
      <c r="W3100">
        <v>0</v>
      </c>
      <c r="X3100">
        <v>126</v>
      </c>
      <c r="Y3100">
        <v>11</v>
      </c>
      <c r="Z3100">
        <v>4</v>
      </c>
      <c r="AA3100">
        <v>2</v>
      </c>
      <c r="AB3100">
        <v>8</v>
      </c>
      <c r="AD3100">
        <v>1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6</v>
      </c>
      <c r="AK3100">
        <v>280</v>
      </c>
      <c r="AL3100">
        <v>280</v>
      </c>
      <c r="AM3100">
        <v>531</v>
      </c>
      <c r="AN3100">
        <v>44</v>
      </c>
      <c r="AP3100">
        <v>1</v>
      </c>
      <c r="AR3100" t="s">
        <v>3195</v>
      </c>
      <c r="AS3100" s="1">
        <v>44354.03402777778</v>
      </c>
      <c r="AT3100" s="1">
        <v>44354.065983796296</v>
      </c>
      <c r="AU3100" s="1">
        <v>44354.066770833335</v>
      </c>
      <c r="AV3100" t="s">
        <v>71</v>
      </c>
      <c r="AW3100" t="s">
        <v>72</v>
      </c>
      <c r="AX3100" t="s">
        <v>73</v>
      </c>
    </row>
    <row r="3101" spans="1:50" x14ac:dyDescent="0.3">
      <c r="A3101" t="str">
        <f>"200488C0100"</f>
        <v>200488C0100</v>
      </c>
      <c r="B3101" t="str">
        <f>"200488C01002"</f>
        <v>200488C01002</v>
      </c>
      <c r="C3101" t="str">
        <f t="shared" si="151"/>
        <v>20</v>
      </c>
      <c r="D3101" t="s">
        <v>67</v>
      </c>
      <c r="E3101" t="str">
        <f t="shared" si="148"/>
        <v>014</v>
      </c>
      <c r="F3101" t="s">
        <v>2914</v>
      </c>
      <c r="G3101" t="str">
        <f>"0488"</f>
        <v>0488</v>
      </c>
      <c r="H3101" t="str">
        <f>"0001"</f>
        <v>0001</v>
      </c>
      <c r="I3101" t="s">
        <v>75</v>
      </c>
      <c r="J3101">
        <v>0</v>
      </c>
      <c r="K3101">
        <v>1</v>
      </c>
      <c r="L3101">
        <v>2</v>
      </c>
      <c r="M3101" t="s">
        <v>99</v>
      </c>
      <c r="N3101" t="s">
        <v>99</v>
      </c>
      <c r="O3101" t="s">
        <v>99</v>
      </c>
      <c r="P3101" t="s">
        <v>99</v>
      </c>
      <c r="Q3101" t="s">
        <v>99</v>
      </c>
      <c r="R3101" t="s">
        <v>99</v>
      </c>
      <c r="S3101" t="s">
        <v>99</v>
      </c>
      <c r="T3101" t="s">
        <v>99</v>
      </c>
      <c r="U3101" t="s">
        <v>99</v>
      </c>
      <c r="V3101" t="s">
        <v>99</v>
      </c>
      <c r="W3101" t="s">
        <v>99</v>
      </c>
      <c r="X3101" t="s">
        <v>99</v>
      </c>
      <c r="Y3101" t="s">
        <v>99</v>
      </c>
      <c r="Z3101" t="s">
        <v>99</v>
      </c>
      <c r="AA3101" t="s">
        <v>99</v>
      </c>
      <c r="AB3101" t="s">
        <v>99</v>
      </c>
      <c r="AD3101" t="s">
        <v>99</v>
      </c>
      <c r="AE3101" t="s">
        <v>99</v>
      </c>
      <c r="AF3101" t="s">
        <v>99</v>
      </c>
      <c r="AG3101" t="s">
        <v>99</v>
      </c>
      <c r="AH3101" t="s">
        <v>99</v>
      </c>
      <c r="AI3101" t="s">
        <v>99</v>
      </c>
      <c r="AJ3101" t="s">
        <v>99</v>
      </c>
      <c r="AM3101">
        <v>531</v>
      </c>
      <c r="AN3101">
        <v>44</v>
      </c>
      <c r="AO3101" t="s">
        <v>392</v>
      </c>
      <c r="AP3101">
        <v>0</v>
      </c>
      <c r="AR3101" t="s">
        <v>3196</v>
      </c>
      <c r="AS3101" s="1">
        <v>44354.160416666666</v>
      </c>
      <c r="AT3101" s="1">
        <v>44354.185185185182</v>
      </c>
      <c r="AU3101" s="1">
        <v>44354.185185185182</v>
      </c>
      <c r="AV3101" t="s">
        <v>71</v>
      </c>
      <c r="AW3101" t="s">
        <v>72</v>
      </c>
      <c r="AX3101" t="s">
        <v>73</v>
      </c>
    </row>
    <row r="3102" spans="1:50" x14ac:dyDescent="0.3">
      <c r="A3102" t="str">
        <f>"200488C0200"</f>
        <v>200488C0200</v>
      </c>
      <c r="B3102" t="str">
        <f>"200488C02002"</f>
        <v>200488C02002</v>
      </c>
      <c r="C3102" t="str">
        <f t="shared" si="151"/>
        <v>20</v>
      </c>
      <c r="D3102" t="s">
        <v>67</v>
      </c>
      <c r="E3102" t="str">
        <f t="shared" si="148"/>
        <v>014</v>
      </c>
      <c r="F3102" t="s">
        <v>2914</v>
      </c>
      <c r="G3102" t="str">
        <f>"0488"</f>
        <v>0488</v>
      </c>
      <c r="H3102" t="str">
        <f>"0002"</f>
        <v>0002</v>
      </c>
      <c r="I3102" t="s">
        <v>75</v>
      </c>
      <c r="J3102">
        <v>0</v>
      </c>
      <c r="K3102">
        <v>1</v>
      </c>
      <c r="L3102">
        <v>2</v>
      </c>
      <c r="M3102">
        <v>292</v>
      </c>
      <c r="N3102">
        <v>283</v>
      </c>
      <c r="O3102">
        <v>4</v>
      </c>
      <c r="P3102">
        <v>283</v>
      </c>
      <c r="Q3102">
        <v>32</v>
      </c>
      <c r="R3102">
        <v>61</v>
      </c>
      <c r="S3102">
        <v>2</v>
      </c>
      <c r="T3102">
        <v>16</v>
      </c>
      <c r="U3102">
        <v>10</v>
      </c>
      <c r="V3102">
        <v>3</v>
      </c>
      <c r="W3102">
        <v>2</v>
      </c>
      <c r="X3102">
        <v>129</v>
      </c>
      <c r="Y3102">
        <v>8</v>
      </c>
      <c r="Z3102">
        <v>2</v>
      </c>
      <c r="AA3102">
        <v>3</v>
      </c>
      <c r="AB3102">
        <v>5</v>
      </c>
      <c r="AD3102">
        <v>4</v>
      </c>
      <c r="AE3102">
        <v>0</v>
      </c>
      <c r="AF3102">
        <v>0</v>
      </c>
      <c r="AG3102">
        <v>0</v>
      </c>
      <c r="AH3102">
        <v>1</v>
      </c>
      <c r="AI3102">
        <v>0</v>
      </c>
      <c r="AJ3102">
        <v>5</v>
      </c>
      <c r="AK3102">
        <v>283</v>
      </c>
      <c r="AL3102">
        <v>283</v>
      </c>
      <c r="AM3102">
        <v>531</v>
      </c>
      <c r="AN3102">
        <v>44</v>
      </c>
      <c r="AP3102">
        <v>1</v>
      </c>
      <c r="AR3102" t="s">
        <v>3197</v>
      </c>
      <c r="AS3102" s="1">
        <v>44354.031944444447</v>
      </c>
      <c r="AT3102" s="1">
        <v>44354.089513888888</v>
      </c>
      <c r="AU3102" s="1">
        <v>44354.091585648152</v>
      </c>
      <c r="AV3102" t="s">
        <v>71</v>
      </c>
      <c r="AW3102" t="s">
        <v>72</v>
      </c>
      <c r="AX3102" t="s">
        <v>73</v>
      </c>
    </row>
    <row r="3103" spans="1:50" x14ac:dyDescent="0.3">
      <c r="A3103" t="str">
        <f>"200489B0000"</f>
        <v>200489B0000</v>
      </c>
      <c r="B3103" t="str">
        <f>"200489B00002"</f>
        <v>200489B00002</v>
      </c>
      <c r="C3103" t="str">
        <f t="shared" si="151"/>
        <v>20</v>
      </c>
      <c r="D3103" t="s">
        <v>67</v>
      </c>
      <c r="E3103" t="str">
        <f t="shared" si="148"/>
        <v>014</v>
      </c>
      <c r="F3103" t="s">
        <v>2914</v>
      </c>
      <c r="G3103" t="str">
        <f>"0489"</f>
        <v>0489</v>
      </c>
      <c r="H3103" t="str">
        <f>"0000"</f>
        <v>0000</v>
      </c>
      <c r="I3103" t="s">
        <v>69</v>
      </c>
      <c r="J3103">
        <v>0</v>
      </c>
      <c r="K3103">
        <v>1</v>
      </c>
      <c r="L3103">
        <v>2</v>
      </c>
      <c r="M3103">
        <v>225</v>
      </c>
      <c r="N3103">
        <v>353</v>
      </c>
      <c r="O3103">
        <v>5</v>
      </c>
      <c r="P3103">
        <v>353</v>
      </c>
      <c r="Q3103">
        <v>73</v>
      </c>
      <c r="R3103">
        <v>120</v>
      </c>
      <c r="S3103">
        <v>9</v>
      </c>
      <c r="T3103">
        <v>5</v>
      </c>
      <c r="U3103">
        <v>5</v>
      </c>
      <c r="V3103">
        <v>12</v>
      </c>
      <c r="W3103">
        <v>0</v>
      </c>
      <c r="X3103">
        <v>94</v>
      </c>
      <c r="Y3103">
        <v>10</v>
      </c>
      <c r="Z3103">
        <v>3</v>
      </c>
      <c r="AA3103">
        <v>2</v>
      </c>
      <c r="AB3103">
        <v>11</v>
      </c>
      <c r="AD3103" t="s">
        <v>77</v>
      </c>
      <c r="AE3103" t="s">
        <v>77</v>
      </c>
      <c r="AF3103" t="s">
        <v>77</v>
      </c>
      <c r="AG3103" t="s">
        <v>77</v>
      </c>
      <c r="AH3103" t="s">
        <v>77</v>
      </c>
      <c r="AI3103" t="s">
        <v>77</v>
      </c>
      <c r="AJ3103">
        <v>9</v>
      </c>
      <c r="AK3103">
        <v>353</v>
      </c>
      <c r="AL3103">
        <v>353</v>
      </c>
      <c r="AM3103">
        <v>534</v>
      </c>
      <c r="AN3103">
        <v>44</v>
      </c>
      <c r="AO3103" t="s">
        <v>78</v>
      </c>
      <c r="AP3103">
        <v>1</v>
      </c>
      <c r="AR3103" t="s">
        <v>3198</v>
      </c>
      <c r="AS3103" s="1">
        <v>44354.021527777775</v>
      </c>
      <c r="AT3103" s="1">
        <v>44354.056643518517</v>
      </c>
      <c r="AU3103" s="1">
        <v>44354.058263888888</v>
      </c>
      <c r="AV3103" t="s">
        <v>71</v>
      </c>
      <c r="AW3103" t="s">
        <v>72</v>
      </c>
      <c r="AX3103" t="s">
        <v>73</v>
      </c>
    </row>
    <row r="3104" spans="1:50" x14ac:dyDescent="0.3">
      <c r="A3104" t="str">
        <f>"200489C0100"</f>
        <v>200489C0100</v>
      </c>
      <c r="B3104" t="str">
        <f>"200489C01002"</f>
        <v>200489C01002</v>
      </c>
      <c r="C3104" t="str">
        <f t="shared" si="151"/>
        <v>20</v>
      </c>
      <c r="D3104" t="s">
        <v>67</v>
      </c>
      <c r="E3104" t="str">
        <f t="shared" si="148"/>
        <v>014</v>
      </c>
      <c r="F3104" t="s">
        <v>2914</v>
      </c>
      <c r="G3104" t="str">
        <f>"0489"</f>
        <v>0489</v>
      </c>
      <c r="H3104" t="str">
        <f>"0001"</f>
        <v>0001</v>
      </c>
      <c r="I3104" t="s">
        <v>75</v>
      </c>
      <c r="J3104">
        <v>0</v>
      </c>
      <c r="K3104">
        <v>1</v>
      </c>
      <c r="L3104">
        <v>2</v>
      </c>
      <c r="M3104">
        <v>226</v>
      </c>
      <c r="N3104">
        <v>352</v>
      </c>
      <c r="O3104">
        <v>5</v>
      </c>
      <c r="P3104" t="s">
        <v>80</v>
      </c>
      <c r="Q3104">
        <v>51</v>
      </c>
      <c r="R3104">
        <v>104</v>
      </c>
      <c r="S3104">
        <v>2</v>
      </c>
      <c r="T3104">
        <v>7</v>
      </c>
      <c r="U3104">
        <v>7</v>
      </c>
      <c r="V3104">
        <v>8</v>
      </c>
      <c r="W3104">
        <v>4</v>
      </c>
      <c r="X3104">
        <v>130</v>
      </c>
      <c r="Y3104">
        <v>11</v>
      </c>
      <c r="Z3104">
        <v>2</v>
      </c>
      <c r="AA3104">
        <v>4</v>
      </c>
      <c r="AB3104">
        <v>10</v>
      </c>
      <c r="AD3104">
        <v>2</v>
      </c>
      <c r="AE3104">
        <v>1</v>
      </c>
      <c r="AF3104">
        <v>0</v>
      </c>
      <c r="AG3104">
        <v>0</v>
      </c>
      <c r="AH3104">
        <v>0</v>
      </c>
      <c r="AI3104">
        <v>0</v>
      </c>
      <c r="AJ3104">
        <v>9</v>
      </c>
      <c r="AK3104">
        <v>352</v>
      </c>
      <c r="AL3104">
        <v>352</v>
      </c>
      <c r="AM3104">
        <v>534</v>
      </c>
      <c r="AN3104">
        <v>44</v>
      </c>
      <c r="AP3104">
        <v>1</v>
      </c>
      <c r="AR3104" t="s">
        <v>3199</v>
      </c>
      <c r="AS3104" s="1">
        <v>44354.011111111111</v>
      </c>
      <c r="AT3104" s="1">
        <v>44354.226724537039</v>
      </c>
      <c r="AU3104" s="1">
        <v>44354.227372685185</v>
      </c>
      <c r="AV3104" t="s">
        <v>71</v>
      </c>
      <c r="AW3104" t="s">
        <v>72</v>
      </c>
      <c r="AX3104" t="s">
        <v>73</v>
      </c>
    </row>
    <row r="3105" spans="1:50" x14ac:dyDescent="0.3">
      <c r="A3105" t="str">
        <f>"200489C0200"</f>
        <v>200489C0200</v>
      </c>
      <c r="B3105" t="str">
        <f>"200489C02002"</f>
        <v>200489C02002</v>
      </c>
      <c r="C3105" t="str">
        <f t="shared" si="151"/>
        <v>20</v>
      </c>
      <c r="D3105" t="s">
        <v>67</v>
      </c>
      <c r="E3105" t="str">
        <f t="shared" si="148"/>
        <v>014</v>
      </c>
      <c r="F3105" t="s">
        <v>2914</v>
      </c>
      <c r="G3105" t="str">
        <f>"0489"</f>
        <v>0489</v>
      </c>
      <c r="H3105" t="str">
        <f>"0002"</f>
        <v>0002</v>
      </c>
      <c r="I3105" t="s">
        <v>75</v>
      </c>
      <c r="J3105">
        <v>0</v>
      </c>
      <c r="K3105">
        <v>1</v>
      </c>
      <c r="L3105">
        <v>2</v>
      </c>
      <c r="M3105">
        <v>238</v>
      </c>
      <c r="N3105">
        <v>346</v>
      </c>
      <c r="O3105">
        <v>8</v>
      </c>
      <c r="P3105">
        <v>338</v>
      </c>
      <c r="Q3105">
        <v>75</v>
      </c>
      <c r="R3105">
        <v>97</v>
      </c>
      <c r="S3105">
        <v>1</v>
      </c>
      <c r="T3105">
        <v>6</v>
      </c>
      <c r="U3105">
        <v>2</v>
      </c>
      <c r="V3105">
        <v>10</v>
      </c>
      <c r="W3105">
        <v>5</v>
      </c>
      <c r="X3105">
        <v>97</v>
      </c>
      <c r="Y3105">
        <v>5</v>
      </c>
      <c r="Z3105">
        <v>9</v>
      </c>
      <c r="AA3105">
        <v>3</v>
      </c>
      <c r="AB3105">
        <v>8</v>
      </c>
      <c r="AD3105">
        <v>5</v>
      </c>
      <c r="AE3105">
        <v>0</v>
      </c>
      <c r="AF3105">
        <v>0</v>
      </c>
      <c r="AG3105">
        <v>0</v>
      </c>
      <c r="AH3105">
        <v>1</v>
      </c>
      <c r="AI3105">
        <v>0</v>
      </c>
      <c r="AJ3105">
        <v>14</v>
      </c>
      <c r="AK3105">
        <v>338</v>
      </c>
      <c r="AL3105">
        <v>338</v>
      </c>
      <c r="AM3105">
        <v>533</v>
      </c>
      <c r="AN3105">
        <v>44</v>
      </c>
      <c r="AP3105">
        <v>1</v>
      </c>
      <c r="AR3105" t="s">
        <v>3200</v>
      </c>
      <c r="AS3105" s="1">
        <v>44354.021527777775</v>
      </c>
      <c r="AT3105" s="1">
        <v>44354.057129629633</v>
      </c>
      <c r="AU3105" s="1">
        <v>44354.057881944442</v>
      </c>
      <c r="AV3105" t="s">
        <v>71</v>
      </c>
      <c r="AW3105" t="s">
        <v>72</v>
      </c>
      <c r="AX3105" t="s">
        <v>73</v>
      </c>
    </row>
    <row r="3106" spans="1:50" x14ac:dyDescent="0.3">
      <c r="A3106" t="str">
        <f>"200490B0000"</f>
        <v>200490B0000</v>
      </c>
      <c r="B3106" t="str">
        <f>"200490B00002"</f>
        <v>200490B00002</v>
      </c>
      <c r="C3106" t="str">
        <f t="shared" si="151"/>
        <v>20</v>
      </c>
      <c r="D3106" t="s">
        <v>67</v>
      </c>
      <c r="E3106" t="str">
        <f t="shared" si="148"/>
        <v>014</v>
      </c>
      <c r="F3106" t="s">
        <v>2914</v>
      </c>
      <c r="G3106" t="str">
        <f>"0490"</f>
        <v>0490</v>
      </c>
      <c r="H3106" t="str">
        <f>"0000"</f>
        <v>0000</v>
      </c>
      <c r="I3106" t="s">
        <v>69</v>
      </c>
      <c r="J3106">
        <v>0</v>
      </c>
      <c r="K3106">
        <v>1</v>
      </c>
      <c r="L3106">
        <v>2</v>
      </c>
      <c r="M3106">
        <v>358</v>
      </c>
      <c r="N3106">
        <v>412</v>
      </c>
      <c r="O3106">
        <v>6</v>
      </c>
      <c r="P3106">
        <v>412</v>
      </c>
      <c r="Q3106">
        <v>48</v>
      </c>
      <c r="R3106">
        <v>102</v>
      </c>
      <c r="S3106">
        <v>5</v>
      </c>
      <c r="T3106">
        <v>18</v>
      </c>
      <c r="U3106">
        <v>9</v>
      </c>
      <c r="V3106">
        <v>5</v>
      </c>
      <c r="W3106">
        <v>1</v>
      </c>
      <c r="X3106">
        <v>163</v>
      </c>
      <c r="Y3106">
        <v>14</v>
      </c>
      <c r="Z3106">
        <v>13</v>
      </c>
      <c r="AA3106">
        <v>5</v>
      </c>
      <c r="AB3106">
        <v>12</v>
      </c>
      <c r="AD3106">
        <v>9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7</v>
      </c>
      <c r="AK3106">
        <v>411</v>
      </c>
      <c r="AL3106">
        <v>411</v>
      </c>
      <c r="AM3106">
        <v>720</v>
      </c>
      <c r="AN3106">
        <v>44</v>
      </c>
      <c r="AP3106">
        <v>1</v>
      </c>
      <c r="AR3106" t="s">
        <v>3201</v>
      </c>
      <c r="AS3106" s="1">
        <v>44354.002083333333</v>
      </c>
      <c r="AT3106" s="1">
        <v>44354.020740740743</v>
      </c>
      <c r="AU3106" s="1">
        <v>44354.021643518521</v>
      </c>
      <c r="AV3106" t="s">
        <v>71</v>
      </c>
      <c r="AW3106" t="s">
        <v>72</v>
      </c>
      <c r="AX3106" t="s">
        <v>73</v>
      </c>
    </row>
    <row r="3107" spans="1:50" x14ac:dyDescent="0.3">
      <c r="A3107" t="str">
        <f>"200490C0100"</f>
        <v>200490C0100</v>
      </c>
      <c r="B3107" t="str">
        <f>"200490C01002"</f>
        <v>200490C01002</v>
      </c>
      <c r="C3107" t="str">
        <f t="shared" si="151"/>
        <v>20</v>
      </c>
      <c r="D3107" t="s">
        <v>67</v>
      </c>
      <c r="E3107" t="str">
        <f t="shared" ref="E3107:E3170" si="152">"014"</f>
        <v>014</v>
      </c>
      <c r="F3107" t="s">
        <v>2914</v>
      </c>
      <c r="G3107" t="str">
        <f>"0490"</f>
        <v>0490</v>
      </c>
      <c r="H3107" t="str">
        <f>"0001"</f>
        <v>0001</v>
      </c>
      <c r="I3107" t="s">
        <v>75</v>
      </c>
      <c r="J3107">
        <v>0</v>
      </c>
      <c r="K3107">
        <v>1</v>
      </c>
      <c r="L3107">
        <v>2</v>
      </c>
      <c r="M3107">
        <v>381</v>
      </c>
      <c r="N3107">
        <v>384</v>
      </c>
      <c r="O3107">
        <v>3</v>
      </c>
      <c r="P3107">
        <v>384</v>
      </c>
      <c r="Q3107">
        <v>48</v>
      </c>
      <c r="R3107">
        <v>93</v>
      </c>
      <c r="S3107">
        <v>3</v>
      </c>
      <c r="T3107">
        <v>14</v>
      </c>
      <c r="U3107">
        <v>11</v>
      </c>
      <c r="V3107">
        <v>2</v>
      </c>
      <c r="W3107">
        <v>1</v>
      </c>
      <c r="X3107">
        <v>172</v>
      </c>
      <c r="Y3107">
        <v>7</v>
      </c>
      <c r="Z3107">
        <v>9</v>
      </c>
      <c r="AA3107">
        <v>2</v>
      </c>
      <c r="AB3107">
        <v>8</v>
      </c>
      <c r="AD3107">
        <v>1</v>
      </c>
      <c r="AE3107">
        <v>3</v>
      </c>
      <c r="AF3107">
        <v>0</v>
      </c>
      <c r="AG3107">
        <v>0</v>
      </c>
      <c r="AH3107">
        <v>0</v>
      </c>
      <c r="AI3107">
        <v>0</v>
      </c>
      <c r="AJ3107">
        <v>9</v>
      </c>
      <c r="AK3107">
        <v>383</v>
      </c>
      <c r="AL3107">
        <v>383</v>
      </c>
      <c r="AM3107">
        <v>720</v>
      </c>
      <c r="AN3107">
        <v>44</v>
      </c>
      <c r="AP3107">
        <v>1</v>
      </c>
      <c r="AR3107" t="s">
        <v>3202</v>
      </c>
      <c r="AS3107" s="1">
        <v>44354.004166666666</v>
      </c>
      <c r="AT3107" s="1">
        <v>44354.025567129633</v>
      </c>
      <c r="AU3107" s="1">
        <v>44354.026053240741</v>
      </c>
      <c r="AV3107" t="s">
        <v>71</v>
      </c>
      <c r="AW3107" t="s">
        <v>72</v>
      </c>
      <c r="AX3107" t="s">
        <v>73</v>
      </c>
    </row>
    <row r="3108" spans="1:50" x14ac:dyDescent="0.3">
      <c r="A3108" t="str">
        <f>"200491B0000"</f>
        <v>200491B0000</v>
      </c>
      <c r="B3108" t="str">
        <f>"200491B00002"</f>
        <v>200491B00002</v>
      </c>
      <c r="C3108" t="str">
        <f t="shared" si="151"/>
        <v>20</v>
      </c>
      <c r="D3108" t="s">
        <v>67</v>
      </c>
      <c r="E3108" t="str">
        <f t="shared" si="152"/>
        <v>014</v>
      </c>
      <c r="F3108" t="s">
        <v>2914</v>
      </c>
      <c r="G3108" t="str">
        <f>"0491"</f>
        <v>0491</v>
      </c>
      <c r="H3108" t="str">
        <f>"0000"</f>
        <v>0000</v>
      </c>
      <c r="I3108" t="s">
        <v>69</v>
      </c>
      <c r="J3108">
        <v>0</v>
      </c>
      <c r="K3108">
        <v>1</v>
      </c>
      <c r="L3108">
        <v>2</v>
      </c>
      <c r="M3108">
        <v>361</v>
      </c>
      <c r="N3108">
        <v>410</v>
      </c>
      <c r="O3108">
        <v>5</v>
      </c>
      <c r="P3108">
        <v>411</v>
      </c>
      <c r="Q3108">
        <v>28</v>
      </c>
      <c r="R3108">
        <v>70</v>
      </c>
      <c r="S3108">
        <v>1</v>
      </c>
      <c r="T3108">
        <v>11</v>
      </c>
      <c r="U3108">
        <v>15</v>
      </c>
      <c r="V3108">
        <v>10</v>
      </c>
      <c r="W3108">
        <v>0</v>
      </c>
      <c r="X3108">
        <v>222</v>
      </c>
      <c r="Y3108">
        <v>2</v>
      </c>
      <c r="Z3108">
        <v>18</v>
      </c>
      <c r="AA3108">
        <v>9</v>
      </c>
      <c r="AB3108">
        <v>12</v>
      </c>
      <c r="AD3108">
        <v>4</v>
      </c>
      <c r="AE3108">
        <v>2</v>
      </c>
      <c r="AF3108">
        <v>0</v>
      </c>
      <c r="AG3108">
        <v>1</v>
      </c>
      <c r="AH3108">
        <v>0</v>
      </c>
      <c r="AI3108">
        <v>0</v>
      </c>
      <c r="AJ3108">
        <v>6</v>
      </c>
      <c r="AK3108">
        <v>411</v>
      </c>
      <c r="AL3108">
        <v>411</v>
      </c>
      <c r="AM3108">
        <v>729</v>
      </c>
      <c r="AN3108">
        <v>44</v>
      </c>
      <c r="AP3108">
        <v>1</v>
      </c>
      <c r="AR3108" t="s">
        <v>3203</v>
      </c>
      <c r="AS3108" s="1">
        <v>44354.115972222222</v>
      </c>
      <c r="AT3108" s="1">
        <v>44354.118796296294</v>
      </c>
      <c r="AU3108" s="1">
        <v>44354.119398148148</v>
      </c>
      <c r="AV3108" t="s">
        <v>71</v>
      </c>
      <c r="AW3108" t="s">
        <v>72</v>
      </c>
      <c r="AX3108" t="s">
        <v>73</v>
      </c>
    </row>
    <row r="3109" spans="1:50" x14ac:dyDescent="0.3">
      <c r="A3109" t="str">
        <f>"200491C0100"</f>
        <v>200491C0100</v>
      </c>
      <c r="B3109" t="str">
        <f>"200491C01002"</f>
        <v>200491C01002</v>
      </c>
      <c r="C3109" t="str">
        <f t="shared" si="151"/>
        <v>20</v>
      </c>
      <c r="D3109" t="s">
        <v>67</v>
      </c>
      <c r="E3109" t="str">
        <f t="shared" si="152"/>
        <v>014</v>
      </c>
      <c r="F3109" t="s">
        <v>2914</v>
      </c>
      <c r="G3109" t="str">
        <f>"0491"</f>
        <v>0491</v>
      </c>
      <c r="H3109" t="str">
        <f>"0001"</f>
        <v>0001</v>
      </c>
      <c r="I3109" t="s">
        <v>75</v>
      </c>
      <c r="J3109">
        <v>0</v>
      </c>
      <c r="K3109">
        <v>1</v>
      </c>
      <c r="L3109">
        <v>2</v>
      </c>
      <c r="M3109">
        <v>399</v>
      </c>
      <c r="N3109">
        <v>375</v>
      </c>
      <c r="O3109">
        <v>3</v>
      </c>
      <c r="P3109">
        <v>375</v>
      </c>
      <c r="Q3109">
        <v>23</v>
      </c>
      <c r="R3109">
        <v>69</v>
      </c>
      <c r="S3109">
        <v>5</v>
      </c>
      <c r="T3109">
        <v>6</v>
      </c>
      <c r="U3109">
        <v>16</v>
      </c>
      <c r="V3109">
        <v>15</v>
      </c>
      <c r="W3109">
        <v>4</v>
      </c>
      <c r="X3109">
        <v>190</v>
      </c>
      <c r="Y3109">
        <v>7</v>
      </c>
      <c r="Z3109">
        <v>11</v>
      </c>
      <c r="AA3109">
        <v>2</v>
      </c>
      <c r="AB3109">
        <v>17</v>
      </c>
      <c r="AD3109">
        <v>97</v>
      </c>
      <c r="AE3109">
        <v>92</v>
      </c>
      <c r="AF3109">
        <v>28</v>
      </c>
      <c r="AG3109">
        <v>74</v>
      </c>
      <c r="AH3109">
        <v>22</v>
      </c>
      <c r="AI3109">
        <v>0</v>
      </c>
      <c r="AJ3109">
        <v>10</v>
      </c>
      <c r="AK3109">
        <v>375</v>
      </c>
      <c r="AL3109">
        <v>688</v>
      </c>
      <c r="AM3109">
        <v>729</v>
      </c>
      <c r="AN3109">
        <v>44</v>
      </c>
      <c r="AP3109">
        <v>1</v>
      </c>
      <c r="AR3109" t="s">
        <v>3204</v>
      </c>
      <c r="AS3109" s="1">
        <v>44354.080555555556</v>
      </c>
      <c r="AT3109" s="1">
        <v>44354.098877314813</v>
      </c>
      <c r="AU3109" s="1">
        <v>44354.099803240744</v>
      </c>
      <c r="AV3109" t="s">
        <v>71</v>
      </c>
      <c r="AW3109" t="s">
        <v>72</v>
      </c>
      <c r="AX3109" t="s">
        <v>73</v>
      </c>
    </row>
    <row r="3110" spans="1:50" x14ac:dyDescent="0.3">
      <c r="A3110" t="str">
        <f>"200492B0000"</f>
        <v>200492B0000</v>
      </c>
      <c r="B3110" t="str">
        <f>"200492B00002"</f>
        <v>200492B00002</v>
      </c>
      <c r="C3110" t="str">
        <f t="shared" si="151"/>
        <v>20</v>
      </c>
      <c r="D3110" t="s">
        <v>67</v>
      </c>
      <c r="E3110" t="str">
        <f t="shared" si="152"/>
        <v>014</v>
      </c>
      <c r="F3110" t="s">
        <v>2914</v>
      </c>
      <c r="G3110" t="str">
        <f>"0492"</f>
        <v>0492</v>
      </c>
      <c r="H3110" t="str">
        <f>"0000"</f>
        <v>0000</v>
      </c>
      <c r="I3110" t="s">
        <v>69</v>
      </c>
      <c r="J3110">
        <v>0</v>
      </c>
      <c r="K3110">
        <v>1</v>
      </c>
      <c r="L3110">
        <v>2</v>
      </c>
      <c r="M3110">
        <v>342</v>
      </c>
      <c r="N3110">
        <v>250</v>
      </c>
      <c r="O3110">
        <v>3</v>
      </c>
      <c r="P3110">
        <v>250</v>
      </c>
      <c r="Q3110">
        <v>18</v>
      </c>
      <c r="R3110">
        <v>32</v>
      </c>
      <c r="S3110">
        <v>5</v>
      </c>
      <c r="T3110">
        <v>12</v>
      </c>
      <c r="U3110">
        <v>10</v>
      </c>
      <c r="V3110">
        <v>2</v>
      </c>
      <c r="W3110">
        <v>4</v>
      </c>
      <c r="X3110">
        <v>126</v>
      </c>
      <c r="Y3110">
        <v>4</v>
      </c>
      <c r="Z3110">
        <v>13</v>
      </c>
      <c r="AA3110">
        <v>4</v>
      </c>
      <c r="AB3110">
        <v>6</v>
      </c>
      <c r="AD3110">
        <v>4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10</v>
      </c>
      <c r="AK3110">
        <v>250</v>
      </c>
      <c r="AL3110">
        <v>250</v>
      </c>
      <c r="AM3110">
        <v>547</v>
      </c>
      <c r="AN3110">
        <v>44</v>
      </c>
      <c r="AP3110">
        <v>1</v>
      </c>
      <c r="AR3110" t="s">
        <v>3205</v>
      </c>
      <c r="AS3110" s="1">
        <v>44354.020138888889</v>
      </c>
      <c r="AT3110" s="1">
        <v>44354.053217592591</v>
      </c>
      <c r="AU3110" s="1">
        <v>44354.053773148145</v>
      </c>
      <c r="AV3110" t="s">
        <v>71</v>
      </c>
      <c r="AW3110" t="s">
        <v>72</v>
      </c>
      <c r="AX3110" t="s">
        <v>73</v>
      </c>
    </row>
    <row r="3111" spans="1:50" x14ac:dyDescent="0.3">
      <c r="A3111" t="str">
        <f>"200492C0100"</f>
        <v>200492C0100</v>
      </c>
      <c r="B3111" t="str">
        <f>"200492C01002"</f>
        <v>200492C01002</v>
      </c>
      <c r="C3111" t="str">
        <f t="shared" si="151"/>
        <v>20</v>
      </c>
      <c r="D3111" t="s">
        <v>67</v>
      </c>
      <c r="E3111" t="str">
        <f t="shared" si="152"/>
        <v>014</v>
      </c>
      <c r="F3111" t="s">
        <v>2914</v>
      </c>
      <c r="G3111" t="str">
        <f>"0492"</f>
        <v>0492</v>
      </c>
      <c r="H3111" t="str">
        <f>"0001"</f>
        <v>0001</v>
      </c>
      <c r="I3111" t="s">
        <v>75</v>
      </c>
      <c r="J3111">
        <v>0</v>
      </c>
      <c r="K3111">
        <v>1</v>
      </c>
      <c r="L3111">
        <v>2</v>
      </c>
      <c r="M3111">
        <v>323</v>
      </c>
      <c r="N3111">
        <v>267</v>
      </c>
      <c r="O3111">
        <v>8</v>
      </c>
      <c r="P3111">
        <v>254</v>
      </c>
      <c r="Q3111">
        <v>11</v>
      </c>
      <c r="R3111">
        <v>41</v>
      </c>
      <c r="S3111">
        <v>1</v>
      </c>
      <c r="T3111">
        <v>8</v>
      </c>
      <c r="U3111">
        <v>6</v>
      </c>
      <c r="V3111">
        <v>11</v>
      </c>
      <c r="W3111">
        <v>7</v>
      </c>
      <c r="X3111">
        <v>149</v>
      </c>
      <c r="Y3111">
        <v>0</v>
      </c>
      <c r="Z3111">
        <v>5</v>
      </c>
      <c r="AA3111">
        <v>2</v>
      </c>
      <c r="AB3111">
        <v>12</v>
      </c>
      <c r="AD3111">
        <v>1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12</v>
      </c>
      <c r="AK3111">
        <v>254</v>
      </c>
      <c r="AL3111">
        <v>266</v>
      </c>
      <c r="AM3111">
        <v>546</v>
      </c>
      <c r="AN3111">
        <v>44</v>
      </c>
      <c r="AP3111">
        <v>1</v>
      </c>
      <c r="AR3111" t="s">
        <v>3206</v>
      </c>
      <c r="AS3111" s="1">
        <v>44354.018750000003</v>
      </c>
      <c r="AT3111" s="1">
        <v>44354.052604166667</v>
      </c>
      <c r="AU3111" s="1">
        <v>44354.053078703706</v>
      </c>
      <c r="AV3111" t="s">
        <v>71</v>
      </c>
      <c r="AW3111" t="s">
        <v>72</v>
      </c>
      <c r="AX3111" t="s">
        <v>73</v>
      </c>
    </row>
    <row r="3112" spans="1:50" x14ac:dyDescent="0.3">
      <c r="A3112" t="str">
        <f>"200492C0200"</f>
        <v>200492C0200</v>
      </c>
      <c r="B3112" t="str">
        <f>"200492C02002"</f>
        <v>200492C02002</v>
      </c>
      <c r="C3112" t="str">
        <f t="shared" si="151"/>
        <v>20</v>
      </c>
      <c r="D3112" t="s">
        <v>67</v>
      </c>
      <c r="E3112" t="str">
        <f t="shared" si="152"/>
        <v>014</v>
      </c>
      <c r="F3112" t="s">
        <v>2914</v>
      </c>
      <c r="G3112" t="str">
        <f>"0492"</f>
        <v>0492</v>
      </c>
      <c r="H3112" t="str">
        <f>"0002"</f>
        <v>0002</v>
      </c>
      <c r="I3112" t="s">
        <v>75</v>
      </c>
      <c r="J3112">
        <v>0</v>
      </c>
      <c r="K3112">
        <v>1</v>
      </c>
      <c r="L3112">
        <v>2</v>
      </c>
      <c r="M3112">
        <v>318</v>
      </c>
      <c r="N3112">
        <v>272</v>
      </c>
      <c r="O3112">
        <v>9</v>
      </c>
      <c r="P3112">
        <v>263</v>
      </c>
      <c r="Q3112">
        <v>7</v>
      </c>
      <c r="R3112">
        <v>39</v>
      </c>
      <c r="S3112" t="s">
        <v>77</v>
      </c>
      <c r="T3112">
        <v>9</v>
      </c>
      <c r="U3112">
        <v>9</v>
      </c>
      <c r="V3112">
        <v>8</v>
      </c>
      <c r="W3112">
        <v>4</v>
      </c>
      <c r="X3112">
        <v>161</v>
      </c>
      <c r="Y3112">
        <v>5</v>
      </c>
      <c r="Z3112">
        <v>5</v>
      </c>
      <c r="AA3112">
        <v>3</v>
      </c>
      <c r="AB3112">
        <v>11</v>
      </c>
      <c r="AD3112">
        <v>1</v>
      </c>
      <c r="AE3112">
        <v>1</v>
      </c>
      <c r="AF3112">
        <v>0</v>
      </c>
      <c r="AG3112">
        <v>0</v>
      </c>
      <c r="AH3112">
        <v>0</v>
      </c>
      <c r="AI3112">
        <v>0</v>
      </c>
      <c r="AJ3112">
        <v>9</v>
      </c>
      <c r="AK3112">
        <v>272</v>
      </c>
      <c r="AL3112">
        <v>272</v>
      </c>
      <c r="AM3112">
        <v>546</v>
      </c>
      <c r="AN3112">
        <v>44</v>
      </c>
      <c r="AO3112" t="s">
        <v>78</v>
      </c>
      <c r="AP3112">
        <v>1</v>
      </c>
      <c r="AR3112" t="s">
        <v>3207</v>
      </c>
      <c r="AS3112" s="1">
        <v>44354.018750000003</v>
      </c>
      <c r="AT3112" s="1">
        <v>44354.0544212963</v>
      </c>
      <c r="AU3112" s="1">
        <v>44354.055185185185</v>
      </c>
      <c r="AV3112" t="s">
        <v>71</v>
      </c>
      <c r="AW3112" t="s">
        <v>72</v>
      </c>
      <c r="AX3112" t="s">
        <v>73</v>
      </c>
    </row>
    <row r="3113" spans="1:50" x14ac:dyDescent="0.3">
      <c r="A3113" t="str">
        <f>"200493B0000"</f>
        <v>200493B0000</v>
      </c>
      <c r="B3113" t="str">
        <f>"200493B00002"</f>
        <v>200493B00002</v>
      </c>
      <c r="C3113" t="str">
        <f t="shared" si="151"/>
        <v>20</v>
      </c>
      <c r="D3113" t="s">
        <v>67</v>
      </c>
      <c r="E3113" t="str">
        <f t="shared" si="152"/>
        <v>014</v>
      </c>
      <c r="F3113" t="s">
        <v>2914</v>
      </c>
      <c r="G3113" t="str">
        <f t="shared" ref="G3113:G3120" si="153">"0493"</f>
        <v>0493</v>
      </c>
      <c r="H3113" t="str">
        <f>"0000"</f>
        <v>0000</v>
      </c>
      <c r="I3113" t="s">
        <v>69</v>
      </c>
      <c r="J3113">
        <v>0</v>
      </c>
      <c r="K3113">
        <v>1</v>
      </c>
      <c r="L3113">
        <v>2</v>
      </c>
      <c r="M3113">
        <v>306</v>
      </c>
      <c r="N3113">
        <v>265</v>
      </c>
      <c r="O3113">
        <v>0</v>
      </c>
      <c r="P3113">
        <v>268</v>
      </c>
      <c r="Q3113">
        <v>13</v>
      </c>
      <c r="R3113">
        <v>48</v>
      </c>
      <c r="S3113">
        <v>0</v>
      </c>
      <c r="T3113">
        <v>5</v>
      </c>
      <c r="U3113">
        <v>12</v>
      </c>
      <c r="V3113">
        <v>6</v>
      </c>
      <c r="W3113">
        <v>3</v>
      </c>
      <c r="X3113">
        <v>150</v>
      </c>
      <c r="Y3113">
        <v>7</v>
      </c>
      <c r="Z3113">
        <v>6</v>
      </c>
      <c r="AA3113">
        <v>5</v>
      </c>
      <c r="AB3113">
        <v>5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8</v>
      </c>
      <c r="AK3113">
        <v>268</v>
      </c>
      <c r="AL3113">
        <v>268</v>
      </c>
      <c r="AM3113">
        <v>528</v>
      </c>
      <c r="AN3113">
        <v>44</v>
      </c>
      <c r="AP3113">
        <v>1</v>
      </c>
      <c r="AR3113" t="s">
        <v>3208</v>
      </c>
      <c r="AS3113" s="1">
        <v>44354.003472222219</v>
      </c>
      <c r="AT3113" s="1">
        <v>44354.024386574078</v>
      </c>
      <c r="AU3113" s="1">
        <v>44354.025127314817</v>
      </c>
      <c r="AV3113" t="s">
        <v>71</v>
      </c>
      <c r="AW3113" t="s">
        <v>72</v>
      </c>
      <c r="AX3113" t="s">
        <v>73</v>
      </c>
    </row>
    <row r="3114" spans="1:50" x14ac:dyDescent="0.3">
      <c r="A3114" t="str">
        <f>"200493C0100"</f>
        <v>200493C0100</v>
      </c>
      <c r="B3114" t="str">
        <f>"200493C01002"</f>
        <v>200493C01002</v>
      </c>
      <c r="C3114" t="str">
        <f t="shared" si="151"/>
        <v>20</v>
      </c>
      <c r="D3114" t="s">
        <v>67</v>
      </c>
      <c r="E3114" t="str">
        <f t="shared" si="152"/>
        <v>014</v>
      </c>
      <c r="F3114" t="s">
        <v>2914</v>
      </c>
      <c r="G3114" t="str">
        <f t="shared" si="153"/>
        <v>0493</v>
      </c>
      <c r="H3114" t="str">
        <f>"0001"</f>
        <v>0001</v>
      </c>
      <c r="I3114" t="s">
        <v>75</v>
      </c>
      <c r="J3114">
        <v>0</v>
      </c>
      <c r="K3114">
        <v>1</v>
      </c>
      <c r="L3114">
        <v>2</v>
      </c>
      <c r="M3114">
        <v>317</v>
      </c>
      <c r="N3114">
        <v>254</v>
      </c>
      <c r="O3114">
        <v>3</v>
      </c>
      <c r="P3114">
        <v>252</v>
      </c>
      <c r="Q3114">
        <v>6</v>
      </c>
      <c r="R3114">
        <v>44</v>
      </c>
      <c r="S3114">
        <v>5</v>
      </c>
      <c r="T3114">
        <v>15</v>
      </c>
      <c r="U3114">
        <v>8</v>
      </c>
      <c r="V3114">
        <v>4</v>
      </c>
      <c r="W3114">
        <v>5</v>
      </c>
      <c r="X3114">
        <v>130</v>
      </c>
      <c r="Y3114">
        <v>1</v>
      </c>
      <c r="Z3114">
        <v>8</v>
      </c>
      <c r="AA3114">
        <v>6</v>
      </c>
      <c r="AB3114">
        <v>11</v>
      </c>
      <c r="AD3114">
        <v>1</v>
      </c>
      <c r="AE3114">
        <v>1</v>
      </c>
      <c r="AF3114">
        <v>0</v>
      </c>
      <c r="AG3114">
        <v>0</v>
      </c>
      <c r="AH3114">
        <v>0</v>
      </c>
      <c r="AI3114">
        <v>0</v>
      </c>
      <c r="AJ3114">
        <v>7</v>
      </c>
      <c r="AK3114">
        <v>252</v>
      </c>
      <c r="AL3114">
        <v>252</v>
      </c>
      <c r="AM3114">
        <v>527</v>
      </c>
      <c r="AN3114">
        <v>44</v>
      </c>
      <c r="AP3114">
        <v>1</v>
      </c>
      <c r="AR3114" t="s">
        <v>3209</v>
      </c>
      <c r="AS3114" s="1">
        <v>44354.231249999997</v>
      </c>
      <c r="AT3114" s="1">
        <v>44354.232465277775</v>
      </c>
      <c r="AU3114" s="1">
        <v>44354.233483796299</v>
      </c>
      <c r="AV3114" t="s">
        <v>71</v>
      </c>
      <c r="AW3114" t="s">
        <v>72</v>
      </c>
      <c r="AX3114" t="s">
        <v>73</v>
      </c>
    </row>
    <row r="3115" spans="1:50" x14ac:dyDescent="0.3">
      <c r="A3115" t="str">
        <f>"200493C0200"</f>
        <v>200493C0200</v>
      </c>
      <c r="B3115" t="str">
        <f>"200493C02002"</f>
        <v>200493C02002</v>
      </c>
      <c r="C3115" t="str">
        <f t="shared" si="151"/>
        <v>20</v>
      </c>
      <c r="D3115" t="s">
        <v>67</v>
      </c>
      <c r="E3115" t="str">
        <f t="shared" si="152"/>
        <v>014</v>
      </c>
      <c r="F3115" t="s">
        <v>2914</v>
      </c>
      <c r="G3115" t="str">
        <f t="shared" si="153"/>
        <v>0493</v>
      </c>
      <c r="H3115" t="str">
        <f>"0002"</f>
        <v>0002</v>
      </c>
      <c r="I3115" t="s">
        <v>75</v>
      </c>
      <c r="J3115">
        <v>0</v>
      </c>
      <c r="K3115">
        <v>1</v>
      </c>
      <c r="L3115">
        <v>2</v>
      </c>
      <c r="M3115">
        <v>305</v>
      </c>
      <c r="N3115">
        <v>266</v>
      </c>
      <c r="O3115">
        <v>7</v>
      </c>
      <c r="P3115">
        <v>266</v>
      </c>
      <c r="Q3115">
        <v>2</v>
      </c>
      <c r="R3115">
        <v>41</v>
      </c>
      <c r="S3115">
        <v>1</v>
      </c>
      <c r="T3115">
        <v>7</v>
      </c>
      <c r="U3115">
        <v>8</v>
      </c>
      <c r="V3115">
        <v>7</v>
      </c>
      <c r="W3115">
        <v>3</v>
      </c>
      <c r="X3115">
        <v>159</v>
      </c>
      <c r="Y3115">
        <v>6</v>
      </c>
      <c r="Z3115">
        <v>7</v>
      </c>
      <c r="AA3115">
        <v>8</v>
      </c>
      <c r="AB3115">
        <v>9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8</v>
      </c>
      <c r="AK3115">
        <v>266</v>
      </c>
      <c r="AL3115">
        <v>266</v>
      </c>
      <c r="AM3115">
        <v>527</v>
      </c>
      <c r="AN3115">
        <v>44</v>
      </c>
      <c r="AP3115">
        <v>1</v>
      </c>
      <c r="AR3115" t="s">
        <v>3210</v>
      </c>
      <c r="AS3115" s="1">
        <v>44354.003472222219</v>
      </c>
      <c r="AT3115" s="1">
        <v>44354.024456018517</v>
      </c>
      <c r="AU3115" s="1">
        <v>44354.02511574074</v>
      </c>
      <c r="AV3115" t="s">
        <v>71</v>
      </c>
      <c r="AW3115" t="s">
        <v>72</v>
      </c>
      <c r="AX3115" t="s">
        <v>73</v>
      </c>
    </row>
    <row r="3116" spans="1:50" x14ac:dyDescent="0.3">
      <c r="A3116" t="str">
        <f>"200493E0100"</f>
        <v>200493E0100</v>
      </c>
      <c r="B3116" t="str">
        <f>"200493E01002"</f>
        <v>200493E01002</v>
      </c>
      <c r="C3116" t="str">
        <f t="shared" si="151"/>
        <v>20</v>
      </c>
      <c r="D3116" t="s">
        <v>67</v>
      </c>
      <c r="E3116" t="str">
        <f t="shared" si="152"/>
        <v>014</v>
      </c>
      <c r="F3116" t="s">
        <v>2914</v>
      </c>
      <c r="G3116" t="str">
        <f t="shared" si="153"/>
        <v>0493</v>
      </c>
      <c r="H3116" t="str">
        <f>"0001"</f>
        <v>0001</v>
      </c>
      <c r="I3116" t="s">
        <v>109</v>
      </c>
      <c r="J3116">
        <v>0</v>
      </c>
      <c r="K3116">
        <v>1</v>
      </c>
      <c r="L3116">
        <v>2</v>
      </c>
      <c r="M3116">
        <v>295</v>
      </c>
      <c r="N3116">
        <v>218</v>
      </c>
      <c r="O3116">
        <v>4</v>
      </c>
      <c r="P3116">
        <v>218</v>
      </c>
      <c r="Q3116">
        <v>16</v>
      </c>
      <c r="R3116">
        <v>42</v>
      </c>
      <c r="S3116">
        <v>1</v>
      </c>
      <c r="T3116">
        <v>3</v>
      </c>
      <c r="U3116">
        <v>9</v>
      </c>
      <c r="V3116">
        <v>4</v>
      </c>
      <c r="W3116">
        <v>4</v>
      </c>
      <c r="X3116">
        <v>108</v>
      </c>
      <c r="Y3116">
        <v>2</v>
      </c>
      <c r="Z3116">
        <v>8</v>
      </c>
      <c r="AA3116">
        <v>4</v>
      </c>
      <c r="AB3116">
        <v>5</v>
      </c>
      <c r="AD3116">
        <v>1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11</v>
      </c>
      <c r="AK3116">
        <v>218</v>
      </c>
      <c r="AL3116">
        <v>218</v>
      </c>
      <c r="AM3116">
        <v>469</v>
      </c>
      <c r="AN3116">
        <v>44</v>
      </c>
      <c r="AP3116">
        <v>1</v>
      </c>
      <c r="AR3116" t="s">
        <v>3211</v>
      </c>
      <c r="AS3116" s="1">
        <v>44354.003472222219</v>
      </c>
      <c r="AT3116" s="1">
        <v>44354.023668981485</v>
      </c>
      <c r="AU3116" s="1">
        <v>44354.024594907409</v>
      </c>
      <c r="AV3116" t="s">
        <v>71</v>
      </c>
      <c r="AW3116" t="s">
        <v>72</v>
      </c>
      <c r="AX3116" t="s">
        <v>73</v>
      </c>
    </row>
    <row r="3117" spans="1:50" x14ac:dyDescent="0.3">
      <c r="A3117" t="str">
        <f>"200493E0101"</f>
        <v>200493E0101</v>
      </c>
      <c r="B3117" t="str">
        <f>"200493E01012"</f>
        <v>200493E01012</v>
      </c>
      <c r="C3117" t="str">
        <f t="shared" si="151"/>
        <v>20</v>
      </c>
      <c r="D3117" t="s">
        <v>67</v>
      </c>
      <c r="E3117" t="str">
        <f t="shared" si="152"/>
        <v>014</v>
      </c>
      <c r="F3117" t="s">
        <v>2914</v>
      </c>
      <c r="G3117" t="str">
        <f t="shared" si="153"/>
        <v>0493</v>
      </c>
      <c r="H3117" t="str">
        <f>"0001"</f>
        <v>0001</v>
      </c>
      <c r="I3117" t="s">
        <v>109</v>
      </c>
      <c r="J3117">
        <v>1</v>
      </c>
      <c r="K3117">
        <v>1</v>
      </c>
      <c r="L3117">
        <v>2</v>
      </c>
      <c r="M3117">
        <v>309</v>
      </c>
      <c r="N3117">
        <v>204</v>
      </c>
      <c r="O3117">
        <v>6</v>
      </c>
      <c r="P3117">
        <v>204</v>
      </c>
      <c r="Q3117">
        <v>9</v>
      </c>
      <c r="R3117">
        <v>39</v>
      </c>
      <c r="S3117">
        <v>1</v>
      </c>
      <c r="T3117">
        <v>5</v>
      </c>
      <c r="U3117">
        <v>3</v>
      </c>
      <c r="V3117">
        <v>4</v>
      </c>
      <c r="W3117">
        <v>3</v>
      </c>
      <c r="X3117">
        <v>116</v>
      </c>
      <c r="Y3117">
        <v>1</v>
      </c>
      <c r="Z3117">
        <v>6</v>
      </c>
      <c r="AA3117">
        <v>2</v>
      </c>
      <c r="AB3117">
        <v>7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1</v>
      </c>
      <c r="AJ3117">
        <v>7</v>
      </c>
      <c r="AK3117">
        <v>204</v>
      </c>
      <c r="AL3117">
        <v>204</v>
      </c>
      <c r="AM3117">
        <v>469</v>
      </c>
      <c r="AN3117">
        <v>44</v>
      </c>
      <c r="AP3117">
        <v>1</v>
      </c>
      <c r="AR3117" t="s">
        <v>3212</v>
      </c>
      <c r="AS3117" s="1">
        <v>44354.011805555558</v>
      </c>
      <c r="AT3117" s="1">
        <v>44354.036215277774</v>
      </c>
      <c r="AU3117" s="1">
        <v>44354.036770833336</v>
      </c>
      <c r="AV3117" t="s">
        <v>71</v>
      </c>
      <c r="AW3117" t="s">
        <v>72</v>
      </c>
      <c r="AX3117" t="s">
        <v>73</v>
      </c>
    </row>
    <row r="3118" spans="1:50" x14ac:dyDescent="0.3">
      <c r="A3118" t="str">
        <f>"200493E0200"</f>
        <v>200493E0200</v>
      </c>
      <c r="B3118" t="str">
        <f>"200493E02002"</f>
        <v>200493E02002</v>
      </c>
      <c r="C3118" t="str">
        <f t="shared" si="151"/>
        <v>20</v>
      </c>
      <c r="D3118" t="s">
        <v>67</v>
      </c>
      <c r="E3118" t="str">
        <f t="shared" si="152"/>
        <v>014</v>
      </c>
      <c r="F3118" t="s">
        <v>2914</v>
      </c>
      <c r="G3118" t="str">
        <f t="shared" si="153"/>
        <v>0493</v>
      </c>
      <c r="H3118" t="str">
        <f>"0002"</f>
        <v>0002</v>
      </c>
      <c r="I3118" t="s">
        <v>109</v>
      </c>
      <c r="J3118">
        <v>0</v>
      </c>
      <c r="K3118">
        <v>1</v>
      </c>
      <c r="L3118">
        <v>2</v>
      </c>
      <c r="M3118">
        <v>442</v>
      </c>
      <c r="N3118">
        <v>318</v>
      </c>
      <c r="O3118">
        <v>8</v>
      </c>
      <c r="P3118">
        <v>318</v>
      </c>
      <c r="Q3118">
        <v>15</v>
      </c>
      <c r="R3118">
        <v>46</v>
      </c>
      <c r="S3118">
        <v>0</v>
      </c>
      <c r="T3118">
        <v>10</v>
      </c>
      <c r="U3118">
        <v>10</v>
      </c>
      <c r="V3118">
        <v>6</v>
      </c>
      <c r="W3118">
        <v>0</v>
      </c>
      <c r="X3118">
        <v>201</v>
      </c>
      <c r="Y3118">
        <v>4</v>
      </c>
      <c r="Z3118">
        <v>10</v>
      </c>
      <c r="AA3118">
        <v>0</v>
      </c>
      <c r="AB3118">
        <v>6</v>
      </c>
      <c r="AD3118">
        <v>2</v>
      </c>
      <c r="AE3118">
        <v>1</v>
      </c>
      <c r="AF3118">
        <v>0</v>
      </c>
      <c r="AG3118">
        <v>0</v>
      </c>
      <c r="AH3118">
        <v>0</v>
      </c>
      <c r="AI3118">
        <v>0</v>
      </c>
      <c r="AJ3118">
        <v>7</v>
      </c>
      <c r="AK3118">
        <v>318</v>
      </c>
      <c r="AL3118">
        <v>318</v>
      </c>
      <c r="AM3118">
        <v>716</v>
      </c>
      <c r="AN3118">
        <v>44</v>
      </c>
      <c r="AP3118">
        <v>1</v>
      </c>
      <c r="AR3118" t="s">
        <v>3213</v>
      </c>
      <c r="AS3118" s="1">
        <v>44354.020138888889</v>
      </c>
      <c r="AT3118" s="1">
        <v>44354.053391203706</v>
      </c>
      <c r="AU3118" s="1">
        <v>44354.054074074076</v>
      </c>
      <c r="AV3118" t="s">
        <v>71</v>
      </c>
      <c r="AW3118" t="s">
        <v>72</v>
      </c>
      <c r="AX3118" t="s">
        <v>73</v>
      </c>
    </row>
    <row r="3119" spans="1:50" x14ac:dyDescent="0.3">
      <c r="A3119" t="str">
        <f>"200493E0300"</f>
        <v>200493E0300</v>
      </c>
      <c r="B3119" t="str">
        <f>"200493E03002"</f>
        <v>200493E03002</v>
      </c>
      <c r="C3119" t="str">
        <f t="shared" si="151"/>
        <v>20</v>
      </c>
      <c r="D3119" t="s">
        <v>67</v>
      </c>
      <c r="E3119" t="str">
        <f t="shared" si="152"/>
        <v>014</v>
      </c>
      <c r="F3119" t="s">
        <v>2914</v>
      </c>
      <c r="G3119" t="str">
        <f t="shared" si="153"/>
        <v>0493</v>
      </c>
      <c r="H3119" t="str">
        <f>"0003"</f>
        <v>0003</v>
      </c>
      <c r="I3119" t="s">
        <v>109</v>
      </c>
      <c r="J3119">
        <v>0</v>
      </c>
      <c r="K3119">
        <v>1</v>
      </c>
      <c r="L3119">
        <v>2</v>
      </c>
      <c r="M3119">
        <v>270</v>
      </c>
      <c r="N3119">
        <v>168</v>
      </c>
      <c r="O3119">
        <v>3</v>
      </c>
      <c r="P3119">
        <v>168</v>
      </c>
      <c r="Q3119">
        <v>5</v>
      </c>
      <c r="R3119">
        <v>23</v>
      </c>
      <c r="S3119">
        <v>4</v>
      </c>
      <c r="T3119">
        <v>5</v>
      </c>
      <c r="U3119">
        <v>8</v>
      </c>
      <c r="V3119">
        <v>1</v>
      </c>
      <c r="W3119">
        <v>5</v>
      </c>
      <c r="X3119">
        <v>86</v>
      </c>
      <c r="Y3119">
        <v>3</v>
      </c>
      <c r="Z3119">
        <v>10</v>
      </c>
      <c r="AA3119">
        <v>2</v>
      </c>
      <c r="AB3119">
        <v>5</v>
      </c>
      <c r="AD3119">
        <v>0</v>
      </c>
      <c r="AE3119">
        <v>0</v>
      </c>
      <c r="AF3119">
        <v>1</v>
      </c>
      <c r="AG3119">
        <v>0</v>
      </c>
      <c r="AH3119">
        <v>1</v>
      </c>
      <c r="AI3119">
        <v>0</v>
      </c>
      <c r="AJ3119">
        <v>9</v>
      </c>
      <c r="AK3119">
        <v>168</v>
      </c>
      <c r="AL3119">
        <v>168</v>
      </c>
      <c r="AM3119">
        <v>394</v>
      </c>
      <c r="AN3119">
        <v>44</v>
      </c>
      <c r="AP3119">
        <v>1</v>
      </c>
      <c r="AR3119" t="s">
        <v>3214</v>
      </c>
      <c r="AS3119" s="1">
        <v>44353.833333333336</v>
      </c>
      <c r="AT3119" s="1">
        <v>44354.028136574074</v>
      </c>
      <c r="AU3119" s="1">
        <v>44354.029618055552</v>
      </c>
      <c r="AV3119" t="s">
        <v>71</v>
      </c>
      <c r="AW3119" t="s">
        <v>72</v>
      </c>
      <c r="AX3119" t="s">
        <v>73</v>
      </c>
    </row>
    <row r="3120" spans="1:50" x14ac:dyDescent="0.3">
      <c r="A3120" t="str">
        <f>"200493E0301"</f>
        <v>200493E0301</v>
      </c>
      <c r="B3120" t="str">
        <f>"200493E03012"</f>
        <v>200493E03012</v>
      </c>
      <c r="C3120" t="str">
        <f t="shared" si="151"/>
        <v>20</v>
      </c>
      <c r="D3120" t="s">
        <v>67</v>
      </c>
      <c r="E3120" t="str">
        <f t="shared" si="152"/>
        <v>014</v>
      </c>
      <c r="F3120" t="s">
        <v>2914</v>
      </c>
      <c r="G3120" t="str">
        <f t="shared" si="153"/>
        <v>0493</v>
      </c>
      <c r="H3120" t="str">
        <f>"0003"</f>
        <v>0003</v>
      </c>
      <c r="I3120" t="s">
        <v>109</v>
      </c>
      <c r="J3120">
        <v>1</v>
      </c>
      <c r="K3120">
        <v>1</v>
      </c>
      <c r="L3120">
        <v>2</v>
      </c>
      <c r="M3120">
        <v>252</v>
      </c>
      <c r="N3120">
        <v>185</v>
      </c>
      <c r="O3120">
        <v>5</v>
      </c>
      <c r="P3120">
        <v>185</v>
      </c>
      <c r="Q3120">
        <v>4</v>
      </c>
      <c r="R3120">
        <v>19</v>
      </c>
      <c r="S3120">
        <v>1</v>
      </c>
      <c r="T3120">
        <v>6</v>
      </c>
      <c r="U3120">
        <v>4</v>
      </c>
      <c r="V3120">
        <v>3</v>
      </c>
      <c r="W3120">
        <v>1</v>
      </c>
      <c r="X3120">
        <v>115</v>
      </c>
      <c r="Y3120">
        <v>1</v>
      </c>
      <c r="Z3120">
        <v>7</v>
      </c>
      <c r="AA3120">
        <v>1</v>
      </c>
      <c r="AB3120">
        <v>9</v>
      </c>
      <c r="AD3120">
        <v>1</v>
      </c>
      <c r="AE3120" t="s">
        <v>77</v>
      </c>
      <c r="AF3120" t="s">
        <v>77</v>
      </c>
      <c r="AG3120" t="s">
        <v>77</v>
      </c>
      <c r="AH3120" t="s">
        <v>77</v>
      </c>
      <c r="AI3120" t="s">
        <v>77</v>
      </c>
      <c r="AJ3120">
        <v>13</v>
      </c>
      <c r="AK3120">
        <v>185</v>
      </c>
      <c r="AL3120">
        <v>185</v>
      </c>
      <c r="AM3120">
        <v>393</v>
      </c>
      <c r="AN3120">
        <v>44</v>
      </c>
      <c r="AO3120" t="s">
        <v>78</v>
      </c>
      <c r="AP3120">
        <v>1</v>
      </c>
      <c r="AR3120" t="s">
        <v>3215</v>
      </c>
      <c r="AS3120" s="1">
        <v>44354.017361111109</v>
      </c>
      <c r="AT3120" s="1">
        <v>44354.051412037035</v>
      </c>
      <c r="AU3120" s="1">
        <v>44354.052071759259</v>
      </c>
      <c r="AV3120" t="s">
        <v>71</v>
      </c>
      <c r="AW3120" t="s">
        <v>72</v>
      </c>
      <c r="AX3120" t="s">
        <v>73</v>
      </c>
    </row>
    <row r="3121" spans="1:50" x14ac:dyDescent="0.3">
      <c r="A3121" t="str">
        <f>"200494B0000"</f>
        <v>200494B0000</v>
      </c>
      <c r="B3121" t="str">
        <f>"200494B00002"</f>
        <v>200494B00002</v>
      </c>
      <c r="C3121" t="str">
        <f t="shared" si="151"/>
        <v>20</v>
      </c>
      <c r="D3121" t="s">
        <v>67</v>
      </c>
      <c r="E3121" t="str">
        <f t="shared" si="152"/>
        <v>014</v>
      </c>
      <c r="F3121" t="s">
        <v>2914</v>
      </c>
      <c r="G3121" t="str">
        <f>"0494"</f>
        <v>0494</v>
      </c>
      <c r="H3121" t="str">
        <f>"0000"</f>
        <v>0000</v>
      </c>
      <c r="I3121" t="s">
        <v>69</v>
      </c>
      <c r="J3121">
        <v>0</v>
      </c>
      <c r="K3121">
        <v>1</v>
      </c>
      <c r="L3121">
        <v>2</v>
      </c>
      <c r="M3121">
        <v>386</v>
      </c>
      <c r="N3121">
        <v>330</v>
      </c>
      <c r="O3121">
        <v>7</v>
      </c>
      <c r="P3121">
        <v>330</v>
      </c>
      <c r="Q3121">
        <v>23</v>
      </c>
      <c r="R3121">
        <v>52</v>
      </c>
      <c r="S3121">
        <v>2</v>
      </c>
      <c r="T3121">
        <v>6</v>
      </c>
      <c r="U3121">
        <v>11</v>
      </c>
      <c r="V3121">
        <v>14</v>
      </c>
      <c r="W3121">
        <v>4</v>
      </c>
      <c r="X3121">
        <v>177</v>
      </c>
      <c r="Y3121">
        <v>5</v>
      </c>
      <c r="Z3121">
        <v>7</v>
      </c>
      <c r="AA3121">
        <v>3</v>
      </c>
      <c r="AB3121">
        <v>8</v>
      </c>
      <c r="AD3121">
        <v>4</v>
      </c>
      <c r="AE3121">
        <v>1</v>
      </c>
      <c r="AF3121">
        <v>0</v>
      </c>
      <c r="AG3121">
        <v>0</v>
      </c>
      <c r="AH3121">
        <v>0</v>
      </c>
      <c r="AI3121">
        <v>0</v>
      </c>
      <c r="AJ3121">
        <v>13</v>
      </c>
      <c r="AK3121">
        <v>330</v>
      </c>
      <c r="AL3121">
        <v>330</v>
      </c>
      <c r="AM3121">
        <v>672</v>
      </c>
      <c r="AN3121">
        <v>44</v>
      </c>
      <c r="AP3121">
        <v>1</v>
      </c>
      <c r="AR3121" t="s">
        <v>3216</v>
      </c>
      <c r="AS3121" s="1">
        <v>44354.1875</v>
      </c>
      <c r="AT3121" s="1">
        <v>44354.190069444441</v>
      </c>
      <c r="AU3121" s="1">
        <v>44354.190798611111</v>
      </c>
      <c r="AV3121" t="s">
        <v>71</v>
      </c>
      <c r="AW3121" t="s">
        <v>72</v>
      </c>
      <c r="AX3121" t="s">
        <v>73</v>
      </c>
    </row>
    <row r="3122" spans="1:50" x14ac:dyDescent="0.3">
      <c r="A3122" t="str">
        <f>"200494C0100"</f>
        <v>200494C0100</v>
      </c>
      <c r="B3122" t="str">
        <f>"200494C01002"</f>
        <v>200494C01002</v>
      </c>
      <c r="C3122" t="str">
        <f t="shared" si="151"/>
        <v>20</v>
      </c>
      <c r="D3122" t="s">
        <v>67</v>
      </c>
      <c r="E3122" t="str">
        <f t="shared" si="152"/>
        <v>014</v>
      </c>
      <c r="F3122" t="s">
        <v>2914</v>
      </c>
      <c r="G3122" t="str">
        <f>"0494"</f>
        <v>0494</v>
      </c>
      <c r="H3122" t="str">
        <f>"0001"</f>
        <v>0001</v>
      </c>
      <c r="I3122" t="s">
        <v>75</v>
      </c>
      <c r="J3122">
        <v>0</v>
      </c>
      <c r="K3122">
        <v>1</v>
      </c>
      <c r="L3122">
        <v>2</v>
      </c>
      <c r="M3122">
        <v>396</v>
      </c>
      <c r="N3122">
        <v>319</v>
      </c>
      <c r="O3122">
        <v>2</v>
      </c>
      <c r="P3122">
        <v>319</v>
      </c>
      <c r="Q3122">
        <v>15</v>
      </c>
      <c r="R3122">
        <v>41</v>
      </c>
      <c r="S3122">
        <v>2</v>
      </c>
      <c r="T3122">
        <v>8</v>
      </c>
      <c r="U3122">
        <v>8</v>
      </c>
      <c r="V3122">
        <v>6</v>
      </c>
      <c r="W3122">
        <v>2</v>
      </c>
      <c r="X3122">
        <v>201</v>
      </c>
      <c r="Y3122">
        <v>2</v>
      </c>
      <c r="Z3122">
        <v>9</v>
      </c>
      <c r="AA3122">
        <v>3</v>
      </c>
      <c r="AB3122">
        <v>10</v>
      </c>
      <c r="AD3122">
        <v>2</v>
      </c>
      <c r="AE3122">
        <v>1</v>
      </c>
      <c r="AF3122">
        <v>0</v>
      </c>
      <c r="AG3122">
        <v>0</v>
      </c>
      <c r="AH3122">
        <v>0</v>
      </c>
      <c r="AI3122">
        <v>0</v>
      </c>
      <c r="AJ3122">
        <v>9</v>
      </c>
      <c r="AK3122">
        <v>319</v>
      </c>
      <c r="AL3122">
        <v>319</v>
      </c>
      <c r="AM3122">
        <v>672</v>
      </c>
      <c r="AN3122">
        <v>44</v>
      </c>
      <c r="AP3122">
        <v>1</v>
      </c>
      <c r="AR3122" t="s">
        <v>3217</v>
      </c>
      <c r="AS3122" s="1">
        <v>44354.186805555553</v>
      </c>
      <c r="AT3122" s="1">
        <v>44354.188784722224</v>
      </c>
      <c r="AU3122" s="1">
        <v>44354.190023148149</v>
      </c>
      <c r="AV3122" t="s">
        <v>71</v>
      </c>
      <c r="AW3122" t="s">
        <v>72</v>
      </c>
      <c r="AX3122" t="s">
        <v>73</v>
      </c>
    </row>
    <row r="3123" spans="1:50" x14ac:dyDescent="0.3">
      <c r="A3123" t="str">
        <f>"200494C0200"</f>
        <v>200494C0200</v>
      </c>
      <c r="B3123" t="str">
        <f>"200494C02002"</f>
        <v>200494C02002</v>
      </c>
      <c r="C3123" t="str">
        <f t="shared" si="151"/>
        <v>20</v>
      </c>
      <c r="D3123" t="s">
        <v>67</v>
      </c>
      <c r="E3123" t="str">
        <f t="shared" si="152"/>
        <v>014</v>
      </c>
      <c r="F3123" t="s">
        <v>2914</v>
      </c>
      <c r="G3123" t="str">
        <f>"0494"</f>
        <v>0494</v>
      </c>
      <c r="H3123" t="str">
        <f>"0002"</f>
        <v>0002</v>
      </c>
      <c r="I3123" t="s">
        <v>75</v>
      </c>
      <c r="J3123">
        <v>0</v>
      </c>
      <c r="K3123">
        <v>1</v>
      </c>
      <c r="L3123">
        <v>2</v>
      </c>
      <c r="M3123">
        <v>409</v>
      </c>
      <c r="N3123">
        <v>306</v>
      </c>
      <c r="O3123">
        <v>8</v>
      </c>
      <c r="P3123">
        <v>306</v>
      </c>
      <c r="Q3123">
        <v>10</v>
      </c>
      <c r="R3123">
        <v>50</v>
      </c>
      <c r="S3123">
        <v>3</v>
      </c>
      <c r="T3123">
        <v>17</v>
      </c>
      <c r="U3123">
        <v>11</v>
      </c>
      <c r="V3123">
        <v>4</v>
      </c>
      <c r="W3123">
        <v>5</v>
      </c>
      <c r="X3123">
        <v>163</v>
      </c>
      <c r="Y3123">
        <v>9</v>
      </c>
      <c r="Z3123">
        <v>9</v>
      </c>
      <c r="AA3123">
        <v>4</v>
      </c>
      <c r="AB3123">
        <v>9</v>
      </c>
      <c r="AD3123">
        <v>2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10</v>
      </c>
      <c r="AK3123">
        <v>306</v>
      </c>
      <c r="AL3123">
        <v>306</v>
      </c>
      <c r="AM3123">
        <v>671</v>
      </c>
      <c r="AN3123">
        <v>44</v>
      </c>
      <c r="AP3123">
        <v>1</v>
      </c>
      <c r="AR3123" t="s">
        <v>3218</v>
      </c>
      <c r="AS3123" s="1">
        <v>44354.006249999999</v>
      </c>
      <c r="AT3123" s="1">
        <v>44354.028321759259</v>
      </c>
      <c r="AU3123" s="1">
        <v>44354.028634259259</v>
      </c>
      <c r="AV3123" t="s">
        <v>71</v>
      </c>
      <c r="AW3123" t="s">
        <v>72</v>
      </c>
      <c r="AX3123" t="s">
        <v>73</v>
      </c>
    </row>
    <row r="3124" spans="1:50" x14ac:dyDescent="0.3">
      <c r="A3124" t="str">
        <f>"200495B0000"</f>
        <v>200495B0000</v>
      </c>
      <c r="B3124" t="str">
        <f>"200495B00002"</f>
        <v>200495B00002</v>
      </c>
      <c r="C3124" t="str">
        <f t="shared" si="151"/>
        <v>20</v>
      </c>
      <c r="D3124" t="s">
        <v>67</v>
      </c>
      <c r="E3124" t="str">
        <f t="shared" si="152"/>
        <v>014</v>
      </c>
      <c r="F3124" t="s">
        <v>2914</v>
      </c>
      <c r="G3124" t="str">
        <f>"0495"</f>
        <v>0495</v>
      </c>
      <c r="H3124" t="str">
        <f>"0000"</f>
        <v>0000</v>
      </c>
      <c r="I3124" t="s">
        <v>69</v>
      </c>
      <c r="J3124">
        <v>0</v>
      </c>
      <c r="K3124">
        <v>1</v>
      </c>
      <c r="L3124">
        <v>2</v>
      </c>
      <c r="M3124">
        <v>330</v>
      </c>
      <c r="N3124">
        <v>323</v>
      </c>
      <c r="O3124">
        <v>6</v>
      </c>
      <c r="P3124">
        <v>323</v>
      </c>
      <c r="Q3124">
        <v>7</v>
      </c>
      <c r="R3124">
        <v>65</v>
      </c>
      <c r="S3124">
        <v>6</v>
      </c>
      <c r="T3124">
        <v>16</v>
      </c>
      <c r="U3124">
        <v>12</v>
      </c>
      <c r="V3124">
        <v>6</v>
      </c>
      <c r="W3124">
        <v>6</v>
      </c>
      <c r="X3124">
        <v>170</v>
      </c>
      <c r="Y3124">
        <v>5</v>
      </c>
      <c r="Z3124">
        <v>3</v>
      </c>
      <c r="AA3124">
        <v>3</v>
      </c>
      <c r="AB3124">
        <v>12</v>
      </c>
      <c r="AD3124">
        <v>2</v>
      </c>
      <c r="AE3124">
        <v>1</v>
      </c>
      <c r="AF3124">
        <v>0</v>
      </c>
      <c r="AG3124">
        <v>0</v>
      </c>
      <c r="AH3124">
        <v>0</v>
      </c>
      <c r="AI3124">
        <v>0</v>
      </c>
      <c r="AJ3124">
        <v>9</v>
      </c>
      <c r="AK3124">
        <v>323</v>
      </c>
      <c r="AL3124">
        <v>323</v>
      </c>
      <c r="AM3124">
        <v>609</v>
      </c>
      <c r="AN3124">
        <v>44</v>
      </c>
      <c r="AP3124">
        <v>1</v>
      </c>
      <c r="AR3124" t="s">
        <v>3219</v>
      </c>
      <c r="AS3124" s="1">
        <v>44354.020833333336</v>
      </c>
      <c r="AT3124" s="1">
        <v>44354.06045138889</v>
      </c>
      <c r="AU3124" s="1">
        <v>44354.062557870369</v>
      </c>
      <c r="AV3124" t="s">
        <v>71</v>
      </c>
      <c r="AW3124" t="s">
        <v>72</v>
      </c>
      <c r="AX3124" t="s">
        <v>73</v>
      </c>
    </row>
    <row r="3125" spans="1:50" x14ac:dyDescent="0.3">
      <c r="A3125" t="str">
        <f>"200495C0100"</f>
        <v>200495C0100</v>
      </c>
      <c r="B3125" t="str">
        <f>"200495C01002"</f>
        <v>200495C01002</v>
      </c>
      <c r="C3125" t="str">
        <f t="shared" si="151"/>
        <v>20</v>
      </c>
      <c r="D3125" t="s">
        <v>67</v>
      </c>
      <c r="E3125" t="str">
        <f t="shared" si="152"/>
        <v>014</v>
      </c>
      <c r="F3125" t="s">
        <v>2914</v>
      </c>
      <c r="G3125" t="str">
        <f>"0495"</f>
        <v>0495</v>
      </c>
      <c r="H3125" t="str">
        <f>"0001"</f>
        <v>0001</v>
      </c>
      <c r="I3125" t="s">
        <v>75</v>
      </c>
      <c r="J3125">
        <v>0</v>
      </c>
      <c r="K3125">
        <v>1</v>
      </c>
      <c r="L3125">
        <v>2</v>
      </c>
      <c r="M3125">
        <v>331</v>
      </c>
      <c r="N3125">
        <v>321</v>
      </c>
      <c r="O3125">
        <v>5</v>
      </c>
      <c r="P3125">
        <v>321</v>
      </c>
      <c r="Q3125">
        <v>15</v>
      </c>
      <c r="R3125">
        <v>59</v>
      </c>
      <c r="S3125">
        <v>3</v>
      </c>
      <c r="T3125">
        <v>9</v>
      </c>
      <c r="U3125">
        <v>8</v>
      </c>
      <c r="V3125">
        <v>11</v>
      </c>
      <c r="W3125">
        <v>8</v>
      </c>
      <c r="X3125">
        <v>178</v>
      </c>
      <c r="Y3125">
        <v>3</v>
      </c>
      <c r="Z3125">
        <v>5</v>
      </c>
      <c r="AA3125">
        <v>2</v>
      </c>
      <c r="AB3125">
        <v>11</v>
      </c>
      <c r="AD3125">
        <v>2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7</v>
      </c>
      <c r="AK3125">
        <v>321</v>
      </c>
      <c r="AL3125">
        <v>321</v>
      </c>
      <c r="AM3125">
        <v>608</v>
      </c>
      <c r="AN3125">
        <v>44</v>
      </c>
      <c r="AP3125">
        <v>1</v>
      </c>
      <c r="AR3125" t="s">
        <v>3220</v>
      </c>
      <c r="AS3125" s="1">
        <v>44354.020833333336</v>
      </c>
      <c r="AT3125" s="1">
        <v>44354.029293981483</v>
      </c>
      <c r="AU3125" s="1">
        <v>44354.029756944445</v>
      </c>
      <c r="AV3125" t="s">
        <v>71</v>
      </c>
      <c r="AW3125" t="s">
        <v>72</v>
      </c>
      <c r="AX3125" t="s">
        <v>73</v>
      </c>
    </row>
    <row r="3126" spans="1:50" x14ac:dyDescent="0.3">
      <c r="A3126" t="str">
        <f>"200495C0200"</f>
        <v>200495C0200</v>
      </c>
      <c r="B3126" t="str">
        <f>"200495C02002"</f>
        <v>200495C02002</v>
      </c>
      <c r="C3126" t="str">
        <f t="shared" si="151"/>
        <v>20</v>
      </c>
      <c r="D3126" t="s">
        <v>67</v>
      </c>
      <c r="E3126" t="str">
        <f t="shared" si="152"/>
        <v>014</v>
      </c>
      <c r="F3126" t="s">
        <v>2914</v>
      </c>
      <c r="G3126" t="str">
        <f>"0495"</f>
        <v>0495</v>
      </c>
      <c r="H3126" t="str">
        <f>"0002"</f>
        <v>0002</v>
      </c>
      <c r="I3126" t="s">
        <v>75</v>
      </c>
      <c r="J3126">
        <v>0</v>
      </c>
      <c r="K3126">
        <v>1</v>
      </c>
      <c r="L3126">
        <v>2</v>
      </c>
      <c r="M3126">
        <v>356</v>
      </c>
      <c r="N3126">
        <v>296</v>
      </c>
      <c r="O3126">
        <v>4</v>
      </c>
      <c r="P3126">
        <v>296</v>
      </c>
      <c r="Q3126">
        <v>11</v>
      </c>
      <c r="R3126">
        <v>45</v>
      </c>
      <c r="S3126">
        <v>1</v>
      </c>
      <c r="T3126">
        <v>18</v>
      </c>
      <c r="U3126">
        <v>8</v>
      </c>
      <c r="V3126">
        <v>9</v>
      </c>
      <c r="W3126">
        <v>5</v>
      </c>
      <c r="X3126">
        <v>154</v>
      </c>
      <c r="Y3126">
        <v>8</v>
      </c>
      <c r="Z3126">
        <v>2</v>
      </c>
      <c r="AA3126">
        <v>5</v>
      </c>
      <c r="AB3126">
        <v>10</v>
      </c>
      <c r="AD3126">
        <v>1</v>
      </c>
      <c r="AE3126">
        <v>1</v>
      </c>
      <c r="AF3126">
        <v>1</v>
      </c>
      <c r="AG3126">
        <v>0</v>
      </c>
      <c r="AH3126">
        <v>0</v>
      </c>
      <c r="AI3126">
        <v>0</v>
      </c>
      <c r="AJ3126">
        <v>18</v>
      </c>
      <c r="AK3126">
        <v>296</v>
      </c>
      <c r="AL3126">
        <v>297</v>
      </c>
      <c r="AM3126">
        <v>608</v>
      </c>
      <c r="AN3126">
        <v>44</v>
      </c>
      <c r="AP3126">
        <v>1</v>
      </c>
      <c r="AR3126" t="s">
        <v>3221</v>
      </c>
      <c r="AS3126" s="1">
        <v>44354.006944444445</v>
      </c>
      <c r="AT3126" s="1">
        <v>44354.032511574071</v>
      </c>
      <c r="AU3126" s="1">
        <v>44354.033125000002</v>
      </c>
      <c r="AV3126" t="s">
        <v>71</v>
      </c>
      <c r="AW3126" t="s">
        <v>72</v>
      </c>
      <c r="AX3126" t="s">
        <v>73</v>
      </c>
    </row>
    <row r="3127" spans="1:50" x14ac:dyDescent="0.3">
      <c r="A3127" t="str">
        <f>"200496B0000"</f>
        <v>200496B0000</v>
      </c>
      <c r="B3127" t="str">
        <f>"200496B00002"</f>
        <v>200496B00002</v>
      </c>
      <c r="C3127" t="str">
        <f t="shared" si="151"/>
        <v>20</v>
      </c>
      <c r="D3127" t="s">
        <v>67</v>
      </c>
      <c r="E3127" t="str">
        <f t="shared" si="152"/>
        <v>014</v>
      </c>
      <c r="F3127" t="s">
        <v>2914</v>
      </c>
      <c r="G3127" t="str">
        <f>"0496"</f>
        <v>0496</v>
      </c>
      <c r="H3127" t="str">
        <f>"0000"</f>
        <v>0000</v>
      </c>
      <c r="I3127" t="s">
        <v>69</v>
      </c>
      <c r="J3127">
        <v>0</v>
      </c>
      <c r="K3127">
        <v>1</v>
      </c>
      <c r="L3127">
        <v>2</v>
      </c>
      <c r="M3127">
        <v>358</v>
      </c>
      <c r="N3127">
        <v>350</v>
      </c>
      <c r="O3127">
        <v>7</v>
      </c>
      <c r="P3127">
        <v>350</v>
      </c>
      <c r="Q3127">
        <v>24</v>
      </c>
      <c r="R3127">
        <v>56</v>
      </c>
      <c r="S3127">
        <v>1</v>
      </c>
      <c r="T3127">
        <v>9</v>
      </c>
      <c r="U3127">
        <v>15</v>
      </c>
      <c r="V3127">
        <v>7</v>
      </c>
      <c r="W3127">
        <v>2</v>
      </c>
      <c r="X3127">
        <v>187</v>
      </c>
      <c r="Y3127">
        <v>2</v>
      </c>
      <c r="Z3127">
        <v>4</v>
      </c>
      <c r="AA3127">
        <v>8</v>
      </c>
      <c r="AB3127">
        <v>12</v>
      </c>
      <c r="AD3127">
        <v>3</v>
      </c>
      <c r="AE3127">
        <v>1</v>
      </c>
      <c r="AF3127">
        <v>0</v>
      </c>
      <c r="AG3127">
        <v>0</v>
      </c>
      <c r="AH3127">
        <v>0</v>
      </c>
      <c r="AI3127">
        <v>0</v>
      </c>
      <c r="AJ3127">
        <v>19</v>
      </c>
      <c r="AK3127">
        <v>350</v>
      </c>
      <c r="AL3127">
        <v>350</v>
      </c>
      <c r="AM3127">
        <v>663</v>
      </c>
      <c r="AN3127">
        <v>44</v>
      </c>
      <c r="AP3127">
        <v>1</v>
      </c>
      <c r="AR3127" t="s">
        <v>3222</v>
      </c>
      <c r="AS3127" s="1">
        <v>44354.115972222222</v>
      </c>
      <c r="AT3127" s="1">
        <v>44354.11891203704</v>
      </c>
      <c r="AU3127" s="1">
        <v>44354.11954861111</v>
      </c>
      <c r="AV3127" t="s">
        <v>71</v>
      </c>
      <c r="AW3127" t="s">
        <v>72</v>
      </c>
      <c r="AX3127" t="s">
        <v>73</v>
      </c>
    </row>
    <row r="3128" spans="1:50" x14ac:dyDescent="0.3">
      <c r="A3128" t="str">
        <f>"200496C0100"</f>
        <v>200496C0100</v>
      </c>
      <c r="B3128" t="str">
        <f>"200496C01002"</f>
        <v>200496C01002</v>
      </c>
      <c r="C3128" t="str">
        <f t="shared" si="151"/>
        <v>20</v>
      </c>
      <c r="D3128" t="s">
        <v>67</v>
      </c>
      <c r="E3128" t="str">
        <f t="shared" si="152"/>
        <v>014</v>
      </c>
      <c r="F3128" t="s">
        <v>2914</v>
      </c>
      <c r="G3128" t="str">
        <f>"0496"</f>
        <v>0496</v>
      </c>
      <c r="H3128" t="str">
        <f>"0001"</f>
        <v>0001</v>
      </c>
      <c r="I3128" t="s">
        <v>75</v>
      </c>
      <c r="J3128">
        <v>0</v>
      </c>
      <c r="K3128">
        <v>1</v>
      </c>
      <c r="L3128">
        <v>2</v>
      </c>
      <c r="M3128">
        <v>361</v>
      </c>
      <c r="N3128">
        <v>346</v>
      </c>
      <c r="O3128">
        <v>8</v>
      </c>
      <c r="P3128">
        <v>346</v>
      </c>
      <c r="Q3128">
        <v>33</v>
      </c>
      <c r="R3128">
        <v>39</v>
      </c>
      <c r="S3128">
        <v>4</v>
      </c>
      <c r="T3128">
        <v>7</v>
      </c>
      <c r="U3128">
        <v>15</v>
      </c>
      <c r="V3128">
        <v>10</v>
      </c>
      <c r="W3128">
        <v>1</v>
      </c>
      <c r="X3128">
        <v>211</v>
      </c>
      <c r="Y3128">
        <v>6</v>
      </c>
      <c r="Z3128">
        <v>5</v>
      </c>
      <c r="AA3128">
        <v>6</v>
      </c>
      <c r="AB3128">
        <v>6</v>
      </c>
      <c r="AD3128">
        <v>1</v>
      </c>
      <c r="AE3128">
        <v>1</v>
      </c>
      <c r="AF3128">
        <v>0</v>
      </c>
      <c r="AG3128">
        <v>0</v>
      </c>
      <c r="AH3128">
        <v>1</v>
      </c>
      <c r="AI3128">
        <v>0</v>
      </c>
      <c r="AJ3128">
        <v>0</v>
      </c>
      <c r="AK3128">
        <v>346</v>
      </c>
      <c r="AL3128">
        <v>346</v>
      </c>
      <c r="AM3128">
        <v>663</v>
      </c>
      <c r="AN3128">
        <v>44</v>
      </c>
      <c r="AP3128">
        <v>1</v>
      </c>
      <c r="AR3128" t="s">
        <v>3223</v>
      </c>
      <c r="AS3128" s="1">
        <v>44354.086111111108</v>
      </c>
      <c r="AT3128" s="1">
        <v>44354.096747685187</v>
      </c>
      <c r="AU3128" s="1">
        <v>44354.097291666665</v>
      </c>
      <c r="AV3128" t="s">
        <v>71</v>
      </c>
      <c r="AW3128" t="s">
        <v>72</v>
      </c>
      <c r="AX3128" t="s">
        <v>73</v>
      </c>
    </row>
    <row r="3129" spans="1:50" x14ac:dyDescent="0.3">
      <c r="A3129" t="str">
        <f>"200497B0000"</f>
        <v>200497B0000</v>
      </c>
      <c r="B3129" t="str">
        <f>"200497B00002"</f>
        <v>200497B00002</v>
      </c>
      <c r="C3129" t="str">
        <f t="shared" si="151"/>
        <v>20</v>
      </c>
      <c r="D3129" t="s">
        <v>67</v>
      </c>
      <c r="E3129" t="str">
        <f t="shared" si="152"/>
        <v>014</v>
      </c>
      <c r="F3129" t="s">
        <v>2914</v>
      </c>
      <c r="G3129" t="str">
        <f>"0497"</f>
        <v>0497</v>
      </c>
      <c r="H3129" t="str">
        <f>"0000"</f>
        <v>0000</v>
      </c>
      <c r="I3129" t="s">
        <v>69</v>
      </c>
      <c r="J3129">
        <v>0</v>
      </c>
      <c r="K3129">
        <v>1</v>
      </c>
      <c r="L3129">
        <v>2</v>
      </c>
      <c r="M3129">
        <v>336</v>
      </c>
      <c r="N3129">
        <v>355</v>
      </c>
      <c r="O3129">
        <v>7</v>
      </c>
      <c r="P3129">
        <v>355</v>
      </c>
      <c r="Q3129">
        <v>25</v>
      </c>
      <c r="R3129">
        <v>70</v>
      </c>
      <c r="S3129">
        <v>2</v>
      </c>
      <c r="T3129">
        <v>16</v>
      </c>
      <c r="U3129">
        <v>11</v>
      </c>
      <c r="V3129">
        <v>8</v>
      </c>
      <c r="W3129">
        <v>3</v>
      </c>
      <c r="X3129">
        <v>174</v>
      </c>
      <c r="Y3129">
        <v>9</v>
      </c>
      <c r="Z3129">
        <v>5</v>
      </c>
      <c r="AA3129">
        <v>4</v>
      </c>
      <c r="AB3129">
        <v>20</v>
      </c>
      <c r="AD3129" t="s">
        <v>77</v>
      </c>
      <c r="AE3129" t="s">
        <v>77</v>
      </c>
      <c r="AF3129" t="s">
        <v>77</v>
      </c>
      <c r="AG3129" t="s">
        <v>77</v>
      </c>
      <c r="AH3129" t="s">
        <v>77</v>
      </c>
      <c r="AI3129" t="s">
        <v>77</v>
      </c>
      <c r="AJ3129">
        <v>8</v>
      </c>
      <c r="AK3129">
        <v>355</v>
      </c>
      <c r="AL3129">
        <v>355</v>
      </c>
      <c r="AM3129">
        <v>647</v>
      </c>
      <c r="AN3129">
        <v>44</v>
      </c>
      <c r="AO3129" t="s">
        <v>78</v>
      </c>
      <c r="AP3129">
        <v>1</v>
      </c>
      <c r="AR3129" t="s">
        <v>3224</v>
      </c>
      <c r="AS3129" s="1">
        <v>44354.0625</v>
      </c>
      <c r="AT3129" s="1">
        <v>44354.077094907407</v>
      </c>
      <c r="AU3129" s="1">
        <v>44354.077604166669</v>
      </c>
      <c r="AV3129" t="s">
        <v>71</v>
      </c>
      <c r="AW3129" t="s">
        <v>72</v>
      </c>
      <c r="AX3129" t="s">
        <v>73</v>
      </c>
    </row>
    <row r="3130" spans="1:50" x14ac:dyDescent="0.3">
      <c r="A3130" t="str">
        <f>"200497C0100"</f>
        <v>200497C0100</v>
      </c>
      <c r="B3130" t="str">
        <f>"200497C01002"</f>
        <v>200497C01002</v>
      </c>
      <c r="C3130" t="str">
        <f t="shared" si="151"/>
        <v>20</v>
      </c>
      <c r="D3130" t="s">
        <v>67</v>
      </c>
      <c r="E3130" t="str">
        <f t="shared" si="152"/>
        <v>014</v>
      </c>
      <c r="F3130" t="s">
        <v>2914</v>
      </c>
      <c r="G3130" t="str">
        <f>"0497"</f>
        <v>0497</v>
      </c>
      <c r="H3130" t="str">
        <f>"0001"</f>
        <v>0001</v>
      </c>
      <c r="I3130" t="s">
        <v>75</v>
      </c>
      <c r="J3130">
        <v>0</v>
      </c>
      <c r="K3130">
        <v>1</v>
      </c>
      <c r="L3130">
        <v>2</v>
      </c>
      <c r="M3130">
        <v>329</v>
      </c>
      <c r="N3130">
        <v>361</v>
      </c>
      <c r="O3130">
        <v>13</v>
      </c>
      <c r="P3130">
        <v>361</v>
      </c>
      <c r="Q3130">
        <v>23</v>
      </c>
      <c r="R3130">
        <v>43</v>
      </c>
      <c r="S3130">
        <v>4</v>
      </c>
      <c r="T3130">
        <v>10</v>
      </c>
      <c r="U3130">
        <v>9</v>
      </c>
      <c r="V3130">
        <v>11</v>
      </c>
      <c r="W3130">
        <v>7</v>
      </c>
      <c r="X3130">
        <v>217</v>
      </c>
      <c r="Y3130">
        <v>7</v>
      </c>
      <c r="Z3130">
        <v>6</v>
      </c>
      <c r="AA3130">
        <v>3</v>
      </c>
      <c r="AB3130">
        <v>14</v>
      </c>
      <c r="AD3130">
        <v>2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5</v>
      </c>
      <c r="AK3130">
        <v>361</v>
      </c>
      <c r="AL3130">
        <v>361</v>
      </c>
      <c r="AM3130">
        <v>646</v>
      </c>
      <c r="AN3130">
        <v>44</v>
      </c>
      <c r="AP3130">
        <v>1</v>
      </c>
      <c r="AR3130" t="s">
        <v>3225</v>
      </c>
      <c r="AS3130" s="1">
        <v>44354.0625</v>
      </c>
      <c r="AT3130" s="1">
        <v>44354.077534722222</v>
      </c>
      <c r="AU3130" s="1">
        <v>44354.078206018516</v>
      </c>
      <c r="AV3130" t="s">
        <v>71</v>
      </c>
      <c r="AW3130" t="s">
        <v>72</v>
      </c>
      <c r="AX3130" t="s">
        <v>73</v>
      </c>
    </row>
    <row r="3131" spans="1:50" x14ac:dyDescent="0.3">
      <c r="A3131" t="str">
        <f>"200498B0000"</f>
        <v>200498B0000</v>
      </c>
      <c r="B3131" t="str">
        <f>"200498B00002"</f>
        <v>200498B00002</v>
      </c>
      <c r="C3131" t="str">
        <f t="shared" si="151"/>
        <v>20</v>
      </c>
      <c r="D3131" t="s">
        <v>67</v>
      </c>
      <c r="E3131" t="str">
        <f t="shared" si="152"/>
        <v>014</v>
      </c>
      <c r="F3131" t="s">
        <v>2914</v>
      </c>
      <c r="G3131" t="str">
        <f>"0498"</f>
        <v>0498</v>
      </c>
      <c r="H3131" t="str">
        <f>"0000"</f>
        <v>0000</v>
      </c>
      <c r="I3131" t="s">
        <v>69</v>
      </c>
      <c r="J3131">
        <v>0</v>
      </c>
      <c r="K3131">
        <v>1</v>
      </c>
      <c r="L3131">
        <v>2</v>
      </c>
      <c r="M3131">
        <v>302</v>
      </c>
      <c r="N3131">
        <v>363</v>
      </c>
      <c r="O3131">
        <v>8</v>
      </c>
      <c r="P3131">
        <v>359</v>
      </c>
      <c r="Q3131">
        <v>31</v>
      </c>
      <c r="R3131">
        <v>103</v>
      </c>
      <c r="S3131">
        <v>1</v>
      </c>
      <c r="T3131">
        <v>10</v>
      </c>
      <c r="U3131">
        <v>10</v>
      </c>
      <c r="V3131">
        <v>9</v>
      </c>
      <c r="W3131">
        <v>2</v>
      </c>
      <c r="X3131">
        <v>151</v>
      </c>
      <c r="Y3131">
        <v>6</v>
      </c>
      <c r="Z3131">
        <v>6</v>
      </c>
      <c r="AA3131">
        <v>4</v>
      </c>
      <c r="AB3131">
        <v>15</v>
      </c>
      <c r="AD3131">
        <v>1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10</v>
      </c>
      <c r="AK3131">
        <v>359</v>
      </c>
      <c r="AL3131">
        <v>359</v>
      </c>
      <c r="AM3131">
        <v>619</v>
      </c>
      <c r="AN3131">
        <v>44</v>
      </c>
      <c r="AP3131">
        <v>1</v>
      </c>
      <c r="AR3131" t="s">
        <v>3226</v>
      </c>
      <c r="AS3131" s="1">
        <v>44354.070833333331</v>
      </c>
      <c r="AT3131" s="1">
        <v>44354.083136574074</v>
      </c>
      <c r="AU3131" s="1">
        <v>44354.083599537036</v>
      </c>
      <c r="AV3131" t="s">
        <v>71</v>
      </c>
      <c r="AW3131" t="s">
        <v>72</v>
      </c>
      <c r="AX3131" t="s">
        <v>73</v>
      </c>
    </row>
    <row r="3132" spans="1:50" x14ac:dyDescent="0.3">
      <c r="A3132" t="str">
        <f>"200498C0100"</f>
        <v>200498C0100</v>
      </c>
      <c r="B3132" t="str">
        <f>"200498C01002"</f>
        <v>200498C01002</v>
      </c>
      <c r="C3132" t="str">
        <f t="shared" si="151"/>
        <v>20</v>
      </c>
      <c r="D3132" t="s">
        <v>67</v>
      </c>
      <c r="E3132" t="str">
        <f t="shared" si="152"/>
        <v>014</v>
      </c>
      <c r="F3132" t="s">
        <v>2914</v>
      </c>
      <c r="G3132" t="str">
        <f>"0498"</f>
        <v>0498</v>
      </c>
      <c r="H3132" t="str">
        <f>"0001"</f>
        <v>0001</v>
      </c>
      <c r="I3132" t="s">
        <v>75</v>
      </c>
      <c r="J3132">
        <v>0</v>
      </c>
      <c r="K3132">
        <v>1</v>
      </c>
      <c r="L3132">
        <v>2</v>
      </c>
      <c r="M3132">
        <v>315</v>
      </c>
      <c r="N3132">
        <v>347</v>
      </c>
      <c r="O3132">
        <v>4</v>
      </c>
      <c r="P3132">
        <v>349</v>
      </c>
      <c r="Q3132">
        <v>24</v>
      </c>
      <c r="R3132">
        <v>84</v>
      </c>
      <c r="S3132">
        <v>2</v>
      </c>
      <c r="T3132">
        <v>12</v>
      </c>
      <c r="U3132">
        <v>8</v>
      </c>
      <c r="V3132">
        <v>6</v>
      </c>
      <c r="W3132">
        <v>5</v>
      </c>
      <c r="X3132">
        <v>147</v>
      </c>
      <c r="Y3132">
        <v>11</v>
      </c>
      <c r="Z3132">
        <v>18</v>
      </c>
      <c r="AA3132">
        <v>3</v>
      </c>
      <c r="AB3132">
        <v>21</v>
      </c>
      <c r="AD3132">
        <v>1</v>
      </c>
      <c r="AE3132">
        <v>0</v>
      </c>
      <c r="AF3132">
        <v>0</v>
      </c>
      <c r="AG3132">
        <v>0</v>
      </c>
      <c r="AH3132">
        <v>0</v>
      </c>
      <c r="AI3132">
        <v>1</v>
      </c>
      <c r="AJ3132">
        <v>6</v>
      </c>
      <c r="AK3132">
        <v>349</v>
      </c>
      <c r="AL3132">
        <v>349</v>
      </c>
      <c r="AM3132">
        <v>618</v>
      </c>
      <c r="AN3132">
        <v>44</v>
      </c>
      <c r="AP3132">
        <v>1</v>
      </c>
      <c r="AR3132" t="s">
        <v>3227</v>
      </c>
      <c r="AS3132" s="1">
        <v>44354.081250000003</v>
      </c>
      <c r="AT3132" s="1">
        <v>44354.09814814815</v>
      </c>
      <c r="AU3132" s="1">
        <v>44354.098738425928</v>
      </c>
      <c r="AV3132" t="s">
        <v>71</v>
      </c>
      <c r="AW3132" t="s">
        <v>72</v>
      </c>
      <c r="AX3132" t="s">
        <v>73</v>
      </c>
    </row>
    <row r="3133" spans="1:50" x14ac:dyDescent="0.3">
      <c r="A3133" t="str">
        <f>"200499B0000"</f>
        <v>200499B0000</v>
      </c>
      <c r="B3133" t="str">
        <f>"200499B00002"</f>
        <v>200499B00002</v>
      </c>
      <c r="C3133" t="str">
        <f t="shared" si="151"/>
        <v>20</v>
      </c>
      <c r="D3133" t="s">
        <v>67</v>
      </c>
      <c r="E3133" t="str">
        <f t="shared" si="152"/>
        <v>014</v>
      </c>
      <c r="F3133" t="s">
        <v>2914</v>
      </c>
      <c r="G3133" t="str">
        <f>"0499"</f>
        <v>0499</v>
      </c>
      <c r="H3133" t="str">
        <f>"0000"</f>
        <v>0000</v>
      </c>
      <c r="I3133" t="s">
        <v>69</v>
      </c>
      <c r="J3133">
        <v>0</v>
      </c>
      <c r="K3133">
        <v>1</v>
      </c>
      <c r="L3133">
        <v>2</v>
      </c>
      <c r="M3133" t="s">
        <v>80</v>
      </c>
      <c r="N3133">
        <v>408</v>
      </c>
      <c r="O3133">
        <v>4</v>
      </c>
      <c r="P3133">
        <v>408</v>
      </c>
      <c r="Q3133">
        <v>34</v>
      </c>
      <c r="R3133">
        <v>137</v>
      </c>
      <c r="S3133">
        <v>4</v>
      </c>
      <c r="T3133">
        <v>17</v>
      </c>
      <c r="U3133">
        <v>9</v>
      </c>
      <c r="V3133">
        <v>7</v>
      </c>
      <c r="W3133">
        <v>0</v>
      </c>
      <c r="X3133">
        <v>150</v>
      </c>
      <c r="Y3133">
        <v>11</v>
      </c>
      <c r="Z3133">
        <v>4</v>
      </c>
      <c r="AA3133">
        <v>5</v>
      </c>
      <c r="AB3133">
        <v>14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16</v>
      </c>
      <c r="AK3133">
        <v>408</v>
      </c>
      <c r="AL3133">
        <v>408</v>
      </c>
      <c r="AM3133">
        <v>654</v>
      </c>
      <c r="AN3133">
        <v>44</v>
      </c>
      <c r="AP3133">
        <v>1</v>
      </c>
      <c r="AR3133" t="s">
        <v>3228</v>
      </c>
      <c r="AS3133" s="1">
        <v>44353.935416666667</v>
      </c>
      <c r="AT3133" s="1">
        <v>44353.955543981479</v>
      </c>
      <c r="AU3133" s="1">
        <v>44353.956250000003</v>
      </c>
      <c r="AV3133" t="s">
        <v>71</v>
      </c>
      <c r="AW3133" t="s">
        <v>72</v>
      </c>
      <c r="AX3133" t="s">
        <v>73</v>
      </c>
    </row>
    <row r="3134" spans="1:50" x14ac:dyDescent="0.3">
      <c r="A3134" t="str">
        <f>"200499C0100"</f>
        <v>200499C0100</v>
      </c>
      <c r="B3134" t="str">
        <f>"200499C01002"</f>
        <v>200499C01002</v>
      </c>
      <c r="C3134" t="str">
        <f t="shared" si="151"/>
        <v>20</v>
      </c>
      <c r="D3134" t="s">
        <v>67</v>
      </c>
      <c r="E3134" t="str">
        <f t="shared" si="152"/>
        <v>014</v>
      </c>
      <c r="F3134" t="s">
        <v>2914</v>
      </c>
      <c r="G3134" t="str">
        <f>"0499"</f>
        <v>0499</v>
      </c>
      <c r="H3134" t="str">
        <f>"0001"</f>
        <v>0001</v>
      </c>
      <c r="I3134" t="s">
        <v>75</v>
      </c>
      <c r="J3134">
        <v>0</v>
      </c>
      <c r="K3134">
        <v>1</v>
      </c>
      <c r="L3134">
        <v>2</v>
      </c>
      <c r="M3134">
        <v>295</v>
      </c>
      <c r="N3134">
        <v>403</v>
      </c>
      <c r="O3134">
        <v>5</v>
      </c>
      <c r="P3134">
        <v>403</v>
      </c>
      <c r="Q3134">
        <v>42</v>
      </c>
      <c r="R3134">
        <v>122</v>
      </c>
      <c r="S3134">
        <v>2</v>
      </c>
      <c r="T3134">
        <v>15</v>
      </c>
      <c r="U3134">
        <v>3</v>
      </c>
      <c r="V3134">
        <v>14</v>
      </c>
      <c r="W3134">
        <v>3</v>
      </c>
      <c r="X3134">
        <v>151</v>
      </c>
      <c r="Y3134">
        <v>7</v>
      </c>
      <c r="Z3134">
        <v>13</v>
      </c>
      <c r="AA3134">
        <v>2</v>
      </c>
      <c r="AB3134">
        <v>14</v>
      </c>
      <c r="AD3134">
        <v>3</v>
      </c>
      <c r="AE3134">
        <v>2</v>
      </c>
      <c r="AF3134">
        <v>0</v>
      </c>
      <c r="AG3134">
        <v>0</v>
      </c>
      <c r="AH3134">
        <v>0</v>
      </c>
      <c r="AI3134">
        <v>1</v>
      </c>
      <c r="AJ3134">
        <v>9</v>
      </c>
      <c r="AK3134">
        <v>403</v>
      </c>
      <c r="AL3134">
        <v>403</v>
      </c>
      <c r="AM3134">
        <v>654</v>
      </c>
      <c r="AN3134">
        <v>44</v>
      </c>
      <c r="AP3134">
        <v>1</v>
      </c>
      <c r="AR3134" t="s">
        <v>3229</v>
      </c>
      <c r="AS3134" s="1">
        <v>44353.942361111112</v>
      </c>
      <c r="AT3134" s="1">
        <v>44353.966585648152</v>
      </c>
      <c r="AU3134" s="1">
        <v>44353.967106481483</v>
      </c>
      <c r="AV3134" t="s">
        <v>71</v>
      </c>
      <c r="AW3134" t="s">
        <v>72</v>
      </c>
      <c r="AX3134" t="s">
        <v>73</v>
      </c>
    </row>
    <row r="3135" spans="1:50" x14ac:dyDescent="0.3">
      <c r="A3135" t="str">
        <f>"200500B0000"</f>
        <v>200500B0000</v>
      </c>
      <c r="B3135" t="str">
        <f>"200500B00002"</f>
        <v>200500B00002</v>
      </c>
      <c r="C3135" t="str">
        <f t="shared" si="151"/>
        <v>20</v>
      </c>
      <c r="D3135" t="s">
        <v>67</v>
      </c>
      <c r="E3135" t="str">
        <f t="shared" si="152"/>
        <v>014</v>
      </c>
      <c r="F3135" t="s">
        <v>2914</v>
      </c>
      <c r="G3135" t="str">
        <f t="shared" ref="G3135:G3141" si="154">"0500"</f>
        <v>0500</v>
      </c>
      <c r="H3135" t="str">
        <f>"0000"</f>
        <v>0000</v>
      </c>
      <c r="I3135" t="s">
        <v>69</v>
      </c>
      <c r="J3135">
        <v>0</v>
      </c>
      <c r="K3135">
        <v>1</v>
      </c>
      <c r="L3135">
        <v>2</v>
      </c>
      <c r="M3135">
        <v>389</v>
      </c>
      <c r="N3135">
        <v>325</v>
      </c>
      <c r="O3135">
        <v>6</v>
      </c>
      <c r="P3135">
        <v>325</v>
      </c>
      <c r="Q3135">
        <v>14</v>
      </c>
      <c r="R3135">
        <v>58</v>
      </c>
      <c r="S3135">
        <v>3</v>
      </c>
      <c r="T3135">
        <v>4</v>
      </c>
      <c r="U3135">
        <v>7</v>
      </c>
      <c r="V3135">
        <v>7</v>
      </c>
      <c r="W3135">
        <v>5</v>
      </c>
      <c r="X3135">
        <v>186</v>
      </c>
      <c r="Y3135">
        <v>11</v>
      </c>
      <c r="Z3135">
        <v>5</v>
      </c>
      <c r="AA3135">
        <v>3</v>
      </c>
      <c r="AB3135">
        <v>13</v>
      </c>
      <c r="AD3135">
        <v>1</v>
      </c>
      <c r="AE3135" t="s">
        <v>77</v>
      </c>
      <c r="AF3135" t="s">
        <v>77</v>
      </c>
      <c r="AG3135" t="s">
        <v>77</v>
      </c>
      <c r="AH3135" t="s">
        <v>77</v>
      </c>
      <c r="AI3135" t="s">
        <v>77</v>
      </c>
      <c r="AJ3135">
        <v>8</v>
      </c>
      <c r="AK3135">
        <v>325</v>
      </c>
      <c r="AL3135">
        <v>325</v>
      </c>
      <c r="AM3135">
        <v>670</v>
      </c>
      <c r="AN3135">
        <v>44</v>
      </c>
      <c r="AO3135" t="s">
        <v>78</v>
      </c>
      <c r="AP3135">
        <v>1</v>
      </c>
      <c r="AR3135" t="s">
        <v>3230</v>
      </c>
      <c r="AS3135" s="1">
        <v>44353.989583333336</v>
      </c>
      <c r="AT3135" s="1">
        <v>44353.995127314818</v>
      </c>
      <c r="AU3135" s="1">
        <v>44353.996215277781</v>
      </c>
      <c r="AV3135" t="s">
        <v>71</v>
      </c>
      <c r="AW3135" t="s">
        <v>72</v>
      </c>
      <c r="AX3135" t="s">
        <v>73</v>
      </c>
    </row>
    <row r="3136" spans="1:50" x14ac:dyDescent="0.3">
      <c r="A3136" t="str">
        <f>"200500C0100"</f>
        <v>200500C0100</v>
      </c>
      <c r="B3136" t="str">
        <f>"200500C01002"</f>
        <v>200500C01002</v>
      </c>
      <c r="C3136" t="str">
        <f t="shared" si="151"/>
        <v>20</v>
      </c>
      <c r="D3136" t="s">
        <v>67</v>
      </c>
      <c r="E3136" t="str">
        <f t="shared" si="152"/>
        <v>014</v>
      </c>
      <c r="F3136" t="s">
        <v>2914</v>
      </c>
      <c r="G3136" t="str">
        <f t="shared" si="154"/>
        <v>0500</v>
      </c>
      <c r="H3136" t="str">
        <f>"0001"</f>
        <v>0001</v>
      </c>
      <c r="I3136" t="s">
        <v>75</v>
      </c>
      <c r="J3136">
        <v>0</v>
      </c>
      <c r="K3136">
        <v>1</v>
      </c>
      <c r="L3136">
        <v>2</v>
      </c>
      <c r="M3136">
        <v>401</v>
      </c>
      <c r="N3136">
        <v>313</v>
      </c>
      <c r="O3136">
        <v>7</v>
      </c>
      <c r="P3136">
        <v>313</v>
      </c>
      <c r="Q3136">
        <v>14</v>
      </c>
      <c r="R3136">
        <v>58</v>
      </c>
      <c r="S3136">
        <v>3</v>
      </c>
      <c r="T3136">
        <v>10</v>
      </c>
      <c r="U3136">
        <v>8</v>
      </c>
      <c r="V3136">
        <v>9</v>
      </c>
      <c r="W3136">
        <v>2</v>
      </c>
      <c r="X3136">
        <v>160</v>
      </c>
      <c r="Y3136">
        <v>13</v>
      </c>
      <c r="Z3136">
        <v>9</v>
      </c>
      <c r="AA3136">
        <v>1</v>
      </c>
      <c r="AB3136">
        <v>10</v>
      </c>
      <c r="AD3136">
        <v>5</v>
      </c>
      <c r="AE3136" t="s">
        <v>77</v>
      </c>
      <c r="AF3136" t="s">
        <v>77</v>
      </c>
      <c r="AG3136" t="s">
        <v>77</v>
      </c>
      <c r="AH3136">
        <v>1</v>
      </c>
      <c r="AI3136" t="s">
        <v>77</v>
      </c>
      <c r="AJ3136">
        <v>10</v>
      </c>
      <c r="AK3136">
        <v>313</v>
      </c>
      <c r="AL3136">
        <v>313</v>
      </c>
      <c r="AM3136">
        <v>670</v>
      </c>
      <c r="AN3136">
        <v>44</v>
      </c>
      <c r="AO3136" t="s">
        <v>78</v>
      </c>
      <c r="AP3136">
        <v>1</v>
      </c>
      <c r="AR3136" t="s">
        <v>3231</v>
      </c>
      <c r="AS3136" s="1">
        <v>44353.989583333336</v>
      </c>
      <c r="AT3136" s="1">
        <v>44353.995763888888</v>
      </c>
      <c r="AU3136" s="1">
        <v>44353.996249999997</v>
      </c>
      <c r="AV3136" t="s">
        <v>71</v>
      </c>
      <c r="AW3136" t="s">
        <v>72</v>
      </c>
      <c r="AX3136" t="s">
        <v>73</v>
      </c>
    </row>
    <row r="3137" spans="1:50" x14ac:dyDescent="0.3">
      <c r="A3137" t="str">
        <f>"200500C0200"</f>
        <v>200500C0200</v>
      </c>
      <c r="B3137" t="str">
        <f>"200500C02002"</f>
        <v>200500C02002</v>
      </c>
      <c r="C3137" t="str">
        <f t="shared" si="151"/>
        <v>20</v>
      </c>
      <c r="D3137" t="s">
        <v>67</v>
      </c>
      <c r="E3137" t="str">
        <f t="shared" si="152"/>
        <v>014</v>
      </c>
      <c r="F3137" t="s">
        <v>2914</v>
      </c>
      <c r="G3137" t="str">
        <f t="shared" si="154"/>
        <v>0500</v>
      </c>
      <c r="H3137" t="str">
        <f>"0002"</f>
        <v>0002</v>
      </c>
      <c r="I3137" t="s">
        <v>75</v>
      </c>
      <c r="J3137">
        <v>0</v>
      </c>
      <c r="K3137">
        <v>1</v>
      </c>
      <c r="L3137">
        <v>2</v>
      </c>
      <c r="M3137">
        <v>361</v>
      </c>
      <c r="N3137">
        <v>353</v>
      </c>
      <c r="O3137">
        <v>6</v>
      </c>
      <c r="P3137">
        <v>4</v>
      </c>
      <c r="Q3137">
        <v>17</v>
      </c>
      <c r="R3137">
        <v>63</v>
      </c>
      <c r="S3137">
        <v>1</v>
      </c>
      <c r="T3137">
        <v>6</v>
      </c>
      <c r="U3137">
        <v>12</v>
      </c>
      <c r="V3137">
        <v>10</v>
      </c>
      <c r="W3137">
        <v>3</v>
      </c>
      <c r="X3137">
        <v>184</v>
      </c>
      <c r="Y3137">
        <v>9</v>
      </c>
      <c r="Z3137">
        <v>6</v>
      </c>
      <c r="AA3137">
        <v>6</v>
      </c>
      <c r="AB3137">
        <v>19</v>
      </c>
      <c r="AD3137">
        <v>1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16</v>
      </c>
      <c r="AK3137">
        <v>353</v>
      </c>
      <c r="AL3137">
        <v>353</v>
      </c>
      <c r="AM3137">
        <v>670</v>
      </c>
      <c r="AN3137">
        <v>44</v>
      </c>
      <c r="AP3137">
        <v>1</v>
      </c>
      <c r="AR3137" t="s">
        <v>3232</v>
      </c>
      <c r="AS3137" s="1">
        <v>44353.989583333336</v>
      </c>
      <c r="AT3137" s="1">
        <v>44353.99559027778</v>
      </c>
      <c r="AU3137" s="1">
        <v>44353.996064814812</v>
      </c>
      <c r="AV3137" t="s">
        <v>71</v>
      </c>
      <c r="AW3137" t="s">
        <v>72</v>
      </c>
      <c r="AX3137" t="s">
        <v>73</v>
      </c>
    </row>
    <row r="3138" spans="1:50" x14ac:dyDescent="0.3">
      <c r="A3138" t="str">
        <f>"200500E0100"</f>
        <v>200500E0100</v>
      </c>
      <c r="B3138" t="str">
        <f>"200500E01002"</f>
        <v>200500E01002</v>
      </c>
      <c r="C3138" t="str">
        <f t="shared" si="151"/>
        <v>20</v>
      </c>
      <c r="D3138" t="s">
        <v>67</v>
      </c>
      <c r="E3138" t="str">
        <f t="shared" si="152"/>
        <v>014</v>
      </c>
      <c r="F3138" t="s">
        <v>2914</v>
      </c>
      <c r="G3138" t="str">
        <f t="shared" si="154"/>
        <v>0500</v>
      </c>
      <c r="H3138" t="str">
        <f>"0001"</f>
        <v>0001</v>
      </c>
      <c r="I3138" t="s">
        <v>109</v>
      </c>
      <c r="J3138">
        <v>0</v>
      </c>
      <c r="K3138">
        <v>1</v>
      </c>
      <c r="L3138">
        <v>2</v>
      </c>
      <c r="M3138">
        <v>334</v>
      </c>
      <c r="N3138">
        <v>258</v>
      </c>
      <c r="O3138">
        <v>8</v>
      </c>
      <c r="P3138">
        <v>259</v>
      </c>
      <c r="Q3138">
        <v>9</v>
      </c>
      <c r="R3138">
        <v>58</v>
      </c>
      <c r="S3138">
        <v>1</v>
      </c>
      <c r="T3138">
        <v>14</v>
      </c>
      <c r="U3138">
        <v>5</v>
      </c>
      <c r="V3138">
        <v>3</v>
      </c>
      <c r="W3138">
        <v>5</v>
      </c>
      <c r="X3138">
        <v>126</v>
      </c>
      <c r="Y3138">
        <v>4</v>
      </c>
      <c r="Z3138">
        <v>8</v>
      </c>
      <c r="AA3138">
        <v>0</v>
      </c>
      <c r="AB3138">
        <v>13</v>
      </c>
      <c r="AD3138">
        <v>1</v>
      </c>
      <c r="AE3138">
        <v>0</v>
      </c>
      <c r="AF3138">
        <v>1</v>
      </c>
      <c r="AG3138">
        <v>0</v>
      </c>
      <c r="AH3138">
        <v>0</v>
      </c>
      <c r="AI3138">
        <v>0</v>
      </c>
      <c r="AJ3138">
        <v>11</v>
      </c>
      <c r="AK3138">
        <v>259</v>
      </c>
      <c r="AL3138">
        <v>259</v>
      </c>
      <c r="AM3138">
        <v>547</v>
      </c>
      <c r="AN3138">
        <v>44</v>
      </c>
      <c r="AP3138">
        <v>1</v>
      </c>
      <c r="AR3138" t="s">
        <v>3233</v>
      </c>
      <c r="AS3138" s="1">
        <v>44354.001388888886</v>
      </c>
      <c r="AT3138" s="1">
        <v>44354.018078703702</v>
      </c>
      <c r="AU3138" s="1">
        <v>44354.019212962965</v>
      </c>
      <c r="AV3138" t="s">
        <v>71</v>
      </c>
      <c r="AW3138" t="s">
        <v>72</v>
      </c>
      <c r="AX3138" t="s">
        <v>73</v>
      </c>
    </row>
    <row r="3139" spans="1:50" x14ac:dyDescent="0.3">
      <c r="A3139" t="str">
        <f>"200500E0101"</f>
        <v>200500E0101</v>
      </c>
      <c r="B3139" t="str">
        <f>"200500E01012"</f>
        <v>200500E01012</v>
      </c>
      <c r="C3139" t="str">
        <f t="shared" si="151"/>
        <v>20</v>
      </c>
      <c r="D3139" t="s">
        <v>67</v>
      </c>
      <c r="E3139" t="str">
        <f t="shared" si="152"/>
        <v>014</v>
      </c>
      <c r="F3139" t="s">
        <v>2914</v>
      </c>
      <c r="G3139" t="str">
        <f t="shared" si="154"/>
        <v>0500</v>
      </c>
      <c r="H3139" t="str">
        <f>"0001"</f>
        <v>0001</v>
      </c>
      <c r="I3139" t="s">
        <v>109</v>
      </c>
      <c r="J3139">
        <v>1</v>
      </c>
      <c r="K3139">
        <v>1</v>
      </c>
      <c r="L3139">
        <v>2</v>
      </c>
      <c r="M3139">
        <v>344</v>
      </c>
      <c r="N3139">
        <v>247</v>
      </c>
      <c r="O3139">
        <v>7</v>
      </c>
      <c r="P3139">
        <v>244</v>
      </c>
      <c r="Q3139">
        <v>13</v>
      </c>
      <c r="R3139">
        <v>59</v>
      </c>
      <c r="S3139">
        <v>2</v>
      </c>
      <c r="T3139">
        <v>11</v>
      </c>
      <c r="U3139">
        <v>7</v>
      </c>
      <c r="V3139">
        <v>7</v>
      </c>
      <c r="W3139">
        <v>0</v>
      </c>
      <c r="X3139">
        <v>101</v>
      </c>
      <c r="Y3139">
        <v>10</v>
      </c>
      <c r="Z3139">
        <v>4</v>
      </c>
      <c r="AA3139">
        <v>6</v>
      </c>
      <c r="AB3139">
        <v>14</v>
      </c>
      <c r="AD3139">
        <v>1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9</v>
      </c>
      <c r="AK3139">
        <v>244</v>
      </c>
      <c r="AL3139">
        <v>244</v>
      </c>
      <c r="AM3139">
        <v>546</v>
      </c>
      <c r="AN3139">
        <v>44</v>
      </c>
      <c r="AP3139">
        <v>1</v>
      </c>
      <c r="AR3139" t="s">
        <v>3234</v>
      </c>
      <c r="AS3139" s="1">
        <v>44354.01458333333</v>
      </c>
      <c r="AT3139" s="1">
        <v>44354.065266203703</v>
      </c>
      <c r="AU3139" s="1">
        <v>44354.066365740742</v>
      </c>
      <c r="AV3139" t="s">
        <v>71</v>
      </c>
      <c r="AW3139" t="s">
        <v>72</v>
      </c>
      <c r="AX3139" t="s">
        <v>73</v>
      </c>
    </row>
    <row r="3140" spans="1:50" x14ac:dyDescent="0.3">
      <c r="A3140" t="str">
        <f>"200500E0102"</f>
        <v>200500E0102</v>
      </c>
      <c r="B3140" t="str">
        <f>"200500E01022"</f>
        <v>200500E01022</v>
      </c>
      <c r="C3140" t="str">
        <f t="shared" si="151"/>
        <v>20</v>
      </c>
      <c r="D3140" t="s">
        <v>67</v>
      </c>
      <c r="E3140" t="str">
        <f t="shared" si="152"/>
        <v>014</v>
      </c>
      <c r="F3140" t="s">
        <v>2914</v>
      </c>
      <c r="G3140" t="str">
        <f t="shared" si="154"/>
        <v>0500</v>
      </c>
      <c r="H3140" t="str">
        <f>"0001"</f>
        <v>0001</v>
      </c>
      <c r="I3140" t="s">
        <v>109</v>
      </c>
      <c r="J3140">
        <v>2</v>
      </c>
      <c r="K3140">
        <v>1</v>
      </c>
      <c r="L3140">
        <v>2</v>
      </c>
      <c r="M3140">
        <v>371</v>
      </c>
      <c r="N3140">
        <v>219</v>
      </c>
      <c r="O3140">
        <v>7</v>
      </c>
      <c r="P3140">
        <v>219</v>
      </c>
      <c r="Q3140">
        <v>11</v>
      </c>
      <c r="R3140">
        <v>53</v>
      </c>
      <c r="S3140">
        <v>2</v>
      </c>
      <c r="T3140">
        <v>7</v>
      </c>
      <c r="U3140">
        <v>14</v>
      </c>
      <c r="V3140">
        <v>3</v>
      </c>
      <c r="W3140">
        <v>0</v>
      </c>
      <c r="X3140">
        <v>102</v>
      </c>
      <c r="Y3140">
        <v>4</v>
      </c>
      <c r="Z3140">
        <v>2</v>
      </c>
      <c r="AA3140">
        <v>4</v>
      </c>
      <c r="AB3140">
        <v>7</v>
      </c>
      <c r="AD3140">
        <v>0</v>
      </c>
      <c r="AE3140">
        <v>0</v>
      </c>
      <c r="AF3140">
        <v>0</v>
      </c>
      <c r="AG3140">
        <v>1</v>
      </c>
      <c r="AH3140">
        <v>0</v>
      </c>
      <c r="AI3140">
        <v>9</v>
      </c>
      <c r="AJ3140">
        <v>9</v>
      </c>
      <c r="AK3140">
        <v>219</v>
      </c>
      <c r="AL3140">
        <v>228</v>
      </c>
      <c r="AM3140">
        <v>546</v>
      </c>
      <c r="AN3140">
        <v>44</v>
      </c>
      <c r="AP3140">
        <v>1</v>
      </c>
      <c r="AR3140" t="s">
        <v>3235</v>
      </c>
      <c r="AS3140" s="1">
        <v>44353.992361111108</v>
      </c>
      <c r="AT3140" s="1">
        <v>44354.003067129626</v>
      </c>
      <c r="AU3140" s="1">
        <v>44354.004178240742</v>
      </c>
      <c r="AV3140" t="s">
        <v>71</v>
      </c>
      <c r="AW3140" t="s">
        <v>72</v>
      </c>
      <c r="AX3140" t="s">
        <v>73</v>
      </c>
    </row>
    <row r="3141" spans="1:50" x14ac:dyDescent="0.3">
      <c r="A3141" t="str">
        <f>"200500E0200"</f>
        <v>200500E0200</v>
      </c>
      <c r="B3141" t="str">
        <f>"200500E02002"</f>
        <v>200500E02002</v>
      </c>
      <c r="C3141" t="str">
        <f t="shared" si="151"/>
        <v>20</v>
      </c>
      <c r="D3141" t="s">
        <v>67</v>
      </c>
      <c r="E3141" t="str">
        <f t="shared" si="152"/>
        <v>014</v>
      </c>
      <c r="F3141" t="s">
        <v>2914</v>
      </c>
      <c r="G3141" t="str">
        <f t="shared" si="154"/>
        <v>0500</v>
      </c>
      <c r="H3141" t="str">
        <f>"0002"</f>
        <v>0002</v>
      </c>
      <c r="I3141" t="s">
        <v>109</v>
      </c>
      <c r="J3141">
        <v>0</v>
      </c>
      <c r="K3141">
        <v>1</v>
      </c>
      <c r="L3141">
        <v>2</v>
      </c>
      <c r="M3141">
        <v>292</v>
      </c>
      <c r="N3141">
        <v>211</v>
      </c>
      <c r="O3141">
        <v>7</v>
      </c>
      <c r="P3141">
        <v>211</v>
      </c>
      <c r="Q3141">
        <v>6</v>
      </c>
      <c r="R3141">
        <v>66</v>
      </c>
      <c r="S3141">
        <v>0</v>
      </c>
      <c r="T3141">
        <v>8</v>
      </c>
      <c r="U3141">
        <v>9</v>
      </c>
      <c r="V3141">
        <v>4</v>
      </c>
      <c r="W3141">
        <v>4</v>
      </c>
      <c r="X3141">
        <v>83</v>
      </c>
      <c r="Y3141">
        <v>10</v>
      </c>
      <c r="Z3141">
        <v>7</v>
      </c>
      <c r="AA3141">
        <v>3</v>
      </c>
      <c r="AB3141">
        <v>5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6</v>
      </c>
      <c r="AK3141">
        <v>211</v>
      </c>
      <c r="AL3141">
        <v>211</v>
      </c>
      <c r="AM3141">
        <v>462</v>
      </c>
      <c r="AN3141">
        <v>44</v>
      </c>
      <c r="AP3141">
        <v>1</v>
      </c>
      <c r="AR3141" t="s">
        <v>3236</v>
      </c>
      <c r="AS3141" s="1">
        <v>44354.015277777777</v>
      </c>
      <c r="AT3141" s="1">
        <v>44354.049664351849</v>
      </c>
      <c r="AU3141" s="1">
        <v>44354.05027777778</v>
      </c>
      <c r="AV3141" t="s">
        <v>71</v>
      </c>
      <c r="AW3141" t="s">
        <v>72</v>
      </c>
      <c r="AX3141" t="s">
        <v>73</v>
      </c>
    </row>
    <row r="3142" spans="1:50" x14ac:dyDescent="0.3">
      <c r="A3142" t="str">
        <f>"200501B0000"</f>
        <v>200501B0000</v>
      </c>
      <c r="B3142" t="str">
        <f>"200501B00002"</f>
        <v>200501B00002</v>
      </c>
      <c r="C3142" t="str">
        <f t="shared" si="151"/>
        <v>20</v>
      </c>
      <c r="D3142" t="s">
        <v>67</v>
      </c>
      <c r="E3142" t="str">
        <f t="shared" si="152"/>
        <v>014</v>
      </c>
      <c r="F3142" t="s">
        <v>2914</v>
      </c>
      <c r="G3142" t="str">
        <f>"0501"</f>
        <v>0501</v>
      </c>
      <c r="H3142" t="str">
        <f>"0000"</f>
        <v>0000</v>
      </c>
      <c r="I3142" t="s">
        <v>69</v>
      </c>
      <c r="J3142">
        <v>0</v>
      </c>
      <c r="K3142">
        <v>1</v>
      </c>
      <c r="L3142">
        <v>2</v>
      </c>
      <c r="M3142">
        <v>355</v>
      </c>
      <c r="N3142">
        <v>272</v>
      </c>
      <c r="O3142">
        <v>4</v>
      </c>
      <c r="P3142">
        <v>272</v>
      </c>
      <c r="Q3142">
        <v>16</v>
      </c>
      <c r="R3142">
        <v>62</v>
      </c>
      <c r="S3142">
        <v>4</v>
      </c>
      <c r="T3142">
        <v>3</v>
      </c>
      <c r="U3142">
        <v>5</v>
      </c>
      <c r="V3142">
        <v>8</v>
      </c>
      <c r="W3142">
        <v>2</v>
      </c>
      <c r="X3142">
        <v>145</v>
      </c>
      <c r="Y3142">
        <v>3</v>
      </c>
      <c r="Z3142">
        <v>2</v>
      </c>
      <c r="AA3142">
        <v>9</v>
      </c>
      <c r="AB3142">
        <v>2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11</v>
      </c>
      <c r="AK3142">
        <v>272</v>
      </c>
      <c r="AL3142">
        <v>272</v>
      </c>
      <c r="AM3142">
        <v>583</v>
      </c>
      <c r="AN3142">
        <v>44</v>
      </c>
      <c r="AP3142">
        <v>1</v>
      </c>
      <c r="AR3142" t="s">
        <v>3237</v>
      </c>
      <c r="AS3142" s="1">
        <v>44354.01666666667</v>
      </c>
      <c r="AT3142" s="1">
        <v>44354.050162037034</v>
      </c>
      <c r="AU3142" s="1">
        <v>44354.050740740742</v>
      </c>
      <c r="AV3142" t="s">
        <v>71</v>
      </c>
      <c r="AW3142" t="s">
        <v>72</v>
      </c>
      <c r="AX3142" t="s">
        <v>73</v>
      </c>
    </row>
    <row r="3143" spans="1:50" x14ac:dyDescent="0.3">
      <c r="A3143" t="str">
        <f>"200501C0100"</f>
        <v>200501C0100</v>
      </c>
      <c r="B3143" t="str">
        <f>"200501C01002"</f>
        <v>200501C01002</v>
      </c>
      <c r="C3143" t="str">
        <f t="shared" ref="C3143:C3206" si="155">"20"</f>
        <v>20</v>
      </c>
      <c r="D3143" t="s">
        <v>67</v>
      </c>
      <c r="E3143" t="str">
        <f t="shared" si="152"/>
        <v>014</v>
      </c>
      <c r="F3143" t="s">
        <v>2914</v>
      </c>
      <c r="G3143" t="str">
        <f>"0501"</f>
        <v>0501</v>
      </c>
      <c r="H3143" t="str">
        <f>"0001"</f>
        <v>0001</v>
      </c>
      <c r="I3143" t="s">
        <v>75</v>
      </c>
      <c r="J3143">
        <v>0</v>
      </c>
      <c r="K3143">
        <v>1</v>
      </c>
      <c r="L3143">
        <v>2</v>
      </c>
      <c r="M3143">
        <v>357</v>
      </c>
      <c r="N3143">
        <v>269</v>
      </c>
      <c r="O3143">
        <v>7</v>
      </c>
      <c r="P3143">
        <v>269</v>
      </c>
      <c r="Q3143">
        <v>6</v>
      </c>
      <c r="R3143">
        <v>62</v>
      </c>
      <c r="S3143">
        <v>7</v>
      </c>
      <c r="T3143">
        <v>6</v>
      </c>
      <c r="U3143">
        <v>9</v>
      </c>
      <c r="V3143">
        <v>9</v>
      </c>
      <c r="W3143">
        <v>1</v>
      </c>
      <c r="X3143">
        <v>142</v>
      </c>
      <c r="Y3143">
        <v>5</v>
      </c>
      <c r="Z3143">
        <v>6</v>
      </c>
      <c r="AA3143">
        <v>1</v>
      </c>
      <c r="AB3143">
        <v>3</v>
      </c>
      <c r="AD3143">
        <v>4</v>
      </c>
      <c r="AE3143">
        <v>1</v>
      </c>
      <c r="AF3143">
        <v>0</v>
      </c>
      <c r="AG3143">
        <v>1</v>
      </c>
      <c r="AH3143">
        <v>0</v>
      </c>
      <c r="AI3143">
        <v>0</v>
      </c>
      <c r="AJ3143">
        <v>6</v>
      </c>
      <c r="AK3143">
        <v>269</v>
      </c>
      <c r="AL3143">
        <v>269</v>
      </c>
      <c r="AM3143">
        <v>583</v>
      </c>
      <c r="AN3143">
        <v>44</v>
      </c>
      <c r="AP3143">
        <v>1</v>
      </c>
      <c r="AR3143" t="s">
        <v>3238</v>
      </c>
      <c r="AS3143" s="1">
        <v>44354.01666666667</v>
      </c>
      <c r="AT3143" s="1">
        <v>44354.050706018519</v>
      </c>
      <c r="AU3143" s="1">
        <v>44354.051319444443</v>
      </c>
      <c r="AV3143" t="s">
        <v>71</v>
      </c>
      <c r="AW3143" t="s">
        <v>72</v>
      </c>
      <c r="AX3143" t="s">
        <v>73</v>
      </c>
    </row>
    <row r="3144" spans="1:50" x14ac:dyDescent="0.3">
      <c r="A3144" t="str">
        <f>"200501C0200"</f>
        <v>200501C0200</v>
      </c>
      <c r="B3144" t="str">
        <f>"200501C02002"</f>
        <v>200501C02002</v>
      </c>
      <c r="C3144" t="str">
        <f t="shared" si="155"/>
        <v>20</v>
      </c>
      <c r="D3144" t="s">
        <v>67</v>
      </c>
      <c r="E3144" t="str">
        <f t="shared" si="152"/>
        <v>014</v>
      </c>
      <c r="F3144" t="s">
        <v>2914</v>
      </c>
      <c r="G3144" t="str">
        <f>"0501"</f>
        <v>0501</v>
      </c>
      <c r="H3144" t="str">
        <f>"0002"</f>
        <v>0002</v>
      </c>
      <c r="I3144" t="s">
        <v>75</v>
      </c>
      <c r="J3144">
        <v>0</v>
      </c>
      <c r="K3144">
        <v>1</v>
      </c>
      <c r="L3144">
        <v>2</v>
      </c>
      <c r="M3144">
        <v>370</v>
      </c>
      <c r="N3144">
        <v>255</v>
      </c>
      <c r="O3144">
        <v>3</v>
      </c>
      <c r="P3144">
        <v>258</v>
      </c>
      <c r="Q3144">
        <v>10</v>
      </c>
      <c r="R3144">
        <v>51</v>
      </c>
      <c r="S3144">
        <v>1</v>
      </c>
      <c r="T3144">
        <v>5</v>
      </c>
      <c r="U3144">
        <v>6</v>
      </c>
      <c r="V3144">
        <v>6</v>
      </c>
      <c r="W3144">
        <v>1</v>
      </c>
      <c r="X3144">
        <v>142</v>
      </c>
      <c r="Y3144">
        <v>7</v>
      </c>
      <c r="Z3144">
        <v>4</v>
      </c>
      <c r="AA3144">
        <v>7</v>
      </c>
      <c r="AB3144">
        <v>4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14</v>
      </c>
      <c r="AK3144">
        <v>258</v>
      </c>
      <c r="AL3144">
        <v>258</v>
      </c>
      <c r="AM3144">
        <v>583</v>
      </c>
      <c r="AN3144">
        <v>44</v>
      </c>
      <c r="AP3144">
        <v>1</v>
      </c>
      <c r="AR3144" t="s">
        <v>3239</v>
      </c>
      <c r="AS3144" s="1">
        <v>44354.01666666667</v>
      </c>
      <c r="AT3144" s="1">
        <v>44354.050312500003</v>
      </c>
      <c r="AU3144" s="1">
        <v>44354.051377314812</v>
      </c>
      <c r="AV3144" t="s">
        <v>71</v>
      </c>
      <c r="AW3144" t="s">
        <v>72</v>
      </c>
      <c r="AX3144" t="s">
        <v>73</v>
      </c>
    </row>
    <row r="3145" spans="1:50" x14ac:dyDescent="0.3">
      <c r="A3145" t="str">
        <f>"200502B0000"</f>
        <v>200502B0000</v>
      </c>
      <c r="B3145" t="str">
        <f>"200502B00002"</f>
        <v>200502B00002</v>
      </c>
      <c r="C3145" t="str">
        <f t="shared" si="155"/>
        <v>20</v>
      </c>
      <c r="D3145" t="s">
        <v>67</v>
      </c>
      <c r="E3145" t="str">
        <f t="shared" si="152"/>
        <v>014</v>
      </c>
      <c r="F3145" t="s">
        <v>2914</v>
      </c>
      <c r="G3145" t="str">
        <f>"0502"</f>
        <v>0502</v>
      </c>
      <c r="H3145" t="str">
        <f>"0000"</f>
        <v>0000</v>
      </c>
      <c r="I3145" t="s">
        <v>69</v>
      </c>
      <c r="J3145">
        <v>0</v>
      </c>
      <c r="K3145">
        <v>1</v>
      </c>
      <c r="L3145">
        <v>2</v>
      </c>
      <c r="M3145">
        <v>284</v>
      </c>
      <c r="N3145">
        <v>279</v>
      </c>
      <c r="O3145">
        <v>9</v>
      </c>
      <c r="P3145" t="s">
        <v>80</v>
      </c>
      <c r="Q3145">
        <v>10</v>
      </c>
      <c r="R3145">
        <v>65</v>
      </c>
      <c r="S3145">
        <v>1</v>
      </c>
      <c r="T3145">
        <v>11</v>
      </c>
      <c r="U3145">
        <v>3</v>
      </c>
      <c r="V3145">
        <v>8</v>
      </c>
      <c r="W3145">
        <v>4</v>
      </c>
      <c r="X3145">
        <v>140</v>
      </c>
      <c r="Y3145">
        <v>3</v>
      </c>
      <c r="Z3145">
        <v>5</v>
      </c>
      <c r="AA3145">
        <v>6</v>
      </c>
      <c r="AB3145">
        <v>2</v>
      </c>
      <c r="AD3145">
        <v>1</v>
      </c>
      <c r="AE3145">
        <v>1</v>
      </c>
      <c r="AF3145">
        <v>0</v>
      </c>
      <c r="AG3145">
        <v>0</v>
      </c>
      <c r="AH3145">
        <v>0</v>
      </c>
      <c r="AI3145">
        <v>1</v>
      </c>
      <c r="AJ3145">
        <v>7</v>
      </c>
      <c r="AK3145">
        <v>268</v>
      </c>
      <c r="AL3145">
        <v>268</v>
      </c>
      <c r="AM3145">
        <v>519</v>
      </c>
      <c r="AN3145">
        <v>44</v>
      </c>
      <c r="AP3145">
        <v>1</v>
      </c>
      <c r="AR3145" t="s">
        <v>3240</v>
      </c>
      <c r="AS3145" s="1">
        <v>44353.97152777778</v>
      </c>
      <c r="AT3145" s="1">
        <v>44354.009317129632</v>
      </c>
      <c r="AU3145" s="1">
        <v>44354.00990740741</v>
      </c>
      <c r="AV3145" t="s">
        <v>71</v>
      </c>
      <c r="AW3145" t="s">
        <v>72</v>
      </c>
      <c r="AX3145" t="s">
        <v>73</v>
      </c>
    </row>
    <row r="3146" spans="1:50" x14ac:dyDescent="0.3">
      <c r="A3146" t="str">
        <f>"200502C0100"</f>
        <v>200502C0100</v>
      </c>
      <c r="B3146" t="str">
        <f>"200502C01002"</f>
        <v>200502C01002</v>
      </c>
      <c r="C3146" t="str">
        <f t="shared" si="155"/>
        <v>20</v>
      </c>
      <c r="D3146" t="s">
        <v>67</v>
      </c>
      <c r="E3146" t="str">
        <f t="shared" si="152"/>
        <v>014</v>
      </c>
      <c r="F3146" t="s">
        <v>2914</v>
      </c>
      <c r="G3146" t="str">
        <f>"0502"</f>
        <v>0502</v>
      </c>
      <c r="H3146" t="str">
        <f>"0001"</f>
        <v>0001</v>
      </c>
      <c r="I3146" t="s">
        <v>75</v>
      </c>
      <c r="J3146">
        <v>0</v>
      </c>
      <c r="K3146">
        <v>1</v>
      </c>
      <c r="L3146">
        <v>2</v>
      </c>
      <c r="M3146" t="s">
        <v>80</v>
      </c>
      <c r="N3146" t="s">
        <v>80</v>
      </c>
      <c r="O3146" t="s">
        <v>80</v>
      </c>
      <c r="P3146">
        <v>269</v>
      </c>
      <c r="Q3146">
        <v>13</v>
      </c>
      <c r="R3146">
        <v>42</v>
      </c>
      <c r="S3146">
        <v>3</v>
      </c>
      <c r="T3146">
        <v>11</v>
      </c>
      <c r="U3146">
        <v>8</v>
      </c>
      <c r="V3146">
        <v>7</v>
      </c>
      <c r="W3146">
        <v>3</v>
      </c>
      <c r="X3146">
        <v>148</v>
      </c>
      <c r="Y3146">
        <v>5</v>
      </c>
      <c r="Z3146">
        <v>6</v>
      </c>
      <c r="AA3146">
        <v>6</v>
      </c>
      <c r="AB3146">
        <v>8</v>
      </c>
      <c r="AD3146">
        <v>3</v>
      </c>
      <c r="AE3146" t="s">
        <v>77</v>
      </c>
      <c r="AF3146" t="s">
        <v>77</v>
      </c>
      <c r="AG3146" t="s">
        <v>77</v>
      </c>
      <c r="AH3146" t="s">
        <v>77</v>
      </c>
      <c r="AI3146" t="s">
        <v>77</v>
      </c>
      <c r="AJ3146">
        <v>6</v>
      </c>
      <c r="AK3146" t="s">
        <v>77</v>
      </c>
      <c r="AL3146">
        <v>269</v>
      </c>
      <c r="AM3146">
        <v>518</v>
      </c>
      <c r="AN3146">
        <v>44</v>
      </c>
      <c r="AO3146" t="s">
        <v>78</v>
      </c>
      <c r="AP3146">
        <v>1</v>
      </c>
      <c r="AR3146" t="s">
        <v>3241</v>
      </c>
      <c r="AS3146" s="1">
        <v>44353.97152777778</v>
      </c>
      <c r="AT3146" s="1">
        <v>44353.976423611108</v>
      </c>
      <c r="AU3146" s="1">
        <v>44353.977118055554</v>
      </c>
      <c r="AV3146" t="s">
        <v>71</v>
      </c>
      <c r="AW3146" t="s">
        <v>72</v>
      </c>
      <c r="AX3146" t="s">
        <v>73</v>
      </c>
    </row>
    <row r="3147" spans="1:50" x14ac:dyDescent="0.3">
      <c r="A3147" t="str">
        <f>"200502E0100"</f>
        <v>200502E0100</v>
      </c>
      <c r="B3147" t="str">
        <f>"200502E01002"</f>
        <v>200502E01002</v>
      </c>
      <c r="C3147" t="str">
        <f t="shared" si="155"/>
        <v>20</v>
      </c>
      <c r="D3147" t="s">
        <v>67</v>
      </c>
      <c r="E3147" t="str">
        <f t="shared" si="152"/>
        <v>014</v>
      </c>
      <c r="F3147" t="s">
        <v>2914</v>
      </c>
      <c r="G3147" t="str">
        <f>"0502"</f>
        <v>0502</v>
      </c>
      <c r="H3147" t="str">
        <f>"0001"</f>
        <v>0001</v>
      </c>
      <c r="I3147" t="s">
        <v>109</v>
      </c>
      <c r="J3147">
        <v>0</v>
      </c>
      <c r="K3147">
        <v>1</v>
      </c>
      <c r="L3147">
        <v>2</v>
      </c>
      <c r="M3147">
        <v>482</v>
      </c>
      <c r="N3147">
        <v>281</v>
      </c>
      <c r="O3147">
        <v>7</v>
      </c>
      <c r="P3147">
        <v>281</v>
      </c>
      <c r="Q3147">
        <v>5</v>
      </c>
      <c r="R3147">
        <v>63</v>
      </c>
      <c r="S3147">
        <v>0</v>
      </c>
      <c r="T3147">
        <v>15</v>
      </c>
      <c r="U3147">
        <v>5</v>
      </c>
      <c r="V3147">
        <v>2</v>
      </c>
      <c r="W3147">
        <v>3</v>
      </c>
      <c r="X3147">
        <v>174</v>
      </c>
      <c r="Y3147">
        <v>2</v>
      </c>
      <c r="Z3147">
        <v>3</v>
      </c>
      <c r="AA3147">
        <v>1</v>
      </c>
      <c r="AB3147">
        <v>3</v>
      </c>
      <c r="AD3147">
        <v>0</v>
      </c>
      <c r="AE3147">
        <v>0</v>
      </c>
      <c r="AF3147">
        <v>0</v>
      </c>
      <c r="AG3147">
        <v>2</v>
      </c>
      <c r="AH3147">
        <v>0</v>
      </c>
      <c r="AI3147">
        <v>1</v>
      </c>
      <c r="AJ3147">
        <v>3</v>
      </c>
      <c r="AK3147">
        <v>281</v>
      </c>
      <c r="AL3147">
        <v>282</v>
      </c>
      <c r="AM3147">
        <v>719</v>
      </c>
      <c r="AN3147">
        <v>44</v>
      </c>
      <c r="AP3147">
        <v>1</v>
      </c>
      <c r="AR3147" t="s">
        <v>3242</v>
      </c>
      <c r="AS3147" s="1">
        <v>44353.97152777778</v>
      </c>
      <c r="AT3147" s="1">
        <v>44353.9766087963</v>
      </c>
      <c r="AU3147" s="1">
        <v>44353.977858796294</v>
      </c>
      <c r="AV3147" t="s">
        <v>71</v>
      </c>
      <c r="AW3147" t="s">
        <v>72</v>
      </c>
      <c r="AX3147" t="s">
        <v>73</v>
      </c>
    </row>
    <row r="3148" spans="1:50" x14ac:dyDescent="0.3">
      <c r="A3148" t="str">
        <f>"200502E0101"</f>
        <v>200502E0101</v>
      </c>
      <c r="B3148" t="str">
        <f>"200502E01012"</f>
        <v>200502E01012</v>
      </c>
      <c r="C3148" t="str">
        <f t="shared" si="155"/>
        <v>20</v>
      </c>
      <c r="D3148" t="s">
        <v>67</v>
      </c>
      <c r="E3148" t="str">
        <f t="shared" si="152"/>
        <v>014</v>
      </c>
      <c r="F3148" t="s">
        <v>2914</v>
      </c>
      <c r="G3148" t="str">
        <f>"0502"</f>
        <v>0502</v>
      </c>
      <c r="H3148" t="str">
        <f>"0001"</f>
        <v>0001</v>
      </c>
      <c r="I3148" t="s">
        <v>109</v>
      </c>
      <c r="J3148">
        <v>1</v>
      </c>
      <c r="K3148">
        <v>1</v>
      </c>
      <c r="L3148">
        <v>2</v>
      </c>
      <c r="M3148">
        <v>488</v>
      </c>
      <c r="N3148">
        <v>275</v>
      </c>
      <c r="O3148">
        <v>7</v>
      </c>
      <c r="P3148">
        <v>271</v>
      </c>
      <c r="Q3148">
        <v>14</v>
      </c>
      <c r="R3148">
        <v>45</v>
      </c>
      <c r="S3148">
        <v>1</v>
      </c>
      <c r="T3148">
        <v>12</v>
      </c>
      <c r="U3148">
        <v>8</v>
      </c>
      <c r="V3148">
        <v>7</v>
      </c>
      <c r="W3148">
        <v>3</v>
      </c>
      <c r="X3148">
        <v>152</v>
      </c>
      <c r="Y3148">
        <v>5</v>
      </c>
      <c r="Z3148">
        <v>1</v>
      </c>
      <c r="AA3148">
        <v>5</v>
      </c>
      <c r="AB3148">
        <v>5</v>
      </c>
      <c r="AD3148" t="s">
        <v>77</v>
      </c>
      <c r="AE3148" t="s">
        <v>77</v>
      </c>
      <c r="AF3148" t="s">
        <v>77</v>
      </c>
      <c r="AG3148" t="s">
        <v>77</v>
      </c>
      <c r="AH3148" t="s">
        <v>77</v>
      </c>
      <c r="AI3148" t="s">
        <v>77</v>
      </c>
      <c r="AJ3148">
        <v>13</v>
      </c>
      <c r="AK3148" t="s">
        <v>77</v>
      </c>
      <c r="AL3148">
        <v>271</v>
      </c>
      <c r="AM3148">
        <v>718</v>
      </c>
      <c r="AN3148">
        <v>44</v>
      </c>
      <c r="AO3148" t="s">
        <v>78</v>
      </c>
      <c r="AP3148">
        <v>1</v>
      </c>
      <c r="AR3148" t="s">
        <v>3243</v>
      </c>
      <c r="AS3148" s="1">
        <v>44354.001388888886</v>
      </c>
      <c r="AT3148" s="1">
        <v>44354.020613425928</v>
      </c>
      <c r="AU3148" s="1">
        <v>44354.02107638889</v>
      </c>
      <c r="AV3148" t="s">
        <v>71</v>
      </c>
      <c r="AW3148" t="s">
        <v>72</v>
      </c>
      <c r="AX3148" t="s">
        <v>73</v>
      </c>
    </row>
    <row r="3149" spans="1:50" x14ac:dyDescent="0.3">
      <c r="A3149" t="str">
        <f>"200503B0000"</f>
        <v>200503B0000</v>
      </c>
      <c r="B3149" t="str">
        <f>"200503B00002"</f>
        <v>200503B00002</v>
      </c>
      <c r="C3149" t="str">
        <f t="shared" si="155"/>
        <v>20</v>
      </c>
      <c r="D3149" t="s">
        <v>67</v>
      </c>
      <c r="E3149" t="str">
        <f t="shared" si="152"/>
        <v>014</v>
      </c>
      <c r="F3149" t="s">
        <v>2914</v>
      </c>
      <c r="G3149" t="str">
        <f>"0503"</f>
        <v>0503</v>
      </c>
      <c r="H3149" t="str">
        <f>"0000"</f>
        <v>0000</v>
      </c>
      <c r="I3149" t="s">
        <v>69</v>
      </c>
      <c r="J3149">
        <v>0</v>
      </c>
      <c r="K3149">
        <v>1</v>
      </c>
      <c r="L3149">
        <v>2</v>
      </c>
      <c r="M3149">
        <v>239</v>
      </c>
      <c r="N3149">
        <v>304</v>
      </c>
      <c r="O3149">
        <v>8</v>
      </c>
      <c r="P3149">
        <v>304</v>
      </c>
      <c r="Q3149">
        <v>13</v>
      </c>
      <c r="R3149">
        <v>53</v>
      </c>
      <c r="S3149">
        <v>5</v>
      </c>
      <c r="T3149">
        <v>7</v>
      </c>
      <c r="U3149">
        <v>9</v>
      </c>
      <c r="V3149">
        <v>13</v>
      </c>
      <c r="W3149">
        <v>2</v>
      </c>
      <c r="X3149">
        <v>159</v>
      </c>
      <c r="Y3149">
        <v>9</v>
      </c>
      <c r="Z3149">
        <v>8</v>
      </c>
      <c r="AA3149">
        <v>7</v>
      </c>
      <c r="AB3149">
        <v>9</v>
      </c>
      <c r="AD3149">
        <v>1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9</v>
      </c>
      <c r="AK3149">
        <v>304</v>
      </c>
      <c r="AL3149">
        <v>304</v>
      </c>
      <c r="AM3149">
        <v>499</v>
      </c>
      <c r="AN3149">
        <v>44</v>
      </c>
      <c r="AP3149">
        <v>1</v>
      </c>
      <c r="AR3149" t="s">
        <v>3244</v>
      </c>
      <c r="AS3149" s="1">
        <v>44354.002083333333</v>
      </c>
      <c r="AT3149" s="1">
        <v>44354.021921296298</v>
      </c>
      <c r="AU3149" s="1">
        <v>44354.022534722222</v>
      </c>
      <c r="AV3149" t="s">
        <v>71</v>
      </c>
      <c r="AW3149" t="s">
        <v>72</v>
      </c>
      <c r="AX3149" t="s">
        <v>73</v>
      </c>
    </row>
    <row r="3150" spans="1:50" x14ac:dyDescent="0.3">
      <c r="A3150" t="str">
        <f>"200503C0100"</f>
        <v>200503C0100</v>
      </c>
      <c r="B3150" t="str">
        <f>"200503C01002"</f>
        <v>200503C01002</v>
      </c>
      <c r="C3150" t="str">
        <f t="shared" si="155"/>
        <v>20</v>
      </c>
      <c r="D3150" t="s">
        <v>67</v>
      </c>
      <c r="E3150" t="str">
        <f t="shared" si="152"/>
        <v>014</v>
      </c>
      <c r="F3150" t="s">
        <v>2914</v>
      </c>
      <c r="G3150" t="str">
        <f>"0503"</f>
        <v>0503</v>
      </c>
      <c r="H3150" t="str">
        <f>"0001"</f>
        <v>0001</v>
      </c>
      <c r="I3150" t="s">
        <v>75</v>
      </c>
      <c r="J3150">
        <v>0</v>
      </c>
      <c r="K3150">
        <v>1</v>
      </c>
      <c r="L3150">
        <v>2</v>
      </c>
      <c r="M3150">
        <v>266</v>
      </c>
      <c r="N3150">
        <v>277</v>
      </c>
      <c r="O3150">
        <v>7</v>
      </c>
      <c r="P3150">
        <v>277</v>
      </c>
      <c r="Q3150">
        <v>12</v>
      </c>
      <c r="R3150">
        <v>55</v>
      </c>
      <c r="S3150">
        <v>1</v>
      </c>
      <c r="T3150">
        <v>16</v>
      </c>
      <c r="U3150">
        <v>11</v>
      </c>
      <c r="V3150">
        <v>5</v>
      </c>
      <c r="W3150">
        <v>0</v>
      </c>
      <c r="X3150">
        <v>138</v>
      </c>
      <c r="Y3150">
        <v>8</v>
      </c>
      <c r="Z3150">
        <v>7</v>
      </c>
      <c r="AA3150">
        <v>4</v>
      </c>
      <c r="AB3150">
        <v>7</v>
      </c>
      <c r="AD3150">
        <v>4</v>
      </c>
      <c r="AE3150">
        <v>0</v>
      </c>
      <c r="AF3150">
        <v>0</v>
      </c>
      <c r="AG3150">
        <v>0</v>
      </c>
      <c r="AH3150">
        <v>2</v>
      </c>
      <c r="AI3150">
        <v>0</v>
      </c>
      <c r="AJ3150">
        <v>7</v>
      </c>
      <c r="AK3150">
        <v>277</v>
      </c>
      <c r="AL3150">
        <v>277</v>
      </c>
      <c r="AM3150">
        <v>499</v>
      </c>
      <c r="AN3150">
        <v>44</v>
      </c>
      <c r="AP3150">
        <v>1</v>
      </c>
      <c r="AR3150" t="s">
        <v>3245</v>
      </c>
      <c r="AS3150" s="1">
        <v>44354.002083333333</v>
      </c>
      <c r="AT3150" s="1">
        <v>44354.022187499999</v>
      </c>
      <c r="AU3150" s="1">
        <v>44354.022974537038</v>
      </c>
      <c r="AV3150" t="s">
        <v>71</v>
      </c>
      <c r="AW3150" t="s">
        <v>72</v>
      </c>
      <c r="AX3150" t="s">
        <v>73</v>
      </c>
    </row>
    <row r="3151" spans="1:50" x14ac:dyDescent="0.3">
      <c r="A3151" t="str">
        <f>"200506B0000"</f>
        <v>200506B0000</v>
      </c>
      <c r="B3151" t="str">
        <f>"200506B00002"</f>
        <v>200506B00002</v>
      </c>
      <c r="C3151" t="str">
        <f t="shared" si="155"/>
        <v>20</v>
      </c>
      <c r="D3151" t="s">
        <v>67</v>
      </c>
      <c r="E3151" t="str">
        <f t="shared" si="152"/>
        <v>014</v>
      </c>
      <c r="F3151" t="s">
        <v>2914</v>
      </c>
      <c r="G3151" t="str">
        <f>"0506"</f>
        <v>0506</v>
      </c>
      <c r="H3151" t="str">
        <f>"0000"</f>
        <v>0000</v>
      </c>
      <c r="I3151" t="s">
        <v>69</v>
      </c>
      <c r="J3151">
        <v>0</v>
      </c>
      <c r="K3151">
        <v>1</v>
      </c>
      <c r="L3151">
        <v>2</v>
      </c>
      <c r="M3151">
        <v>283</v>
      </c>
      <c r="N3151">
        <v>291</v>
      </c>
      <c r="O3151">
        <v>3</v>
      </c>
      <c r="P3151">
        <v>291</v>
      </c>
      <c r="Q3151">
        <v>13</v>
      </c>
      <c r="R3151">
        <v>37</v>
      </c>
      <c r="S3151">
        <v>0</v>
      </c>
      <c r="T3151">
        <v>8</v>
      </c>
      <c r="U3151">
        <v>10</v>
      </c>
      <c r="V3151">
        <v>7</v>
      </c>
      <c r="W3151">
        <v>2</v>
      </c>
      <c r="X3151">
        <v>173</v>
      </c>
      <c r="Y3151">
        <v>9</v>
      </c>
      <c r="Z3151">
        <v>3</v>
      </c>
      <c r="AA3151">
        <v>5</v>
      </c>
      <c r="AB3151">
        <v>14</v>
      </c>
      <c r="AD3151">
        <v>3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7</v>
      </c>
      <c r="AK3151">
        <v>291</v>
      </c>
      <c r="AL3151">
        <v>291</v>
      </c>
      <c r="AM3151">
        <v>530</v>
      </c>
      <c r="AN3151">
        <v>44</v>
      </c>
      <c r="AP3151">
        <v>1</v>
      </c>
      <c r="AR3151" t="s">
        <v>3246</v>
      </c>
      <c r="AS3151" s="1">
        <v>44354.025694444441</v>
      </c>
      <c r="AT3151" s="1">
        <v>44354.062060185184</v>
      </c>
      <c r="AU3151" s="1">
        <v>44354.062407407408</v>
      </c>
      <c r="AV3151" t="s">
        <v>71</v>
      </c>
      <c r="AW3151" t="s">
        <v>72</v>
      </c>
      <c r="AX3151" t="s">
        <v>73</v>
      </c>
    </row>
    <row r="3152" spans="1:50" x14ac:dyDescent="0.3">
      <c r="A3152" t="str">
        <f>"200506C0100"</f>
        <v>200506C0100</v>
      </c>
      <c r="B3152" t="str">
        <f>"200506C01002"</f>
        <v>200506C01002</v>
      </c>
      <c r="C3152" t="str">
        <f t="shared" si="155"/>
        <v>20</v>
      </c>
      <c r="D3152" t="s">
        <v>67</v>
      </c>
      <c r="E3152" t="str">
        <f t="shared" si="152"/>
        <v>014</v>
      </c>
      <c r="F3152" t="s">
        <v>2914</v>
      </c>
      <c r="G3152" t="str">
        <f>"0506"</f>
        <v>0506</v>
      </c>
      <c r="H3152" t="str">
        <f>"0001"</f>
        <v>0001</v>
      </c>
      <c r="I3152" t="s">
        <v>75</v>
      </c>
      <c r="J3152">
        <v>0</v>
      </c>
      <c r="K3152">
        <v>1</v>
      </c>
      <c r="L3152">
        <v>2</v>
      </c>
      <c r="M3152">
        <v>267</v>
      </c>
      <c r="N3152">
        <v>305</v>
      </c>
      <c r="O3152">
        <v>2</v>
      </c>
      <c r="P3152">
        <v>306</v>
      </c>
      <c r="Q3152">
        <v>16</v>
      </c>
      <c r="R3152">
        <v>43</v>
      </c>
      <c r="S3152">
        <v>2</v>
      </c>
      <c r="T3152">
        <v>10</v>
      </c>
      <c r="U3152">
        <v>13</v>
      </c>
      <c r="V3152">
        <v>5</v>
      </c>
      <c r="W3152">
        <v>3</v>
      </c>
      <c r="X3152">
        <v>181</v>
      </c>
      <c r="Y3152">
        <v>8</v>
      </c>
      <c r="Z3152">
        <v>3</v>
      </c>
      <c r="AA3152">
        <v>8</v>
      </c>
      <c r="AB3152">
        <v>4</v>
      </c>
      <c r="AD3152">
        <v>1</v>
      </c>
      <c r="AE3152">
        <v>1</v>
      </c>
      <c r="AF3152">
        <v>0</v>
      </c>
      <c r="AG3152">
        <v>0</v>
      </c>
      <c r="AH3152">
        <v>0</v>
      </c>
      <c r="AI3152">
        <v>0</v>
      </c>
      <c r="AJ3152">
        <v>8</v>
      </c>
      <c r="AK3152">
        <v>306</v>
      </c>
      <c r="AL3152">
        <v>306</v>
      </c>
      <c r="AM3152">
        <v>529</v>
      </c>
      <c r="AN3152">
        <v>44</v>
      </c>
      <c r="AP3152">
        <v>1</v>
      </c>
      <c r="AR3152" t="s">
        <v>3247</v>
      </c>
      <c r="AS3152" s="1">
        <v>44353.979861111111</v>
      </c>
      <c r="AT3152" s="1">
        <v>44353.986527777779</v>
      </c>
      <c r="AU3152" s="1">
        <v>44353.987233796295</v>
      </c>
      <c r="AV3152" t="s">
        <v>71</v>
      </c>
      <c r="AW3152" t="s">
        <v>72</v>
      </c>
      <c r="AX3152" t="s">
        <v>73</v>
      </c>
    </row>
    <row r="3153" spans="1:50" x14ac:dyDescent="0.3">
      <c r="A3153" t="str">
        <f>"200507B0000"</f>
        <v>200507B0000</v>
      </c>
      <c r="B3153" t="str">
        <f>"200507B00002"</f>
        <v>200507B00002</v>
      </c>
      <c r="C3153" t="str">
        <f t="shared" si="155"/>
        <v>20</v>
      </c>
      <c r="D3153" t="s">
        <v>67</v>
      </c>
      <c r="E3153" t="str">
        <f t="shared" si="152"/>
        <v>014</v>
      </c>
      <c r="F3153" t="s">
        <v>2914</v>
      </c>
      <c r="G3153" t="str">
        <f>"0507"</f>
        <v>0507</v>
      </c>
      <c r="H3153" t="str">
        <f>"0000"</f>
        <v>0000</v>
      </c>
      <c r="I3153" t="s">
        <v>69</v>
      </c>
      <c r="J3153">
        <v>0</v>
      </c>
      <c r="K3153">
        <v>1</v>
      </c>
      <c r="L3153">
        <v>2</v>
      </c>
      <c r="M3153">
        <v>293</v>
      </c>
      <c r="N3153">
        <v>313</v>
      </c>
      <c r="O3153">
        <v>4</v>
      </c>
      <c r="P3153">
        <v>313</v>
      </c>
      <c r="Q3153">
        <v>33</v>
      </c>
      <c r="R3153">
        <v>78</v>
      </c>
      <c r="S3153">
        <v>3</v>
      </c>
      <c r="T3153">
        <v>8</v>
      </c>
      <c r="U3153">
        <v>6</v>
      </c>
      <c r="V3153">
        <v>20</v>
      </c>
      <c r="W3153">
        <v>3</v>
      </c>
      <c r="X3153">
        <v>115</v>
      </c>
      <c r="Y3153">
        <v>16</v>
      </c>
      <c r="Z3153">
        <v>4</v>
      </c>
      <c r="AA3153">
        <v>1</v>
      </c>
      <c r="AB3153">
        <v>15</v>
      </c>
      <c r="AD3153">
        <v>1</v>
      </c>
      <c r="AE3153">
        <v>1</v>
      </c>
      <c r="AF3153">
        <v>0</v>
      </c>
      <c r="AG3153">
        <v>0</v>
      </c>
      <c r="AH3153">
        <v>0</v>
      </c>
      <c r="AI3153">
        <v>0</v>
      </c>
      <c r="AJ3153">
        <v>9</v>
      </c>
      <c r="AK3153">
        <v>313</v>
      </c>
      <c r="AL3153">
        <v>313</v>
      </c>
      <c r="AM3153">
        <v>562</v>
      </c>
      <c r="AN3153">
        <v>44</v>
      </c>
      <c r="AP3153">
        <v>1</v>
      </c>
      <c r="AR3153" t="s">
        <v>3248</v>
      </c>
      <c r="AS3153" s="1">
        <v>44353.993055555555</v>
      </c>
      <c r="AT3153" s="1">
        <v>44354.002650462964</v>
      </c>
      <c r="AU3153" s="1">
        <v>44354.004259259258</v>
      </c>
      <c r="AV3153" t="s">
        <v>71</v>
      </c>
      <c r="AW3153" t="s">
        <v>72</v>
      </c>
      <c r="AX3153" t="s">
        <v>73</v>
      </c>
    </row>
    <row r="3154" spans="1:50" x14ac:dyDescent="0.3">
      <c r="A3154" t="str">
        <f>"200507C0100"</f>
        <v>200507C0100</v>
      </c>
      <c r="B3154" t="str">
        <f>"200507C01002"</f>
        <v>200507C01002</v>
      </c>
      <c r="C3154" t="str">
        <f t="shared" si="155"/>
        <v>20</v>
      </c>
      <c r="D3154" t="s">
        <v>67</v>
      </c>
      <c r="E3154" t="str">
        <f t="shared" si="152"/>
        <v>014</v>
      </c>
      <c r="F3154" t="s">
        <v>2914</v>
      </c>
      <c r="G3154" t="str">
        <f>"0507"</f>
        <v>0507</v>
      </c>
      <c r="H3154" t="str">
        <f>"0001"</f>
        <v>0001</v>
      </c>
      <c r="I3154" t="s">
        <v>75</v>
      </c>
      <c r="J3154">
        <v>0</v>
      </c>
      <c r="K3154">
        <v>1</v>
      </c>
      <c r="L3154">
        <v>2</v>
      </c>
      <c r="M3154">
        <v>277</v>
      </c>
      <c r="N3154">
        <v>329</v>
      </c>
      <c r="O3154">
        <v>4</v>
      </c>
      <c r="P3154">
        <v>329</v>
      </c>
      <c r="Q3154">
        <v>46</v>
      </c>
      <c r="R3154">
        <v>81</v>
      </c>
      <c r="S3154">
        <v>0</v>
      </c>
      <c r="T3154">
        <v>3</v>
      </c>
      <c r="U3154">
        <v>9</v>
      </c>
      <c r="V3154">
        <v>14</v>
      </c>
      <c r="W3154">
        <v>4</v>
      </c>
      <c r="X3154">
        <v>120</v>
      </c>
      <c r="Y3154">
        <v>16</v>
      </c>
      <c r="Z3154">
        <v>5</v>
      </c>
      <c r="AA3154">
        <v>3</v>
      </c>
      <c r="AB3154">
        <v>12</v>
      </c>
      <c r="AD3154">
        <v>3</v>
      </c>
      <c r="AE3154">
        <v>0</v>
      </c>
      <c r="AF3154">
        <v>0</v>
      </c>
      <c r="AG3154">
        <v>0</v>
      </c>
      <c r="AH3154">
        <v>0</v>
      </c>
      <c r="AI3154">
        <v>1</v>
      </c>
      <c r="AJ3154">
        <v>12</v>
      </c>
      <c r="AK3154">
        <v>329</v>
      </c>
      <c r="AL3154">
        <v>329</v>
      </c>
      <c r="AM3154">
        <v>562</v>
      </c>
      <c r="AN3154">
        <v>44</v>
      </c>
      <c r="AP3154">
        <v>1</v>
      </c>
      <c r="AR3154" t="s">
        <v>3249</v>
      </c>
      <c r="AS3154" s="1">
        <v>44353.770833333336</v>
      </c>
      <c r="AT3154" s="1">
        <v>44354.014687499999</v>
      </c>
      <c r="AU3154" s="1">
        <v>44354.025173611109</v>
      </c>
      <c r="AV3154" t="s">
        <v>71</v>
      </c>
      <c r="AW3154" t="s">
        <v>72</v>
      </c>
      <c r="AX3154" t="s">
        <v>73</v>
      </c>
    </row>
    <row r="3155" spans="1:50" x14ac:dyDescent="0.3">
      <c r="A3155" t="str">
        <f>"200507C0200"</f>
        <v>200507C0200</v>
      </c>
      <c r="B3155" t="str">
        <f>"200507C02002"</f>
        <v>200507C02002</v>
      </c>
      <c r="C3155" t="str">
        <f t="shared" si="155"/>
        <v>20</v>
      </c>
      <c r="D3155" t="s">
        <v>67</v>
      </c>
      <c r="E3155" t="str">
        <f t="shared" si="152"/>
        <v>014</v>
      </c>
      <c r="F3155" t="s">
        <v>2914</v>
      </c>
      <c r="G3155" t="str">
        <f>"0507"</f>
        <v>0507</v>
      </c>
      <c r="H3155" t="str">
        <f>"0002"</f>
        <v>0002</v>
      </c>
      <c r="I3155" t="s">
        <v>75</v>
      </c>
      <c r="J3155">
        <v>0</v>
      </c>
      <c r="K3155">
        <v>1</v>
      </c>
      <c r="L3155">
        <v>2</v>
      </c>
      <c r="M3155">
        <v>282</v>
      </c>
      <c r="N3155" t="s">
        <v>99</v>
      </c>
      <c r="O3155">
        <v>3</v>
      </c>
      <c r="P3155">
        <v>324</v>
      </c>
      <c r="Q3155">
        <v>40</v>
      </c>
      <c r="R3155">
        <v>82</v>
      </c>
      <c r="S3155">
        <v>3</v>
      </c>
      <c r="T3155">
        <v>7</v>
      </c>
      <c r="U3155">
        <v>10</v>
      </c>
      <c r="V3155">
        <v>16</v>
      </c>
      <c r="W3155">
        <v>2</v>
      </c>
      <c r="X3155">
        <v>127</v>
      </c>
      <c r="Y3155">
        <v>11</v>
      </c>
      <c r="Z3155">
        <v>2</v>
      </c>
      <c r="AA3155">
        <v>1</v>
      </c>
      <c r="AB3155">
        <v>9</v>
      </c>
      <c r="AD3155">
        <v>4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10</v>
      </c>
      <c r="AK3155">
        <v>324</v>
      </c>
      <c r="AL3155">
        <v>324</v>
      </c>
      <c r="AM3155">
        <v>562</v>
      </c>
      <c r="AN3155">
        <v>44</v>
      </c>
      <c r="AP3155">
        <v>1</v>
      </c>
      <c r="AR3155" t="s">
        <v>3250</v>
      </c>
      <c r="AS3155" s="1">
        <v>44353.770138888889</v>
      </c>
      <c r="AT3155" s="1">
        <v>44354.006331018521</v>
      </c>
      <c r="AU3155" s="1">
        <v>44354.006851851853</v>
      </c>
      <c r="AV3155" t="s">
        <v>71</v>
      </c>
      <c r="AW3155" t="s">
        <v>72</v>
      </c>
      <c r="AX3155" t="s">
        <v>73</v>
      </c>
    </row>
    <row r="3156" spans="1:50" x14ac:dyDescent="0.3">
      <c r="A3156" t="str">
        <f>"200508B0000"</f>
        <v>200508B0000</v>
      </c>
      <c r="B3156" t="str">
        <f>"200508B00002"</f>
        <v>200508B00002</v>
      </c>
      <c r="C3156" t="str">
        <f t="shared" si="155"/>
        <v>20</v>
      </c>
      <c r="D3156" t="s">
        <v>67</v>
      </c>
      <c r="E3156" t="str">
        <f t="shared" si="152"/>
        <v>014</v>
      </c>
      <c r="F3156" t="s">
        <v>2914</v>
      </c>
      <c r="G3156" t="str">
        <f>"0508"</f>
        <v>0508</v>
      </c>
      <c r="H3156" t="str">
        <f>"0000"</f>
        <v>0000</v>
      </c>
      <c r="I3156" t="s">
        <v>69</v>
      </c>
      <c r="J3156">
        <v>0</v>
      </c>
      <c r="K3156">
        <v>1</v>
      </c>
      <c r="L3156">
        <v>2</v>
      </c>
      <c r="M3156">
        <v>294</v>
      </c>
      <c r="N3156">
        <v>330</v>
      </c>
      <c r="O3156">
        <v>4</v>
      </c>
      <c r="P3156">
        <v>330</v>
      </c>
      <c r="Q3156">
        <v>54</v>
      </c>
      <c r="R3156">
        <v>75</v>
      </c>
      <c r="S3156">
        <v>6</v>
      </c>
      <c r="T3156">
        <v>9</v>
      </c>
      <c r="U3156">
        <v>8</v>
      </c>
      <c r="V3156">
        <v>10</v>
      </c>
      <c r="W3156">
        <v>5</v>
      </c>
      <c r="X3156">
        <v>127</v>
      </c>
      <c r="Y3156">
        <v>11</v>
      </c>
      <c r="Z3156">
        <v>5</v>
      </c>
      <c r="AA3156">
        <v>2</v>
      </c>
      <c r="AB3156">
        <v>6</v>
      </c>
      <c r="AD3156">
        <v>1</v>
      </c>
      <c r="AE3156">
        <v>1</v>
      </c>
      <c r="AF3156">
        <v>0</v>
      </c>
      <c r="AG3156">
        <v>0</v>
      </c>
      <c r="AH3156">
        <v>0</v>
      </c>
      <c r="AI3156">
        <v>0</v>
      </c>
      <c r="AJ3156">
        <v>10</v>
      </c>
      <c r="AK3156">
        <v>330</v>
      </c>
      <c r="AL3156">
        <v>330</v>
      </c>
      <c r="AM3156">
        <v>580</v>
      </c>
      <c r="AN3156">
        <v>44</v>
      </c>
      <c r="AP3156">
        <v>1</v>
      </c>
      <c r="AR3156" t="s">
        <v>3251</v>
      </c>
      <c r="AS3156" s="1">
        <v>44353.75</v>
      </c>
      <c r="AT3156" s="1">
        <v>44354.228518518517</v>
      </c>
      <c r="AU3156" s="1">
        <v>44354.228750000002</v>
      </c>
      <c r="AV3156" t="s">
        <v>71</v>
      </c>
      <c r="AW3156" t="s">
        <v>72</v>
      </c>
      <c r="AX3156" t="s">
        <v>73</v>
      </c>
    </row>
    <row r="3157" spans="1:50" x14ac:dyDescent="0.3">
      <c r="A3157" t="str">
        <f>"200508C0100"</f>
        <v>200508C0100</v>
      </c>
      <c r="B3157" t="str">
        <f>"200508C01002"</f>
        <v>200508C01002</v>
      </c>
      <c r="C3157" t="str">
        <f t="shared" si="155"/>
        <v>20</v>
      </c>
      <c r="D3157" t="s">
        <v>67</v>
      </c>
      <c r="E3157" t="str">
        <f t="shared" si="152"/>
        <v>014</v>
      </c>
      <c r="F3157" t="s">
        <v>2914</v>
      </c>
      <c r="G3157" t="str">
        <f>"0508"</f>
        <v>0508</v>
      </c>
      <c r="H3157" t="str">
        <f>"0001"</f>
        <v>0001</v>
      </c>
      <c r="I3157" t="s">
        <v>75</v>
      </c>
      <c r="J3157">
        <v>0</v>
      </c>
      <c r="K3157">
        <v>1</v>
      </c>
      <c r="L3157">
        <v>2</v>
      </c>
      <c r="M3157">
        <v>298</v>
      </c>
      <c r="N3157">
        <v>334</v>
      </c>
      <c r="O3157">
        <v>5</v>
      </c>
      <c r="P3157">
        <v>334</v>
      </c>
      <c r="Q3157">
        <v>54</v>
      </c>
      <c r="R3157">
        <v>79</v>
      </c>
      <c r="S3157">
        <v>4</v>
      </c>
      <c r="T3157">
        <v>8</v>
      </c>
      <c r="U3157">
        <v>9</v>
      </c>
      <c r="V3157">
        <v>9</v>
      </c>
      <c r="W3157">
        <v>6</v>
      </c>
      <c r="X3157">
        <v>131</v>
      </c>
      <c r="Y3157">
        <v>8</v>
      </c>
      <c r="Z3157">
        <v>6</v>
      </c>
      <c r="AA3157">
        <v>1</v>
      </c>
      <c r="AB3157">
        <v>8</v>
      </c>
      <c r="AD3157">
        <v>2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7</v>
      </c>
      <c r="AK3157">
        <v>334</v>
      </c>
      <c r="AL3157">
        <v>332</v>
      </c>
      <c r="AM3157">
        <v>579</v>
      </c>
      <c r="AN3157">
        <v>44</v>
      </c>
      <c r="AP3157">
        <v>1</v>
      </c>
      <c r="AR3157" t="s">
        <v>3252</v>
      </c>
      <c r="AS3157" s="1">
        <v>44354.020833333336</v>
      </c>
      <c r="AT3157" s="1">
        <v>44354.057766203703</v>
      </c>
      <c r="AU3157" s="1">
        <v>44354.058425925927</v>
      </c>
      <c r="AV3157" t="s">
        <v>71</v>
      </c>
      <c r="AW3157" t="s">
        <v>72</v>
      </c>
      <c r="AX3157" t="s">
        <v>73</v>
      </c>
    </row>
    <row r="3158" spans="1:50" x14ac:dyDescent="0.3">
      <c r="A3158" t="str">
        <f>"200509B0000"</f>
        <v>200509B0000</v>
      </c>
      <c r="B3158" t="str">
        <f>"200509B00002"</f>
        <v>200509B00002</v>
      </c>
      <c r="C3158" t="str">
        <f t="shared" si="155"/>
        <v>20</v>
      </c>
      <c r="D3158" t="s">
        <v>67</v>
      </c>
      <c r="E3158" t="str">
        <f t="shared" si="152"/>
        <v>014</v>
      </c>
      <c r="F3158" t="s">
        <v>2914</v>
      </c>
      <c r="G3158" t="str">
        <f>"0509"</f>
        <v>0509</v>
      </c>
      <c r="H3158" t="str">
        <f>"0000"</f>
        <v>0000</v>
      </c>
      <c r="I3158" t="s">
        <v>69</v>
      </c>
      <c r="J3158">
        <v>0</v>
      </c>
      <c r="K3158">
        <v>1</v>
      </c>
      <c r="L3158">
        <v>2</v>
      </c>
      <c r="M3158">
        <v>285</v>
      </c>
      <c r="N3158">
        <v>412</v>
      </c>
      <c r="O3158">
        <v>7</v>
      </c>
      <c r="P3158">
        <v>412</v>
      </c>
      <c r="Q3158">
        <v>52</v>
      </c>
      <c r="R3158">
        <v>99</v>
      </c>
      <c r="S3158">
        <v>4</v>
      </c>
      <c r="T3158">
        <v>10</v>
      </c>
      <c r="U3158">
        <v>6</v>
      </c>
      <c r="V3158">
        <v>10</v>
      </c>
      <c r="W3158">
        <v>3</v>
      </c>
      <c r="X3158">
        <v>177</v>
      </c>
      <c r="Y3158">
        <v>9</v>
      </c>
      <c r="Z3158">
        <v>16</v>
      </c>
      <c r="AA3158">
        <v>3</v>
      </c>
      <c r="AB3158">
        <v>10</v>
      </c>
      <c r="AD3158">
        <v>2</v>
      </c>
      <c r="AE3158">
        <v>1</v>
      </c>
      <c r="AF3158">
        <v>0</v>
      </c>
      <c r="AG3158">
        <v>0</v>
      </c>
      <c r="AH3158">
        <v>0</v>
      </c>
      <c r="AI3158">
        <v>0</v>
      </c>
      <c r="AJ3158">
        <v>10</v>
      </c>
      <c r="AK3158">
        <v>412</v>
      </c>
      <c r="AL3158">
        <v>412</v>
      </c>
      <c r="AM3158">
        <v>663</v>
      </c>
      <c r="AN3158">
        <v>44</v>
      </c>
      <c r="AP3158">
        <v>1</v>
      </c>
      <c r="AR3158" t="s">
        <v>3253</v>
      </c>
      <c r="AS3158" s="1">
        <v>44354.022222222222</v>
      </c>
      <c r="AT3158" s="1">
        <v>44354.058958333335</v>
      </c>
      <c r="AU3158" s="1">
        <v>44354.059641203705</v>
      </c>
      <c r="AV3158" t="s">
        <v>71</v>
      </c>
      <c r="AW3158" t="s">
        <v>72</v>
      </c>
      <c r="AX3158" t="s">
        <v>73</v>
      </c>
    </row>
    <row r="3159" spans="1:50" x14ac:dyDescent="0.3">
      <c r="A3159" t="str">
        <f>"200509C0100"</f>
        <v>200509C0100</v>
      </c>
      <c r="B3159" t="str">
        <f>"200509C01002"</f>
        <v>200509C01002</v>
      </c>
      <c r="C3159" t="str">
        <f t="shared" si="155"/>
        <v>20</v>
      </c>
      <c r="D3159" t="s">
        <v>67</v>
      </c>
      <c r="E3159" t="str">
        <f t="shared" si="152"/>
        <v>014</v>
      </c>
      <c r="F3159" t="s">
        <v>2914</v>
      </c>
      <c r="G3159" t="str">
        <f>"0509"</f>
        <v>0509</v>
      </c>
      <c r="H3159" t="str">
        <f>"0001"</f>
        <v>0001</v>
      </c>
      <c r="I3159" t="s">
        <v>75</v>
      </c>
      <c r="J3159">
        <v>0</v>
      </c>
      <c r="K3159">
        <v>1</v>
      </c>
      <c r="L3159">
        <v>2</v>
      </c>
      <c r="M3159">
        <v>317</v>
      </c>
      <c r="N3159" t="s">
        <v>99</v>
      </c>
      <c r="O3159">
        <v>7</v>
      </c>
      <c r="P3159">
        <v>390</v>
      </c>
      <c r="Q3159">
        <v>51</v>
      </c>
      <c r="R3159">
        <v>92</v>
      </c>
      <c r="S3159">
        <v>3</v>
      </c>
      <c r="T3159">
        <v>10</v>
      </c>
      <c r="U3159">
        <v>6</v>
      </c>
      <c r="V3159">
        <v>13</v>
      </c>
      <c r="W3159">
        <v>2</v>
      </c>
      <c r="X3159">
        <v>156</v>
      </c>
      <c r="Y3159">
        <v>7</v>
      </c>
      <c r="Z3159">
        <v>8</v>
      </c>
      <c r="AA3159">
        <v>5</v>
      </c>
      <c r="AB3159">
        <v>19</v>
      </c>
      <c r="AD3159">
        <v>2</v>
      </c>
      <c r="AE3159">
        <v>1</v>
      </c>
      <c r="AF3159">
        <v>0</v>
      </c>
      <c r="AG3159">
        <v>0</v>
      </c>
      <c r="AH3159">
        <v>0</v>
      </c>
      <c r="AI3159">
        <v>0</v>
      </c>
      <c r="AJ3159">
        <v>15</v>
      </c>
      <c r="AK3159">
        <v>390</v>
      </c>
      <c r="AL3159">
        <v>390</v>
      </c>
      <c r="AM3159">
        <v>663</v>
      </c>
      <c r="AN3159">
        <v>44</v>
      </c>
      <c r="AP3159">
        <v>1</v>
      </c>
      <c r="AR3159" t="s">
        <v>3254</v>
      </c>
      <c r="AS3159" s="1">
        <v>44354.022222222222</v>
      </c>
      <c r="AT3159" s="1">
        <v>44354.058356481481</v>
      </c>
      <c r="AU3159" s="1">
        <v>44354.059201388889</v>
      </c>
      <c r="AV3159" t="s">
        <v>71</v>
      </c>
      <c r="AW3159" t="s">
        <v>72</v>
      </c>
      <c r="AX3159" t="s">
        <v>73</v>
      </c>
    </row>
    <row r="3160" spans="1:50" x14ac:dyDescent="0.3">
      <c r="A3160" t="str">
        <f>"200510B0000"</f>
        <v>200510B0000</v>
      </c>
      <c r="B3160" t="str">
        <f>"200510B00002"</f>
        <v>200510B00002</v>
      </c>
      <c r="C3160" t="str">
        <f t="shared" si="155"/>
        <v>20</v>
      </c>
      <c r="D3160" t="s">
        <v>67</v>
      </c>
      <c r="E3160" t="str">
        <f t="shared" si="152"/>
        <v>014</v>
      </c>
      <c r="F3160" t="s">
        <v>2914</v>
      </c>
      <c r="G3160" t="str">
        <f>"0510"</f>
        <v>0510</v>
      </c>
      <c r="H3160" t="str">
        <f>"0000"</f>
        <v>0000</v>
      </c>
      <c r="I3160" t="s">
        <v>69</v>
      </c>
      <c r="J3160">
        <v>0</v>
      </c>
      <c r="K3160">
        <v>1</v>
      </c>
      <c r="L3160">
        <v>2</v>
      </c>
      <c r="M3160">
        <v>273</v>
      </c>
      <c r="N3160" t="s">
        <v>80</v>
      </c>
      <c r="O3160">
        <v>5</v>
      </c>
      <c r="P3160" t="s">
        <v>80</v>
      </c>
      <c r="Q3160">
        <v>45</v>
      </c>
      <c r="R3160">
        <v>126</v>
      </c>
      <c r="S3160">
        <v>5</v>
      </c>
      <c r="T3160">
        <v>16</v>
      </c>
      <c r="U3160">
        <v>7</v>
      </c>
      <c r="V3160">
        <v>8</v>
      </c>
      <c r="W3160">
        <v>1</v>
      </c>
      <c r="X3160">
        <v>175</v>
      </c>
      <c r="Y3160">
        <v>9</v>
      </c>
      <c r="Z3160">
        <v>6</v>
      </c>
      <c r="AA3160">
        <v>4</v>
      </c>
      <c r="AB3160">
        <v>7</v>
      </c>
      <c r="AD3160">
        <v>6</v>
      </c>
      <c r="AE3160">
        <v>1</v>
      </c>
      <c r="AF3160">
        <v>0</v>
      </c>
      <c r="AG3160">
        <v>0</v>
      </c>
      <c r="AH3160">
        <v>1</v>
      </c>
      <c r="AI3160">
        <v>2</v>
      </c>
      <c r="AJ3160">
        <v>15</v>
      </c>
      <c r="AK3160">
        <v>434</v>
      </c>
      <c r="AL3160">
        <v>434</v>
      </c>
      <c r="AM3160">
        <v>664</v>
      </c>
      <c r="AN3160">
        <v>44</v>
      </c>
      <c r="AP3160">
        <v>1</v>
      </c>
      <c r="AR3160" t="s">
        <v>3255</v>
      </c>
      <c r="AS3160" s="1">
        <v>44354.013194444444</v>
      </c>
      <c r="AT3160" s="1">
        <v>44354.040532407409</v>
      </c>
      <c r="AU3160" s="1">
        <v>44354.041365740741</v>
      </c>
      <c r="AV3160" t="s">
        <v>71</v>
      </c>
      <c r="AW3160" t="s">
        <v>72</v>
      </c>
      <c r="AX3160" t="s">
        <v>73</v>
      </c>
    </row>
    <row r="3161" spans="1:50" x14ac:dyDescent="0.3">
      <c r="A3161" t="str">
        <f>"200510C0100"</f>
        <v>200510C0100</v>
      </c>
      <c r="B3161" t="str">
        <f>"200510C01002"</f>
        <v>200510C01002</v>
      </c>
      <c r="C3161" t="str">
        <f t="shared" si="155"/>
        <v>20</v>
      </c>
      <c r="D3161" t="s">
        <v>67</v>
      </c>
      <c r="E3161" t="str">
        <f t="shared" si="152"/>
        <v>014</v>
      </c>
      <c r="F3161" t="s">
        <v>2914</v>
      </c>
      <c r="G3161" t="str">
        <f>"0510"</f>
        <v>0510</v>
      </c>
      <c r="H3161" t="str">
        <f>"0001"</f>
        <v>0001</v>
      </c>
      <c r="I3161" t="s">
        <v>75</v>
      </c>
      <c r="J3161">
        <v>0</v>
      </c>
      <c r="K3161">
        <v>1</v>
      </c>
      <c r="L3161">
        <v>2</v>
      </c>
      <c r="M3161">
        <v>266</v>
      </c>
      <c r="N3161">
        <v>440</v>
      </c>
      <c r="O3161">
        <v>5</v>
      </c>
      <c r="P3161">
        <v>444</v>
      </c>
      <c r="Q3161">
        <v>40</v>
      </c>
      <c r="R3161">
        <v>164</v>
      </c>
      <c r="S3161">
        <v>4</v>
      </c>
      <c r="T3161">
        <v>15</v>
      </c>
      <c r="U3161">
        <v>7</v>
      </c>
      <c r="V3161">
        <v>13</v>
      </c>
      <c r="W3161">
        <v>4</v>
      </c>
      <c r="X3161">
        <v>197</v>
      </c>
      <c r="Y3161">
        <v>12</v>
      </c>
      <c r="Z3161">
        <v>7</v>
      </c>
      <c r="AA3161">
        <v>8</v>
      </c>
      <c r="AB3161">
        <v>19</v>
      </c>
      <c r="AD3161">
        <v>3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11</v>
      </c>
      <c r="AK3161">
        <v>444</v>
      </c>
      <c r="AL3161">
        <v>504</v>
      </c>
      <c r="AM3161">
        <v>664</v>
      </c>
      <c r="AN3161">
        <v>44</v>
      </c>
      <c r="AP3161">
        <v>1</v>
      </c>
      <c r="AR3161" t="s">
        <v>3256</v>
      </c>
      <c r="AS3161" s="1">
        <v>44354.013194444444</v>
      </c>
      <c r="AT3161" s="1">
        <v>44354.046851851854</v>
      </c>
      <c r="AU3161" s="1">
        <v>44354.047777777778</v>
      </c>
      <c r="AV3161" t="s">
        <v>71</v>
      </c>
      <c r="AW3161" t="s">
        <v>72</v>
      </c>
      <c r="AX3161" t="s">
        <v>73</v>
      </c>
    </row>
    <row r="3162" spans="1:50" x14ac:dyDescent="0.3">
      <c r="A3162" t="str">
        <f>"200511B0000"</f>
        <v>200511B0000</v>
      </c>
      <c r="B3162" t="str">
        <f>"200511B00002"</f>
        <v>200511B00002</v>
      </c>
      <c r="C3162" t="str">
        <f t="shared" si="155"/>
        <v>20</v>
      </c>
      <c r="D3162" t="s">
        <v>67</v>
      </c>
      <c r="E3162" t="str">
        <f t="shared" si="152"/>
        <v>014</v>
      </c>
      <c r="F3162" t="s">
        <v>2914</v>
      </c>
      <c r="G3162" t="str">
        <f>"0511"</f>
        <v>0511</v>
      </c>
      <c r="H3162" t="str">
        <f>"0000"</f>
        <v>0000</v>
      </c>
      <c r="I3162" t="s">
        <v>69</v>
      </c>
      <c r="J3162">
        <v>0</v>
      </c>
      <c r="K3162">
        <v>1</v>
      </c>
      <c r="L3162">
        <v>2</v>
      </c>
      <c r="M3162">
        <v>247</v>
      </c>
      <c r="N3162">
        <v>303</v>
      </c>
      <c r="O3162">
        <v>1</v>
      </c>
      <c r="P3162">
        <v>303</v>
      </c>
      <c r="Q3162">
        <v>38</v>
      </c>
      <c r="R3162">
        <v>96</v>
      </c>
      <c r="S3162">
        <v>2</v>
      </c>
      <c r="T3162">
        <v>13</v>
      </c>
      <c r="U3162">
        <v>5</v>
      </c>
      <c r="V3162">
        <v>12</v>
      </c>
      <c r="W3162">
        <v>2</v>
      </c>
      <c r="X3162">
        <v>100</v>
      </c>
      <c r="Y3162">
        <v>3</v>
      </c>
      <c r="Z3162">
        <v>5</v>
      </c>
      <c r="AA3162">
        <v>1</v>
      </c>
      <c r="AB3162">
        <v>13</v>
      </c>
      <c r="AD3162">
        <v>1</v>
      </c>
      <c r="AE3162">
        <v>2</v>
      </c>
      <c r="AF3162" t="s">
        <v>77</v>
      </c>
      <c r="AG3162" t="s">
        <v>77</v>
      </c>
      <c r="AH3162" t="s">
        <v>77</v>
      </c>
      <c r="AI3162" t="s">
        <v>77</v>
      </c>
      <c r="AJ3162">
        <v>10</v>
      </c>
      <c r="AK3162">
        <v>303</v>
      </c>
      <c r="AL3162">
        <v>303</v>
      </c>
      <c r="AM3162">
        <v>506</v>
      </c>
      <c r="AN3162">
        <v>44</v>
      </c>
      <c r="AO3162" t="s">
        <v>78</v>
      </c>
      <c r="AP3162">
        <v>1</v>
      </c>
      <c r="AR3162" t="s">
        <v>3257</v>
      </c>
      <c r="AS3162" s="1">
        <v>44353.935416666667</v>
      </c>
      <c r="AT3162" s="1">
        <v>44353.952372685184</v>
      </c>
      <c r="AU3162" s="1">
        <v>44353.953032407408</v>
      </c>
      <c r="AV3162" t="s">
        <v>71</v>
      </c>
      <c r="AW3162" t="s">
        <v>72</v>
      </c>
      <c r="AX3162" t="s">
        <v>73</v>
      </c>
    </row>
    <row r="3163" spans="1:50" x14ac:dyDescent="0.3">
      <c r="A3163" t="str">
        <f>"200511C0100"</f>
        <v>200511C0100</v>
      </c>
      <c r="B3163" t="str">
        <f>"200511C01002"</f>
        <v>200511C01002</v>
      </c>
      <c r="C3163" t="str">
        <f t="shared" si="155"/>
        <v>20</v>
      </c>
      <c r="D3163" t="s">
        <v>67</v>
      </c>
      <c r="E3163" t="str">
        <f t="shared" si="152"/>
        <v>014</v>
      </c>
      <c r="F3163" t="s">
        <v>2914</v>
      </c>
      <c r="G3163" t="str">
        <f>"0511"</f>
        <v>0511</v>
      </c>
      <c r="H3163" t="str">
        <f>"0001"</f>
        <v>0001</v>
      </c>
      <c r="I3163" t="s">
        <v>75</v>
      </c>
      <c r="J3163">
        <v>0</v>
      </c>
      <c r="K3163">
        <v>1</v>
      </c>
      <c r="L3163">
        <v>2</v>
      </c>
      <c r="M3163">
        <v>251</v>
      </c>
      <c r="N3163">
        <v>299</v>
      </c>
      <c r="O3163">
        <v>4</v>
      </c>
      <c r="P3163">
        <v>0</v>
      </c>
      <c r="Q3163">
        <v>43</v>
      </c>
      <c r="R3163">
        <v>74</v>
      </c>
      <c r="S3163">
        <v>1</v>
      </c>
      <c r="T3163">
        <v>8</v>
      </c>
      <c r="U3163">
        <v>3</v>
      </c>
      <c r="V3163">
        <v>16</v>
      </c>
      <c r="W3163">
        <v>4</v>
      </c>
      <c r="X3163">
        <v>113</v>
      </c>
      <c r="Y3163">
        <v>8</v>
      </c>
      <c r="Z3163">
        <v>2</v>
      </c>
      <c r="AA3163">
        <v>4</v>
      </c>
      <c r="AB3163">
        <v>10</v>
      </c>
      <c r="AD3163">
        <v>1</v>
      </c>
      <c r="AE3163">
        <v>0</v>
      </c>
      <c r="AF3163">
        <v>0</v>
      </c>
      <c r="AG3163">
        <v>0</v>
      </c>
      <c r="AH3163">
        <v>1</v>
      </c>
      <c r="AI3163">
        <v>1</v>
      </c>
      <c r="AJ3163">
        <v>9</v>
      </c>
      <c r="AK3163">
        <v>298</v>
      </c>
      <c r="AL3163">
        <v>298</v>
      </c>
      <c r="AM3163">
        <v>506</v>
      </c>
      <c r="AN3163">
        <v>44</v>
      </c>
      <c r="AP3163">
        <v>1</v>
      </c>
      <c r="AR3163" t="s">
        <v>3258</v>
      </c>
      <c r="AS3163" s="1">
        <v>44353.75</v>
      </c>
      <c r="AT3163" s="1">
        <v>44353.959594907406</v>
      </c>
      <c r="AU3163" s="1">
        <v>44353.96025462963</v>
      </c>
      <c r="AV3163" t="s">
        <v>71</v>
      </c>
      <c r="AW3163" t="s">
        <v>72</v>
      </c>
      <c r="AX3163" t="s">
        <v>73</v>
      </c>
    </row>
    <row r="3164" spans="1:50" x14ac:dyDescent="0.3">
      <c r="A3164" t="str">
        <f>"200511C0200"</f>
        <v>200511C0200</v>
      </c>
      <c r="B3164" t="str">
        <f>"200511C02002"</f>
        <v>200511C02002</v>
      </c>
      <c r="C3164" t="str">
        <f t="shared" si="155"/>
        <v>20</v>
      </c>
      <c r="D3164" t="s">
        <v>67</v>
      </c>
      <c r="E3164" t="str">
        <f t="shared" si="152"/>
        <v>014</v>
      </c>
      <c r="F3164" t="s">
        <v>2914</v>
      </c>
      <c r="G3164" t="str">
        <f>"0511"</f>
        <v>0511</v>
      </c>
      <c r="H3164" t="str">
        <f>"0002"</f>
        <v>0002</v>
      </c>
      <c r="I3164" t="s">
        <v>75</v>
      </c>
      <c r="J3164">
        <v>0</v>
      </c>
      <c r="K3164">
        <v>1</v>
      </c>
      <c r="L3164">
        <v>2</v>
      </c>
      <c r="M3164">
        <v>246</v>
      </c>
      <c r="N3164">
        <v>304</v>
      </c>
      <c r="O3164">
        <v>6</v>
      </c>
      <c r="P3164">
        <v>304</v>
      </c>
      <c r="Q3164">
        <v>34</v>
      </c>
      <c r="R3164">
        <v>76</v>
      </c>
      <c r="S3164">
        <v>3</v>
      </c>
      <c r="T3164">
        <v>8</v>
      </c>
      <c r="U3164">
        <v>6</v>
      </c>
      <c r="V3164">
        <v>11</v>
      </c>
      <c r="W3164">
        <v>5</v>
      </c>
      <c r="X3164">
        <v>120</v>
      </c>
      <c r="Y3164">
        <v>9</v>
      </c>
      <c r="Z3164">
        <v>4</v>
      </c>
      <c r="AA3164">
        <v>4</v>
      </c>
      <c r="AB3164">
        <v>10</v>
      </c>
      <c r="AD3164">
        <v>4</v>
      </c>
      <c r="AE3164">
        <v>1</v>
      </c>
      <c r="AF3164">
        <v>0</v>
      </c>
      <c r="AG3164">
        <v>0</v>
      </c>
      <c r="AH3164">
        <v>0</v>
      </c>
      <c r="AI3164">
        <v>0</v>
      </c>
      <c r="AJ3164">
        <v>9</v>
      </c>
      <c r="AK3164">
        <v>304</v>
      </c>
      <c r="AL3164">
        <v>304</v>
      </c>
      <c r="AM3164">
        <v>506</v>
      </c>
      <c r="AN3164">
        <v>44</v>
      </c>
      <c r="AP3164">
        <v>1</v>
      </c>
      <c r="AR3164" t="s">
        <v>3259</v>
      </c>
      <c r="AS3164" s="1">
        <v>44353.942361111112</v>
      </c>
      <c r="AT3164" s="1">
        <v>44353.967407407406</v>
      </c>
      <c r="AU3164" s="1">
        <v>44353.968124999999</v>
      </c>
      <c r="AV3164" t="s">
        <v>71</v>
      </c>
      <c r="AW3164" t="s">
        <v>72</v>
      </c>
      <c r="AX3164" t="s">
        <v>73</v>
      </c>
    </row>
    <row r="3165" spans="1:50" x14ac:dyDescent="0.3">
      <c r="A3165" t="str">
        <f>"200512B0000"</f>
        <v>200512B0000</v>
      </c>
      <c r="B3165" t="str">
        <f>"200512B00002"</f>
        <v>200512B00002</v>
      </c>
      <c r="C3165" t="str">
        <f t="shared" si="155"/>
        <v>20</v>
      </c>
      <c r="D3165" t="s">
        <v>67</v>
      </c>
      <c r="E3165" t="str">
        <f t="shared" si="152"/>
        <v>014</v>
      </c>
      <c r="F3165" t="s">
        <v>2914</v>
      </c>
      <c r="G3165" t="str">
        <f>"0512"</f>
        <v>0512</v>
      </c>
      <c r="H3165" t="str">
        <f>"0000"</f>
        <v>0000</v>
      </c>
      <c r="I3165" t="s">
        <v>69</v>
      </c>
      <c r="J3165">
        <v>0</v>
      </c>
      <c r="K3165">
        <v>1</v>
      </c>
      <c r="L3165">
        <v>2</v>
      </c>
      <c r="M3165">
        <v>293</v>
      </c>
      <c r="N3165">
        <v>341</v>
      </c>
      <c r="O3165">
        <v>3</v>
      </c>
      <c r="P3165">
        <v>342</v>
      </c>
      <c r="Q3165">
        <v>30</v>
      </c>
      <c r="R3165">
        <v>96</v>
      </c>
      <c r="S3165">
        <v>2</v>
      </c>
      <c r="T3165">
        <v>10</v>
      </c>
      <c r="U3165">
        <v>11</v>
      </c>
      <c r="V3165">
        <v>10</v>
      </c>
      <c r="W3165">
        <v>7</v>
      </c>
      <c r="X3165">
        <v>134</v>
      </c>
      <c r="Y3165">
        <v>6</v>
      </c>
      <c r="Z3165">
        <v>4</v>
      </c>
      <c r="AA3165">
        <v>3</v>
      </c>
      <c r="AB3165">
        <v>12</v>
      </c>
      <c r="AD3165">
        <v>3</v>
      </c>
      <c r="AE3165" t="s">
        <v>77</v>
      </c>
      <c r="AF3165" t="s">
        <v>77</v>
      </c>
      <c r="AG3165" t="s">
        <v>77</v>
      </c>
      <c r="AH3165" t="s">
        <v>77</v>
      </c>
      <c r="AI3165" t="s">
        <v>77</v>
      </c>
      <c r="AJ3165">
        <v>14</v>
      </c>
      <c r="AK3165" t="s">
        <v>77</v>
      </c>
      <c r="AL3165">
        <v>342</v>
      </c>
      <c r="AM3165">
        <v>592</v>
      </c>
      <c r="AN3165">
        <v>44</v>
      </c>
      <c r="AO3165" t="s">
        <v>78</v>
      </c>
      <c r="AP3165">
        <v>1</v>
      </c>
      <c r="AR3165" t="s">
        <v>3260</v>
      </c>
      <c r="AS3165" s="1">
        <v>44353.996527777781</v>
      </c>
      <c r="AT3165" s="1">
        <v>44354.007060185184</v>
      </c>
      <c r="AU3165" s="1">
        <v>44354.007743055554</v>
      </c>
      <c r="AV3165" t="s">
        <v>71</v>
      </c>
      <c r="AW3165" t="s">
        <v>72</v>
      </c>
      <c r="AX3165" t="s">
        <v>73</v>
      </c>
    </row>
    <row r="3166" spans="1:50" x14ac:dyDescent="0.3">
      <c r="A3166" t="str">
        <f>"200512C0100"</f>
        <v>200512C0100</v>
      </c>
      <c r="B3166" t="str">
        <f>"200512C01002"</f>
        <v>200512C01002</v>
      </c>
      <c r="C3166" t="str">
        <f t="shared" si="155"/>
        <v>20</v>
      </c>
      <c r="D3166" t="s">
        <v>67</v>
      </c>
      <c r="E3166" t="str">
        <f t="shared" si="152"/>
        <v>014</v>
      </c>
      <c r="F3166" t="s">
        <v>2914</v>
      </c>
      <c r="G3166" t="str">
        <f>"0512"</f>
        <v>0512</v>
      </c>
      <c r="H3166" t="str">
        <f>"0001"</f>
        <v>0001</v>
      </c>
      <c r="I3166" t="s">
        <v>75</v>
      </c>
      <c r="J3166">
        <v>0</v>
      </c>
      <c r="K3166">
        <v>1</v>
      </c>
      <c r="L3166">
        <v>2</v>
      </c>
      <c r="M3166">
        <v>281</v>
      </c>
      <c r="N3166">
        <v>355</v>
      </c>
      <c r="O3166">
        <v>6</v>
      </c>
      <c r="P3166">
        <v>355</v>
      </c>
      <c r="Q3166">
        <v>23</v>
      </c>
      <c r="R3166">
        <v>72</v>
      </c>
      <c r="S3166">
        <v>4</v>
      </c>
      <c r="T3166">
        <v>16</v>
      </c>
      <c r="U3166">
        <v>15</v>
      </c>
      <c r="V3166">
        <v>8</v>
      </c>
      <c r="W3166">
        <v>8</v>
      </c>
      <c r="X3166">
        <v>156</v>
      </c>
      <c r="Y3166">
        <v>8</v>
      </c>
      <c r="Z3166">
        <v>10</v>
      </c>
      <c r="AA3166">
        <v>3</v>
      </c>
      <c r="AB3166">
        <v>13</v>
      </c>
      <c r="AD3166">
        <v>5</v>
      </c>
      <c r="AE3166">
        <v>0</v>
      </c>
      <c r="AF3166">
        <v>0</v>
      </c>
      <c r="AG3166">
        <v>0</v>
      </c>
      <c r="AH3166">
        <v>0</v>
      </c>
      <c r="AI3166">
        <v>1</v>
      </c>
      <c r="AJ3166">
        <v>13</v>
      </c>
      <c r="AK3166">
        <v>355</v>
      </c>
      <c r="AL3166">
        <v>355</v>
      </c>
      <c r="AM3166">
        <v>592</v>
      </c>
      <c r="AN3166">
        <v>44</v>
      </c>
      <c r="AP3166">
        <v>1</v>
      </c>
      <c r="AR3166" t="s">
        <v>3261</v>
      </c>
      <c r="AS3166" s="1">
        <v>44353.996527777781</v>
      </c>
      <c r="AT3166" s="1">
        <v>44354.008668981478</v>
      </c>
      <c r="AU3166" s="1">
        <v>44354.00949074074</v>
      </c>
      <c r="AV3166" t="s">
        <v>71</v>
      </c>
      <c r="AW3166" t="s">
        <v>72</v>
      </c>
      <c r="AX3166" t="s">
        <v>73</v>
      </c>
    </row>
    <row r="3167" spans="1:50" x14ac:dyDescent="0.3">
      <c r="A3167" t="str">
        <f>"200513B0000"</f>
        <v>200513B0000</v>
      </c>
      <c r="B3167" t="str">
        <f>"200513B00002"</f>
        <v>200513B00002</v>
      </c>
      <c r="C3167" t="str">
        <f t="shared" si="155"/>
        <v>20</v>
      </c>
      <c r="D3167" t="s">
        <v>67</v>
      </c>
      <c r="E3167" t="str">
        <f t="shared" si="152"/>
        <v>014</v>
      </c>
      <c r="F3167" t="s">
        <v>2914</v>
      </c>
      <c r="G3167" t="str">
        <f>"0513"</f>
        <v>0513</v>
      </c>
      <c r="H3167" t="str">
        <f>"0000"</f>
        <v>0000</v>
      </c>
      <c r="I3167" t="s">
        <v>69</v>
      </c>
      <c r="J3167">
        <v>0</v>
      </c>
      <c r="K3167">
        <v>1</v>
      </c>
      <c r="L3167">
        <v>2</v>
      </c>
      <c r="M3167">
        <v>335</v>
      </c>
      <c r="N3167">
        <v>369</v>
      </c>
      <c r="O3167">
        <v>2</v>
      </c>
      <c r="P3167" t="s">
        <v>80</v>
      </c>
      <c r="Q3167">
        <v>25</v>
      </c>
      <c r="R3167">
        <v>92</v>
      </c>
      <c r="S3167">
        <v>25</v>
      </c>
      <c r="T3167">
        <v>14</v>
      </c>
      <c r="U3167">
        <v>13</v>
      </c>
      <c r="V3167">
        <v>5</v>
      </c>
      <c r="W3167">
        <v>5</v>
      </c>
      <c r="X3167">
        <v>174</v>
      </c>
      <c r="Y3167">
        <v>10</v>
      </c>
      <c r="Z3167">
        <v>2</v>
      </c>
      <c r="AA3167">
        <v>5</v>
      </c>
      <c r="AB3167">
        <v>13</v>
      </c>
      <c r="AD3167">
        <v>1</v>
      </c>
      <c r="AE3167" t="s">
        <v>77</v>
      </c>
      <c r="AF3167" t="s">
        <v>77</v>
      </c>
      <c r="AG3167" t="s">
        <v>77</v>
      </c>
      <c r="AH3167" t="s">
        <v>77</v>
      </c>
      <c r="AI3167">
        <v>1</v>
      </c>
      <c r="AJ3167">
        <v>8</v>
      </c>
      <c r="AK3167">
        <v>369</v>
      </c>
      <c r="AL3167">
        <v>393</v>
      </c>
      <c r="AM3167">
        <v>660</v>
      </c>
      <c r="AN3167">
        <v>44</v>
      </c>
      <c r="AO3167" t="s">
        <v>78</v>
      </c>
      <c r="AP3167">
        <v>1</v>
      </c>
      <c r="AR3167" t="s">
        <v>3262</v>
      </c>
      <c r="AS3167" s="1">
        <v>44354.2</v>
      </c>
      <c r="AT3167" s="1">
        <v>44354.202291666668</v>
      </c>
      <c r="AU3167" s="1">
        <v>44354.203136574077</v>
      </c>
      <c r="AV3167" t="s">
        <v>71</v>
      </c>
      <c r="AW3167" t="s">
        <v>72</v>
      </c>
      <c r="AX3167" t="s">
        <v>73</v>
      </c>
    </row>
    <row r="3168" spans="1:50" x14ac:dyDescent="0.3">
      <c r="A3168" t="str">
        <f>"200513C0100"</f>
        <v>200513C0100</v>
      </c>
      <c r="B3168" t="str">
        <f>"200513C01002"</f>
        <v>200513C01002</v>
      </c>
      <c r="C3168" t="str">
        <f t="shared" si="155"/>
        <v>20</v>
      </c>
      <c r="D3168" t="s">
        <v>67</v>
      </c>
      <c r="E3168" t="str">
        <f t="shared" si="152"/>
        <v>014</v>
      </c>
      <c r="F3168" t="s">
        <v>2914</v>
      </c>
      <c r="G3168" t="str">
        <f>"0513"</f>
        <v>0513</v>
      </c>
      <c r="H3168" t="str">
        <f>"0001"</f>
        <v>0001</v>
      </c>
      <c r="I3168" t="s">
        <v>75</v>
      </c>
      <c r="J3168">
        <v>0</v>
      </c>
      <c r="K3168">
        <v>1</v>
      </c>
      <c r="L3168">
        <v>2</v>
      </c>
      <c r="M3168">
        <v>353</v>
      </c>
      <c r="N3168">
        <v>350</v>
      </c>
      <c r="O3168">
        <v>4</v>
      </c>
      <c r="P3168">
        <v>350</v>
      </c>
      <c r="Q3168">
        <v>28</v>
      </c>
      <c r="R3168">
        <v>73</v>
      </c>
      <c r="S3168">
        <v>4</v>
      </c>
      <c r="T3168">
        <v>9</v>
      </c>
      <c r="U3168">
        <v>9</v>
      </c>
      <c r="V3168">
        <v>8</v>
      </c>
      <c r="W3168">
        <v>5</v>
      </c>
      <c r="X3168">
        <v>182</v>
      </c>
      <c r="Y3168">
        <v>8</v>
      </c>
      <c r="Z3168">
        <v>4</v>
      </c>
      <c r="AA3168">
        <v>3</v>
      </c>
      <c r="AB3168">
        <v>8</v>
      </c>
      <c r="AD3168">
        <v>1</v>
      </c>
      <c r="AE3168">
        <v>1</v>
      </c>
      <c r="AF3168">
        <v>0</v>
      </c>
      <c r="AG3168">
        <v>0</v>
      </c>
      <c r="AH3168">
        <v>0</v>
      </c>
      <c r="AI3168">
        <v>1</v>
      </c>
      <c r="AJ3168">
        <v>6</v>
      </c>
      <c r="AK3168">
        <v>350</v>
      </c>
      <c r="AL3168">
        <v>350</v>
      </c>
      <c r="AM3168">
        <v>659</v>
      </c>
      <c r="AN3168">
        <v>44</v>
      </c>
      <c r="AP3168">
        <v>1</v>
      </c>
      <c r="AR3168" t="s">
        <v>3263</v>
      </c>
      <c r="AS3168" s="1">
        <v>44354.034722222219</v>
      </c>
      <c r="AT3168" s="1">
        <v>44354.043749999997</v>
      </c>
      <c r="AU3168" s="1">
        <v>44354.044328703705</v>
      </c>
      <c r="AV3168" t="s">
        <v>71</v>
      </c>
      <c r="AW3168" t="s">
        <v>72</v>
      </c>
      <c r="AX3168" t="s">
        <v>73</v>
      </c>
    </row>
    <row r="3169" spans="1:50" x14ac:dyDescent="0.3">
      <c r="A3169" t="str">
        <f>"200514B0000"</f>
        <v>200514B0000</v>
      </c>
      <c r="B3169" t="str">
        <f>"200514B00002"</f>
        <v>200514B00002</v>
      </c>
      <c r="C3169" t="str">
        <f t="shared" si="155"/>
        <v>20</v>
      </c>
      <c r="D3169" t="s">
        <v>67</v>
      </c>
      <c r="E3169" t="str">
        <f t="shared" si="152"/>
        <v>014</v>
      </c>
      <c r="F3169" t="s">
        <v>2914</v>
      </c>
      <c r="G3169" t="str">
        <f>"0514"</f>
        <v>0514</v>
      </c>
      <c r="H3169" t="str">
        <f>"0000"</f>
        <v>0000</v>
      </c>
      <c r="I3169" t="s">
        <v>69</v>
      </c>
      <c r="J3169">
        <v>0</v>
      </c>
      <c r="K3169">
        <v>1</v>
      </c>
      <c r="L3169">
        <v>2</v>
      </c>
      <c r="M3169">
        <v>363</v>
      </c>
      <c r="N3169">
        <v>420</v>
      </c>
      <c r="O3169">
        <v>0</v>
      </c>
      <c r="P3169">
        <v>420</v>
      </c>
      <c r="Q3169">
        <v>32</v>
      </c>
      <c r="R3169">
        <v>82</v>
      </c>
      <c r="S3169">
        <v>1</v>
      </c>
      <c r="T3169">
        <v>20</v>
      </c>
      <c r="U3169">
        <v>12</v>
      </c>
      <c r="V3169">
        <v>9</v>
      </c>
      <c r="W3169">
        <v>3</v>
      </c>
      <c r="X3169">
        <v>200</v>
      </c>
      <c r="Y3169">
        <v>12</v>
      </c>
      <c r="Z3169">
        <v>6</v>
      </c>
      <c r="AA3169">
        <v>5</v>
      </c>
      <c r="AB3169">
        <v>18</v>
      </c>
      <c r="AD3169">
        <v>2</v>
      </c>
      <c r="AE3169">
        <v>0</v>
      </c>
      <c r="AF3169">
        <v>0</v>
      </c>
      <c r="AG3169">
        <v>0</v>
      </c>
      <c r="AH3169">
        <v>1</v>
      </c>
      <c r="AI3169" t="s">
        <v>77</v>
      </c>
      <c r="AJ3169">
        <v>17</v>
      </c>
      <c r="AK3169">
        <v>420</v>
      </c>
      <c r="AL3169">
        <v>420</v>
      </c>
      <c r="AM3169">
        <v>740</v>
      </c>
      <c r="AN3169">
        <v>44</v>
      </c>
      <c r="AO3169" t="s">
        <v>78</v>
      </c>
      <c r="AP3169">
        <v>1</v>
      </c>
      <c r="AR3169" t="s">
        <v>3264</v>
      </c>
      <c r="AS3169" s="1">
        <v>44354.012499999997</v>
      </c>
      <c r="AT3169" s="1">
        <v>44354.041921296295</v>
      </c>
      <c r="AU3169" s="1">
        <v>44354.042881944442</v>
      </c>
      <c r="AV3169" t="s">
        <v>71</v>
      </c>
      <c r="AW3169" t="s">
        <v>72</v>
      </c>
      <c r="AX3169" t="s">
        <v>73</v>
      </c>
    </row>
    <row r="3170" spans="1:50" x14ac:dyDescent="0.3">
      <c r="A3170" t="str">
        <f>"200514C0100"</f>
        <v>200514C0100</v>
      </c>
      <c r="B3170" t="str">
        <f>"200514C01002"</f>
        <v>200514C01002</v>
      </c>
      <c r="C3170" t="str">
        <f t="shared" si="155"/>
        <v>20</v>
      </c>
      <c r="D3170" t="s">
        <v>67</v>
      </c>
      <c r="E3170" t="str">
        <f t="shared" si="152"/>
        <v>014</v>
      </c>
      <c r="F3170" t="s">
        <v>2914</v>
      </c>
      <c r="G3170" t="str">
        <f>"0514"</f>
        <v>0514</v>
      </c>
      <c r="H3170" t="str">
        <f>"0001"</f>
        <v>0001</v>
      </c>
      <c r="I3170" t="s">
        <v>75</v>
      </c>
      <c r="J3170">
        <v>0</v>
      </c>
      <c r="K3170">
        <v>1</v>
      </c>
      <c r="L3170">
        <v>2</v>
      </c>
      <c r="M3170">
        <v>373</v>
      </c>
      <c r="N3170">
        <v>410</v>
      </c>
      <c r="O3170">
        <v>4</v>
      </c>
      <c r="P3170">
        <v>410</v>
      </c>
      <c r="Q3170">
        <v>17</v>
      </c>
      <c r="R3170">
        <v>54</v>
      </c>
      <c r="S3170">
        <v>2</v>
      </c>
      <c r="T3170">
        <v>31</v>
      </c>
      <c r="U3170">
        <v>11</v>
      </c>
      <c r="V3170">
        <v>5</v>
      </c>
      <c r="W3170">
        <v>6</v>
      </c>
      <c r="X3170">
        <v>229</v>
      </c>
      <c r="Y3170">
        <v>11</v>
      </c>
      <c r="Z3170">
        <v>7</v>
      </c>
      <c r="AA3170">
        <v>4</v>
      </c>
      <c r="AB3170">
        <v>15</v>
      </c>
      <c r="AD3170">
        <v>2</v>
      </c>
      <c r="AE3170">
        <v>1</v>
      </c>
      <c r="AF3170">
        <v>0</v>
      </c>
      <c r="AG3170">
        <v>0</v>
      </c>
      <c r="AH3170">
        <v>0</v>
      </c>
      <c r="AI3170">
        <v>0</v>
      </c>
      <c r="AJ3170">
        <v>15</v>
      </c>
      <c r="AK3170">
        <v>410</v>
      </c>
      <c r="AL3170">
        <v>410</v>
      </c>
      <c r="AM3170">
        <v>739</v>
      </c>
      <c r="AN3170">
        <v>44</v>
      </c>
      <c r="AP3170">
        <v>1</v>
      </c>
      <c r="AR3170" t="s">
        <v>3265</v>
      </c>
      <c r="AS3170" s="1">
        <v>44354.012499999997</v>
      </c>
      <c r="AT3170" s="1">
        <v>44354.04111111111</v>
      </c>
      <c r="AU3170" s="1">
        <v>44354.04179398148</v>
      </c>
      <c r="AV3170" t="s">
        <v>71</v>
      </c>
      <c r="AW3170" t="s">
        <v>72</v>
      </c>
      <c r="AX3170" t="s">
        <v>73</v>
      </c>
    </row>
    <row r="3171" spans="1:50" x14ac:dyDescent="0.3">
      <c r="A3171" t="str">
        <f>"200515B0000"</f>
        <v>200515B0000</v>
      </c>
      <c r="B3171" t="str">
        <f>"200515B00002"</f>
        <v>200515B00002</v>
      </c>
      <c r="C3171" t="str">
        <f t="shared" si="155"/>
        <v>20</v>
      </c>
      <c r="D3171" t="s">
        <v>67</v>
      </c>
      <c r="E3171" t="str">
        <f t="shared" ref="E3171:E3234" si="156">"014"</f>
        <v>014</v>
      </c>
      <c r="F3171" t="s">
        <v>2914</v>
      </c>
      <c r="G3171" t="str">
        <f>"0515"</f>
        <v>0515</v>
      </c>
      <c r="H3171" t="str">
        <f>"0000"</f>
        <v>0000</v>
      </c>
      <c r="I3171" t="s">
        <v>69</v>
      </c>
      <c r="J3171">
        <v>0</v>
      </c>
      <c r="K3171">
        <v>1</v>
      </c>
      <c r="L3171">
        <v>2</v>
      </c>
      <c r="M3171">
        <v>223</v>
      </c>
      <c r="N3171">
        <v>265</v>
      </c>
      <c r="O3171">
        <v>5</v>
      </c>
      <c r="P3171">
        <v>265</v>
      </c>
      <c r="Q3171">
        <v>8</v>
      </c>
      <c r="R3171">
        <v>60</v>
      </c>
      <c r="S3171">
        <v>1</v>
      </c>
      <c r="T3171">
        <v>5</v>
      </c>
      <c r="U3171">
        <v>8</v>
      </c>
      <c r="V3171">
        <v>13</v>
      </c>
      <c r="W3171">
        <v>0</v>
      </c>
      <c r="X3171">
        <v>137</v>
      </c>
      <c r="Y3171">
        <v>7</v>
      </c>
      <c r="Z3171">
        <v>6</v>
      </c>
      <c r="AA3171">
        <v>0</v>
      </c>
      <c r="AB3171">
        <v>9</v>
      </c>
      <c r="AD3171">
        <v>2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9</v>
      </c>
      <c r="AK3171">
        <v>265</v>
      </c>
      <c r="AL3171">
        <v>265</v>
      </c>
      <c r="AM3171">
        <v>444</v>
      </c>
      <c r="AN3171">
        <v>44</v>
      </c>
      <c r="AP3171">
        <v>1</v>
      </c>
      <c r="AR3171" t="s">
        <v>3266</v>
      </c>
      <c r="AS3171" s="1">
        <v>44354.000694444447</v>
      </c>
      <c r="AT3171" s="1">
        <v>44354.011550925927</v>
      </c>
      <c r="AU3171" s="1">
        <v>44354.012118055558</v>
      </c>
      <c r="AV3171" t="s">
        <v>71</v>
      </c>
      <c r="AW3171" t="s">
        <v>72</v>
      </c>
      <c r="AX3171" t="s">
        <v>73</v>
      </c>
    </row>
    <row r="3172" spans="1:50" x14ac:dyDescent="0.3">
      <c r="A3172" t="str">
        <f>"200515C0100"</f>
        <v>200515C0100</v>
      </c>
      <c r="B3172" t="str">
        <f>"200515C01002"</f>
        <v>200515C01002</v>
      </c>
      <c r="C3172" t="str">
        <f t="shared" si="155"/>
        <v>20</v>
      </c>
      <c r="D3172" t="s">
        <v>67</v>
      </c>
      <c r="E3172" t="str">
        <f t="shared" si="156"/>
        <v>014</v>
      </c>
      <c r="F3172" t="s">
        <v>2914</v>
      </c>
      <c r="G3172" t="str">
        <f>"0515"</f>
        <v>0515</v>
      </c>
      <c r="H3172" t="str">
        <f>"0001"</f>
        <v>0001</v>
      </c>
      <c r="I3172" t="s">
        <v>75</v>
      </c>
      <c r="J3172">
        <v>0</v>
      </c>
      <c r="K3172">
        <v>1</v>
      </c>
      <c r="L3172">
        <v>2</v>
      </c>
      <c r="M3172">
        <v>210</v>
      </c>
      <c r="N3172">
        <v>277</v>
      </c>
      <c r="O3172">
        <v>4</v>
      </c>
      <c r="P3172">
        <v>277</v>
      </c>
      <c r="Q3172">
        <v>15</v>
      </c>
      <c r="R3172">
        <v>62</v>
      </c>
      <c r="S3172">
        <v>7</v>
      </c>
      <c r="T3172">
        <v>4</v>
      </c>
      <c r="U3172">
        <v>7</v>
      </c>
      <c r="V3172">
        <v>17</v>
      </c>
      <c r="W3172">
        <v>3</v>
      </c>
      <c r="X3172">
        <v>133</v>
      </c>
      <c r="Y3172">
        <v>6</v>
      </c>
      <c r="Z3172">
        <v>7</v>
      </c>
      <c r="AA3172">
        <v>1</v>
      </c>
      <c r="AB3172">
        <v>5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10</v>
      </c>
      <c r="AK3172">
        <v>277</v>
      </c>
      <c r="AL3172">
        <v>277</v>
      </c>
      <c r="AM3172">
        <v>443</v>
      </c>
      <c r="AN3172">
        <v>44</v>
      </c>
      <c r="AP3172">
        <v>1</v>
      </c>
      <c r="AR3172" t="s">
        <v>3267</v>
      </c>
      <c r="AS3172" s="1">
        <v>44354.001388888886</v>
      </c>
      <c r="AT3172" s="1">
        <v>44354.018935185188</v>
      </c>
      <c r="AU3172" s="1">
        <v>44354.01939814815</v>
      </c>
      <c r="AV3172" t="s">
        <v>71</v>
      </c>
      <c r="AW3172" t="s">
        <v>72</v>
      </c>
      <c r="AX3172" t="s">
        <v>73</v>
      </c>
    </row>
    <row r="3173" spans="1:50" x14ac:dyDescent="0.3">
      <c r="A3173" t="str">
        <f>"200516B0000"</f>
        <v>200516B0000</v>
      </c>
      <c r="B3173" t="str">
        <f>"200516B00002"</f>
        <v>200516B00002</v>
      </c>
      <c r="C3173" t="str">
        <f t="shared" si="155"/>
        <v>20</v>
      </c>
      <c r="D3173" t="s">
        <v>67</v>
      </c>
      <c r="E3173" t="str">
        <f t="shared" si="156"/>
        <v>014</v>
      </c>
      <c r="F3173" t="s">
        <v>2914</v>
      </c>
      <c r="G3173" t="str">
        <f>"0516"</f>
        <v>0516</v>
      </c>
      <c r="H3173" t="str">
        <f>"0000"</f>
        <v>0000</v>
      </c>
      <c r="I3173" t="s">
        <v>69</v>
      </c>
      <c r="J3173">
        <v>0</v>
      </c>
      <c r="K3173">
        <v>1</v>
      </c>
      <c r="L3173">
        <v>2</v>
      </c>
      <c r="M3173">
        <v>256</v>
      </c>
      <c r="N3173" t="s">
        <v>80</v>
      </c>
      <c r="O3173" t="s">
        <v>80</v>
      </c>
      <c r="P3173">
        <v>288</v>
      </c>
      <c r="Q3173">
        <v>14</v>
      </c>
      <c r="R3173">
        <v>80</v>
      </c>
      <c r="S3173">
        <v>5</v>
      </c>
      <c r="T3173">
        <v>6</v>
      </c>
      <c r="U3173">
        <v>10</v>
      </c>
      <c r="V3173">
        <v>6</v>
      </c>
      <c r="W3173">
        <v>9</v>
      </c>
      <c r="X3173">
        <v>119</v>
      </c>
      <c r="Y3173">
        <v>3</v>
      </c>
      <c r="Z3173">
        <v>9</v>
      </c>
      <c r="AA3173">
        <v>6</v>
      </c>
      <c r="AB3173">
        <v>8</v>
      </c>
      <c r="AD3173">
        <v>3</v>
      </c>
      <c r="AE3173">
        <v>1</v>
      </c>
      <c r="AF3173">
        <v>1</v>
      </c>
      <c r="AG3173">
        <v>0</v>
      </c>
      <c r="AH3173">
        <v>0</v>
      </c>
      <c r="AI3173">
        <v>0</v>
      </c>
      <c r="AJ3173">
        <v>9</v>
      </c>
      <c r="AK3173">
        <v>288</v>
      </c>
      <c r="AL3173">
        <v>289</v>
      </c>
      <c r="AM3173">
        <v>500</v>
      </c>
      <c r="AN3173">
        <v>44</v>
      </c>
      <c r="AP3173">
        <v>1</v>
      </c>
      <c r="AR3173" t="s">
        <v>3268</v>
      </c>
      <c r="AS3173" s="1">
        <v>44354.030555555553</v>
      </c>
      <c r="AT3173" s="1">
        <v>44354.040671296294</v>
      </c>
      <c r="AU3173" s="1">
        <v>44354.041284722225</v>
      </c>
      <c r="AV3173" t="s">
        <v>71</v>
      </c>
      <c r="AW3173" t="s">
        <v>72</v>
      </c>
      <c r="AX3173" t="s">
        <v>73</v>
      </c>
    </row>
    <row r="3174" spans="1:50" x14ac:dyDescent="0.3">
      <c r="A3174" t="str">
        <f>"200516C0100"</f>
        <v>200516C0100</v>
      </c>
      <c r="B3174" t="str">
        <f>"200516C01002"</f>
        <v>200516C01002</v>
      </c>
      <c r="C3174" t="str">
        <f t="shared" si="155"/>
        <v>20</v>
      </c>
      <c r="D3174" t="s">
        <v>67</v>
      </c>
      <c r="E3174" t="str">
        <f t="shared" si="156"/>
        <v>014</v>
      </c>
      <c r="F3174" t="s">
        <v>2914</v>
      </c>
      <c r="G3174" t="str">
        <f>"0516"</f>
        <v>0516</v>
      </c>
      <c r="H3174" t="str">
        <f>"0001"</f>
        <v>0001</v>
      </c>
      <c r="I3174" t="s">
        <v>75</v>
      </c>
      <c r="J3174">
        <v>0</v>
      </c>
      <c r="K3174">
        <v>1</v>
      </c>
      <c r="L3174">
        <v>2</v>
      </c>
      <c r="M3174">
        <v>246</v>
      </c>
      <c r="N3174">
        <v>298</v>
      </c>
      <c r="O3174">
        <v>2</v>
      </c>
      <c r="P3174">
        <v>298</v>
      </c>
      <c r="Q3174">
        <v>14</v>
      </c>
      <c r="R3174">
        <v>75</v>
      </c>
      <c r="S3174">
        <v>1</v>
      </c>
      <c r="T3174">
        <v>6</v>
      </c>
      <c r="U3174">
        <v>8</v>
      </c>
      <c r="V3174">
        <v>6</v>
      </c>
      <c r="W3174">
        <v>4</v>
      </c>
      <c r="X3174">
        <v>136</v>
      </c>
      <c r="Y3174">
        <v>12</v>
      </c>
      <c r="Z3174">
        <v>7</v>
      </c>
      <c r="AA3174">
        <v>5</v>
      </c>
      <c r="AB3174">
        <v>9</v>
      </c>
      <c r="AD3174">
        <v>6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9</v>
      </c>
      <c r="AK3174">
        <v>298</v>
      </c>
      <c r="AL3174">
        <v>298</v>
      </c>
      <c r="AM3174">
        <v>500</v>
      </c>
      <c r="AN3174">
        <v>44</v>
      </c>
      <c r="AP3174">
        <v>1</v>
      </c>
      <c r="AR3174" t="s">
        <v>3269</v>
      </c>
      <c r="AS3174" s="1">
        <v>44354.035856481481</v>
      </c>
      <c r="AT3174" s="1">
        <v>44354.042523148149</v>
      </c>
      <c r="AU3174" s="1">
        <v>44354.043055555558</v>
      </c>
      <c r="AV3174" t="s">
        <v>71</v>
      </c>
      <c r="AW3174" t="s">
        <v>72</v>
      </c>
      <c r="AX3174" t="s">
        <v>73</v>
      </c>
    </row>
    <row r="3175" spans="1:50" x14ac:dyDescent="0.3">
      <c r="A3175" t="str">
        <f>"200517B0000"</f>
        <v>200517B0000</v>
      </c>
      <c r="B3175" t="str">
        <f>"200517B00002"</f>
        <v>200517B00002</v>
      </c>
      <c r="C3175" t="str">
        <f t="shared" si="155"/>
        <v>20</v>
      </c>
      <c r="D3175" t="s">
        <v>67</v>
      </c>
      <c r="E3175" t="str">
        <f t="shared" si="156"/>
        <v>014</v>
      </c>
      <c r="F3175" t="s">
        <v>2914</v>
      </c>
      <c r="G3175" t="str">
        <f>"0517"</f>
        <v>0517</v>
      </c>
      <c r="H3175" t="str">
        <f>"0000"</f>
        <v>0000</v>
      </c>
      <c r="I3175" t="s">
        <v>69</v>
      </c>
      <c r="J3175">
        <v>0</v>
      </c>
      <c r="K3175">
        <v>1</v>
      </c>
      <c r="L3175">
        <v>2</v>
      </c>
      <c r="M3175">
        <v>310</v>
      </c>
      <c r="N3175">
        <v>319</v>
      </c>
      <c r="O3175">
        <v>2</v>
      </c>
      <c r="P3175">
        <v>319</v>
      </c>
      <c r="Q3175">
        <v>19</v>
      </c>
      <c r="R3175">
        <v>89</v>
      </c>
      <c r="S3175">
        <v>6</v>
      </c>
      <c r="T3175">
        <v>7</v>
      </c>
      <c r="U3175">
        <v>9</v>
      </c>
      <c r="V3175">
        <v>6</v>
      </c>
      <c r="W3175">
        <v>1</v>
      </c>
      <c r="X3175">
        <v>143</v>
      </c>
      <c r="Y3175">
        <v>4</v>
      </c>
      <c r="Z3175">
        <v>13</v>
      </c>
      <c r="AA3175">
        <v>3</v>
      </c>
      <c r="AB3175">
        <v>12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7</v>
      </c>
      <c r="AK3175">
        <v>319</v>
      </c>
      <c r="AL3175">
        <v>319</v>
      </c>
      <c r="AM3175">
        <v>585</v>
      </c>
      <c r="AN3175">
        <v>44</v>
      </c>
      <c r="AP3175">
        <v>1</v>
      </c>
      <c r="AR3175" t="s">
        <v>3270</v>
      </c>
      <c r="AS3175" s="1">
        <v>44354.035416666666</v>
      </c>
      <c r="AT3175" s="1">
        <v>44354.069710648146</v>
      </c>
      <c r="AU3175" s="1">
        <v>44354.070138888892</v>
      </c>
      <c r="AV3175" t="s">
        <v>71</v>
      </c>
      <c r="AW3175" t="s">
        <v>72</v>
      </c>
      <c r="AX3175" t="s">
        <v>73</v>
      </c>
    </row>
    <row r="3176" spans="1:50" x14ac:dyDescent="0.3">
      <c r="A3176" t="str">
        <f>"200517C0100"</f>
        <v>200517C0100</v>
      </c>
      <c r="B3176" t="str">
        <f>"200517C01002"</f>
        <v>200517C01002</v>
      </c>
      <c r="C3176" t="str">
        <f t="shared" si="155"/>
        <v>20</v>
      </c>
      <c r="D3176" t="s">
        <v>67</v>
      </c>
      <c r="E3176" t="str">
        <f t="shared" si="156"/>
        <v>014</v>
      </c>
      <c r="F3176" t="s">
        <v>2914</v>
      </c>
      <c r="G3176" t="str">
        <f>"0517"</f>
        <v>0517</v>
      </c>
      <c r="H3176" t="str">
        <f>"0001"</f>
        <v>0001</v>
      </c>
      <c r="I3176" t="s">
        <v>75</v>
      </c>
      <c r="J3176">
        <v>0</v>
      </c>
      <c r="K3176">
        <v>1</v>
      </c>
      <c r="L3176">
        <v>2</v>
      </c>
      <c r="M3176">
        <v>291</v>
      </c>
      <c r="N3176">
        <v>337</v>
      </c>
      <c r="O3176">
        <v>0</v>
      </c>
      <c r="P3176">
        <v>337</v>
      </c>
      <c r="Q3176">
        <v>10</v>
      </c>
      <c r="R3176">
        <v>95</v>
      </c>
      <c r="S3176">
        <v>3</v>
      </c>
      <c r="T3176">
        <v>15</v>
      </c>
      <c r="U3176">
        <v>9</v>
      </c>
      <c r="V3176">
        <v>7</v>
      </c>
      <c r="W3176">
        <v>4</v>
      </c>
      <c r="X3176">
        <v>163</v>
      </c>
      <c r="Y3176">
        <v>7</v>
      </c>
      <c r="Z3176">
        <v>4</v>
      </c>
      <c r="AA3176">
        <v>3</v>
      </c>
      <c r="AB3176">
        <v>11</v>
      </c>
      <c r="AD3176">
        <v>1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5</v>
      </c>
      <c r="AK3176">
        <v>337</v>
      </c>
      <c r="AL3176">
        <v>337</v>
      </c>
      <c r="AM3176">
        <v>584</v>
      </c>
      <c r="AN3176">
        <v>44</v>
      </c>
      <c r="AP3176">
        <v>1</v>
      </c>
      <c r="AR3176" t="s">
        <v>3271</v>
      </c>
      <c r="AS3176" s="1">
        <v>44354.034722222219</v>
      </c>
      <c r="AT3176" s="1">
        <v>44354.044479166667</v>
      </c>
      <c r="AU3176" s="1">
        <v>44354.044976851852</v>
      </c>
      <c r="AV3176" t="s">
        <v>71</v>
      </c>
      <c r="AW3176" t="s">
        <v>72</v>
      </c>
      <c r="AX3176" t="s">
        <v>73</v>
      </c>
    </row>
    <row r="3177" spans="1:50" x14ac:dyDescent="0.3">
      <c r="A3177" t="str">
        <f>"200518B0000"</f>
        <v>200518B0000</v>
      </c>
      <c r="B3177" t="str">
        <f>"200518B00002"</f>
        <v>200518B00002</v>
      </c>
      <c r="C3177" t="str">
        <f t="shared" si="155"/>
        <v>20</v>
      </c>
      <c r="D3177" t="s">
        <v>67</v>
      </c>
      <c r="E3177" t="str">
        <f t="shared" si="156"/>
        <v>014</v>
      </c>
      <c r="F3177" t="s">
        <v>2914</v>
      </c>
      <c r="G3177" t="str">
        <f>"0518"</f>
        <v>0518</v>
      </c>
      <c r="H3177" t="str">
        <f>"0000"</f>
        <v>0000</v>
      </c>
      <c r="I3177" t="s">
        <v>69</v>
      </c>
      <c r="J3177">
        <v>0</v>
      </c>
      <c r="K3177">
        <v>1</v>
      </c>
      <c r="L3177">
        <v>2</v>
      </c>
      <c r="M3177">
        <v>239</v>
      </c>
      <c r="N3177">
        <v>297</v>
      </c>
      <c r="O3177">
        <v>2</v>
      </c>
      <c r="P3177">
        <v>297</v>
      </c>
      <c r="Q3177">
        <v>22</v>
      </c>
      <c r="R3177">
        <v>69</v>
      </c>
      <c r="S3177">
        <v>2</v>
      </c>
      <c r="T3177">
        <v>6</v>
      </c>
      <c r="U3177">
        <v>8</v>
      </c>
      <c r="V3177">
        <v>8</v>
      </c>
      <c r="W3177">
        <v>6</v>
      </c>
      <c r="X3177">
        <v>145</v>
      </c>
      <c r="Y3177">
        <v>7</v>
      </c>
      <c r="Z3177">
        <v>5</v>
      </c>
      <c r="AA3177">
        <v>1</v>
      </c>
      <c r="AB3177">
        <v>8</v>
      </c>
      <c r="AD3177">
        <v>2</v>
      </c>
      <c r="AE3177">
        <v>0</v>
      </c>
      <c r="AF3177">
        <v>0</v>
      </c>
      <c r="AG3177">
        <v>0</v>
      </c>
      <c r="AH3177">
        <v>0</v>
      </c>
      <c r="AI3177">
        <v>2</v>
      </c>
      <c r="AJ3177">
        <v>6</v>
      </c>
      <c r="AK3177">
        <v>297</v>
      </c>
      <c r="AL3177">
        <v>297</v>
      </c>
      <c r="AM3177">
        <v>492</v>
      </c>
      <c r="AN3177">
        <v>44</v>
      </c>
      <c r="AP3177">
        <v>1</v>
      </c>
      <c r="AR3177" t="s">
        <v>3272</v>
      </c>
      <c r="AS3177" s="1">
        <v>44353.986111111109</v>
      </c>
      <c r="AT3177" s="1">
        <v>44353.99695601852</v>
      </c>
      <c r="AU3177" s="1">
        <v>44353.998379629629</v>
      </c>
      <c r="AV3177" t="s">
        <v>71</v>
      </c>
      <c r="AW3177" t="s">
        <v>72</v>
      </c>
      <c r="AX3177" t="s">
        <v>73</v>
      </c>
    </row>
    <row r="3178" spans="1:50" x14ac:dyDescent="0.3">
      <c r="A3178" t="str">
        <f>"200518C0100"</f>
        <v>200518C0100</v>
      </c>
      <c r="B3178" t="str">
        <f>"200518C01002"</f>
        <v>200518C01002</v>
      </c>
      <c r="C3178" t="str">
        <f t="shared" si="155"/>
        <v>20</v>
      </c>
      <c r="D3178" t="s">
        <v>67</v>
      </c>
      <c r="E3178" t="str">
        <f t="shared" si="156"/>
        <v>014</v>
      </c>
      <c r="F3178" t="s">
        <v>2914</v>
      </c>
      <c r="G3178" t="str">
        <f>"0518"</f>
        <v>0518</v>
      </c>
      <c r="H3178" t="str">
        <f>"0001"</f>
        <v>0001</v>
      </c>
      <c r="I3178" t="s">
        <v>75</v>
      </c>
      <c r="J3178">
        <v>0</v>
      </c>
      <c r="K3178">
        <v>1</v>
      </c>
      <c r="L3178">
        <v>2</v>
      </c>
      <c r="M3178">
        <v>264</v>
      </c>
      <c r="N3178">
        <v>271</v>
      </c>
      <c r="O3178">
        <v>7</v>
      </c>
      <c r="P3178">
        <v>271</v>
      </c>
      <c r="Q3178">
        <v>17</v>
      </c>
      <c r="R3178">
        <v>53</v>
      </c>
      <c r="S3178">
        <v>1</v>
      </c>
      <c r="T3178">
        <v>8</v>
      </c>
      <c r="U3178">
        <v>5</v>
      </c>
      <c r="V3178">
        <v>16</v>
      </c>
      <c r="W3178">
        <v>8</v>
      </c>
      <c r="X3178">
        <v>136</v>
      </c>
      <c r="Y3178">
        <v>5</v>
      </c>
      <c r="Z3178">
        <v>3</v>
      </c>
      <c r="AA3178">
        <v>3</v>
      </c>
      <c r="AB3178">
        <v>6</v>
      </c>
      <c r="AD3178">
        <v>3</v>
      </c>
      <c r="AE3178">
        <v>1</v>
      </c>
      <c r="AF3178">
        <v>0</v>
      </c>
      <c r="AG3178">
        <v>1</v>
      </c>
      <c r="AH3178">
        <v>0</v>
      </c>
      <c r="AI3178">
        <v>0</v>
      </c>
      <c r="AJ3178">
        <v>5</v>
      </c>
      <c r="AK3178">
        <v>271</v>
      </c>
      <c r="AL3178">
        <v>271</v>
      </c>
      <c r="AM3178">
        <v>491</v>
      </c>
      <c r="AN3178">
        <v>44</v>
      </c>
      <c r="AP3178">
        <v>1</v>
      </c>
      <c r="AR3178" t="s">
        <v>3273</v>
      </c>
      <c r="AS3178" s="1">
        <v>44354.001388888886</v>
      </c>
      <c r="AT3178" s="1">
        <v>44354.018900462965</v>
      </c>
      <c r="AU3178" s="1">
        <v>44354.019618055558</v>
      </c>
      <c r="AV3178" t="s">
        <v>71</v>
      </c>
      <c r="AW3178" t="s">
        <v>72</v>
      </c>
      <c r="AX3178" t="s">
        <v>73</v>
      </c>
    </row>
    <row r="3179" spans="1:50" x14ac:dyDescent="0.3">
      <c r="A3179" t="str">
        <f>"200519B0000"</f>
        <v>200519B0000</v>
      </c>
      <c r="B3179" t="str">
        <f>"200519B00002"</f>
        <v>200519B00002</v>
      </c>
      <c r="C3179" t="str">
        <f t="shared" si="155"/>
        <v>20</v>
      </c>
      <c r="D3179" t="s">
        <v>67</v>
      </c>
      <c r="E3179" t="str">
        <f t="shared" si="156"/>
        <v>014</v>
      </c>
      <c r="F3179" t="s">
        <v>2914</v>
      </c>
      <c r="G3179" t="str">
        <f>"0519"</f>
        <v>0519</v>
      </c>
      <c r="H3179" t="str">
        <f>"0000"</f>
        <v>0000</v>
      </c>
      <c r="I3179" t="s">
        <v>69</v>
      </c>
      <c r="J3179">
        <v>0</v>
      </c>
      <c r="K3179">
        <v>1</v>
      </c>
      <c r="L3179">
        <v>2</v>
      </c>
      <c r="M3179">
        <v>288</v>
      </c>
      <c r="N3179">
        <v>363</v>
      </c>
      <c r="O3179">
        <v>0</v>
      </c>
      <c r="P3179">
        <v>363</v>
      </c>
      <c r="Q3179">
        <v>39</v>
      </c>
      <c r="R3179">
        <v>110</v>
      </c>
      <c r="S3179">
        <v>4</v>
      </c>
      <c r="T3179">
        <v>15</v>
      </c>
      <c r="U3179">
        <v>4</v>
      </c>
      <c r="V3179">
        <v>9</v>
      </c>
      <c r="W3179">
        <v>3</v>
      </c>
      <c r="X3179">
        <v>143</v>
      </c>
      <c r="Y3179">
        <v>5</v>
      </c>
      <c r="Z3179">
        <v>8</v>
      </c>
      <c r="AA3179">
        <v>6</v>
      </c>
      <c r="AB3179">
        <v>10</v>
      </c>
      <c r="AD3179" t="s">
        <v>77</v>
      </c>
      <c r="AE3179" t="s">
        <v>77</v>
      </c>
      <c r="AF3179" t="s">
        <v>77</v>
      </c>
      <c r="AG3179" t="s">
        <v>77</v>
      </c>
      <c r="AH3179" t="s">
        <v>77</v>
      </c>
      <c r="AI3179" t="s">
        <v>77</v>
      </c>
      <c r="AJ3179" t="s">
        <v>77</v>
      </c>
      <c r="AK3179">
        <v>363</v>
      </c>
      <c r="AL3179">
        <v>356</v>
      </c>
      <c r="AM3179">
        <v>607</v>
      </c>
      <c r="AN3179">
        <v>44</v>
      </c>
      <c r="AO3179" t="s">
        <v>78</v>
      </c>
      <c r="AP3179">
        <v>1</v>
      </c>
      <c r="AR3179" t="s">
        <v>3274</v>
      </c>
      <c r="AS3179" s="1">
        <v>44354.087500000001</v>
      </c>
      <c r="AT3179" s="1">
        <v>44354.096631944441</v>
      </c>
      <c r="AU3179" s="1">
        <v>44354.097037037034</v>
      </c>
      <c r="AV3179" t="s">
        <v>71</v>
      </c>
      <c r="AW3179" t="s">
        <v>72</v>
      </c>
      <c r="AX3179" t="s">
        <v>73</v>
      </c>
    </row>
    <row r="3180" spans="1:50" x14ac:dyDescent="0.3">
      <c r="A3180" t="str">
        <f>"200519C0100"</f>
        <v>200519C0100</v>
      </c>
      <c r="B3180" t="str">
        <f>"200519C01002"</f>
        <v>200519C01002</v>
      </c>
      <c r="C3180" t="str">
        <f t="shared" si="155"/>
        <v>20</v>
      </c>
      <c r="D3180" t="s">
        <v>67</v>
      </c>
      <c r="E3180" t="str">
        <f t="shared" si="156"/>
        <v>014</v>
      </c>
      <c r="F3180" t="s">
        <v>2914</v>
      </c>
      <c r="G3180" t="str">
        <f>"0519"</f>
        <v>0519</v>
      </c>
      <c r="H3180" t="str">
        <f>"0001"</f>
        <v>0001</v>
      </c>
      <c r="I3180" t="s">
        <v>75</v>
      </c>
      <c r="J3180">
        <v>0</v>
      </c>
      <c r="K3180">
        <v>1</v>
      </c>
      <c r="L3180">
        <v>2</v>
      </c>
      <c r="M3180" t="s">
        <v>80</v>
      </c>
      <c r="N3180">
        <v>358</v>
      </c>
      <c r="O3180">
        <v>2</v>
      </c>
      <c r="P3180">
        <v>358</v>
      </c>
      <c r="Q3180">
        <v>24</v>
      </c>
      <c r="R3180">
        <v>96</v>
      </c>
      <c r="S3180">
        <v>4</v>
      </c>
      <c r="T3180">
        <v>9</v>
      </c>
      <c r="U3180">
        <v>16</v>
      </c>
      <c r="V3180">
        <v>16</v>
      </c>
      <c r="W3180">
        <v>3</v>
      </c>
      <c r="X3180">
        <v>145</v>
      </c>
      <c r="Y3180">
        <v>6</v>
      </c>
      <c r="Z3180">
        <v>11</v>
      </c>
      <c r="AA3180">
        <v>4</v>
      </c>
      <c r="AB3180">
        <v>14</v>
      </c>
      <c r="AD3180" t="s">
        <v>77</v>
      </c>
      <c r="AE3180" t="s">
        <v>77</v>
      </c>
      <c r="AF3180" t="s">
        <v>77</v>
      </c>
      <c r="AG3180" t="s">
        <v>77</v>
      </c>
      <c r="AH3180" t="s">
        <v>77</v>
      </c>
      <c r="AI3180" t="s">
        <v>77</v>
      </c>
      <c r="AJ3180">
        <v>10</v>
      </c>
      <c r="AK3180" t="s">
        <v>77</v>
      </c>
      <c r="AL3180">
        <v>358</v>
      </c>
      <c r="AM3180">
        <v>607</v>
      </c>
      <c r="AN3180">
        <v>44</v>
      </c>
      <c r="AO3180" t="s">
        <v>78</v>
      </c>
      <c r="AP3180">
        <v>1</v>
      </c>
      <c r="AR3180" t="s">
        <v>3275</v>
      </c>
      <c r="AS3180" s="1">
        <v>44354.024305555555</v>
      </c>
      <c r="AT3180" s="1">
        <v>44354.057766203703</v>
      </c>
      <c r="AU3180" s="1">
        <v>44354.058194444442</v>
      </c>
      <c r="AV3180" t="s">
        <v>71</v>
      </c>
      <c r="AW3180" t="s">
        <v>72</v>
      </c>
      <c r="AX3180" t="s">
        <v>73</v>
      </c>
    </row>
    <row r="3181" spans="1:50" x14ac:dyDescent="0.3">
      <c r="A3181" t="str">
        <f>"200520B0000"</f>
        <v>200520B0000</v>
      </c>
      <c r="B3181" t="str">
        <f>"200520B00002"</f>
        <v>200520B00002</v>
      </c>
      <c r="C3181" t="str">
        <f t="shared" si="155"/>
        <v>20</v>
      </c>
      <c r="D3181" t="s">
        <v>67</v>
      </c>
      <c r="E3181" t="str">
        <f t="shared" si="156"/>
        <v>014</v>
      </c>
      <c r="F3181" t="s">
        <v>2914</v>
      </c>
      <c r="G3181" t="str">
        <f>"0520"</f>
        <v>0520</v>
      </c>
      <c r="H3181" t="str">
        <f>"0000"</f>
        <v>0000</v>
      </c>
      <c r="I3181" t="s">
        <v>69</v>
      </c>
      <c r="J3181">
        <v>0</v>
      </c>
      <c r="K3181">
        <v>1</v>
      </c>
      <c r="L3181">
        <v>2</v>
      </c>
      <c r="M3181">
        <v>230</v>
      </c>
      <c r="N3181">
        <v>314</v>
      </c>
      <c r="O3181">
        <v>6</v>
      </c>
      <c r="P3181">
        <v>314</v>
      </c>
      <c r="Q3181">
        <v>29</v>
      </c>
      <c r="R3181">
        <v>80</v>
      </c>
      <c r="S3181">
        <v>3</v>
      </c>
      <c r="T3181">
        <v>5</v>
      </c>
      <c r="U3181">
        <v>5</v>
      </c>
      <c r="V3181">
        <v>13</v>
      </c>
      <c r="W3181">
        <v>6</v>
      </c>
      <c r="X3181">
        <v>153</v>
      </c>
      <c r="Y3181">
        <v>4</v>
      </c>
      <c r="Z3181">
        <v>2</v>
      </c>
      <c r="AA3181">
        <v>0</v>
      </c>
      <c r="AB3181">
        <v>5</v>
      </c>
      <c r="AD3181">
        <v>1</v>
      </c>
      <c r="AE3181">
        <v>0</v>
      </c>
      <c r="AF3181">
        <v>0</v>
      </c>
      <c r="AG3181">
        <v>0</v>
      </c>
      <c r="AH3181">
        <v>0</v>
      </c>
      <c r="AI3181">
        <v>1</v>
      </c>
      <c r="AJ3181">
        <v>7</v>
      </c>
      <c r="AK3181">
        <v>314</v>
      </c>
      <c r="AL3181">
        <v>314</v>
      </c>
      <c r="AM3181">
        <v>500</v>
      </c>
      <c r="AN3181">
        <v>44</v>
      </c>
      <c r="AP3181">
        <v>1</v>
      </c>
      <c r="AR3181" t="s">
        <v>3276</v>
      </c>
      <c r="AS3181" s="1">
        <v>44354.022222222222</v>
      </c>
      <c r="AT3181" s="1">
        <v>44354.058125000003</v>
      </c>
      <c r="AU3181" s="1">
        <v>44354.058807870373</v>
      </c>
      <c r="AV3181" t="s">
        <v>71</v>
      </c>
      <c r="AW3181" t="s">
        <v>72</v>
      </c>
      <c r="AX3181" t="s">
        <v>73</v>
      </c>
    </row>
    <row r="3182" spans="1:50" x14ac:dyDescent="0.3">
      <c r="A3182" t="str">
        <f>"200520C0100"</f>
        <v>200520C0100</v>
      </c>
      <c r="B3182" t="str">
        <f>"200520C01002"</f>
        <v>200520C01002</v>
      </c>
      <c r="C3182" t="str">
        <f t="shared" si="155"/>
        <v>20</v>
      </c>
      <c r="D3182" t="s">
        <v>67</v>
      </c>
      <c r="E3182" t="str">
        <f t="shared" si="156"/>
        <v>014</v>
      </c>
      <c r="F3182" t="s">
        <v>2914</v>
      </c>
      <c r="G3182" t="str">
        <f>"0520"</f>
        <v>0520</v>
      </c>
      <c r="H3182" t="str">
        <f>"0001"</f>
        <v>0001</v>
      </c>
      <c r="I3182" t="s">
        <v>75</v>
      </c>
      <c r="J3182">
        <v>0</v>
      </c>
      <c r="K3182">
        <v>1</v>
      </c>
      <c r="L3182">
        <v>2</v>
      </c>
      <c r="M3182">
        <v>249</v>
      </c>
      <c r="N3182">
        <v>304</v>
      </c>
      <c r="O3182">
        <v>5</v>
      </c>
      <c r="P3182" t="s">
        <v>80</v>
      </c>
      <c r="Q3182">
        <v>38</v>
      </c>
      <c r="R3182">
        <v>84</v>
      </c>
      <c r="S3182">
        <v>1</v>
      </c>
      <c r="T3182">
        <v>5</v>
      </c>
      <c r="U3182">
        <v>5</v>
      </c>
      <c r="V3182">
        <v>11</v>
      </c>
      <c r="W3182">
        <v>3</v>
      </c>
      <c r="X3182">
        <v>122</v>
      </c>
      <c r="Y3182">
        <v>8</v>
      </c>
      <c r="Z3182">
        <v>4</v>
      </c>
      <c r="AA3182">
        <v>1</v>
      </c>
      <c r="AB3182">
        <v>12</v>
      </c>
      <c r="AD3182">
        <v>2</v>
      </c>
      <c r="AE3182">
        <v>1</v>
      </c>
      <c r="AF3182">
        <v>0</v>
      </c>
      <c r="AG3182">
        <v>0</v>
      </c>
      <c r="AH3182">
        <v>0</v>
      </c>
      <c r="AI3182">
        <v>0</v>
      </c>
      <c r="AJ3182">
        <v>7</v>
      </c>
      <c r="AK3182">
        <v>304</v>
      </c>
      <c r="AL3182">
        <v>304</v>
      </c>
      <c r="AM3182">
        <v>499</v>
      </c>
      <c r="AN3182">
        <v>44</v>
      </c>
      <c r="AP3182">
        <v>1</v>
      </c>
      <c r="AR3182" t="s">
        <v>3277</v>
      </c>
      <c r="AS3182" s="1">
        <v>44354.020833333336</v>
      </c>
      <c r="AT3182" s="1">
        <v>44354.029120370367</v>
      </c>
      <c r="AU3182" s="1">
        <v>44354.029606481483</v>
      </c>
      <c r="AV3182" t="s">
        <v>71</v>
      </c>
      <c r="AW3182" t="s">
        <v>72</v>
      </c>
      <c r="AX3182" t="s">
        <v>73</v>
      </c>
    </row>
    <row r="3183" spans="1:50" x14ac:dyDescent="0.3">
      <c r="A3183" t="str">
        <f>"200521B0000"</f>
        <v>200521B0000</v>
      </c>
      <c r="B3183" t="str">
        <f>"200521B00002"</f>
        <v>200521B00002</v>
      </c>
      <c r="C3183" t="str">
        <f t="shared" si="155"/>
        <v>20</v>
      </c>
      <c r="D3183" t="s">
        <v>67</v>
      </c>
      <c r="E3183" t="str">
        <f t="shared" si="156"/>
        <v>014</v>
      </c>
      <c r="F3183" t="s">
        <v>2914</v>
      </c>
      <c r="G3183" t="str">
        <f>"0521"</f>
        <v>0521</v>
      </c>
      <c r="H3183" t="str">
        <f>"0000"</f>
        <v>0000</v>
      </c>
      <c r="I3183" t="s">
        <v>69</v>
      </c>
      <c r="J3183">
        <v>0</v>
      </c>
      <c r="K3183">
        <v>1</v>
      </c>
      <c r="L3183">
        <v>2</v>
      </c>
      <c r="M3183">
        <v>341</v>
      </c>
      <c r="N3183">
        <v>336</v>
      </c>
      <c r="O3183">
        <v>0</v>
      </c>
      <c r="P3183">
        <v>336</v>
      </c>
      <c r="Q3183">
        <v>23</v>
      </c>
      <c r="R3183">
        <v>54</v>
      </c>
      <c r="S3183">
        <v>5</v>
      </c>
      <c r="T3183">
        <v>5</v>
      </c>
      <c r="U3183">
        <v>6</v>
      </c>
      <c r="V3183">
        <v>23</v>
      </c>
      <c r="W3183">
        <v>2</v>
      </c>
      <c r="X3183">
        <v>172</v>
      </c>
      <c r="Y3183">
        <v>5</v>
      </c>
      <c r="Z3183">
        <v>7</v>
      </c>
      <c r="AA3183">
        <v>4</v>
      </c>
      <c r="AB3183">
        <v>12</v>
      </c>
      <c r="AD3183">
        <v>1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17</v>
      </c>
      <c r="AK3183">
        <v>336</v>
      </c>
      <c r="AL3183">
        <v>336</v>
      </c>
      <c r="AM3183">
        <v>633</v>
      </c>
      <c r="AN3183">
        <v>44</v>
      </c>
      <c r="AP3183">
        <v>1</v>
      </c>
      <c r="AR3183" t="s">
        <v>3278</v>
      </c>
      <c r="AS3183" s="1">
        <v>44354.015277777777</v>
      </c>
      <c r="AT3183" s="1">
        <v>44354.050625000003</v>
      </c>
      <c r="AU3183" s="1">
        <v>44354.051122685189</v>
      </c>
      <c r="AV3183" t="s">
        <v>71</v>
      </c>
      <c r="AW3183" t="s">
        <v>72</v>
      </c>
      <c r="AX3183" t="s">
        <v>73</v>
      </c>
    </row>
    <row r="3184" spans="1:50" x14ac:dyDescent="0.3">
      <c r="A3184" t="str">
        <f>"200521C0100"</f>
        <v>200521C0100</v>
      </c>
      <c r="B3184" t="str">
        <f>"200521C01002"</f>
        <v>200521C01002</v>
      </c>
      <c r="C3184" t="str">
        <f t="shared" si="155"/>
        <v>20</v>
      </c>
      <c r="D3184" t="s">
        <v>67</v>
      </c>
      <c r="E3184" t="str">
        <f t="shared" si="156"/>
        <v>014</v>
      </c>
      <c r="F3184" t="s">
        <v>2914</v>
      </c>
      <c r="G3184" t="str">
        <f>"0521"</f>
        <v>0521</v>
      </c>
      <c r="H3184" t="str">
        <f>"0001"</f>
        <v>0001</v>
      </c>
      <c r="I3184" t="s">
        <v>75</v>
      </c>
      <c r="J3184">
        <v>0</v>
      </c>
      <c r="K3184">
        <v>1</v>
      </c>
      <c r="L3184">
        <v>2</v>
      </c>
      <c r="M3184">
        <v>377</v>
      </c>
      <c r="N3184">
        <v>300</v>
      </c>
      <c r="O3184">
        <v>1</v>
      </c>
      <c r="P3184">
        <v>299</v>
      </c>
      <c r="Q3184">
        <v>13</v>
      </c>
      <c r="R3184">
        <v>52</v>
      </c>
      <c r="S3184">
        <v>1</v>
      </c>
      <c r="T3184">
        <v>8</v>
      </c>
      <c r="U3184">
        <v>9</v>
      </c>
      <c r="V3184">
        <v>17</v>
      </c>
      <c r="W3184">
        <v>1</v>
      </c>
      <c r="X3184">
        <v>162</v>
      </c>
      <c r="Y3184">
        <v>6</v>
      </c>
      <c r="Z3184">
        <v>7</v>
      </c>
      <c r="AA3184">
        <v>4</v>
      </c>
      <c r="AB3184">
        <v>11</v>
      </c>
      <c r="AD3184">
        <v>0</v>
      </c>
      <c r="AE3184">
        <v>1</v>
      </c>
      <c r="AF3184">
        <v>0</v>
      </c>
      <c r="AG3184">
        <v>0</v>
      </c>
      <c r="AH3184">
        <v>0</v>
      </c>
      <c r="AI3184">
        <v>0</v>
      </c>
      <c r="AJ3184">
        <v>7</v>
      </c>
      <c r="AK3184">
        <v>299</v>
      </c>
      <c r="AL3184">
        <v>299</v>
      </c>
      <c r="AM3184">
        <v>633</v>
      </c>
      <c r="AN3184">
        <v>44</v>
      </c>
      <c r="AP3184">
        <v>1</v>
      </c>
      <c r="AR3184" t="s">
        <v>3279</v>
      </c>
      <c r="AS3184" s="1">
        <v>44353.791666666664</v>
      </c>
      <c r="AT3184" s="1">
        <v>44354.007430555554</v>
      </c>
      <c r="AU3184" s="1">
        <v>44354.008194444446</v>
      </c>
      <c r="AV3184" t="s">
        <v>71</v>
      </c>
      <c r="AW3184" t="s">
        <v>72</v>
      </c>
      <c r="AX3184" t="s">
        <v>73</v>
      </c>
    </row>
    <row r="3185" spans="1:50" x14ac:dyDescent="0.3">
      <c r="A3185" t="str">
        <f>"200521C0200"</f>
        <v>200521C0200</v>
      </c>
      <c r="B3185" t="str">
        <f>"200521C02002"</f>
        <v>200521C02002</v>
      </c>
      <c r="C3185" t="str">
        <f t="shared" si="155"/>
        <v>20</v>
      </c>
      <c r="D3185" t="s">
        <v>67</v>
      </c>
      <c r="E3185" t="str">
        <f t="shared" si="156"/>
        <v>014</v>
      </c>
      <c r="F3185" t="s">
        <v>2914</v>
      </c>
      <c r="G3185" t="str">
        <f>"0521"</f>
        <v>0521</v>
      </c>
      <c r="H3185" t="str">
        <f>"0002"</f>
        <v>0002</v>
      </c>
      <c r="I3185" t="s">
        <v>75</v>
      </c>
      <c r="J3185">
        <v>0</v>
      </c>
      <c r="K3185">
        <v>1</v>
      </c>
      <c r="L3185">
        <v>2</v>
      </c>
      <c r="M3185">
        <v>354</v>
      </c>
      <c r="N3185">
        <v>323</v>
      </c>
      <c r="O3185">
        <v>2</v>
      </c>
      <c r="P3185">
        <v>323</v>
      </c>
      <c r="Q3185">
        <v>14</v>
      </c>
      <c r="R3185">
        <v>67</v>
      </c>
      <c r="S3185">
        <v>2</v>
      </c>
      <c r="T3185">
        <v>4</v>
      </c>
      <c r="U3185">
        <v>19</v>
      </c>
      <c r="V3185">
        <v>17</v>
      </c>
      <c r="W3185">
        <v>1</v>
      </c>
      <c r="X3185">
        <v>152</v>
      </c>
      <c r="Y3185">
        <v>9</v>
      </c>
      <c r="Z3185">
        <v>9</v>
      </c>
      <c r="AA3185">
        <v>6</v>
      </c>
      <c r="AB3185">
        <v>8</v>
      </c>
      <c r="AD3185">
        <v>2</v>
      </c>
      <c r="AE3185">
        <v>1</v>
      </c>
      <c r="AF3185">
        <v>1</v>
      </c>
      <c r="AG3185">
        <v>0</v>
      </c>
      <c r="AH3185">
        <v>0</v>
      </c>
      <c r="AI3185">
        <v>0</v>
      </c>
      <c r="AJ3185">
        <v>11</v>
      </c>
      <c r="AK3185">
        <v>323</v>
      </c>
      <c r="AL3185">
        <v>323</v>
      </c>
      <c r="AM3185">
        <v>633</v>
      </c>
      <c r="AN3185">
        <v>44</v>
      </c>
      <c r="AP3185">
        <v>1</v>
      </c>
      <c r="AR3185" t="s">
        <v>3280</v>
      </c>
      <c r="AS3185" s="1">
        <v>44353.861111111109</v>
      </c>
      <c r="AT3185" s="1">
        <v>44354.007372685184</v>
      </c>
      <c r="AU3185" s="1">
        <v>44354.008090277777</v>
      </c>
      <c r="AV3185" t="s">
        <v>71</v>
      </c>
      <c r="AW3185" t="s">
        <v>72</v>
      </c>
      <c r="AX3185" t="s">
        <v>73</v>
      </c>
    </row>
    <row r="3186" spans="1:50" x14ac:dyDescent="0.3">
      <c r="A3186" t="str">
        <f>"200522B0000"</f>
        <v>200522B0000</v>
      </c>
      <c r="B3186" t="str">
        <f>"200522B00002"</f>
        <v>200522B00002</v>
      </c>
      <c r="C3186" t="str">
        <f t="shared" si="155"/>
        <v>20</v>
      </c>
      <c r="D3186" t="s">
        <v>67</v>
      </c>
      <c r="E3186" t="str">
        <f t="shared" si="156"/>
        <v>014</v>
      </c>
      <c r="F3186" t="s">
        <v>2914</v>
      </c>
      <c r="G3186" t="str">
        <f>"0522"</f>
        <v>0522</v>
      </c>
      <c r="H3186" t="str">
        <f>"0000"</f>
        <v>0000</v>
      </c>
      <c r="I3186" t="s">
        <v>69</v>
      </c>
      <c r="J3186">
        <v>0</v>
      </c>
      <c r="K3186">
        <v>1</v>
      </c>
      <c r="L3186">
        <v>2</v>
      </c>
      <c r="M3186">
        <v>348</v>
      </c>
      <c r="N3186">
        <v>293</v>
      </c>
      <c r="O3186">
        <v>0</v>
      </c>
      <c r="P3186">
        <v>293</v>
      </c>
      <c r="Q3186">
        <v>19</v>
      </c>
      <c r="R3186">
        <v>52</v>
      </c>
      <c r="S3186">
        <v>7</v>
      </c>
      <c r="T3186">
        <v>4</v>
      </c>
      <c r="U3186">
        <v>10</v>
      </c>
      <c r="V3186">
        <v>6</v>
      </c>
      <c r="W3186">
        <v>0</v>
      </c>
      <c r="X3186">
        <v>157</v>
      </c>
      <c r="Y3186">
        <v>7</v>
      </c>
      <c r="Z3186">
        <v>4</v>
      </c>
      <c r="AA3186">
        <v>8</v>
      </c>
      <c r="AB3186">
        <v>5</v>
      </c>
      <c r="AD3186">
        <v>2</v>
      </c>
      <c r="AE3186">
        <v>0</v>
      </c>
      <c r="AF3186">
        <v>0</v>
      </c>
      <c r="AG3186">
        <v>0</v>
      </c>
      <c r="AH3186">
        <v>0</v>
      </c>
      <c r="AI3186">
        <v>1</v>
      </c>
      <c r="AJ3186">
        <v>11</v>
      </c>
      <c r="AK3186">
        <v>293</v>
      </c>
      <c r="AL3186">
        <v>293</v>
      </c>
      <c r="AM3186">
        <v>597</v>
      </c>
      <c r="AN3186">
        <v>44</v>
      </c>
      <c r="AP3186">
        <v>1</v>
      </c>
      <c r="AR3186" t="s">
        <v>3281</v>
      </c>
      <c r="AS3186" s="1">
        <v>44353.942361111112</v>
      </c>
      <c r="AT3186" s="1">
        <v>44353.955254629633</v>
      </c>
      <c r="AU3186" s="1">
        <v>44353.956053240741</v>
      </c>
      <c r="AV3186" t="s">
        <v>71</v>
      </c>
      <c r="AW3186" t="s">
        <v>72</v>
      </c>
      <c r="AX3186" t="s">
        <v>73</v>
      </c>
    </row>
    <row r="3187" spans="1:50" x14ac:dyDescent="0.3">
      <c r="A3187" t="str">
        <f>"200522C0100"</f>
        <v>200522C0100</v>
      </c>
      <c r="B3187" t="str">
        <f>"200522C01002"</f>
        <v>200522C01002</v>
      </c>
      <c r="C3187" t="str">
        <f t="shared" si="155"/>
        <v>20</v>
      </c>
      <c r="D3187" t="s">
        <v>67</v>
      </c>
      <c r="E3187" t="str">
        <f t="shared" si="156"/>
        <v>014</v>
      </c>
      <c r="F3187" t="s">
        <v>2914</v>
      </c>
      <c r="G3187" t="str">
        <f>"0522"</f>
        <v>0522</v>
      </c>
      <c r="H3187" t="str">
        <f>"0001"</f>
        <v>0001</v>
      </c>
      <c r="I3187" t="s">
        <v>75</v>
      </c>
      <c r="J3187">
        <v>0</v>
      </c>
      <c r="K3187">
        <v>1</v>
      </c>
      <c r="L3187">
        <v>2</v>
      </c>
      <c r="M3187">
        <v>323</v>
      </c>
      <c r="N3187">
        <v>317</v>
      </c>
      <c r="O3187">
        <v>4</v>
      </c>
      <c r="P3187">
        <v>317</v>
      </c>
      <c r="Q3187">
        <v>17</v>
      </c>
      <c r="R3187">
        <v>55</v>
      </c>
      <c r="S3187">
        <v>2</v>
      </c>
      <c r="T3187">
        <v>7</v>
      </c>
      <c r="U3187">
        <v>11</v>
      </c>
      <c r="V3187">
        <v>7</v>
      </c>
      <c r="W3187">
        <v>1</v>
      </c>
      <c r="X3187">
        <v>178</v>
      </c>
      <c r="Y3187">
        <v>8</v>
      </c>
      <c r="Z3187">
        <v>4</v>
      </c>
      <c r="AA3187">
        <v>5</v>
      </c>
      <c r="AB3187">
        <v>6</v>
      </c>
      <c r="AD3187">
        <v>2</v>
      </c>
      <c r="AE3187">
        <v>1</v>
      </c>
      <c r="AF3187">
        <v>1</v>
      </c>
      <c r="AG3187">
        <v>0</v>
      </c>
      <c r="AH3187">
        <v>0</v>
      </c>
      <c r="AI3187">
        <v>0</v>
      </c>
      <c r="AJ3187">
        <v>12</v>
      </c>
      <c r="AK3187">
        <v>317</v>
      </c>
      <c r="AL3187">
        <v>317</v>
      </c>
      <c r="AM3187">
        <v>596</v>
      </c>
      <c r="AN3187">
        <v>44</v>
      </c>
      <c r="AP3187">
        <v>1</v>
      </c>
      <c r="AR3187" s="2" t="s">
        <v>3282</v>
      </c>
      <c r="AS3187" s="1">
        <v>44354.019444444442</v>
      </c>
      <c r="AT3187" s="1">
        <v>44354.052731481483</v>
      </c>
      <c r="AU3187" s="1">
        <v>44354.053668981483</v>
      </c>
      <c r="AV3187" t="s">
        <v>71</v>
      </c>
      <c r="AW3187" t="s">
        <v>72</v>
      </c>
      <c r="AX3187" t="s">
        <v>73</v>
      </c>
    </row>
    <row r="3188" spans="1:50" x14ac:dyDescent="0.3">
      <c r="A3188" t="str">
        <f>"200523B0000"</f>
        <v>200523B0000</v>
      </c>
      <c r="B3188" t="str">
        <f>"200523B00002"</f>
        <v>200523B00002</v>
      </c>
      <c r="C3188" t="str">
        <f t="shared" si="155"/>
        <v>20</v>
      </c>
      <c r="D3188" t="s">
        <v>67</v>
      </c>
      <c r="E3188" t="str">
        <f t="shared" si="156"/>
        <v>014</v>
      </c>
      <c r="F3188" t="s">
        <v>2914</v>
      </c>
      <c r="G3188" t="str">
        <f>"0523"</f>
        <v>0523</v>
      </c>
      <c r="H3188" t="str">
        <f>"0000"</f>
        <v>0000</v>
      </c>
      <c r="I3188" t="s">
        <v>69</v>
      </c>
      <c r="J3188">
        <v>0</v>
      </c>
      <c r="K3188">
        <v>1</v>
      </c>
      <c r="L3188">
        <v>2</v>
      </c>
      <c r="M3188">
        <v>269</v>
      </c>
      <c r="N3188">
        <v>348</v>
      </c>
      <c r="O3188">
        <v>4</v>
      </c>
      <c r="P3188">
        <v>348</v>
      </c>
      <c r="Q3188">
        <v>19</v>
      </c>
      <c r="R3188">
        <v>78</v>
      </c>
      <c r="S3188">
        <v>0</v>
      </c>
      <c r="T3188">
        <v>5</v>
      </c>
      <c r="U3188">
        <v>8</v>
      </c>
      <c r="V3188">
        <v>14</v>
      </c>
      <c r="W3188">
        <v>3</v>
      </c>
      <c r="X3188">
        <v>173</v>
      </c>
      <c r="Y3188">
        <v>9</v>
      </c>
      <c r="Z3188">
        <v>4</v>
      </c>
      <c r="AA3188">
        <v>7</v>
      </c>
      <c r="AB3188">
        <v>10</v>
      </c>
      <c r="AD3188" t="s">
        <v>77</v>
      </c>
      <c r="AE3188" t="s">
        <v>77</v>
      </c>
      <c r="AF3188" t="s">
        <v>77</v>
      </c>
      <c r="AG3188" t="s">
        <v>77</v>
      </c>
      <c r="AH3188" t="s">
        <v>77</v>
      </c>
      <c r="AI3188" t="s">
        <v>77</v>
      </c>
      <c r="AJ3188">
        <v>16</v>
      </c>
      <c r="AK3188">
        <v>348</v>
      </c>
      <c r="AL3188">
        <v>346</v>
      </c>
      <c r="AM3188">
        <v>573</v>
      </c>
      <c r="AN3188">
        <v>44</v>
      </c>
      <c r="AO3188" t="s">
        <v>78</v>
      </c>
      <c r="AP3188">
        <v>1</v>
      </c>
      <c r="AR3188" t="s">
        <v>3283</v>
      </c>
      <c r="AS3188" s="1">
        <v>44354.15347222222</v>
      </c>
      <c r="AT3188" s="1">
        <v>44354.1565625</v>
      </c>
      <c r="AU3188" s="1">
        <v>44354.157696759263</v>
      </c>
      <c r="AV3188" t="s">
        <v>71</v>
      </c>
      <c r="AW3188" t="s">
        <v>72</v>
      </c>
      <c r="AX3188" t="s">
        <v>73</v>
      </c>
    </row>
    <row r="3189" spans="1:50" x14ac:dyDescent="0.3">
      <c r="A3189" t="str">
        <f>"200523C0100"</f>
        <v>200523C0100</v>
      </c>
      <c r="B3189" t="str">
        <f>"200523C01002"</f>
        <v>200523C01002</v>
      </c>
      <c r="C3189" t="str">
        <f t="shared" si="155"/>
        <v>20</v>
      </c>
      <c r="D3189" t="s">
        <v>67</v>
      </c>
      <c r="E3189" t="str">
        <f t="shared" si="156"/>
        <v>014</v>
      </c>
      <c r="F3189" t="s">
        <v>2914</v>
      </c>
      <c r="G3189" t="str">
        <f>"0523"</f>
        <v>0523</v>
      </c>
      <c r="H3189" t="str">
        <f>"0001"</f>
        <v>0001</v>
      </c>
      <c r="I3189" t="s">
        <v>75</v>
      </c>
      <c r="J3189">
        <v>0</v>
      </c>
      <c r="K3189">
        <v>1</v>
      </c>
      <c r="L3189">
        <v>2</v>
      </c>
      <c r="M3189">
        <v>295</v>
      </c>
      <c r="N3189">
        <v>321</v>
      </c>
      <c r="O3189">
        <v>3</v>
      </c>
      <c r="P3189">
        <v>321</v>
      </c>
      <c r="Q3189">
        <v>27</v>
      </c>
      <c r="R3189">
        <v>75</v>
      </c>
      <c r="S3189">
        <v>5</v>
      </c>
      <c r="T3189">
        <v>9</v>
      </c>
      <c r="U3189">
        <v>7</v>
      </c>
      <c r="V3189">
        <v>10</v>
      </c>
      <c r="W3189">
        <v>3</v>
      </c>
      <c r="X3189">
        <v>144</v>
      </c>
      <c r="Y3189">
        <v>12</v>
      </c>
      <c r="Z3189">
        <v>8</v>
      </c>
      <c r="AA3189">
        <v>4</v>
      </c>
      <c r="AB3189">
        <v>6</v>
      </c>
      <c r="AD3189">
        <v>2</v>
      </c>
      <c r="AE3189">
        <v>0</v>
      </c>
      <c r="AF3189">
        <v>0</v>
      </c>
      <c r="AG3189">
        <v>0</v>
      </c>
      <c r="AH3189">
        <v>2</v>
      </c>
      <c r="AI3189">
        <v>0</v>
      </c>
      <c r="AJ3189">
        <v>7</v>
      </c>
      <c r="AK3189">
        <v>321</v>
      </c>
      <c r="AL3189">
        <v>321</v>
      </c>
      <c r="AM3189">
        <v>572</v>
      </c>
      <c r="AN3189">
        <v>44</v>
      </c>
      <c r="AP3189">
        <v>1</v>
      </c>
      <c r="AR3189" t="s">
        <v>3284</v>
      </c>
      <c r="AS3189" s="1">
        <v>44354.01458333333</v>
      </c>
      <c r="AT3189" s="1">
        <v>44354.048495370371</v>
      </c>
      <c r="AU3189" s="1">
        <v>44354.04928240741</v>
      </c>
      <c r="AV3189" t="s">
        <v>71</v>
      </c>
      <c r="AW3189" t="s">
        <v>72</v>
      </c>
      <c r="AX3189" t="s">
        <v>73</v>
      </c>
    </row>
    <row r="3190" spans="1:50" x14ac:dyDescent="0.3">
      <c r="A3190" t="str">
        <f>"200526B0000"</f>
        <v>200526B0000</v>
      </c>
      <c r="B3190" t="str">
        <f>"200526B00002"</f>
        <v>200526B00002</v>
      </c>
      <c r="C3190" t="str">
        <f t="shared" si="155"/>
        <v>20</v>
      </c>
      <c r="D3190" t="s">
        <v>67</v>
      </c>
      <c r="E3190" t="str">
        <f t="shared" si="156"/>
        <v>014</v>
      </c>
      <c r="F3190" t="s">
        <v>2914</v>
      </c>
      <c r="G3190" t="str">
        <f>"0526"</f>
        <v>0526</v>
      </c>
      <c r="H3190" t="str">
        <f>"0000"</f>
        <v>0000</v>
      </c>
      <c r="I3190" t="s">
        <v>69</v>
      </c>
      <c r="J3190">
        <v>0</v>
      </c>
      <c r="K3190">
        <v>1</v>
      </c>
      <c r="L3190">
        <v>2</v>
      </c>
      <c r="M3190">
        <v>320</v>
      </c>
      <c r="N3190">
        <v>234</v>
      </c>
      <c r="O3190">
        <v>0</v>
      </c>
      <c r="P3190">
        <v>234</v>
      </c>
      <c r="Q3190">
        <v>13</v>
      </c>
      <c r="R3190">
        <v>50</v>
      </c>
      <c r="S3190">
        <v>1</v>
      </c>
      <c r="T3190">
        <v>5</v>
      </c>
      <c r="U3190">
        <v>6</v>
      </c>
      <c r="V3190">
        <v>3</v>
      </c>
      <c r="W3190">
        <v>0</v>
      </c>
      <c r="X3190">
        <v>106</v>
      </c>
      <c r="Y3190">
        <v>16</v>
      </c>
      <c r="Z3190">
        <v>8</v>
      </c>
      <c r="AA3190">
        <v>4</v>
      </c>
      <c r="AB3190">
        <v>8</v>
      </c>
      <c r="AD3190">
        <v>0</v>
      </c>
      <c r="AE3190">
        <v>0</v>
      </c>
      <c r="AF3190">
        <v>0</v>
      </c>
      <c r="AG3190">
        <v>2</v>
      </c>
      <c r="AH3190">
        <v>0</v>
      </c>
      <c r="AI3190">
        <v>0</v>
      </c>
      <c r="AJ3190">
        <v>12</v>
      </c>
      <c r="AK3190">
        <v>234</v>
      </c>
      <c r="AL3190">
        <v>234</v>
      </c>
      <c r="AM3190">
        <v>510</v>
      </c>
      <c r="AN3190">
        <v>44</v>
      </c>
      <c r="AP3190">
        <v>1</v>
      </c>
      <c r="AR3190" t="s">
        <v>3285</v>
      </c>
      <c r="AS3190" s="1">
        <v>44353.834027777775</v>
      </c>
      <c r="AT3190" s="1">
        <v>44353.962835648148</v>
      </c>
      <c r="AU3190" s="1">
        <v>44353.963194444441</v>
      </c>
      <c r="AV3190" t="s">
        <v>71</v>
      </c>
      <c r="AW3190" t="s">
        <v>72</v>
      </c>
      <c r="AX3190" t="s">
        <v>73</v>
      </c>
    </row>
    <row r="3191" spans="1:50" x14ac:dyDescent="0.3">
      <c r="A3191" t="str">
        <f>"200526C0100"</f>
        <v>200526C0100</v>
      </c>
      <c r="B3191" t="str">
        <f>"200526C01002"</f>
        <v>200526C01002</v>
      </c>
      <c r="C3191" t="str">
        <f t="shared" si="155"/>
        <v>20</v>
      </c>
      <c r="D3191" t="s">
        <v>67</v>
      </c>
      <c r="E3191" t="str">
        <f t="shared" si="156"/>
        <v>014</v>
      </c>
      <c r="F3191" t="s">
        <v>2914</v>
      </c>
      <c r="G3191" t="str">
        <f>"0526"</f>
        <v>0526</v>
      </c>
      <c r="H3191" t="str">
        <f>"0001"</f>
        <v>0001</v>
      </c>
      <c r="I3191" t="s">
        <v>75</v>
      </c>
      <c r="J3191">
        <v>0</v>
      </c>
      <c r="K3191">
        <v>1</v>
      </c>
      <c r="L3191">
        <v>2</v>
      </c>
      <c r="M3191">
        <v>303</v>
      </c>
      <c r="N3191">
        <v>554</v>
      </c>
      <c r="O3191">
        <v>0</v>
      </c>
      <c r="P3191">
        <v>251</v>
      </c>
      <c r="Q3191">
        <v>6</v>
      </c>
      <c r="R3191">
        <v>51</v>
      </c>
      <c r="S3191">
        <v>1</v>
      </c>
      <c r="T3191">
        <v>2</v>
      </c>
      <c r="U3191">
        <v>10</v>
      </c>
      <c r="V3191">
        <v>5</v>
      </c>
      <c r="W3191">
        <v>0</v>
      </c>
      <c r="X3191">
        <v>134</v>
      </c>
      <c r="Y3191">
        <v>8</v>
      </c>
      <c r="Z3191">
        <v>10</v>
      </c>
      <c r="AA3191">
        <v>5</v>
      </c>
      <c r="AB3191">
        <v>8</v>
      </c>
      <c r="AD3191">
        <v>3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8</v>
      </c>
      <c r="AK3191">
        <v>251</v>
      </c>
      <c r="AL3191">
        <v>251</v>
      </c>
      <c r="AM3191">
        <v>510</v>
      </c>
      <c r="AN3191">
        <v>44</v>
      </c>
      <c r="AP3191">
        <v>1</v>
      </c>
      <c r="AR3191" t="s">
        <v>3286</v>
      </c>
      <c r="AS3191" s="1">
        <v>44353.942361111112</v>
      </c>
      <c r="AT3191" s="1">
        <v>44353.954317129632</v>
      </c>
      <c r="AU3191" s="1">
        <v>44353.955729166664</v>
      </c>
      <c r="AV3191" t="s">
        <v>71</v>
      </c>
      <c r="AW3191" t="s">
        <v>72</v>
      </c>
      <c r="AX3191" t="s">
        <v>73</v>
      </c>
    </row>
    <row r="3192" spans="1:50" x14ac:dyDescent="0.3">
      <c r="A3192" t="str">
        <f>"200527B0000"</f>
        <v>200527B0000</v>
      </c>
      <c r="B3192" t="str">
        <f>"200527B00002"</f>
        <v>200527B00002</v>
      </c>
      <c r="C3192" t="str">
        <f t="shared" si="155"/>
        <v>20</v>
      </c>
      <c r="D3192" t="s">
        <v>67</v>
      </c>
      <c r="E3192" t="str">
        <f t="shared" si="156"/>
        <v>014</v>
      </c>
      <c r="F3192" t="s">
        <v>2914</v>
      </c>
      <c r="G3192" t="str">
        <f>"0527"</f>
        <v>0527</v>
      </c>
      <c r="H3192" t="str">
        <f>"0000"</f>
        <v>0000</v>
      </c>
      <c r="I3192" t="s">
        <v>69</v>
      </c>
      <c r="J3192">
        <v>0</v>
      </c>
      <c r="K3192">
        <v>1</v>
      </c>
      <c r="L3192">
        <v>2</v>
      </c>
      <c r="M3192">
        <v>340</v>
      </c>
      <c r="N3192">
        <v>323</v>
      </c>
      <c r="O3192">
        <v>0</v>
      </c>
      <c r="P3192">
        <v>323</v>
      </c>
      <c r="Q3192">
        <v>20</v>
      </c>
      <c r="R3192">
        <v>67</v>
      </c>
      <c r="S3192">
        <v>4</v>
      </c>
      <c r="T3192">
        <v>5</v>
      </c>
      <c r="U3192">
        <v>11</v>
      </c>
      <c r="V3192">
        <v>32</v>
      </c>
      <c r="W3192">
        <v>5</v>
      </c>
      <c r="X3192">
        <v>144</v>
      </c>
      <c r="Y3192">
        <v>6</v>
      </c>
      <c r="Z3192">
        <v>3</v>
      </c>
      <c r="AA3192">
        <v>5</v>
      </c>
      <c r="AB3192">
        <v>7</v>
      </c>
      <c r="AD3192">
        <v>1</v>
      </c>
      <c r="AE3192">
        <v>0</v>
      </c>
      <c r="AF3192">
        <v>0</v>
      </c>
      <c r="AG3192">
        <v>0</v>
      </c>
      <c r="AH3192">
        <v>0</v>
      </c>
      <c r="AI3192">
        <v>1</v>
      </c>
      <c r="AJ3192">
        <v>12</v>
      </c>
      <c r="AK3192">
        <v>323</v>
      </c>
      <c r="AL3192">
        <v>323</v>
      </c>
      <c r="AM3192">
        <v>620</v>
      </c>
      <c r="AN3192">
        <v>44</v>
      </c>
      <c r="AP3192">
        <v>1</v>
      </c>
      <c r="AR3192" t="s">
        <v>3287</v>
      </c>
      <c r="AS3192" s="1">
        <v>44354.03125</v>
      </c>
      <c r="AT3192" s="1">
        <v>44354.062314814815</v>
      </c>
      <c r="AU3192" s="1">
        <v>44354.06287037037</v>
      </c>
      <c r="AV3192" t="s">
        <v>71</v>
      </c>
      <c r="AW3192" t="s">
        <v>72</v>
      </c>
      <c r="AX3192" t="s">
        <v>73</v>
      </c>
    </row>
    <row r="3193" spans="1:50" x14ac:dyDescent="0.3">
      <c r="A3193" t="str">
        <f>"200527C0100"</f>
        <v>200527C0100</v>
      </c>
      <c r="B3193" t="str">
        <f>"200527C01002"</f>
        <v>200527C01002</v>
      </c>
      <c r="C3193" t="str">
        <f t="shared" si="155"/>
        <v>20</v>
      </c>
      <c r="D3193" t="s">
        <v>67</v>
      </c>
      <c r="E3193" t="str">
        <f t="shared" si="156"/>
        <v>014</v>
      </c>
      <c r="F3193" t="s">
        <v>2914</v>
      </c>
      <c r="G3193" t="str">
        <f>"0527"</f>
        <v>0527</v>
      </c>
      <c r="H3193" t="str">
        <f>"0001"</f>
        <v>0001</v>
      </c>
      <c r="I3193" t="s">
        <v>75</v>
      </c>
      <c r="J3193">
        <v>0</v>
      </c>
      <c r="K3193">
        <v>1</v>
      </c>
      <c r="L3193">
        <v>2</v>
      </c>
      <c r="M3193">
        <v>338</v>
      </c>
      <c r="N3193">
        <v>326</v>
      </c>
      <c r="O3193">
        <v>2</v>
      </c>
      <c r="P3193">
        <v>326</v>
      </c>
      <c r="Q3193">
        <v>12</v>
      </c>
      <c r="R3193">
        <v>60</v>
      </c>
      <c r="S3193">
        <v>3</v>
      </c>
      <c r="T3193">
        <v>6</v>
      </c>
      <c r="U3193">
        <v>4</v>
      </c>
      <c r="V3193">
        <v>37</v>
      </c>
      <c r="W3193">
        <v>2</v>
      </c>
      <c r="X3193">
        <v>156</v>
      </c>
      <c r="Y3193">
        <v>8</v>
      </c>
      <c r="Z3193">
        <v>5</v>
      </c>
      <c r="AA3193">
        <v>5</v>
      </c>
      <c r="AB3193">
        <v>13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15</v>
      </c>
      <c r="AK3193">
        <v>326</v>
      </c>
      <c r="AL3193">
        <v>326</v>
      </c>
      <c r="AM3193">
        <v>619</v>
      </c>
      <c r="AN3193">
        <v>44</v>
      </c>
      <c r="AP3193">
        <v>1</v>
      </c>
      <c r="AR3193" t="s">
        <v>3288</v>
      </c>
      <c r="AS3193" s="1">
        <v>44354.036111111112</v>
      </c>
      <c r="AT3193" s="1">
        <v>44354.065567129626</v>
      </c>
      <c r="AU3193" s="1">
        <v>44354.066284722219</v>
      </c>
      <c r="AV3193" t="s">
        <v>71</v>
      </c>
      <c r="AW3193" t="s">
        <v>72</v>
      </c>
      <c r="AX3193" t="s">
        <v>73</v>
      </c>
    </row>
    <row r="3194" spans="1:50" x14ac:dyDescent="0.3">
      <c r="A3194" t="str">
        <f>"200528B0000"</f>
        <v>200528B0000</v>
      </c>
      <c r="B3194" t="str">
        <f>"200528B00002"</f>
        <v>200528B00002</v>
      </c>
      <c r="C3194" t="str">
        <f t="shared" si="155"/>
        <v>20</v>
      </c>
      <c r="D3194" t="s">
        <v>67</v>
      </c>
      <c r="E3194" t="str">
        <f t="shared" si="156"/>
        <v>014</v>
      </c>
      <c r="F3194" t="s">
        <v>2914</v>
      </c>
      <c r="G3194" t="str">
        <f>"0528"</f>
        <v>0528</v>
      </c>
      <c r="H3194" t="str">
        <f>"0000"</f>
        <v>0000</v>
      </c>
      <c r="I3194" t="s">
        <v>69</v>
      </c>
      <c r="J3194">
        <v>0</v>
      </c>
      <c r="K3194">
        <v>1</v>
      </c>
      <c r="L3194">
        <v>2</v>
      </c>
      <c r="M3194">
        <v>250</v>
      </c>
      <c r="N3194">
        <v>315</v>
      </c>
      <c r="O3194">
        <v>2</v>
      </c>
      <c r="P3194">
        <v>316</v>
      </c>
      <c r="Q3194">
        <v>26</v>
      </c>
      <c r="R3194">
        <v>71</v>
      </c>
      <c r="S3194">
        <v>5</v>
      </c>
      <c r="T3194">
        <v>7</v>
      </c>
      <c r="U3194">
        <v>7</v>
      </c>
      <c r="V3194">
        <v>13</v>
      </c>
      <c r="W3194">
        <v>1</v>
      </c>
      <c r="X3194">
        <v>159</v>
      </c>
      <c r="Y3194">
        <v>6</v>
      </c>
      <c r="Z3194">
        <v>1</v>
      </c>
      <c r="AA3194">
        <v>4</v>
      </c>
      <c r="AB3194">
        <v>8</v>
      </c>
      <c r="AD3194">
        <v>2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6</v>
      </c>
      <c r="AK3194">
        <v>316</v>
      </c>
      <c r="AL3194">
        <v>316</v>
      </c>
      <c r="AM3194">
        <v>521</v>
      </c>
      <c r="AN3194">
        <v>44</v>
      </c>
      <c r="AP3194">
        <v>1</v>
      </c>
      <c r="AR3194" t="s">
        <v>3289</v>
      </c>
      <c r="AS3194" s="1">
        <v>44354.022222222222</v>
      </c>
      <c r="AT3194" s="1">
        <v>44354.059490740743</v>
      </c>
      <c r="AU3194" s="1">
        <v>44354.060150462959</v>
      </c>
      <c r="AV3194" t="s">
        <v>71</v>
      </c>
      <c r="AW3194" t="s">
        <v>72</v>
      </c>
      <c r="AX3194" t="s">
        <v>73</v>
      </c>
    </row>
    <row r="3195" spans="1:50" x14ac:dyDescent="0.3">
      <c r="A3195" t="str">
        <f>"200528C0100"</f>
        <v>200528C0100</v>
      </c>
      <c r="B3195" t="str">
        <f>"200528C01002"</f>
        <v>200528C01002</v>
      </c>
      <c r="C3195" t="str">
        <f t="shared" si="155"/>
        <v>20</v>
      </c>
      <c r="D3195" t="s">
        <v>67</v>
      </c>
      <c r="E3195" t="str">
        <f t="shared" si="156"/>
        <v>014</v>
      </c>
      <c r="F3195" t="s">
        <v>2914</v>
      </c>
      <c r="G3195" t="str">
        <f>"0528"</f>
        <v>0528</v>
      </c>
      <c r="H3195" t="str">
        <f>"0001"</f>
        <v>0001</v>
      </c>
      <c r="I3195" t="s">
        <v>75</v>
      </c>
      <c r="J3195">
        <v>0</v>
      </c>
      <c r="K3195">
        <v>1</v>
      </c>
      <c r="L3195">
        <v>2</v>
      </c>
      <c r="M3195">
        <v>260</v>
      </c>
      <c r="N3195">
        <v>305</v>
      </c>
      <c r="O3195">
        <v>5</v>
      </c>
      <c r="P3195" t="s">
        <v>80</v>
      </c>
      <c r="Q3195">
        <v>28</v>
      </c>
      <c r="R3195">
        <v>73</v>
      </c>
      <c r="S3195">
        <v>6</v>
      </c>
      <c r="T3195">
        <v>1</v>
      </c>
      <c r="U3195">
        <v>1</v>
      </c>
      <c r="V3195">
        <v>15</v>
      </c>
      <c r="W3195">
        <v>3</v>
      </c>
      <c r="X3195">
        <v>135</v>
      </c>
      <c r="Y3195">
        <v>10</v>
      </c>
      <c r="Z3195">
        <v>8</v>
      </c>
      <c r="AA3195">
        <v>4</v>
      </c>
      <c r="AB3195">
        <v>9</v>
      </c>
      <c r="AD3195">
        <v>2</v>
      </c>
      <c r="AE3195">
        <v>1</v>
      </c>
      <c r="AF3195">
        <v>0</v>
      </c>
      <c r="AG3195">
        <v>0</v>
      </c>
      <c r="AH3195">
        <v>1</v>
      </c>
      <c r="AI3195">
        <v>0</v>
      </c>
      <c r="AJ3195">
        <v>7</v>
      </c>
      <c r="AK3195">
        <v>304</v>
      </c>
      <c r="AL3195">
        <v>304</v>
      </c>
      <c r="AM3195">
        <v>521</v>
      </c>
      <c r="AN3195">
        <v>44</v>
      </c>
      <c r="AP3195">
        <v>1</v>
      </c>
      <c r="AR3195" t="s">
        <v>3290</v>
      </c>
      <c r="AS3195" s="1">
        <v>44354.020138888889</v>
      </c>
      <c r="AT3195" s="1">
        <v>44354.056817129633</v>
      </c>
      <c r="AU3195" s="1">
        <v>44354.057453703703</v>
      </c>
      <c r="AV3195" t="s">
        <v>71</v>
      </c>
      <c r="AW3195" t="s">
        <v>72</v>
      </c>
      <c r="AX3195" t="s">
        <v>73</v>
      </c>
    </row>
    <row r="3196" spans="1:50" x14ac:dyDescent="0.3">
      <c r="A3196" t="str">
        <f>"200528C0200"</f>
        <v>200528C0200</v>
      </c>
      <c r="B3196" t="str">
        <f>"200528C02002"</f>
        <v>200528C02002</v>
      </c>
      <c r="C3196" t="str">
        <f t="shared" si="155"/>
        <v>20</v>
      </c>
      <c r="D3196" t="s">
        <v>67</v>
      </c>
      <c r="E3196" t="str">
        <f t="shared" si="156"/>
        <v>014</v>
      </c>
      <c r="F3196" t="s">
        <v>2914</v>
      </c>
      <c r="G3196" t="str">
        <f>"0528"</f>
        <v>0528</v>
      </c>
      <c r="H3196" t="str">
        <f>"0002"</f>
        <v>0002</v>
      </c>
      <c r="I3196" t="s">
        <v>75</v>
      </c>
      <c r="J3196">
        <v>0</v>
      </c>
      <c r="K3196">
        <v>1</v>
      </c>
      <c r="L3196">
        <v>2</v>
      </c>
      <c r="M3196">
        <v>260</v>
      </c>
      <c r="N3196">
        <v>304</v>
      </c>
      <c r="O3196">
        <v>6</v>
      </c>
      <c r="P3196">
        <v>304</v>
      </c>
      <c r="Q3196">
        <v>34</v>
      </c>
      <c r="R3196">
        <v>64</v>
      </c>
      <c r="S3196">
        <v>5</v>
      </c>
      <c r="T3196">
        <v>6</v>
      </c>
      <c r="U3196">
        <v>2</v>
      </c>
      <c r="V3196">
        <v>14</v>
      </c>
      <c r="W3196">
        <v>1</v>
      </c>
      <c r="X3196">
        <v>142</v>
      </c>
      <c r="Y3196">
        <v>8</v>
      </c>
      <c r="Z3196">
        <v>3</v>
      </c>
      <c r="AA3196">
        <v>1</v>
      </c>
      <c r="AB3196">
        <v>12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1</v>
      </c>
      <c r="AJ3196">
        <v>11</v>
      </c>
      <c r="AK3196">
        <v>304</v>
      </c>
      <c r="AL3196">
        <v>304</v>
      </c>
      <c r="AM3196">
        <v>520</v>
      </c>
      <c r="AN3196">
        <v>44</v>
      </c>
      <c r="AP3196">
        <v>1</v>
      </c>
      <c r="AR3196" t="s">
        <v>3291</v>
      </c>
      <c r="AS3196" s="1">
        <v>44354.020833333336</v>
      </c>
      <c r="AT3196" s="1">
        <v>44354.056851851848</v>
      </c>
      <c r="AU3196" s="1">
        <v>44354.057604166665</v>
      </c>
      <c r="AV3196" t="s">
        <v>71</v>
      </c>
      <c r="AW3196" t="s">
        <v>72</v>
      </c>
      <c r="AX3196" t="s">
        <v>73</v>
      </c>
    </row>
    <row r="3197" spans="1:50" x14ac:dyDescent="0.3">
      <c r="A3197" t="str">
        <f>"200529B0000"</f>
        <v>200529B0000</v>
      </c>
      <c r="B3197" t="str">
        <f>"200529B00002"</f>
        <v>200529B00002</v>
      </c>
      <c r="C3197" t="str">
        <f t="shared" si="155"/>
        <v>20</v>
      </c>
      <c r="D3197" t="s">
        <v>67</v>
      </c>
      <c r="E3197" t="str">
        <f t="shared" si="156"/>
        <v>014</v>
      </c>
      <c r="F3197" t="s">
        <v>2914</v>
      </c>
      <c r="G3197" t="str">
        <f>"0529"</f>
        <v>0529</v>
      </c>
      <c r="H3197" t="str">
        <f>"0000"</f>
        <v>0000</v>
      </c>
      <c r="I3197" t="s">
        <v>69</v>
      </c>
      <c r="J3197">
        <v>0</v>
      </c>
      <c r="K3197">
        <v>1</v>
      </c>
      <c r="L3197">
        <v>2</v>
      </c>
      <c r="M3197">
        <v>250</v>
      </c>
      <c r="N3197">
        <v>358</v>
      </c>
      <c r="O3197">
        <v>8</v>
      </c>
      <c r="P3197">
        <v>358</v>
      </c>
      <c r="Q3197">
        <v>66</v>
      </c>
      <c r="R3197">
        <v>126</v>
      </c>
      <c r="S3197">
        <v>2</v>
      </c>
      <c r="T3197">
        <v>5</v>
      </c>
      <c r="U3197">
        <v>7</v>
      </c>
      <c r="V3197">
        <v>13</v>
      </c>
      <c r="W3197">
        <v>3</v>
      </c>
      <c r="X3197">
        <v>102</v>
      </c>
      <c r="Y3197">
        <v>10</v>
      </c>
      <c r="Z3197">
        <v>8</v>
      </c>
      <c r="AA3197">
        <v>2</v>
      </c>
      <c r="AB3197">
        <v>5</v>
      </c>
      <c r="AD3197">
        <v>3</v>
      </c>
      <c r="AE3197">
        <v>0</v>
      </c>
      <c r="AF3197">
        <v>0</v>
      </c>
      <c r="AG3197">
        <v>0</v>
      </c>
      <c r="AH3197">
        <v>1</v>
      </c>
      <c r="AI3197">
        <v>0</v>
      </c>
      <c r="AJ3197">
        <v>5</v>
      </c>
      <c r="AK3197">
        <v>358</v>
      </c>
      <c r="AL3197">
        <v>358</v>
      </c>
      <c r="AM3197">
        <v>564</v>
      </c>
      <c r="AN3197">
        <v>44</v>
      </c>
      <c r="AP3197">
        <v>1</v>
      </c>
      <c r="AR3197" t="s">
        <v>3292</v>
      </c>
      <c r="AS3197" s="1">
        <v>44354.012499999997</v>
      </c>
      <c r="AT3197" s="1">
        <v>44354.040370370371</v>
      </c>
      <c r="AU3197" s="1">
        <v>44354.041168981479</v>
      </c>
      <c r="AV3197" t="s">
        <v>71</v>
      </c>
      <c r="AW3197" t="s">
        <v>72</v>
      </c>
      <c r="AX3197" t="s">
        <v>73</v>
      </c>
    </row>
    <row r="3198" spans="1:50" x14ac:dyDescent="0.3">
      <c r="A3198" t="str">
        <f>"200529C0100"</f>
        <v>200529C0100</v>
      </c>
      <c r="B3198" t="str">
        <f>"200529C01002"</f>
        <v>200529C01002</v>
      </c>
      <c r="C3198" t="str">
        <f t="shared" si="155"/>
        <v>20</v>
      </c>
      <c r="D3198" t="s">
        <v>67</v>
      </c>
      <c r="E3198" t="str">
        <f t="shared" si="156"/>
        <v>014</v>
      </c>
      <c r="F3198" t="s">
        <v>2914</v>
      </c>
      <c r="G3198" t="str">
        <f>"0529"</f>
        <v>0529</v>
      </c>
      <c r="H3198" t="str">
        <f>"0001"</f>
        <v>0001</v>
      </c>
      <c r="I3198" t="s">
        <v>75</v>
      </c>
      <c r="J3198">
        <v>0</v>
      </c>
      <c r="K3198">
        <v>1</v>
      </c>
      <c r="L3198">
        <v>2</v>
      </c>
      <c r="M3198">
        <v>265</v>
      </c>
      <c r="N3198">
        <v>338</v>
      </c>
      <c r="O3198">
        <v>5</v>
      </c>
      <c r="P3198">
        <v>342</v>
      </c>
      <c r="Q3198">
        <v>80</v>
      </c>
      <c r="R3198">
        <v>91</v>
      </c>
      <c r="S3198">
        <v>5</v>
      </c>
      <c r="T3198">
        <v>9</v>
      </c>
      <c r="U3198">
        <v>3</v>
      </c>
      <c r="V3198">
        <v>9</v>
      </c>
      <c r="W3198">
        <v>5</v>
      </c>
      <c r="X3198">
        <v>111</v>
      </c>
      <c r="Y3198">
        <v>15</v>
      </c>
      <c r="Z3198">
        <v>2</v>
      </c>
      <c r="AA3198">
        <v>4</v>
      </c>
      <c r="AB3198">
        <v>1</v>
      </c>
      <c r="AD3198">
        <v>1</v>
      </c>
      <c r="AE3198">
        <v>1</v>
      </c>
      <c r="AF3198">
        <v>0</v>
      </c>
      <c r="AG3198">
        <v>0</v>
      </c>
      <c r="AH3198">
        <v>0</v>
      </c>
      <c r="AI3198">
        <v>0</v>
      </c>
      <c r="AJ3198">
        <v>5</v>
      </c>
      <c r="AK3198">
        <v>342</v>
      </c>
      <c r="AL3198">
        <v>342</v>
      </c>
      <c r="AM3198">
        <v>563</v>
      </c>
      <c r="AN3198">
        <v>44</v>
      </c>
      <c r="AP3198">
        <v>1</v>
      </c>
      <c r="AR3198" t="s">
        <v>3293</v>
      </c>
      <c r="AS3198" s="1">
        <v>44354.021527777775</v>
      </c>
      <c r="AT3198" s="1">
        <v>44354.061192129629</v>
      </c>
      <c r="AU3198" s="1">
        <v>44354.061932870369</v>
      </c>
      <c r="AV3198" t="s">
        <v>71</v>
      </c>
      <c r="AW3198" t="s">
        <v>72</v>
      </c>
      <c r="AX3198" t="s">
        <v>73</v>
      </c>
    </row>
    <row r="3199" spans="1:50" x14ac:dyDescent="0.3">
      <c r="A3199" t="str">
        <f>"200530B0000"</f>
        <v>200530B0000</v>
      </c>
      <c r="B3199" t="str">
        <f>"200530B00002"</f>
        <v>200530B00002</v>
      </c>
      <c r="C3199" t="str">
        <f t="shared" si="155"/>
        <v>20</v>
      </c>
      <c r="D3199" t="s">
        <v>67</v>
      </c>
      <c r="E3199" t="str">
        <f t="shared" si="156"/>
        <v>014</v>
      </c>
      <c r="F3199" t="s">
        <v>2914</v>
      </c>
      <c r="G3199" t="str">
        <f>"0530"</f>
        <v>0530</v>
      </c>
      <c r="H3199" t="str">
        <f>"0000"</f>
        <v>0000</v>
      </c>
      <c r="I3199" t="s">
        <v>69</v>
      </c>
      <c r="J3199">
        <v>0</v>
      </c>
      <c r="K3199">
        <v>1</v>
      </c>
      <c r="L3199">
        <v>2</v>
      </c>
      <c r="M3199">
        <v>270</v>
      </c>
      <c r="N3199">
        <v>328</v>
      </c>
      <c r="O3199">
        <v>4</v>
      </c>
      <c r="P3199">
        <v>328</v>
      </c>
      <c r="Q3199">
        <v>58</v>
      </c>
      <c r="R3199">
        <v>90</v>
      </c>
      <c r="S3199">
        <v>1</v>
      </c>
      <c r="T3199">
        <v>10</v>
      </c>
      <c r="U3199">
        <v>9</v>
      </c>
      <c r="V3199">
        <v>9</v>
      </c>
      <c r="W3199">
        <v>1</v>
      </c>
      <c r="X3199">
        <v>111</v>
      </c>
      <c r="Y3199">
        <v>9</v>
      </c>
      <c r="Z3199">
        <v>5</v>
      </c>
      <c r="AA3199">
        <v>2</v>
      </c>
      <c r="AB3199">
        <v>5</v>
      </c>
      <c r="AD3199">
        <v>6</v>
      </c>
      <c r="AE3199">
        <v>1</v>
      </c>
      <c r="AF3199">
        <v>0</v>
      </c>
      <c r="AG3199">
        <v>1</v>
      </c>
      <c r="AH3199">
        <v>1</v>
      </c>
      <c r="AI3199">
        <v>1</v>
      </c>
      <c r="AJ3199">
        <v>8</v>
      </c>
      <c r="AK3199">
        <v>328</v>
      </c>
      <c r="AL3199">
        <v>328</v>
      </c>
      <c r="AM3199">
        <v>554</v>
      </c>
      <c r="AN3199">
        <v>44</v>
      </c>
      <c r="AP3199">
        <v>1</v>
      </c>
      <c r="AR3199" t="s">
        <v>3294</v>
      </c>
      <c r="AS3199" s="1">
        <v>44354.070138888892</v>
      </c>
      <c r="AT3199" s="1">
        <v>44354.077488425923</v>
      </c>
      <c r="AU3199" s="1">
        <v>44354.078287037039</v>
      </c>
      <c r="AV3199" t="s">
        <v>71</v>
      </c>
      <c r="AW3199" t="s">
        <v>72</v>
      </c>
      <c r="AX3199" t="s">
        <v>73</v>
      </c>
    </row>
    <row r="3200" spans="1:50" x14ac:dyDescent="0.3">
      <c r="A3200" t="str">
        <f>"200530C0100"</f>
        <v>200530C0100</v>
      </c>
      <c r="B3200" t="str">
        <f>"200530C01002"</f>
        <v>200530C01002</v>
      </c>
      <c r="C3200" t="str">
        <f t="shared" si="155"/>
        <v>20</v>
      </c>
      <c r="D3200" t="s">
        <v>67</v>
      </c>
      <c r="E3200" t="str">
        <f t="shared" si="156"/>
        <v>014</v>
      </c>
      <c r="F3200" t="s">
        <v>2914</v>
      </c>
      <c r="G3200" t="str">
        <f>"0530"</f>
        <v>0530</v>
      </c>
      <c r="H3200" t="str">
        <f>"0001"</f>
        <v>0001</v>
      </c>
      <c r="I3200" t="s">
        <v>75</v>
      </c>
      <c r="J3200">
        <v>0</v>
      </c>
      <c r="K3200">
        <v>1</v>
      </c>
      <c r="L3200">
        <v>2</v>
      </c>
      <c r="M3200">
        <v>256</v>
      </c>
      <c r="N3200">
        <v>342</v>
      </c>
      <c r="O3200">
        <v>4</v>
      </c>
      <c r="P3200">
        <v>342</v>
      </c>
      <c r="Q3200">
        <v>58</v>
      </c>
      <c r="R3200">
        <v>93</v>
      </c>
      <c r="S3200">
        <v>2</v>
      </c>
      <c r="T3200">
        <v>10</v>
      </c>
      <c r="U3200">
        <v>8</v>
      </c>
      <c r="V3200">
        <v>12</v>
      </c>
      <c r="W3200">
        <v>4</v>
      </c>
      <c r="X3200">
        <v>126</v>
      </c>
      <c r="Y3200">
        <v>10</v>
      </c>
      <c r="Z3200">
        <v>3</v>
      </c>
      <c r="AA3200">
        <v>2</v>
      </c>
      <c r="AB3200">
        <v>6</v>
      </c>
      <c r="AD3200">
        <v>2</v>
      </c>
      <c r="AE3200">
        <v>0</v>
      </c>
      <c r="AF3200">
        <v>0</v>
      </c>
      <c r="AG3200">
        <v>0</v>
      </c>
      <c r="AH3200">
        <v>0</v>
      </c>
      <c r="AI3200">
        <v>1</v>
      </c>
      <c r="AJ3200">
        <v>5</v>
      </c>
      <c r="AK3200">
        <v>342</v>
      </c>
      <c r="AL3200">
        <v>342</v>
      </c>
      <c r="AM3200">
        <v>554</v>
      </c>
      <c r="AN3200">
        <v>44</v>
      </c>
      <c r="AP3200">
        <v>1</v>
      </c>
      <c r="AR3200" t="s">
        <v>3295</v>
      </c>
      <c r="AS3200" s="1">
        <v>44354.070138888892</v>
      </c>
      <c r="AT3200" s="1">
        <v>44354.081712962965</v>
      </c>
      <c r="AU3200" s="1">
        <v>44354.08258101852</v>
      </c>
      <c r="AV3200" t="s">
        <v>71</v>
      </c>
      <c r="AW3200" t="s">
        <v>72</v>
      </c>
      <c r="AX3200" t="s">
        <v>73</v>
      </c>
    </row>
    <row r="3201" spans="1:50" x14ac:dyDescent="0.3">
      <c r="A3201" t="str">
        <f>"200531B0000"</f>
        <v>200531B0000</v>
      </c>
      <c r="B3201" t="str">
        <f>"200531B00002"</f>
        <v>200531B00002</v>
      </c>
      <c r="C3201" t="str">
        <f t="shared" si="155"/>
        <v>20</v>
      </c>
      <c r="D3201" t="s">
        <v>67</v>
      </c>
      <c r="E3201" t="str">
        <f t="shared" si="156"/>
        <v>014</v>
      </c>
      <c r="F3201" t="s">
        <v>2914</v>
      </c>
      <c r="G3201" t="str">
        <f>"0531"</f>
        <v>0531</v>
      </c>
      <c r="H3201" t="str">
        <f>"0000"</f>
        <v>0000</v>
      </c>
      <c r="I3201" t="s">
        <v>69</v>
      </c>
      <c r="J3201">
        <v>0</v>
      </c>
      <c r="K3201">
        <v>1</v>
      </c>
      <c r="L3201">
        <v>2</v>
      </c>
      <c r="M3201">
        <v>333</v>
      </c>
      <c r="N3201">
        <v>424</v>
      </c>
      <c r="O3201">
        <v>2</v>
      </c>
      <c r="P3201">
        <v>424</v>
      </c>
      <c r="Q3201">
        <v>55</v>
      </c>
      <c r="R3201">
        <v>133</v>
      </c>
      <c r="S3201">
        <v>5</v>
      </c>
      <c r="T3201">
        <v>6</v>
      </c>
      <c r="U3201">
        <v>17</v>
      </c>
      <c r="V3201">
        <v>8</v>
      </c>
      <c r="W3201">
        <v>5</v>
      </c>
      <c r="X3201">
        <v>146</v>
      </c>
      <c r="Y3201">
        <v>6</v>
      </c>
      <c r="Z3201">
        <v>12</v>
      </c>
      <c r="AA3201">
        <v>3</v>
      </c>
      <c r="AB3201">
        <v>14</v>
      </c>
      <c r="AD3201">
        <v>3</v>
      </c>
      <c r="AE3201">
        <v>0</v>
      </c>
      <c r="AF3201">
        <v>0</v>
      </c>
      <c r="AG3201">
        <v>0</v>
      </c>
      <c r="AH3201">
        <v>0</v>
      </c>
      <c r="AI3201">
        <v>1</v>
      </c>
      <c r="AJ3201">
        <v>10</v>
      </c>
      <c r="AK3201">
        <v>424</v>
      </c>
      <c r="AL3201">
        <v>424</v>
      </c>
      <c r="AM3201">
        <v>713</v>
      </c>
      <c r="AN3201">
        <v>44</v>
      </c>
      <c r="AP3201">
        <v>1</v>
      </c>
      <c r="AR3201" t="s">
        <v>3296</v>
      </c>
      <c r="AS3201" s="1">
        <v>44354.069444444445</v>
      </c>
      <c r="AT3201" s="1">
        <v>44354.076354166667</v>
      </c>
      <c r="AU3201" s="1">
        <v>44354.079108796293</v>
      </c>
      <c r="AV3201" t="s">
        <v>71</v>
      </c>
      <c r="AW3201" t="s">
        <v>72</v>
      </c>
      <c r="AX3201" t="s">
        <v>73</v>
      </c>
    </row>
    <row r="3202" spans="1:50" x14ac:dyDescent="0.3">
      <c r="A3202" t="str">
        <f>"200532B0000"</f>
        <v>200532B0000</v>
      </c>
      <c r="B3202" t="str">
        <f>"200532B00002"</f>
        <v>200532B00002</v>
      </c>
      <c r="C3202" t="str">
        <f t="shared" si="155"/>
        <v>20</v>
      </c>
      <c r="D3202" t="s">
        <v>67</v>
      </c>
      <c r="E3202" t="str">
        <f t="shared" si="156"/>
        <v>014</v>
      </c>
      <c r="F3202" t="s">
        <v>2914</v>
      </c>
      <c r="G3202" t="str">
        <f>"0532"</f>
        <v>0532</v>
      </c>
      <c r="H3202" t="str">
        <f>"0000"</f>
        <v>0000</v>
      </c>
      <c r="I3202" t="s">
        <v>69</v>
      </c>
      <c r="J3202">
        <v>0</v>
      </c>
      <c r="K3202">
        <v>1</v>
      </c>
      <c r="L3202">
        <v>2</v>
      </c>
      <c r="M3202">
        <v>222</v>
      </c>
      <c r="N3202">
        <v>277</v>
      </c>
      <c r="O3202">
        <v>2</v>
      </c>
      <c r="P3202">
        <v>276</v>
      </c>
      <c r="Q3202">
        <v>33</v>
      </c>
      <c r="R3202">
        <v>77</v>
      </c>
      <c r="S3202">
        <v>1</v>
      </c>
      <c r="T3202">
        <v>10</v>
      </c>
      <c r="U3202">
        <v>4</v>
      </c>
      <c r="V3202">
        <v>11</v>
      </c>
      <c r="W3202">
        <v>4</v>
      </c>
      <c r="X3202">
        <v>114</v>
      </c>
      <c r="Y3202">
        <v>5</v>
      </c>
      <c r="Z3202">
        <v>5</v>
      </c>
      <c r="AA3202">
        <v>2</v>
      </c>
      <c r="AB3202">
        <v>6</v>
      </c>
      <c r="AD3202" t="s">
        <v>77</v>
      </c>
      <c r="AE3202">
        <v>1</v>
      </c>
      <c r="AF3202" t="s">
        <v>77</v>
      </c>
      <c r="AG3202" t="s">
        <v>77</v>
      </c>
      <c r="AH3202" t="s">
        <v>77</v>
      </c>
      <c r="AI3202" t="s">
        <v>77</v>
      </c>
      <c r="AJ3202">
        <v>3</v>
      </c>
      <c r="AK3202">
        <v>276</v>
      </c>
      <c r="AL3202">
        <v>276</v>
      </c>
      <c r="AM3202">
        <v>455</v>
      </c>
      <c r="AN3202">
        <v>44</v>
      </c>
      <c r="AO3202" t="s">
        <v>78</v>
      </c>
      <c r="AP3202">
        <v>1</v>
      </c>
      <c r="AR3202" t="s">
        <v>3297</v>
      </c>
      <c r="AS3202" s="1">
        <v>44354.070138888892</v>
      </c>
      <c r="AT3202" s="1">
        <v>44354.08320601852</v>
      </c>
      <c r="AU3202" s="1">
        <v>44354.084224537037</v>
      </c>
      <c r="AV3202" t="s">
        <v>71</v>
      </c>
      <c r="AW3202" t="s">
        <v>72</v>
      </c>
      <c r="AX3202" t="s">
        <v>73</v>
      </c>
    </row>
    <row r="3203" spans="1:50" x14ac:dyDescent="0.3">
      <c r="A3203" t="str">
        <f>"200532C0100"</f>
        <v>200532C0100</v>
      </c>
      <c r="B3203" t="str">
        <f>"200532C01002"</f>
        <v>200532C01002</v>
      </c>
      <c r="C3203" t="str">
        <f t="shared" si="155"/>
        <v>20</v>
      </c>
      <c r="D3203" t="s">
        <v>67</v>
      </c>
      <c r="E3203" t="str">
        <f t="shared" si="156"/>
        <v>014</v>
      </c>
      <c r="F3203" t="s">
        <v>2914</v>
      </c>
      <c r="G3203" t="str">
        <f>"0532"</f>
        <v>0532</v>
      </c>
      <c r="H3203" t="str">
        <f>"0001"</f>
        <v>0001</v>
      </c>
      <c r="I3203" t="s">
        <v>75</v>
      </c>
      <c r="J3203">
        <v>0</v>
      </c>
      <c r="K3203">
        <v>1</v>
      </c>
      <c r="L3203">
        <v>2</v>
      </c>
      <c r="M3203">
        <v>214</v>
      </c>
      <c r="N3203">
        <v>283</v>
      </c>
      <c r="O3203">
        <v>1</v>
      </c>
      <c r="P3203">
        <v>288</v>
      </c>
      <c r="Q3203">
        <v>47</v>
      </c>
      <c r="R3203">
        <v>88</v>
      </c>
      <c r="S3203">
        <v>3</v>
      </c>
      <c r="T3203">
        <v>4</v>
      </c>
      <c r="U3203">
        <v>6</v>
      </c>
      <c r="V3203">
        <v>6</v>
      </c>
      <c r="W3203">
        <v>4</v>
      </c>
      <c r="X3203">
        <v>89</v>
      </c>
      <c r="Y3203">
        <v>7</v>
      </c>
      <c r="Z3203">
        <v>5</v>
      </c>
      <c r="AA3203">
        <v>5</v>
      </c>
      <c r="AB3203">
        <v>8</v>
      </c>
      <c r="AD3203">
        <v>6</v>
      </c>
      <c r="AE3203" t="s">
        <v>77</v>
      </c>
      <c r="AF3203" t="s">
        <v>77</v>
      </c>
      <c r="AG3203" t="s">
        <v>77</v>
      </c>
      <c r="AH3203" t="s">
        <v>77</v>
      </c>
      <c r="AI3203" t="s">
        <v>77</v>
      </c>
      <c r="AJ3203">
        <v>10</v>
      </c>
      <c r="AK3203">
        <v>288</v>
      </c>
      <c r="AL3203">
        <v>288</v>
      </c>
      <c r="AM3203">
        <v>454</v>
      </c>
      <c r="AN3203">
        <v>44</v>
      </c>
      <c r="AO3203" t="s">
        <v>78</v>
      </c>
      <c r="AP3203">
        <v>1</v>
      </c>
      <c r="AR3203" t="s">
        <v>3298</v>
      </c>
      <c r="AS3203" s="1">
        <v>44354.070833333331</v>
      </c>
      <c r="AT3203" s="1">
        <v>44354.081990740742</v>
      </c>
      <c r="AU3203" s="1">
        <v>44354.082557870373</v>
      </c>
      <c r="AV3203" t="s">
        <v>71</v>
      </c>
      <c r="AW3203" t="s">
        <v>72</v>
      </c>
      <c r="AX3203" t="s">
        <v>73</v>
      </c>
    </row>
    <row r="3204" spans="1:50" x14ac:dyDescent="0.3">
      <c r="A3204" t="str">
        <f>"200533B0000"</f>
        <v>200533B0000</v>
      </c>
      <c r="B3204" t="str">
        <f>"200533B00002"</f>
        <v>200533B00002</v>
      </c>
      <c r="C3204" t="str">
        <f t="shared" si="155"/>
        <v>20</v>
      </c>
      <c r="D3204" t="s">
        <v>67</v>
      </c>
      <c r="E3204" t="str">
        <f t="shared" si="156"/>
        <v>014</v>
      </c>
      <c r="F3204" t="s">
        <v>2914</v>
      </c>
      <c r="G3204" t="str">
        <f>"0533"</f>
        <v>0533</v>
      </c>
      <c r="H3204" t="str">
        <f>"0000"</f>
        <v>0000</v>
      </c>
      <c r="I3204" t="s">
        <v>69</v>
      </c>
      <c r="J3204">
        <v>0</v>
      </c>
      <c r="K3204">
        <v>1</v>
      </c>
      <c r="L3204">
        <v>2</v>
      </c>
      <c r="M3204">
        <v>235</v>
      </c>
      <c r="N3204">
        <v>324</v>
      </c>
      <c r="O3204">
        <v>6</v>
      </c>
      <c r="P3204">
        <v>324</v>
      </c>
      <c r="Q3204">
        <v>52</v>
      </c>
      <c r="R3204">
        <v>92</v>
      </c>
      <c r="S3204">
        <v>3</v>
      </c>
      <c r="T3204">
        <v>6</v>
      </c>
      <c r="U3204">
        <v>3</v>
      </c>
      <c r="V3204">
        <v>10</v>
      </c>
      <c r="W3204">
        <v>5</v>
      </c>
      <c r="X3204">
        <v>116</v>
      </c>
      <c r="Y3204">
        <v>11</v>
      </c>
      <c r="Z3204">
        <v>4</v>
      </c>
      <c r="AA3204">
        <v>1</v>
      </c>
      <c r="AB3204">
        <v>9</v>
      </c>
      <c r="AD3204">
        <v>1</v>
      </c>
      <c r="AE3204">
        <v>1</v>
      </c>
      <c r="AF3204">
        <v>0</v>
      </c>
      <c r="AG3204">
        <v>1</v>
      </c>
      <c r="AH3204">
        <v>0</v>
      </c>
      <c r="AI3204" t="s">
        <v>77</v>
      </c>
      <c r="AJ3204">
        <v>9</v>
      </c>
      <c r="AK3204">
        <v>324</v>
      </c>
      <c r="AL3204">
        <v>324</v>
      </c>
      <c r="AM3204">
        <v>515</v>
      </c>
      <c r="AN3204">
        <v>44</v>
      </c>
      <c r="AO3204" t="s">
        <v>78</v>
      </c>
      <c r="AP3204">
        <v>1</v>
      </c>
      <c r="AR3204" t="s">
        <v>3299</v>
      </c>
      <c r="AS3204" s="1">
        <v>44353.98541666667</v>
      </c>
      <c r="AT3204" s="1">
        <v>44353.988159722219</v>
      </c>
      <c r="AU3204" s="1">
        <v>44353.988807870373</v>
      </c>
      <c r="AV3204" t="s">
        <v>71</v>
      </c>
      <c r="AW3204" t="s">
        <v>72</v>
      </c>
      <c r="AX3204" t="s">
        <v>73</v>
      </c>
    </row>
    <row r="3205" spans="1:50" x14ac:dyDescent="0.3">
      <c r="A3205" t="str">
        <f>"200534B0000"</f>
        <v>200534B0000</v>
      </c>
      <c r="B3205" t="str">
        <f>"200534B00002"</f>
        <v>200534B00002</v>
      </c>
      <c r="C3205" t="str">
        <f t="shared" si="155"/>
        <v>20</v>
      </c>
      <c r="D3205" t="s">
        <v>67</v>
      </c>
      <c r="E3205" t="str">
        <f t="shared" si="156"/>
        <v>014</v>
      </c>
      <c r="F3205" t="s">
        <v>2914</v>
      </c>
      <c r="G3205" t="str">
        <f>"0534"</f>
        <v>0534</v>
      </c>
      <c r="H3205" t="str">
        <f>"0000"</f>
        <v>0000</v>
      </c>
      <c r="I3205" t="s">
        <v>69</v>
      </c>
      <c r="J3205">
        <v>0</v>
      </c>
      <c r="K3205">
        <v>1</v>
      </c>
      <c r="L3205">
        <v>2</v>
      </c>
      <c r="M3205">
        <v>238</v>
      </c>
      <c r="N3205">
        <v>327</v>
      </c>
      <c r="O3205">
        <v>8</v>
      </c>
      <c r="P3205">
        <v>327</v>
      </c>
      <c r="Q3205">
        <v>63</v>
      </c>
      <c r="R3205">
        <v>118</v>
      </c>
      <c r="S3205">
        <v>6</v>
      </c>
      <c r="T3205">
        <v>4</v>
      </c>
      <c r="U3205">
        <v>6</v>
      </c>
      <c r="V3205">
        <v>9</v>
      </c>
      <c r="W3205">
        <v>3</v>
      </c>
      <c r="X3205">
        <v>91</v>
      </c>
      <c r="Y3205">
        <v>4</v>
      </c>
      <c r="Z3205">
        <v>3</v>
      </c>
      <c r="AA3205">
        <v>1</v>
      </c>
      <c r="AB3205">
        <v>10</v>
      </c>
      <c r="AD3205">
        <v>1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8</v>
      </c>
      <c r="AK3205">
        <v>327</v>
      </c>
      <c r="AL3205">
        <v>327</v>
      </c>
      <c r="AM3205">
        <v>521</v>
      </c>
      <c r="AN3205">
        <v>44</v>
      </c>
      <c r="AP3205">
        <v>1</v>
      </c>
      <c r="AR3205" t="s">
        <v>3300</v>
      </c>
      <c r="AS3205" s="1">
        <v>44353.978472222225</v>
      </c>
      <c r="AT3205" s="1">
        <v>44353.981168981481</v>
      </c>
      <c r="AU3205" s="1">
        <v>44353.981979166667</v>
      </c>
      <c r="AV3205" t="s">
        <v>71</v>
      </c>
      <c r="AW3205" t="s">
        <v>72</v>
      </c>
      <c r="AX3205" t="s">
        <v>73</v>
      </c>
    </row>
    <row r="3206" spans="1:50" x14ac:dyDescent="0.3">
      <c r="A3206" t="str">
        <f>"200534C0100"</f>
        <v>200534C0100</v>
      </c>
      <c r="B3206" t="str">
        <f>"200534C01002"</f>
        <v>200534C01002</v>
      </c>
      <c r="C3206" t="str">
        <f t="shared" si="155"/>
        <v>20</v>
      </c>
      <c r="D3206" t="s">
        <v>67</v>
      </c>
      <c r="E3206" t="str">
        <f t="shared" si="156"/>
        <v>014</v>
      </c>
      <c r="F3206" t="s">
        <v>2914</v>
      </c>
      <c r="G3206" t="str">
        <f>"0534"</f>
        <v>0534</v>
      </c>
      <c r="H3206" t="str">
        <f>"0001"</f>
        <v>0001</v>
      </c>
      <c r="I3206" t="s">
        <v>75</v>
      </c>
      <c r="J3206">
        <v>0</v>
      </c>
      <c r="K3206">
        <v>1</v>
      </c>
      <c r="L3206">
        <v>2</v>
      </c>
      <c r="M3206">
        <v>249</v>
      </c>
      <c r="N3206">
        <v>316</v>
      </c>
      <c r="O3206">
        <v>3</v>
      </c>
      <c r="P3206" t="s">
        <v>80</v>
      </c>
      <c r="Q3206">
        <v>86</v>
      </c>
      <c r="R3206">
        <v>111</v>
      </c>
      <c r="S3206">
        <v>3</v>
      </c>
      <c r="T3206">
        <v>4</v>
      </c>
      <c r="U3206">
        <v>2</v>
      </c>
      <c r="V3206">
        <v>6</v>
      </c>
      <c r="W3206">
        <v>1</v>
      </c>
      <c r="X3206">
        <v>81</v>
      </c>
      <c r="Y3206">
        <v>4</v>
      </c>
      <c r="Z3206">
        <v>2</v>
      </c>
      <c r="AA3206">
        <v>0</v>
      </c>
      <c r="AB3206">
        <v>7</v>
      </c>
      <c r="AD3206">
        <v>4</v>
      </c>
      <c r="AE3206">
        <v>0</v>
      </c>
      <c r="AF3206">
        <v>0</v>
      </c>
      <c r="AG3206">
        <v>0</v>
      </c>
      <c r="AH3206">
        <v>0</v>
      </c>
      <c r="AI3206">
        <v>1</v>
      </c>
      <c r="AJ3206">
        <v>4</v>
      </c>
      <c r="AK3206">
        <v>316</v>
      </c>
      <c r="AL3206">
        <v>316</v>
      </c>
      <c r="AM3206">
        <v>521</v>
      </c>
      <c r="AN3206">
        <v>44</v>
      </c>
      <c r="AP3206">
        <v>1</v>
      </c>
      <c r="AR3206" t="s">
        <v>3301</v>
      </c>
      <c r="AS3206" s="1">
        <v>44354.006249999999</v>
      </c>
      <c r="AT3206" s="1">
        <v>44354.028645833336</v>
      </c>
      <c r="AU3206" s="1">
        <v>44354.029849537037</v>
      </c>
      <c r="AV3206" t="s">
        <v>71</v>
      </c>
      <c r="AW3206" t="s">
        <v>72</v>
      </c>
      <c r="AX3206" t="s">
        <v>73</v>
      </c>
    </row>
    <row r="3207" spans="1:50" x14ac:dyDescent="0.3">
      <c r="A3207" t="str">
        <f>"200535B0000"</f>
        <v>200535B0000</v>
      </c>
      <c r="B3207" t="str">
        <f>"200535B00002"</f>
        <v>200535B00002</v>
      </c>
      <c r="C3207" t="str">
        <f t="shared" ref="C3207:C3270" si="157">"20"</f>
        <v>20</v>
      </c>
      <c r="D3207" t="s">
        <v>67</v>
      </c>
      <c r="E3207" t="str">
        <f t="shared" si="156"/>
        <v>014</v>
      </c>
      <c r="F3207" t="s">
        <v>2914</v>
      </c>
      <c r="G3207" t="str">
        <f>"0535"</f>
        <v>0535</v>
      </c>
      <c r="H3207" t="str">
        <f>"0000"</f>
        <v>0000</v>
      </c>
      <c r="I3207" t="s">
        <v>69</v>
      </c>
      <c r="J3207">
        <v>0</v>
      </c>
      <c r="K3207">
        <v>1</v>
      </c>
      <c r="L3207">
        <v>2</v>
      </c>
      <c r="M3207">
        <v>303</v>
      </c>
      <c r="N3207">
        <v>7</v>
      </c>
      <c r="O3207">
        <v>0</v>
      </c>
      <c r="P3207">
        <v>397</v>
      </c>
      <c r="Q3207">
        <v>54</v>
      </c>
      <c r="R3207">
        <v>113</v>
      </c>
      <c r="S3207">
        <v>7</v>
      </c>
      <c r="T3207">
        <v>5</v>
      </c>
      <c r="U3207">
        <v>5</v>
      </c>
      <c r="V3207">
        <v>14</v>
      </c>
      <c r="W3207">
        <v>5</v>
      </c>
      <c r="X3207">
        <v>136</v>
      </c>
      <c r="Y3207">
        <v>4</v>
      </c>
      <c r="Z3207">
        <v>5</v>
      </c>
      <c r="AA3207">
        <v>9</v>
      </c>
      <c r="AB3207">
        <v>21</v>
      </c>
      <c r="AD3207">
        <v>8</v>
      </c>
      <c r="AE3207" t="s">
        <v>77</v>
      </c>
      <c r="AF3207" t="s">
        <v>77</v>
      </c>
      <c r="AG3207" t="s">
        <v>77</v>
      </c>
      <c r="AH3207" t="s">
        <v>77</v>
      </c>
      <c r="AI3207" t="s">
        <v>77</v>
      </c>
      <c r="AJ3207">
        <v>11</v>
      </c>
      <c r="AK3207">
        <v>397</v>
      </c>
      <c r="AL3207">
        <v>397</v>
      </c>
      <c r="AM3207">
        <v>656</v>
      </c>
      <c r="AN3207">
        <v>44</v>
      </c>
      <c r="AO3207" t="s">
        <v>78</v>
      </c>
      <c r="AP3207">
        <v>1</v>
      </c>
      <c r="AR3207" t="s">
        <v>3302</v>
      </c>
      <c r="AS3207" s="1">
        <v>44354.03402777778</v>
      </c>
      <c r="AT3207" s="1">
        <v>44354.063796296294</v>
      </c>
      <c r="AU3207" s="1">
        <v>44354.064652777779</v>
      </c>
      <c r="AV3207" t="s">
        <v>71</v>
      </c>
      <c r="AW3207" t="s">
        <v>72</v>
      </c>
      <c r="AX3207" t="s">
        <v>73</v>
      </c>
    </row>
    <row r="3208" spans="1:50" x14ac:dyDescent="0.3">
      <c r="A3208" t="str">
        <f>"200535C0100"</f>
        <v>200535C0100</v>
      </c>
      <c r="B3208" t="str">
        <f>"200535C01002"</f>
        <v>200535C01002</v>
      </c>
      <c r="C3208" t="str">
        <f t="shared" si="157"/>
        <v>20</v>
      </c>
      <c r="D3208" t="s">
        <v>67</v>
      </c>
      <c r="E3208" t="str">
        <f t="shared" si="156"/>
        <v>014</v>
      </c>
      <c r="F3208" t="s">
        <v>2914</v>
      </c>
      <c r="G3208" t="str">
        <f>"0535"</f>
        <v>0535</v>
      </c>
      <c r="H3208" t="str">
        <f>"0001"</f>
        <v>0001</v>
      </c>
      <c r="I3208" t="s">
        <v>75</v>
      </c>
      <c r="J3208">
        <v>0</v>
      </c>
      <c r="K3208">
        <v>1</v>
      </c>
      <c r="L3208">
        <v>2</v>
      </c>
      <c r="M3208">
        <v>335</v>
      </c>
      <c r="N3208">
        <v>365</v>
      </c>
      <c r="O3208">
        <v>4</v>
      </c>
      <c r="P3208" t="s">
        <v>80</v>
      </c>
      <c r="Q3208">
        <v>49</v>
      </c>
      <c r="R3208">
        <v>98</v>
      </c>
      <c r="S3208">
        <v>5</v>
      </c>
      <c r="T3208">
        <v>7</v>
      </c>
      <c r="U3208">
        <v>8</v>
      </c>
      <c r="V3208">
        <v>14</v>
      </c>
      <c r="W3208">
        <v>3</v>
      </c>
      <c r="X3208">
        <v>131</v>
      </c>
      <c r="Y3208">
        <v>7</v>
      </c>
      <c r="Z3208">
        <v>5</v>
      </c>
      <c r="AA3208">
        <v>3</v>
      </c>
      <c r="AB3208">
        <v>19</v>
      </c>
      <c r="AD3208">
        <v>3</v>
      </c>
      <c r="AE3208">
        <v>1</v>
      </c>
      <c r="AF3208">
        <v>0</v>
      </c>
      <c r="AG3208">
        <v>0</v>
      </c>
      <c r="AH3208">
        <v>0</v>
      </c>
      <c r="AI3208">
        <v>1</v>
      </c>
      <c r="AJ3208">
        <v>9</v>
      </c>
      <c r="AK3208">
        <v>363</v>
      </c>
      <c r="AL3208">
        <v>363</v>
      </c>
      <c r="AM3208">
        <v>655</v>
      </c>
      <c r="AN3208">
        <v>44</v>
      </c>
      <c r="AP3208">
        <v>1</v>
      </c>
      <c r="AR3208" t="s">
        <v>3303</v>
      </c>
      <c r="AS3208" s="1">
        <v>44354.03402777778</v>
      </c>
      <c r="AT3208" s="1">
        <v>44354.06454861111</v>
      </c>
      <c r="AU3208" s="1">
        <v>44354.065081018518</v>
      </c>
      <c r="AV3208" t="s">
        <v>71</v>
      </c>
      <c r="AW3208" t="s">
        <v>72</v>
      </c>
      <c r="AX3208" t="s">
        <v>73</v>
      </c>
    </row>
    <row r="3209" spans="1:50" x14ac:dyDescent="0.3">
      <c r="A3209" t="str">
        <f>"200535S0100"</f>
        <v>200535S0100</v>
      </c>
      <c r="B3209" t="str">
        <f>"200535S01002EMR"</f>
        <v>200535S01002EMR</v>
      </c>
      <c r="C3209" t="str">
        <f t="shared" si="157"/>
        <v>20</v>
      </c>
      <c r="D3209" t="s">
        <v>67</v>
      </c>
      <c r="E3209" t="str">
        <f t="shared" si="156"/>
        <v>014</v>
      </c>
      <c r="F3209" t="s">
        <v>2914</v>
      </c>
      <c r="G3209" t="str">
        <f>"0535"</f>
        <v>0535</v>
      </c>
      <c r="H3209" t="str">
        <f>"0001"</f>
        <v>0001</v>
      </c>
      <c r="I3209" t="s">
        <v>85</v>
      </c>
      <c r="J3209">
        <v>0</v>
      </c>
      <c r="K3209">
        <v>1</v>
      </c>
      <c r="L3209" t="s">
        <v>86</v>
      </c>
      <c r="M3209">
        <v>606</v>
      </c>
      <c r="N3209">
        <v>395</v>
      </c>
      <c r="O3209">
        <v>0</v>
      </c>
      <c r="P3209">
        <v>20</v>
      </c>
      <c r="Q3209">
        <v>2</v>
      </c>
      <c r="R3209">
        <v>2</v>
      </c>
      <c r="S3209">
        <v>1</v>
      </c>
      <c r="T3209">
        <v>1</v>
      </c>
      <c r="U3209">
        <v>0</v>
      </c>
      <c r="V3209">
        <v>0</v>
      </c>
      <c r="W3209">
        <v>0</v>
      </c>
      <c r="X3209">
        <v>11</v>
      </c>
      <c r="Y3209">
        <v>0</v>
      </c>
      <c r="Z3209">
        <v>0</v>
      </c>
      <c r="AA3209">
        <v>0</v>
      </c>
      <c r="AB3209">
        <v>1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1</v>
      </c>
      <c r="AK3209">
        <v>20</v>
      </c>
      <c r="AL3209">
        <v>19</v>
      </c>
      <c r="AM3209">
        <v>0</v>
      </c>
      <c r="AN3209">
        <v>44</v>
      </c>
      <c r="AP3209">
        <v>1</v>
      </c>
      <c r="AR3209" t="s">
        <v>3304</v>
      </c>
      <c r="AS3209" s="1">
        <v>44354.033333333333</v>
      </c>
      <c r="AT3209" s="1">
        <v>44354.248287037037</v>
      </c>
      <c r="AU3209" s="1">
        <v>44354.249027777776</v>
      </c>
      <c r="AV3209" t="s">
        <v>71</v>
      </c>
      <c r="AW3209" t="s">
        <v>72</v>
      </c>
      <c r="AX3209" t="s">
        <v>73</v>
      </c>
    </row>
    <row r="3210" spans="1:50" x14ac:dyDescent="0.3">
      <c r="A3210" t="str">
        <f>"200536B0000"</f>
        <v>200536B0000</v>
      </c>
      <c r="B3210" t="str">
        <f>"200536B00002"</f>
        <v>200536B00002</v>
      </c>
      <c r="C3210" t="str">
        <f t="shared" si="157"/>
        <v>20</v>
      </c>
      <c r="D3210" t="s">
        <v>67</v>
      </c>
      <c r="E3210" t="str">
        <f t="shared" si="156"/>
        <v>014</v>
      </c>
      <c r="F3210" t="s">
        <v>2914</v>
      </c>
      <c r="G3210" t="str">
        <f>"0536"</f>
        <v>0536</v>
      </c>
      <c r="H3210" t="str">
        <f>"0000"</f>
        <v>0000</v>
      </c>
      <c r="I3210" t="s">
        <v>69</v>
      </c>
      <c r="J3210">
        <v>0</v>
      </c>
      <c r="K3210">
        <v>1</v>
      </c>
      <c r="L3210">
        <v>2</v>
      </c>
      <c r="M3210">
        <v>385</v>
      </c>
      <c r="N3210">
        <v>377</v>
      </c>
      <c r="O3210">
        <v>6</v>
      </c>
      <c r="P3210">
        <v>377</v>
      </c>
      <c r="Q3210">
        <v>31</v>
      </c>
      <c r="R3210">
        <v>92</v>
      </c>
      <c r="S3210">
        <v>3</v>
      </c>
      <c r="T3210">
        <v>7</v>
      </c>
      <c r="U3210">
        <v>9</v>
      </c>
      <c r="V3210">
        <v>14</v>
      </c>
      <c r="W3210">
        <v>8</v>
      </c>
      <c r="X3210">
        <v>175</v>
      </c>
      <c r="Y3210">
        <v>2</v>
      </c>
      <c r="Z3210">
        <v>3</v>
      </c>
      <c r="AA3210">
        <v>4</v>
      </c>
      <c r="AB3210">
        <v>8</v>
      </c>
      <c r="AD3210">
        <v>1</v>
      </c>
      <c r="AE3210" t="s">
        <v>77</v>
      </c>
      <c r="AF3210" t="s">
        <v>77</v>
      </c>
      <c r="AG3210" t="s">
        <v>77</v>
      </c>
      <c r="AH3210" t="s">
        <v>77</v>
      </c>
      <c r="AI3210" t="s">
        <v>77</v>
      </c>
      <c r="AJ3210">
        <v>20</v>
      </c>
      <c r="AK3210">
        <v>377</v>
      </c>
      <c r="AL3210">
        <v>377</v>
      </c>
      <c r="AM3210">
        <v>718</v>
      </c>
      <c r="AN3210">
        <v>44</v>
      </c>
      <c r="AO3210" t="s">
        <v>78</v>
      </c>
      <c r="AP3210">
        <v>1</v>
      </c>
      <c r="AR3210" t="s">
        <v>3305</v>
      </c>
      <c r="AS3210" s="1">
        <v>44354.001388888886</v>
      </c>
      <c r="AT3210" s="1">
        <v>44354.021226851852</v>
      </c>
      <c r="AU3210" s="1">
        <v>44354.021724537037</v>
      </c>
      <c r="AV3210" t="s">
        <v>71</v>
      </c>
      <c r="AW3210" t="s">
        <v>72</v>
      </c>
      <c r="AX3210" t="s">
        <v>73</v>
      </c>
    </row>
    <row r="3211" spans="1:50" x14ac:dyDescent="0.3">
      <c r="A3211" t="str">
        <f>"200537B0000"</f>
        <v>200537B0000</v>
      </c>
      <c r="B3211" t="str">
        <f>"200537B00002"</f>
        <v>200537B00002</v>
      </c>
      <c r="C3211" t="str">
        <f t="shared" si="157"/>
        <v>20</v>
      </c>
      <c r="D3211" t="s">
        <v>67</v>
      </c>
      <c r="E3211" t="str">
        <f t="shared" si="156"/>
        <v>014</v>
      </c>
      <c r="F3211" t="s">
        <v>2914</v>
      </c>
      <c r="G3211" t="str">
        <f>"0537"</f>
        <v>0537</v>
      </c>
      <c r="H3211" t="str">
        <f>"0000"</f>
        <v>0000</v>
      </c>
      <c r="I3211" t="s">
        <v>69</v>
      </c>
      <c r="J3211">
        <v>0</v>
      </c>
      <c r="K3211">
        <v>1</v>
      </c>
      <c r="L3211">
        <v>2</v>
      </c>
      <c r="M3211">
        <v>269</v>
      </c>
      <c r="N3211">
        <v>312</v>
      </c>
      <c r="O3211">
        <v>3</v>
      </c>
      <c r="P3211">
        <v>3</v>
      </c>
      <c r="Q3211">
        <v>22</v>
      </c>
      <c r="R3211">
        <v>61</v>
      </c>
      <c r="S3211">
        <v>1</v>
      </c>
      <c r="T3211">
        <v>4</v>
      </c>
      <c r="U3211">
        <v>9</v>
      </c>
      <c r="V3211">
        <v>9</v>
      </c>
      <c r="W3211">
        <v>1</v>
      </c>
      <c r="X3211">
        <v>174</v>
      </c>
      <c r="Y3211">
        <v>4</v>
      </c>
      <c r="Z3211">
        <v>5</v>
      </c>
      <c r="AA3211">
        <v>4</v>
      </c>
      <c r="AB3211">
        <v>11</v>
      </c>
      <c r="AD3211">
        <v>1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5</v>
      </c>
      <c r="AK3211">
        <v>312</v>
      </c>
      <c r="AL3211">
        <v>311</v>
      </c>
      <c r="AM3211">
        <v>541</v>
      </c>
      <c r="AN3211">
        <v>44</v>
      </c>
      <c r="AP3211">
        <v>1</v>
      </c>
      <c r="AR3211" t="s">
        <v>3306</v>
      </c>
      <c r="AS3211" s="1">
        <v>44353.990972222222</v>
      </c>
      <c r="AT3211" s="1">
        <v>44353.997928240744</v>
      </c>
      <c r="AU3211" s="1">
        <v>44353.998761574076</v>
      </c>
      <c r="AV3211" t="s">
        <v>71</v>
      </c>
      <c r="AW3211" t="s">
        <v>72</v>
      </c>
      <c r="AX3211" t="s">
        <v>73</v>
      </c>
    </row>
    <row r="3212" spans="1:50" x14ac:dyDescent="0.3">
      <c r="A3212" t="str">
        <f>"200537C0100"</f>
        <v>200537C0100</v>
      </c>
      <c r="B3212" t="str">
        <f>"200537C01002"</f>
        <v>200537C01002</v>
      </c>
      <c r="C3212" t="str">
        <f t="shared" si="157"/>
        <v>20</v>
      </c>
      <c r="D3212" t="s">
        <v>67</v>
      </c>
      <c r="E3212" t="str">
        <f t="shared" si="156"/>
        <v>014</v>
      </c>
      <c r="F3212" t="s">
        <v>2914</v>
      </c>
      <c r="G3212" t="str">
        <f>"0537"</f>
        <v>0537</v>
      </c>
      <c r="H3212" t="str">
        <f>"0001"</f>
        <v>0001</v>
      </c>
      <c r="I3212" t="s">
        <v>75</v>
      </c>
      <c r="J3212">
        <v>0</v>
      </c>
      <c r="K3212">
        <v>1</v>
      </c>
      <c r="L3212">
        <v>2</v>
      </c>
      <c r="M3212" t="s">
        <v>80</v>
      </c>
      <c r="N3212" t="s">
        <v>80</v>
      </c>
      <c r="O3212" t="s">
        <v>80</v>
      </c>
      <c r="P3212" t="s">
        <v>80</v>
      </c>
      <c r="Q3212">
        <v>16</v>
      </c>
      <c r="R3212">
        <v>57</v>
      </c>
      <c r="S3212">
        <v>2</v>
      </c>
      <c r="T3212">
        <v>7</v>
      </c>
      <c r="U3212">
        <v>9</v>
      </c>
      <c r="V3212">
        <v>2</v>
      </c>
      <c r="W3212" t="s">
        <v>77</v>
      </c>
      <c r="X3212">
        <v>163</v>
      </c>
      <c r="Y3212">
        <v>2</v>
      </c>
      <c r="Z3212">
        <v>4</v>
      </c>
      <c r="AA3212">
        <v>2</v>
      </c>
      <c r="AB3212">
        <v>11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10</v>
      </c>
      <c r="AK3212">
        <v>287</v>
      </c>
      <c r="AL3212">
        <v>285</v>
      </c>
      <c r="AM3212">
        <v>540</v>
      </c>
      <c r="AN3212">
        <v>44</v>
      </c>
      <c r="AO3212" t="s">
        <v>78</v>
      </c>
      <c r="AP3212">
        <v>1</v>
      </c>
      <c r="AR3212" t="s">
        <v>3307</v>
      </c>
      <c r="AS3212" s="1">
        <v>44353.988888888889</v>
      </c>
      <c r="AT3212" s="1">
        <v>44353.998819444445</v>
      </c>
      <c r="AU3212" s="1">
        <v>44354.000578703701</v>
      </c>
      <c r="AV3212" t="s">
        <v>71</v>
      </c>
      <c r="AW3212" t="s">
        <v>72</v>
      </c>
      <c r="AX3212" t="s">
        <v>73</v>
      </c>
    </row>
    <row r="3213" spans="1:50" x14ac:dyDescent="0.3">
      <c r="A3213" t="str">
        <f>"200538B0000"</f>
        <v>200538B0000</v>
      </c>
      <c r="B3213" t="str">
        <f>"200538B00002"</f>
        <v>200538B00002</v>
      </c>
      <c r="C3213" t="str">
        <f t="shared" si="157"/>
        <v>20</v>
      </c>
      <c r="D3213" t="s">
        <v>67</v>
      </c>
      <c r="E3213" t="str">
        <f t="shared" si="156"/>
        <v>014</v>
      </c>
      <c r="F3213" t="s">
        <v>2914</v>
      </c>
      <c r="G3213" t="str">
        <f>"0538"</f>
        <v>0538</v>
      </c>
      <c r="H3213" t="str">
        <f>"0000"</f>
        <v>0000</v>
      </c>
      <c r="I3213" t="s">
        <v>69</v>
      </c>
      <c r="J3213">
        <v>0</v>
      </c>
      <c r="K3213">
        <v>1</v>
      </c>
      <c r="L3213">
        <v>2</v>
      </c>
      <c r="M3213">
        <v>233</v>
      </c>
      <c r="N3213">
        <v>287</v>
      </c>
      <c r="O3213">
        <v>3</v>
      </c>
      <c r="P3213" t="s">
        <v>80</v>
      </c>
      <c r="Q3213">
        <v>17</v>
      </c>
      <c r="R3213">
        <v>56</v>
      </c>
      <c r="S3213">
        <v>1</v>
      </c>
      <c r="T3213">
        <v>11</v>
      </c>
      <c r="U3213">
        <v>3</v>
      </c>
      <c r="V3213">
        <v>11</v>
      </c>
      <c r="W3213">
        <v>11</v>
      </c>
      <c r="X3213">
        <v>149</v>
      </c>
      <c r="Y3213">
        <v>1</v>
      </c>
      <c r="Z3213">
        <v>6</v>
      </c>
      <c r="AA3213">
        <v>4</v>
      </c>
      <c r="AB3213">
        <v>8</v>
      </c>
      <c r="AD3213">
        <v>1</v>
      </c>
      <c r="AE3213">
        <v>0</v>
      </c>
      <c r="AF3213">
        <v>0</v>
      </c>
      <c r="AG3213">
        <v>0</v>
      </c>
      <c r="AH3213">
        <v>1</v>
      </c>
      <c r="AI3213">
        <v>0</v>
      </c>
      <c r="AJ3213">
        <v>7</v>
      </c>
      <c r="AK3213">
        <v>287</v>
      </c>
      <c r="AL3213">
        <v>287</v>
      </c>
      <c r="AM3213">
        <v>520</v>
      </c>
      <c r="AN3213">
        <v>44</v>
      </c>
      <c r="AP3213">
        <v>1</v>
      </c>
      <c r="AR3213" t="s">
        <v>3308</v>
      </c>
      <c r="AS3213" s="1">
        <v>44354.029861111114</v>
      </c>
      <c r="AT3213" s="1">
        <v>44354.039814814816</v>
      </c>
      <c r="AU3213" s="1">
        <v>44354.040752314817</v>
      </c>
      <c r="AV3213" t="s">
        <v>71</v>
      </c>
      <c r="AW3213" t="s">
        <v>72</v>
      </c>
      <c r="AX3213" t="s">
        <v>73</v>
      </c>
    </row>
    <row r="3214" spans="1:50" x14ac:dyDescent="0.3">
      <c r="A3214" t="str">
        <f>"200538C0100"</f>
        <v>200538C0100</v>
      </c>
      <c r="B3214" t="str">
        <f>"200538C01002"</f>
        <v>200538C01002</v>
      </c>
      <c r="C3214" t="str">
        <f t="shared" si="157"/>
        <v>20</v>
      </c>
      <c r="D3214" t="s">
        <v>67</v>
      </c>
      <c r="E3214" t="str">
        <f t="shared" si="156"/>
        <v>014</v>
      </c>
      <c r="F3214" t="s">
        <v>2914</v>
      </c>
      <c r="G3214" t="str">
        <f>"0538"</f>
        <v>0538</v>
      </c>
      <c r="H3214" t="str">
        <f>"0001"</f>
        <v>0001</v>
      </c>
      <c r="I3214" t="s">
        <v>75</v>
      </c>
      <c r="J3214">
        <v>0</v>
      </c>
      <c r="K3214">
        <v>1</v>
      </c>
      <c r="L3214">
        <v>2</v>
      </c>
      <c r="M3214">
        <v>297</v>
      </c>
      <c r="N3214">
        <v>277</v>
      </c>
      <c r="O3214">
        <v>3</v>
      </c>
      <c r="P3214">
        <v>277</v>
      </c>
      <c r="Q3214">
        <v>16</v>
      </c>
      <c r="R3214">
        <v>61</v>
      </c>
      <c r="S3214">
        <v>3</v>
      </c>
      <c r="T3214">
        <v>2</v>
      </c>
      <c r="U3214">
        <v>9</v>
      </c>
      <c r="V3214">
        <v>5</v>
      </c>
      <c r="W3214">
        <v>4</v>
      </c>
      <c r="X3214">
        <v>142</v>
      </c>
      <c r="Y3214">
        <v>7</v>
      </c>
      <c r="Z3214">
        <v>5</v>
      </c>
      <c r="AA3214">
        <v>2</v>
      </c>
      <c r="AB3214">
        <v>11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10</v>
      </c>
      <c r="AK3214">
        <v>277</v>
      </c>
      <c r="AL3214">
        <v>277</v>
      </c>
      <c r="AM3214">
        <v>520</v>
      </c>
      <c r="AN3214">
        <v>44</v>
      </c>
      <c r="AP3214">
        <v>1</v>
      </c>
      <c r="AR3214" t="s">
        <v>3309</v>
      </c>
      <c r="AS3214" s="1">
        <v>44353.990972222222</v>
      </c>
      <c r="AT3214" s="1">
        <v>44353.997245370374</v>
      </c>
      <c r="AU3214" s="1">
        <v>44353.99790509259</v>
      </c>
      <c r="AV3214" t="s">
        <v>71</v>
      </c>
      <c r="AW3214" t="s">
        <v>72</v>
      </c>
      <c r="AX3214" t="s">
        <v>73</v>
      </c>
    </row>
    <row r="3215" spans="1:50" x14ac:dyDescent="0.3">
      <c r="A3215" t="str">
        <f>"200546B0000"</f>
        <v>200546B0000</v>
      </c>
      <c r="B3215" t="str">
        <f>"200546B00002"</f>
        <v>200546B00002</v>
      </c>
      <c r="C3215" t="str">
        <f t="shared" si="157"/>
        <v>20</v>
      </c>
      <c r="D3215" t="s">
        <v>67</v>
      </c>
      <c r="E3215" t="str">
        <f t="shared" si="156"/>
        <v>014</v>
      </c>
      <c r="F3215" t="s">
        <v>2914</v>
      </c>
      <c r="G3215" t="str">
        <f>"0546"</f>
        <v>0546</v>
      </c>
      <c r="H3215" t="str">
        <f>"0000"</f>
        <v>0000</v>
      </c>
      <c r="I3215" t="s">
        <v>69</v>
      </c>
      <c r="J3215">
        <v>0</v>
      </c>
      <c r="K3215">
        <v>1</v>
      </c>
      <c r="L3215">
        <v>2</v>
      </c>
      <c r="M3215">
        <v>349</v>
      </c>
      <c r="N3215">
        <v>353</v>
      </c>
      <c r="O3215">
        <v>3</v>
      </c>
      <c r="P3215">
        <v>353</v>
      </c>
      <c r="Q3215">
        <v>45</v>
      </c>
      <c r="R3215">
        <v>70</v>
      </c>
      <c r="S3215">
        <v>5</v>
      </c>
      <c r="T3215">
        <v>8</v>
      </c>
      <c r="U3215">
        <v>11</v>
      </c>
      <c r="V3215">
        <v>13</v>
      </c>
      <c r="W3215">
        <v>5</v>
      </c>
      <c r="X3215">
        <v>153</v>
      </c>
      <c r="Y3215">
        <v>2</v>
      </c>
      <c r="Z3215">
        <v>11</v>
      </c>
      <c r="AA3215">
        <v>5</v>
      </c>
      <c r="AB3215">
        <v>6</v>
      </c>
      <c r="AD3215">
        <v>4</v>
      </c>
      <c r="AE3215">
        <v>2</v>
      </c>
      <c r="AF3215">
        <v>0</v>
      </c>
      <c r="AG3215">
        <v>0</v>
      </c>
      <c r="AH3215">
        <v>1</v>
      </c>
      <c r="AI3215">
        <v>1</v>
      </c>
      <c r="AJ3215">
        <v>11</v>
      </c>
      <c r="AK3215">
        <v>353</v>
      </c>
      <c r="AL3215">
        <v>353</v>
      </c>
      <c r="AM3215">
        <v>658</v>
      </c>
      <c r="AN3215">
        <v>44</v>
      </c>
      <c r="AP3215">
        <v>1</v>
      </c>
      <c r="AR3215" t="s">
        <v>3310</v>
      </c>
      <c r="AS3215" s="1">
        <v>44353.75</v>
      </c>
      <c r="AT3215" s="1">
        <v>44354.098726851851</v>
      </c>
      <c r="AU3215" s="1">
        <v>44354.099247685182</v>
      </c>
      <c r="AV3215" t="s">
        <v>71</v>
      </c>
      <c r="AW3215" t="s">
        <v>72</v>
      </c>
      <c r="AX3215" t="s">
        <v>73</v>
      </c>
    </row>
    <row r="3216" spans="1:50" x14ac:dyDescent="0.3">
      <c r="A3216" t="str">
        <f>"200547B0000"</f>
        <v>200547B0000</v>
      </c>
      <c r="B3216" t="str">
        <f>"200547B00002"</f>
        <v>200547B00002</v>
      </c>
      <c r="C3216" t="str">
        <f t="shared" si="157"/>
        <v>20</v>
      </c>
      <c r="D3216" t="s">
        <v>67</v>
      </c>
      <c r="E3216" t="str">
        <f t="shared" si="156"/>
        <v>014</v>
      </c>
      <c r="F3216" t="s">
        <v>2914</v>
      </c>
      <c r="G3216" t="str">
        <f>"0547"</f>
        <v>0547</v>
      </c>
      <c r="H3216" t="str">
        <f>"0000"</f>
        <v>0000</v>
      </c>
      <c r="I3216" t="s">
        <v>69</v>
      </c>
      <c r="J3216">
        <v>0</v>
      </c>
      <c r="K3216">
        <v>1</v>
      </c>
      <c r="L3216">
        <v>2</v>
      </c>
      <c r="M3216">
        <v>317</v>
      </c>
      <c r="N3216">
        <v>363</v>
      </c>
      <c r="O3216">
        <v>9</v>
      </c>
      <c r="P3216">
        <v>361</v>
      </c>
      <c r="Q3216">
        <v>37</v>
      </c>
      <c r="R3216">
        <v>69</v>
      </c>
      <c r="S3216">
        <v>2</v>
      </c>
      <c r="T3216">
        <v>12</v>
      </c>
      <c r="U3216">
        <v>5</v>
      </c>
      <c r="V3216">
        <v>12</v>
      </c>
      <c r="W3216">
        <v>12</v>
      </c>
      <c r="X3216">
        <v>164</v>
      </c>
      <c r="Y3216">
        <v>4</v>
      </c>
      <c r="Z3216">
        <v>6</v>
      </c>
      <c r="AA3216">
        <v>6</v>
      </c>
      <c r="AB3216">
        <v>12</v>
      </c>
      <c r="AD3216">
        <v>5</v>
      </c>
      <c r="AE3216">
        <v>0</v>
      </c>
      <c r="AF3216">
        <v>0</v>
      </c>
      <c r="AG3216">
        <v>0</v>
      </c>
      <c r="AH3216">
        <v>1</v>
      </c>
      <c r="AI3216">
        <v>0</v>
      </c>
      <c r="AJ3216">
        <v>14</v>
      </c>
      <c r="AK3216">
        <v>361</v>
      </c>
      <c r="AL3216">
        <v>361</v>
      </c>
      <c r="AM3216">
        <v>634</v>
      </c>
      <c r="AN3216">
        <v>44</v>
      </c>
      <c r="AP3216">
        <v>1</v>
      </c>
      <c r="AR3216" t="s">
        <v>3311</v>
      </c>
      <c r="AS3216" s="1">
        <v>44354.00277777778</v>
      </c>
      <c r="AT3216" s="1">
        <v>44354.023761574077</v>
      </c>
      <c r="AU3216" s="1">
        <v>44354.024236111109</v>
      </c>
      <c r="AV3216" t="s">
        <v>71</v>
      </c>
      <c r="AW3216" t="s">
        <v>72</v>
      </c>
      <c r="AX3216" t="s">
        <v>73</v>
      </c>
    </row>
    <row r="3217" spans="1:50" x14ac:dyDescent="0.3">
      <c r="A3217" t="str">
        <f>"200547C0100"</f>
        <v>200547C0100</v>
      </c>
      <c r="B3217" t="str">
        <f>"200547C01002"</f>
        <v>200547C01002</v>
      </c>
      <c r="C3217" t="str">
        <f t="shared" si="157"/>
        <v>20</v>
      </c>
      <c r="D3217" t="s">
        <v>67</v>
      </c>
      <c r="E3217" t="str">
        <f t="shared" si="156"/>
        <v>014</v>
      </c>
      <c r="F3217" t="s">
        <v>2914</v>
      </c>
      <c r="G3217" t="str">
        <f>"0547"</f>
        <v>0547</v>
      </c>
      <c r="H3217" t="str">
        <f>"0001"</f>
        <v>0001</v>
      </c>
      <c r="I3217" t="s">
        <v>75</v>
      </c>
      <c r="J3217">
        <v>0</v>
      </c>
      <c r="K3217">
        <v>1</v>
      </c>
      <c r="L3217">
        <v>2</v>
      </c>
      <c r="M3217">
        <v>326</v>
      </c>
      <c r="N3217">
        <v>351</v>
      </c>
      <c r="O3217">
        <v>3</v>
      </c>
      <c r="P3217">
        <v>351</v>
      </c>
      <c r="Q3217">
        <v>40</v>
      </c>
      <c r="R3217">
        <v>71</v>
      </c>
      <c r="S3217">
        <v>4</v>
      </c>
      <c r="T3217">
        <v>6</v>
      </c>
      <c r="U3217">
        <v>15</v>
      </c>
      <c r="V3217">
        <v>21</v>
      </c>
      <c r="W3217">
        <v>10</v>
      </c>
      <c r="X3217">
        <v>143</v>
      </c>
      <c r="Y3217">
        <v>8</v>
      </c>
      <c r="Z3217">
        <v>3</v>
      </c>
      <c r="AA3217">
        <v>6</v>
      </c>
      <c r="AB3217">
        <v>12</v>
      </c>
      <c r="AD3217">
        <v>2</v>
      </c>
      <c r="AE3217">
        <v>1</v>
      </c>
      <c r="AF3217">
        <v>0</v>
      </c>
      <c r="AG3217">
        <v>0</v>
      </c>
      <c r="AH3217">
        <v>2</v>
      </c>
      <c r="AI3217">
        <v>0</v>
      </c>
      <c r="AJ3217">
        <v>7</v>
      </c>
      <c r="AK3217">
        <v>351</v>
      </c>
      <c r="AL3217">
        <v>351</v>
      </c>
      <c r="AM3217">
        <v>634</v>
      </c>
      <c r="AN3217">
        <v>44</v>
      </c>
      <c r="AP3217">
        <v>1</v>
      </c>
      <c r="AR3217" t="s">
        <v>3312</v>
      </c>
      <c r="AS3217" s="1">
        <v>44354.003472222219</v>
      </c>
      <c r="AT3217" s="1">
        <v>44354.023460648146</v>
      </c>
      <c r="AU3217" s="1">
        <v>44354.024351851855</v>
      </c>
      <c r="AV3217" t="s">
        <v>71</v>
      </c>
      <c r="AW3217" t="s">
        <v>72</v>
      </c>
      <c r="AX3217" t="s">
        <v>73</v>
      </c>
    </row>
    <row r="3218" spans="1:50" x14ac:dyDescent="0.3">
      <c r="A3218" t="str">
        <f>"200548B0000"</f>
        <v>200548B0000</v>
      </c>
      <c r="B3218" t="str">
        <f>"200548B00002"</f>
        <v>200548B00002</v>
      </c>
      <c r="C3218" t="str">
        <f t="shared" si="157"/>
        <v>20</v>
      </c>
      <c r="D3218" t="s">
        <v>67</v>
      </c>
      <c r="E3218" t="str">
        <f t="shared" si="156"/>
        <v>014</v>
      </c>
      <c r="F3218" t="s">
        <v>2914</v>
      </c>
      <c r="G3218" t="str">
        <f>"0548"</f>
        <v>0548</v>
      </c>
      <c r="H3218" t="str">
        <f>"0000"</f>
        <v>0000</v>
      </c>
      <c r="I3218" t="s">
        <v>69</v>
      </c>
      <c r="J3218">
        <v>0</v>
      </c>
      <c r="K3218">
        <v>1</v>
      </c>
      <c r="L3218">
        <v>2</v>
      </c>
      <c r="M3218">
        <v>177</v>
      </c>
      <c r="N3218">
        <v>245</v>
      </c>
      <c r="O3218">
        <v>5</v>
      </c>
      <c r="P3218">
        <v>245</v>
      </c>
      <c r="Q3218">
        <v>47</v>
      </c>
      <c r="R3218">
        <v>71</v>
      </c>
      <c r="S3218">
        <v>2</v>
      </c>
      <c r="T3218">
        <v>8</v>
      </c>
      <c r="U3218">
        <v>2</v>
      </c>
      <c r="V3218">
        <v>5</v>
      </c>
      <c r="W3218">
        <v>2</v>
      </c>
      <c r="X3218">
        <v>85</v>
      </c>
      <c r="Y3218">
        <v>3</v>
      </c>
      <c r="Z3218">
        <v>1</v>
      </c>
      <c r="AA3218">
        <v>2</v>
      </c>
      <c r="AB3218">
        <v>9</v>
      </c>
      <c r="AD3218">
        <v>1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7</v>
      </c>
      <c r="AK3218">
        <v>245</v>
      </c>
      <c r="AL3218">
        <v>245</v>
      </c>
      <c r="AM3218">
        <v>378</v>
      </c>
      <c r="AN3218">
        <v>44</v>
      </c>
      <c r="AP3218">
        <v>1</v>
      </c>
      <c r="AR3218" t="s">
        <v>3313</v>
      </c>
      <c r="AS3218" s="1">
        <v>44353.888194444444</v>
      </c>
      <c r="AT3218" s="1">
        <v>44353.897164351853</v>
      </c>
      <c r="AU3218" s="1">
        <v>44353.897627314815</v>
      </c>
      <c r="AV3218" t="s">
        <v>71</v>
      </c>
      <c r="AW3218" t="s">
        <v>72</v>
      </c>
      <c r="AX3218" t="s">
        <v>73</v>
      </c>
    </row>
    <row r="3219" spans="1:50" x14ac:dyDescent="0.3">
      <c r="A3219" t="str">
        <f>"200548C0100"</f>
        <v>200548C0100</v>
      </c>
      <c r="B3219" t="str">
        <f>"200548C01002"</f>
        <v>200548C01002</v>
      </c>
      <c r="C3219" t="str">
        <f t="shared" si="157"/>
        <v>20</v>
      </c>
      <c r="D3219" t="s">
        <v>67</v>
      </c>
      <c r="E3219" t="str">
        <f t="shared" si="156"/>
        <v>014</v>
      </c>
      <c r="F3219" t="s">
        <v>2914</v>
      </c>
      <c r="G3219" t="str">
        <f>"0548"</f>
        <v>0548</v>
      </c>
      <c r="H3219" t="str">
        <f>"0001"</f>
        <v>0001</v>
      </c>
      <c r="I3219" t="s">
        <v>75</v>
      </c>
      <c r="J3219">
        <v>0</v>
      </c>
      <c r="K3219">
        <v>1</v>
      </c>
      <c r="L3219">
        <v>2</v>
      </c>
      <c r="M3219">
        <v>167</v>
      </c>
      <c r="N3219">
        <v>254</v>
      </c>
      <c r="O3219">
        <v>5</v>
      </c>
      <c r="P3219">
        <v>254</v>
      </c>
      <c r="Q3219">
        <v>45</v>
      </c>
      <c r="R3219">
        <v>70</v>
      </c>
      <c r="S3219">
        <v>2</v>
      </c>
      <c r="T3219">
        <v>9</v>
      </c>
      <c r="U3219">
        <v>9</v>
      </c>
      <c r="V3219">
        <v>11</v>
      </c>
      <c r="W3219">
        <v>2</v>
      </c>
      <c r="X3219">
        <v>76</v>
      </c>
      <c r="Y3219">
        <v>2</v>
      </c>
      <c r="Z3219">
        <v>4</v>
      </c>
      <c r="AA3219">
        <v>0</v>
      </c>
      <c r="AB3219">
        <v>10</v>
      </c>
      <c r="AD3219">
        <v>4</v>
      </c>
      <c r="AE3219">
        <v>1</v>
      </c>
      <c r="AF3219">
        <v>0</v>
      </c>
      <c r="AG3219">
        <v>1</v>
      </c>
      <c r="AH3219">
        <v>0</v>
      </c>
      <c r="AI3219">
        <v>0</v>
      </c>
      <c r="AJ3219">
        <v>8</v>
      </c>
      <c r="AK3219">
        <v>254</v>
      </c>
      <c r="AL3219">
        <v>254</v>
      </c>
      <c r="AM3219">
        <v>377</v>
      </c>
      <c r="AN3219">
        <v>44</v>
      </c>
      <c r="AP3219">
        <v>1</v>
      </c>
      <c r="AR3219" t="s">
        <v>3314</v>
      </c>
      <c r="AS3219" s="1">
        <v>44353.888194444444</v>
      </c>
      <c r="AT3219" s="1">
        <v>44353.898020833331</v>
      </c>
      <c r="AU3219" s="1">
        <v>44353.898680555554</v>
      </c>
      <c r="AV3219" t="s">
        <v>71</v>
      </c>
      <c r="AW3219" t="s">
        <v>72</v>
      </c>
      <c r="AX3219" t="s">
        <v>73</v>
      </c>
    </row>
    <row r="3220" spans="1:50" x14ac:dyDescent="0.3">
      <c r="A3220" t="str">
        <f>"200549B0000"</f>
        <v>200549B0000</v>
      </c>
      <c r="B3220" t="str">
        <f>"200549B00002"</f>
        <v>200549B00002</v>
      </c>
      <c r="C3220" t="str">
        <f t="shared" si="157"/>
        <v>20</v>
      </c>
      <c r="D3220" t="s">
        <v>67</v>
      </c>
      <c r="E3220" t="str">
        <f t="shared" si="156"/>
        <v>014</v>
      </c>
      <c r="F3220" t="s">
        <v>2914</v>
      </c>
      <c r="G3220" t="str">
        <f>"0549"</f>
        <v>0549</v>
      </c>
      <c r="H3220" t="str">
        <f>"0000"</f>
        <v>0000</v>
      </c>
      <c r="I3220" t="s">
        <v>69</v>
      </c>
      <c r="J3220">
        <v>0</v>
      </c>
      <c r="K3220">
        <v>1</v>
      </c>
      <c r="L3220">
        <v>2</v>
      </c>
      <c r="M3220">
        <v>210</v>
      </c>
      <c r="N3220">
        <v>289</v>
      </c>
      <c r="O3220">
        <v>6</v>
      </c>
      <c r="P3220">
        <v>289</v>
      </c>
      <c r="Q3220">
        <v>53</v>
      </c>
      <c r="R3220">
        <v>73</v>
      </c>
      <c r="S3220">
        <v>4</v>
      </c>
      <c r="T3220">
        <v>8</v>
      </c>
      <c r="U3220">
        <v>9</v>
      </c>
      <c r="V3220">
        <v>5</v>
      </c>
      <c r="W3220">
        <v>4</v>
      </c>
      <c r="X3220">
        <v>99</v>
      </c>
      <c r="Y3220">
        <v>3</v>
      </c>
      <c r="Z3220">
        <v>6</v>
      </c>
      <c r="AA3220">
        <v>3</v>
      </c>
      <c r="AB3220">
        <v>15</v>
      </c>
      <c r="AD3220">
        <v>0</v>
      </c>
      <c r="AE3220">
        <v>1</v>
      </c>
      <c r="AF3220">
        <v>0</v>
      </c>
      <c r="AG3220">
        <v>0</v>
      </c>
      <c r="AH3220">
        <v>0</v>
      </c>
      <c r="AI3220">
        <v>0</v>
      </c>
      <c r="AJ3220">
        <v>6</v>
      </c>
      <c r="AK3220">
        <v>289</v>
      </c>
      <c r="AL3220">
        <v>289</v>
      </c>
      <c r="AM3220">
        <v>455</v>
      </c>
      <c r="AN3220">
        <v>44</v>
      </c>
      <c r="AP3220">
        <v>1</v>
      </c>
      <c r="AR3220" t="s">
        <v>3315</v>
      </c>
      <c r="AS3220" s="1">
        <v>44354.00277777778</v>
      </c>
      <c r="AT3220" s="1">
        <v>44354.022870370369</v>
      </c>
      <c r="AU3220" s="1">
        <v>44354.023472222223</v>
      </c>
      <c r="AV3220" t="s">
        <v>71</v>
      </c>
      <c r="AW3220" t="s">
        <v>72</v>
      </c>
      <c r="AX3220" t="s">
        <v>73</v>
      </c>
    </row>
    <row r="3221" spans="1:50" x14ac:dyDescent="0.3">
      <c r="A3221" t="str">
        <f>"200550B0000"</f>
        <v>200550B0000</v>
      </c>
      <c r="B3221" t="str">
        <f>"200550B00002"</f>
        <v>200550B00002</v>
      </c>
      <c r="C3221" t="str">
        <f t="shared" si="157"/>
        <v>20</v>
      </c>
      <c r="D3221" t="s">
        <v>67</v>
      </c>
      <c r="E3221" t="str">
        <f t="shared" si="156"/>
        <v>014</v>
      </c>
      <c r="F3221" t="s">
        <v>2914</v>
      </c>
      <c r="G3221" t="str">
        <f>"0550"</f>
        <v>0550</v>
      </c>
      <c r="H3221" t="str">
        <f>"0000"</f>
        <v>0000</v>
      </c>
      <c r="I3221" t="s">
        <v>69</v>
      </c>
      <c r="J3221">
        <v>0</v>
      </c>
      <c r="K3221">
        <v>1</v>
      </c>
      <c r="L3221">
        <v>2</v>
      </c>
      <c r="M3221">
        <v>252</v>
      </c>
      <c r="N3221">
        <v>315</v>
      </c>
      <c r="O3221">
        <v>9</v>
      </c>
      <c r="P3221">
        <v>310</v>
      </c>
      <c r="Q3221">
        <v>50</v>
      </c>
      <c r="R3221">
        <v>76</v>
      </c>
      <c r="S3221">
        <v>9</v>
      </c>
      <c r="T3221">
        <v>5</v>
      </c>
      <c r="U3221">
        <v>4</v>
      </c>
      <c r="V3221">
        <v>7</v>
      </c>
      <c r="W3221">
        <v>3</v>
      </c>
      <c r="X3221">
        <v>113</v>
      </c>
      <c r="Y3221">
        <v>3</v>
      </c>
      <c r="Z3221">
        <v>9</v>
      </c>
      <c r="AA3221">
        <v>5</v>
      </c>
      <c r="AB3221">
        <v>14</v>
      </c>
      <c r="AD3221">
        <v>3</v>
      </c>
      <c r="AE3221">
        <v>1</v>
      </c>
      <c r="AF3221">
        <v>0</v>
      </c>
      <c r="AG3221">
        <v>0</v>
      </c>
      <c r="AH3221">
        <v>0</v>
      </c>
      <c r="AI3221">
        <v>0</v>
      </c>
      <c r="AJ3221">
        <v>8</v>
      </c>
      <c r="AK3221">
        <v>310</v>
      </c>
      <c r="AL3221">
        <v>310</v>
      </c>
      <c r="AM3221">
        <v>518</v>
      </c>
      <c r="AN3221">
        <v>44</v>
      </c>
      <c r="AP3221">
        <v>1</v>
      </c>
      <c r="AR3221" t="s">
        <v>3316</v>
      </c>
      <c r="AS3221" s="1">
        <v>44354.022222222222</v>
      </c>
      <c r="AT3221" s="1">
        <v>44354.059351851851</v>
      </c>
      <c r="AU3221" s="1">
        <v>44354.059884259259</v>
      </c>
      <c r="AV3221" t="s">
        <v>71</v>
      </c>
      <c r="AW3221" t="s">
        <v>72</v>
      </c>
      <c r="AX3221" t="s">
        <v>73</v>
      </c>
    </row>
    <row r="3222" spans="1:50" x14ac:dyDescent="0.3">
      <c r="A3222" t="str">
        <f>"200551B0000"</f>
        <v>200551B0000</v>
      </c>
      <c r="B3222" t="str">
        <f>"200551B00002"</f>
        <v>200551B00002</v>
      </c>
      <c r="C3222" t="str">
        <f t="shared" si="157"/>
        <v>20</v>
      </c>
      <c r="D3222" t="s">
        <v>67</v>
      </c>
      <c r="E3222" t="str">
        <f t="shared" si="156"/>
        <v>014</v>
      </c>
      <c r="F3222" t="s">
        <v>2914</v>
      </c>
      <c r="G3222" t="str">
        <f>"0551"</f>
        <v>0551</v>
      </c>
      <c r="H3222" t="str">
        <f>"0000"</f>
        <v>0000</v>
      </c>
      <c r="I3222" t="s">
        <v>69</v>
      </c>
      <c r="J3222">
        <v>0</v>
      </c>
      <c r="K3222">
        <v>1</v>
      </c>
      <c r="L3222">
        <v>2</v>
      </c>
      <c r="M3222">
        <v>218</v>
      </c>
      <c r="N3222">
        <v>287</v>
      </c>
      <c r="O3222">
        <v>2</v>
      </c>
      <c r="P3222">
        <v>287</v>
      </c>
      <c r="Q3222">
        <v>37</v>
      </c>
      <c r="R3222">
        <v>91</v>
      </c>
      <c r="S3222">
        <v>2</v>
      </c>
      <c r="T3222">
        <v>3</v>
      </c>
      <c r="U3222">
        <v>6</v>
      </c>
      <c r="V3222">
        <v>10</v>
      </c>
      <c r="W3222">
        <v>3</v>
      </c>
      <c r="X3222">
        <v>105</v>
      </c>
      <c r="Y3222">
        <v>10</v>
      </c>
      <c r="Z3222">
        <v>5</v>
      </c>
      <c r="AA3222">
        <v>0</v>
      </c>
      <c r="AB3222">
        <v>6</v>
      </c>
      <c r="AD3222">
        <v>0</v>
      </c>
      <c r="AE3222">
        <v>3</v>
      </c>
      <c r="AF3222">
        <v>0</v>
      </c>
      <c r="AG3222">
        <v>0</v>
      </c>
      <c r="AH3222">
        <v>0</v>
      </c>
      <c r="AI3222">
        <v>0</v>
      </c>
      <c r="AJ3222">
        <v>6</v>
      </c>
      <c r="AK3222">
        <v>287</v>
      </c>
      <c r="AL3222">
        <v>287</v>
      </c>
      <c r="AM3222">
        <v>461</v>
      </c>
      <c r="AN3222">
        <v>44</v>
      </c>
      <c r="AP3222">
        <v>1</v>
      </c>
      <c r="AR3222" t="s">
        <v>3317</v>
      </c>
      <c r="AS3222" s="1">
        <v>44354.022916666669</v>
      </c>
      <c r="AT3222" s="1">
        <v>44354.061377314814</v>
      </c>
      <c r="AU3222" s="1">
        <v>44354.062025462961</v>
      </c>
      <c r="AV3222" t="s">
        <v>71</v>
      </c>
      <c r="AW3222" t="s">
        <v>72</v>
      </c>
      <c r="AX3222" t="s">
        <v>73</v>
      </c>
    </row>
    <row r="3223" spans="1:50" x14ac:dyDescent="0.3">
      <c r="A3223" t="str">
        <f>"200551C0100"</f>
        <v>200551C0100</v>
      </c>
      <c r="B3223" t="str">
        <f>"200551C01002"</f>
        <v>200551C01002</v>
      </c>
      <c r="C3223" t="str">
        <f t="shared" si="157"/>
        <v>20</v>
      </c>
      <c r="D3223" t="s">
        <v>67</v>
      </c>
      <c r="E3223" t="str">
        <f t="shared" si="156"/>
        <v>014</v>
      </c>
      <c r="F3223" t="s">
        <v>2914</v>
      </c>
      <c r="G3223" t="str">
        <f>"0551"</f>
        <v>0551</v>
      </c>
      <c r="H3223" t="str">
        <f>"0001"</f>
        <v>0001</v>
      </c>
      <c r="I3223" t="s">
        <v>75</v>
      </c>
      <c r="J3223">
        <v>0</v>
      </c>
      <c r="K3223">
        <v>1</v>
      </c>
      <c r="L3223">
        <v>2</v>
      </c>
      <c r="M3223">
        <v>243</v>
      </c>
      <c r="N3223">
        <v>260</v>
      </c>
      <c r="O3223" t="s">
        <v>99</v>
      </c>
      <c r="P3223">
        <v>260</v>
      </c>
      <c r="Q3223">
        <v>43</v>
      </c>
      <c r="R3223">
        <v>66</v>
      </c>
      <c r="S3223">
        <v>3</v>
      </c>
      <c r="T3223">
        <v>5</v>
      </c>
      <c r="U3223">
        <v>3</v>
      </c>
      <c r="V3223">
        <v>9</v>
      </c>
      <c r="W3223">
        <v>3</v>
      </c>
      <c r="X3223">
        <v>102</v>
      </c>
      <c r="Y3223">
        <v>3</v>
      </c>
      <c r="Z3223">
        <v>3</v>
      </c>
      <c r="AA3223">
        <v>1</v>
      </c>
      <c r="AB3223">
        <v>7</v>
      </c>
      <c r="AD3223">
        <v>3</v>
      </c>
      <c r="AE3223">
        <v>1</v>
      </c>
      <c r="AF3223">
        <v>0</v>
      </c>
      <c r="AG3223">
        <v>0</v>
      </c>
      <c r="AH3223">
        <v>0</v>
      </c>
      <c r="AI3223">
        <v>1</v>
      </c>
      <c r="AJ3223">
        <v>7</v>
      </c>
      <c r="AK3223" t="s">
        <v>99</v>
      </c>
      <c r="AL3223">
        <v>260</v>
      </c>
      <c r="AM3223">
        <v>461</v>
      </c>
      <c r="AN3223">
        <v>44</v>
      </c>
      <c r="AP3223">
        <v>1</v>
      </c>
      <c r="AR3223" t="s">
        <v>3318</v>
      </c>
      <c r="AS3223" s="1">
        <v>44354.023611111108</v>
      </c>
      <c r="AT3223" s="1">
        <v>44354.088217592594</v>
      </c>
      <c r="AU3223" s="1">
        <v>44354.090775462966</v>
      </c>
      <c r="AV3223" t="s">
        <v>71</v>
      </c>
      <c r="AW3223" t="s">
        <v>72</v>
      </c>
      <c r="AX3223" t="s">
        <v>73</v>
      </c>
    </row>
    <row r="3224" spans="1:50" x14ac:dyDescent="0.3">
      <c r="A3224" t="str">
        <f>"200552B0000"</f>
        <v>200552B0000</v>
      </c>
      <c r="B3224" t="str">
        <f>"200552B00002"</f>
        <v>200552B00002</v>
      </c>
      <c r="C3224" t="str">
        <f t="shared" si="157"/>
        <v>20</v>
      </c>
      <c r="D3224" t="s">
        <v>67</v>
      </c>
      <c r="E3224" t="str">
        <f t="shared" si="156"/>
        <v>014</v>
      </c>
      <c r="F3224" t="s">
        <v>2914</v>
      </c>
      <c r="G3224" t="str">
        <f>"0552"</f>
        <v>0552</v>
      </c>
      <c r="H3224" t="str">
        <f>"0000"</f>
        <v>0000</v>
      </c>
      <c r="I3224" t="s">
        <v>69</v>
      </c>
      <c r="J3224">
        <v>0</v>
      </c>
      <c r="K3224">
        <v>1</v>
      </c>
      <c r="L3224">
        <v>2</v>
      </c>
      <c r="M3224">
        <v>336</v>
      </c>
      <c r="N3224">
        <v>355</v>
      </c>
      <c r="O3224">
        <v>5</v>
      </c>
      <c r="P3224">
        <v>355</v>
      </c>
      <c r="Q3224">
        <v>35</v>
      </c>
      <c r="R3224">
        <v>73</v>
      </c>
      <c r="S3224">
        <v>7</v>
      </c>
      <c r="T3224">
        <v>5</v>
      </c>
      <c r="U3224">
        <v>14</v>
      </c>
      <c r="V3224">
        <v>12</v>
      </c>
      <c r="W3224">
        <v>7</v>
      </c>
      <c r="X3224">
        <v>155</v>
      </c>
      <c r="Y3224">
        <v>16</v>
      </c>
      <c r="Z3224">
        <v>7</v>
      </c>
      <c r="AA3224">
        <v>1</v>
      </c>
      <c r="AB3224">
        <v>14</v>
      </c>
      <c r="AD3224">
        <v>1</v>
      </c>
      <c r="AE3224">
        <v>1</v>
      </c>
      <c r="AF3224">
        <v>0</v>
      </c>
      <c r="AG3224">
        <v>1</v>
      </c>
      <c r="AH3224">
        <v>0</v>
      </c>
      <c r="AI3224">
        <v>0</v>
      </c>
      <c r="AJ3224">
        <v>6</v>
      </c>
      <c r="AK3224">
        <v>355</v>
      </c>
      <c r="AL3224">
        <v>355</v>
      </c>
      <c r="AM3224">
        <v>647</v>
      </c>
      <c r="AN3224">
        <v>44</v>
      </c>
      <c r="AP3224">
        <v>1</v>
      </c>
      <c r="AR3224" t="s">
        <v>3319</v>
      </c>
      <c r="AS3224" s="1">
        <v>44354.000694444447</v>
      </c>
      <c r="AT3224" s="1">
        <v>44354.012129629627</v>
      </c>
      <c r="AU3224" s="1">
        <v>44354.013298611113</v>
      </c>
      <c r="AV3224" t="s">
        <v>71</v>
      </c>
      <c r="AW3224" t="s">
        <v>72</v>
      </c>
      <c r="AX3224" t="s">
        <v>73</v>
      </c>
    </row>
    <row r="3225" spans="1:50" x14ac:dyDescent="0.3">
      <c r="A3225" t="str">
        <f>"200552C0100"</f>
        <v>200552C0100</v>
      </c>
      <c r="B3225" t="str">
        <f>"200552C01002"</f>
        <v>200552C01002</v>
      </c>
      <c r="C3225" t="str">
        <f t="shared" si="157"/>
        <v>20</v>
      </c>
      <c r="D3225" t="s">
        <v>67</v>
      </c>
      <c r="E3225" t="str">
        <f t="shared" si="156"/>
        <v>014</v>
      </c>
      <c r="F3225" t="s">
        <v>2914</v>
      </c>
      <c r="G3225" t="str">
        <f>"0552"</f>
        <v>0552</v>
      </c>
      <c r="H3225" t="str">
        <f>"0001"</f>
        <v>0001</v>
      </c>
      <c r="I3225" t="s">
        <v>75</v>
      </c>
      <c r="J3225">
        <v>0</v>
      </c>
      <c r="K3225">
        <v>1</v>
      </c>
      <c r="L3225">
        <v>2</v>
      </c>
      <c r="M3225">
        <v>299</v>
      </c>
      <c r="N3225">
        <v>392</v>
      </c>
      <c r="O3225">
        <v>5</v>
      </c>
      <c r="P3225" t="s">
        <v>80</v>
      </c>
      <c r="Q3225">
        <v>34</v>
      </c>
      <c r="R3225">
        <v>110</v>
      </c>
      <c r="S3225">
        <v>6</v>
      </c>
      <c r="T3225">
        <v>7</v>
      </c>
      <c r="U3225">
        <v>9</v>
      </c>
      <c r="V3225">
        <v>10</v>
      </c>
      <c r="W3225">
        <v>6</v>
      </c>
      <c r="X3225">
        <v>152</v>
      </c>
      <c r="Y3225">
        <v>16</v>
      </c>
      <c r="Z3225">
        <v>11</v>
      </c>
      <c r="AA3225">
        <v>4</v>
      </c>
      <c r="AB3225">
        <v>11</v>
      </c>
      <c r="AD3225">
        <v>2</v>
      </c>
      <c r="AE3225">
        <v>2</v>
      </c>
      <c r="AF3225">
        <v>0</v>
      </c>
      <c r="AG3225">
        <v>0</v>
      </c>
      <c r="AH3225">
        <v>1</v>
      </c>
      <c r="AI3225">
        <v>1</v>
      </c>
      <c r="AJ3225">
        <v>9</v>
      </c>
      <c r="AK3225">
        <v>391</v>
      </c>
      <c r="AL3225">
        <v>391</v>
      </c>
      <c r="AM3225">
        <v>647</v>
      </c>
      <c r="AN3225">
        <v>44</v>
      </c>
      <c r="AP3225">
        <v>1</v>
      </c>
      <c r="AR3225" t="s">
        <v>3320</v>
      </c>
      <c r="AS3225" s="1">
        <v>44354.052083333336</v>
      </c>
      <c r="AT3225" s="1">
        <v>44354.059594907405</v>
      </c>
      <c r="AU3225" s="1">
        <v>44354.060289351852</v>
      </c>
      <c r="AV3225" t="s">
        <v>71</v>
      </c>
      <c r="AW3225" t="s">
        <v>72</v>
      </c>
      <c r="AX3225" t="s">
        <v>73</v>
      </c>
    </row>
    <row r="3226" spans="1:50" x14ac:dyDescent="0.3">
      <c r="A3226" t="str">
        <f>"200553B0000"</f>
        <v>200553B0000</v>
      </c>
      <c r="B3226" t="str">
        <f>"200553B00002"</f>
        <v>200553B00002</v>
      </c>
      <c r="C3226" t="str">
        <f t="shared" si="157"/>
        <v>20</v>
      </c>
      <c r="D3226" t="s">
        <v>67</v>
      </c>
      <c r="E3226" t="str">
        <f t="shared" si="156"/>
        <v>014</v>
      </c>
      <c r="F3226" t="s">
        <v>2914</v>
      </c>
      <c r="G3226" t="str">
        <f>"0553"</f>
        <v>0553</v>
      </c>
      <c r="H3226" t="str">
        <f>"0000"</f>
        <v>0000</v>
      </c>
      <c r="I3226" t="s">
        <v>69</v>
      </c>
      <c r="J3226">
        <v>0</v>
      </c>
      <c r="K3226">
        <v>1</v>
      </c>
      <c r="L3226">
        <v>2</v>
      </c>
      <c r="M3226">
        <v>286</v>
      </c>
      <c r="N3226">
        <v>278</v>
      </c>
      <c r="O3226">
        <v>4</v>
      </c>
      <c r="P3226">
        <v>276</v>
      </c>
      <c r="Q3226">
        <v>16</v>
      </c>
      <c r="R3226">
        <v>56</v>
      </c>
      <c r="S3226">
        <v>2</v>
      </c>
      <c r="T3226">
        <v>11</v>
      </c>
      <c r="U3226">
        <v>5</v>
      </c>
      <c r="V3226">
        <v>6</v>
      </c>
      <c r="W3226">
        <v>2</v>
      </c>
      <c r="X3226">
        <v>147</v>
      </c>
      <c r="Y3226">
        <v>2</v>
      </c>
      <c r="Z3226">
        <v>6</v>
      </c>
      <c r="AA3226">
        <v>4</v>
      </c>
      <c r="AB3226">
        <v>9</v>
      </c>
      <c r="AD3226">
        <v>2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8</v>
      </c>
      <c r="AK3226">
        <v>276</v>
      </c>
      <c r="AL3226">
        <v>276</v>
      </c>
      <c r="AM3226">
        <v>521</v>
      </c>
      <c r="AN3226">
        <v>44</v>
      </c>
      <c r="AP3226">
        <v>1</v>
      </c>
      <c r="AR3226" t="s">
        <v>3321</v>
      </c>
      <c r="AS3226" s="1">
        <v>44354.115972222222</v>
      </c>
      <c r="AT3226" s="1">
        <v>44354.118692129632</v>
      </c>
      <c r="AU3226" s="1">
        <v>44354.119432870371</v>
      </c>
      <c r="AV3226" t="s">
        <v>71</v>
      </c>
      <c r="AW3226" t="s">
        <v>72</v>
      </c>
      <c r="AX3226" t="s">
        <v>73</v>
      </c>
    </row>
    <row r="3227" spans="1:50" x14ac:dyDescent="0.3">
      <c r="A3227" t="str">
        <f>"200553C0100"</f>
        <v>200553C0100</v>
      </c>
      <c r="B3227" t="str">
        <f>"200553C01002"</f>
        <v>200553C01002</v>
      </c>
      <c r="C3227" t="str">
        <f t="shared" si="157"/>
        <v>20</v>
      </c>
      <c r="D3227" t="s">
        <v>67</v>
      </c>
      <c r="E3227" t="str">
        <f t="shared" si="156"/>
        <v>014</v>
      </c>
      <c r="F3227" t="s">
        <v>2914</v>
      </c>
      <c r="G3227" t="str">
        <f>"0553"</f>
        <v>0553</v>
      </c>
      <c r="H3227" t="str">
        <f>"0001"</f>
        <v>0001</v>
      </c>
      <c r="I3227" t="s">
        <v>75</v>
      </c>
      <c r="J3227">
        <v>0</v>
      </c>
      <c r="K3227">
        <v>1</v>
      </c>
      <c r="L3227">
        <v>2</v>
      </c>
      <c r="M3227">
        <v>298</v>
      </c>
      <c r="N3227">
        <v>266</v>
      </c>
      <c r="O3227">
        <v>3</v>
      </c>
      <c r="P3227">
        <v>266</v>
      </c>
      <c r="Q3227">
        <v>11</v>
      </c>
      <c r="R3227">
        <v>39</v>
      </c>
      <c r="S3227">
        <v>2</v>
      </c>
      <c r="T3227">
        <v>18</v>
      </c>
      <c r="U3227">
        <v>10</v>
      </c>
      <c r="V3227">
        <v>6</v>
      </c>
      <c r="W3227">
        <v>1</v>
      </c>
      <c r="X3227">
        <v>147</v>
      </c>
      <c r="Y3227">
        <v>6</v>
      </c>
      <c r="Z3227">
        <v>6</v>
      </c>
      <c r="AA3227">
        <v>1</v>
      </c>
      <c r="AB3227">
        <v>8</v>
      </c>
      <c r="AD3227">
        <v>1</v>
      </c>
      <c r="AE3227">
        <v>1</v>
      </c>
      <c r="AF3227">
        <v>0</v>
      </c>
      <c r="AG3227">
        <v>0</v>
      </c>
      <c r="AH3227">
        <v>0</v>
      </c>
      <c r="AI3227">
        <v>0</v>
      </c>
      <c r="AJ3227">
        <v>9</v>
      </c>
      <c r="AK3227">
        <v>266</v>
      </c>
      <c r="AL3227">
        <v>266</v>
      </c>
      <c r="AM3227">
        <v>520</v>
      </c>
      <c r="AN3227">
        <v>44</v>
      </c>
      <c r="AP3227">
        <v>1</v>
      </c>
      <c r="AR3227" t="s">
        <v>3322</v>
      </c>
      <c r="AS3227" s="1">
        <v>44354.115972222222</v>
      </c>
      <c r="AT3227" s="1">
        <v>44354.119872685187</v>
      </c>
      <c r="AU3227" s="1">
        <v>44354.120393518519</v>
      </c>
      <c r="AV3227" t="s">
        <v>71</v>
      </c>
      <c r="AW3227" t="s">
        <v>72</v>
      </c>
      <c r="AX3227" t="s">
        <v>73</v>
      </c>
    </row>
    <row r="3228" spans="1:50" x14ac:dyDescent="0.3">
      <c r="A3228" t="str">
        <f>"200553C0200"</f>
        <v>200553C0200</v>
      </c>
      <c r="B3228" t="str">
        <f>"200553C02002"</f>
        <v>200553C02002</v>
      </c>
      <c r="C3228" t="str">
        <f t="shared" si="157"/>
        <v>20</v>
      </c>
      <c r="D3228" t="s">
        <v>67</v>
      </c>
      <c r="E3228" t="str">
        <f t="shared" si="156"/>
        <v>014</v>
      </c>
      <c r="F3228" t="s">
        <v>2914</v>
      </c>
      <c r="G3228" t="str">
        <f>"0553"</f>
        <v>0553</v>
      </c>
      <c r="H3228" t="str">
        <f>"0002"</f>
        <v>0002</v>
      </c>
      <c r="I3228" t="s">
        <v>75</v>
      </c>
      <c r="J3228">
        <v>0</v>
      </c>
      <c r="K3228">
        <v>1</v>
      </c>
      <c r="L3228">
        <v>2</v>
      </c>
      <c r="M3228">
        <v>297</v>
      </c>
      <c r="N3228">
        <v>267</v>
      </c>
      <c r="O3228">
        <v>1</v>
      </c>
      <c r="P3228">
        <v>267</v>
      </c>
      <c r="Q3228">
        <v>24</v>
      </c>
      <c r="R3228">
        <v>51</v>
      </c>
      <c r="S3228">
        <v>2</v>
      </c>
      <c r="T3228">
        <v>16</v>
      </c>
      <c r="U3228">
        <v>11</v>
      </c>
      <c r="V3228">
        <v>6</v>
      </c>
      <c r="W3228">
        <v>3</v>
      </c>
      <c r="X3228">
        <v>115</v>
      </c>
      <c r="Y3228">
        <v>4</v>
      </c>
      <c r="Z3228">
        <v>7</v>
      </c>
      <c r="AA3228">
        <v>2</v>
      </c>
      <c r="AB3228">
        <v>11</v>
      </c>
      <c r="AD3228">
        <v>2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13</v>
      </c>
      <c r="AK3228">
        <v>267</v>
      </c>
      <c r="AL3228">
        <v>267</v>
      </c>
      <c r="AM3228">
        <v>520</v>
      </c>
      <c r="AN3228">
        <v>44</v>
      </c>
      <c r="AP3228">
        <v>1</v>
      </c>
      <c r="AR3228" t="s">
        <v>3323</v>
      </c>
      <c r="AS3228" s="1">
        <v>44354.115972222222</v>
      </c>
      <c r="AT3228" s="1">
        <v>44354.118738425925</v>
      </c>
      <c r="AU3228" s="1">
        <v>44354.119722222225</v>
      </c>
      <c r="AV3228" t="s">
        <v>71</v>
      </c>
      <c r="AW3228" t="s">
        <v>72</v>
      </c>
      <c r="AX3228" t="s">
        <v>73</v>
      </c>
    </row>
    <row r="3229" spans="1:50" x14ac:dyDescent="0.3">
      <c r="A3229" t="str">
        <f>"200553S0100"</f>
        <v>200553S0100</v>
      </c>
      <c r="B3229" t="str">
        <f>"200553S01002EMR"</f>
        <v>200553S01002EMR</v>
      </c>
      <c r="C3229" t="str">
        <f t="shared" si="157"/>
        <v>20</v>
      </c>
      <c r="D3229" t="s">
        <v>67</v>
      </c>
      <c r="E3229" t="str">
        <f t="shared" si="156"/>
        <v>014</v>
      </c>
      <c r="F3229" t="s">
        <v>2914</v>
      </c>
      <c r="G3229" t="str">
        <f>"0553"</f>
        <v>0553</v>
      </c>
      <c r="H3229" t="str">
        <f>"0001"</f>
        <v>0001</v>
      </c>
      <c r="I3229" t="s">
        <v>85</v>
      </c>
      <c r="J3229">
        <v>0</v>
      </c>
      <c r="K3229">
        <v>1</v>
      </c>
      <c r="L3229" t="s">
        <v>86</v>
      </c>
      <c r="M3229">
        <v>366</v>
      </c>
      <c r="N3229">
        <v>23</v>
      </c>
      <c r="O3229">
        <v>0</v>
      </c>
      <c r="P3229">
        <v>23</v>
      </c>
      <c r="Q3229">
        <v>3</v>
      </c>
      <c r="R3229">
        <v>2</v>
      </c>
      <c r="S3229">
        <v>1</v>
      </c>
      <c r="T3229">
        <v>1</v>
      </c>
      <c r="U3229">
        <v>1</v>
      </c>
      <c r="V3229">
        <v>1</v>
      </c>
      <c r="W3229">
        <v>1</v>
      </c>
      <c r="X3229">
        <v>11</v>
      </c>
      <c r="Y3229">
        <v>1</v>
      </c>
      <c r="Z3229">
        <v>0</v>
      </c>
      <c r="AA3229">
        <v>0</v>
      </c>
      <c r="AB3229">
        <v>0</v>
      </c>
      <c r="AD3229" t="s">
        <v>77</v>
      </c>
      <c r="AE3229" t="s">
        <v>77</v>
      </c>
      <c r="AF3229" t="s">
        <v>77</v>
      </c>
      <c r="AG3229" t="s">
        <v>77</v>
      </c>
      <c r="AH3229" t="s">
        <v>77</v>
      </c>
      <c r="AI3229" t="s">
        <v>77</v>
      </c>
      <c r="AJ3229">
        <v>1</v>
      </c>
      <c r="AK3229">
        <v>23</v>
      </c>
      <c r="AL3229">
        <v>23</v>
      </c>
      <c r="AM3229">
        <v>0</v>
      </c>
      <c r="AN3229">
        <v>44</v>
      </c>
      <c r="AO3229" t="s">
        <v>78</v>
      </c>
      <c r="AP3229">
        <v>1</v>
      </c>
      <c r="AR3229" t="s">
        <v>3324</v>
      </c>
      <c r="AS3229" s="1">
        <v>44354.0625</v>
      </c>
      <c r="AT3229" s="1">
        <v>44354.248935185184</v>
      </c>
      <c r="AU3229" s="1">
        <v>44354.249351851853</v>
      </c>
      <c r="AV3229" t="s">
        <v>71</v>
      </c>
      <c r="AW3229" t="s">
        <v>72</v>
      </c>
      <c r="AX3229" t="s">
        <v>73</v>
      </c>
    </row>
    <row r="3230" spans="1:50" x14ac:dyDescent="0.3">
      <c r="A3230" t="str">
        <f>"200554B0000"</f>
        <v>200554B0000</v>
      </c>
      <c r="B3230" t="str">
        <f>"200554B00002"</f>
        <v>200554B00002</v>
      </c>
      <c r="C3230" t="str">
        <f t="shared" si="157"/>
        <v>20</v>
      </c>
      <c r="D3230" t="s">
        <v>67</v>
      </c>
      <c r="E3230" t="str">
        <f t="shared" si="156"/>
        <v>014</v>
      </c>
      <c r="F3230" t="s">
        <v>2914</v>
      </c>
      <c r="G3230" t="str">
        <f>"0554"</f>
        <v>0554</v>
      </c>
      <c r="H3230" t="str">
        <f>"0000"</f>
        <v>0000</v>
      </c>
      <c r="I3230" t="s">
        <v>69</v>
      </c>
      <c r="J3230">
        <v>0</v>
      </c>
      <c r="K3230">
        <v>1</v>
      </c>
      <c r="L3230">
        <v>2</v>
      </c>
      <c r="M3230">
        <v>214</v>
      </c>
      <c r="N3230">
        <v>298</v>
      </c>
      <c r="O3230">
        <v>6</v>
      </c>
      <c r="P3230">
        <v>298</v>
      </c>
      <c r="Q3230">
        <v>31</v>
      </c>
      <c r="R3230">
        <v>80</v>
      </c>
      <c r="S3230">
        <v>2</v>
      </c>
      <c r="T3230">
        <v>3</v>
      </c>
      <c r="U3230">
        <v>5</v>
      </c>
      <c r="V3230">
        <v>9</v>
      </c>
      <c r="W3230">
        <v>1</v>
      </c>
      <c r="X3230">
        <v>133</v>
      </c>
      <c r="Y3230">
        <v>8</v>
      </c>
      <c r="Z3230">
        <v>3</v>
      </c>
      <c r="AA3230">
        <v>0</v>
      </c>
      <c r="AB3230">
        <v>13</v>
      </c>
      <c r="AD3230">
        <v>3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7</v>
      </c>
      <c r="AK3230">
        <v>298</v>
      </c>
      <c r="AL3230">
        <v>298</v>
      </c>
      <c r="AM3230">
        <v>468</v>
      </c>
      <c r="AN3230">
        <v>44</v>
      </c>
      <c r="AP3230">
        <v>1</v>
      </c>
      <c r="AR3230" t="s">
        <v>3325</v>
      </c>
      <c r="AS3230" s="1">
        <v>44354.004166666666</v>
      </c>
      <c r="AT3230" s="1">
        <v>44354.028136574074</v>
      </c>
      <c r="AU3230" s="1">
        <v>44354.028726851851</v>
      </c>
      <c r="AV3230" t="s">
        <v>71</v>
      </c>
      <c r="AW3230" t="s">
        <v>72</v>
      </c>
      <c r="AX3230" t="s">
        <v>73</v>
      </c>
    </row>
    <row r="3231" spans="1:50" x14ac:dyDescent="0.3">
      <c r="A3231" t="str">
        <f>"200554C0100"</f>
        <v>200554C0100</v>
      </c>
      <c r="B3231" t="str">
        <f>"200554C01002"</f>
        <v>200554C01002</v>
      </c>
      <c r="C3231" t="str">
        <f t="shared" si="157"/>
        <v>20</v>
      </c>
      <c r="D3231" t="s">
        <v>67</v>
      </c>
      <c r="E3231" t="str">
        <f t="shared" si="156"/>
        <v>014</v>
      </c>
      <c r="F3231" t="s">
        <v>2914</v>
      </c>
      <c r="G3231" t="str">
        <f>"0554"</f>
        <v>0554</v>
      </c>
      <c r="H3231" t="str">
        <f>"0001"</f>
        <v>0001</v>
      </c>
      <c r="I3231" t="s">
        <v>75</v>
      </c>
      <c r="J3231">
        <v>0</v>
      </c>
      <c r="K3231">
        <v>1</v>
      </c>
      <c r="L3231">
        <v>2</v>
      </c>
      <c r="M3231">
        <v>225</v>
      </c>
      <c r="N3231">
        <v>288</v>
      </c>
      <c r="O3231">
        <v>7</v>
      </c>
      <c r="P3231">
        <v>286</v>
      </c>
      <c r="Q3231">
        <v>24</v>
      </c>
      <c r="R3231">
        <v>78</v>
      </c>
      <c r="S3231">
        <v>1</v>
      </c>
      <c r="T3231">
        <v>4</v>
      </c>
      <c r="U3231">
        <v>8</v>
      </c>
      <c r="V3231">
        <v>6</v>
      </c>
      <c r="W3231">
        <v>3</v>
      </c>
      <c r="X3231">
        <v>136</v>
      </c>
      <c r="Y3231">
        <v>5</v>
      </c>
      <c r="Z3231">
        <v>5</v>
      </c>
      <c r="AA3231">
        <v>1</v>
      </c>
      <c r="AB3231">
        <v>10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5</v>
      </c>
      <c r="AK3231">
        <v>286</v>
      </c>
      <c r="AL3231">
        <v>286</v>
      </c>
      <c r="AM3231">
        <v>467</v>
      </c>
      <c r="AN3231">
        <v>44</v>
      </c>
      <c r="AP3231">
        <v>1</v>
      </c>
      <c r="AR3231" t="s">
        <v>3326</v>
      </c>
      <c r="AS3231" s="1">
        <v>44354.085416666669</v>
      </c>
      <c r="AT3231" s="1">
        <v>44354.096388888887</v>
      </c>
      <c r="AU3231" s="1">
        <v>44354.096620370372</v>
      </c>
      <c r="AV3231" t="s">
        <v>71</v>
      </c>
      <c r="AW3231" t="s">
        <v>72</v>
      </c>
      <c r="AX3231" t="s">
        <v>73</v>
      </c>
    </row>
    <row r="3232" spans="1:50" x14ac:dyDescent="0.3">
      <c r="A3232" t="str">
        <f>"200555B0000"</f>
        <v>200555B0000</v>
      </c>
      <c r="B3232" t="str">
        <f>"200555B00002"</f>
        <v>200555B00002</v>
      </c>
      <c r="C3232" t="str">
        <f t="shared" si="157"/>
        <v>20</v>
      </c>
      <c r="D3232" t="s">
        <v>67</v>
      </c>
      <c r="E3232" t="str">
        <f t="shared" si="156"/>
        <v>014</v>
      </c>
      <c r="F3232" t="s">
        <v>2914</v>
      </c>
      <c r="G3232" t="str">
        <f>"0555"</f>
        <v>0555</v>
      </c>
      <c r="H3232" t="str">
        <f>"0000"</f>
        <v>0000</v>
      </c>
      <c r="I3232" t="s">
        <v>69</v>
      </c>
      <c r="J3232">
        <v>0</v>
      </c>
      <c r="K3232">
        <v>1</v>
      </c>
      <c r="L3232">
        <v>2</v>
      </c>
      <c r="M3232">
        <v>191</v>
      </c>
      <c r="N3232">
        <v>310</v>
      </c>
      <c r="O3232">
        <v>3</v>
      </c>
      <c r="P3232">
        <v>309</v>
      </c>
      <c r="Q3232">
        <v>78</v>
      </c>
      <c r="R3232">
        <v>79</v>
      </c>
      <c r="S3232">
        <v>5</v>
      </c>
      <c r="T3232">
        <v>4</v>
      </c>
      <c r="U3232">
        <v>6</v>
      </c>
      <c r="V3232">
        <v>9</v>
      </c>
      <c r="W3232">
        <v>5</v>
      </c>
      <c r="X3232">
        <v>85</v>
      </c>
      <c r="Y3232">
        <v>7</v>
      </c>
      <c r="Z3232">
        <v>3</v>
      </c>
      <c r="AA3232">
        <v>3</v>
      </c>
      <c r="AB3232">
        <v>8</v>
      </c>
      <c r="AD3232">
        <v>2</v>
      </c>
      <c r="AE3232">
        <v>3</v>
      </c>
      <c r="AF3232">
        <v>0</v>
      </c>
      <c r="AG3232">
        <v>0</v>
      </c>
      <c r="AH3232">
        <v>0</v>
      </c>
      <c r="AI3232">
        <v>0</v>
      </c>
      <c r="AJ3232">
        <v>12</v>
      </c>
      <c r="AK3232">
        <v>309</v>
      </c>
      <c r="AL3232">
        <v>309</v>
      </c>
      <c r="AM3232">
        <v>456</v>
      </c>
      <c r="AN3232">
        <v>44</v>
      </c>
      <c r="AP3232">
        <v>1</v>
      </c>
      <c r="AR3232" t="s">
        <v>3327</v>
      </c>
      <c r="AS3232" s="1">
        <v>44354.081250000003</v>
      </c>
      <c r="AT3232" s="1">
        <v>44354.097569444442</v>
      </c>
      <c r="AU3232" s="1">
        <v>44354.098263888889</v>
      </c>
      <c r="AV3232" t="s">
        <v>71</v>
      </c>
      <c r="AW3232" t="s">
        <v>72</v>
      </c>
      <c r="AX3232" t="s">
        <v>73</v>
      </c>
    </row>
    <row r="3233" spans="1:50" x14ac:dyDescent="0.3">
      <c r="A3233" t="str">
        <f>"200555C0100"</f>
        <v>200555C0100</v>
      </c>
      <c r="B3233" t="str">
        <f>"200555C01002"</f>
        <v>200555C01002</v>
      </c>
      <c r="C3233" t="str">
        <f t="shared" si="157"/>
        <v>20</v>
      </c>
      <c r="D3233" t="s">
        <v>67</v>
      </c>
      <c r="E3233" t="str">
        <f t="shared" si="156"/>
        <v>014</v>
      </c>
      <c r="F3233" t="s">
        <v>2914</v>
      </c>
      <c r="G3233" t="str">
        <f>"0555"</f>
        <v>0555</v>
      </c>
      <c r="H3233" t="str">
        <f>"0001"</f>
        <v>0001</v>
      </c>
      <c r="I3233" t="s">
        <v>75</v>
      </c>
      <c r="J3233">
        <v>0</v>
      </c>
      <c r="K3233">
        <v>1</v>
      </c>
      <c r="L3233">
        <v>2</v>
      </c>
      <c r="M3233">
        <v>207</v>
      </c>
      <c r="N3233">
        <v>293</v>
      </c>
      <c r="O3233">
        <v>7</v>
      </c>
      <c r="P3233">
        <v>293</v>
      </c>
      <c r="Q3233">
        <v>65</v>
      </c>
      <c r="R3233">
        <v>89</v>
      </c>
      <c r="S3233">
        <v>4</v>
      </c>
      <c r="T3233">
        <v>6</v>
      </c>
      <c r="U3233">
        <v>3</v>
      </c>
      <c r="V3233">
        <v>5</v>
      </c>
      <c r="W3233">
        <v>5</v>
      </c>
      <c r="X3233">
        <v>86</v>
      </c>
      <c r="Y3233">
        <v>3</v>
      </c>
      <c r="Z3233">
        <v>4</v>
      </c>
      <c r="AA3233">
        <v>2</v>
      </c>
      <c r="AB3233">
        <v>7</v>
      </c>
      <c r="AD3233">
        <v>2</v>
      </c>
      <c r="AE3233">
        <v>2</v>
      </c>
      <c r="AF3233">
        <v>0</v>
      </c>
      <c r="AG3233">
        <v>0</v>
      </c>
      <c r="AH3233">
        <v>0</v>
      </c>
      <c r="AI3233">
        <v>1</v>
      </c>
      <c r="AJ3233">
        <v>9</v>
      </c>
      <c r="AK3233">
        <v>293</v>
      </c>
      <c r="AL3233">
        <v>293</v>
      </c>
      <c r="AM3233">
        <v>456</v>
      </c>
      <c r="AN3233">
        <v>44</v>
      </c>
      <c r="AP3233">
        <v>1</v>
      </c>
      <c r="AR3233" t="s">
        <v>3328</v>
      </c>
      <c r="AS3233" s="1">
        <v>44354.081944444442</v>
      </c>
      <c r="AT3233" s="1">
        <v>44354.096412037034</v>
      </c>
      <c r="AU3233" s="1">
        <v>44354.096712962964</v>
      </c>
      <c r="AV3233" t="s">
        <v>71</v>
      </c>
      <c r="AW3233" t="s">
        <v>72</v>
      </c>
      <c r="AX3233" t="s">
        <v>73</v>
      </c>
    </row>
    <row r="3234" spans="1:50" x14ac:dyDescent="0.3">
      <c r="A3234" t="str">
        <f>"200556B0000"</f>
        <v>200556B0000</v>
      </c>
      <c r="B3234" t="str">
        <f>"200556B00002"</f>
        <v>200556B00002</v>
      </c>
      <c r="C3234" t="str">
        <f t="shared" si="157"/>
        <v>20</v>
      </c>
      <c r="D3234" t="s">
        <v>67</v>
      </c>
      <c r="E3234" t="str">
        <f t="shared" si="156"/>
        <v>014</v>
      </c>
      <c r="F3234" t="s">
        <v>2914</v>
      </c>
      <c r="G3234" t="str">
        <f>"0556"</f>
        <v>0556</v>
      </c>
      <c r="H3234" t="str">
        <f>"0000"</f>
        <v>0000</v>
      </c>
      <c r="I3234" t="s">
        <v>69</v>
      </c>
      <c r="J3234">
        <v>0</v>
      </c>
      <c r="K3234">
        <v>1</v>
      </c>
      <c r="L3234">
        <v>2</v>
      </c>
      <c r="M3234">
        <v>353</v>
      </c>
      <c r="N3234">
        <v>417</v>
      </c>
      <c r="O3234">
        <v>7</v>
      </c>
      <c r="P3234">
        <v>415</v>
      </c>
      <c r="Q3234">
        <v>73</v>
      </c>
      <c r="R3234">
        <v>120</v>
      </c>
      <c r="S3234">
        <v>7</v>
      </c>
      <c r="T3234">
        <v>9</v>
      </c>
      <c r="U3234">
        <v>6</v>
      </c>
      <c r="V3234">
        <v>10</v>
      </c>
      <c r="W3234">
        <v>10</v>
      </c>
      <c r="X3234">
        <v>134</v>
      </c>
      <c r="Y3234">
        <v>5</v>
      </c>
      <c r="Z3234">
        <v>5</v>
      </c>
      <c r="AA3234">
        <v>8</v>
      </c>
      <c r="AB3234">
        <v>11</v>
      </c>
      <c r="AD3234">
        <v>4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13</v>
      </c>
      <c r="AK3234">
        <v>415</v>
      </c>
      <c r="AL3234">
        <v>415</v>
      </c>
      <c r="AM3234">
        <v>724</v>
      </c>
      <c r="AN3234">
        <v>44</v>
      </c>
      <c r="AP3234">
        <v>1</v>
      </c>
      <c r="AR3234" t="s">
        <v>3329</v>
      </c>
      <c r="AS3234" s="1">
        <v>44354.004166666666</v>
      </c>
      <c r="AT3234" s="1">
        <v>44354.026979166665</v>
      </c>
      <c r="AU3234" s="1">
        <v>44354.027615740742</v>
      </c>
      <c r="AV3234" t="s">
        <v>71</v>
      </c>
      <c r="AW3234" t="s">
        <v>72</v>
      </c>
      <c r="AX3234" t="s">
        <v>73</v>
      </c>
    </row>
    <row r="3235" spans="1:50" x14ac:dyDescent="0.3">
      <c r="A3235" t="str">
        <f>"200557B0000"</f>
        <v>200557B0000</v>
      </c>
      <c r="B3235" t="str">
        <f>"200557B00002"</f>
        <v>200557B00002</v>
      </c>
      <c r="C3235" t="str">
        <f t="shared" si="157"/>
        <v>20</v>
      </c>
      <c r="D3235" t="s">
        <v>67</v>
      </c>
      <c r="E3235" t="str">
        <f t="shared" ref="E3235:E3268" si="158">"014"</f>
        <v>014</v>
      </c>
      <c r="F3235" t="s">
        <v>2914</v>
      </c>
      <c r="G3235" t="str">
        <f>"0557"</f>
        <v>0557</v>
      </c>
      <c r="H3235" t="str">
        <f>"0000"</f>
        <v>0000</v>
      </c>
      <c r="I3235" t="s">
        <v>69</v>
      </c>
      <c r="J3235">
        <v>0</v>
      </c>
      <c r="K3235">
        <v>1</v>
      </c>
      <c r="L3235">
        <v>2</v>
      </c>
      <c r="M3235">
        <v>287</v>
      </c>
      <c r="N3235">
        <v>213</v>
      </c>
      <c r="O3235">
        <v>1</v>
      </c>
      <c r="P3235">
        <v>213</v>
      </c>
      <c r="Q3235">
        <v>14</v>
      </c>
      <c r="R3235">
        <v>39</v>
      </c>
      <c r="S3235">
        <v>2</v>
      </c>
      <c r="T3235">
        <v>3</v>
      </c>
      <c r="U3235">
        <v>4</v>
      </c>
      <c r="V3235">
        <v>6</v>
      </c>
      <c r="W3235">
        <v>2</v>
      </c>
      <c r="X3235">
        <v>110</v>
      </c>
      <c r="Y3235">
        <v>5</v>
      </c>
      <c r="Z3235">
        <v>5</v>
      </c>
      <c r="AA3235">
        <v>1</v>
      </c>
      <c r="AB3235">
        <v>10</v>
      </c>
      <c r="AD3235">
        <v>1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11</v>
      </c>
      <c r="AK3235">
        <v>213</v>
      </c>
      <c r="AL3235">
        <v>213</v>
      </c>
      <c r="AM3235">
        <v>456</v>
      </c>
      <c r="AN3235">
        <v>44</v>
      </c>
      <c r="AP3235">
        <v>1</v>
      </c>
      <c r="AR3235" t="s">
        <v>3330</v>
      </c>
      <c r="AS3235" s="1">
        <v>44353.85</v>
      </c>
      <c r="AT3235" s="1">
        <v>44354.021296296298</v>
      </c>
      <c r="AU3235" s="1">
        <v>44354.021932870368</v>
      </c>
      <c r="AV3235" t="s">
        <v>71</v>
      </c>
      <c r="AW3235" t="s">
        <v>72</v>
      </c>
      <c r="AX3235" t="s">
        <v>73</v>
      </c>
    </row>
    <row r="3236" spans="1:50" x14ac:dyDescent="0.3">
      <c r="A3236" t="str">
        <f>"200557C0100"</f>
        <v>200557C0100</v>
      </c>
      <c r="B3236" t="str">
        <f>"200557C01002"</f>
        <v>200557C01002</v>
      </c>
      <c r="C3236" t="str">
        <f t="shared" si="157"/>
        <v>20</v>
      </c>
      <c r="D3236" t="s">
        <v>67</v>
      </c>
      <c r="E3236" t="str">
        <f t="shared" si="158"/>
        <v>014</v>
      </c>
      <c r="F3236" t="s">
        <v>2914</v>
      </c>
      <c r="G3236" t="str">
        <f>"0557"</f>
        <v>0557</v>
      </c>
      <c r="H3236" t="str">
        <f>"0001"</f>
        <v>0001</v>
      </c>
      <c r="I3236" t="s">
        <v>75</v>
      </c>
      <c r="J3236">
        <v>0</v>
      </c>
      <c r="K3236">
        <v>1</v>
      </c>
      <c r="L3236">
        <v>2</v>
      </c>
      <c r="M3236">
        <v>272</v>
      </c>
      <c r="N3236">
        <v>227</v>
      </c>
      <c r="O3236">
        <v>0</v>
      </c>
      <c r="P3236">
        <v>227</v>
      </c>
      <c r="Q3236">
        <v>17</v>
      </c>
      <c r="R3236">
        <v>52</v>
      </c>
      <c r="S3236">
        <v>5</v>
      </c>
      <c r="T3236">
        <v>5</v>
      </c>
      <c r="U3236">
        <v>6</v>
      </c>
      <c r="V3236">
        <v>2</v>
      </c>
      <c r="W3236">
        <v>1</v>
      </c>
      <c r="X3236">
        <v>116</v>
      </c>
      <c r="Y3236">
        <v>1</v>
      </c>
      <c r="Z3236">
        <v>4</v>
      </c>
      <c r="AA3236">
        <v>3</v>
      </c>
      <c r="AB3236">
        <v>5</v>
      </c>
      <c r="AD3236">
        <v>3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7</v>
      </c>
      <c r="AK3236">
        <v>227</v>
      </c>
      <c r="AL3236">
        <v>227</v>
      </c>
      <c r="AM3236">
        <v>455</v>
      </c>
      <c r="AN3236">
        <v>44</v>
      </c>
      <c r="AP3236">
        <v>1</v>
      </c>
      <c r="AR3236" t="s">
        <v>3331</v>
      </c>
      <c r="AS3236" s="1">
        <v>44353.917361111111</v>
      </c>
      <c r="AT3236" s="1">
        <v>44353.92082175926</v>
      </c>
      <c r="AU3236" s="1">
        <v>44353.9216087963</v>
      </c>
      <c r="AV3236" t="s">
        <v>71</v>
      </c>
      <c r="AW3236" t="s">
        <v>72</v>
      </c>
      <c r="AX3236" t="s">
        <v>73</v>
      </c>
    </row>
    <row r="3237" spans="1:50" x14ac:dyDescent="0.3">
      <c r="A3237" t="str">
        <f>"200569B0000"</f>
        <v>200569B0000</v>
      </c>
      <c r="B3237" t="str">
        <f>"200569B00002"</f>
        <v>200569B00002</v>
      </c>
      <c r="C3237" t="str">
        <f t="shared" si="157"/>
        <v>20</v>
      </c>
      <c r="D3237" t="s">
        <v>67</v>
      </c>
      <c r="E3237" t="str">
        <f t="shared" si="158"/>
        <v>014</v>
      </c>
      <c r="F3237" t="s">
        <v>2914</v>
      </c>
      <c r="G3237" t="str">
        <f>"0569"</f>
        <v>0569</v>
      </c>
      <c r="H3237" t="str">
        <f>"0000"</f>
        <v>0000</v>
      </c>
      <c r="I3237" t="s">
        <v>69</v>
      </c>
      <c r="J3237">
        <v>0</v>
      </c>
      <c r="K3237">
        <v>1</v>
      </c>
      <c r="L3237">
        <v>2</v>
      </c>
      <c r="M3237">
        <v>262</v>
      </c>
      <c r="N3237">
        <v>279</v>
      </c>
      <c r="O3237">
        <v>1</v>
      </c>
      <c r="P3237">
        <v>279</v>
      </c>
      <c r="Q3237">
        <v>30</v>
      </c>
      <c r="R3237">
        <v>72</v>
      </c>
      <c r="S3237">
        <v>2</v>
      </c>
      <c r="T3237">
        <v>3</v>
      </c>
      <c r="U3237">
        <v>4</v>
      </c>
      <c r="V3237">
        <v>3</v>
      </c>
      <c r="W3237">
        <v>3</v>
      </c>
      <c r="X3237">
        <v>133</v>
      </c>
      <c r="Y3237">
        <v>2</v>
      </c>
      <c r="Z3237">
        <v>5</v>
      </c>
      <c r="AA3237">
        <v>1</v>
      </c>
      <c r="AB3237">
        <v>12</v>
      </c>
      <c r="AD3237">
        <v>2</v>
      </c>
      <c r="AE3237">
        <v>1</v>
      </c>
      <c r="AF3237">
        <v>0</v>
      </c>
      <c r="AG3237">
        <v>0</v>
      </c>
      <c r="AH3237">
        <v>0</v>
      </c>
      <c r="AI3237">
        <v>0</v>
      </c>
      <c r="AJ3237">
        <v>6</v>
      </c>
      <c r="AK3237">
        <v>279</v>
      </c>
      <c r="AL3237">
        <v>279</v>
      </c>
      <c r="AM3237">
        <v>497</v>
      </c>
      <c r="AN3237">
        <v>44</v>
      </c>
      <c r="AP3237">
        <v>1</v>
      </c>
      <c r="AR3237" t="s">
        <v>3332</v>
      </c>
      <c r="AS3237" s="1">
        <v>44354.061805555553</v>
      </c>
      <c r="AT3237" s="1">
        <v>44354.074525462966</v>
      </c>
      <c r="AU3237" s="1">
        <v>44354.075046296297</v>
      </c>
      <c r="AV3237" t="s">
        <v>71</v>
      </c>
      <c r="AW3237" t="s">
        <v>72</v>
      </c>
      <c r="AX3237" t="s">
        <v>73</v>
      </c>
    </row>
    <row r="3238" spans="1:50" x14ac:dyDescent="0.3">
      <c r="A3238" t="str">
        <f>"200569C0100"</f>
        <v>200569C0100</v>
      </c>
      <c r="B3238" t="str">
        <f>"200569C01002"</f>
        <v>200569C01002</v>
      </c>
      <c r="C3238" t="str">
        <f t="shared" si="157"/>
        <v>20</v>
      </c>
      <c r="D3238" t="s">
        <v>67</v>
      </c>
      <c r="E3238" t="str">
        <f t="shared" si="158"/>
        <v>014</v>
      </c>
      <c r="F3238" t="s">
        <v>2914</v>
      </c>
      <c r="G3238" t="str">
        <f>"0569"</f>
        <v>0569</v>
      </c>
      <c r="H3238" t="str">
        <f>"0001"</f>
        <v>0001</v>
      </c>
      <c r="I3238" t="s">
        <v>75</v>
      </c>
      <c r="J3238">
        <v>0</v>
      </c>
      <c r="K3238">
        <v>1</v>
      </c>
      <c r="L3238">
        <v>2</v>
      </c>
      <c r="M3238">
        <v>245</v>
      </c>
      <c r="N3238">
        <v>296</v>
      </c>
      <c r="O3238">
        <v>3</v>
      </c>
      <c r="P3238">
        <v>296</v>
      </c>
      <c r="Q3238">
        <v>31</v>
      </c>
      <c r="R3238">
        <v>67</v>
      </c>
      <c r="S3238">
        <v>5</v>
      </c>
      <c r="T3238">
        <v>3</v>
      </c>
      <c r="U3238">
        <v>4</v>
      </c>
      <c r="V3238">
        <v>6</v>
      </c>
      <c r="W3238">
        <v>3</v>
      </c>
      <c r="X3238">
        <v>140</v>
      </c>
      <c r="Y3238">
        <v>3</v>
      </c>
      <c r="Z3238">
        <v>6</v>
      </c>
      <c r="AA3238">
        <v>4</v>
      </c>
      <c r="AB3238">
        <v>8</v>
      </c>
      <c r="AD3238">
        <v>3</v>
      </c>
      <c r="AE3238">
        <v>1</v>
      </c>
      <c r="AF3238">
        <v>0</v>
      </c>
      <c r="AG3238">
        <v>0</v>
      </c>
      <c r="AH3238">
        <v>0</v>
      </c>
      <c r="AI3238">
        <v>0</v>
      </c>
      <c r="AJ3238">
        <v>12</v>
      </c>
      <c r="AK3238">
        <v>296</v>
      </c>
      <c r="AL3238">
        <v>296</v>
      </c>
      <c r="AM3238">
        <v>497</v>
      </c>
      <c r="AN3238">
        <v>44</v>
      </c>
      <c r="AP3238">
        <v>1</v>
      </c>
      <c r="AR3238" t="s">
        <v>3333</v>
      </c>
      <c r="AS3238" s="1">
        <v>44354.063888888886</v>
      </c>
      <c r="AT3238" s="1">
        <v>44354.08153935185</v>
      </c>
      <c r="AU3238" s="1">
        <v>44354.082314814812</v>
      </c>
      <c r="AV3238" t="s">
        <v>71</v>
      </c>
      <c r="AW3238" t="s">
        <v>72</v>
      </c>
      <c r="AX3238" t="s">
        <v>73</v>
      </c>
    </row>
    <row r="3239" spans="1:50" x14ac:dyDescent="0.3">
      <c r="A3239" t="str">
        <f>"200616B0000"</f>
        <v>200616B0000</v>
      </c>
      <c r="B3239" t="str">
        <f>"200616B00002"</f>
        <v>200616B00002</v>
      </c>
      <c r="C3239" t="str">
        <f t="shared" si="157"/>
        <v>20</v>
      </c>
      <c r="D3239" t="s">
        <v>67</v>
      </c>
      <c r="E3239" t="str">
        <f t="shared" si="158"/>
        <v>014</v>
      </c>
      <c r="F3239" t="s">
        <v>2914</v>
      </c>
      <c r="G3239" t="str">
        <f t="shared" ref="G3239:G3245" si="159">"0616"</f>
        <v>0616</v>
      </c>
      <c r="H3239" t="str">
        <f>"0000"</f>
        <v>0000</v>
      </c>
      <c r="I3239" t="s">
        <v>69</v>
      </c>
      <c r="J3239">
        <v>0</v>
      </c>
      <c r="K3239">
        <v>1</v>
      </c>
      <c r="L3239">
        <v>2</v>
      </c>
      <c r="M3239">
        <v>395</v>
      </c>
      <c r="N3239">
        <v>341</v>
      </c>
      <c r="O3239">
        <v>5</v>
      </c>
      <c r="P3239">
        <v>342</v>
      </c>
      <c r="Q3239">
        <v>10</v>
      </c>
      <c r="R3239">
        <v>63</v>
      </c>
      <c r="S3239">
        <v>0</v>
      </c>
      <c r="T3239">
        <v>24</v>
      </c>
      <c r="U3239">
        <v>9</v>
      </c>
      <c r="V3239">
        <v>5</v>
      </c>
      <c r="W3239">
        <v>10</v>
      </c>
      <c r="X3239">
        <v>180</v>
      </c>
      <c r="Y3239">
        <v>4</v>
      </c>
      <c r="Z3239">
        <v>14</v>
      </c>
      <c r="AA3239">
        <v>7</v>
      </c>
      <c r="AB3239">
        <v>6</v>
      </c>
      <c r="AD3239">
        <v>2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8</v>
      </c>
      <c r="AK3239">
        <v>342</v>
      </c>
      <c r="AL3239">
        <v>342</v>
      </c>
      <c r="AM3239">
        <v>693</v>
      </c>
      <c r="AN3239">
        <v>44</v>
      </c>
      <c r="AP3239">
        <v>1</v>
      </c>
      <c r="AR3239" t="s">
        <v>3334</v>
      </c>
      <c r="AS3239" s="1">
        <v>44353.962500000001</v>
      </c>
      <c r="AT3239" s="1">
        <v>44354.097569444442</v>
      </c>
      <c r="AU3239" s="1">
        <v>44354.098449074074</v>
      </c>
      <c r="AV3239" t="s">
        <v>71</v>
      </c>
      <c r="AW3239" t="s">
        <v>72</v>
      </c>
      <c r="AX3239" t="s">
        <v>73</v>
      </c>
    </row>
    <row r="3240" spans="1:50" x14ac:dyDescent="0.3">
      <c r="A3240" t="str">
        <f>"200616C0100"</f>
        <v>200616C0100</v>
      </c>
      <c r="B3240" t="str">
        <f>"200616C01002"</f>
        <v>200616C01002</v>
      </c>
      <c r="C3240" t="str">
        <f t="shared" si="157"/>
        <v>20</v>
      </c>
      <c r="D3240" t="s">
        <v>67</v>
      </c>
      <c r="E3240" t="str">
        <f t="shared" si="158"/>
        <v>014</v>
      </c>
      <c r="F3240" t="s">
        <v>2914</v>
      </c>
      <c r="G3240" t="str">
        <f t="shared" si="159"/>
        <v>0616</v>
      </c>
      <c r="H3240" t="str">
        <f>"0001"</f>
        <v>0001</v>
      </c>
      <c r="I3240" t="s">
        <v>75</v>
      </c>
      <c r="J3240">
        <v>0</v>
      </c>
      <c r="K3240">
        <v>1</v>
      </c>
      <c r="L3240">
        <v>2</v>
      </c>
      <c r="M3240">
        <v>374</v>
      </c>
      <c r="N3240">
        <v>366</v>
      </c>
      <c r="O3240">
        <v>6</v>
      </c>
      <c r="P3240">
        <v>361</v>
      </c>
      <c r="Q3240">
        <v>15</v>
      </c>
      <c r="R3240">
        <v>92</v>
      </c>
      <c r="S3240">
        <v>2</v>
      </c>
      <c r="T3240">
        <v>21</v>
      </c>
      <c r="U3240">
        <v>9</v>
      </c>
      <c r="V3240">
        <v>2</v>
      </c>
      <c r="W3240">
        <v>2</v>
      </c>
      <c r="X3240">
        <v>170</v>
      </c>
      <c r="Y3240">
        <v>7</v>
      </c>
      <c r="Z3240">
        <v>8</v>
      </c>
      <c r="AA3240">
        <v>3</v>
      </c>
      <c r="AB3240">
        <v>13</v>
      </c>
      <c r="AD3240">
        <v>2</v>
      </c>
      <c r="AE3240">
        <v>1</v>
      </c>
      <c r="AF3240">
        <v>0</v>
      </c>
      <c r="AG3240">
        <v>0</v>
      </c>
      <c r="AH3240">
        <v>1</v>
      </c>
      <c r="AI3240">
        <v>0</v>
      </c>
      <c r="AJ3240">
        <v>13</v>
      </c>
      <c r="AK3240">
        <v>361</v>
      </c>
      <c r="AL3240">
        <v>361</v>
      </c>
      <c r="AM3240">
        <v>693</v>
      </c>
      <c r="AN3240">
        <v>44</v>
      </c>
      <c r="AP3240">
        <v>1</v>
      </c>
      <c r="AR3240" t="s">
        <v>3335</v>
      </c>
      <c r="AS3240" s="1">
        <v>44354.081250000003</v>
      </c>
      <c r="AT3240" s="1">
        <v>44354.098020833335</v>
      </c>
      <c r="AU3240" s="1">
        <v>44354.098807870374</v>
      </c>
      <c r="AV3240" t="s">
        <v>71</v>
      </c>
      <c r="AW3240" t="s">
        <v>72</v>
      </c>
      <c r="AX3240" t="s">
        <v>73</v>
      </c>
    </row>
    <row r="3241" spans="1:50" x14ac:dyDescent="0.3">
      <c r="A3241" t="str">
        <f>"200616C0200"</f>
        <v>200616C0200</v>
      </c>
      <c r="B3241" t="str">
        <f>"200616C02002"</f>
        <v>200616C02002</v>
      </c>
      <c r="C3241" t="str">
        <f t="shared" si="157"/>
        <v>20</v>
      </c>
      <c r="D3241" t="s">
        <v>67</v>
      </c>
      <c r="E3241" t="str">
        <f t="shared" si="158"/>
        <v>014</v>
      </c>
      <c r="F3241" t="s">
        <v>2914</v>
      </c>
      <c r="G3241" t="str">
        <f t="shared" si="159"/>
        <v>0616</v>
      </c>
      <c r="H3241" t="str">
        <f>"0002"</f>
        <v>0002</v>
      </c>
      <c r="I3241" t="s">
        <v>75</v>
      </c>
      <c r="J3241">
        <v>0</v>
      </c>
      <c r="K3241">
        <v>1</v>
      </c>
      <c r="L3241">
        <v>2</v>
      </c>
      <c r="M3241">
        <v>368</v>
      </c>
      <c r="N3241">
        <v>367</v>
      </c>
      <c r="O3241">
        <v>2</v>
      </c>
      <c r="P3241">
        <v>368</v>
      </c>
      <c r="Q3241">
        <v>11</v>
      </c>
      <c r="R3241">
        <v>74</v>
      </c>
      <c r="S3241">
        <v>4</v>
      </c>
      <c r="T3241">
        <v>23</v>
      </c>
      <c r="U3241">
        <v>16</v>
      </c>
      <c r="V3241">
        <v>9</v>
      </c>
      <c r="W3241">
        <v>6</v>
      </c>
      <c r="X3241">
        <v>172</v>
      </c>
      <c r="Y3241">
        <v>12</v>
      </c>
      <c r="Z3241">
        <v>13</v>
      </c>
      <c r="AA3241">
        <v>1</v>
      </c>
      <c r="AB3241">
        <v>13</v>
      </c>
      <c r="AD3241">
        <v>1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13</v>
      </c>
      <c r="AK3241">
        <v>368</v>
      </c>
      <c r="AL3241">
        <v>368</v>
      </c>
      <c r="AM3241">
        <v>692</v>
      </c>
      <c r="AN3241">
        <v>44</v>
      </c>
      <c r="AP3241">
        <v>1</v>
      </c>
      <c r="AR3241" t="s">
        <v>3336</v>
      </c>
      <c r="AS3241" s="1">
        <v>44353.945833333331</v>
      </c>
      <c r="AT3241" s="1">
        <v>44354.083402777775</v>
      </c>
      <c r="AU3241" s="1">
        <v>44354.084062499998</v>
      </c>
      <c r="AV3241" t="s">
        <v>71</v>
      </c>
      <c r="AW3241" t="s">
        <v>72</v>
      </c>
      <c r="AX3241" t="s">
        <v>73</v>
      </c>
    </row>
    <row r="3242" spans="1:50" x14ac:dyDescent="0.3">
      <c r="A3242" t="str">
        <f>"200616E0100"</f>
        <v>200616E0100</v>
      </c>
      <c r="B3242" t="str">
        <f>"200616E01002"</f>
        <v>200616E01002</v>
      </c>
      <c r="C3242" t="str">
        <f t="shared" si="157"/>
        <v>20</v>
      </c>
      <c r="D3242" t="s">
        <v>67</v>
      </c>
      <c r="E3242" t="str">
        <f t="shared" si="158"/>
        <v>014</v>
      </c>
      <c r="F3242" t="s">
        <v>2914</v>
      </c>
      <c r="G3242" t="str">
        <f t="shared" si="159"/>
        <v>0616</v>
      </c>
      <c r="H3242" t="str">
        <f>"0001"</f>
        <v>0001</v>
      </c>
      <c r="I3242" t="s">
        <v>109</v>
      </c>
      <c r="J3242">
        <v>0</v>
      </c>
      <c r="K3242">
        <v>1</v>
      </c>
      <c r="L3242">
        <v>2</v>
      </c>
      <c r="M3242">
        <v>410</v>
      </c>
      <c r="N3242">
        <v>297</v>
      </c>
      <c r="O3242">
        <v>6</v>
      </c>
      <c r="P3242">
        <v>297</v>
      </c>
      <c r="Q3242">
        <v>9</v>
      </c>
      <c r="R3242">
        <v>57</v>
      </c>
      <c r="S3242">
        <v>2</v>
      </c>
      <c r="T3242">
        <v>12</v>
      </c>
      <c r="U3242">
        <v>13</v>
      </c>
      <c r="V3242">
        <v>4</v>
      </c>
      <c r="W3242">
        <v>0</v>
      </c>
      <c r="X3242">
        <v>152</v>
      </c>
      <c r="Y3242">
        <v>12</v>
      </c>
      <c r="Z3242">
        <v>9</v>
      </c>
      <c r="AA3242">
        <v>7</v>
      </c>
      <c r="AB3242">
        <v>5</v>
      </c>
      <c r="AD3242">
        <v>2</v>
      </c>
      <c r="AE3242">
        <v>1</v>
      </c>
      <c r="AF3242">
        <v>0</v>
      </c>
      <c r="AG3242">
        <v>0</v>
      </c>
      <c r="AH3242">
        <v>0</v>
      </c>
      <c r="AI3242">
        <v>0</v>
      </c>
      <c r="AJ3242">
        <v>12</v>
      </c>
      <c r="AK3242">
        <v>297</v>
      </c>
      <c r="AL3242">
        <v>297</v>
      </c>
      <c r="AM3242">
        <v>663</v>
      </c>
      <c r="AN3242">
        <v>44</v>
      </c>
      <c r="AP3242">
        <v>1</v>
      </c>
      <c r="AR3242" t="s">
        <v>3337</v>
      </c>
      <c r="AS3242" s="1">
        <v>44353.993055555555</v>
      </c>
      <c r="AT3242" s="1">
        <v>44354.004027777781</v>
      </c>
      <c r="AU3242" s="1">
        <v>44354.004421296297</v>
      </c>
      <c r="AV3242" t="s">
        <v>71</v>
      </c>
      <c r="AW3242" t="s">
        <v>72</v>
      </c>
      <c r="AX3242" t="s">
        <v>73</v>
      </c>
    </row>
    <row r="3243" spans="1:50" x14ac:dyDescent="0.3">
      <c r="A3243" t="str">
        <f>"200616E0101"</f>
        <v>200616E0101</v>
      </c>
      <c r="B3243" t="str">
        <f>"200616E01012"</f>
        <v>200616E01012</v>
      </c>
      <c r="C3243" t="str">
        <f t="shared" si="157"/>
        <v>20</v>
      </c>
      <c r="D3243" t="s">
        <v>67</v>
      </c>
      <c r="E3243" t="str">
        <f t="shared" si="158"/>
        <v>014</v>
      </c>
      <c r="F3243" t="s">
        <v>2914</v>
      </c>
      <c r="G3243" t="str">
        <f t="shared" si="159"/>
        <v>0616</v>
      </c>
      <c r="H3243" t="str">
        <f>"0001"</f>
        <v>0001</v>
      </c>
      <c r="I3243" t="s">
        <v>109</v>
      </c>
      <c r="J3243">
        <v>1</v>
      </c>
      <c r="K3243">
        <v>1</v>
      </c>
      <c r="L3243">
        <v>2</v>
      </c>
      <c r="M3243">
        <v>381</v>
      </c>
      <c r="N3243">
        <v>327</v>
      </c>
      <c r="O3243">
        <v>6</v>
      </c>
      <c r="P3243">
        <v>327</v>
      </c>
      <c r="Q3243">
        <v>12</v>
      </c>
      <c r="R3243">
        <v>59</v>
      </c>
      <c r="S3243">
        <v>7</v>
      </c>
      <c r="T3243">
        <v>13</v>
      </c>
      <c r="U3243">
        <v>10</v>
      </c>
      <c r="V3243">
        <v>7</v>
      </c>
      <c r="W3243">
        <v>1</v>
      </c>
      <c r="X3243">
        <v>170</v>
      </c>
      <c r="Y3243">
        <v>8</v>
      </c>
      <c r="Z3243">
        <v>5</v>
      </c>
      <c r="AA3243">
        <v>8</v>
      </c>
      <c r="AB3243">
        <v>13</v>
      </c>
      <c r="AD3243">
        <v>1</v>
      </c>
      <c r="AE3243">
        <v>1</v>
      </c>
      <c r="AF3243">
        <v>0</v>
      </c>
      <c r="AG3243">
        <v>0</v>
      </c>
      <c r="AH3243">
        <v>0</v>
      </c>
      <c r="AI3243">
        <v>1</v>
      </c>
      <c r="AJ3243">
        <v>11</v>
      </c>
      <c r="AK3243">
        <v>327</v>
      </c>
      <c r="AL3243">
        <v>327</v>
      </c>
      <c r="AM3243">
        <v>663</v>
      </c>
      <c r="AN3243">
        <v>44</v>
      </c>
      <c r="AP3243">
        <v>1</v>
      </c>
      <c r="AR3243" t="s">
        <v>3338</v>
      </c>
      <c r="AS3243" s="1">
        <v>44353.993055555555</v>
      </c>
      <c r="AT3243" s="1">
        <v>44354.002430555556</v>
      </c>
      <c r="AU3243" s="1">
        <v>44354.003217592595</v>
      </c>
      <c r="AV3243" t="s">
        <v>71</v>
      </c>
      <c r="AW3243" t="s">
        <v>72</v>
      </c>
      <c r="AX3243" t="s">
        <v>73</v>
      </c>
    </row>
    <row r="3244" spans="1:50" x14ac:dyDescent="0.3">
      <c r="A3244" t="str">
        <f>"200616E0102"</f>
        <v>200616E0102</v>
      </c>
      <c r="B3244" t="str">
        <f>"200616E01022"</f>
        <v>200616E01022</v>
      </c>
      <c r="C3244" t="str">
        <f t="shared" si="157"/>
        <v>20</v>
      </c>
      <c r="D3244" t="s">
        <v>67</v>
      </c>
      <c r="E3244" t="str">
        <f t="shared" si="158"/>
        <v>014</v>
      </c>
      <c r="F3244" t="s">
        <v>2914</v>
      </c>
      <c r="G3244" t="str">
        <f t="shared" si="159"/>
        <v>0616</v>
      </c>
      <c r="H3244" t="str">
        <f>"0001"</f>
        <v>0001</v>
      </c>
      <c r="I3244" t="s">
        <v>109</v>
      </c>
      <c r="J3244">
        <v>2</v>
      </c>
      <c r="K3244">
        <v>1</v>
      </c>
      <c r="L3244">
        <v>2</v>
      </c>
      <c r="M3244">
        <v>413</v>
      </c>
      <c r="N3244">
        <v>293</v>
      </c>
      <c r="O3244">
        <v>3</v>
      </c>
      <c r="P3244">
        <v>293</v>
      </c>
      <c r="Q3244">
        <v>12</v>
      </c>
      <c r="R3244">
        <v>54</v>
      </c>
      <c r="S3244">
        <v>4</v>
      </c>
      <c r="T3244">
        <v>7</v>
      </c>
      <c r="U3244">
        <v>15</v>
      </c>
      <c r="V3244">
        <v>4</v>
      </c>
      <c r="W3244">
        <v>3</v>
      </c>
      <c r="X3244">
        <v>168</v>
      </c>
      <c r="Y3244">
        <v>1</v>
      </c>
      <c r="Z3244">
        <v>5</v>
      </c>
      <c r="AA3244">
        <v>1</v>
      </c>
      <c r="AB3244">
        <v>4</v>
      </c>
      <c r="AD3244">
        <v>2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13</v>
      </c>
      <c r="AK3244">
        <v>293</v>
      </c>
      <c r="AL3244">
        <v>293</v>
      </c>
      <c r="AM3244">
        <v>662</v>
      </c>
      <c r="AN3244">
        <v>44</v>
      </c>
      <c r="AP3244">
        <v>1</v>
      </c>
      <c r="AR3244" t="s">
        <v>3339</v>
      </c>
      <c r="AS3244" s="1">
        <v>44354.166666666664</v>
      </c>
      <c r="AT3244" s="1">
        <v>44354.169039351851</v>
      </c>
      <c r="AU3244" s="1">
        <v>44354.17050925926</v>
      </c>
      <c r="AV3244" t="s">
        <v>71</v>
      </c>
      <c r="AW3244" t="s">
        <v>72</v>
      </c>
      <c r="AX3244" t="s">
        <v>73</v>
      </c>
    </row>
    <row r="3245" spans="1:50" x14ac:dyDescent="0.3">
      <c r="A3245" t="str">
        <f>"200616E0200"</f>
        <v>200616E0200</v>
      </c>
      <c r="B3245" t="str">
        <f>"200616E02002"</f>
        <v>200616E02002</v>
      </c>
      <c r="C3245" t="str">
        <f t="shared" si="157"/>
        <v>20</v>
      </c>
      <c r="D3245" t="s">
        <v>67</v>
      </c>
      <c r="E3245" t="str">
        <f t="shared" si="158"/>
        <v>014</v>
      </c>
      <c r="F3245" t="s">
        <v>2914</v>
      </c>
      <c r="G3245" t="str">
        <f t="shared" si="159"/>
        <v>0616</v>
      </c>
      <c r="H3245" t="str">
        <f>"0002"</f>
        <v>0002</v>
      </c>
      <c r="I3245" t="s">
        <v>109</v>
      </c>
      <c r="J3245">
        <v>0</v>
      </c>
      <c r="K3245">
        <v>1</v>
      </c>
      <c r="L3245">
        <v>2</v>
      </c>
      <c r="M3245">
        <v>210</v>
      </c>
      <c r="N3245">
        <v>96</v>
      </c>
      <c r="O3245">
        <v>6</v>
      </c>
      <c r="P3245">
        <v>96</v>
      </c>
      <c r="Q3245">
        <v>2</v>
      </c>
      <c r="R3245">
        <v>17</v>
      </c>
      <c r="S3245">
        <v>0</v>
      </c>
      <c r="T3245">
        <v>4</v>
      </c>
      <c r="U3245">
        <v>5</v>
      </c>
      <c r="V3245">
        <v>0</v>
      </c>
      <c r="W3245">
        <v>0</v>
      </c>
      <c r="X3245">
        <v>59</v>
      </c>
      <c r="Y3245">
        <v>1</v>
      </c>
      <c r="Z3245">
        <v>1</v>
      </c>
      <c r="AA3245">
        <v>3</v>
      </c>
      <c r="AB3245">
        <v>0</v>
      </c>
      <c r="AD3245">
        <v>1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3</v>
      </c>
      <c r="AK3245">
        <v>96</v>
      </c>
      <c r="AL3245">
        <v>96</v>
      </c>
      <c r="AM3245">
        <v>262</v>
      </c>
      <c r="AN3245">
        <v>44</v>
      </c>
      <c r="AP3245">
        <v>1</v>
      </c>
      <c r="AR3245" t="s">
        <v>3340</v>
      </c>
      <c r="AS3245" s="1">
        <v>44353.917361111111</v>
      </c>
      <c r="AT3245" s="1">
        <v>44353.922581018516</v>
      </c>
      <c r="AU3245" s="1">
        <v>44353.923055555555</v>
      </c>
      <c r="AV3245" t="s">
        <v>71</v>
      </c>
      <c r="AW3245" t="s">
        <v>72</v>
      </c>
      <c r="AX3245" t="s">
        <v>73</v>
      </c>
    </row>
    <row r="3246" spans="1:50" x14ac:dyDescent="0.3">
      <c r="A3246" t="str">
        <f>"202470B0000"</f>
        <v>202470B0000</v>
      </c>
      <c r="B3246" t="str">
        <f>"202470B00002"</f>
        <v>202470B00002</v>
      </c>
      <c r="C3246" t="str">
        <f t="shared" si="157"/>
        <v>20</v>
      </c>
      <c r="D3246" t="s">
        <v>67</v>
      </c>
      <c r="E3246" t="str">
        <f t="shared" si="158"/>
        <v>014</v>
      </c>
      <c r="F3246" t="s">
        <v>2914</v>
      </c>
      <c r="G3246" t="str">
        <f>"2470"</f>
        <v>2470</v>
      </c>
      <c r="H3246" t="str">
        <f>"0000"</f>
        <v>0000</v>
      </c>
      <c r="I3246" t="s">
        <v>69</v>
      </c>
      <c r="J3246">
        <v>0</v>
      </c>
      <c r="K3246">
        <v>1</v>
      </c>
      <c r="L3246">
        <v>2</v>
      </c>
      <c r="M3246">
        <v>309</v>
      </c>
      <c r="N3246">
        <v>214</v>
      </c>
      <c r="O3246">
        <v>6</v>
      </c>
      <c r="P3246">
        <v>214</v>
      </c>
      <c r="Q3246">
        <v>21</v>
      </c>
      <c r="R3246">
        <v>29</v>
      </c>
      <c r="S3246">
        <v>1</v>
      </c>
      <c r="T3246">
        <v>7</v>
      </c>
      <c r="U3246">
        <v>4</v>
      </c>
      <c r="V3246">
        <v>3</v>
      </c>
      <c r="W3246">
        <v>0</v>
      </c>
      <c r="X3246">
        <v>108</v>
      </c>
      <c r="Y3246">
        <v>5</v>
      </c>
      <c r="Z3246">
        <v>13</v>
      </c>
      <c r="AA3246">
        <v>1</v>
      </c>
      <c r="AB3246">
        <v>12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10</v>
      </c>
      <c r="AK3246">
        <v>214</v>
      </c>
      <c r="AL3246">
        <v>214</v>
      </c>
      <c r="AM3246">
        <v>479</v>
      </c>
      <c r="AN3246">
        <v>44</v>
      </c>
      <c r="AP3246">
        <v>1</v>
      </c>
      <c r="AR3246" t="s">
        <v>3341</v>
      </c>
      <c r="AS3246" s="1">
        <v>44354.152777777781</v>
      </c>
      <c r="AT3246" s="1">
        <v>44354.154722222222</v>
      </c>
      <c r="AU3246" s="1">
        <v>44354.155312499999</v>
      </c>
      <c r="AV3246" t="s">
        <v>71</v>
      </c>
      <c r="AW3246" t="s">
        <v>72</v>
      </c>
      <c r="AX3246" t="s">
        <v>73</v>
      </c>
    </row>
    <row r="3247" spans="1:50" x14ac:dyDescent="0.3">
      <c r="A3247" t="str">
        <f>"202470C0100"</f>
        <v>202470C0100</v>
      </c>
      <c r="B3247" t="str">
        <f>"202470C01002"</f>
        <v>202470C01002</v>
      </c>
      <c r="C3247" t="str">
        <f t="shared" si="157"/>
        <v>20</v>
      </c>
      <c r="D3247" t="s">
        <v>67</v>
      </c>
      <c r="E3247" t="str">
        <f t="shared" si="158"/>
        <v>014</v>
      </c>
      <c r="F3247" t="s">
        <v>2914</v>
      </c>
      <c r="G3247" t="str">
        <f>"2470"</f>
        <v>2470</v>
      </c>
      <c r="H3247" t="str">
        <f>"0001"</f>
        <v>0001</v>
      </c>
      <c r="I3247" t="s">
        <v>75</v>
      </c>
      <c r="J3247">
        <v>0</v>
      </c>
      <c r="K3247">
        <v>1</v>
      </c>
      <c r="L3247">
        <v>2</v>
      </c>
      <c r="M3247">
        <v>303</v>
      </c>
      <c r="N3247">
        <v>219</v>
      </c>
      <c r="O3247">
        <v>10</v>
      </c>
      <c r="P3247">
        <v>219</v>
      </c>
      <c r="Q3247">
        <v>9</v>
      </c>
      <c r="R3247">
        <v>41</v>
      </c>
      <c r="S3247">
        <v>2</v>
      </c>
      <c r="T3247">
        <v>8</v>
      </c>
      <c r="U3247">
        <v>4</v>
      </c>
      <c r="V3247">
        <v>1</v>
      </c>
      <c r="W3247">
        <v>2</v>
      </c>
      <c r="X3247">
        <v>115</v>
      </c>
      <c r="Y3247">
        <v>10</v>
      </c>
      <c r="Z3247">
        <v>4</v>
      </c>
      <c r="AA3247">
        <v>6</v>
      </c>
      <c r="AB3247">
        <v>9</v>
      </c>
      <c r="AD3247">
        <v>1</v>
      </c>
      <c r="AE3247">
        <v>1</v>
      </c>
      <c r="AF3247">
        <v>0</v>
      </c>
      <c r="AG3247">
        <v>0</v>
      </c>
      <c r="AH3247">
        <v>1</v>
      </c>
      <c r="AI3247">
        <v>0</v>
      </c>
      <c r="AJ3247">
        <v>5</v>
      </c>
      <c r="AK3247">
        <v>219</v>
      </c>
      <c r="AL3247">
        <v>219</v>
      </c>
      <c r="AM3247">
        <v>478</v>
      </c>
      <c r="AN3247">
        <v>44</v>
      </c>
      <c r="AP3247">
        <v>1</v>
      </c>
      <c r="AR3247" t="s">
        <v>3342</v>
      </c>
      <c r="AS3247" s="1">
        <v>44354.024305555555</v>
      </c>
      <c r="AT3247" s="1">
        <v>44354.054699074077</v>
      </c>
      <c r="AU3247" s="1">
        <v>44354.055312500001</v>
      </c>
      <c r="AV3247" t="s">
        <v>71</v>
      </c>
      <c r="AW3247" t="s">
        <v>72</v>
      </c>
      <c r="AX3247" t="s">
        <v>73</v>
      </c>
    </row>
    <row r="3248" spans="1:50" x14ac:dyDescent="0.3">
      <c r="A3248" t="str">
        <f>"202471B0000"</f>
        <v>202471B0000</v>
      </c>
      <c r="B3248" t="str">
        <f>"202471B00002"</f>
        <v>202471B00002</v>
      </c>
      <c r="C3248" t="str">
        <f t="shared" si="157"/>
        <v>20</v>
      </c>
      <c r="D3248" t="s">
        <v>67</v>
      </c>
      <c r="E3248" t="str">
        <f t="shared" si="158"/>
        <v>014</v>
      </c>
      <c r="F3248" t="s">
        <v>2914</v>
      </c>
      <c r="G3248" t="str">
        <f>"2471"</f>
        <v>2471</v>
      </c>
      <c r="H3248" t="str">
        <f>"0000"</f>
        <v>0000</v>
      </c>
      <c r="I3248" t="s">
        <v>69</v>
      </c>
      <c r="J3248">
        <v>0</v>
      </c>
      <c r="K3248">
        <v>1</v>
      </c>
      <c r="L3248">
        <v>2</v>
      </c>
      <c r="M3248">
        <v>274</v>
      </c>
      <c r="N3248">
        <v>246</v>
      </c>
      <c r="O3248">
        <v>9</v>
      </c>
      <c r="P3248" t="s">
        <v>80</v>
      </c>
      <c r="Q3248">
        <v>10</v>
      </c>
      <c r="R3248">
        <v>39</v>
      </c>
      <c r="S3248">
        <v>3</v>
      </c>
      <c r="T3248">
        <v>11</v>
      </c>
      <c r="U3248">
        <v>12</v>
      </c>
      <c r="V3248">
        <v>3</v>
      </c>
      <c r="W3248">
        <v>2</v>
      </c>
      <c r="X3248">
        <v>125</v>
      </c>
      <c r="Y3248">
        <v>17</v>
      </c>
      <c r="Z3248">
        <v>9</v>
      </c>
      <c r="AA3248">
        <v>1</v>
      </c>
      <c r="AB3248">
        <v>6</v>
      </c>
      <c r="AD3248">
        <v>1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7</v>
      </c>
      <c r="AK3248">
        <v>246</v>
      </c>
      <c r="AL3248">
        <v>246</v>
      </c>
      <c r="AM3248">
        <v>476</v>
      </c>
      <c r="AN3248">
        <v>44</v>
      </c>
      <c r="AP3248">
        <v>1</v>
      </c>
      <c r="AR3248" t="s">
        <v>3343</v>
      </c>
      <c r="AS3248" s="1">
        <v>44354.039583333331</v>
      </c>
      <c r="AT3248" s="1">
        <v>44354.248865740738</v>
      </c>
      <c r="AU3248" s="1">
        <v>44354.249513888892</v>
      </c>
      <c r="AV3248" t="s">
        <v>71</v>
      </c>
      <c r="AW3248" t="s">
        <v>72</v>
      </c>
      <c r="AX3248" t="s">
        <v>73</v>
      </c>
    </row>
    <row r="3249" spans="1:50" x14ac:dyDescent="0.3">
      <c r="A3249" t="str">
        <f>"202471C0100"</f>
        <v>202471C0100</v>
      </c>
      <c r="B3249" t="str">
        <f>"202471C01002"</f>
        <v>202471C01002</v>
      </c>
      <c r="C3249" t="str">
        <f t="shared" si="157"/>
        <v>20</v>
      </c>
      <c r="D3249" t="s">
        <v>67</v>
      </c>
      <c r="E3249" t="str">
        <f t="shared" si="158"/>
        <v>014</v>
      </c>
      <c r="F3249" t="s">
        <v>2914</v>
      </c>
      <c r="G3249" t="str">
        <f>"2471"</f>
        <v>2471</v>
      </c>
      <c r="H3249" t="str">
        <f>"0001"</f>
        <v>0001</v>
      </c>
      <c r="I3249" t="s">
        <v>75</v>
      </c>
      <c r="J3249">
        <v>0</v>
      </c>
      <c r="K3249">
        <v>1</v>
      </c>
      <c r="L3249">
        <v>2</v>
      </c>
      <c r="M3249">
        <v>267</v>
      </c>
      <c r="N3249">
        <v>252</v>
      </c>
      <c r="O3249">
        <v>7</v>
      </c>
      <c r="P3249">
        <v>252</v>
      </c>
      <c r="Q3249">
        <v>7</v>
      </c>
      <c r="R3249">
        <v>33</v>
      </c>
      <c r="S3249">
        <v>2</v>
      </c>
      <c r="T3249">
        <v>13</v>
      </c>
      <c r="U3249">
        <v>6</v>
      </c>
      <c r="V3249">
        <v>2</v>
      </c>
      <c r="W3249">
        <v>0</v>
      </c>
      <c r="X3249">
        <v>147</v>
      </c>
      <c r="Y3249">
        <v>14</v>
      </c>
      <c r="Z3249">
        <v>4</v>
      </c>
      <c r="AA3249">
        <v>0</v>
      </c>
      <c r="AB3249">
        <v>13</v>
      </c>
      <c r="AD3249">
        <v>1</v>
      </c>
      <c r="AE3249">
        <v>1</v>
      </c>
      <c r="AF3249">
        <v>0</v>
      </c>
      <c r="AG3249">
        <v>0</v>
      </c>
      <c r="AH3249">
        <v>0</v>
      </c>
      <c r="AI3249">
        <v>0</v>
      </c>
      <c r="AJ3249">
        <v>9</v>
      </c>
      <c r="AK3249">
        <v>252</v>
      </c>
      <c r="AL3249">
        <v>252</v>
      </c>
      <c r="AM3249">
        <v>475</v>
      </c>
      <c r="AN3249">
        <v>44</v>
      </c>
      <c r="AP3249">
        <v>1</v>
      </c>
      <c r="AR3249" t="s">
        <v>3344</v>
      </c>
      <c r="AS3249" s="1">
        <v>44354.025000000001</v>
      </c>
      <c r="AT3249" s="1">
        <v>44354.062083333331</v>
      </c>
      <c r="AU3249" s="1">
        <v>44354.0624537037</v>
      </c>
      <c r="AV3249" t="s">
        <v>71</v>
      </c>
      <c r="AW3249" t="s">
        <v>72</v>
      </c>
      <c r="AX3249" t="s">
        <v>73</v>
      </c>
    </row>
    <row r="3250" spans="1:50" x14ac:dyDescent="0.3">
      <c r="A3250" t="str">
        <f>"202472B0000"</f>
        <v>202472B0000</v>
      </c>
      <c r="B3250" t="str">
        <f>"202472B00002"</f>
        <v>202472B00002</v>
      </c>
      <c r="C3250" t="str">
        <f t="shared" si="157"/>
        <v>20</v>
      </c>
      <c r="D3250" t="s">
        <v>67</v>
      </c>
      <c r="E3250" t="str">
        <f t="shared" si="158"/>
        <v>014</v>
      </c>
      <c r="F3250" t="s">
        <v>2914</v>
      </c>
      <c r="G3250" t="str">
        <f>"2472"</f>
        <v>2472</v>
      </c>
      <c r="H3250" t="str">
        <f>"0000"</f>
        <v>0000</v>
      </c>
      <c r="I3250" t="s">
        <v>69</v>
      </c>
      <c r="J3250">
        <v>0</v>
      </c>
      <c r="K3250">
        <v>1</v>
      </c>
      <c r="L3250">
        <v>2</v>
      </c>
      <c r="M3250">
        <v>311</v>
      </c>
      <c r="N3250">
        <v>286</v>
      </c>
      <c r="O3250">
        <v>8</v>
      </c>
      <c r="P3250">
        <v>286</v>
      </c>
      <c r="Q3250">
        <v>12</v>
      </c>
      <c r="R3250">
        <v>37</v>
      </c>
      <c r="S3250">
        <v>2</v>
      </c>
      <c r="T3250">
        <v>5</v>
      </c>
      <c r="U3250">
        <v>11</v>
      </c>
      <c r="V3250">
        <v>7</v>
      </c>
      <c r="W3250">
        <v>1</v>
      </c>
      <c r="X3250">
        <v>173</v>
      </c>
      <c r="Y3250">
        <v>12</v>
      </c>
      <c r="Z3250">
        <v>4</v>
      </c>
      <c r="AA3250">
        <v>3</v>
      </c>
      <c r="AB3250">
        <v>8</v>
      </c>
      <c r="AD3250">
        <v>1</v>
      </c>
      <c r="AE3250">
        <v>0</v>
      </c>
      <c r="AF3250">
        <v>0</v>
      </c>
      <c r="AG3250">
        <v>0</v>
      </c>
      <c r="AH3250">
        <v>1</v>
      </c>
      <c r="AI3250">
        <v>0</v>
      </c>
      <c r="AJ3250">
        <v>9</v>
      </c>
      <c r="AK3250">
        <v>286</v>
      </c>
      <c r="AL3250">
        <v>286</v>
      </c>
      <c r="AM3250">
        <v>553</v>
      </c>
      <c r="AN3250">
        <v>44</v>
      </c>
      <c r="AP3250">
        <v>1</v>
      </c>
      <c r="AR3250" t="s">
        <v>3345</v>
      </c>
      <c r="AS3250" s="1">
        <v>44354.024305555555</v>
      </c>
      <c r="AT3250" s="1">
        <v>44354.054097222222</v>
      </c>
      <c r="AU3250" s="1">
        <v>44354.0547337963</v>
      </c>
      <c r="AV3250" t="s">
        <v>71</v>
      </c>
      <c r="AW3250" t="s">
        <v>72</v>
      </c>
      <c r="AX3250" t="s">
        <v>73</v>
      </c>
    </row>
    <row r="3251" spans="1:50" x14ac:dyDescent="0.3">
      <c r="A3251" t="str">
        <f>"202472C0100"</f>
        <v>202472C0100</v>
      </c>
      <c r="B3251" t="str">
        <f>"202472C01002"</f>
        <v>202472C01002</v>
      </c>
      <c r="C3251" t="str">
        <f t="shared" si="157"/>
        <v>20</v>
      </c>
      <c r="D3251" t="s">
        <v>67</v>
      </c>
      <c r="E3251" t="str">
        <f t="shared" si="158"/>
        <v>014</v>
      </c>
      <c r="F3251" t="s">
        <v>2914</v>
      </c>
      <c r="G3251" t="str">
        <f>"2472"</f>
        <v>2472</v>
      </c>
      <c r="H3251" t="str">
        <f>"0001"</f>
        <v>0001</v>
      </c>
      <c r="I3251" t="s">
        <v>75</v>
      </c>
      <c r="J3251">
        <v>0</v>
      </c>
      <c r="K3251">
        <v>1</v>
      </c>
      <c r="L3251">
        <v>2</v>
      </c>
      <c r="M3251">
        <v>297</v>
      </c>
      <c r="N3251">
        <v>299</v>
      </c>
      <c r="O3251">
        <v>10</v>
      </c>
      <c r="P3251">
        <v>299</v>
      </c>
      <c r="Q3251">
        <v>16</v>
      </c>
      <c r="R3251">
        <v>45</v>
      </c>
      <c r="S3251">
        <v>2</v>
      </c>
      <c r="T3251">
        <v>9</v>
      </c>
      <c r="U3251">
        <v>13</v>
      </c>
      <c r="V3251">
        <v>2</v>
      </c>
      <c r="W3251">
        <v>1</v>
      </c>
      <c r="X3251">
        <v>171</v>
      </c>
      <c r="Y3251">
        <v>12</v>
      </c>
      <c r="Z3251">
        <v>10</v>
      </c>
      <c r="AA3251">
        <v>1</v>
      </c>
      <c r="AB3251">
        <v>7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9</v>
      </c>
      <c r="AK3251">
        <v>299</v>
      </c>
      <c r="AL3251">
        <v>298</v>
      </c>
      <c r="AM3251">
        <v>552</v>
      </c>
      <c r="AN3251">
        <v>44</v>
      </c>
      <c r="AP3251">
        <v>1</v>
      </c>
      <c r="AR3251" t="s">
        <v>3346</v>
      </c>
      <c r="AS3251" s="1">
        <v>44354.040277777778</v>
      </c>
      <c r="AT3251" s="1">
        <v>44354.069560185184</v>
      </c>
      <c r="AU3251" s="1">
        <v>44354.069895833331</v>
      </c>
      <c r="AV3251" t="s">
        <v>71</v>
      </c>
      <c r="AW3251" t="s">
        <v>72</v>
      </c>
      <c r="AX3251" t="s">
        <v>73</v>
      </c>
    </row>
    <row r="3252" spans="1:50" x14ac:dyDescent="0.3">
      <c r="A3252" t="str">
        <f>"202473B0000"</f>
        <v>202473B0000</v>
      </c>
      <c r="B3252" t="str">
        <f>"202473B00002"</f>
        <v>202473B00002</v>
      </c>
      <c r="C3252" t="str">
        <f t="shared" si="157"/>
        <v>20</v>
      </c>
      <c r="D3252" t="s">
        <v>67</v>
      </c>
      <c r="E3252" t="str">
        <f t="shared" si="158"/>
        <v>014</v>
      </c>
      <c r="F3252" t="s">
        <v>2914</v>
      </c>
      <c r="G3252" t="str">
        <f>"2473"</f>
        <v>2473</v>
      </c>
      <c r="H3252" t="str">
        <f>"0000"</f>
        <v>0000</v>
      </c>
      <c r="I3252" t="s">
        <v>69</v>
      </c>
      <c r="J3252">
        <v>0</v>
      </c>
      <c r="K3252">
        <v>1</v>
      </c>
      <c r="L3252">
        <v>2</v>
      </c>
      <c r="M3252">
        <v>354</v>
      </c>
      <c r="N3252">
        <v>323</v>
      </c>
      <c r="O3252">
        <v>6</v>
      </c>
      <c r="P3252">
        <v>323</v>
      </c>
      <c r="Q3252">
        <v>13</v>
      </c>
      <c r="R3252">
        <v>56</v>
      </c>
      <c r="S3252">
        <v>4</v>
      </c>
      <c r="T3252">
        <v>8</v>
      </c>
      <c r="U3252">
        <v>14</v>
      </c>
      <c r="V3252">
        <v>10</v>
      </c>
      <c r="W3252">
        <v>5</v>
      </c>
      <c r="X3252">
        <v>168</v>
      </c>
      <c r="Y3252">
        <v>10</v>
      </c>
      <c r="Z3252">
        <v>9</v>
      </c>
      <c r="AA3252">
        <v>3</v>
      </c>
      <c r="AB3252">
        <v>10</v>
      </c>
      <c r="AD3252">
        <v>1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12</v>
      </c>
      <c r="AK3252">
        <v>323</v>
      </c>
      <c r="AL3252">
        <v>323</v>
      </c>
      <c r="AM3252">
        <v>633</v>
      </c>
      <c r="AN3252">
        <v>44</v>
      </c>
      <c r="AP3252">
        <v>1</v>
      </c>
      <c r="AR3252" t="s">
        <v>3347</v>
      </c>
      <c r="AS3252" s="1">
        <v>44354.024305555555</v>
      </c>
      <c r="AT3252" s="1">
        <v>44354.054340277777</v>
      </c>
      <c r="AU3252" s="1">
        <v>44354.054976851854</v>
      </c>
      <c r="AV3252" t="s">
        <v>71</v>
      </c>
      <c r="AW3252" t="s">
        <v>72</v>
      </c>
      <c r="AX3252" t="s">
        <v>73</v>
      </c>
    </row>
    <row r="3253" spans="1:50" x14ac:dyDescent="0.3">
      <c r="A3253" t="str">
        <f>"202474B0000"</f>
        <v>202474B0000</v>
      </c>
      <c r="B3253" t="str">
        <f>"202474B00002"</f>
        <v>202474B00002</v>
      </c>
      <c r="C3253" t="str">
        <f t="shared" si="157"/>
        <v>20</v>
      </c>
      <c r="D3253" t="s">
        <v>67</v>
      </c>
      <c r="E3253" t="str">
        <f t="shared" si="158"/>
        <v>014</v>
      </c>
      <c r="F3253" t="s">
        <v>2914</v>
      </c>
      <c r="G3253" t="str">
        <f>"2474"</f>
        <v>2474</v>
      </c>
      <c r="H3253" t="str">
        <f>"0000"</f>
        <v>0000</v>
      </c>
      <c r="I3253" t="s">
        <v>69</v>
      </c>
      <c r="J3253">
        <v>0</v>
      </c>
      <c r="K3253">
        <v>1</v>
      </c>
      <c r="L3253">
        <v>2</v>
      </c>
      <c r="M3253">
        <v>357</v>
      </c>
      <c r="N3253">
        <v>265</v>
      </c>
      <c r="O3253">
        <v>7</v>
      </c>
      <c r="P3253">
        <v>265</v>
      </c>
      <c r="Q3253">
        <v>10</v>
      </c>
      <c r="R3253">
        <v>39</v>
      </c>
      <c r="S3253">
        <v>2</v>
      </c>
      <c r="T3253">
        <v>4</v>
      </c>
      <c r="U3253">
        <v>5</v>
      </c>
      <c r="V3253">
        <v>4</v>
      </c>
      <c r="W3253">
        <v>1</v>
      </c>
      <c r="X3253">
        <v>159</v>
      </c>
      <c r="Y3253">
        <v>18</v>
      </c>
      <c r="Z3253">
        <v>5</v>
      </c>
      <c r="AA3253">
        <v>6</v>
      </c>
      <c r="AB3253">
        <v>5</v>
      </c>
      <c r="AD3253" t="s">
        <v>77</v>
      </c>
      <c r="AE3253" t="s">
        <v>77</v>
      </c>
      <c r="AF3253" t="s">
        <v>77</v>
      </c>
      <c r="AG3253" t="s">
        <v>77</v>
      </c>
      <c r="AH3253" t="s">
        <v>77</v>
      </c>
      <c r="AI3253" t="s">
        <v>77</v>
      </c>
      <c r="AJ3253" t="s">
        <v>77</v>
      </c>
      <c r="AK3253" t="s">
        <v>77</v>
      </c>
      <c r="AL3253">
        <v>258</v>
      </c>
      <c r="AM3253">
        <v>578</v>
      </c>
      <c r="AN3253">
        <v>44</v>
      </c>
      <c r="AO3253" t="s">
        <v>78</v>
      </c>
      <c r="AP3253">
        <v>1</v>
      </c>
      <c r="AR3253" t="s">
        <v>3348</v>
      </c>
      <c r="AS3253" s="1">
        <v>44353.979861111111</v>
      </c>
      <c r="AT3253" s="1">
        <v>44353.984282407408</v>
      </c>
      <c r="AU3253" s="1">
        <v>44353.985011574077</v>
      </c>
      <c r="AV3253" t="s">
        <v>71</v>
      </c>
      <c r="AW3253" t="s">
        <v>72</v>
      </c>
      <c r="AX3253" t="s">
        <v>73</v>
      </c>
    </row>
    <row r="3254" spans="1:50" x14ac:dyDescent="0.3">
      <c r="A3254" t="str">
        <f>"202474C0100"</f>
        <v>202474C0100</v>
      </c>
      <c r="B3254" t="str">
        <f>"202474C01002"</f>
        <v>202474C01002</v>
      </c>
      <c r="C3254" t="str">
        <f t="shared" si="157"/>
        <v>20</v>
      </c>
      <c r="D3254" t="s">
        <v>67</v>
      </c>
      <c r="E3254" t="str">
        <f t="shared" si="158"/>
        <v>014</v>
      </c>
      <c r="F3254" t="s">
        <v>2914</v>
      </c>
      <c r="G3254" t="str">
        <f>"2474"</f>
        <v>2474</v>
      </c>
      <c r="H3254" t="str">
        <f>"0001"</f>
        <v>0001</v>
      </c>
      <c r="I3254" t="s">
        <v>75</v>
      </c>
      <c r="J3254">
        <v>0</v>
      </c>
      <c r="K3254">
        <v>1</v>
      </c>
      <c r="L3254">
        <v>2</v>
      </c>
      <c r="M3254">
        <v>340</v>
      </c>
      <c r="N3254">
        <v>282</v>
      </c>
      <c r="O3254">
        <v>7</v>
      </c>
      <c r="P3254">
        <v>281</v>
      </c>
      <c r="Q3254">
        <v>12</v>
      </c>
      <c r="R3254">
        <v>45</v>
      </c>
      <c r="S3254">
        <v>4</v>
      </c>
      <c r="T3254">
        <v>6</v>
      </c>
      <c r="U3254">
        <v>5</v>
      </c>
      <c r="V3254">
        <v>7</v>
      </c>
      <c r="W3254">
        <v>1</v>
      </c>
      <c r="X3254">
        <v>137</v>
      </c>
      <c r="Y3254">
        <v>30</v>
      </c>
      <c r="Z3254">
        <v>7</v>
      </c>
      <c r="AA3254">
        <v>5</v>
      </c>
      <c r="AB3254">
        <v>10</v>
      </c>
      <c r="AD3254">
        <v>1</v>
      </c>
      <c r="AE3254">
        <v>0</v>
      </c>
      <c r="AF3254">
        <v>0</v>
      </c>
      <c r="AG3254">
        <v>0</v>
      </c>
      <c r="AH3254">
        <v>1</v>
      </c>
      <c r="AI3254">
        <v>1</v>
      </c>
      <c r="AJ3254">
        <v>9</v>
      </c>
      <c r="AK3254">
        <v>281</v>
      </c>
      <c r="AL3254">
        <v>281</v>
      </c>
      <c r="AM3254">
        <v>577</v>
      </c>
      <c r="AN3254">
        <v>44</v>
      </c>
      <c r="AP3254">
        <v>1</v>
      </c>
      <c r="AR3254" t="s">
        <v>3349</v>
      </c>
      <c r="AS3254" s="1">
        <v>44353.979166666664</v>
      </c>
      <c r="AT3254" s="1">
        <v>44353.983599537038</v>
      </c>
      <c r="AU3254" s="1">
        <v>44353.984143518515</v>
      </c>
      <c r="AV3254" t="s">
        <v>71</v>
      </c>
      <c r="AW3254" t="s">
        <v>72</v>
      </c>
      <c r="AX3254" t="s">
        <v>73</v>
      </c>
    </row>
    <row r="3255" spans="1:50" x14ac:dyDescent="0.3">
      <c r="A3255" t="str">
        <f>"202474C0200"</f>
        <v>202474C0200</v>
      </c>
      <c r="B3255" t="str">
        <f>"202474C02002"</f>
        <v>202474C02002</v>
      </c>
      <c r="C3255" t="str">
        <f t="shared" si="157"/>
        <v>20</v>
      </c>
      <c r="D3255" t="s">
        <v>67</v>
      </c>
      <c r="E3255" t="str">
        <f t="shared" si="158"/>
        <v>014</v>
      </c>
      <c r="F3255" t="s">
        <v>2914</v>
      </c>
      <c r="G3255" t="str">
        <f>"2474"</f>
        <v>2474</v>
      </c>
      <c r="H3255" t="str">
        <f>"0002"</f>
        <v>0002</v>
      </c>
      <c r="I3255" t="s">
        <v>75</v>
      </c>
      <c r="J3255">
        <v>0</v>
      </c>
      <c r="K3255">
        <v>1</v>
      </c>
      <c r="L3255">
        <v>2</v>
      </c>
      <c r="M3255">
        <v>334</v>
      </c>
      <c r="N3255">
        <v>287</v>
      </c>
      <c r="O3255">
        <v>8</v>
      </c>
      <c r="P3255">
        <v>287</v>
      </c>
      <c r="Q3255">
        <v>14</v>
      </c>
      <c r="R3255">
        <v>44</v>
      </c>
      <c r="S3255">
        <v>3</v>
      </c>
      <c r="T3255">
        <v>9</v>
      </c>
      <c r="U3255">
        <v>3</v>
      </c>
      <c r="V3255">
        <v>6</v>
      </c>
      <c r="W3255">
        <v>2</v>
      </c>
      <c r="X3255">
        <v>162</v>
      </c>
      <c r="Y3255">
        <v>22</v>
      </c>
      <c r="Z3255">
        <v>1</v>
      </c>
      <c r="AA3255">
        <v>5</v>
      </c>
      <c r="AB3255">
        <v>9</v>
      </c>
      <c r="AD3255">
        <v>2</v>
      </c>
      <c r="AE3255">
        <v>0</v>
      </c>
      <c r="AF3255">
        <v>0</v>
      </c>
      <c r="AG3255">
        <v>0</v>
      </c>
      <c r="AH3255">
        <v>0</v>
      </c>
      <c r="AI3255" t="s">
        <v>99</v>
      </c>
      <c r="AJ3255">
        <v>7</v>
      </c>
      <c r="AK3255">
        <v>287</v>
      </c>
      <c r="AL3255">
        <v>289</v>
      </c>
      <c r="AM3255">
        <v>577</v>
      </c>
      <c r="AN3255">
        <v>44</v>
      </c>
      <c r="AO3255" t="s">
        <v>78</v>
      </c>
      <c r="AP3255">
        <v>1</v>
      </c>
      <c r="AR3255" t="s">
        <v>3350</v>
      </c>
      <c r="AS3255" s="1">
        <v>44353.979166666664</v>
      </c>
      <c r="AT3255" s="1">
        <v>44353.982442129629</v>
      </c>
      <c r="AU3255" s="1">
        <v>44353.983518518522</v>
      </c>
      <c r="AV3255" t="s">
        <v>71</v>
      </c>
      <c r="AW3255" t="s">
        <v>72</v>
      </c>
      <c r="AX3255" t="s">
        <v>73</v>
      </c>
    </row>
    <row r="3256" spans="1:50" x14ac:dyDescent="0.3">
      <c r="A3256" t="str">
        <f>"202475B0000"</f>
        <v>202475B0000</v>
      </c>
      <c r="B3256" t="str">
        <f>"202475B00002"</f>
        <v>202475B00002</v>
      </c>
      <c r="C3256" t="str">
        <f t="shared" si="157"/>
        <v>20</v>
      </c>
      <c r="D3256" t="s">
        <v>67</v>
      </c>
      <c r="E3256" t="str">
        <f t="shared" si="158"/>
        <v>014</v>
      </c>
      <c r="F3256" t="s">
        <v>2914</v>
      </c>
      <c r="G3256" t="str">
        <f>"2475"</f>
        <v>2475</v>
      </c>
      <c r="H3256" t="str">
        <f>"0000"</f>
        <v>0000</v>
      </c>
      <c r="I3256" t="s">
        <v>69</v>
      </c>
      <c r="J3256">
        <v>0</v>
      </c>
      <c r="K3256">
        <v>1</v>
      </c>
      <c r="L3256">
        <v>2</v>
      </c>
      <c r="M3256">
        <v>252</v>
      </c>
      <c r="N3256">
        <v>189</v>
      </c>
      <c r="O3256">
        <v>9</v>
      </c>
      <c r="P3256">
        <v>189</v>
      </c>
      <c r="Q3256">
        <v>6</v>
      </c>
      <c r="R3256">
        <v>38</v>
      </c>
      <c r="S3256">
        <v>1</v>
      </c>
      <c r="T3256">
        <v>6</v>
      </c>
      <c r="U3256">
        <v>5</v>
      </c>
      <c r="V3256">
        <v>7</v>
      </c>
      <c r="W3256">
        <v>0</v>
      </c>
      <c r="X3256">
        <v>108</v>
      </c>
      <c r="Y3256">
        <v>6</v>
      </c>
      <c r="Z3256">
        <v>4</v>
      </c>
      <c r="AA3256">
        <v>2</v>
      </c>
      <c r="AB3256">
        <v>2</v>
      </c>
      <c r="AD3256">
        <v>2</v>
      </c>
      <c r="AE3256" t="s">
        <v>77</v>
      </c>
      <c r="AF3256" t="s">
        <v>77</v>
      </c>
      <c r="AG3256" t="s">
        <v>77</v>
      </c>
      <c r="AH3256" t="s">
        <v>77</v>
      </c>
      <c r="AI3256" t="s">
        <v>77</v>
      </c>
      <c r="AJ3256">
        <v>2</v>
      </c>
      <c r="AK3256">
        <v>189</v>
      </c>
      <c r="AL3256">
        <v>189</v>
      </c>
      <c r="AM3256">
        <v>397</v>
      </c>
      <c r="AN3256">
        <v>44</v>
      </c>
      <c r="AO3256" t="s">
        <v>78</v>
      </c>
      <c r="AP3256">
        <v>1</v>
      </c>
      <c r="AR3256" t="s">
        <v>3351</v>
      </c>
      <c r="AS3256" s="1">
        <v>44354.037499999999</v>
      </c>
      <c r="AT3256" s="1">
        <v>44354.066030092596</v>
      </c>
      <c r="AU3256" s="1">
        <v>44354.067488425928</v>
      </c>
      <c r="AV3256" t="s">
        <v>71</v>
      </c>
      <c r="AW3256" t="s">
        <v>72</v>
      </c>
      <c r="AX3256" t="s">
        <v>73</v>
      </c>
    </row>
    <row r="3257" spans="1:50" x14ac:dyDescent="0.3">
      <c r="A3257" t="str">
        <f>"202475C0100"</f>
        <v>202475C0100</v>
      </c>
      <c r="B3257" t="str">
        <f>"202475C01002"</f>
        <v>202475C01002</v>
      </c>
      <c r="C3257" t="str">
        <f t="shared" si="157"/>
        <v>20</v>
      </c>
      <c r="D3257" t="s">
        <v>67</v>
      </c>
      <c r="E3257" t="str">
        <f t="shared" si="158"/>
        <v>014</v>
      </c>
      <c r="F3257" t="s">
        <v>2914</v>
      </c>
      <c r="G3257" t="str">
        <f>"2475"</f>
        <v>2475</v>
      </c>
      <c r="H3257" t="str">
        <f>"0001"</f>
        <v>0001</v>
      </c>
      <c r="I3257" t="s">
        <v>75</v>
      </c>
      <c r="J3257">
        <v>0</v>
      </c>
      <c r="K3257">
        <v>1</v>
      </c>
      <c r="L3257">
        <v>2</v>
      </c>
      <c r="M3257">
        <v>241</v>
      </c>
      <c r="N3257">
        <v>200</v>
      </c>
      <c r="O3257">
        <v>7</v>
      </c>
      <c r="P3257">
        <v>200</v>
      </c>
      <c r="Q3257">
        <v>8</v>
      </c>
      <c r="R3257">
        <v>41</v>
      </c>
      <c r="S3257">
        <v>3</v>
      </c>
      <c r="T3257">
        <v>4</v>
      </c>
      <c r="U3257">
        <v>13</v>
      </c>
      <c r="V3257">
        <v>4</v>
      </c>
      <c r="W3257">
        <v>0</v>
      </c>
      <c r="X3257">
        <v>106</v>
      </c>
      <c r="Y3257">
        <v>4</v>
      </c>
      <c r="Z3257">
        <v>4</v>
      </c>
      <c r="AA3257">
        <v>2</v>
      </c>
      <c r="AB3257">
        <v>5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6</v>
      </c>
      <c r="AK3257">
        <v>200</v>
      </c>
      <c r="AL3257">
        <v>200</v>
      </c>
      <c r="AM3257">
        <v>397</v>
      </c>
      <c r="AN3257">
        <v>44</v>
      </c>
      <c r="AP3257">
        <v>1</v>
      </c>
      <c r="AR3257" t="s">
        <v>3352</v>
      </c>
      <c r="AS3257" s="1">
        <v>44354.038888888892</v>
      </c>
      <c r="AT3257" s="1">
        <v>44354.068425925929</v>
      </c>
      <c r="AU3257" s="1">
        <v>44354.069050925929</v>
      </c>
      <c r="AV3257" t="s">
        <v>71</v>
      </c>
      <c r="AW3257" t="s">
        <v>72</v>
      </c>
      <c r="AX3257" t="s">
        <v>73</v>
      </c>
    </row>
    <row r="3258" spans="1:50" x14ac:dyDescent="0.3">
      <c r="A3258" t="str">
        <f>"202476B0000"</f>
        <v>202476B0000</v>
      </c>
      <c r="B3258" t="str">
        <f>"202476B00002"</f>
        <v>202476B00002</v>
      </c>
      <c r="C3258" t="str">
        <f t="shared" si="157"/>
        <v>20</v>
      </c>
      <c r="D3258" t="s">
        <v>67</v>
      </c>
      <c r="E3258" t="str">
        <f t="shared" si="158"/>
        <v>014</v>
      </c>
      <c r="F3258" t="s">
        <v>2914</v>
      </c>
      <c r="G3258" t="str">
        <f>"2476"</f>
        <v>2476</v>
      </c>
      <c r="H3258" t="str">
        <f>"0000"</f>
        <v>0000</v>
      </c>
      <c r="I3258" t="s">
        <v>69</v>
      </c>
      <c r="J3258">
        <v>0</v>
      </c>
      <c r="K3258">
        <v>1</v>
      </c>
      <c r="L3258">
        <v>2</v>
      </c>
      <c r="M3258">
        <v>396</v>
      </c>
      <c r="N3258">
        <v>307</v>
      </c>
      <c r="O3258">
        <v>8</v>
      </c>
      <c r="P3258" t="s">
        <v>80</v>
      </c>
      <c r="Q3258">
        <v>20</v>
      </c>
      <c r="R3258">
        <v>59</v>
      </c>
      <c r="S3258">
        <v>2</v>
      </c>
      <c r="T3258">
        <v>12</v>
      </c>
      <c r="U3258">
        <v>11</v>
      </c>
      <c r="V3258">
        <v>3</v>
      </c>
      <c r="W3258">
        <v>2</v>
      </c>
      <c r="X3258">
        <v>150</v>
      </c>
      <c r="Y3258">
        <v>5</v>
      </c>
      <c r="Z3258">
        <v>6</v>
      </c>
      <c r="AA3258">
        <v>4</v>
      </c>
      <c r="AB3258">
        <v>15</v>
      </c>
      <c r="AD3258">
        <v>0</v>
      </c>
      <c r="AE3258">
        <v>0</v>
      </c>
      <c r="AF3258">
        <v>0</v>
      </c>
      <c r="AG3258">
        <v>1</v>
      </c>
      <c r="AH3258">
        <v>0</v>
      </c>
      <c r="AI3258">
        <v>0</v>
      </c>
      <c r="AJ3258">
        <v>17</v>
      </c>
      <c r="AK3258">
        <v>307</v>
      </c>
      <c r="AL3258">
        <v>307</v>
      </c>
      <c r="AM3258">
        <v>659</v>
      </c>
      <c r="AN3258">
        <v>44</v>
      </c>
      <c r="AP3258">
        <v>1</v>
      </c>
      <c r="AR3258" t="s">
        <v>3353</v>
      </c>
      <c r="AS3258" s="1">
        <v>44353.979166666664</v>
      </c>
      <c r="AT3258" s="1">
        <v>44353.982789351852</v>
      </c>
      <c r="AU3258" s="1">
        <v>44353.983310185184</v>
      </c>
      <c r="AV3258" t="s">
        <v>71</v>
      </c>
      <c r="AW3258" t="s">
        <v>72</v>
      </c>
      <c r="AX3258" t="s">
        <v>73</v>
      </c>
    </row>
    <row r="3259" spans="1:50" x14ac:dyDescent="0.3">
      <c r="A3259" t="str">
        <f>"202476C0100"</f>
        <v>202476C0100</v>
      </c>
      <c r="B3259" t="str">
        <f>"202476C01002"</f>
        <v>202476C01002</v>
      </c>
      <c r="C3259" t="str">
        <f t="shared" si="157"/>
        <v>20</v>
      </c>
      <c r="D3259" t="s">
        <v>67</v>
      </c>
      <c r="E3259" t="str">
        <f t="shared" si="158"/>
        <v>014</v>
      </c>
      <c r="F3259" t="s">
        <v>2914</v>
      </c>
      <c r="G3259" t="str">
        <f>"2476"</f>
        <v>2476</v>
      </c>
      <c r="H3259" t="str">
        <f>"0001"</f>
        <v>0001</v>
      </c>
      <c r="I3259" t="s">
        <v>75</v>
      </c>
      <c r="J3259">
        <v>0</v>
      </c>
      <c r="K3259">
        <v>1</v>
      </c>
      <c r="L3259">
        <v>2</v>
      </c>
      <c r="M3259" t="s">
        <v>80</v>
      </c>
      <c r="N3259" t="s">
        <v>80</v>
      </c>
      <c r="O3259" t="s">
        <v>80</v>
      </c>
      <c r="P3259" t="s">
        <v>80</v>
      </c>
      <c r="Q3259" t="s">
        <v>77</v>
      </c>
      <c r="R3259" t="s">
        <v>77</v>
      </c>
      <c r="S3259" t="s">
        <v>77</v>
      </c>
      <c r="T3259" t="s">
        <v>77</v>
      </c>
      <c r="U3259" t="s">
        <v>77</v>
      </c>
      <c r="V3259" t="s">
        <v>77</v>
      </c>
      <c r="W3259" t="s">
        <v>77</v>
      </c>
      <c r="X3259" t="s">
        <v>77</v>
      </c>
      <c r="Y3259" t="s">
        <v>77</v>
      </c>
      <c r="Z3259" t="s">
        <v>77</v>
      </c>
      <c r="AA3259" t="s">
        <v>77</v>
      </c>
      <c r="AB3259" t="s">
        <v>77</v>
      </c>
      <c r="AD3259" t="s">
        <v>77</v>
      </c>
      <c r="AE3259" t="s">
        <v>77</v>
      </c>
      <c r="AF3259" t="s">
        <v>77</v>
      </c>
      <c r="AG3259" t="s">
        <v>77</v>
      </c>
      <c r="AH3259" t="s">
        <v>77</v>
      </c>
      <c r="AI3259" t="s">
        <v>77</v>
      </c>
      <c r="AJ3259" t="s">
        <v>77</v>
      </c>
      <c r="AM3259">
        <v>658</v>
      </c>
      <c r="AN3259">
        <v>44</v>
      </c>
      <c r="AO3259" t="s">
        <v>392</v>
      </c>
      <c r="AP3259">
        <v>0</v>
      </c>
      <c r="AR3259" t="s">
        <v>3354</v>
      </c>
      <c r="AS3259" s="1">
        <v>44354.208333333336</v>
      </c>
      <c r="AT3259" s="1">
        <v>44354.21465277778</v>
      </c>
      <c r="AU3259" s="1">
        <v>44354.21465277778</v>
      </c>
      <c r="AV3259" t="s">
        <v>71</v>
      </c>
      <c r="AW3259" t="s">
        <v>72</v>
      </c>
      <c r="AX3259" t="s">
        <v>73</v>
      </c>
    </row>
    <row r="3260" spans="1:50" x14ac:dyDescent="0.3">
      <c r="A3260" t="str">
        <f>"202477B0000"</f>
        <v>202477B0000</v>
      </c>
      <c r="B3260" t="str">
        <f>"202477B00002"</f>
        <v>202477B00002</v>
      </c>
      <c r="C3260" t="str">
        <f t="shared" si="157"/>
        <v>20</v>
      </c>
      <c r="D3260" t="s">
        <v>67</v>
      </c>
      <c r="E3260" t="str">
        <f t="shared" si="158"/>
        <v>014</v>
      </c>
      <c r="F3260" t="s">
        <v>2914</v>
      </c>
      <c r="G3260" t="str">
        <f>"2477"</f>
        <v>2477</v>
      </c>
      <c r="H3260" t="str">
        <f>"0000"</f>
        <v>0000</v>
      </c>
      <c r="I3260" t="s">
        <v>69</v>
      </c>
      <c r="J3260">
        <v>0</v>
      </c>
      <c r="K3260">
        <v>1</v>
      </c>
      <c r="L3260">
        <v>2</v>
      </c>
      <c r="M3260">
        <v>326</v>
      </c>
      <c r="N3260">
        <v>240</v>
      </c>
      <c r="O3260">
        <v>4</v>
      </c>
      <c r="P3260">
        <v>240</v>
      </c>
      <c r="Q3260">
        <v>7</v>
      </c>
      <c r="R3260">
        <v>31</v>
      </c>
      <c r="S3260">
        <v>1</v>
      </c>
      <c r="T3260">
        <v>22</v>
      </c>
      <c r="U3260">
        <v>11</v>
      </c>
      <c r="V3260">
        <v>7</v>
      </c>
      <c r="W3260">
        <v>1</v>
      </c>
      <c r="X3260">
        <v>125</v>
      </c>
      <c r="Y3260">
        <v>1</v>
      </c>
      <c r="Z3260">
        <v>11</v>
      </c>
      <c r="AA3260">
        <v>1</v>
      </c>
      <c r="AB3260">
        <v>16</v>
      </c>
      <c r="AD3260">
        <v>1</v>
      </c>
      <c r="AE3260">
        <v>0</v>
      </c>
      <c r="AF3260">
        <v>0</v>
      </c>
      <c r="AG3260">
        <v>1</v>
      </c>
      <c r="AH3260">
        <v>0</v>
      </c>
      <c r="AI3260">
        <v>1</v>
      </c>
      <c r="AJ3260">
        <v>3</v>
      </c>
      <c r="AK3260">
        <v>240</v>
      </c>
      <c r="AL3260">
        <v>240</v>
      </c>
      <c r="AM3260">
        <v>523</v>
      </c>
      <c r="AN3260">
        <v>44</v>
      </c>
      <c r="AP3260">
        <v>1</v>
      </c>
      <c r="AR3260" t="s">
        <v>3355</v>
      </c>
      <c r="AS3260" s="1">
        <v>44354.011805555558</v>
      </c>
      <c r="AT3260" s="1">
        <v>44354.037407407406</v>
      </c>
      <c r="AU3260" s="1">
        <v>44354.038043981483</v>
      </c>
      <c r="AV3260" t="s">
        <v>71</v>
      </c>
      <c r="AW3260" t="s">
        <v>72</v>
      </c>
      <c r="AX3260" t="s">
        <v>73</v>
      </c>
    </row>
    <row r="3261" spans="1:50" x14ac:dyDescent="0.3">
      <c r="A3261" t="str">
        <f>"202477C0100"</f>
        <v>202477C0100</v>
      </c>
      <c r="B3261" t="str">
        <f>"202477C01002"</f>
        <v>202477C01002</v>
      </c>
      <c r="C3261" t="str">
        <f t="shared" si="157"/>
        <v>20</v>
      </c>
      <c r="D3261" t="s">
        <v>67</v>
      </c>
      <c r="E3261" t="str">
        <f t="shared" si="158"/>
        <v>014</v>
      </c>
      <c r="F3261" t="s">
        <v>2914</v>
      </c>
      <c r="G3261" t="str">
        <f>"2477"</f>
        <v>2477</v>
      </c>
      <c r="H3261" t="str">
        <f>"0001"</f>
        <v>0001</v>
      </c>
      <c r="I3261" t="s">
        <v>75</v>
      </c>
      <c r="J3261">
        <v>0</v>
      </c>
      <c r="K3261">
        <v>1</v>
      </c>
      <c r="L3261">
        <v>2</v>
      </c>
      <c r="M3261">
        <v>308</v>
      </c>
      <c r="N3261">
        <v>259</v>
      </c>
      <c r="O3261">
        <v>4</v>
      </c>
      <c r="P3261">
        <v>259</v>
      </c>
      <c r="Q3261">
        <v>4</v>
      </c>
      <c r="R3261">
        <v>39</v>
      </c>
      <c r="S3261">
        <v>4</v>
      </c>
      <c r="T3261">
        <v>11</v>
      </c>
      <c r="U3261">
        <v>12</v>
      </c>
      <c r="V3261">
        <v>4</v>
      </c>
      <c r="W3261">
        <v>1</v>
      </c>
      <c r="X3261">
        <v>150</v>
      </c>
      <c r="Y3261">
        <v>3</v>
      </c>
      <c r="Z3261">
        <v>0</v>
      </c>
      <c r="AA3261">
        <v>2</v>
      </c>
      <c r="AB3261">
        <v>19</v>
      </c>
      <c r="AD3261">
        <v>0</v>
      </c>
      <c r="AE3261">
        <v>0</v>
      </c>
      <c r="AF3261">
        <v>1</v>
      </c>
      <c r="AG3261">
        <v>0</v>
      </c>
      <c r="AH3261">
        <v>1</v>
      </c>
      <c r="AI3261" t="s">
        <v>77</v>
      </c>
      <c r="AJ3261">
        <v>8</v>
      </c>
      <c r="AK3261">
        <v>259</v>
      </c>
      <c r="AL3261">
        <v>259</v>
      </c>
      <c r="AM3261">
        <v>523</v>
      </c>
      <c r="AN3261">
        <v>44</v>
      </c>
      <c r="AO3261" t="s">
        <v>78</v>
      </c>
      <c r="AP3261">
        <v>1</v>
      </c>
      <c r="AR3261" t="s">
        <v>3356</v>
      </c>
      <c r="AS3261" s="1">
        <v>44354.011111111111</v>
      </c>
      <c r="AT3261" s="1">
        <v>44354.035243055558</v>
      </c>
      <c r="AU3261" s="1">
        <v>44354.035763888889</v>
      </c>
      <c r="AV3261" t="s">
        <v>71</v>
      </c>
      <c r="AW3261" t="s">
        <v>72</v>
      </c>
      <c r="AX3261" t="s">
        <v>73</v>
      </c>
    </row>
    <row r="3262" spans="1:50" x14ac:dyDescent="0.3">
      <c r="A3262" t="str">
        <f>"202477C0200"</f>
        <v>202477C0200</v>
      </c>
      <c r="B3262" t="str">
        <f>"202477C02002"</f>
        <v>202477C02002</v>
      </c>
      <c r="C3262" t="str">
        <f t="shared" si="157"/>
        <v>20</v>
      </c>
      <c r="D3262" t="s">
        <v>67</v>
      </c>
      <c r="E3262" t="str">
        <f t="shared" si="158"/>
        <v>014</v>
      </c>
      <c r="F3262" t="s">
        <v>2914</v>
      </c>
      <c r="G3262" t="str">
        <f>"2477"</f>
        <v>2477</v>
      </c>
      <c r="H3262" t="str">
        <f>"0002"</f>
        <v>0002</v>
      </c>
      <c r="I3262" t="s">
        <v>75</v>
      </c>
      <c r="J3262">
        <v>0</v>
      </c>
      <c r="K3262">
        <v>1</v>
      </c>
      <c r="L3262">
        <v>2</v>
      </c>
      <c r="M3262">
        <v>301</v>
      </c>
      <c r="N3262">
        <v>266</v>
      </c>
      <c r="O3262">
        <v>6</v>
      </c>
      <c r="P3262">
        <v>266</v>
      </c>
      <c r="Q3262">
        <v>5</v>
      </c>
      <c r="R3262">
        <v>40</v>
      </c>
      <c r="S3262">
        <v>5</v>
      </c>
      <c r="T3262">
        <v>16</v>
      </c>
      <c r="U3262">
        <v>10</v>
      </c>
      <c r="V3262">
        <v>5</v>
      </c>
      <c r="W3262">
        <v>0</v>
      </c>
      <c r="X3262">
        <v>150</v>
      </c>
      <c r="Y3262">
        <v>3</v>
      </c>
      <c r="Z3262">
        <v>3</v>
      </c>
      <c r="AA3262">
        <v>1</v>
      </c>
      <c r="AB3262">
        <v>17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11</v>
      </c>
      <c r="AK3262">
        <v>266</v>
      </c>
      <c r="AL3262">
        <v>266</v>
      </c>
      <c r="AM3262">
        <v>523</v>
      </c>
      <c r="AN3262">
        <v>44</v>
      </c>
      <c r="AP3262">
        <v>1</v>
      </c>
      <c r="AR3262" t="s">
        <v>3357</v>
      </c>
      <c r="AS3262" s="1">
        <v>44354.011805555558</v>
      </c>
      <c r="AT3262" s="1">
        <v>44354.037974537037</v>
      </c>
      <c r="AU3262" s="1">
        <v>44354.038564814815</v>
      </c>
      <c r="AV3262" t="s">
        <v>71</v>
      </c>
      <c r="AW3262" t="s">
        <v>72</v>
      </c>
      <c r="AX3262" t="s">
        <v>73</v>
      </c>
    </row>
    <row r="3263" spans="1:50" x14ac:dyDescent="0.3">
      <c r="A3263" t="str">
        <f>"202478B0000"</f>
        <v>202478B0000</v>
      </c>
      <c r="B3263" t="str">
        <f>"202478B00002"</f>
        <v>202478B00002</v>
      </c>
      <c r="C3263" t="str">
        <f t="shared" si="157"/>
        <v>20</v>
      </c>
      <c r="D3263" t="s">
        <v>67</v>
      </c>
      <c r="E3263" t="str">
        <f t="shared" si="158"/>
        <v>014</v>
      </c>
      <c r="F3263" t="s">
        <v>2914</v>
      </c>
      <c r="G3263" t="str">
        <f>"2478"</f>
        <v>2478</v>
      </c>
      <c r="H3263" t="str">
        <f>"0000"</f>
        <v>0000</v>
      </c>
      <c r="I3263" t="s">
        <v>69</v>
      </c>
      <c r="J3263">
        <v>0</v>
      </c>
      <c r="K3263">
        <v>1</v>
      </c>
      <c r="L3263">
        <v>2</v>
      </c>
      <c r="M3263">
        <v>362</v>
      </c>
      <c r="N3263">
        <v>252</v>
      </c>
      <c r="O3263">
        <v>6</v>
      </c>
      <c r="P3263">
        <v>2</v>
      </c>
      <c r="Q3263">
        <v>14</v>
      </c>
      <c r="R3263">
        <v>40</v>
      </c>
      <c r="S3263">
        <v>2</v>
      </c>
      <c r="T3263">
        <v>10</v>
      </c>
      <c r="U3263">
        <v>5</v>
      </c>
      <c r="V3263">
        <v>5</v>
      </c>
      <c r="W3263">
        <v>4</v>
      </c>
      <c r="X3263">
        <v>151</v>
      </c>
      <c r="Y3263">
        <v>1</v>
      </c>
      <c r="Z3263">
        <v>2</v>
      </c>
      <c r="AA3263">
        <v>3</v>
      </c>
      <c r="AB3263">
        <v>6</v>
      </c>
      <c r="AD3263">
        <v>0</v>
      </c>
      <c r="AE3263">
        <v>1</v>
      </c>
      <c r="AF3263">
        <v>0</v>
      </c>
      <c r="AG3263">
        <v>0</v>
      </c>
      <c r="AH3263">
        <v>1</v>
      </c>
      <c r="AI3263">
        <v>1</v>
      </c>
      <c r="AJ3263">
        <v>7</v>
      </c>
      <c r="AK3263">
        <v>253</v>
      </c>
      <c r="AL3263">
        <v>253</v>
      </c>
      <c r="AM3263">
        <v>570</v>
      </c>
      <c r="AN3263">
        <v>44</v>
      </c>
      <c r="AP3263">
        <v>1</v>
      </c>
      <c r="AR3263" t="s">
        <v>3358</v>
      </c>
      <c r="AS3263" s="1">
        <v>44354.004166666666</v>
      </c>
      <c r="AT3263" s="1">
        <v>44354.027384259258</v>
      </c>
      <c r="AU3263" s="1">
        <v>44354.027881944443</v>
      </c>
      <c r="AV3263" t="s">
        <v>71</v>
      </c>
      <c r="AW3263" t="s">
        <v>72</v>
      </c>
      <c r="AX3263" t="s">
        <v>73</v>
      </c>
    </row>
    <row r="3264" spans="1:50" x14ac:dyDescent="0.3">
      <c r="A3264" t="str">
        <f>"202478C0100"</f>
        <v>202478C0100</v>
      </c>
      <c r="B3264" t="str">
        <f>"202478C01002"</f>
        <v>202478C01002</v>
      </c>
      <c r="C3264" t="str">
        <f t="shared" si="157"/>
        <v>20</v>
      </c>
      <c r="D3264" t="s">
        <v>67</v>
      </c>
      <c r="E3264" t="str">
        <f t="shared" si="158"/>
        <v>014</v>
      </c>
      <c r="F3264" t="s">
        <v>2914</v>
      </c>
      <c r="G3264" t="str">
        <f>"2478"</f>
        <v>2478</v>
      </c>
      <c r="H3264" t="str">
        <f>"0001"</f>
        <v>0001</v>
      </c>
      <c r="I3264" t="s">
        <v>75</v>
      </c>
      <c r="J3264">
        <v>0</v>
      </c>
      <c r="K3264">
        <v>1</v>
      </c>
      <c r="L3264">
        <v>2</v>
      </c>
      <c r="M3264">
        <v>382</v>
      </c>
      <c r="N3264">
        <v>232</v>
      </c>
      <c r="O3264">
        <v>7</v>
      </c>
      <c r="P3264">
        <v>231</v>
      </c>
      <c r="Q3264">
        <v>7</v>
      </c>
      <c r="R3264">
        <v>57</v>
      </c>
      <c r="S3264">
        <v>3</v>
      </c>
      <c r="T3264">
        <v>3</v>
      </c>
      <c r="U3264">
        <v>17</v>
      </c>
      <c r="V3264">
        <v>3</v>
      </c>
      <c r="W3264">
        <v>2</v>
      </c>
      <c r="X3264">
        <v>114</v>
      </c>
      <c r="Y3264">
        <v>3</v>
      </c>
      <c r="Z3264">
        <v>7</v>
      </c>
      <c r="AA3264">
        <v>3</v>
      </c>
      <c r="AB3264">
        <v>5</v>
      </c>
      <c r="AD3264">
        <v>1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6</v>
      </c>
      <c r="AK3264">
        <v>231</v>
      </c>
      <c r="AL3264">
        <v>231</v>
      </c>
      <c r="AM3264">
        <v>570</v>
      </c>
      <c r="AN3264">
        <v>44</v>
      </c>
      <c r="AP3264">
        <v>1</v>
      </c>
      <c r="AR3264" t="s">
        <v>3359</v>
      </c>
      <c r="AS3264" s="1">
        <v>44353.986111111109</v>
      </c>
      <c r="AT3264" s="1">
        <v>44353.990891203706</v>
      </c>
      <c r="AU3264" s="1">
        <v>44353.99145833333</v>
      </c>
      <c r="AV3264" t="s">
        <v>71</v>
      </c>
      <c r="AW3264" t="s">
        <v>72</v>
      </c>
      <c r="AX3264" t="s">
        <v>73</v>
      </c>
    </row>
    <row r="3265" spans="1:50" x14ac:dyDescent="0.3">
      <c r="A3265" t="str">
        <f>"202478C0200"</f>
        <v>202478C0200</v>
      </c>
      <c r="B3265" t="str">
        <f>"202478C02002"</f>
        <v>202478C02002</v>
      </c>
      <c r="C3265" t="str">
        <f t="shared" si="157"/>
        <v>20</v>
      </c>
      <c r="D3265" t="s">
        <v>67</v>
      </c>
      <c r="E3265" t="str">
        <f t="shared" si="158"/>
        <v>014</v>
      </c>
      <c r="F3265" t="s">
        <v>2914</v>
      </c>
      <c r="G3265" t="str">
        <f>"2478"</f>
        <v>2478</v>
      </c>
      <c r="H3265" t="str">
        <f>"0002"</f>
        <v>0002</v>
      </c>
      <c r="I3265" t="s">
        <v>75</v>
      </c>
      <c r="J3265">
        <v>0</v>
      </c>
      <c r="K3265">
        <v>1</v>
      </c>
      <c r="L3265">
        <v>2</v>
      </c>
      <c r="M3265">
        <v>386</v>
      </c>
      <c r="N3265">
        <v>228</v>
      </c>
      <c r="O3265">
        <v>4</v>
      </c>
      <c r="P3265">
        <v>227</v>
      </c>
      <c r="Q3265">
        <v>10</v>
      </c>
      <c r="R3265">
        <v>42</v>
      </c>
      <c r="S3265">
        <v>2</v>
      </c>
      <c r="T3265">
        <v>6</v>
      </c>
      <c r="U3265">
        <v>5</v>
      </c>
      <c r="V3265">
        <v>3</v>
      </c>
      <c r="W3265">
        <v>8</v>
      </c>
      <c r="X3265">
        <v>126</v>
      </c>
      <c r="Y3265">
        <v>1</v>
      </c>
      <c r="Z3265">
        <v>8</v>
      </c>
      <c r="AA3265">
        <v>4</v>
      </c>
      <c r="AB3265">
        <v>6</v>
      </c>
      <c r="AD3265">
        <v>1</v>
      </c>
      <c r="AE3265">
        <v>1</v>
      </c>
      <c r="AF3265">
        <v>0</v>
      </c>
      <c r="AG3265">
        <v>0</v>
      </c>
      <c r="AH3265">
        <v>0</v>
      </c>
      <c r="AI3265">
        <v>0</v>
      </c>
      <c r="AJ3265">
        <v>4</v>
      </c>
      <c r="AK3265">
        <v>227</v>
      </c>
      <c r="AL3265">
        <v>227</v>
      </c>
      <c r="AM3265">
        <v>570</v>
      </c>
      <c r="AN3265">
        <v>44</v>
      </c>
      <c r="AP3265">
        <v>1</v>
      </c>
      <c r="AR3265" t="s">
        <v>3360</v>
      </c>
      <c r="AS3265" s="1">
        <v>44354.004166666666</v>
      </c>
      <c r="AT3265" s="1">
        <v>44354.248124999998</v>
      </c>
      <c r="AU3265" s="1">
        <v>44354.248668981483</v>
      </c>
      <c r="AV3265" t="s">
        <v>71</v>
      </c>
      <c r="AW3265" t="s">
        <v>72</v>
      </c>
      <c r="AX3265" t="s">
        <v>73</v>
      </c>
    </row>
    <row r="3266" spans="1:50" x14ac:dyDescent="0.3">
      <c r="A3266" t="str">
        <f>"202478C0300"</f>
        <v>202478C0300</v>
      </c>
      <c r="B3266" t="str">
        <f>"202478C03002"</f>
        <v>202478C03002</v>
      </c>
      <c r="C3266" t="str">
        <f t="shared" si="157"/>
        <v>20</v>
      </c>
      <c r="D3266" t="s">
        <v>67</v>
      </c>
      <c r="E3266" t="str">
        <f t="shared" si="158"/>
        <v>014</v>
      </c>
      <c r="F3266" t="s">
        <v>2914</v>
      </c>
      <c r="G3266" t="str">
        <f>"2478"</f>
        <v>2478</v>
      </c>
      <c r="H3266" t="str">
        <f>"0003"</f>
        <v>0003</v>
      </c>
      <c r="I3266" t="s">
        <v>75</v>
      </c>
      <c r="J3266">
        <v>0</v>
      </c>
      <c r="K3266">
        <v>1</v>
      </c>
      <c r="L3266">
        <v>2</v>
      </c>
      <c r="M3266">
        <v>383</v>
      </c>
      <c r="N3266">
        <v>231</v>
      </c>
      <c r="O3266">
        <v>5</v>
      </c>
      <c r="P3266">
        <v>232</v>
      </c>
      <c r="Q3266">
        <v>10</v>
      </c>
      <c r="R3266">
        <v>46</v>
      </c>
      <c r="S3266">
        <v>3</v>
      </c>
      <c r="T3266">
        <v>4</v>
      </c>
      <c r="U3266">
        <v>9</v>
      </c>
      <c r="V3266">
        <v>6</v>
      </c>
      <c r="W3266">
        <v>4</v>
      </c>
      <c r="X3266">
        <v>120</v>
      </c>
      <c r="Y3266">
        <v>5</v>
      </c>
      <c r="Z3266">
        <v>7</v>
      </c>
      <c r="AA3266">
        <v>4</v>
      </c>
      <c r="AB3266">
        <v>3</v>
      </c>
      <c r="AD3266">
        <v>2</v>
      </c>
      <c r="AE3266">
        <v>1</v>
      </c>
      <c r="AF3266">
        <v>0</v>
      </c>
      <c r="AG3266">
        <v>0</v>
      </c>
      <c r="AH3266">
        <v>0</v>
      </c>
      <c r="AI3266">
        <v>0</v>
      </c>
      <c r="AJ3266">
        <v>8</v>
      </c>
      <c r="AK3266">
        <v>232</v>
      </c>
      <c r="AL3266">
        <v>232</v>
      </c>
      <c r="AM3266">
        <v>570</v>
      </c>
      <c r="AN3266">
        <v>44</v>
      </c>
      <c r="AP3266">
        <v>1</v>
      </c>
      <c r="AR3266" t="s">
        <v>3361</v>
      </c>
      <c r="AS3266" s="1">
        <v>44353.97152777778</v>
      </c>
      <c r="AT3266" s="1">
        <v>44353.996469907404</v>
      </c>
      <c r="AU3266" s="1">
        <v>44353.997291666667</v>
      </c>
      <c r="AV3266" t="s">
        <v>71</v>
      </c>
      <c r="AW3266" t="s">
        <v>72</v>
      </c>
      <c r="AX3266" t="s">
        <v>73</v>
      </c>
    </row>
    <row r="3267" spans="1:50" x14ac:dyDescent="0.3">
      <c r="A3267" t="str">
        <f>"202479B0000"</f>
        <v>202479B0000</v>
      </c>
      <c r="B3267" t="str">
        <f>"202479B00002"</f>
        <v>202479B00002</v>
      </c>
      <c r="C3267" t="str">
        <f t="shared" si="157"/>
        <v>20</v>
      </c>
      <c r="D3267" t="s">
        <v>67</v>
      </c>
      <c r="E3267" t="str">
        <f t="shared" si="158"/>
        <v>014</v>
      </c>
      <c r="F3267" t="s">
        <v>2914</v>
      </c>
      <c r="G3267" t="str">
        <f>"2479"</f>
        <v>2479</v>
      </c>
      <c r="H3267" t="str">
        <f>"0000"</f>
        <v>0000</v>
      </c>
      <c r="I3267" t="s">
        <v>69</v>
      </c>
      <c r="J3267">
        <v>0</v>
      </c>
      <c r="K3267">
        <v>1</v>
      </c>
      <c r="L3267">
        <v>2</v>
      </c>
      <c r="M3267">
        <v>424</v>
      </c>
      <c r="N3267">
        <v>345</v>
      </c>
      <c r="O3267">
        <v>6</v>
      </c>
      <c r="P3267">
        <v>345</v>
      </c>
      <c r="Q3267">
        <v>10</v>
      </c>
      <c r="R3267">
        <v>80</v>
      </c>
      <c r="S3267">
        <v>0</v>
      </c>
      <c r="T3267">
        <v>14</v>
      </c>
      <c r="U3267">
        <v>6</v>
      </c>
      <c r="V3267">
        <v>4</v>
      </c>
      <c r="W3267">
        <v>2</v>
      </c>
      <c r="X3267">
        <v>181</v>
      </c>
      <c r="Y3267">
        <v>9</v>
      </c>
      <c r="Z3267">
        <v>9</v>
      </c>
      <c r="AA3267">
        <v>3</v>
      </c>
      <c r="AB3267">
        <v>17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10</v>
      </c>
      <c r="AK3267">
        <v>345</v>
      </c>
      <c r="AL3267">
        <v>345</v>
      </c>
      <c r="AM3267">
        <v>725</v>
      </c>
      <c r="AN3267">
        <v>44</v>
      </c>
      <c r="AP3267">
        <v>1</v>
      </c>
      <c r="AR3267" t="s">
        <v>3362</v>
      </c>
      <c r="AS3267" s="1">
        <v>44354.018055555556</v>
      </c>
      <c r="AT3267" s="1">
        <v>44354.052303240744</v>
      </c>
      <c r="AU3267" s="1">
        <v>44354.052997685183</v>
      </c>
      <c r="AV3267" t="s">
        <v>71</v>
      </c>
      <c r="AW3267" t="s">
        <v>72</v>
      </c>
      <c r="AX3267" t="s">
        <v>73</v>
      </c>
    </row>
    <row r="3268" spans="1:50" x14ac:dyDescent="0.3">
      <c r="A3268" t="str">
        <f>"202479C0100"</f>
        <v>202479C0100</v>
      </c>
      <c r="B3268" t="str">
        <f>"202479C01002"</f>
        <v>202479C01002</v>
      </c>
      <c r="C3268" t="str">
        <f t="shared" si="157"/>
        <v>20</v>
      </c>
      <c r="D3268" t="s">
        <v>67</v>
      </c>
      <c r="E3268" t="str">
        <f t="shared" si="158"/>
        <v>014</v>
      </c>
      <c r="F3268" t="s">
        <v>2914</v>
      </c>
      <c r="G3268" t="str">
        <f>"2479"</f>
        <v>2479</v>
      </c>
      <c r="H3268" t="str">
        <f>"0001"</f>
        <v>0001</v>
      </c>
      <c r="I3268" t="s">
        <v>75</v>
      </c>
      <c r="J3268">
        <v>0</v>
      </c>
      <c r="K3268">
        <v>1</v>
      </c>
      <c r="L3268">
        <v>2</v>
      </c>
      <c r="M3268">
        <v>460</v>
      </c>
      <c r="N3268">
        <v>309</v>
      </c>
      <c r="O3268">
        <v>5</v>
      </c>
      <c r="P3268">
        <v>309</v>
      </c>
      <c r="Q3268">
        <v>16</v>
      </c>
      <c r="R3268">
        <v>70</v>
      </c>
      <c r="S3268">
        <v>0</v>
      </c>
      <c r="T3268">
        <v>13</v>
      </c>
      <c r="U3268">
        <v>11</v>
      </c>
      <c r="V3268">
        <v>3</v>
      </c>
      <c r="W3268">
        <v>4</v>
      </c>
      <c r="X3268">
        <v>150</v>
      </c>
      <c r="Y3268">
        <v>7</v>
      </c>
      <c r="Z3268">
        <v>5</v>
      </c>
      <c r="AA3268">
        <v>7</v>
      </c>
      <c r="AB3268">
        <v>13</v>
      </c>
      <c r="AD3268">
        <v>0</v>
      </c>
      <c r="AE3268">
        <v>1</v>
      </c>
      <c r="AF3268">
        <v>0</v>
      </c>
      <c r="AG3268">
        <v>0</v>
      </c>
      <c r="AH3268">
        <v>0</v>
      </c>
      <c r="AI3268">
        <v>0</v>
      </c>
      <c r="AJ3268">
        <v>9</v>
      </c>
      <c r="AK3268">
        <v>309</v>
      </c>
      <c r="AL3268">
        <v>309</v>
      </c>
      <c r="AM3268">
        <v>725</v>
      </c>
      <c r="AN3268">
        <v>44</v>
      </c>
      <c r="AP3268">
        <v>1</v>
      </c>
      <c r="AR3268" t="s">
        <v>3363</v>
      </c>
      <c r="AS3268" s="1">
        <v>44354.011805555558</v>
      </c>
      <c r="AT3268" s="1">
        <v>44354.038680555554</v>
      </c>
      <c r="AU3268" s="1">
        <v>44354.038993055554</v>
      </c>
      <c r="AV3268" t="s">
        <v>71</v>
      </c>
      <c r="AW3268" t="s">
        <v>72</v>
      </c>
      <c r="AX3268" t="s">
        <v>73</v>
      </c>
    </row>
    <row r="3269" spans="1:50" x14ac:dyDescent="0.3">
      <c r="A3269" t="str">
        <f>"200037B0000"</f>
        <v>200037B0000</v>
      </c>
      <c r="B3269" t="str">
        <f>"200037B00002"</f>
        <v>200037B00002</v>
      </c>
      <c r="C3269" t="str">
        <f t="shared" si="157"/>
        <v>20</v>
      </c>
      <c r="D3269" t="s">
        <v>67</v>
      </c>
      <c r="E3269" t="str">
        <f t="shared" ref="E3269:E3332" si="160">"015"</f>
        <v>015</v>
      </c>
      <c r="F3269" t="s">
        <v>3364</v>
      </c>
      <c r="G3269" t="str">
        <f>"0037"</f>
        <v>0037</v>
      </c>
      <c r="H3269" t="str">
        <f>"0000"</f>
        <v>0000</v>
      </c>
      <c r="I3269" t="s">
        <v>69</v>
      </c>
      <c r="J3269">
        <v>0</v>
      </c>
      <c r="K3269">
        <v>1</v>
      </c>
      <c r="L3269">
        <v>2</v>
      </c>
      <c r="M3269">
        <v>297</v>
      </c>
      <c r="N3269">
        <v>390</v>
      </c>
      <c r="O3269">
        <v>0</v>
      </c>
      <c r="P3269">
        <v>390</v>
      </c>
      <c r="Q3269">
        <v>15</v>
      </c>
      <c r="R3269">
        <v>34</v>
      </c>
      <c r="S3269">
        <v>3</v>
      </c>
      <c r="T3269">
        <v>8</v>
      </c>
      <c r="U3269">
        <v>26</v>
      </c>
      <c r="V3269">
        <v>6</v>
      </c>
      <c r="W3269">
        <v>48</v>
      </c>
      <c r="X3269">
        <v>142</v>
      </c>
      <c r="Y3269">
        <v>6</v>
      </c>
      <c r="Z3269">
        <v>22</v>
      </c>
      <c r="AA3269">
        <v>3</v>
      </c>
      <c r="AB3269">
        <v>59</v>
      </c>
      <c r="AD3269">
        <v>3</v>
      </c>
      <c r="AE3269">
        <v>0</v>
      </c>
      <c r="AF3269">
        <v>1</v>
      </c>
      <c r="AG3269">
        <v>0</v>
      </c>
      <c r="AI3269">
        <v>0</v>
      </c>
      <c r="AJ3269">
        <v>14</v>
      </c>
      <c r="AK3269">
        <v>390</v>
      </c>
      <c r="AL3269">
        <v>390</v>
      </c>
      <c r="AM3269">
        <v>647</v>
      </c>
      <c r="AN3269">
        <v>44</v>
      </c>
      <c r="AP3269">
        <v>1</v>
      </c>
      <c r="AR3269" t="s">
        <v>3365</v>
      </c>
      <c r="AS3269" s="1">
        <v>44354.026388888888</v>
      </c>
      <c r="AT3269" s="1">
        <v>44354.040208333332</v>
      </c>
      <c r="AU3269" s="1">
        <v>44354.040729166663</v>
      </c>
      <c r="AV3269" t="s">
        <v>71</v>
      </c>
      <c r="AW3269" t="s">
        <v>72</v>
      </c>
      <c r="AX3269" t="s">
        <v>73</v>
      </c>
    </row>
    <row r="3270" spans="1:50" x14ac:dyDescent="0.3">
      <c r="A3270" t="str">
        <f>"200037C0100"</f>
        <v>200037C0100</v>
      </c>
      <c r="B3270" t="str">
        <f>"200037C01002"</f>
        <v>200037C01002</v>
      </c>
      <c r="C3270" t="str">
        <f t="shared" si="157"/>
        <v>20</v>
      </c>
      <c r="D3270" t="s">
        <v>67</v>
      </c>
      <c r="E3270" t="str">
        <f t="shared" si="160"/>
        <v>015</v>
      </c>
      <c r="F3270" t="s">
        <v>3364</v>
      </c>
      <c r="G3270" t="str">
        <f>"0037"</f>
        <v>0037</v>
      </c>
      <c r="H3270" t="str">
        <f>"0001"</f>
        <v>0001</v>
      </c>
      <c r="I3270" t="s">
        <v>75</v>
      </c>
      <c r="J3270">
        <v>0</v>
      </c>
      <c r="K3270">
        <v>1</v>
      </c>
      <c r="L3270">
        <v>2</v>
      </c>
      <c r="M3270">
        <v>294</v>
      </c>
      <c r="N3270">
        <v>397</v>
      </c>
      <c r="O3270">
        <v>5</v>
      </c>
      <c r="P3270">
        <v>397</v>
      </c>
      <c r="Q3270">
        <v>8</v>
      </c>
      <c r="R3270">
        <v>34</v>
      </c>
      <c r="S3270">
        <v>5</v>
      </c>
      <c r="T3270">
        <v>9</v>
      </c>
      <c r="U3270">
        <v>39</v>
      </c>
      <c r="V3270">
        <v>5</v>
      </c>
      <c r="W3270">
        <v>45</v>
      </c>
      <c r="X3270">
        <v>146</v>
      </c>
      <c r="Y3270">
        <v>3</v>
      </c>
      <c r="Z3270">
        <v>23</v>
      </c>
      <c r="AA3270">
        <v>3</v>
      </c>
      <c r="AB3270">
        <v>65</v>
      </c>
      <c r="AD3270">
        <v>0</v>
      </c>
      <c r="AE3270">
        <v>0</v>
      </c>
      <c r="AF3270">
        <v>0</v>
      </c>
      <c r="AG3270">
        <v>0</v>
      </c>
      <c r="AI3270">
        <v>0</v>
      </c>
      <c r="AJ3270">
        <v>12</v>
      </c>
      <c r="AK3270">
        <v>397</v>
      </c>
      <c r="AL3270">
        <v>397</v>
      </c>
      <c r="AM3270">
        <v>647</v>
      </c>
      <c r="AN3270">
        <v>44</v>
      </c>
      <c r="AP3270">
        <v>1</v>
      </c>
      <c r="AR3270" s="2" t="s">
        <v>3366</v>
      </c>
      <c r="AS3270" s="1">
        <v>44354.029166666667</v>
      </c>
      <c r="AT3270" s="1">
        <v>44354.063472222224</v>
      </c>
      <c r="AU3270" s="1">
        <v>44354.064305555556</v>
      </c>
      <c r="AV3270" t="s">
        <v>71</v>
      </c>
      <c r="AW3270" t="s">
        <v>72</v>
      </c>
      <c r="AX3270" t="s">
        <v>73</v>
      </c>
    </row>
    <row r="3271" spans="1:50" x14ac:dyDescent="0.3">
      <c r="A3271" t="str">
        <f>"200037C0200"</f>
        <v>200037C0200</v>
      </c>
      <c r="B3271" t="str">
        <f>"200037C02002"</f>
        <v>200037C02002</v>
      </c>
      <c r="C3271" t="str">
        <f t="shared" ref="C3271:C3334" si="161">"20"</f>
        <v>20</v>
      </c>
      <c r="D3271" t="s">
        <v>67</v>
      </c>
      <c r="E3271" t="str">
        <f t="shared" si="160"/>
        <v>015</v>
      </c>
      <c r="F3271" t="s">
        <v>3364</v>
      </c>
      <c r="G3271" t="str">
        <f>"0037"</f>
        <v>0037</v>
      </c>
      <c r="H3271" t="str">
        <f>"0002"</f>
        <v>0002</v>
      </c>
      <c r="I3271" t="s">
        <v>75</v>
      </c>
      <c r="J3271">
        <v>0</v>
      </c>
      <c r="K3271">
        <v>1</v>
      </c>
      <c r="L3271">
        <v>2</v>
      </c>
      <c r="M3271">
        <v>272</v>
      </c>
      <c r="N3271">
        <v>420</v>
      </c>
      <c r="O3271">
        <v>2</v>
      </c>
      <c r="P3271">
        <v>420</v>
      </c>
      <c r="Q3271">
        <v>8</v>
      </c>
      <c r="R3271">
        <v>32</v>
      </c>
      <c r="S3271">
        <v>11</v>
      </c>
      <c r="T3271">
        <v>7</v>
      </c>
      <c r="U3271">
        <v>29</v>
      </c>
      <c r="V3271">
        <v>5</v>
      </c>
      <c r="W3271">
        <v>49</v>
      </c>
      <c r="X3271">
        <v>154</v>
      </c>
      <c r="Y3271">
        <v>5</v>
      </c>
      <c r="Z3271">
        <v>19</v>
      </c>
      <c r="AA3271">
        <v>3</v>
      </c>
      <c r="AB3271">
        <v>75</v>
      </c>
      <c r="AD3271">
        <v>1</v>
      </c>
      <c r="AE3271">
        <v>0</v>
      </c>
      <c r="AF3271">
        <v>0</v>
      </c>
      <c r="AG3271">
        <v>0</v>
      </c>
      <c r="AI3271">
        <v>0</v>
      </c>
      <c r="AJ3271">
        <v>22</v>
      </c>
      <c r="AK3271">
        <v>420</v>
      </c>
      <c r="AL3271">
        <v>420</v>
      </c>
      <c r="AM3271">
        <v>647</v>
      </c>
      <c r="AN3271">
        <v>44</v>
      </c>
      <c r="AP3271">
        <v>1</v>
      </c>
      <c r="AR3271" t="s">
        <v>3367</v>
      </c>
      <c r="AS3271" s="1">
        <v>44354.032638888886</v>
      </c>
      <c r="AT3271" s="1">
        <v>44354.056250000001</v>
      </c>
      <c r="AU3271" s="1">
        <v>44354.056898148148</v>
      </c>
      <c r="AV3271" t="s">
        <v>71</v>
      </c>
      <c r="AW3271" t="s">
        <v>72</v>
      </c>
      <c r="AX3271" t="s">
        <v>73</v>
      </c>
    </row>
    <row r="3272" spans="1:50" x14ac:dyDescent="0.3">
      <c r="A3272" t="str">
        <f>"200038B0000"</f>
        <v>200038B0000</v>
      </c>
      <c r="B3272" t="str">
        <f>"200038B00002"</f>
        <v>200038B00002</v>
      </c>
      <c r="C3272" t="str">
        <f t="shared" si="161"/>
        <v>20</v>
      </c>
      <c r="D3272" t="s">
        <v>67</v>
      </c>
      <c r="E3272" t="str">
        <f t="shared" si="160"/>
        <v>015</v>
      </c>
      <c r="F3272" t="s">
        <v>3364</v>
      </c>
      <c r="G3272" t="str">
        <f>"0038"</f>
        <v>0038</v>
      </c>
      <c r="H3272" t="str">
        <f>"0000"</f>
        <v>0000</v>
      </c>
      <c r="I3272" t="s">
        <v>69</v>
      </c>
      <c r="J3272">
        <v>0</v>
      </c>
      <c r="K3272">
        <v>1</v>
      </c>
      <c r="L3272">
        <v>2</v>
      </c>
      <c r="M3272">
        <v>327</v>
      </c>
      <c r="N3272">
        <v>390</v>
      </c>
      <c r="O3272">
        <v>4</v>
      </c>
      <c r="P3272">
        <v>390</v>
      </c>
      <c r="Q3272">
        <v>11</v>
      </c>
      <c r="R3272">
        <v>31</v>
      </c>
      <c r="S3272">
        <v>7</v>
      </c>
      <c r="T3272">
        <v>7</v>
      </c>
      <c r="U3272">
        <v>29</v>
      </c>
      <c r="V3272">
        <v>4</v>
      </c>
      <c r="W3272">
        <v>36</v>
      </c>
      <c r="X3272">
        <v>152</v>
      </c>
      <c r="Y3272">
        <v>6</v>
      </c>
      <c r="Z3272">
        <v>21</v>
      </c>
      <c r="AA3272">
        <v>6</v>
      </c>
      <c r="AB3272">
        <v>62</v>
      </c>
      <c r="AD3272">
        <v>1</v>
      </c>
      <c r="AE3272">
        <v>0</v>
      </c>
      <c r="AF3272">
        <v>0</v>
      </c>
      <c r="AG3272">
        <v>0</v>
      </c>
      <c r="AI3272">
        <v>0</v>
      </c>
      <c r="AJ3272">
        <v>17</v>
      </c>
      <c r="AK3272">
        <v>386</v>
      </c>
      <c r="AL3272">
        <v>390</v>
      </c>
      <c r="AM3272">
        <v>673</v>
      </c>
      <c r="AN3272">
        <v>44</v>
      </c>
      <c r="AP3272">
        <v>1</v>
      </c>
      <c r="AR3272" t="s">
        <v>3368</v>
      </c>
      <c r="AS3272" s="1">
        <v>44354.026388888888</v>
      </c>
      <c r="AT3272" s="1">
        <v>44354.039675925924</v>
      </c>
      <c r="AU3272" s="1">
        <v>44354.040578703702</v>
      </c>
      <c r="AV3272" t="s">
        <v>71</v>
      </c>
      <c r="AW3272" t="s">
        <v>72</v>
      </c>
      <c r="AX3272" t="s">
        <v>73</v>
      </c>
    </row>
    <row r="3273" spans="1:50" x14ac:dyDescent="0.3">
      <c r="A3273" t="str">
        <f>"200038C0100"</f>
        <v>200038C0100</v>
      </c>
      <c r="B3273" t="str">
        <f>"200038C01002"</f>
        <v>200038C01002</v>
      </c>
      <c r="C3273" t="str">
        <f t="shared" si="161"/>
        <v>20</v>
      </c>
      <c r="D3273" t="s">
        <v>67</v>
      </c>
      <c r="E3273" t="str">
        <f t="shared" si="160"/>
        <v>015</v>
      </c>
      <c r="F3273" t="s">
        <v>3364</v>
      </c>
      <c r="G3273" t="str">
        <f>"0038"</f>
        <v>0038</v>
      </c>
      <c r="H3273" t="str">
        <f>"0001"</f>
        <v>0001</v>
      </c>
      <c r="I3273" t="s">
        <v>75</v>
      </c>
      <c r="J3273">
        <v>0</v>
      </c>
      <c r="K3273">
        <v>1</v>
      </c>
      <c r="L3273">
        <v>2</v>
      </c>
      <c r="M3273">
        <v>315</v>
      </c>
      <c r="N3273">
        <v>401</v>
      </c>
      <c r="O3273">
        <v>7</v>
      </c>
      <c r="P3273">
        <v>400</v>
      </c>
      <c r="Q3273">
        <v>5</v>
      </c>
      <c r="R3273">
        <v>32</v>
      </c>
      <c r="S3273">
        <v>2</v>
      </c>
      <c r="T3273">
        <v>3</v>
      </c>
      <c r="U3273">
        <v>28</v>
      </c>
      <c r="V3273">
        <v>6</v>
      </c>
      <c r="W3273">
        <v>41</v>
      </c>
      <c r="X3273">
        <v>168</v>
      </c>
      <c r="Y3273">
        <v>4</v>
      </c>
      <c r="Z3273">
        <v>22</v>
      </c>
      <c r="AA3273">
        <v>3</v>
      </c>
      <c r="AB3273">
        <v>66</v>
      </c>
      <c r="AD3273">
        <v>0</v>
      </c>
      <c r="AE3273">
        <v>0</v>
      </c>
      <c r="AF3273">
        <v>0</v>
      </c>
      <c r="AG3273">
        <v>0</v>
      </c>
      <c r="AI3273">
        <v>0</v>
      </c>
      <c r="AJ3273">
        <v>20</v>
      </c>
      <c r="AK3273">
        <v>400</v>
      </c>
      <c r="AL3273">
        <v>400</v>
      </c>
      <c r="AM3273">
        <v>672</v>
      </c>
      <c r="AN3273">
        <v>44</v>
      </c>
      <c r="AP3273">
        <v>1</v>
      </c>
      <c r="AR3273" t="s">
        <v>3369</v>
      </c>
      <c r="AS3273" s="1">
        <v>44354.02847222222</v>
      </c>
      <c r="AT3273" s="1">
        <v>44354.062627314815</v>
      </c>
      <c r="AU3273" s="1">
        <v>44354.063032407408</v>
      </c>
      <c r="AV3273" t="s">
        <v>71</v>
      </c>
      <c r="AW3273" t="s">
        <v>72</v>
      </c>
      <c r="AX3273" t="s">
        <v>73</v>
      </c>
    </row>
    <row r="3274" spans="1:50" x14ac:dyDescent="0.3">
      <c r="A3274" t="str">
        <f>"200147B0000"</f>
        <v>200147B0000</v>
      </c>
      <c r="B3274" t="str">
        <f>"200147B00002"</f>
        <v>200147B00002</v>
      </c>
      <c r="C3274" t="str">
        <f t="shared" si="161"/>
        <v>20</v>
      </c>
      <c r="D3274" t="s">
        <v>67</v>
      </c>
      <c r="E3274" t="str">
        <f t="shared" si="160"/>
        <v>015</v>
      </c>
      <c r="F3274" t="s">
        <v>3364</v>
      </c>
      <c r="G3274" t="str">
        <f>"0147"</f>
        <v>0147</v>
      </c>
      <c r="H3274" t="str">
        <f>"0000"</f>
        <v>0000</v>
      </c>
      <c r="I3274" t="s">
        <v>69</v>
      </c>
      <c r="J3274">
        <v>0</v>
      </c>
      <c r="K3274">
        <v>1</v>
      </c>
      <c r="L3274">
        <v>2</v>
      </c>
      <c r="M3274">
        <v>216</v>
      </c>
      <c r="N3274">
        <v>448</v>
      </c>
      <c r="O3274">
        <v>5</v>
      </c>
      <c r="P3274">
        <v>448</v>
      </c>
      <c r="Q3274">
        <v>11</v>
      </c>
      <c r="R3274">
        <v>33</v>
      </c>
      <c r="S3274">
        <v>4</v>
      </c>
      <c r="T3274">
        <v>131</v>
      </c>
      <c r="U3274">
        <v>25</v>
      </c>
      <c r="V3274">
        <v>33</v>
      </c>
      <c r="W3274">
        <v>51</v>
      </c>
      <c r="X3274">
        <v>96</v>
      </c>
      <c r="Y3274">
        <v>5</v>
      </c>
      <c r="Z3274">
        <v>3</v>
      </c>
      <c r="AA3274">
        <v>38</v>
      </c>
      <c r="AB3274">
        <v>3</v>
      </c>
      <c r="AD3274">
        <v>0</v>
      </c>
      <c r="AE3274">
        <v>0</v>
      </c>
      <c r="AF3274">
        <v>0</v>
      </c>
      <c r="AG3274">
        <v>0</v>
      </c>
      <c r="AI3274">
        <v>0</v>
      </c>
      <c r="AJ3274">
        <v>15</v>
      </c>
      <c r="AK3274">
        <v>448</v>
      </c>
      <c r="AL3274">
        <v>448</v>
      </c>
      <c r="AM3274">
        <v>620</v>
      </c>
      <c r="AN3274">
        <v>44</v>
      </c>
      <c r="AP3274">
        <v>1</v>
      </c>
      <c r="AR3274" t="s">
        <v>3370</v>
      </c>
      <c r="AS3274" s="1">
        <v>44354.239583333336</v>
      </c>
      <c r="AT3274" s="1">
        <v>44354.251493055555</v>
      </c>
      <c r="AU3274" s="1">
        <v>44354.252314814818</v>
      </c>
      <c r="AV3274" t="s">
        <v>71</v>
      </c>
      <c r="AW3274" t="s">
        <v>72</v>
      </c>
      <c r="AX3274" t="s">
        <v>73</v>
      </c>
    </row>
    <row r="3275" spans="1:50" x14ac:dyDescent="0.3">
      <c r="A3275" t="str">
        <f>"200147C0100"</f>
        <v>200147C0100</v>
      </c>
      <c r="B3275" t="str">
        <f>"200147C01002"</f>
        <v>200147C01002</v>
      </c>
      <c r="C3275" t="str">
        <f t="shared" si="161"/>
        <v>20</v>
      </c>
      <c r="D3275" t="s">
        <v>67</v>
      </c>
      <c r="E3275" t="str">
        <f t="shared" si="160"/>
        <v>015</v>
      </c>
      <c r="F3275" t="s">
        <v>3364</v>
      </c>
      <c r="G3275" t="str">
        <f>"0147"</f>
        <v>0147</v>
      </c>
      <c r="H3275" t="str">
        <f>"0001"</f>
        <v>0001</v>
      </c>
      <c r="I3275" t="s">
        <v>75</v>
      </c>
      <c r="J3275">
        <v>0</v>
      </c>
      <c r="K3275">
        <v>1</v>
      </c>
      <c r="L3275">
        <v>2</v>
      </c>
      <c r="M3275">
        <v>207</v>
      </c>
      <c r="N3275">
        <v>455</v>
      </c>
      <c r="O3275">
        <v>4</v>
      </c>
      <c r="P3275">
        <v>455</v>
      </c>
      <c r="Q3275">
        <v>13</v>
      </c>
      <c r="R3275">
        <v>34</v>
      </c>
      <c r="S3275">
        <v>3</v>
      </c>
      <c r="T3275">
        <v>134</v>
      </c>
      <c r="U3275">
        <v>11</v>
      </c>
      <c r="V3275">
        <v>58</v>
      </c>
      <c r="W3275">
        <v>63</v>
      </c>
      <c r="X3275">
        <v>90</v>
      </c>
      <c r="Y3275">
        <v>2</v>
      </c>
      <c r="Z3275">
        <v>5</v>
      </c>
      <c r="AA3275">
        <v>20</v>
      </c>
      <c r="AB3275">
        <v>9</v>
      </c>
      <c r="AD3275">
        <v>0</v>
      </c>
      <c r="AE3275">
        <v>0</v>
      </c>
      <c r="AF3275">
        <v>0</v>
      </c>
      <c r="AG3275">
        <v>0</v>
      </c>
      <c r="AI3275">
        <v>0</v>
      </c>
      <c r="AJ3275">
        <v>13</v>
      </c>
      <c r="AK3275">
        <v>455</v>
      </c>
      <c r="AL3275">
        <v>455</v>
      </c>
      <c r="AM3275">
        <v>619</v>
      </c>
      <c r="AN3275">
        <v>44</v>
      </c>
      <c r="AP3275">
        <v>1</v>
      </c>
      <c r="AR3275" t="s">
        <v>3371</v>
      </c>
      <c r="AS3275" s="1">
        <v>44354.239583333336</v>
      </c>
      <c r="AT3275" s="1">
        <v>44354.251388888886</v>
      </c>
      <c r="AU3275" s="1">
        <v>44354.252013888887</v>
      </c>
      <c r="AV3275" t="s">
        <v>71</v>
      </c>
      <c r="AW3275" t="s">
        <v>72</v>
      </c>
      <c r="AX3275" t="s">
        <v>73</v>
      </c>
    </row>
    <row r="3276" spans="1:50" x14ac:dyDescent="0.3">
      <c r="A3276" t="str">
        <f>"200147C0200"</f>
        <v>200147C0200</v>
      </c>
      <c r="B3276" t="str">
        <f>"200147C02002"</f>
        <v>200147C02002</v>
      </c>
      <c r="C3276" t="str">
        <f t="shared" si="161"/>
        <v>20</v>
      </c>
      <c r="D3276" t="s">
        <v>67</v>
      </c>
      <c r="E3276" t="str">
        <f t="shared" si="160"/>
        <v>015</v>
      </c>
      <c r="F3276" t="s">
        <v>3364</v>
      </c>
      <c r="G3276" t="str">
        <f>"0147"</f>
        <v>0147</v>
      </c>
      <c r="H3276" t="str">
        <f>"0002"</f>
        <v>0002</v>
      </c>
      <c r="I3276" t="s">
        <v>75</v>
      </c>
      <c r="J3276">
        <v>0</v>
      </c>
      <c r="K3276">
        <v>1</v>
      </c>
      <c r="L3276">
        <v>2</v>
      </c>
      <c r="M3276">
        <v>184</v>
      </c>
      <c r="N3276">
        <v>479</v>
      </c>
      <c r="O3276">
        <v>8</v>
      </c>
      <c r="P3276">
        <v>479</v>
      </c>
      <c r="Q3276">
        <v>23</v>
      </c>
      <c r="R3276">
        <v>47</v>
      </c>
      <c r="S3276">
        <v>3</v>
      </c>
      <c r="T3276">
        <v>169</v>
      </c>
      <c r="U3276">
        <v>20</v>
      </c>
      <c r="V3276">
        <v>25</v>
      </c>
      <c r="W3276">
        <v>54</v>
      </c>
      <c r="X3276">
        <v>88</v>
      </c>
      <c r="Y3276">
        <v>2</v>
      </c>
      <c r="Z3276">
        <v>5</v>
      </c>
      <c r="AA3276">
        <v>23</v>
      </c>
      <c r="AB3276">
        <v>4</v>
      </c>
      <c r="AD3276">
        <v>1</v>
      </c>
      <c r="AE3276">
        <v>0</v>
      </c>
      <c r="AF3276">
        <v>0</v>
      </c>
      <c r="AG3276">
        <v>2</v>
      </c>
      <c r="AI3276">
        <v>0</v>
      </c>
      <c r="AJ3276">
        <v>13</v>
      </c>
      <c r="AK3276">
        <v>479</v>
      </c>
      <c r="AL3276">
        <v>479</v>
      </c>
      <c r="AM3276">
        <v>619</v>
      </c>
      <c r="AN3276">
        <v>44</v>
      </c>
      <c r="AP3276">
        <v>1</v>
      </c>
      <c r="AR3276" t="s">
        <v>3372</v>
      </c>
      <c r="AS3276" s="1">
        <v>44354.240972222222</v>
      </c>
      <c r="AT3276" s="1">
        <v>44354.250763888886</v>
      </c>
      <c r="AU3276" s="1">
        <v>44354.252152777779</v>
      </c>
      <c r="AV3276" t="s">
        <v>71</v>
      </c>
      <c r="AW3276" t="s">
        <v>72</v>
      </c>
      <c r="AX3276" t="s">
        <v>73</v>
      </c>
    </row>
    <row r="3277" spans="1:50" x14ac:dyDescent="0.3">
      <c r="A3277" t="str">
        <f>"200147E0100"</f>
        <v>200147E0100</v>
      </c>
      <c r="B3277" t="str">
        <f>"200147E01002"</f>
        <v>200147E01002</v>
      </c>
      <c r="C3277" t="str">
        <f t="shared" si="161"/>
        <v>20</v>
      </c>
      <c r="D3277" t="s">
        <v>67</v>
      </c>
      <c r="E3277" t="str">
        <f t="shared" si="160"/>
        <v>015</v>
      </c>
      <c r="F3277" t="s">
        <v>3364</v>
      </c>
      <c r="G3277" t="str">
        <f>"0147"</f>
        <v>0147</v>
      </c>
      <c r="H3277" t="str">
        <f>"0001"</f>
        <v>0001</v>
      </c>
      <c r="I3277" t="s">
        <v>109</v>
      </c>
      <c r="J3277">
        <v>0</v>
      </c>
      <c r="K3277">
        <v>1</v>
      </c>
      <c r="L3277">
        <v>2</v>
      </c>
      <c r="M3277">
        <v>296</v>
      </c>
      <c r="N3277">
        <v>413</v>
      </c>
      <c r="O3277">
        <v>9</v>
      </c>
      <c r="P3277">
        <v>413</v>
      </c>
      <c r="Q3277">
        <v>8</v>
      </c>
      <c r="R3277">
        <v>55</v>
      </c>
      <c r="S3277">
        <v>6</v>
      </c>
      <c r="T3277">
        <v>35</v>
      </c>
      <c r="U3277">
        <v>6</v>
      </c>
      <c r="V3277">
        <v>43</v>
      </c>
      <c r="W3277">
        <v>151</v>
      </c>
      <c r="X3277">
        <v>54</v>
      </c>
      <c r="Y3277">
        <v>2</v>
      </c>
      <c r="Z3277">
        <v>8</v>
      </c>
      <c r="AA3277">
        <v>26</v>
      </c>
      <c r="AB3277">
        <v>2</v>
      </c>
      <c r="AD3277">
        <v>0</v>
      </c>
      <c r="AE3277">
        <v>0</v>
      </c>
      <c r="AF3277">
        <v>0</v>
      </c>
      <c r="AG3277">
        <v>0</v>
      </c>
      <c r="AI3277">
        <v>0</v>
      </c>
      <c r="AJ3277">
        <v>17</v>
      </c>
      <c r="AK3277">
        <v>413</v>
      </c>
      <c r="AL3277">
        <v>413</v>
      </c>
      <c r="AM3277">
        <v>665</v>
      </c>
      <c r="AN3277">
        <v>44</v>
      </c>
      <c r="AP3277">
        <v>1</v>
      </c>
      <c r="AR3277" t="s">
        <v>3373</v>
      </c>
      <c r="AS3277" s="1">
        <v>44354.240972222222</v>
      </c>
      <c r="AT3277" s="1">
        <v>44354.251909722225</v>
      </c>
      <c r="AU3277" s="1">
        <v>44354.252465277779</v>
      </c>
      <c r="AV3277" t="s">
        <v>71</v>
      </c>
      <c r="AW3277" t="s">
        <v>72</v>
      </c>
      <c r="AX3277" t="s">
        <v>73</v>
      </c>
    </row>
    <row r="3278" spans="1:50" x14ac:dyDescent="0.3">
      <c r="A3278" t="str">
        <f>"200148B0000"</f>
        <v>200148B0000</v>
      </c>
      <c r="B3278" t="str">
        <f>"200148B00002"</f>
        <v>200148B00002</v>
      </c>
      <c r="C3278" t="str">
        <f t="shared" si="161"/>
        <v>20</v>
      </c>
      <c r="D3278" t="s">
        <v>67</v>
      </c>
      <c r="E3278" t="str">
        <f t="shared" si="160"/>
        <v>015</v>
      </c>
      <c r="F3278" t="s">
        <v>3364</v>
      </c>
      <c r="G3278" t="str">
        <f t="shared" ref="G3278:G3286" si="162">"0148"</f>
        <v>0148</v>
      </c>
      <c r="H3278" t="str">
        <f>"0000"</f>
        <v>0000</v>
      </c>
      <c r="I3278" t="s">
        <v>69</v>
      </c>
      <c r="J3278">
        <v>0</v>
      </c>
      <c r="K3278">
        <v>1</v>
      </c>
      <c r="L3278">
        <v>2</v>
      </c>
      <c r="M3278">
        <v>256</v>
      </c>
      <c r="N3278">
        <v>440</v>
      </c>
      <c r="O3278">
        <v>14</v>
      </c>
      <c r="P3278">
        <v>440</v>
      </c>
      <c r="Q3278">
        <v>15</v>
      </c>
      <c r="R3278">
        <v>42</v>
      </c>
      <c r="S3278">
        <v>4</v>
      </c>
      <c r="T3278">
        <v>78</v>
      </c>
      <c r="U3278">
        <v>18</v>
      </c>
      <c r="V3278">
        <v>64</v>
      </c>
      <c r="W3278">
        <v>35</v>
      </c>
      <c r="X3278">
        <v>136</v>
      </c>
      <c r="Y3278">
        <v>1</v>
      </c>
      <c r="Z3278">
        <v>3</v>
      </c>
      <c r="AA3278">
        <v>18</v>
      </c>
      <c r="AB3278">
        <v>2</v>
      </c>
      <c r="AD3278">
        <v>1</v>
      </c>
      <c r="AE3278">
        <v>1</v>
      </c>
      <c r="AF3278">
        <v>0</v>
      </c>
      <c r="AG3278">
        <v>2</v>
      </c>
      <c r="AI3278" t="s">
        <v>77</v>
      </c>
      <c r="AJ3278">
        <v>20</v>
      </c>
      <c r="AK3278">
        <v>440</v>
      </c>
      <c r="AL3278">
        <v>440</v>
      </c>
      <c r="AM3278">
        <v>652</v>
      </c>
      <c r="AN3278">
        <v>44</v>
      </c>
      <c r="AO3278" t="s">
        <v>78</v>
      </c>
      <c r="AP3278">
        <v>1</v>
      </c>
      <c r="AR3278" t="s">
        <v>3374</v>
      </c>
      <c r="AS3278" s="1">
        <v>44354.115277777775</v>
      </c>
      <c r="AT3278" s="1">
        <v>44354.141770833332</v>
      </c>
      <c r="AU3278" s="1">
        <v>44354.14267361111</v>
      </c>
      <c r="AV3278" t="s">
        <v>71</v>
      </c>
      <c r="AW3278" t="s">
        <v>72</v>
      </c>
      <c r="AX3278" t="s">
        <v>73</v>
      </c>
    </row>
    <row r="3279" spans="1:50" x14ac:dyDescent="0.3">
      <c r="A3279" t="str">
        <f>"200148C0100"</f>
        <v>200148C0100</v>
      </c>
      <c r="B3279" t="str">
        <f>"200148C01002"</f>
        <v>200148C01002</v>
      </c>
      <c r="C3279" t="str">
        <f t="shared" si="161"/>
        <v>20</v>
      </c>
      <c r="D3279" t="s">
        <v>67</v>
      </c>
      <c r="E3279" t="str">
        <f t="shared" si="160"/>
        <v>015</v>
      </c>
      <c r="F3279" t="s">
        <v>3364</v>
      </c>
      <c r="G3279" t="str">
        <f t="shared" si="162"/>
        <v>0148</v>
      </c>
      <c r="H3279" t="str">
        <f>"0001"</f>
        <v>0001</v>
      </c>
      <c r="I3279" t="s">
        <v>75</v>
      </c>
      <c r="J3279">
        <v>0</v>
      </c>
      <c r="K3279">
        <v>1</v>
      </c>
      <c r="L3279">
        <v>2</v>
      </c>
      <c r="M3279">
        <v>297</v>
      </c>
      <c r="N3279">
        <v>399</v>
      </c>
      <c r="O3279">
        <v>8</v>
      </c>
      <c r="P3279">
        <v>399</v>
      </c>
      <c r="Q3279">
        <v>15</v>
      </c>
      <c r="R3279">
        <v>24</v>
      </c>
      <c r="S3279">
        <v>3</v>
      </c>
      <c r="T3279">
        <v>60</v>
      </c>
      <c r="U3279">
        <v>18</v>
      </c>
      <c r="V3279">
        <v>49</v>
      </c>
      <c r="W3279">
        <v>46</v>
      </c>
      <c r="X3279">
        <v>147</v>
      </c>
      <c r="Y3279">
        <v>1</v>
      </c>
      <c r="Z3279">
        <v>4</v>
      </c>
      <c r="AA3279">
        <v>17</v>
      </c>
      <c r="AB3279">
        <v>8</v>
      </c>
      <c r="AD3279">
        <v>0</v>
      </c>
      <c r="AE3279">
        <v>0</v>
      </c>
      <c r="AF3279">
        <v>0</v>
      </c>
      <c r="AG3279">
        <v>0</v>
      </c>
      <c r="AI3279">
        <v>0</v>
      </c>
      <c r="AJ3279">
        <v>7</v>
      </c>
      <c r="AK3279">
        <v>399</v>
      </c>
      <c r="AL3279">
        <v>399</v>
      </c>
      <c r="AM3279">
        <v>652</v>
      </c>
      <c r="AN3279">
        <v>44</v>
      </c>
      <c r="AP3279">
        <v>1</v>
      </c>
      <c r="AR3279" t="s">
        <v>3375</v>
      </c>
      <c r="AS3279" s="1">
        <v>44354.114583333336</v>
      </c>
      <c r="AT3279" s="1">
        <v>44354.128148148149</v>
      </c>
      <c r="AU3279" s="1">
        <v>44354.129027777781</v>
      </c>
      <c r="AV3279" t="s">
        <v>71</v>
      </c>
      <c r="AW3279" t="s">
        <v>72</v>
      </c>
      <c r="AX3279" t="s">
        <v>73</v>
      </c>
    </row>
    <row r="3280" spans="1:50" x14ac:dyDescent="0.3">
      <c r="A3280" t="str">
        <f>"200148C0200"</f>
        <v>200148C0200</v>
      </c>
      <c r="B3280" t="str">
        <f>"200148C02002"</f>
        <v>200148C02002</v>
      </c>
      <c r="C3280" t="str">
        <f t="shared" si="161"/>
        <v>20</v>
      </c>
      <c r="D3280" t="s">
        <v>67</v>
      </c>
      <c r="E3280" t="str">
        <f t="shared" si="160"/>
        <v>015</v>
      </c>
      <c r="F3280" t="s">
        <v>3364</v>
      </c>
      <c r="G3280" t="str">
        <f t="shared" si="162"/>
        <v>0148</v>
      </c>
      <c r="H3280" t="str">
        <f>"0002"</f>
        <v>0002</v>
      </c>
      <c r="I3280" t="s">
        <v>75</v>
      </c>
      <c r="J3280">
        <v>0</v>
      </c>
      <c r="K3280">
        <v>1</v>
      </c>
      <c r="L3280">
        <v>2</v>
      </c>
      <c r="M3280">
        <v>293</v>
      </c>
      <c r="N3280">
        <v>403</v>
      </c>
      <c r="O3280">
        <v>10</v>
      </c>
      <c r="P3280" t="s">
        <v>80</v>
      </c>
      <c r="Q3280">
        <v>12</v>
      </c>
      <c r="R3280">
        <v>33</v>
      </c>
      <c r="S3280">
        <v>7</v>
      </c>
      <c r="T3280">
        <v>60</v>
      </c>
      <c r="U3280">
        <v>19</v>
      </c>
      <c r="V3280">
        <v>41</v>
      </c>
      <c r="W3280">
        <v>36</v>
      </c>
      <c r="X3280">
        <v>140</v>
      </c>
      <c r="Y3280">
        <v>3</v>
      </c>
      <c r="Z3280">
        <v>6</v>
      </c>
      <c r="AA3280">
        <v>21</v>
      </c>
      <c r="AB3280">
        <v>5</v>
      </c>
      <c r="AD3280">
        <v>0</v>
      </c>
      <c r="AE3280">
        <v>0</v>
      </c>
      <c r="AF3280">
        <v>0</v>
      </c>
      <c r="AG3280">
        <v>0</v>
      </c>
      <c r="AI3280">
        <v>0</v>
      </c>
      <c r="AJ3280">
        <v>19</v>
      </c>
      <c r="AK3280">
        <v>403</v>
      </c>
      <c r="AL3280">
        <v>402</v>
      </c>
      <c r="AM3280">
        <v>652</v>
      </c>
      <c r="AN3280">
        <v>44</v>
      </c>
      <c r="AP3280">
        <v>1</v>
      </c>
      <c r="AR3280" t="s">
        <v>3376</v>
      </c>
      <c r="AS3280" s="1">
        <v>44354.112500000003</v>
      </c>
      <c r="AT3280" s="1">
        <v>44354.128668981481</v>
      </c>
      <c r="AU3280" s="1">
        <v>44354.129606481481</v>
      </c>
      <c r="AV3280" t="s">
        <v>71</v>
      </c>
      <c r="AW3280" t="s">
        <v>72</v>
      </c>
      <c r="AX3280" t="s">
        <v>73</v>
      </c>
    </row>
    <row r="3281" spans="1:50" x14ac:dyDescent="0.3">
      <c r="A3281" t="str">
        <f>"200148C0300"</f>
        <v>200148C0300</v>
      </c>
      <c r="B3281" t="str">
        <f>"200148C03002"</f>
        <v>200148C03002</v>
      </c>
      <c r="C3281" t="str">
        <f t="shared" si="161"/>
        <v>20</v>
      </c>
      <c r="D3281" t="s">
        <v>67</v>
      </c>
      <c r="E3281" t="str">
        <f t="shared" si="160"/>
        <v>015</v>
      </c>
      <c r="F3281" t="s">
        <v>3364</v>
      </c>
      <c r="G3281" t="str">
        <f t="shared" si="162"/>
        <v>0148</v>
      </c>
      <c r="H3281" t="str">
        <f>"0003"</f>
        <v>0003</v>
      </c>
      <c r="I3281" t="s">
        <v>75</v>
      </c>
      <c r="J3281">
        <v>0</v>
      </c>
      <c r="K3281">
        <v>1</v>
      </c>
      <c r="L3281">
        <v>2</v>
      </c>
      <c r="M3281">
        <v>264</v>
      </c>
      <c r="N3281">
        <v>431</v>
      </c>
      <c r="O3281">
        <v>13</v>
      </c>
      <c r="P3281" t="s">
        <v>80</v>
      </c>
      <c r="Q3281">
        <v>20</v>
      </c>
      <c r="R3281">
        <v>39</v>
      </c>
      <c r="S3281">
        <v>5</v>
      </c>
      <c r="T3281">
        <v>88</v>
      </c>
      <c r="U3281">
        <v>14</v>
      </c>
      <c r="V3281">
        <v>59</v>
      </c>
      <c r="W3281">
        <v>40</v>
      </c>
      <c r="X3281">
        <v>122</v>
      </c>
      <c r="Y3281">
        <v>6</v>
      </c>
      <c r="Z3281">
        <v>4</v>
      </c>
      <c r="AA3281">
        <v>20</v>
      </c>
      <c r="AB3281">
        <v>6</v>
      </c>
      <c r="AD3281">
        <v>0</v>
      </c>
      <c r="AE3281">
        <v>0</v>
      </c>
      <c r="AF3281">
        <v>0</v>
      </c>
      <c r="AG3281">
        <v>0</v>
      </c>
      <c r="AI3281">
        <v>0</v>
      </c>
      <c r="AJ3281">
        <v>8</v>
      </c>
      <c r="AK3281">
        <v>431</v>
      </c>
      <c r="AL3281">
        <v>431</v>
      </c>
      <c r="AM3281">
        <v>652</v>
      </c>
      <c r="AN3281">
        <v>44</v>
      </c>
      <c r="AP3281">
        <v>1</v>
      </c>
      <c r="AR3281" t="s">
        <v>3377</v>
      </c>
      <c r="AS3281" s="1">
        <v>44354.115277777775</v>
      </c>
      <c r="AT3281" s="1">
        <v>44354.127604166664</v>
      </c>
      <c r="AU3281" s="1">
        <v>44354.128113425926</v>
      </c>
      <c r="AV3281" t="s">
        <v>71</v>
      </c>
      <c r="AW3281" t="s">
        <v>72</v>
      </c>
      <c r="AX3281" t="s">
        <v>73</v>
      </c>
    </row>
    <row r="3282" spans="1:50" x14ac:dyDescent="0.3">
      <c r="A3282" t="str">
        <f>"200148C0400"</f>
        <v>200148C0400</v>
      </c>
      <c r="B3282" t="str">
        <f>"200148C04002"</f>
        <v>200148C04002</v>
      </c>
      <c r="C3282" t="str">
        <f t="shared" si="161"/>
        <v>20</v>
      </c>
      <c r="D3282" t="s">
        <v>67</v>
      </c>
      <c r="E3282" t="str">
        <f t="shared" si="160"/>
        <v>015</v>
      </c>
      <c r="F3282" t="s">
        <v>3364</v>
      </c>
      <c r="G3282" t="str">
        <f t="shared" si="162"/>
        <v>0148</v>
      </c>
      <c r="H3282" t="str">
        <f>"0004"</f>
        <v>0004</v>
      </c>
      <c r="I3282" t="s">
        <v>75</v>
      </c>
      <c r="J3282">
        <v>0</v>
      </c>
      <c r="K3282">
        <v>1</v>
      </c>
      <c r="L3282">
        <v>2</v>
      </c>
      <c r="M3282">
        <v>207</v>
      </c>
      <c r="N3282">
        <v>489</v>
      </c>
      <c r="O3282">
        <v>14</v>
      </c>
      <c r="P3282">
        <v>489</v>
      </c>
      <c r="Q3282">
        <v>22</v>
      </c>
      <c r="R3282">
        <v>45</v>
      </c>
      <c r="S3282">
        <v>2</v>
      </c>
      <c r="T3282">
        <v>120</v>
      </c>
      <c r="U3282">
        <v>19</v>
      </c>
      <c r="V3282">
        <v>54</v>
      </c>
      <c r="W3282">
        <v>46</v>
      </c>
      <c r="X3282">
        <v>125</v>
      </c>
      <c r="Y3282">
        <v>2</v>
      </c>
      <c r="Z3282">
        <v>7</v>
      </c>
      <c r="AA3282">
        <v>20</v>
      </c>
      <c r="AB3282">
        <v>6</v>
      </c>
      <c r="AD3282">
        <v>0</v>
      </c>
      <c r="AE3282">
        <v>0</v>
      </c>
      <c r="AF3282">
        <v>0</v>
      </c>
      <c r="AG3282">
        <v>0</v>
      </c>
      <c r="AI3282">
        <v>0</v>
      </c>
      <c r="AJ3282">
        <v>21</v>
      </c>
      <c r="AK3282">
        <v>489</v>
      </c>
      <c r="AL3282">
        <v>489</v>
      </c>
      <c r="AM3282">
        <v>652</v>
      </c>
      <c r="AN3282">
        <v>44</v>
      </c>
      <c r="AP3282">
        <v>1</v>
      </c>
      <c r="AR3282" t="s">
        <v>3378</v>
      </c>
      <c r="AS3282" s="1">
        <v>44354.116666666669</v>
      </c>
      <c r="AT3282" s="1">
        <v>44354.128958333335</v>
      </c>
      <c r="AU3282" s="1">
        <v>44354.129363425927</v>
      </c>
      <c r="AV3282" t="s">
        <v>71</v>
      </c>
      <c r="AW3282" t="s">
        <v>72</v>
      </c>
      <c r="AX3282" t="s">
        <v>73</v>
      </c>
    </row>
    <row r="3283" spans="1:50" x14ac:dyDescent="0.3">
      <c r="A3283" t="str">
        <f>"200148E0100"</f>
        <v>200148E0100</v>
      </c>
      <c r="B3283" t="str">
        <f>"200148E01002"</f>
        <v>200148E01002</v>
      </c>
      <c r="C3283" t="str">
        <f t="shared" si="161"/>
        <v>20</v>
      </c>
      <c r="D3283" t="s">
        <v>67</v>
      </c>
      <c r="E3283" t="str">
        <f t="shared" si="160"/>
        <v>015</v>
      </c>
      <c r="F3283" t="s">
        <v>3364</v>
      </c>
      <c r="G3283" t="str">
        <f t="shared" si="162"/>
        <v>0148</v>
      </c>
      <c r="H3283" t="str">
        <f>"0001"</f>
        <v>0001</v>
      </c>
      <c r="I3283" t="s">
        <v>109</v>
      </c>
      <c r="J3283">
        <v>0</v>
      </c>
      <c r="K3283">
        <v>1</v>
      </c>
      <c r="L3283">
        <v>2</v>
      </c>
      <c r="M3283">
        <v>269</v>
      </c>
      <c r="N3283">
        <v>309</v>
      </c>
      <c r="O3283">
        <v>5</v>
      </c>
      <c r="P3283">
        <v>309</v>
      </c>
      <c r="Q3283">
        <v>4</v>
      </c>
      <c r="R3283">
        <v>11</v>
      </c>
      <c r="S3283">
        <v>7</v>
      </c>
      <c r="T3283">
        <v>12</v>
      </c>
      <c r="U3283">
        <v>21</v>
      </c>
      <c r="V3283">
        <v>33</v>
      </c>
      <c r="W3283">
        <v>69</v>
      </c>
      <c r="X3283">
        <v>114</v>
      </c>
      <c r="Y3283">
        <v>2</v>
      </c>
      <c r="Z3283">
        <v>5</v>
      </c>
      <c r="AA3283">
        <v>16</v>
      </c>
      <c r="AB3283">
        <v>8</v>
      </c>
      <c r="AD3283">
        <v>0</v>
      </c>
      <c r="AE3283">
        <v>0</v>
      </c>
      <c r="AF3283">
        <v>0</v>
      </c>
      <c r="AG3283">
        <v>0</v>
      </c>
      <c r="AI3283">
        <v>0</v>
      </c>
      <c r="AJ3283">
        <v>7</v>
      </c>
      <c r="AK3283">
        <v>309</v>
      </c>
      <c r="AL3283">
        <v>309</v>
      </c>
      <c r="AM3283">
        <v>535</v>
      </c>
      <c r="AN3283">
        <v>44</v>
      </c>
      <c r="AP3283">
        <v>1</v>
      </c>
      <c r="AR3283" t="s">
        <v>3379</v>
      </c>
      <c r="AS3283" s="1">
        <v>44354.120833333334</v>
      </c>
      <c r="AT3283" s="1">
        <v>44354.140659722223</v>
      </c>
      <c r="AU3283" s="1">
        <v>44354.141180555554</v>
      </c>
      <c r="AV3283" t="s">
        <v>71</v>
      </c>
      <c r="AW3283" t="s">
        <v>72</v>
      </c>
      <c r="AX3283" t="s">
        <v>73</v>
      </c>
    </row>
    <row r="3284" spans="1:50" x14ac:dyDescent="0.3">
      <c r="A3284" t="str">
        <f>"200148E0101"</f>
        <v>200148E0101</v>
      </c>
      <c r="B3284" t="str">
        <f>"200148E01012"</f>
        <v>200148E01012</v>
      </c>
      <c r="C3284" t="str">
        <f t="shared" si="161"/>
        <v>20</v>
      </c>
      <c r="D3284" t="s">
        <v>67</v>
      </c>
      <c r="E3284" t="str">
        <f t="shared" si="160"/>
        <v>015</v>
      </c>
      <c r="F3284" t="s">
        <v>3364</v>
      </c>
      <c r="G3284" t="str">
        <f t="shared" si="162"/>
        <v>0148</v>
      </c>
      <c r="H3284" t="str">
        <f>"0001"</f>
        <v>0001</v>
      </c>
      <c r="I3284" t="s">
        <v>109</v>
      </c>
      <c r="J3284">
        <v>1</v>
      </c>
      <c r="K3284">
        <v>1</v>
      </c>
      <c r="L3284">
        <v>2</v>
      </c>
      <c r="M3284">
        <v>231</v>
      </c>
      <c r="N3284">
        <v>347</v>
      </c>
      <c r="O3284">
        <v>11</v>
      </c>
      <c r="P3284">
        <v>347</v>
      </c>
      <c r="Q3284">
        <v>8</v>
      </c>
      <c r="R3284">
        <v>14</v>
      </c>
      <c r="S3284">
        <v>3</v>
      </c>
      <c r="T3284">
        <v>18</v>
      </c>
      <c r="U3284">
        <v>18</v>
      </c>
      <c r="V3284">
        <v>38</v>
      </c>
      <c r="W3284">
        <v>60</v>
      </c>
      <c r="X3284">
        <v>138</v>
      </c>
      <c r="Y3284">
        <v>4</v>
      </c>
      <c r="Z3284">
        <v>1</v>
      </c>
      <c r="AA3284">
        <v>25</v>
      </c>
      <c r="AB3284">
        <v>7</v>
      </c>
      <c r="AD3284">
        <v>1</v>
      </c>
      <c r="AE3284">
        <v>0</v>
      </c>
      <c r="AF3284">
        <v>0</v>
      </c>
      <c r="AG3284">
        <v>0</v>
      </c>
      <c r="AI3284">
        <v>0</v>
      </c>
      <c r="AJ3284">
        <v>12</v>
      </c>
      <c r="AK3284">
        <v>347</v>
      </c>
      <c r="AL3284">
        <v>347</v>
      </c>
      <c r="AM3284">
        <v>535</v>
      </c>
      <c r="AN3284">
        <v>44</v>
      </c>
      <c r="AP3284">
        <v>1</v>
      </c>
      <c r="AR3284" t="s">
        <v>3380</v>
      </c>
      <c r="AS3284" s="1">
        <v>44354.119444444441</v>
      </c>
      <c r="AT3284" s="1">
        <v>44354.139965277776</v>
      </c>
      <c r="AU3284" s="1">
        <v>44354.1405787037</v>
      </c>
      <c r="AV3284" t="s">
        <v>71</v>
      </c>
      <c r="AW3284" t="s">
        <v>72</v>
      </c>
      <c r="AX3284" t="s">
        <v>73</v>
      </c>
    </row>
    <row r="3285" spans="1:50" x14ac:dyDescent="0.3">
      <c r="A3285" t="str">
        <f>"200148E0102"</f>
        <v>200148E0102</v>
      </c>
      <c r="B3285" t="str">
        <f>"200148E01022"</f>
        <v>200148E01022</v>
      </c>
      <c r="C3285" t="str">
        <f t="shared" si="161"/>
        <v>20</v>
      </c>
      <c r="D3285" t="s">
        <v>67</v>
      </c>
      <c r="E3285" t="str">
        <f t="shared" si="160"/>
        <v>015</v>
      </c>
      <c r="F3285" t="s">
        <v>3364</v>
      </c>
      <c r="G3285" t="str">
        <f t="shared" si="162"/>
        <v>0148</v>
      </c>
      <c r="H3285" t="str">
        <f>"0001"</f>
        <v>0001</v>
      </c>
      <c r="I3285" t="s">
        <v>109</v>
      </c>
      <c r="J3285">
        <v>2</v>
      </c>
      <c r="K3285">
        <v>1</v>
      </c>
      <c r="L3285">
        <v>2</v>
      </c>
      <c r="M3285">
        <v>231</v>
      </c>
      <c r="N3285">
        <v>347</v>
      </c>
      <c r="O3285">
        <v>12</v>
      </c>
      <c r="P3285">
        <v>347</v>
      </c>
      <c r="Q3285">
        <v>9</v>
      </c>
      <c r="R3285">
        <v>12</v>
      </c>
      <c r="S3285">
        <v>1</v>
      </c>
      <c r="T3285">
        <v>8</v>
      </c>
      <c r="U3285">
        <v>25</v>
      </c>
      <c r="V3285">
        <v>31</v>
      </c>
      <c r="W3285">
        <v>57</v>
      </c>
      <c r="X3285">
        <v>146</v>
      </c>
      <c r="Y3285">
        <v>6</v>
      </c>
      <c r="Z3285">
        <v>1</v>
      </c>
      <c r="AA3285">
        <v>33</v>
      </c>
      <c r="AB3285">
        <v>1</v>
      </c>
      <c r="AD3285">
        <v>0</v>
      </c>
      <c r="AE3285">
        <v>0</v>
      </c>
      <c r="AF3285">
        <v>0</v>
      </c>
      <c r="AG3285">
        <v>0</v>
      </c>
      <c r="AI3285">
        <v>0</v>
      </c>
      <c r="AJ3285">
        <v>17</v>
      </c>
      <c r="AK3285">
        <v>347</v>
      </c>
      <c r="AL3285">
        <v>347</v>
      </c>
      <c r="AM3285">
        <v>534</v>
      </c>
      <c r="AN3285">
        <v>44</v>
      </c>
      <c r="AP3285">
        <v>1</v>
      </c>
      <c r="AR3285" t="s">
        <v>3381</v>
      </c>
      <c r="AS3285" s="1">
        <v>44354.120138888888</v>
      </c>
      <c r="AT3285" s="1">
        <v>44354.141400462962</v>
      </c>
      <c r="AU3285" s="1">
        <v>44354.142789351848</v>
      </c>
      <c r="AV3285" t="s">
        <v>71</v>
      </c>
      <c r="AW3285" t="s">
        <v>72</v>
      </c>
      <c r="AX3285" t="s">
        <v>73</v>
      </c>
    </row>
    <row r="3286" spans="1:50" x14ac:dyDescent="0.3">
      <c r="A3286" t="str">
        <f>"200148E0200"</f>
        <v>200148E0200</v>
      </c>
      <c r="B3286" t="str">
        <f>"200148E02002"</f>
        <v>200148E02002</v>
      </c>
      <c r="C3286" t="str">
        <f t="shared" si="161"/>
        <v>20</v>
      </c>
      <c r="D3286" t="s">
        <v>67</v>
      </c>
      <c r="E3286" t="str">
        <f t="shared" si="160"/>
        <v>015</v>
      </c>
      <c r="F3286" t="s">
        <v>3364</v>
      </c>
      <c r="G3286" t="str">
        <f t="shared" si="162"/>
        <v>0148</v>
      </c>
      <c r="H3286" t="str">
        <f>"0002"</f>
        <v>0002</v>
      </c>
      <c r="I3286" t="s">
        <v>109</v>
      </c>
      <c r="J3286">
        <v>0</v>
      </c>
      <c r="K3286">
        <v>1</v>
      </c>
      <c r="L3286">
        <v>2</v>
      </c>
      <c r="M3286">
        <v>430</v>
      </c>
      <c r="N3286">
        <v>361</v>
      </c>
      <c r="O3286">
        <v>16</v>
      </c>
      <c r="P3286">
        <v>361</v>
      </c>
      <c r="Q3286">
        <v>16</v>
      </c>
      <c r="R3286">
        <v>21</v>
      </c>
      <c r="S3286">
        <v>1</v>
      </c>
      <c r="T3286" t="s">
        <v>99</v>
      </c>
      <c r="U3286">
        <v>26</v>
      </c>
      <c r="V3286">
        <v>25</v>
      </c>
      <c r="W3286">
        <v>18</v>
      </c>
      <c r="X3286">
        <v>178</v>
      </c>
      <c r="Y3286">
        <v>1</v>
      </c>
      <c r="Z3286" t="s">
        <v>99</v>
      </c>
      <c r="AA3286">
        <v>26</v>
      </c>
      <c r="AB3286">
        <v>16</v>
      </c>
      <c r="AD3286">
        <v>0</v>
      </c>
      <c r="AE3286">
        <v>0</v>
      </c>
      <c r="AF3286">
        <v>0</v>
      </c>
      <c r="AG3286">
        <v>0</v>
      </c>
      <c r="AI3286">
        <v>0</v>
      </c>
      <c r="AJ3286">
        <v>13</v>
      </c>
      <c r="AK3286">
        <v>361</v>
      </c>
      <c r="AL3286">
        <v>341</v>
      </c>
      <c r="AM3286">
        <v>748</v>
      </c>
      <c r="AN3286">
        <v>44</v>
      </c>
      <c r="AO3286" t="s">
        <v>78</v>
      </c>
      <c r="AP3286">
        <v>1</v>
      </c>
      <c r="AR3286" t="s">
        <v>3382</v>
      </c>
      <c r="AS3286" s="1">
        <v>44354.120833333334</v>
      </c>
      <c r="AT3286" s="1">
        <v>44354.14266203704</v>
      </c>
      <c r="AU3286" s="1">
        <v>44354.143993055557</v>
      </c>
      <c r="AV3286" t="s">
        <v>71</v>
      </c>
      <c r="AW3286" t="s">
        <v>72</v>
      </c>
      <c r="AX3286" t="s">
        <v>73</v>
      </c>
    </row>
    <row r="3287" spans="1:50" x14ac:dyDescent="0.3">
      <c r="A3287" t="str">
        <f>"200149B0000"</f>
        <v>200149B0000</v>
      </c>
      <c r="B3287" t="str">
        <f>"200149B00002"</f>
        <v>200149B00002</v>
      </c>
      <c r="C3287" t="str">
        <f t="shared" si="161"/>
        <v>20</v>
      </c>
      <c r="D3287" t="s">
        <v>67</v>
      </c>
      <c r="E3287" t="str">
        <f t="shared" si="160"/>
        <v>015</v>
      </c>
      <c r="F3287" t="s">
        <v>3364</v>
      </c>
      <c r="G3287" t="str">
        <f>"0149"</f>
        <v>0149</v>
      </c>
      <c r="H3287" t="str">
        <f>"0000"</f>
        <v>0000</v>
      </c>
      <c r="I3287" t="s">
        <v>69</v>
      </c>
      <c r="J3287">
        <v>0</v>
      </c>
      <c r="K3287">
        <v>1</v>
      </c>
      <c r="L3287">
        <v>2</v>
      </c>
      <c r="M3287">
        <v>206</v>
      </c>
      <c r="N3287">
        <v>452</v>
      </c>
      <c r="O3287">
        <v>8</v>
      </c>
      <c r="P3287">
        <v>452</v>
      </c>
      <c r="Q3287">
        <v>20</v>
      </c>
      <c r="R3287">
        <v>21</v>
      </c>
      <c r="S3287">
        <v>6</v>
      </c>
      <c r="T3287">
        <v>44</v>
      </c>
      <c r="U3287">
        <v>11</v>
      </c>
      <c r="V3287">
        <v>39</v>
      </c>
      <c r="W3287">
        <v>62</v>
      </c>
      <c r="X3287">
        <v>175</v>
      </c>
      <c r="Y3287">
        <v>4</v>
      </c>
      <c r="Z3287">
        <v>3</v>
      </c>
      <c r="AA3287">
        <v>36</v>
      </c>
      <c r="AB3287">
        <v>10</v>
      </c>
      <c r="AD3287">
        <v>2</v>
      </c>
      <c r="AE3287">
        <v>0</v>
      </c>
      <c r="AF3287">
        <v>0</v>
      </c>
      <c r="AG3287">
        <v>0</v>
      </c>
      <c r="AI3287">
        <v>0</v>
      </c>
      <c r="AJ3287">
        <v>19</v>
      </c>
      <c r="AK3287">
        <v>452</v>
      </c>
      <c r="AL3287">
        <v>452</v>
      </c>
      <c r="AM3287">
        <v>614</v>
      </c>
      <c r="AN3287">
        <v>44</v>
      </c>
      <c r="AP3287">
        <v>1</v>
      </c>
      <c r="AR3287" t="s">
        <v>3383</v>
      </c>
      <c r="AS3287" s="1">
        <v>44354.138194444444</v>
      </c>
      <c r="AT3287" s="1">
        <v>44354.158634259256</v>
      </c>
      <c r="AU3287" s="1">
        <v>44354.159074074072</v>
      </c>
      <c r="AV3287" t="s">
        <v>71</v>
      </c>
      <c r="AW3287" t="s">
        <v>72</v>
      </c>
      <c r="AX3287" t="s">
        <v>73</v>
      </c>
    </row>
    <row r="3288" spans="1:50" x14ac:dyDescent="0.3">
      <c r="A3288" t="str">
        <f>"200149C0100"</f>
        <v>200149C0100</v>
      </c>
      <c r="B3288" t="str">
        <f>"200149C01002"</f>
        <v>200149C01002</v>
      </c>
      <c r="C3288" t="str">
        <f t="shared" si="161"/>
        <v>20</v>
      </c>
      <c r="D3288" t="s">
        <v>67</v>
      </c>
      <c r="E3288" t="str">
        <f t="shared" si="160"/>
        <v>015</v>
      </c>
      <c r="F3288" t="s">
        <v>3364</v>
      </c>
      <c r="G3288" t="str">
        <f>"0149"</f>
        <v>0149</v>
      </c>
      <c r="H3288" t="str">
        <f>"0001"</f>
        <v>0001</v>
      </c>
      <c r="I3288" t="s">
        <v>75</v>
      </c>
      <c r="J3288">
        <v>0</v>
      </c>
      <c r="K3288">
        <v>1</v>
      </c>
      <c r="L3288">
        <v>2</v>
      </c>
      <c r="M3288">
        <v>253</v>
      </c>
      <c r="N3288">
        <v>405</v>
      </c>
      <c r="O3288">
        <v>11</v>
      </c>
      <c r="P3288">
        <v>405</v>
      </c>
      <c r="Q3288">
        <v>20</v>
      </c>
      <c r="R3288">
        <v>32</v>
      </c>
      <c r="S3288">
        <v>4</v>
      </c>
      <c r="T3288">
        <v>47</v>
      </c>
      <c r="U3288">
        <v>18</v>
      </c>
      <c r="V3288">
        <v>47</v>
      </c>
      <c r="W3288">
        <v>48</v>
      </c>
      <c r="X3288">
        <v>146</v>
      </c>
      <c r="Y3288">
        <v>0</v>
      </c>
      <c r="Z3288">
        <v>4</v>
      </c>
      <c r="AA3288">
        <v>10</v>
      </c>
      <c r="AB3288">
        <v>15</v>
      </c>
      <c r="AD3288">
        <v>1</v>
      </c>
      <c r="AE3288">
        <v>0</v>
      </c>
      <c r="AF3288">
        <v>0</v>
      </c>
      <c r="AG3288">
        <v>0</v>
      </c>
      <c r="AI3288">
        <v>0</v>
      </c>
      <c r="AJ3288">
        <v>13</v>
      </c>
      <c r="AK3288">
        <v>405</v>
      </c>
      <c r="AL3288">
        <v>405</v>
      </c>
      <c r="AM3288">
        <v>614</v>
      </c>
      <c r="AN3288">
        <v>44</v>
      </c>
      <c r="AP3288">
        <v>1</v>
      </c>
      <c r="AR3288" t="s">
        <v>3384</v>
      </c>
      <c r="AS3288" s="1">
        <v>44353.931250000001</v>
      </c>
      <c r="AT3288" s="1">
        <v>44354.159178240741</v>
      </c>
      <c r="AU3288" s="1">
        <v>44354.160081018519</v>
      </c>
      <c r="AV3288" t="s">
        <v>71</v>
      </c>
      <c r="AW3288" t="s">
        <v>72</v>
      </c>
      <c r="AX3288" t="s">
        <v>73</v>
      </c>
    </row>
    <row r="3289" spans="1:50" x14ac:dyDescent="0.3">
      <c r="A3289" t="str">
        <f>"200149C0200"</f>
        <v>200149C0200</v>
      </c>
      <c r="B3289" t="str">
        <f>"200149C02002"</f>
        <v>200149C02002</v>
      </c>
      <c r="C3289" t="str">
        <f t="shared" si="161"/>
        <v>20</v>
      </c>
      <c r="D3289" t="s">
        <v>67</v>
      </c>
      <c r="E3289" t="str">
        <f t="shared" si="160"/>
        <v>015</v>
      </c>
      <c r="F3289" t="s">
        <v>3364</v>
      </c>
      <c r="G3289" t="str">
        <f>"0149"</f>
        <v>0149</v>
      </c>
      <c r="H3289" t="str">
        <f>"0002"</f>
        <v>0002</v>
      </c>
      <c r="I3289" t="s">
        <v>75</v>
      </c>
      <c r="J3289">
        <v>0</v>
      </c>
      <c r="K3289">
        <v>1</v>
      </c>
      <c r="L3289">
        <v>2</v>
      </c>
      <c r="M3289">
        <v>226</v>
      </c>
      <c r="N3289">
        <v>429</v>
      </c>
      <c r="O3289">
        <v>11</v>
      </c>
      <c r="P3289">
        <v>429</v>
      </c>
      <c r="Q3289">
        <v>18</v>
      </c>
      <c r="R3289">
        <v>23</v>
      </c>
      <c r="S3289">
        <v>1</v>
      </c>
      <c r="T3289">
        <v>48</v>
      </c>
      <c r="U3289">
        <v>16</v>
      </c>
      <c r="V3289">
        <v>42</v>
      </c>
      <c r="W3289">
        <v>60</v>
      </c>
      <c r="X3289">
        <v>165</v>
      </c>
      <c r="Y3289">
        <v>4</v>
      </c>
      <c r="Z3289">
        <v>3</v>
      </c>
      <c r="AA3289">
        <v>26</v>
      </c>
      <c r="AB3289">
        <v>9</v>
      </c>
      <c r="AD3289">
        <v>0</v>
      </c>
      <c r="AE3289">
        <v>0</v>
      </c>
      <c r="AF3289">
        <v>0</v>
      </c>
      <c r="AG3289">
        <v>0</v>
      </c>
      <c r="AI3289">
        <v>0</v>
      </c>
      <c r="AJ3289">
        <v>14</v>
      </c>
      <c r="AK3289">
        <v>429</v>
      </c>
      <c r="AL3289">
        <v>429</v>
      </c>
      <c r="AM3289">
        <v>613</v>
      </c>
      <c r="AN3289">
        <v>44</v>
      </c>
      <c r="AP3289">
        <v>1</v>
      </c>
      <c r="AR3289" t="s">
        <v>3385</v>
      </c>
      <c r="AS3289" s="1">
        <v>44354.137499999997</v>
      </c>
      <c r="AT3289" s="1">
        <v>44354.155173611114</v>
      </c>
      <c r="AU3289" s="1">
        <v>44354.15552083333</v>
      </c>
      <c r="AV3289" t="s">
        <v>71</v>
      </c>
      <c r="AW3289" t="s">
        <v>72</v>
      </c>
      <c r="AX3289" t="s">
        <v>73</v>
      </c>
    </row>
    <row r="3290" spans="1:50" x14ac:dyDescent="0.3">
      <c r="A3290" t="str">
        <f>"200149C0300"</f>
        <v>200149C0300</v>
      </c>
      <c r="B3290" t="str">
        <f>"200149C03002"</f>
        <v>200149C03002</v>
      </c>
      <c r="C3290" t="str">
        <f t="shared" si="161"/>
        <v>20</v>
      </c>
      <c r="D3290" t="s">
        <v>67</v>
      </c>
      <c r="E3290" t="str">
        <f t="shared" si="160"/>
        <v>015</v>
      </c>
      <c r="F3290" t="s">
        <v>3364</v>
      </c>
      <c r="G3290" t="str">
        <f>"0149"</f>
        <v>0149</v>
      </c>
      <c r="H3290" t="str">
        <f>"0003"</f>
        <v>0003</v>
      </c>
      <c r="I3290" t="s">
        <v>75</v>
      </c>
      <c r="J3290">
        <v>0</v>
      </c>
      <c r="K3290">
        <v>1</v>
      </c>
      <c r="L3290">
        <v>2</v>
      </c>
      <c r="M3290">
        <v>212</v>
      </c>
      <c r="N3290">
        <v>445</v>
      </c>
      <c r="O3290">
        <v>11</v>
      </c>
      <c r="P3290">
        <v>445</v>
      </c>
      <c r="Q3290">
        <v>17</v>
      </c>
      <c r="R3290">
        <v>28</v>
      </c>
      <c r="S3290">
        <v>1</v>
      </c>
      <c r="T3290">
        <v>59</v>
      </c>
      <c r="U3290">
        <v>14</v>
      </c>
      <c r="V3290">
        <v>45</v>
      </c>
      <c r="W3290">
        <v>43</v>
      </c>
      <c r="X3290">
        <v>180</v>
      </c>
      <c r="Y3290">
        <v>2</v>
      </c>
      <c r="Z3290">
        <v>5</v>
      </c>
      <c r="AA3290">
        <v>13</v>
      </c>
      <c r="AB3290">
        <v>18</v>
      </c>
      <c r="AD3290">
        <v>0</v>
      </c>
      <c r="AE3290">
        <v>0</v>
      </c>
      <c r="AF3290">
        <v>0</v>
      </c>
      <c r="AG3290">
        <v>0</v>
      </c>
      <c r="AI3290">
        <v>0</v>
      </c>
      <c r="AJ3290">
        <v>20</v>
      </c>
      <c r="AK3290">
        <v>445</v>
      </c>
      <c r="AL3290">
        <v>445</v>
      </c>
      <c r="AM3290">
        <v>613</v>
      </c>
      <c r="AN3290">
        <v>44</v>
      </c>
      <c r="AP3290">
        <v>1</v>
      </c>
      <c r="AR3290" t="s">
        <v>3386</v>
      </c>
      <c r="AS3290" s="1">
        <v>44354.138194444444</v>
      </c>
      <c r="AT3290" s="1">
        <v>44354.159363425926</v>
      </c>
      <c r="AU3290" s="1">
        <v>44354.159699074073</v>
      </c>
      <c r="AV3290" t="s">
        <v>71</v>
      </c>
      <c r="AW3290" t="s">
        <v>72</v>
      </c>
      <c r="AX3290" t="s">
        <v>73</v>
      </c>
    </row>
    <row r="3291" spans="1:50" x14ac:dyDescent="0.3">
      <c r="A3291" t="str">
        <f>"200150B0000"</f>
        <v>200150B0000</v>
      </c>
      <c r="B3291" t="str">
        <f>"200150B00002"</f>
        <v>200150B00002</v>
      </c>
      <c r="C3291" t="str">
        <f t="shared" si="161"/>
        <v>20</v>
      </c>
      <c r="D3291" t="s">
        <v>67</v>
      </c>
      <c r="E3291" t="str">
        <f t="shared" si="160"/>
        <v>015</v>
      </c>
      <c r="F3291" t="s">
        <v>3364</v>
      </c>
      <c r="G3291" t="str">
        <f>"0150"</f>
        <v>0150</v>
      </c>
      <c r="H3291" t="str">
        <f>"0000"</f>
        <v>0000</v>
      </c>
      <c r="I3291" t="s">
        <v>69</v>
      </c>
      <c r="J3291">
        <v>0</v>
      </c>
      <c r="K3291">
        <v>1</v>
      </c>
      <c r="L3291">
        <v>2</v>
      </c>
      <c r="M3291">
        <v>199</v>
      </c>
      <c r="N3291" t="s">
        <v>80</v>
      </c>
      <c r="O3291">
        <v>4</v>
      </c>
      <c r="P3291">
        <v>449</v>
      </c>
      <c r="Q3291">
        <v>17</v>
      </c>
      <c r="R3291">
        <v>32</v>
      </c>
      <c r="S3291">
        <v>5</v>
      </c>
      <c r="T3291">
        <v>105</v>
      </c>
      <c r="U3291">
        <v>7</v>
      </c>
      <c r="V3291">
        <v>71</v>
      </c>
      <c r="W3291">
        <v>41</v>
      </c>
      <c r="X3291">
        <v>138</v>
      </c>
      <c r="Y3291">
        <v>4</v>
      </c>
      <c r="Z3291">
        <v>2</v>
      </c>
      <c r="AA3291">
        <v>11</v>
      </c>
      <c r="AB3291">
        <v>3</v>
      </c>
      <c r="AD3291" t="s">
        <v>77</v>
      </c>
      <c r="AE3291" t="s">
        <v>77</v>
      </c>
      <c r="AF3291" t="s">
        <v>77</v>
      </c>
      <c r="AG3291" t="s">
        <v>77</v>
      </c>
      <c r="AI3291" t="s">
        <v>77</v>
      </c>
      <c r="AJ3291">
        <v>13</v>
      </c>
      <c r="AK3291">
        <v>449</v>
      </c>
      <c r="AL3291">
        <v>449</v>
      </c>
      <c r="AM3291">
        <v>604</v>
      </c>
      <c r="AN3291">
        <v>44</v>
      </c>
      <c r="AO3291" t="s">
        <v>78</v>
      </c>
      <c r="AP3291">
        <v>1</v>
      </c>
      <c r="AR3291" t="s">
        <v>3387</v>
      </c>
      <c r="AS3291" s="1">
        <v>44354.050694444442</v>
      </c>
      <c r="AT3291" s="1">
        <v>44354.103865740741</v>
      </c>
      <c r="AU3291" s="1">
        <v>44354.104467592595</v>
      </c>
      <c r="AV3291" t="s">
        <v>71</v>
      </c>
      <c r="AW3291" t="s">
        <v>72</v>
      </c>
      <c r="AX3291" t="s">
        <v>73</v>
      </c>
    </row>
    <row r="3292" spans="1:50" x14ac:dyDescent="0.3">
      <c r="A3292" t="str">
        <f>"200150C0100"</f>
        <v>200150C0100</v>
      </c>
      <c r="B3292" t="str">
        <f>"200150C01002"</f>
        <v>200150C01002</v>
      </c>
      <c r="C3292" t="str">
        <f t="shared" si="161"/>
        <v>20</v>
      </c>
      <c r="D3292" t="s">
        <v>67</v>
      </c>
      <c r="E3292" t="str">
        <f t="shared" si="160"/>
        <v>015</v>
      </c>
      <c r="F3292" t="s">
        <v>3364</v>
      </c>
      <c r="G3292" t="str">
        <f>"0150"</f>
        <v>0150</v>
      </c>
      <c r="H3292" t="str">
        <f>"0001"</f>
        <v>0001</v>
      </c>
      <c r="I3292" t="s">
        <v>75</v>
      </c>
      <c r="J3292">
        <v>0</v>
      </c>
      <c r="K3292">
        <v>1</v>
      </c>
      <c r="L3292">
        <v>2</v>
      </c>
      <c r="M3292">
        <v>221</v>
      </c>
      <c r="N3292">
        <v>426</v>
      </c>
      <c r="O3292">
        <v>10</v>
      </c>
      <c r="P3292">
        <v>426</v>
      </c>
      <c r="Q3292">
        <v>17</v>
      </c>
      <c r="R3292">
        <v>24</v>
      </c>
      <c r="S3292">
        <v>7</v>
      </c>
      <c r="T3292">
        <v>121</v>
      </c>
      <c r="U3292">
        <v>9</v>
      </c>
      <c r="V3292">
        <v>50</v>
      </c>
      <c r="W3292">
        <v>39</v>
      </c>
      <c r="X3292">
        <v>120</v>
      </c>
      <c r="Y3292">
        <v>3</v>
      </c>
      <c r="Z3292">
        <v>2</v>
      </c>
      <c r="AA3292">
        <v>19</v>
      </c>
      <c r="AB3292">
        <v>9</v>
      </c>
      <c r="AD3292">
        <v>0</v>
      </c>
      <c r="AE3292">
        <v>0</v>
      </c>
      <c r="AF3292">
        <v>0</v>
      </c>
      <c r="AG3292">
        <v>0</v>
      </c>
      <c r="AI3292">
        <v>0</v>
      </c>
      <c r="AJ3292">
        <v>6</v>
      </c>
      <c r="AK3292">
        <v>426</v>
      </c>
      <c r="AL3292">
        <v>426</v>
      </c>
      <c r="AM3292">
        <v>603</v>
      </c>
      <c r="AN3292">
        <v>44</v>
      </c>
      <c r="AP3292">
        <v>1</v>
      </c>
      <c r="AR3292" t="s">
        <v>3388</v>
      </c>
      <c r="AS3292" s="1">
        <v>44354.051388888889</v>
      </c>
      <c r="AT3292" s="1">
        <v>44354.103125000001</v>
      </c>
      <c r="AU3292" s="1">
        <v>44354.103715277779</v>
      </c>
      <c r="AV3292" t="s">
        <v>71</v>
      </c>
      <c r="AW3292" t="s">
        <v>72</v>
      </c>
      <c r="AX3292" t="s">
        <v>73</v>
      </c>
    </row>
    <row r="3293" spans="1:50" x14ac:dyDescent="0.3">
      <c r="A3293" t="str">
        <f>"200150C0200"</f>
        <v>200150C0200</v>
      </c>
      <c r="B3293" t="str">
        <f>"200150C02002"</f>
        <v>200150C02002</v>
      </c>
      <c r="C3293" t="str">
        <f t="shared" si="161"/>
        <v>20</v>
      </c>
      <c r="D3293" t="s">
        <v>67</v>
      </c>
      <c r="E3293" t="str">
        <f t="shared" si="160"/>
        <v>015</v>
      </c>
      <c r="F3293" t="s">
        <v>3364</v>
      </c>
      <c r="G3293" t="str">
        <f>"0150"</f>
        <v>0150</v>
      </c>
      <c r="H3293" t="str">
        <f>"0002"</f>
        <v>0002</v>
      </c>
      <c r="I3293" t="s">
        <v>75</v>
      </c>
      <c r="J3293">
        <v>0</v>
      </c>
      <c r="K3293">
        <v>1</v>
      </c>
      <c r="L3293">
        <v>2</v>
      </c>
      <c r="M3293">
        <v>184</v>
      </c>
      <c r="N3293">
        <v>463</v>
      </c>
      <c r="O3293">
        <v>7</v>
      </c>
      <c r="P3293">
        <v>463</v>
      </c>
      <c r="Q3293">
        <v>15</v>
      </c>
      <c r="R3293">
        <v>40</v>
      </c>
      <c r="S3293">
        <v>2</v>
      </c>
      <c r="T3293">
        <v>137</v>
      </c>
      <c r="U3293">
        <v>11</v>
      </c>
      <c r="V3293">
        <v>72</v>
      </c>
      <c r="W3293">
        <v>34</v>
      </c>
      <c r="X3293">
        <v>116</v>
      </c>
      <c r="Y3293">
        <v>1</v>
      </c>
      <c r="Z3293">
        <v>3</v>
      </c>
      <c r="AA3293">
        <v>16</v>
      </c>
      <c r="AB3293">
        <v>2</v>
      </c>
      <c r="AD3293">
        <v>0</v>
      </c>
      <c r="AE3293">
        <v>0</v>
      </c>
      <c r="AF3293">
        <v>0</v>
      </c>
      <c r="AG3293">
        <v>0</v>
      </c>
      <c r="AI3293">
        <v>0</v>
      </c>
      <c r="AJ3293">
        <v>14</v>
      </c>
      <c r="AK3293">
        <v>463</v>
      </c>
      <c r="AL3293">
        <v>463</v>
      </c>
      <c r="AM3293">
        <v>603</v>
      </c>
      <c r="AN3293">
        <v>44</v>
      </c>
      <c r="AP3293">
        <v>1</v>
      </c>
      <c r="AR3293" t="s">
        <v>3389</v>
      </c>
      <c r="AS3293" s="1">
        <v>44354.051388888889</v>
      </c>
      <c r="AT3293" s="1">
        <v>44354.103854166664</v>
      </c>
      <c r="AU3293" s="1">
        <v>44354.104201388887</v>
      </c>
      <c r="AV3293" t="s">
        <v>71</v>
      </c>
      <c r="AW3293" t="s">
        <v>72</v>
      </c>
      <c r="AX3293" t="s">
        <v>73</v>
      </c>
    </row>
    <row r="3294" spans="1:50" x14ac:dyDescent="0.3">
      <c r="A3294" t="str">
        <f>"200151B0000"</f>
        <v>200151B0000</v>
      </c>
      <c r="B3294" t="str">
        <f>"200151B00002"</f>
        <v>200151B00002</v>
      </c>
      <c r="C3294" t="str">
        <f t="shared" si="161"/>
        <v>20</v>
      </c>
      <c r="D3294" t="s">
        <v>67</v>
      </c>
      <c r="E3294" t="str">
        <f t="shared" si="160"/>
        <v>015</v>
      </c>
      <c r="F3294" t="s">
        <v>3364</v>
      </c>
      <c r="G3294" t="str">
        <f>"0151"</f>
        <v>0151</v>
      </c>
      <c r="H3294" t="str">
        <f>"0000"</f>
        <v>0000</v>
      </c>
      <c r="I3294" t="s">
        <v>69</v>
      </c>
      <c r="J3294">
        <v>0</v>
      </c>
      <c r="K3294">
        <v>1</v>
      </c>
      <c r="L3294">
        <v>2</v>
      </c>
      <c r="M3294">
        <v>229</v>
      </c>
      <c r="N3294">
        <v>0</v>
      </c>
      <c r="O3294">
        <v>0</v>
      </c>
      <c r="P3294">
        <v>489</v>
      </c>
      <c r="Q3294">
        <v>29</v>
      </c>
      <c r="R3294">
        <v>39</v>
      </c>
      <c r="S3294">
        <v>4</v>
      </c>
      <c r="T3294">
        <v>64</v>
      </c>
      <c r="U3294">
        <v>11</v>
      </c>
      <c r="V3294">
        <v>52</v>
      </c>
      <c r="W3294">
        <v>55</v>
      </c>
      <c r="X3294">
        <v>179</v>
      </c>
      <c r="Y3294">
        <v>2</v>
      </c>
      <c r="Z3294">
        <v>4</v>
      </c>
      <c r="AA3294">
        <v>25</v>
      </c>
      <c r="AB3294">
        <v>13</v>
      </c>
      <c r="AD3294" t="s">
        <v>77</v>
      </c>
      <c r="AE3294" t="s">
        <v>77</v>
      </c>
      <c r="AF3294" t="s">
        <v>77</v>
      </c>
      <c r="AG3294" t="s">
        <v>77</v>
      </c>
      <c r="AI3294" t="s">
        <v>77</v>
      </c>
      <c r="AJ3294">
        <v>12</v>
      </c>
      <c r="AK3294">
        <v>489</v>
      </c>
      <c r="AL3294">
        <v>489</v>
      </c>
      <c r="AM3294">
        <v>674</v>
      </c>
      <c r="AN3294">
        <v>44</v>
      </c>
      <c r="AO3294" t="s">
        <v>78</v>
      </c>
      <c r="AP3294">
        <v>1</v>
      </c>
      <c r="AR3294" t="s">
        <v>3390</v>
      </c>
      <c r="AS3294" s="1">
        <v>44354.06527777778</v>
      </c>
      <c r="AT3294" s="1">
        <v>44354.082326388889</v>
      </c>
      <c r="AU3294" s="1">
        <v>44354.083611111113</v>
      </c>
      <c r="AV3294" t="s">
        <v>71</v>
      </c>
      <c r="AW3294" t="s">
        <v>72</v>
      </c>
      <c r="AX3294" t="s">
        <v>73</v>
      </c>
    </row>
    <row r="3295" spans="1:50" x14ac:dyDescent="0.3">
      <c r="A3295" t="str">
        <f>"200151C0100"</f>
        <v>200151C0100</v>
      </c>
      <c r="B3295" t="str">
        <f>"200151C01002"</f>
        <v>200151C01002</v>
      </c>
      <c r="C3295" t="str">
        <f t="shared" si="161"/>
        <v>20</v>
      </c>
      <c r="D3295" t="s">
        <v>67</v>
      </c>
      <c r="E3295" t="str">
        <f t="shared" si="160"/>
        <v>015</v>
      </c>
      <c r="F3295" t="s">
        <v>3364</v>
      </c>
      <c r="G3295" t="str">
        <f>"0151"</f>
        <v>0151</v>
      </c>
      <c r="H3295" t="str">
        <f>"0001"</f>
        <v>0001</v>
      </c>
      <c r="I3295" t="s">
        <v>75</v>
      </c>
      <c r="J3295">
        <v>0</v>
      </c>
      <c r="K3295">
        <v>1</v>
      </c>
      <c r="L3295">
        <v>2</v>
      </c>
      <c r="M3295">
        <v>264</v>
      </c>
      <c r="N3295">
        <v>454</v>
      </c>
      <c r="O3295">
        <v>3</v>
      </c>
      <c r="P3295">
        <v>454</v>
      </c>
      <c r="Q3295">
        <v>22</v>
      </c>
      <c r="R3295">
        <v>37</v>
      </c>
      <c r="S3295">
        <v>5</v>
      </c>
      <c r="T3295">
        <v>34</v>
      </c>
      <c r="U3295">
        <v>8</v>
      </c>
      <c r="V3295">
        <v>48</v>
      </c>
      <c r="W3295">
        <v>70</v>
      </c>
      <c r="X3295">
        <v>176</v>
      </c>
      <c r="Y3295">
        <v>0</v>
      </c>
      <c r="Z3295">
        <v>6</v>
      </c>
      <c r="AA3295">
        <v>23</v>
      </c>
      <c r="AB3295">
        <v>12</v>
      </c>
      <c r="AD3295">
        <v>0</v>
      </c>
      <c r="AE3295">
        <v>0</v>
      </c>
      <c r="AF3295">
        <v>0</v>
      </c>
      <c r="AG3295">
        <v>0</v>
      </c>
      <c r="AI3295">
        <v>0</v>
      </c>
      <c r="AJ3295">
        <v>13</v>
      </c>
      <c r="AK3295">
        <v>454</v>
      </c>
      <c r="AL3295">
        <v>454</v>
      </c>
      <c r="AM3295">
        <v>674</v>
      </c>
      <c r="AN3295">
        <v>44</v>
      </c>
      <c r="AP3295">
        <v>1</v>
      </c>
      <c r="AR3295" t="s">
        <v>3391</v>
      </c>
      <c r="AS3295" s="1">
        <v>44354.066666666666</v>
      </c>
      <c r="AT3295" s="1">
        <v>44354.11577546296</v>
      </c>
      <c r="AU3295" s="1">
        <v>44354.116585648146</v>
      </c>
      <c r="AV3295" t="s">
        <v>71</v>
      </c>
      <c r="AW3295" t="s">
        <v>72</v>
      </c>
      <c r="AX3295" t="s">
        <v>73</v>
      </c>
    </row>
    <row r="3296" spans="1:50" x14ac:dyDescent="0.3">
      <c r="A3296" t="str">
        <f>"200151C0200"</f>
        <v>200151C0200</v>
      </c>
      <c r="B3296" t="str">
        <f>"200151C02002"</f>
        <v>200151C02002</v>
      </c>
      <c r="C3296" t="str">
        <f t="shared" si="161"/>
        <v>20</v>
      </c>
      <c r="D3296" t="s">
        <v>67</v>
      </c>
      <c r="E3296" t="str">
        <f t="shared" si="160"/>
        <v>015</v>
      </c>
      <c r="F3296" t="s">
        <v>3364</v>
      </c>
      <c r="G3296" t="str">
        <f>"0151"</f>
        <v>0151</v>
      </c>
      <c r="H3296" t="str">
        <f>"0002"</f>
        <v>0002</v>
      </c>
      <c r="I3296" t="s">
        <v>75</v>
      </c>
      <c r="J3296">
        <v>0</v>
      </c>
      <c r="K3296">
        <v>1</v>
      </c>
      <c r="L3296">
        <v>2</v>
      </c>
      <c r="M3296">
        <v>264</v>
      </c>
      <c r="N3296">
        <v>453</v>
      </c>
      <c r="O3296">
        <v>1</v>
      </c>
      <c r="P3296">
        <v>453</v>
      </c>
      <c r="Q3296">
        <v>22</v>
      </c>
      <c r="R3296">
        <v>46</v>
      </c>
      <c r="S3296">
        <v>5</v>
      </c>
      <c r="T3296">
        <v>41</v>
      </c>
      <c r="U3296">
        <v>20</v>
      </c>
      <c r="V3296">
        <v>30</v>
      </c>
      <c r="W3296">
        <v>61</v>
      </c>
      <c r="X3296">
        <v>178</v>
      </c>
      <c r="Y3296">
        <v>3</v>
      </c>
      <c r="Z3296">
        <v>3</v>
      </c>
      <c r="AA3296">
        <v>15</v>
      </c>
      <c r="AB3296">
        <v>19</v>
      </c>
      <c r="AD3296" t="s">
        <v>77</v>
      </c>
      <c r="AE3296" t="s">
        <v>77</v>
      </c>
      <c r="AF3296" t="s">
        <v>77</v>
      </c>
      <c r="AG3296" t="s">
        <v>77</v>
      </c>
      <c r="AI3296">
        <v>1</v>
      </c>
      <c r="AJ3296">
        <v>9</v>
      </c>
      <c r="AK3296">
        <v>453</v>
      </c>
      <c r="AL3296">
        <v>453</v>
      </c>
      <c r="AM3296">
        <v>673</v>
      </c>
      <c r="AN3296">
        <v>44</v>
      </c>
      <c r="AO3296" t="s">
        <v>78</v>
      </c>
      <c r="AP3296">
        <v>1</v>
      </c>
      <c r="AR3296" t="s">
        <v>3392</v>
      </c>
      <c r="AS3296" s="1">
        <v>44354.066666666666</v>
      </c>
      <c r="AT3296" s="1">
        <v>44354.113171296296</v>
      </c>
      <c r="AU3296" s="1">
        <v>44354.113807870373</v>
      </c>
      <c r="AV3296" t="s">
        <v>71</v>
      </c>
      <c r="AW3296" t="s">
        <v>72</v>
      </c>
      <c r="AX3296" t="s">
        <v>73</v>
      </c>
    </row>
    <row r="3297" spans="1:50" x14ac:dyDescent="0.3">
      <c r="A3297" t="str">
        <f>"200151C0300"</f>
        <v>200151C0300</v>
      </c>
      <c r="B3297" t="str">
        <f>"200151C03002"</f>
        <v>200151C03002</v>
      </c>
      <c r="C3297" t="str">
        <f t="shared" si="161"/>
        <v>20</v>
      </c>
      <c r="D3297" t="s">
        <v>67</v>
      </c>
      <c r="E3297" t="str">
        <f t="shared" si="160"/>
        <v>015</v>
      </c>
      <c r="F3297" t="s">
        <v>3364</v>
      </c>
      <c r="G3297" t="str">
        <f>"0151"</f>
        <v>0151</v>
      </c>
      <c r="H3297" t="str">
        <f>"0003"</f>
        <v>0003</v>
      </c>
      <c r="I3297" t="s">
        <v>75</v>
      </c>
      <c r="J3297">
        <v>0</v>
      </c>
      <c r="K3297">
        <v>1</v>
      </c>
      <c r="L3297">
        <v>2</v>
      </c>
      <c r="M3297">
        <v>215</v>
      </c>
      <c r="N3297">
        <v>502</v>
      </c>
      <c r="O3297">
        <v>8</v>
      </c>
      <c r="P3297">
        <v>502</v>
      </c>
      <c r="Q3297">
        <v>73</v>
      </c>
      <c r="R3297">
        <v>0</v>
      </c>
      <c r="S3297">
        <v>0</v>
      </c>
      <c r="T3297">
        <v>52</v>
      </c>
      <c r="U3297">
        <v>10</v>
      </c>
      <c r="V3297">
        <v>59</v>
      </c>
      <c r="W3297">
        <v>64</v>
      </c>
      <c r="X3297">
        <v>179</v>
      </c>
      <c r="Y3297">
        <v>1</v>
      </c>
      <c r="Z3297">
        <v>9</v>
      </c>
      <c r="AA3297">
        <v>29</v>
      </c>
      <c r="AB3297">
        <v>8</v>
      </c>
      <c r="AD3297" t="s">
        <v>77</v>
      </c>
      <c r="AE3297" t="s">
        <v>77</v>
      </c>
      <c r="AF3297" t="s">
        <v>77</v>
      </c>
      <c r="AG3297" t="s">
        <v>77</v>
      </c>
      <c r="AI3297" t="s">
        <v>77</v>
      </c>
      <c r="AJ3297">
        <v>18</v>
      </c>
      <c r="AK3297">
        <v>502</v>
      </c>
      <c r="AL3297">
        <v>502</v>
      </c>
      <c r="AM3297">
        <v>673</v>
      </c>
      <c r="AN3297">
        <v>44</v>
      </c>
      <c r="AO3297" t="s">
        <v>78</v>
      </c>
      <c r="AP3297">
        <v>1</v>
      </c>
      <c r="AR3297" t="s">
        <v>3393</v>
      </c>
      <c r="AS3297" s="1">
        <v>44354.066666666666</v>
      </c>
      <c r="AT3297" s="1">
        <v>44354.115011574075</v>
      </c>
      <c r="AU3297" s="1">
        <v>44354.115335648145</v>
      </c>
      <c r="AV3297" t="s">
        <v>71</v>
      </c>
      <c r="AW3297" t="s">
        <v>72</v>
      </c>
      <c r="AX3297" t="s">
        <v>73</v>
      </c>
    </row>
    <row r="3298" spans="1:50" x14ac:dyDescent="0.3">
      <c r="A3298" t="str">
        <f>"200151C0400"</f>
        <v>200151C0400</v>
      </c>
      <c r="B3298" t="str">
        <f>"200151C04002"</f>
        <v>200151C04002</v>
      </c>
      <c r="C3298" t="str">
        <f t="shared" si="161"/>
        <v>20</v>
      </c>
      <c r="D3298" t="s">
        <v>67</v>
      </c>
      <c r="E3298" t="str">
        <f t="shared" si="160"/>
        <v>015</v>
      </c>
      <c r="F3298" t="s">
        <v>3364</v>
      </c>
      <c r="G3298" t="str">
        <f>"0151"</f>
        <v>0151</v>
      </c>
      <c r="H3298" t="str">
        <f>"0004"</f>
        <v>0004</v>
      </c>
      <c r="I3298" t="s">
        <v>75</v>
      </c>
      <c r="J3298">
        <v>0</v>
      </c>
      <c r="K3298">
        <v>1</v>
      </c>
      <c r="L3298">
        <v>2</v>
      </c>
      <c r="M3298">
        <v>205</v>
      </c>
      <c r="N3298">
        <v>512</v>
      </c>
      <c r="O3298">
        <v>6</v>
      </c>
      <c r="P3298">
        <v>512</v>
      </c>
      <c r="Q3298">
        <v>16</v>
      </c>
      <c r="R3298">
        <v>49</v>
      </c>
      <c r="S3298">
        <v>0</v>
      </c>
      <c r="T3298">
        <v>58</v>
      </c>
      <c r="U3298">
        <v>19</v>
      </c>
      <c r="V3298">
        <v>64</v>
      </c>
      <c r="W3298">
        <v>68</v>
      </c>
      <c r="X3298">
        <v>192</v>
      </c>
      <c r="Y3298">
        <v>0</v>
      </c>
      <c r="Z3298">
        <v>2</v>
      </c>
      <c r="AA3298">
        <v>17</v>
      </c>
      <c r="AB3298">
        <v>10</v>
      </c>
      <c r="AD3298">
        <v>0</v>
      </c>
      <c r="AE3298">
        <v>0</v>
      </c>
      <c r="AF3298">
        <v>0</v>
      </c>
      <c r="AG3298">
        <v>0</v>
      </c>
      <c r="AI3298">
        <v>0</v>
      </c>
      <c r="AJ3298">
        <v>17</v>
      </c>
      <c r="AK3298">
        <v>512</v>
      </c>
      <c r="AL3298">
        <v>512</v>
      </c>
      <c r="AM3298">
        <v>673</v>
      </c>
      <c r="AN3298">
        <v>44</v>
      </c>
      <c r="AP3298">
        <v>1</v>
      </c>
      <c r="AR3298" t="s">
        <v>3394</v>
      </c>
      <c r="AS3298" s="1">
        <v>44354.06527777778</v>
      </c>
      <c r="AT3298" s="1">
        <v>44354.090243055558</v>
      </c>
      <c r="AU3298" s="1">
        <v>44354.090798611112</v>
      </c>
      <c r="AV3298" t="s">
        <v>71</v>
      </c>
      <c r="AW3298" t="s">
        <v>72</v>
      </c>
      <c r="AX3298" t="s">
        <v>73</v>
      </c>
    </row>
    <row r="3299" spans="1:50" x14ac:dyDescent="0.3">
      <c r="A3299" t="str">
        <f>"200152B0000"</f>
        <v>200152B0000</v>
      </c>
      <c r="B3299" t="str">
        <f>"200152B00002"</f>
        <v>200152B00002</v>
      </c>
      <c r="C3299" t="str">
        <f t="shared" si="161"/>
        <v>20</v>
      </c>
      <c r="D3299" t="s">
        <v>67</v>
      </c>
      <c r="E3299" t="str">
        <f t="shared" si="160"/>
        <v>015</v>
      </c>
      <c r="F3299" t="s">
        <v>3364</v>
      </c>
      <c r="G3299" t="str">
        <f>"0152"</f>
        <v>0152</v>
      </c>
      <c r="H3299" t="str">
        <f>"0000"</f>
        <v>0000</v>
      </c>
      <c r="I3299" t="s">
        <v>69</v>
      </c>
      <c r="J3299">
        <v>0</v>
      </c>
      <c r="K3299">
        <v>1</v>
      </c>
      <c r="L3299">
        <v>2</v>
      </c>
      <c r="M3299">
        <v>194</v>
      </c>
      <c r="N3299">
        <v>486</v>
      </c>
      <c r="O3299">
        <v>13</v>
      </c>
      <c r="P3299">
        <v>486</v>
      </c>
      <c r="Q3299">
        <v>32</v>
      </c>
      <c r="R3299">
        <v>46</v>
      </c>
      <c r="S3299">
        <v>4</v>
      </c>
      <c r="T3299">
        <v>51</v>
      </c>
      <c r="U3299">
        <v>13</v>
      </c>
      <c r="V3299">
        <v>53</v>
      </c>
      <c r="W3299">
        <v>61</v>
      </c>
      <c r="X3299">
        <v>155</v>
      </c>
      <c r="Y3299">
        <v>3</v>
      </c>
      <c r="Z3299">
        <v>4</v>
      </c>
      <c r="AA3299">
        <v>39</v>
      </c>
      <c r="AB3299">
        <v>12</v>
      </c>
      <c r="AD3299">
        <v>1</v>
      </c>
      <c r="AE3299">
        <v>0</v>
      </c>
      <c r="AF3299">
        <v>0</v>
      </c>
      <c r="AG3299">
        <v>0</v>
      </c>
      <c r="AI3299">
        <v>0</v>
      </c>
      <c r="AJ3299">
        <v>12</v>
      </c>
      <c r="AK3299">
        <v>486</v>
      </c>
      <c r="AL3299">
        <v>486</v>
      </c>
      <c r="AM3299">
        <v>636</v>
      </c>
      <c r="AN3299">
        <v>44</v>
      </c>
      <c r="AP3299">
        <v>1</v>
      </c>
      <c r="AR3299" t="s">
        <v>3395</v>
      </c>
      <c r="AS3299" s="1">
        <v>44354.051388888889</v>
      </c>
      <c r="AT3299" s="1">
        <v>44354.102442129632</v>
      </c>
      <c r="AU3299" s="1">
        <v>44354.103506944448</v>
      </c>
      <c r="AV3299" t="s">
        <v>71</v>
      </c>
      <c r="AW3299" t="s">
        <v>72</v>
      </c>
      <c r="AX3299" t="s">
        <v>73</v>
      </c>
    </row>
    <row r="3300" spans="1:50" x14ac:dyDescent="0.3">
      <c r="A3300" t="str">
        <f>"200152C0100"</f>
        <v>200152C0100</v>
      </c>
      <c r="B3300" t="str">
        <f>"200152C01002"</f>
        <v>200152C01002</v>
      </c>
      <c r="C3300" t="str">
        <f t="shared" si="161"/>
        <v>20</v>
      </c>
      <c r="D3300" t="s">
        <v>67</v>
      </c>
      <c r="E3300" t="str">
        <f t="shared" si="160"/>
        <v>015</v>
      </c>
      <c r="F3300" t="s">
        <v>3364</v>
      </c>
      <c r="G3300" t="str">
        <f>"0152"</f>
        <v>0152</v>
      </c>
      <c r="H3300" t="str">
        <f>"0001"</f>
        <v>0001</v>
      </c>
      <c r="I3300" t="s">
        <v>75</v>
      </c>
      <c r="J3300">
        <v>0</v>
      </c>
      <c r="K3300">
        <v>1</v>
      </c>
      <c r="L3300">
        <v>2</v>
      </c>
      <c r="M3300">
        <v>217</v>
      </c>
      <c r="N3300">
        <v>463</v>
      </c>
      <c r="O3300">
        <v>11</v>
      </c>
      <c r="P3300">
        <v>463</v>
      </c>
      <c r="Q3300">
        <v>32</v>
      </c>
      <c r="R3300">
        <v>36</v>
      </c>
      <c r="S3300">
        <v>5</v>
      </c>
      <c r="T3300">
        <v>52</v>
      </c>
      <c r="U3300">
        <v>16</v>
      </c>
      <c r="V3300">
        <v>49</v>
      </c>
      <c r="W3300">
        <v>55</v>
      </c>
      <c r="X3300">
        <v>162</v>
      </c>
      <c r="Y3300">
        <v>0</v>
      </c>
      <c r="Z3300">
        <v>3</v>
      </c>
      <c r="AA3300">
        <v>27</v>
      </c>
      <c r="AB3300">
        <v>12</v>
      </c>
      <c r="AD3300">
        <v>0</v>
      </c>
      <c r="AE3300">
        <v>0</v>
      </c>
      <c r="AF3300">
        <v>0</v>
      </c>
      <c r="AG3300">
        <v>0</v>
      </c>
      <c r="AI3300">
        <v>0</v>
      </c>
      <c r="AJ3300">
        <v>14</v>
      </c>
      <c r="AK3300">
        <v>463</v>
      </c>
      <c r="AL3300">
        <v>463</v>
      </c>
      <c r="AM3300">
        <v>636</v>
      </c>
      <c r="AN3300">
        <v>44</v>
      </c>
      <c r="AP3300">
        <v>1</v>
      </c>
      <c r="AR3300" t="s">
        <v>3396</v>
      </c>
      <c r="AS3300" s="1">
        <v>44354.051388888889</v>
      </c>
      <c r="AT3300" s="1">
        <v>44354.101655092592</v>
      </c>
      <c r="AU3300" s="1">
        <v>44354.103958333333</v>
      </c>
      <c r="AV3300" t="s">
        <v>71</v>
      </c>
      <c r="AW3300" t="s">
        <v>72</v>
      </c>
      <c r="AX3300" t="s">
        <v>73</v>
      </c>
    </row>
    <row r="3301" spans="1:50" x14ac:dyDescent="0.3">
      <c r="A3301" t="str">
        <f>"200152C0200"</f>
        <v>200152C0200</v>
      </c>
      <c r="B3301" t="str">
        <f>"200152C02002"</f>
        <v>200152C02002</v>
      </c>
      <c r="C3301" t="str">
        <f t="shared" si="161"/>
        <v>20</v>
      </c>
      <c r="D3301" t="s">
        <v>67</v>
      </c>
      <c r="E3301" t="str">
        <f t="shared" si="160"/>
        <v>015</v>
      </c>
      <c r="F3301" t="s">
        <v>3364</v>
      </c>
      <c r="G3301" t="str">
        <f>"0152"</f>
        <v>0152</v>
      </c>
      <c r="H3301" t="str">
        <f>"0002"</f>
        <v>0002</v>
      </c>
      <c r="I3301" t="s">
        <v>75</v>
      </c>
      <c r="J3301">
        <v>0</v>
      </c>
      <c r="K3301">
        <v>1</v>
      </c>
      <c r="L3301">
        <v>2</v>
      </c>
      <c r="M3301">
        <v>194</v>
      </c>
      <c r="N3301">
        <v>486</v>
      </c>
      <c r="O3301">
        <v>8</v>
      </c>
      <c r="P3301">
        <v>487</v>
      </c>
      <c r="Q3301">
        <v>31</v>
      </c>
      <c r="R3301">
        <v>49</v>
      </c>
      <c r="S3301">
        <v>6</v>
      </c>
      <c r="T3301">
        <v>48</v>
      </c>
      <c r="U3301">
        <v>11</v>
      </c>
      <c r="V3301">
        <v>46</v>
      </c>
      <c r="W3301">
        <v>69</v>
      </c>
      <c r="X3301">
        <v>173</v>
      </c>
      <c r="Y3301">
        <v>5</v>
      </c>
      <c r="Z3301">
        <v>0</v>
      </c>
      <c r="AA3301">
        <v>21</v>
      </c>
      <c r="AB3301">
        <v>18</v>
      </c>
      <c r="AD3301">
        <v>1</v>
      </c>
      <c r="AE3301">
        <v>0</v>
      </c>
      <c r="AF3301">
        <v>0</v>
      </c>
      <c r="AG3301">
        <v>0</v>
      </c>
      <c r="AI3301">
        <v>0</v>
      </c>
      <c r="AJ3301">
        <v>9</v>
      </c>
      <c r="AK3301">
        <v>487</v>
      </c>
      <c r="AL3301">
        <v>487</v>
      </c>
      <c r="AM3301">
        <v>636</v>
      </c>
      <c r="AN3301">
        <v>44</v>
      </c>
      <c r="AP3301">
        <v>1</v>
      </c>
      <c r="AR3301" t="s">
        <v>3397</v>
      </c>
      <c r="AS3301" s="1">
        <v>44354.052083333336</v>
      </c>
      <c r="AT3301" s="1">
        <v>44354.1015625</v>
      </c>
      <c r="AU3301" s="1">
        <v>44354.10224537037</v>
      </c>
      <c r="AV3301" t="s">
        <v>71</v>
      </c>
      <c r="AW3301" t="s">
        <v>72</v>
      </c>
      <c r="AX3301" t="s">
        <v>73</v>
      </c>
    </row>
    <row r="3302" spans="1:50" x14ac:dyDescent="0.3">
      <c r="A3302" t="str">
        <f>"200777B0000"</f>
        <v>200777B0000</v>
      </c>
      <c r="B3302" t="str">
        <f>"200777B00002"</f>
        <v>200777B00002</v>
      </c>
      <c r="C3302" t="str">
        <f t="shared" si="161"/>
        <v>20</v>
      </c>
      <c r="D3302" t="s">
        <v>67</v>
      </c>
      <c r="E3302" t="str">
        <f t="shared" si="160"/>
        <v>015</v>
      </c>
      <c r="F3302" t="s">
        <v>3364</v>
      </c>
      <c r="G3302" t="str">
        <f t="shared" ref="G3302:G3307" si="163">"0777"</f>
        <v>0777</v>
      </c>
      <c r="H3302" t="str">
        <f>"0000"</f>
        <v>0000</v>
      </c>
      <c r="I3302" t="s">
        <v>69</v>
      </c>
      <c r="J3302">
        <v>0</v>
      </c>
      <c r="K3302">
        <v>1</v>
      </c>
      <c r="L3302">
        <v>2</v>
      </c>
      <c r="M3302">
        <v>512</v>
      </c>
      <c r="N3302">
        <v>162</v>
      </c>
      <c r="O3302">
        <v>0</v>
      </c>
      <c r="P3302">
        <v>162</v>
      </c>
      <c r="Q3302">
        <v>12</v>
      </c>
      <c r="R3302">
        <v>23</v>
      </c>
      <c r="S3302">
        <v>6</v>
      </c>
      <c r="T3302">
        <v>0</v>
      </c>
      <c r="U3302">
        <v>6</v>
      </c>
      <c r="V3302">
        <v>2</v>
      </c>
      <c r="W3302">
        <v>15</v>
      </c>
      <c r="X3302">
        <v>78</v>
      </c>
      <c r="Y3302">
        <v>0</v>
      </c>
      <c r="Z3302">
        <v>3</v>
      </c>
      <c r="AA3302">
        <v>2</v>
      </c>
      <c r="AB3302">
        <v>8</v>
      </c>
      <c r="AD3302">
        <v>1</v>
      </c>
      <c r="AE3302">
        <v>1</v>
      </c>
      <c r="AF3302">
        <v>0</v>
      </c>
      <c r="AG3302">
        <v>0</v>
      </c>
      <c r="AI3302">
        <v>0</v>
      </c>
      <c r="AJ3302">
        <v>5</v>
      </c>
      <c r="AK3302">
        <v>162</v>
      </c>
      <c r="AL3302">
        <v>162</v>
      </c>
      <c r="AM3302">
        <v>630</v>
      </c>
      <c r="AN3302">
        <v>44</v>
      </c>
      <c r="AP3302">
        <v>1</v>
      </c>
      <c r="AR3302" t="s">
        <v>3398</v>
      </c>
      <c r="AS3302" s="1">
        <v>44353.959722222222</v>
      </c>
      <c r="AT3302" s="1">
        <v>44353.995474537034</v>
      </c>
      <c r="AU3302" s="1">
        <v>44353.995833333334</v>
      </c>
      <c r="AV3302" t="s">
        <v>71</v>
      </c>
      <c r="AW3302" t="s">
        <v>72</v>
      </c>
      <c r="AX3302" t="s">
        <v>73</v>
      </c>
    </row>
    <row r="3303" spans="1:50" x14ac:dyDescent="0.3">
      <c r="A3303" t="str">
        <f>"200777C0100"</f>
        <v>200777C0100</v>
      </c>
      <c r="B3303" t="str">
        <f>"200777C01002"</f>
        <v>200777C01002</v>
      </c>
      <c r="C3303" t="str">
        <f t="shared" si="161"/>
        <v>20</v>
      </c>
      <c r="D3303" t="s">
        <v>67</v>
      </c>
      <c r="E3303" t="str">
        <f t="shared" si="160"/>
        <v>015</v>
      </c>
      <c r="F3303" t="s">
        <v>3364</v>
      </c>
      <c r="G3303" t="str">
        <f t="shared" si="163"/>
        <v>0777</v>
      </c>
      <c r="H3303" t="str">
        <f>"0001"</f>
        <v>0001</v>
      </c>
      <c r="I3303" t="s">
        <v>75</v>
      </c>
      <c r="J3303">
        <v>0</v>
      </c>
      <c r="K3303">
        <v>1</v>
      </c>
      <c r="L3303">
        <v>2</v>
      </c>
      <c r="M3303">
        <v>538</v>
      </c>
      <c r="N3303">
        <v>136</v>
      </c>
      <c r="O3303">
        <v>0</v>
      </c>
      <c r="P3303">
        <v>136</v>
      </c>
      <c r="Q3303">
        <v>4</v>
      </c>
      <c r="R3303">
        <v>27</v>
      </c>
      <c r="S3303">
        <v>5</v>
      </c>
      <c r="T3303">
        <v>1</v>
      </c>
      <c r="U3303">
        <v>5</v>
      </c>
      <c r="V3303">
        <v>0</v>
      </c>
      <c r="W3303">
        <v>16</v>
      </c>
      <c r="X3303">
        <v>61</v>
      </c>
      <c r="Y3303">
        <v>1</v>
      </c>
      <c r="Z3303">
        <v>2</v>
      </c>
      <c r="AA3303">
        <v>5</v>
      </c>
      <c r="AB3303">
        <v>2</v>
      </c>
      <c r="AD3303">
        <v>2</v>
      </c>
      <c r="AE3303" t="s">
        <v>77</v>
      </c>
      <c r="AF3303" t="s">
        <v>77</v>
      </c>
      <c r="AG3303" t="s">
        <v>77</v>
      </c>
      <c r="AI3303" t="s">
        <v>77</v>
      </c>
      <c r="AJ3303">
        <v>5</v>
      </c>
      <c r="AK3303" t="s">
        <v>77</v>
      </c>
      <c r="AL3303">
        <v>136</v>
      </c>
      <c r="AM3303">
        <v>630</v>
      </c>
      <c r="AN3303">
        <v>44</v>
      </c>
      <c r="AO3303" t="s">
        <v>78</v>
      </c>
      <c r="AP3303">
        <v>1</v>
      </c>
      <c r="AR3303" t="s">
        <v>3399</v>
      </c>
      <c r="AS3303" s="1">
        <v>44353.960416666669</v>
      </c>
      <c r="AT3303" s="1">
        <v>44353.995300925926</v>
      </c>
      <c r="AU3303" s="1">
        <v>44353.995983796296</v>
      </c>
      <c r="AV3303" t="s">
        <v>71</v>
      </c>
      <c r="AW3303" t="s">
        <v>72</v>
      </c>
      <c r="AX3303" t="s">
        <v>73</v>
      </c>
    </row>
    <row r="3304" spans="1:50" x14ac:dyDescent="0.3">
      <c r="A3304" t="str">
        <f>"200777C0200"</f>
        <v>200777C0200</v>
      </c>
      <c r="B3304" t="str">
        <f>"200777C02002"</f>
        <v>200777C02002</v>
      </c>
      <c r="C3304" t="str">
        <f t="shared" si="161"/>
        <v>20</v>
      </c>
      <c r="D3304" t="s">
        <v>67</v>
      </c>
      <c r="E3304" t="str">
        <f t="shared" si="160"/>
        <v>015</v>
      </c>
      <c r="F3304" t="s">
        <v>3364</v>
      </c>
      <c r="G3304" t="str">
        <f t="shared" si="163"/>
        <v>0777</v>
      </c>
      <c r="H3304" t="str">
        <f>"0002"</f>
        <v>0002</v>
      </c>
      <c r="I3304" t="s">
        <v>75</v>
      </c>
      <c r="J3304">
        <v>0</v>
      </c>
      <c r="K3304">
        <v>1</v>
      </c>
      <c r="L3304">
        <v>2</v>
      </c>
      <c r="M3304" t="s">
        <v>80</v>
      </c>
      <c r="N3304" t="s">
        <v>80</v>
      </c>
      <c r="O3304" t="s">
        <v>80</v>
      </c>
      <c r="P3304">
        <v>134</v>
      </c>
      <c r="Q3304">
        <v>5</v>
      </c>
      <c r="R3304">
        <v>16</v>
      </c>
      <c r="S3304">
        <v>1</v>
      </c>
      <c r="T3304">
        <v>0</v>
      </c>
      <c r="U3304">
        <v>4</v>
      </c>
      <c r="V3304">
        <v>0</v>
      </c>
      <c r="W3304">
        <v>12</v>
      </c>
      <c r="X3304">
        <v>82</v>
      </c>
      <c r="Y3304">
        <v>1</v>
      </c>
      <c r="Z3304">
        <v>0</v>
      </c>
      <c r="AA3304">
        <v>5</v>
      </c>
      <c r="AB3304">
        <v>5</v>
      </c>
      <c r="AD3304">
        <v>2</v>
      </c>
      <c r="AE3304">
        <v>0</v>
      </c>
      <c r="AF3304">
        <v>0</v>
      </c>
      <c r="AG3304">
        <v>0</v>
      </c>
      <c r="AI3304">
        <v>0</v>
      </c>
      <c r="AJ3304" t="s">
        <v>99</v>
      </c>
      <c r="AK3304" t="s">
        <v>99</v>
      </c>
      <c r="AL3304">
        <v>133</v>
      </c>
      <c r="AM3304">
        <v>629</v>
      </c>
      <c r="AN3304">
        <v>44</v>
      </c>
      <c r="AO3304" t="s">
        <v>78</v>
      </c>
      <c r="AP3304">
        <v>1</v>
      </c>
      <c r="AR3304" t="s">
        <v>3400</v>
      </c>
      <c r="AS3304" s="1">
        <v>44353.956944444442</v>
      </c>
      <c r="AT3304" s="1">
        <v>44353.979155092595</v>
      </c>
      <c r="AU3304" s="1">
        <v>44353.980636574073</v>
      </c>
      <c r="AV3304" t="s">
        <v>71</v>
      </c>
      <c r="AW3304" t="s">
        <v>72</v>
      </c>
      <c r="AX3304" t="s">
        <v>73</v>
      </c>
    </row>
    <row r="3305" spans="1:50" x14ac:dyDescent="0.3">
      <c r="A3305" t="str">
        <f>"200777C0300"</f>
        <v>200777C0300</v>
      </c>
      <c r="B3305" t="str">
        <f>"200777C03002"</f>
        <v>200777C03002</v>
      </c>
      <c r="C3305" t="str">
        <f t="shared" si="161"/>
        <v>20</v>
      </c>
      <c r="D3305" t="s">
        <v>67</v>
      </c>
      <c r="E3305" t="str">
        <f t="shared" si="160"/>
        <v>015</v>
      </c>
      <c r="F3305" t="s">
        <v>3364</v>
      </c>
      <c r="G3305" t="str">
        <f t="shared" si="163"/>
        <v>0777</v>
      </c>
      <c r="H3305" t="str">
        <f>"0003"</f>
        <v>0003</v>
      </c>
      <c r="I3305" t="s">
        <v>75</v>
      </c>
      <c r="J3305">
        <v>0</v>
      </c>
      <c r="K3305">
        <v>1</v>
      </c>
      <c r="L3305">
        <v>2</v>
      </c>
      <c r="M3305">
        <v>545</v>
      </c>
      <c r="N3305">
        <v>128</v>
      </c>
      <c r="O3305">
        <v>0</v>
      </c>
      <c r="P3305">
        <v>128</v>
      </c>
      <c r="Q3305">
        <v>5</v>
      </c>
      <c r="R3305">
        <v>19</v>
      </c>
      <c r="S3305">
        <v>1</v>
      </c>
      <c r="T3305">
        <v>0</v>
      </c>
      <c r="U3305">
        <v>4</v>
      </c>
      <c r="V3305">
        <v>2</v>
      </c>
      <c r="W3305">
        <v>25</v>
      </c>
      <c r="X3305">
        <v>58</v>
      </c>
      <c r="Y3305">
        <v>1</v>
      </c>
      <c r="Z3305">
        <v>2</v>
      </c>
      <c r="AA3305">
        <v>4</v>
      </c>
      <c r="AB3305">
        <v>3</v>
      </c>
      <c r="AD3305">
        <v>1</v>
      </c>
      <c r="AE3305">
        <v>0</v>
      </c>
      <c r="AF3305">
        <v>0</v>
      </c>
      <c r="AG3305">
        <v>0</v>
      </c>
      <c r="AI3305">
        <v>0</v>
      </c>
      <c r="AJ3305">
        <v>3</v>
      </c>
      <c r="AK3305">
        <v>128</v>
      </c>
      <c r="AL3305">
        <v>128</v>
      </c>
      <c r="AM3305">
        <v>629</v>
      </c>
      <c r="AN3305">
        <v>44</v>
      </c>
      <c r="AP3305">
        <v>1</v>
      </c>
      <c r="AR3305" t="s">
        <v>3401</v>
      </c>
      <c r="AS3305" s="1">
        <v>44353.956250000003</v>
      </c>
      <c r="AT3305" s="1">
        <v>44353.980104166665</v>
      </c>
      <c r="AU3305" s="1">
        <v>44353.98064814815</v>
      </c>
      <c r="AV3305" t="s">
        <v>71</v>
      </c>
      <c r="AW3305" t="s">
        <v>72</v>
      </c>
      <c r="AX3305" t="s">
        <v>73</v>
      </c>
    </row>
    <row r="3306" spans="1:50" x14ac:dyDescent="0.3">
      <c r="A3306" t="str">
        <f>"200777C0400"</f>
        <v>200777C0400</v>
      </c>
      <c r="B3306" t="str">
        <f>"200777C04002"</f>
        <v>200777C04002</v>
      </c>
      <c r="C3306" t="str">
        <f t="shared" si="161"/>
        <v>20</v>
      </c>
      <c r="D3306" t="s">
        <v>67</v>
      </c>
      <c r="E3306" t="str">
        <f t="shared" si="160"/>
        <v>015</v>
      </c>
      <c r="F3306" t="s">
        <v>3364</v>
      </c>
      <c r="G3306" t="str">
        <f t="shared" si="163"/>
        <v>0777</v>
      </c>
      <c r="H3306" t="str">
        <f>"0004"</f>
        <v>0004</v>
      </c>
      <c r="I3306" t="s">
        <v>75</v>
      </c>
      <c r="J3306">
        <v>0</v>
      </c>
      <c r="K3306">
        <v>1</v>
      </c>
      <c r="L3306">
        <v>2</v>
      </c>
      <c r="M3306">
        <v>512</v>
      </c>
      <c r="N3306">
        <v>161</v>
      </c>
      <c r="O3306">
        <v>0</v>
      </c>
      <c r="P3306">
        <v>161</v>
      </c>
      <c r="Q3306">
        <v>7</v>
      </c>
      <c r="R3306">
        <v>20</v>
      </c>
      <c r="S3306">
        <v>1</v>
      </c>
      <c r="T3306">
        <v>3</v>
      </c>
      <c r="U3306">
        <v>6</v>
      </c>
      <c r="V3306">
        <v>2</v>
      </c>
      <c r="W3306">
        <v>19</v>
      </c>
      <c r="X3306">
        <v>85</v>
      </c>
      <c r="Y3306">
        <v>2</v>
      </c>
      <c r="Z3306">
        <v>2</v>
      </c>
      <c r="AA3306">
        <v>2</v>
      </c>
      <c r="AB3306">
        <v>6</v>
      </c>
      <c r="AD3306">
        <v>1</v>
      </c>
      <c r="AE3306">
        <v>1</v>
      </c>
      <c r="AF3306">
        <v>0</v>
      </c>
      <c r="AG3306">
        <v>1</v>
      </c>
      <c r="AI3306">
        <v>1</v>
      </c>
      <c r="AJ3306">
        <v>2</v>
      </c>
      <c r="AK3306">
        <v>161</v>
      </c>
      <c r="AL3306">
        <v>161</v>
      </c>
      <c r="AM3306">
        <v>629</v>
      </c>
      <c r="AN3306">
        <v>44</v>
      </c>
      <c r="AP3306">
        <v>1</v>
      </c>
      <c r="AR3306" t="s">
        <v>3402</v>
      </c>
      <c r="AS3306" s="1">
        <v>44353.959027777775</v>
      </c>
      <c r="AT3306" s="1">
        <v>44353.974745370368</v>
      </c>
      <c r="AU3306" s="1">
        <v>44353.975289351853</v>
      </c>
      <c r="AV3306" t="s">
        <v>71</v>
      </c>
      <c r="AW3306" t="s">
        <v>72</v>
      </c>
      <c r="AX3306" t="s">
        <v>73</v>
      </c>
    </row>
    <row r="3307" spans="1:50" x14ac:dyDescent="0.3">
      <c r="A3307" t="str">
        <f>"200777C0500"</f>
        <v>200777C0500</v>
      </c>
      <c r="B3307" t="str">
        <f>"200777C05002"</f>
        <v>200777C05002</v>
      </c>
      <c r="C3307" t="str">
        <f t="shared" si="161"/>
        <v>20</v>
      </c>
      <c r="D3307" t="s">
        <v>67</v>
      </c>
      <c r="E3307" t="str">
        <f t="shared" si="160"/>
        <v>015</v>
      </c>
      <c r="F3307" t="s">
        <v>3364</v>
      </c>
      <c r="G3307" t="str">
        <f t="shared" si="163"/>
        <v>0777</v>
      </c>
      <c r="H3307" t="str">
        <f>"0005"</f>
        <v>0005</v>
      </c>
      <c r="I3307" t="s">
        <v>75</v>
      </c>
      <c r="J3307">
        <v>0</v>
      </c>
      <c r="K3307">
        <v>1</v>
      </c>
      <c r="L3307">
        <v>2</v>
      </c>
      <c r="M3307">
        <v>504</v>
      </c>
      <c r="N3307">
        <v>169</v>
      </c>
      <c r="O3307">
        <v>0</v>
      </c>
      <c r="P3307">
        <v>169</v>
      </c>
      <c r="Q3307">
        <v>7</v>
      </c>
      <c r="R3307">
        <v>18</v>
      </c>
      <c r="S3307">
        <v>5</v>
      </c>
      <c r="T3307">
        <v>0</v>
      </c>
      <c r="U3307">
        <v>3</v>
      </c>
      <c r="V3307">
        <v>0</v>
      </c>
      <c r="W3307">
        <v>29</v>
      </c>
      <c r="X3307">
        <v>93</v>
      </c>
      <c r="Y3307">
        <v>0</v>
      </c>
      <c r="Z3307">
        <v>3</v>
      </c>
      <c r="AA3307">
        <v>4</v>
      </c>
      <c r="AB3307">
        <v>2</v>
      </c>
      <c r="AD3307">
        <v>0</v>
      </c>
      <c r="AE3307">
        <v>0</v>
      </c>
      <c r="AF3307">
        <v>0</v>
      </c>
      <c r="AG3307">
        <v>0</v>
      </c>
      <c r="AI3307">
        <v>0</v>
      </c>
      <c r="AJ3307">
        <v>5</v>
      </c>
      <c r="AK3307">
        <v>169</v>
      </c>
      <c r="AL3307">
        <v>169</v>
      </c>
      <c r="AM3307">
        <v>629</v>
      </c>
      <c r="AN3307">
        <v>44</v>
      </c>
      <c r="AP3307">
        <v>1</v>
      </c>
      <c r="AR3307" t="s">
        <v>3403</v>
      </c>
      <c r="AS3307" s="1">
        <v>44353.958333333336</v>
      </c>
      <c r="AT3307" s="1">
        <v>44353.971261574072</v>
      </c>
      <c r="AU3307" s="1">
        <v>44353.971759259257</v>
      </c>
      <c r="AV3307" t="s">
        <v>71</v>
      </c>
      <c r="AW3307" t="s">
        <v>72</v>
      </c>
      <c r="AX3307" t="s">
        <v>73</v>
      </c>
    </row>
    <row r="3308" spans="1:50" x14ac:dyDescent="0.3">
      <c r="A3308" t="str">
        <f>"200778B0000"</f>
        <v>200778B0000</v>
      </c>
      <c r="B3308" t="str">
        <f>"200778B00002"</f>
        <v>200778B00002</v>
      </c>
      <c r="C3308" t="str">
        <f t="shared" si="161"/>
        <v>20</v>
      </c>
      <c r="D3308" t="s">
        <v>67</v>
      </c>
      <c r="E3308" t="str">
        <f t="shared" si="160"/>
        <v>015</v>
      </c>
      <c r="F3308" t="s">
        <v>3364</v>
      </c>
      <c r="G3308" t="str">
        <f t="shared" ref="G3308:G3313" si="164">"0778"</f>
        <v>0778</v>
      </c>
      <c r="H3308" t="str">
        <f>"0000"</f>
        <v>0000</v>
      </c>
      <c r="I3308" t="s">
        <v>69</v>
      </c>
      <c r="J3308">
        <v>0</v>
      </c>
      <c r="K3308">
        <v>1</v>
      </c>
      <c r="L3308">
        <v>2</v>
      </c>
      <c r="M3308">
        <v>496</v>
      </c>
      <c r="N3308">
        <v>191</v>
      </c>
      <c r="O3308">
        <v>4</v>
      </c>
      <c r="P3308">
        <v>191</v>
      </c>
      <c r="Q3308">
        <v>5</v>
      </c>
      <c r="R3308">
        <v>33</v>
      </c>
      <c r="S3308">
        <v>1</v>
      </c>
      <c r="T3308">
        <v>3</v>
      </c>
      <c r="U3308">
        <v>4</v>
      </c>
      <c r="V3308">
        <v>3</v>
      </c>
      <c r="W3308">
        <v>17</v>
      </c>
      <c r="X3308">
        <v>99</v>
      </c>
      <c r="Y3308">
        <v>0</v>
      </c>
      <c r="Z3308">
        <v>9</v>
      </c>
      <c r="AA3308">
        <v>2</v>
      </c>
      <c r="AB3308">
        <v>1</v>
      </c>
      <c r="AD3308">
        <v>1</v>
      </c>
      <c r="AE3308">
        <v>2</v>
      </c>
      <c r="AF3308">
        <v>0</v>
      </c>
      <c r="AG3308">
        <v>0</v>
      </c>
      <c r="AI3308">
        <v>0</v>
      </c>
      <c r="AJ3308">
        <v>11</v>
      </c>
      <c r="AK3308">
        <v>191</v>
      </c>
      <c r="AL3308">
        <v>191</v>
      </c>
      <c r="AM3308">
        <v>643</v>
      </c>
      <c r="AN3308">
        <v>44</v>
      </c>
      <c r="AP3308">
        <v>1</v>
      </c>
      <c r="AR3308" t="s">
        <v>3404</v>
      </c>
      <c r="AS3308" s="1">
        <v>44353.959722222222</v>
      </c>
      <c r="AT3308" s="1">
        <v>44353.999016203707</v>
      </c>
      <c r="AU3308" s="1">
        <v>44353.999444444446</v>
      </c>
      <c r="AV3308" t="s">
        <v>71</v>
      </c>
      <c r="AW3308" t="s">
        <v>72</v>
      </c>
      <c r="AX3308" t="s">
        <v>73</v>
      </c>
    </row>
    <row r="3309" spans="1:50" x14ac:dyDescent="0.3">
      <c r="A3309" t="str">
        <f>"200778C0100"</f>
        <v>200778C0100</v>
      </c>
      <c r="B3309" t="str">
        <f>"200778C01002"</f>
        <v>200778C01002</v>
      </c>
      <c r="C3309" t="str">
        <f t="shared" si="161"/>
        <v>20</v>
      </c>
      <c r="D3309" t="s">
        <v>67</v>
      </c>
      <c r="E3309" t="str">
        <f t="shared" si="160"/>
        <v>015</v>
      </c>
      <c r="F3309" t="s">
        <v>3364</v>
      </c>
      <c r="G3309" t="str">
        <f t="shared" si="164"/>
        <v>0778</v>
      </c>
      <c r="H3309" t="str">
        <f>"0001"</f>
        <v>0001</v>
      </c>
      <c r="I3309" t="s">
        <v>75</v>
      </c>
      <c r="J3309">
        <v>0</v>
      </c>
      <c r="K3309">
        <v>1</v>
      </c>
      <c r="L3309">
        <v>2</v>
      </c>
      <c r="M3309">
        <v>520</v>
      </c>
      <c r="N3309">
        <v>167</v>
      </c>
      <c r="O3309">
        <v>1</v>
      </c>
      <c r="P3309">
        <v>167</v>
      </c>
      <c r="Q3309">
        <v>10</v>
      </c>
      <c r="R3309">
        <v>20</v>
      </c>
      <c r="S3309">
        <v>0</v>
      </c>
      <c r="T3309">
        <v>4</v>
      </c>
      <c r="U3309">
        <v>12</v>
      </c>
      <c r="V3309">
        <v>1</v>
      </c>
      <c r="W3309">
        <v>20</v>
      </c>
      <c r="X3309">
        <v>70</v>
      </c>
      <c r="Y3309">
        <v>0</v>
      </c>
      <c r="Z3309">
        <v>12</v>
      </c>
      <c r="AA3309">
        <v>2</v>
      </c>
      <c r="AB3309">
        <v>2</v>
      </c>
      <c r="AD3309">
        <v>1</v>
      </c>
      <c r="AE3309">
        <v>0</v>
      </c>
      <c r="AF3309">
        <v>0</v>
      </c>
      <c r="AG3309">
        <v>1</v>
      </c>
      <c r="AI3309">
        <v>1</v>
      </c>
      <c r="AJ3309">
        <v>11</v>
      </c>
      <c r="AK3309">
        <v>167</v>
      </c>
      <c r="AL3309">
        <v>167</v>
      </c>
      <c r="AM3309">
        <v>643</v>
      </c>
      <c r="AN3309">
        <v>44</v>
      </c>
      <c r="AP3309">
        <v>1</v>
      </c>
      <c r="AR3309" t="s">
        <v>3405</v>
      </c>
      <c r="AS3309" s="1">
        <v>44353.955555555556</v>
      </c>
      <c r="AT3309" s="1">
        <v>44353.973587962966</v>
      </c>
      <c r="AU3309" s="1">
        <v>44353.974351851852</v>
      </c>
      <c r="AV3309" t="s">
        <v>71</v>
      </c>
      <c r="AW3309" t="s">
        <v>72</v>
      </c>
      <c r="AX3309" t="s">
        <v>73</v>
      </c>
    </row>
    <row r="3310" spans="1:50" x14ac:dyDescent="0.3">
      <c r="A3310" t="str">
        <f>"200778C0200"</f>
        <v>200778C0200</v>
      </c>
      <c r="B3310" t="str">
        <f>"200778C02002"</f>
        <v>200778C02002</v>
      </c>
      <c r="C3310" t="str">
        <f t="shared" si="161"/>
        <v>20</v>
      </c>
      <c r="D3310" t="s">
        <v>67</v>
      </c>
      <c r="E3310" t="str">
        <f t="shared" si="160"/>
        <v>015</v>
      </c>
      <c r="F3310" t="s">
        <v>3364</v>
      </c>
      <c r="G3310" t="str">
        <f t="shared" si="164"/>
        <v>0778</v>
      </c>
      <c r="H3310" t="str">
        <f>"0002"</f>
        <v>0002</v>
      </c>
      <c r="I3310" t="s">
        <v>75</v>
      </c>
      <c r="J3310">
        <v>0</v>
      </c>
      <c r="K3310">
        <v>1</v>
      </c>
      <c r="L3310">
        <v>2</v>
      </c>
      <c r="M3310">
        <v>528</v>
      </c>
      <c r="N3310">
        <v>159</v>
      </c>
      <c r="O3310">
        <v>3</v>
      </c>
      <c r="P3310">
        <v>159</v>
      </c>
      <c r="Q3310">
        <v>6</v>
      </c>
      <c r="R3310">
        <v>19</v>
      </c>
      <c r="S3310">
        <v>0</v>
      </c>
      <c r="T3310">
        <v>2</v>
      </c>
      <c r="U3310">
        <v>10</v>
      </c>
      <c r="V3310">
        <v>4</v>
      </c>
      <c r="W3310">
        <v>12</v>
      </c>
      <c r="X3310">
        <v>74</v>
      </c>
      <c r="Y3310">
        <v>2</v>
      </c>
      <c r="Z3310">
        <v>8</v>
      </c>
      <c r="AA3310">
        <v>0</v>
      </c>
      <c r="AB3310">
        <v>7</v>
      </c>
      <c r="AD3310">
        <v>0</v>
      </c>
      <c r="AE3310">
        <v>0</v>
      </c>
      <c r="AF3310">
        <v>0</v>
      </c>
      <c r="AG3310">
        <v>2</v>
      </c>
      <c r="AI3310">
        <v>0</v>
      </c>
      <c r="AJ3310">
        <v>13</v>
      </c>
      <c r="AK3310">
        <v>159</v>
      </c>
      <c r="AL3310">
        <v>159</v>
      </c>
      <c r="AM3310">
        <v>643</v>
      </c>
      <c r="AN3310">
        <v>44</v>
      </c>
      <c r="AP3310">
        <v>1</v>
      </c>
      <c r="AR3310" t="s">
        <v>3406</v>
      </c>
      <c r="AS3310" s="1">
        <v>44353.957638888889</v>
      </c>
      <c r="AT3310" s="1">
        <v>44353.973437499997</v>
      </c>
      <c r="AU3310" s="1">
        <v>44353.974108796298</v>
      </c>
      <c r="AV3310" t="s">
        <v>71</v>
      </c>
      <c r="AW3310" t="s">
        <v>72</v>
      </c>
      <c r="AX3310" t="s">
        <v>73</v>
      </c>
    </row>
    <row r="3311" spans="1:50" x14ac:dyDescent="0.3">
      <c r="A3311" t="str">
        <f>"200778C0300"</f>
        <v>200778C0300</v>
      </c>
      <c r="B3311" t="str">
        <f>"200778C03002"</f>
        <v>200778C03002</v>
      </c>
      <c r="C3311" t="str">
        <f t="shared" si="161"/>
        <v>20</v>
      </c>
      <c r="D3311" t="s">
        <v>67</v>
      </c>
      <c r="E3311" t="str">
        <f t="shared" si="160"/>
        <v>015</v>
      </c>
      <c r="F3311" t="s">
        <v>3364</v>
      </c>
      <c r="G3311" t="str">
        <f t="shared" si="164"/>
        <v>0778</v>
      </c>
      <c r="H3311" t="str">
        <f>"0003"</f>
        <v>0003</v>
      </c>
      <c r="I3311" t="s">
        <v>75</v>
      </c>
      <c r="J3311">
        <v>0</v>
      </c>
      <c r="K3311">
        <v>1</v>
      </c>
      <c r="L3311">
        <v>2</v>
      </c>
      <c r="M3311">
        <v>536</v>
      </c>
      <c r="N3311">
        <v>152</v>
      </c>
      <c r="O3311">
        <v>5</v>
      </c>
      <c r="P3311">
        <v>152</v>
      </c>
      <c r="Q3311">
        <v>7</v>
      </c>
      <c r="R3311">
        <v>15</v>
      </c>
      <c r="S3311">
        <v>1</v>
      </c>
      <c r="T3311">
        <v>0</v>
      </c>
      <c r="U3311">
        <v>4</v>
      </c>
      <c r="V3311">
        <v>4</v>
      </c>
      <c r="W3311">
        <v>27</v>
      </c>
      <c r="X3311">
        <v>74</v>
      </c>
      <c r="Y3311">
        <v>1</v>
      </c>
      <c r="Z3311">
        <v>11</v>
      </c>
      <c r="AA3311">
        <v>1</v>
      </c>
      <c r="AB3311">
        <v>1</v>
      </c>
      <c r="AD3311">
        <v>1</v>
      </c>
      <c r="AE3311">
        <v>0</v>
      </c>
      <c r="AF3311">
        <v>0</v>
      </c>
      <c r="AG3311">
        <v>0</v>
      </c>
      <c r="AI3311">
        <v>0</v>
      </c>
      <c r="AJ3311">
        <v>5</v>
      </c>
      <c r="AK3311">
        <v>152</v>
      </c>
      <c r="AL3311">
        <v>152</v>
      </c>
      <c r="AM3311">
        <v>643</v>
      </c>
      <c r="AN3311">
        <v>44</v>
      </c>
      <c r="AP3311">
        <v>1</v>
      </c>
      <c r="AR3311" t="s">
        <v>3407</v>
      </c>
      <c r="AS3311" s="1">
        <v>44353.959722222222</v>
      </c>
      <c r="AT3311" s="1">
        <v>44353.972002314818</v>
      </c>
      <c r="AU3311" s="1">
        <v>44353.974374999998</v>
      </c>
      <c r="AV3311" t="s">
        <v>71</v>
      </c>
      <c r="AW3311" t="s">
        <v>72</v>
      </c>
      <c r="AX3311" t="s">
        <v>73</v>
      </c>
    </row>
    <row r="3312" spans="1:50" x14ac:dyDescent="0.3">
      <c r="A3312" t="str">
        <f>"200778C0400"</f>
        <v>200778C0400</v>
      </c>
      <c r="B3312" t="str">
        <f>"200778C04002"</f>
        <v>200778C04002</v>
      </c>
      <c r="C3312" t="str">
        <f t="shared" si="161"/>
        <v>20</v>
      </c>
      <c r="D3312" t="s">
        <v>67</v>
      </c>
      <c r="E3312" t="str">
        <f t="shared" si="160"/>
        <v>015</v>
      </c>
      <c r="F3312" t="s">
        <v>3364</v>
      </c>
      <c r="G3312" t="str">
        <f t="shared" si="164"/>
        <v>0778</v>
      </c>
      <c r="H3312" t="str">
        <f>"0004"</f>
        <v>0004</v>
      </c>
      <c r="I3312" t="s">
        <v>75</v>
      </c>
      <c r="J3312">
        <v>0</v>
      </c>
      <c r="K3312">
        <v>1</v>
      </c>
      <c r="L3312">
        <v>2</v>
      </c>
      <c r="M3312">
        <v>512</v>
      </c>
      <c r="N3312">
        <v>175</v>
      </c>
      <c r="O3312">
        <v>4</v>
      </c>
      <c r="P3312">
        <v>175</v>
      </c>
      <c r="Q3312">
        <v>7</v>
      </c>
      <c r="R3312">
        <v>20</v>
      </c>
      <c r="S3312">
        <v>1</v>
      </c>
      <c r="T3312">
        <v>5</v>
      </c>
      <c r="U3312">
        <v>7</v>
      </c>
      <c r="V3312">
        <v>2</v>
      </c>
      <c r="W3312">
        <v>14</v>
      </c>
      <c r="X3312">
        <v>87</v>
      </c>
      <c r="Y3312">
        <v>3</v>
      </c>
      <c r="Z3312">
        <v>11</v>
      </c>
      <c r="AA3312">
        <v>0</v>
      </c>
      <c r="AB3312">
        <v>2</v>
      </c>
      <c r="AD3312">
        <v>0</v>
      </c>
      <c r="AE3312">
        <v>0</v>
      </c>
      <c r="AF3312">
        <v>1</v>
      </c>
      <c r="AG3312">
        <v>0</v>
      </c>
      <c r="AI3312">
        <v>0</v>
      </c>
      <c r="AJ3312">
        <v>15</v>
      </c>
      <c r="AK3312">
        <v>175</v>
      </c>
      <c r="AL3312">
        <v>175</v>
      </c>
      <c r="AM3312">
        <v>643</v>
      </c>
      <c r="AN3312">
        <v>44</v>
      </c>
      <c r="AP3312">
        <v>1</v>
      </c>
      <c r="AR3312" t="s">
        <v>3408</v>
      </c>
      <c r="AS3312" s="1">
        <v>44353.958333333336</v>
      </c>
      <c r="AT3312" s="1">
        <v>44353.973622685182</v>
      </c>
      <c r="AU3312" s="1">
        <v>44353.97415509259</v>
      </c>
      <c r="AV3312" t="s">
        <v>71</v>
      </c>
      <c r="AW3312" t="s">
        <v>72</v>
      </c>
      <c r="AX3312" t="s">
        <v>73</v>
      </c>
    </row>
    <row r="3313" spans="1:50" x14ac:dyDescent="0.3">
      <c r="A3313" t="str">
        <f>"200778C0500"</f>
        <v>200778C0500</v>
      </c>
      <c r="B3313" t="str">
        <f>"200778C05002"</f>
        <v>200778C05002</v>
      </c>
      <c r="C3313" t="str">
        <f t="shared" si="161"/>
        <v>20</v>
      </c>
      <c r="D3313" t="s">
        <v>67</v>
      </c>
      <c r="E3313" t="str">
        <f t="shared" si="160"/>
        <v>015</v>
      </c>
      <c r="F3313" t="s">
        <v>3364</v>
      </c>
      <c r="G3313" t="str">
        <f t="shared" si="164"/>
        <v>0778</v>
      </c>
      <c r="H3313" t="str">
        <f>"0005"</f>
        <v>0005</v>
      </c>
      <c r="I3313" t="s">
        <v>75</v>
      </c>
      <c r="J3313">
        <v>0</v>
      </c>
      <c r="K3313">
        <v>1</v>
      </c>
      <c r="L3313">
        <v>2</v>
      </c>
      <c r="M3313">
        <v>485</v>
      </c>
      <c r="N3313">
        <v>202</v>
      </c>
      <c r="O3313">
        <v>3</v>
      </c>
      <c r="P3313">
        <v>202</v>
      </c>
      <c r="Q3313">
        <v>12</v>
      </c>
      <c r="R3313">
        <v>21</v>
      </c>
      <c r="S3313">
        <v>3</v>
      </c>
      <c r="T3313">
        <v>2</v>
      </c>
      <c r="U3313">
        <v>12</v>
      </c>
      <c r="V3313">
        <v>3</v>
      </c>
      <c r="W3313">
        <v>16</v>
      </c>
      <c r="X3313">
        <v>102</v>
      </c>
      <c r="Y3313">
        <v>1</v>
      </c>
      <c r="Z3313">
        <v>15</v>
      </c>
      <c r="AA3313">
        <v>1</v>
      </c>
      <c r="AB3313">
        <v>2</v>
      </c>
      <c r="AD3313">
        <v>3</v>
      </c>
      <c r="AE3313">
        <v>0</v>
      </c>
      <c r="AF3313">
        <v>0</v>
      </c>
      <c r="AG3313">
        <v>0</v>
      </c>
      <c r="AI3313">
        <v>0</v>
      </c>
      <c r="AJ3313">
        <v>9</v>
      </c>
      <c r="AK3313">
        <v>202</v>
      </c>
      <c r="AL3313">
        <v>202</v>
      </c>
      <c r="AM3313">
        <v>643</v>
      </c>
      <c r="AN3313">
        <v>44</v>
      </c>
      <c r="AP3313">
        <v>1</v>
      </c>
      <c r="AR3313" t="s">
        <v>3409</v>
      </c>
      <c r="AS3313" s="1">
        <v>44353.959027777775</v>
      </c>
      <c r="AT3313" s="1">
        <v>44354.003634259258</v>
      </c>
      <c r="AU3313" s="1">
        <v>44354.00403935185</v>
      </c>
      <c r="AV3313" t="s">
        <v>71</v>
      </c>
      <c r="AW3313" t="s">
        <v>72</v>
      </c>
      <c r="AX3313" t="s">
        <v>73</v>
      </c>
    </row>
    <row r="3314" spans="1:50" x14ac:dyDescent="0.3">
      <c r="A3314" t="str">
        <f>"200779B0000"</f>
        <v>200779B0000</v>
      </c>
      <c r="B3314" t="str">
        <f>"200779B00002"</f>
        <v>200779B00002</v>
      </c>
      <c r="C3314" t="str">
        <f t="shared" si="161"/>
        <v>20</v>
      </c>
      <c r="D3314" t="s">
        <v>67</v>
      </c>
      <c r="E3314" t="str">
        <f t="shared" si="160"/>
        <v>015</v>
      </c>
      <c r="F3314" t="s">
        <v>3364</v>
      </c>
      <c r="G3314" t="str">
        <f>"0779"</f>
        <v>0779</v>
      </c>
      <c r="H3314" t="str">
        <f>"0000"</f>
        <v>0000</v>
      </c>
      <c r="I3314" t="s">
        <v>69</v>
      </c>
      <c r="J3314">
        <v>0</v>
      </c>
      <c r="K3314">
        <v>1</v>
      </c>
      <c r="L3314">
        <v>2</v>
      </c>
      <c r="M3314">
        <v>573</v>
      </c>
      <c r="N3314">
        <v>200</v>
      </c>
      <c r="O3314">
        <v>1</v>
      </c>
      <c r="P3314">
        <v>200</v>
      </c>
      <c r="Q3314">
        <v>12</v>
      </c>
      <c r="R3314">
        <v>18</v>
      </c>
      <c r="S3314">
        <v>3</v>
      </c>
      <c r="T3314">
        <v>1</v>
      </c>
      <c r="U3314">
        <v>13</v>
      </c>
      <c r="V3314">
        <v>6</v>
      </c>
      <c r="W3314">
        <v>8</v>
      </c>
      <c r="X3314">
        <v>110</v>
      </c>
      <c r="Y3314">
        <v>2</v>
      </c>
      <c r="Z3314">
        <v>9</v>
      </c>
      <c r="AA3314">
        <v>2</v>
      </c>
      <c r="AB3314">
        <v>4</v>
      </c>
      <c r="AD3314">
        <v>2</v>
      </c>
      <c r="AE3314">
        <v>0</v>
      </c>
      <c r="AF3314">
        <v>0</v>
      </c>
      <c r="AG3314">
        <v>0</v>
      </c>
      <c r="AI3314">
        <v>0</v>
      </c>
      <c r="AJ3314">
        <v>0</v>
      </c>
      <c r="AK3314">
        <v>0</v>
      </c>
      <c r="AL3314">
        <v>190</v>
      </c>
      <c r="AM3314">
        <v>729</v>
      </c>
      <c r="AN3314">
        <v>44</v>
      </c>
      <c r="AP3314">
        <v>1</v>
      </c>
      <c r="AR3314" t="s">
        <v>3410</v>
      </c>
      <c r="AS3314" s="1">
        <v>44353.930555555555</v>
      </c>
      <c r="AT3314" s="1">
        <v>44353.936793981484</v>
      </c>
      <c r="AU3314" s="1">
        <v>44353.9375</v>
      </c>
      <c r="AV3314" t="s">
        <v>71</v>
      </c>
      <c r="AW3314" t="s">
        <v>72</v>
      </c>
      <c r="AX3314" t="s">
        <v>73</v>
      </c>
    </row>
    <row r="3315" spans="1:50" x14ac:dyDescent="0.3">
      <c r="A3315" t="str">
        <f>"200779C0100"</f>
        <v>200779C0100</v>
      </c>
      <c r="B3315" t="str">
        <f>"200779C01002"</f>
        <v>200779C01002</v>
      </c>
      <c r="C3315" t="str">
        <f t="shared" si="161"/>
        <v>20</v>
      </c>
      <c r="D3315" t="s">
        <v>67</v>
      </c>
      <c r="E3315" t="str">
        <f t="shared" si="160"/>
        <v>015</v>
      </c>
      <c r="F3315" t="s">
        <v>3364</v>
      </c>
      <c r="G3315" t="str">
        <f>"0779"</f>
        <v>0779</v>
      </c>
      <c r="H3315" t="str">
        <f>"0001"</f>
        <v>0001</v>
      </c>
      <c r="I3315" t="s">
        <v>75</v>
      </c>
      <c r="J3315">
        <v>0</v>
      </c>
      <c r="K3315">
        <v>1</v>
      </c>
      <c r="L3315">
        <v>2</v>
      </c>
      <c r="M3315">
        <v>559</v>
      </c>
      <c r="N3315">
        <v>213</v>
      </c>
      <c r="O3315">
        <v>2</v>
      </c>
      <c r="P3315">
        <v>213</v>
      </c>
      <c r="Q3315">
        <v>14</v>
      </c>
      <c r="R3315">
        <v>29</v>
      </c>
      <c r="S3315">
        <v>2</v>
      </c>
      <c r="T3315">
        <v>2</v>
      </c>
      <c r="U3315">
        <v>11</v>
      </c>
      <c r="V3315">
        <v>5</v>
      </c>
      <c r="W3315">
        <v>12</v>
      </c>
      <c r="X3315">
        <v>116</v>
      </c>
      <c r="Y3315">
        <v>1</v>
      </c>
      <c r="Z3315">
        <v>4</v>
      </c>
      <c r="AA3315">
        <v>1</v>
      </c>
      <c r="AB3315">
        <v>4</v>
      </c>
      <c r="AD3315">
        <v>0</v>
      </c>
      <c r="AE3315">
        <v>0</v>
      </c>
      <c r="AF3315">
        <v>0</v>
      </c>
      <c r="AG3315">
        <v>0</v>
      </c>
      <c r="AI3315">
        <v>0</v>
      </c>
      <c r="AJ3315">
        <v>12</v>
      </c>
      <c r="AK3315">
        <v>213</v>
      </c>
      <c r="AL3315">
        <v>213</v>
      </c>
      <c r="AM3315">
        <v>728</v>
      </c>
      <c r="AN3315">
        <v>44</v>
      </c>
      <c r="AP3315">
        <v>1</v>
      </c>
      <c r="AR3315" t="s">
        <v>3411</v>
      </c>
      <c r="AS3315" s="1">
        <v>44353.940972222219</v>
      </c>
      <c r="AT3315" s="1">
        <v>44353.960439814815</v>
      </c>
      <c r="AU3315" s="1">
        <v>44353.961435185185</v>
      </c>
      <c r="AV3315" t="s">
        <v>71</v>
      </c>
      <c r="AW3315" t="s">
        <v>72</v>
      </c>
      <c r="AX3315" t="s">
        <v>73</v>
      </c>
    </row>
    <row r="3316" spans="1:50" x14ac:dyDescent="0.3">
      <c r="A3316" t="str">
        <f>"200779C0200"</f>
        <v>200779C0200</v>
      </c>
      <c r="B3316" t="str">
        <f>"200779C02002"</f>
        <v>200779C02002</v>
      </c>
      <c r="C3316" t="str">
        <f t="shared" si="161"/>
        <v>20</v>
      </c>
      <c r="D3316" t="s">
        <v>67</v>
      </c>
      <c r="E3316" t="str">
        <f t="shared" si="160"/>
        <v>015</v>
      </c>
      <c r="F3316" t="s">
        <v>3364</v>
      </c>
      <c r="G3316" t="str">
        <f>"0779"</f>
        <v>0779</v>
      </c>
      <c r="H3316" t="str">
        <f>"0002"</f>
        <v>0002</v>
      </c>
      <c r="I3316" t="s">
        <v>75</v>
      </c>
      <c r="J3316">
        <v>0</v>
      </c>
      <c r="K3316">
        <v>1</v>
      </c>
      <c r="L3316">
        <v>2</v>
      </c>
      <c r="M3316">
        <v>547</v>
      </c>
      <c r="N3316">
        <v>225</v>
      </c>
      <c r="O3316">
        <v>0</v>
      </c>
      <c r="P3316">
        <v>225</v>
      </c>
      <c r="Q3316">
        <v>7</v>
      </c>
      <c r="R3316">
        <v>24</v>
      </c>
      <c r="S3316">
        <v>5</v>
      </c>
      <c r="T3316">
        <v>4</v>
      </c>
      <c r="U3316">
        <v>20</v>
      </c>
      <c r="V3316">
        <v>2</v>
      </c>
      <c r="W3316">
        <v>17</v>
      </c>
      <c r="X3316">
        <v>124</v>
      </c>
      <c r="Y3316">
        <v>0</v>
      </c>
      <c r="Z3316">
        <v>5</v>
      </c>
      <c r="AA3316">
        <v>2</v>
      </c>
      <c r="AB3316">
        <v>3</v>
      </c>
      <c r="AD3316">
        <v>0</v>
      </c>
      <c r="AE3316">
        <v>0</v>
      </c>
      <c r="AF3316">
        <v>0</v>
      </c>
      <c r="AG3316">
        <v>0</v>
      </c>
      <c r="AI3316">
        <v>0</v>
      </c>
      <c r="AJ3316">
        <v>12</v>
      </c>
      <c r="AK3316">
        <v>225</v>
      </c>
      <c r="AL3316">
        <v>225</v>
      </c>
      <c r="AM3316">
        <v>728</v>
      </c>
      <c r="AN3316">
        <v>44</v>
      </c>
      <c r="AP3316">
        <v>1</v>
      </c>
      <c r="AR3316" t="s">
        <v>3412</v>
      </c>
      <c r="AS3316" s="1">
        <v>44353.819444444445</v>
      </c>
      <c r="AT3316" s="1">
        <v>44353.97824074074</v>
      </c>
      <c r="AU3316" s="1">
        <v>44353.979074074072</v>
      </c>
      <c r="AV3316" t="s">
        <v>71</v>
      </c>
      <c r="AW3316" t="s">
        <v>72</v>
      </c>
      <c r="AX3316" t="s">
        <v>73</v>
      </c>
    </row>
    <row r="3317" spans="1:50" x14ac:dyDescent="0.3">
      <c r="A3317" t="str">
        <f>"200779C0300"</f>
        <v>200779C0300</v>
      </c>
      <c r="B3317" t="str">
        <f>"200779C03002"</f>
        <v>200779C03002</v>
      </c>
      <c r="C3317" t="str">
        <f t="shared" si="161"/>
        <v>20</v>
      </c>
      <c r="D3317" t="s">
        <v>67</v>
      </c>
      <c r="E3317" t="str">
        <f t="shared" si="160"/>
        <v>015</v>
      </c>
      <c r="F3317" t="s">
        <v>3364</v>
      </c>
      <c r="G3317" t="str">
        <f>"0779"</f>
        <v>0779</v>
      </c>
      <c r="H3317" t="str">
        <f>"0003"</f>
        <v>0003</v>
      </c>
      <c r="I3317" t="s">
        <v>75</v>
      </c>
      <c r="J3317">
        <v>0</v>
      </c>
      <c r="K3317">
        <v>1</v>
      </c>
      <c r="L3317">
        <v>2</v>
      </c>
      <c r="M3317">
        <v>564</v>
      </c>
      <c r="N3317">
        <v>208</v>
      </c>
      <c r="O3317">
        <v>0</v>
      </c>
      <c r="P3317">
        <v>208</v>
      </c>
      <c r="Q3317">
        <v>15</v>
      </c>
      <c r="R3317">
        <v>25</v>
      </c>
      <c r="S3317">
        <v>4</v>
      </c>
      <c r="T3317">
        <v>2</v>
      </c>
      <c r="U3317">
        <v>10</v>
      </c>
      <c r="V3317">
        <v>2</v>
      </c>
      <c r="W3317">
        <v>12</v>
      </c>
      <c r="X3317">
        <v>116</v>
      </c>
      <c r="Y3317">
        <v>3</v>
      </c>
      <c r="Z3317">
        <v>5</v>
      </c>
      <c r="AA3317">
        <v>3</v>
      </c>
      <c r="AB3317">
        <v>3</v>
      </c>
      <c r="AD3317">
        <v>0</v>
      </c>
      <c r="AE3317">
        <v>0</v>
      </c>
      <c r="AF3317">
        <v>0</v>
      </c>
      <c r="AG3317">
        <v>0</v>
      </c>
      <c r="AI3317">
        <v>0</v>
      </c>
      <c r="AJ3317">
        <v>0</v>
      </c>
      <c r="AK3317">
        <v>0</v>
      </c>
      <c r="AL3317">
        <v>200</v>
      </c>
      <c r="AM3317">
        <v>728</v>
      </c>
      <c r="AN3317">
        <v>44</v>
      </c>
      <c r="AP3317">
        <v>1</v>
      </c>
      <c r="AR3317" t="s">
        <v>3413</v>
      </c>
      <c r="AS3317" s="1">
        <v>44353.929166666669</v>
      </c>
      <c r="AT3317" s="1">
        <v>44353.939236111109</v>
      </c>
      <c r="AU3317" s="1">
        <v>44353.94</v>
      </c>
      <c r="AV3317" t="s">
        <v>71</v>
      </c>
      <c r="AW3317" t="s">
        <v>72</v>
      </c>
      <c r="AX3317" t="s">
        <v>73</v>
      </c>
    </row>
    <row r="3318" spans="1:50" x14ac:dyDescent="0.3">
      <c r="A3318" t="str">
        <f>"200780B0000"</f>
        <v>200780B0000</v>
      </c>
      <c r="B3318" t="str">
        <f>"200780B00002"</f>
        <v>200780B00002</v>
      </c>
      <c r="C3318" t="str">
        <f t="shared" si="161"/>
        <v>20</v>
      </c>
      <c r="D3318" t="s">
        <v>67</v>
      </c>
      <c r="E3318" t="str">
        <f t="shared" si="160"/>
        <v>015</v>
      </c>
      <c r="F3318" t="s">
        <v>3364</v>
      </c>
      <c r="G3318" t="str">
        <f>"0780"</f>
        <v>0780</v>
      </c>
      <c r="H3318" t="str">
        <f>"0000"</f>
        <v>0000</v>
      </c>
      <c r="I3318" t="s">
        <v>69</v>
      </c>
      <c r="J3318">
        <v>0</v>
      </c>
      <c r="K3318">
        <v>1</v>
      </c>
      <c r="L3318">
        <v>2</v>
      </c>
      <c r="M3318">
        <v>453</v>
      </c>
      <c r="N3318">
        <v>216</v>
      </c>
      <c r="O3318">
        <v>6</v>
      </c>
      <c r="P3318">
        <v>216</v>
      </c>
      <c r="Q3318">
        <v>5</v>
      </c>
      <c r="R3318">
        <v>24</v>
      </c>
      <c r="S3318">
        <v>3</v>
      </c>
      <c r="T3318">
        <v>2</v>
      </c>
      <c r="U3318">
        <v>16</v>
      </c>
      <c r="V3318">
        <v>8</v>
      </c>
      <c r="W3318">
        <v>15</v>
      </c>
      <c r="X3318">
        <v>121</v>
      </c>
      <c r="Y3318">
        <v>1</v>
      </c>
      <c r="Z3318">
        <v>4</v>
      </c>
      <c r="AA3318">
        <v>1</v>
      </c>
      <c r="AB3318">
        <v>6</v>
      </c>
      <c r="AD3318">
        <v>0</v>
      </c>
      <c r="AE3318">
        <v>0</v>
      </c>
      <c r="AF3318">
        <v>0</v>
      </c>
      <c r="AG3318">
        <v>0</v>
      </c>
      <c r="AI3318">
        <v>0</v>
      </c>
      <c r="AJ3318">
        <v>10</v>
      </c>
      <c r="AK3318">
        <v>216</v>
      </c>
      <c r="AL3318">
        <v>216</v>
      </c>
      <c r="AM3318">
        <v>625</v>
      </c>
      <c r="AN3318">
        <v>44</v>
      </c>
      <c r="AP3318">
        <v>1</v>
      </c>
      <c r="AR3318" t="s">
        <v>3414</v>
      </c>
      <c r="AS3318" s="1">
        <v>44353.936111111114</v>
      </c>
      <c r="AT3318" s="1">
        <v>44353.938946759263</v>
      </c>
      <c r="AU3318" s="1">
        <v>44353.939618055556</v>
      </c>
      <c r="AV3318" t="s">
        <v>71</v>
      </c>
      <c r="AW3318" t="s">
        <v>72</v>
      </c>
      <c r="AX3318" t="s">
        <v>73</v>
      </c>
    </row>
    <row r="3319" spans="1:50" x14ac:dyDescent="0.3">
      <c r="A3319" t="str">
        <f>"200780C0100"</f>
        <v>200780C0100</v>
      </c>
      <c r="B3319" t="str">
        <f>"200780C01002"</f>
        <v>200780C01002</v>
      </c>
      <c r="C3319" t="str">
        <f t="shared" si="161"/>
        <v>20</v>
      </c>
      <c r="D3319" t="s">
        <v>67</v>
      </c>
      <c r="E3319" t="str">
        <f t="shared" si="160"/>
        <v>015</v>
      </c>
      <c r="F3319" t="s">
        <v>3364</v>
      </c>
      <c r="G3319" t="str">
        <f>"0780"</f>
        <v>0780</v>
      </c>
      <c r="H3319" t="str">
        <f>"0001"</f>
        <v>0001</v>
      </c>
      <c r="I3319" t="s">
        <v>75</v>
      </c>
      <c r="J3319">
        <v>0</v>
      </c>
      <c r="K3319">
        <v>1</v>
      </c>
      <c r="L3319">
        <v>2</v>
      </c>
      <c r="M3319">
        <v>465</v>
      </c>
      <c r="N3319">
        <v>204</v>
      </c>
      <c r="O3319">
        <v>4</v>
      </c>
      <c r="P3319">
        <v>204</v>
      </c>
      <c r="Q3319">
        <v>7</v>
      </c>
      <c r="R3319">
        <v>20</v>
      </c>
      <c r="S3319">
        <v>1</v>
      </c>
      <c r="T3319">
        <v>1</v>
      </c>
      <c r="U3319">
        <v>16</v>
      </c>
      <c r="V3319">
        <v>3</v>
      </c>
      <c r="W3319">
        <v>19</v>
      </c>
      <c r="X3319">
        <v>117</v>
      </c>
      <c r="Y3319">
        <v>1</v>
      </c>
      <c r="Z3319">
        <v>5</v>
      </c>
      <c r="AA3319">
        <v>0</v>
      </c>
      <c r="AB3319">
        <v>1</v>
      </c>
      <c r="AD3319">
        <v>0</v>
      </c>
      <c r="AE3319">
        <v>0</v>
      </c>
      <c r="AF3319">
        <v>0</v>
      </c>
      <c r="AG3319">
        <v>0</v>
      </c>
      <c r="AI3319">
        <v>0</v>
      </c>
      <c r="AJ3319">
        <v>13</v>
      </c>
      <c r="AK3319">
        <v>204</v>
      </c>
      <c r="AL3319">
        <v>204</v>
      </c>
      <c r="AM3319">
        <v>625</v>
      </c>
      <c r="AN3319">
        <v>44</v>
      </c>
      <c r="AP3319">
        <v>1</v>
      </c>
      <c r="AR3319" t="s">
        <v>3415</v>
      </c>
      <c r="AS3319" s="1">
        <v>44353.936111111114</v>
      </c>
      <c r="AT3319" s="1">
        <v>44353.93922453704</v>
      </c>
      <c r="AU3319" s="1">
        <v>44353.939965277779</v>
      </c>
      <c r="AV3319" t="s">
        <v>71</v>
      </c>
      <c r="AW3319" t="s">
        <v>72</v>
      </c>
      <c r="AX3319" t="s">
        <v>73</v>
      </c>
    </row>
    <row r="3320" spans="1:50" x14ac:dyDescent="0.3">
      <c r="A3320" t="str">
        <f>"200780C0200"</f>
        <v>200780C0200</v>
      </c>
      <c r="B3320" t="str">
        <f>"200780C02002"</f>
        <v>200780C02002</v>
      </c>
      <c r="C3320" t="str">
        <f t="shared" si="161"/>
        <v>20</v>
      </c>
      <c r="D3320" t="s">
        <v>67</v>
      </c>
      <c r="E3320" t="str">
        <f t="shared" si="160"/>
        <v>015</v>
      </c>
      <c r="F3320" t="s">
        <v>3364</v>
      </c>
      <c r="G3320" t="str">
        <f>"0780"</f>
        <v>0780</v>
      </c>
      <c r="H3320" t="str">
        <f>"0002"</f>
        <v>0002</v>
      </c>
      <c r="I3320" t="s">
        <v>75</v>
      </c>
      <c r="J3320">
        <v>0</v>
      </c>
      <c r="K3320">
        <v>1</v>
      </c>
      <c r="L3320">
        <v>2</v>
      </c>
      <c r="M3320">
        <v>457</v>
      </c>
      <c r="N3320">
        <v>212</v>
      </c>
      <c r="O3320">
        <v>4</v>
      </c>
      <c r="P3320">
        <v>212</v>
      </c>
      <c r="Q3320">
        <v>13</v>
      </c>
      <c r="R3320">
        <v>28</v>
      </c>
      <c r="S3320">
        <v>1</v>
      </c>
      <c r="T3320">
        <v>5</v>
      </c>
      <c r="U3320">
        <v>18</v>
      </c>
      <c r="V3320">
        <v>6</v>
      </c>
      <c r="W3320">
        <v>13</v>
      </c>
      <c r="X3320">
        <v>98</v>
      </c>
      <c r="Y3320">
        <v>2</v>
      </c>
      <c r="Z3320">
        <v>11</v>
      </c>
      <c r="AA3320">
        <v>2</v>
      </c>
      <c r="AB3320">
        <v>3</v>
      </c>
      <c r="AD3320">
        <v>0</v>
      </c>
      <c r="AE3320">
        <v>1</v>
      </c>
      <c r="AF3320">
        <v>0</v>
      </c>
      <c r="AG3320">
        <v>0</v>
      </c>
      <c r="AI3320">
        <v>1</v>
      </c>
      <c r="AJ3320">
        <v>10</v>
      </c>
      <c r="AK3320">
        <v>212</v>
      </c>
      <c r="AL3320">
        <v>212</v>
      </c>
      <c r="AM3320">
        <v>625</v>
      </c>
      <c r="AN3320">
        <v>44</v>
      </c>
      <c r="AP3320">
        <v>1</v>
      </c>
      <c r="AR3320" t="s">
        <v>3416</v>
      </c>
      <c r="AS3320" s="1">
        <v>44353.929166666669</v>
      </c>
      <c r="AT3320" s="1">
        <v>44353.937048611115</v>
      </c>
      <c r="AU3320" s="1">
        <v>44353.937372685185</v>
      </c>
      <c r="AV3320" t="s">
        <v>71</v>
      </c>
      <c r="AW3320" t="s">
        <v>72</v>
      </c>
      <c r="AX3320" t="s">
        <v>73</v>
      </c>
    </row>
    <row r="3321" spans="1:50" x14ac:dyDescent="0.3">
      <c r="A3321" t="str">
        <f>"200780C0300"</f>
        <v>200780C0300</v>
      </c>
      <c r="B3321" t="str">
        <f>"200780C03002"</f>
        <v>200780C03002</v>
      </c>
      <c r="C3321" t="str">
        <f t="shared" si="161"/>
        <v>20</v>
      </c>
      <c r="D3321" t="s">
        <v>67</v>
      </c>
      <c r="E3321" t="str">
        <f t="shared" si="160"/>
        <v>015</v>
      </c>
      <c r="F3321" t="s">
        <v>3364</v>
      </c>
      <c r="G3321" t="str">
        <f>"0780"</f>
        <v>0780</v>
      </c>
      <c r="H3321" t="str">
        <f>"0003"</f>
        <v>0003</v>
      </c>
      <c r="I3321" t="s">
        <v>75</v>
      </c>
      <c r="J3321">
        <v>0</v>
      </c>
      <c r="K3321">
        <v>1</v>
      </c>
      <c r="L3321">
        <v>2</v>
      </c>
      <c r="M3321">
        <v>439</v>
      </c>
      <c r="N3321">
        <v>229</v>
      </c>
      <c r="O3321">
        <v>5</v>
      </c>
      <c r="P3321">
        <v>229</v>
      </c>
      <c r="Q3321">
        <v>9</v>
      </c>
      <c r="R3321">
        <v>19</v>
      </c>
      <c r="S3321">
        <v>3</v>
      </c>
      <c r="T3321">
        <v>3</v>
      </c>
      <c r="U3321">
        <v>13</v>
      </c>
      <c r="V3321">
        <v>7</v>
      </c>
      <c r="W3321">
        <v>17</v>
      </c>
      <c r="X3321">
        <v>143</v>
      </c>
      <c r="Y3321">
        <v>0</v>
      </c>
      <c r="Z3321">
        <v>3</v>
      </c>
      <c r="AA3321">
        <v>0</v>
      </c>
      <c r="AB3321">
        <v>4</v>
      </c>
      <c r="AD3321">
        <v>0</v>
      </c>
      <c r="AE3321">
        <v>0</v>
      </c>
      <c r="AF3321">
        <v>0</v>
      </c>
      <c r="AG3321">
        <v>0</v>
      </c>
      <c r="AI3321">
        <v>0</v>
      </c>
      <c r="AJ3321">
        <v>8</v>
      </c>
      <c r="AK3321">
        <v>229</v>
      </c>
      <c r="AL3321">
        <v>229</v>
      </c>
      <c r="AM3321">
        <v>624</v>
      </c>
      <c r="AN3321">
        <v>44</v>
      </c>
      <c r="AP3321">
        <v>1</v>
      </c>
      <c r="AR3321" t="s">
        <v>3417</v>
      </c>
      <c r="AS3321" s="1">
        <v>44353.929861111108</v>
      </c>
      <c r="AT3321" s="1">
        <v>44353.937002314815</v>
      </c>
      <c r="AU3321" s="1">
        <v>44353.938900462963</v>
      </c>
      <c r="AV3321" t="s">
        <v>71</v>
      </c>
      <c r="AW3321" t="s">
        <v>72</v>
      </c>
      <c r="AX3321" t="s">
        <v>73</v>
      </c>
    </row>
    <row r="3322" spans="1:50" x14ac:dyDescent="0.3">
      <c r="A3322" t="str">
        <f>"200781B0000"</f>
        <v>200781B0000</v>
      </c>
      <c r="B3322" t="str">
        <f>"200781B00002"</f>
        <v>200781B00002</v>
      </c>
      <c r="C3322" t="str">
        <f t="shared" si="161"/>
        <v>20</v>
      </c>
      <c r="D3322" t="s">
        <v>67</v>
      </c>
      <c r="E3322" t="str">
        <f t="shared" si="160"/>
        <v>015</v>
      </c>
      <c r="F3322" t="s">
        <v>3364</v>
      </c>
      <c r="G3322" t="str">
        <f t="shared" ref="G3322:G3327" si="165">"0781"</f>
        <v>0781</v>
      </c>
      <c r="H3322" t="str">
        <f>"0000"</f>
        <v>0000</v>
      </c>
      <c r="I3322" t="s">
        <v>69</v>
      </c>
      <c r="J3322">
        <v>0</v>
      </c>
      <c r="K3322">
        <v>1</v>
      </c>
      <c r="L3322">
        <v>2</v>
      </c>
      <c r="M3322">
        <v>505</v>
      </c>
      <c r="N3322">
        <v>269</v>
      </c>
      <c r="O3322">
        <v>5</v>
      </c>
      <c r="P3322">
        <v>269</v>
      </c>
      <c r="Q3322">
        <v>6</v>
      </c>
      <c r="R3322">
        <v>23</v>
      </c>
      <c r="S3322">
        <v>3</v>
      </c>
      <c r="T3322">
        <v>2</v>
      </c>
      <c r="U3322">
        <v>52</v>
      </c>
      <c r="V3322">
        <v>4</v>
      </c>
      <c r="W3322">
        <v>22</v>
      </c>
      <c r="X3322">
        <v>119</v>
      </c>
      <c r="Y3322">
        <v>2</v>
      </c>
      <c r="Z3322">
        <v>13</v>
      </c>
      <c r="AA3322">
        <v>3</v>
      </c>
      <c r="AB3322">
        <v>7</v>
      </c>
      <c r="AD3322">
        <v>1</v>
      </c>
      <c r="AE3322">
        <v>1</v>
      </c>
      <c r="AF3322">
        <v>0</v>
      </c>
      <c r="AG3322">
        <v>0</v>
      </c>
      <c r="AI3322">
        <v>1</v>
      </c>
      <c r="AJ3322">
        <v>10</v>
      </c>
      <c r="AK3322">
        <v>269</v>
      </c>
      <c r="AL3322">
        <v>269</v>
      </c>
      <c r="AM3322">
        <v>727</v>
      </c>
      <c r="AN3322">
        <v>44</v>
      </c>
      <c r="AP3322">
        <v>1</v>
      </c>
      <c r="AR3322" t="s">
        <v>3418</v>
      </c>
      <c r="AS3322" s="1">
        <v>44353.856249999997</v>
      </c>
      <c r="AT3322" s="1">
        <v>44353.977719907409</v>
      </c>
      <c r="AU3322" s="1">
        <v>44353.978310185186</v>
      </c>
      <c r="AV3322" t="s">
        <v>71</v>
      </c>
      <c r="AW3322" t="s">
        <v>72</v>
      </c>
      <c r="AX3322" t="s">
        <v>73</v>
      </c>
    </row>
    <row r="3323" spans="1:50" x14ac:dyDescent="0.3">
      <c r="A3323" t="str">
        <f>"200781C0100"</f>
        <v>200781C0100</v>
      </c>
      <c r="B3323" t="str">
        <f>"200781C01002"</f>
        <v>200781C01002</v>
      </c>
      <c r="C3323" t="str">
        <f t="shared" si="161"/>
        <v>20</v>
      </c>
      <c r="D3323" t="s">
        <v>67</v>
      </c>
      <c r="E3323" t="str">
        <f t="shared" si="160"/>
        <v>015</v>
      </c>
      <c r="F3323" t="s">
        <v>3364</v>
      </c>
      <c r="G3323" t="str">
        <f t="shared" si="165"/>
        <v>0781</v>
      </c>
      <c r="H3323" t="str">
        <f>"0001"</f>
        <v>0001</v>
      </c>
      <c r="I3323" t="s">
        <v>75</v>
      </c>
      <c r="J3323">
        <v>0</v>
      </c>
      <c r="K3323">
        <v>1</v>
      </c>
      <c r="L3323">
        <v>2</v>
      </c>
      <c r="M3323">
        <v>530</v>
      </c>
      <c r="N3323">
        <v>241</v>
      </c>
      <c r="O3323">
        <v>2</v>
      </c>
      <c r="P3323">
        <v>241</v>
      </c>
      <c r="Q3323">
        <v>5</v>
      </c>
      <c r="R3323">
        <v>23</v>
      </c>
      <c r="S3323">
        <v>2</v>
      </c>
      <c r="T3323">
        <v>5</v>
      </c>
      <c r="U3323">
        <v>43</v>
      </c>
      <c r="V3323">
        <v>4</v>
      </c>
      <c r="W3323">
        <v>17</v>
      </c>
      <c r="X3323">
        <v>109</v>
      </c>
      <c r="Y3323">
        <v>0</v>
      </c>
      <c r="Z3323">
        <v>11</v>
      </c>
      <c r="AA3323">
        <v>0</v>
      </c>
      <c r="AB3323">
        <v>0</v>
      </c>
      <c r="AD3323">
        <v>3</v>
      </c>
      <c r="AE3323">
        <v>0</v>
      </c>
      <c r="AF3323">
        <v>0</v>
      </c>
      <c r="AG3323">
        <v>0</v>
      </c>
      <c r="AI3323">
        <v>0</v>
      </c>
      <c r="AJ3323">
        <v>11</v>
      </c>
      <c r="AK3323">
        <v>241</v>
      </c>
      <c r="AL3323">
        <v>233</v>
      </c>
      <c r="AM3323">
        <v>727</v>
      </c>
      <c r="AN3323">
        <v>44</v>
      </c>
      <c r="AP3323">
        <v>1</v>
      </c>
      <c r="AR3323" t="s">
        <v>3419</v>
      </c>
      <c r="AS3323" s="1">
        <v>44353.94027777778</v>
      </c>
      <c r="AT3323" s="1">
        <v>44353.960740740738</v>
      </c>
      <c r="AU3323" s="1">
        <v>44353.961238425924</v>
      </c>
      <c r="AV3323" t="s">
        <v>71</v>
      </c>
      <c r="AW3323" t="s">
        <v>72</v>
      </c>
      <c r="AX3323" t="s">
        <v>73</v>
      </c>
    </row>
    <row r="3324" spans="1:50" x14ac:dyDescent="0.3">
      <c r="A3324" t="str">
        <f>"200781C0200"</f>
        <v>200781C0200</v>
      </c>
      <c r="B3324" t="str">
        <f>"200781C02002"</f>
        <v>200781C02002</v>
      </c>
      <c r="C3324" t="str">
        <f t="shared" si="161"/>
        <v>20</v>
      </c>
      <c r="D3324" t="s">
        <v>67</v>
      </c>
      <c r="E3324" t="str">
        <f t="shared" si="160"/>
        <v>015</v>
      </c>
      <c r="F3324" t="s">
        <v>3364</v>
      </c>
      <c r="G3324" t="str">
        <f t="shared" si="165"/>
        <v>0781</v>
      </c>
      <c r="H3324" t="str">
        <f>"0002"</f>
        <v>0002</v>
      </c>
      <c r="I3324" t="s">
        <v>75</v>
      </c>
      <c r="J3324">
        <v>0</v>
      </c>
      <c r="K3324">
        <v>1</v>
      </c>
      <c r="L3324">
        <v>2</v>
      </c>
      <c r="M3324">
        <v>515</v>
      </c>
      <c r="N3324">
        <v>256</v>
      </c>
      <c r="O3324">
        <v>3</v>
      </c>
      <c r="P3324">
        <v>256</v>
      </c>
      <c r="Q3324">
        <v>18</v>
      </c>
      <c r="R3324">
        <v>22</v>
      </c>
      <c r="S3324">
        <v>3</v>
      </c>
      <c r="T3324">
        <v>4</v>
      </c>
      <c r="U3324">
        <v>45</v>
      </c>
      <c r="V3324">
        <v>2</v>
      </c>
      <c r="W3324">
        <v>17</v>
      </c>
      <c r="X3324">
        <v>107</v>
      </c>
      <c r="Y3324">
        <v>3</v>
      </c>
      <c r="Z3324">
        <v>20</v>
      </c>
      <c r="AA3324">
        <v>0</v>
      </c>
      <c r="AB3324">
        <v>5</v>
      </c>
      <c r="AD3324">
        <v>0</v>
      </c>
      <c r="AE3324">
        <v>0</v>
      </c>
      <c r="AF3324">
        <v>0</v>
      </c>
      <c r="AG3324">
        <v>0</v>
      </c>
      <c r="AI3324">
        <v>0</v>
      </c>
      <c r="AJ3324">
        <v>10</v>
      </c>
      <c r="AK3324">
        <v>256</v>
      </c>
      <c r="AL3324">
        <v>256</v>
      </c>
      <c r="AM3324">
        <v>727</v>
      </c>
      <c r="AN3324">
        <v>44</v>
      </c>
      <c r="AP3324">
        <v>1</v>
      </c>
      <c r="AR3324" t="s">
        <v>3420</v>
      </c>
      <c r="AS3324" s="1">
        <v>44353.942361111112</v>
      </c>
      <c r="AT3324" s="1">
        <v>44353.959652777776</v>
      </c>
      <c r="AU3324" s="1">
        <v>44353.960659722223</v>
      </c>
      <c r="AV3324" t="s">
        <v>71</v>
      </c>
      <c r="AW3324" t="s">
        <v>72</v>
      </c>
      <c r="AX3324" t="s">
        <v>73</v>
      </c>
    </row>
    <row r="3325" spans="1:50" x14ac:dyDescent="0.3">
      <c r="A3325" t="str">
        <f>"200781C0300"</f>
        <v>200781C0300</v>
      </c>
      <c r="B3325" t="str">
        <f>"200781C03002"</f>
        <v>200781C03002</v>
      </c>
      <c r="C3325" t="str">
        <f t="shared" si="161"/>
        <v>20</v>
      </c>
      <c r="D3325" t="s">
        <v>67</v>
      </c>
      <c r="E3325" t="str">
        <f t="shared" si="160"/>
        <v>015</v>
      </c>
      <c r="F3325" t="s">
        <v>3364</v>
      </c>
      <c r="G3325" t="str">
        <f t="shared" si="165"/>
        <v>0781</v>
      </c>
      <c r="H3325" t="str">
        <f>"0003"</f>
        <v>0003</v>
      </c>
      <c r="I3325" t="s">
        <v>75</v>
      </c>
      <c r="J3325">
        <v>0</v>
      </c>
      <c r="K3325">
        <v>1</v>
      </c>
      <c r="L3325">
        <v>2</v>
      </c>
      <c r="M3325">
        <v>533</v>
      </c>
      <c r="N3325">
        <v>237</v>
      </c>
      <c r="O3325">
        <v>1</v>
      </c>
      <c r="P3325" t="s">
        <v>80</v>
      </c>
      <c r="Q3325">
        <v>6</v>
      </c>
      <c r="R3325">
        <v>20</v>
      </c>
      <c r="S3325">
        <v>6</v>
      </c>
      <c r="T3325">
        <v>0</v>
      </c>
      <c r="U3325">
        <v>46</v>
      </c>
      <c r="V3325">
        <v>7</v>
      </c>
      <c r="W3325">
        <v>19</v>
      </c>
      <c r="X3325">
        <v>104</v>
      </c>
      <c r="Y3325">
        <v>0</v>
      </c>
      <c r="Z3325">
        <v>14</v>
      </c>
      <c r="AA3325">
        <v>2</v>
      </c>
      <c r="AB3325">
        <v>3</v>
      </c>
      <c r="AD3325">
        <v>1</v>
      </c>
      <c r="AE3325">
        <v>0</v>
      </c>
      <c r="AF3325">
        <v>0</v>
      </c>
      <c r="AG3325">
        <v>0</v>
      </c>
      <c r="AI3325">
        <v>0</v>
      </c>
      <c r="AJ3325">
        <v>9</v>
      </c>
      <c r="AK3325">
        <v>237</v>
      </c>
      <c r="AL3325">
        <v>237</v>
      </c>
      <c r="AM3325">
        <v>727</v>
      </c>
      <c r="AN3325">
        <v>44</v>
      </c>
      <c r="AP3325">
        <v>1</v>
      </c>
      <c r="AR3325" t="s">
        <v>3421</v>
      </c>
      <c r="AS3325" s="1">
        <v>44353.945833333331</v>
      </c>
      <c r="AT3325" s="1">
        <v>44353.961412037039</v>
      </c>
      <c r="AU3325" s="1">
        <v>44353.961840277778</v>
      </c>
      <c r="AV3325" t="s">
        <v>71</v>
      </c>
      <c r="AW3325" t="s">
        <v>72</v>
      </c>
      <c r="AX3325" t="s">
        <v>73</v>
      </c>
    </row>
    <row r="3326" spans="1:50" x14ac:dyDescent="0.3">
      <c r="A3326" t="str">
        <f>"200781C0400"</f>
        <v>200781C0400</v>
      </c>
      <c r="B3326" t="str">
        <f>"200781C04002"</f>
        <v>200781C04002</v>
      </c>
      <c r="C3326" t="str">
        <f t="shared" si="161"/>
        <v>20</v>
      </c>
      <c r="D3326" t="s">
        <v>67</v>
      </c>
      <c r="E3326" t="str">
        <f t="shared" si="160"/>
        <v>015</v>
      </c>
      <c r="F3326" t="s">
        <v>3364</v>
      </c>
      <c r="G3326" t="str">
        <f t="shared" si="165"/>
        <v>0781</v>
      </c>
      <c r="H3326" t="str">
        <f>"0004"</f>
        <v>0004</v>
      </c>
      <c r="I3326" t="s">
        <v>75</v>
      </c>
      <c r="J3326">
        <v>0</v>
      </c>
      <c r="K3326">
        <v>1</v>
      </c>
      <c r="L3326">
        <v>2</v>
      </c>
      <c r="M3326">
        <v>530</v>
      </c>
      <c r="N3326">
        <v>240</v>
      </c>
      <c r="O3326">
        <v>0</v>
      </c>
      <c r="P3326">
        <v>240</v>
      </c>
      <c r="Q3326">
        <v>8</v>
      </c>
      <c r="R3326">
        <v>20</v>
      </c>
      <c r="S3326">
        <v>1</v>
      </c>
      <c r="T3326">
        <v>0</v>
      </c>
      <c r="U3326">
        <v>28</v>
      </c>
      <c r="V3326">
        <v>6</v>
      </c>
      <c r="W3326">
        <v>9</v>
      </c>
      <c r="X3326">
        <v>121</v>
      </c>
      <c r="Y3326">
        <v>1</v>
      </c>
      <c r="Z3326">
        <v>20</v>
      </c>
      <c r="AA3326">
        <v>2</v>
      </c>
      <c r="AB3326">
        <v>7</v>
      </c>
      <c r="AD3326">
        <v>1</v>
      </c>
      <c r="AE3326">
        <v>0</v>
      </c>
      <c r="AF3326">
        <v>0</v>
      </c>
      <c r="AG3326">
        <v>0</v>
      </c>
      <c r="AI3326">
        <v>0</v>
      </c>
      <c r="AJ3326">
        <v>16</v>
      </c>
      <c r="AK3326">
        <v>240</v>
      </c>
      <c r="AL3326">
        <v>240</v>
      </c>
      <c r="AM3326">
        <v>726</v>
      </c>
      <c r="AN3326">
        <v>44</v>
      </c>
      <c r="AP3326">
        <v>1</v>
      </c>
      <c r="AR3326" t="s">
        <v>3422</v>
      </c>
      <c r="AS3326" s="1">
        <v>44353.947916666664</v>
      </c>
      <c r="AT3326" s="1">
        <v>44353.95994212963</v>
      </c>
      <c r="AU3326" s="1">
        <v>44353.960659722223</v>
      </c>
      <c r="AV3326" t="s">
        <v>71</v>
      </c>
      <c r="AW3326" t="s">
        <v>72</v>
      </c>
      <c r="AX3326" t="s">
        <v>73</v>
      </c>
    </row>
    <row r="3327" spans="1:50" x14ac:dyDescent="0.3">
      <c r="A3327" t="str">
        <f>"200781C0500"</f>
        <v>200781C0500</v>
      </c>
      <c r="B3327" t="str">
        <f>"200781C05002"</f>
        <v>200781C05002</v>
      </c>
      <c r="C3327" t="str">
        <f t="shared" si="161"/>
        <v>20</v>
      </c>
      <c r="D3327" t="s">
        <v>67</v>
      </c>
      <c r="E3327" t="str">
        <f t="shared" si="160"/>
        <v>015</v>
      </c>
      <c r="F3327" t="s">
        <v>3364</v>
      </c>
      <c r="G3327" t="str">
        <f t="shared" si="165"/>
        <v>0781</v>
      </c>
      <c r="H3327" t="str">
        <f>"0005"</f>
        <v>0005</v>
      </c>
      <c r="I3327" t="s">
        <v>75</v>
      </c>
      <c r="J3327">
        <v>0</v>
      </c>
      <c r="K3327">
        <v>1</v>
      </c>
      <c r="L3327">
        <v>2</v>
      </c>
      <c r="M3327">
        <v>511</v>
      </c>
      <c r="N3327">
        <v>259</v>
      </c>
      <c r="O3327">
        <v>2</v>
      </c>
      <c r="P3327">
        <v>259</v>
      </c>
      <c r="Q3327">
        <v>12</v>
      </c>
      <c r="R3327">
        <v>15</v>
      </c>
      <c r="S3327">
        <v>2</v>
      </c>
      <c r="T3327">
        <v>3</v>
      </c>
      <c r="U3327">
        <v>42</v>
      </c>
      <c r="V3327">
        <v>2</v>
      </c>
      <c r="W3327">
        <v>16</v>
      </c>
      <c r="X3327">
        <v>120</v>
      </c>
      <c r="Y3327">
        <v>2</v>
      </c>
      <c r="Z3327">
        <v>26</v>
      </c>
      <c r="AA3327">
        <v>2</v>
      </c>
      <c r="AB3327">
        <v>2</v>
      </c>
      <c r="AD3327">
        <v>2</v>
      </c>
      <c r="AE3327">
        <v>0</v>
      </c>
      <c r="AF3327">
        <v>0</v>
      </c>
      <c r="AG3327">
        <v>0</v>
      </c>
      <c r="AI3327">
        <v>0</v>
      </c>
      <c r="AJ3327">
        <v>13</v>
      </c>
      <c r="AK3327">
        <v>259</v>
      </c>
      <c r="AL3327">
        <v>259</v>
      </c>
      <c r="AM3327">
        <v>726</v>
      </c>
      <c r="AN3327">
        <v>44</v>
      </c>
      <c r="AP3327">
        <v>1</v>
      </c>
      <c r="AR3327" t="s">
        <v>3423</v>
      </c>
      <c r="AS3327" s="1">
        <v>44353.943749999999</v>
      </c>
      <c r="AT3327" s="1">
        <v>44353.959282407406</v>
      </c>
      <c r="AU3327" s="1">
        <v>44353.959837962961</v>
      </c>
      <c r="AV3327" t="s">
        <v>71</v>
      </c>
      <c r="AW3327" t="s">
        <v>72</v>
      </c>
      <c r="AX3327" t="s">
        <v>73</v>
      </c>
    </row>
    <row r="3328" spans="1:50" x14ac:dyDescent="0.3">
      <c r="A3328" t="str">
        <f>"201605B0000"</f>
        <v>201605B0000</v>
      </c>
      <c r="B3328" t="str">
        <f>"201605B00002"</f>
        <v>201605B00002</v>
      </c>
      <c r="C3328" t="str">
        <f t="shared" si="161"/>
        <v>20</v>
      </c>
      <c r="D3328" t="s">
        <v>67</v>
      </c>
      <c r="E3328" t="str">
        <f t="shared" si="160"/>
        <v>015</v>
      </c>
      <c r="F3328" t="s">
        <v>3364</v>
      </c>
      <c r="G3328" t="str">
        <f>"1605"</f>
        <v>1605</v>
      </c>
      <c r="H3328" t="str">
        <f>"0000"</f>
        <v>0000</v>
      </c>
      <c r="I3328" t="s">
        <v>69</v>
      </c>
      <c r="J3328">
        <v>0</v>
      </c>
      <c r="K3328">
        <v>1</v>
      </c>
      <c r="L3328">
        <v>2</v>
      </c>
      <c r="M3328">
        <v>443</v>
      </c>
      <c r="N3328">
        <v>262</v>
      </c>
      <c r="O3328">
        <v>0</v>
      </c>
      <c r="P3328">
        <v>262</v>
      </c>
      <c r="Q3328">
        <v>8</v>
      </c>
      <c r="R3328">
        <v>54</v>
      </c>
      <c r="S3328">
        <v>5</v>
      </c>
      <c r="T3328">
        <v>8</v>
      </c>
      <c r="U3328">
        <v>9</v>
      </c>
      <c r="V3328">
        <v>2</v>
      </c>
      <c r="W3328">
        <v>37</v>
      </c>
      <c r="X3328">
        <v>113</v>
      </c>
      <c r="Y3328">
        <v>2</v>
      </c>
      <c r="Z3328">
        <v>3</v>
      </c>
      <c r="AA3328">
        <v>0</v>
      </c>
      <c r="AB3328">
        <v>4</v>
      </c>
      <c r="AD3328">
        <v>0</v>
      </c>
      <c r="AE3328">
        <v>0</v>
      </c>
      <c r="AF3328">
        <v>1</v>
      </c>
      <c r="AG3328">
        <v>0</v>
      </c>
      <c r="AI3328">
        <v>0</v>
      </c>
      <c r="AJ3328">
        <v>16</v>
      </c>
      <c r="AK3328">
        <v>262</v>
      </c>
      <c r="AL3328">
        <v>262</v>
      </c>
      <c r="AM3328">
        <v>661</v>
      </c>
      <c r="AN3328">
        <v>44</v>
      </c>
      <c r="AP3328">
        <v>1</v>
      </c>
      <c r="AR3328" t="s">
        <v>3424</v>
      </c>
      <c r="AS3328" s="1">
        <v>44353.995138888888</v>
      </c>
      <c r="AT3328" s="1">
        <v>44354.009525462963</v>
      </c>
      <c r="AU3328" s="1">
        <v>44354.010567129626</v>
      </c>
      <c r="AV3328" t="s">
        <v>71</v>
      </c>
      <c r="AW3328" t="s">
        <v>72</v>
      </c>
      <c r="AX3328" t="s">
        <v>73</v>
      </c>
    </row>
    <row r="3329" spans="1:50" x14ac:dyDescent="0.3">
      <c r="A3329" t="str">
        <f>"201605C0100"</f>
        <v>201605C0100</v>
      </c>
      <c r="B3329" t="str">
        <f>"201605C01002"</f>
        <v>201605C01002</v>
      </c>
      <c r="C3329" t="str">
        <f t="shared" si="161"/>
        <v>20</v>
      </c>
      <c r="D3329" t="s">
        <v>67</v>
      </c>
      <c r="E3329" t="str">
        <f t="shared" si="160"/>
        <v>015</v>
      </c>
      <c r="F3329" t="s">
        <v>3364</v>
      </c>
      <c r="G3329" t="str">
        <f>"1605"</f>
        <v>1605</v>
      </c>
      <c r="H3329" t="str">
        <f>"0001"</f>
        <v>0001</v>
      </c>
      <c r="I3329" t="s">
        <v>75</v>
      </c>
      <c r="J3329">
        <v>0</v>
      </c>
      <c r="K3329">
        <v>1</v>
      </c>
      <c r="L3329">
        <v>2</v>
      </c>
      <c r="M3329">
        <v>392</v>
      </c>
      <c r="N3329">
        <v>312</v>
      </c>
      <c r="O3329">
        <v>0</v>
      </c>
      <c r="P3329">
        <v>312</v>
      </c>
      <c r="Q3329">
        <v>6</v>
      </c>
      <c r="R3329">
        <v>38</v>
      </c>
      <c r="S3329">
        <v>11</v>
      </c>
      <c r="T3329">
        <v>5</v>
      </c>
      <c r="U3329">
        <v>11</v>
      </c>
      <c r="V3329">
        <v>2</v>
      </c>
      <c r="W3329">
        <v>88</v>
      </c>
      <c r="X3329">
        <v>129</v>
      </c>
      <c r="Y3329">
        <v>2</v>
      </c>
      <c r="Z3329">
        <v>5</v>
      </c>
      <c r="AA3329">
        <v>0</v>
      </c>
      <c r="AB3329">
        <v>2</v>
      </c>
      <c r="AD3329">
        <v>2</v>
      </c>
      <c r="AE3329">
        <v>0</v>
      </c>
      <c r="AF3329">
        <v>0</v>
      </c>
      <c r="AG3329">
        <v>0</v>
      </c>
      <c r="AI3329">
        <v>0</v>
      </c>
      <c r="AJ3329">
        <v>11</v>
      </c>
      <c r="AK3329">
        <v>312</v>
      </c>
      <c r="AL3329">
        <v>312</v>
      </c>
      <c r="AM3329">
        <v>661</v>
      </c>
      <c r="AN3329">
        <v>44</v>
      </c>
      <c r="AP3329">
        <v>1</v>
      </c>
      <c r="AR3329" t="s">
        <v>3425</v>
      </c>
      <c r="AS3329" s="1">
        <v>44353.992361111108</v>
      </c>
      <c r="AT3329" s="1">
        <v>44354.018229166664</v>
      </c>
      <c r="AU3329" s="1">
        <v>44354.01866898148</v>
      </c>
      <c r="AV3329" t="s">
        <v>71</v>
      </c>
      <c r="AW3329" t="s">
        <v>72</v>
      </c>
      <c r="AX3329" t="s">
        <v>73</v>
      </c>
    </row>
    <row r="3330" spans="1:50" x14ac:dyDescent="0.3">
      <c r="A3330" t="str">
        <f>"201605C0200"</f>
        <v>201605C0200</v>
      </c>
      <c r="B3330" t="str">
        <f>"201605C02002"</f>
        <v>201605C02002</v>
      </c>
      <c r="C3330" t="str">
        <f t="shared" si="161"/>
        <v>20</v>
      </c>
      <c r="D3330" t="s">
        <v>67</v>
      </c>
      <c r="E3330" t="str">
        <f t="shared" si="160"/>
        <v>015</v>
      </c>
      <c r="F3330" t="s">
        <v>3364</v>
      </c>
      <c r="G3330" t="str">
        <f>"1605"</f>
        <v>1605</v>
      </c>
      <c r="H3330" t="str">
        <f>"0002"</f>
        <v>0002</v>
      </c>
      <c r="I3330" t="s">
        <v>75</v>
      </c>
      <c r="J3330">
        <v>0</v>
      </c>
      <c r="K3330">
        <v>1</v>
      </c>
      <c r="L3330">
        <v>2</v>
      </c>
      <c r="M3330">
        <v>411</v>
      </c>
      <c r="N3330">
        <v>293</v>
      </c>
      <c r="O3330">
        <v>2</v>
      </c>
      <c r="P3330">
        <v>293</v>
      </c>
      <c r="Q3330">
        <v>11</v>
      </c>
      <c r="R3330">
        <v>42</v>
      </c>
      <c r="S3330">
        <v>6</v>
      </c>
      <c r="T3330">
        <v>3</v>
      </c>
      <c r="U3330">
        <v>12</v>
      </c>
      <c r="V3330">
        <v>2</v>
      </c>
      <c r="W3330">
        <v>64</v>
      </c>
      <c r="X3330">
        <v>127</v>
      </c>
      <c r="Y3330">
        <v>1</v>
      </c>
      <c r="Z3330">
        <v>2</v>
      </c>
      <c r="AA3330">
        <v>4</v>
      </c>
      <c r="AB3330">
        <v>6</v>
      </c>
      <c r="AD3330">
        <v>3</v>
      </c>
      <c r="AE3330">
        <v>0</v>
      </c>
      <c r="AF3330">
        <v>1</v>
      </c>
      <c r="AG3330">
        <v>0</v>
      </c>
      <c r="AI3330">
        <v>0</v>
      </c>
      <c r="AJ3330">
        <v>9</v>
      </c>
      <c r="AK3330">
        <v>293</v>
      </c>
      <c r="AL3330">
        <v>293</v>
      </c>
      <c r="AM3330">
        <v>660</v>
      </c>
      <c r="AN3330">
        <v>44</v>
      </c>
      <c r="AP3330">
        <v>1</v>
      </c>
      <c r="AR3330" t="s">
        <v>3426</v>
      </c>
      <c r="AS3330" s="1">
        <v>44353.995138888888</v>
      </c>
      <c r="AT3330" s="1">
        <v>44354.019560185188</v>
      </c>
      <c r="AU3330" s="1">
        <v>44354.020821759259</v>
      </c>
      <c r="AV3330" t="s">
        <v>71</v>
      </c>
      <c r="AW3330" t="s">
        <v>72</v>
      </c>
      <c r="AX3330" t="s">
        <v>73</v>
      </c>
    </row>
    <row r="3331" spans="1:50" x14ac:dyDescent="0.3">
      <c r="A3331" t="str">
        <f>"201712B0000"</f>
        <v>201712B0000</v>
      </c>
      <c r="B3331" t="str">
        <f>"201712B00002"</f>
        <v>201712B00002</v>
      </c>
      <c r="C3331" t="str">
        <f t="shared" si="161"/>
        <v>20</v>
      </c>
      <c r="D3331" t="s">
        <v>67</v>
      </c>
      <c r="E3331" t="str">
        <f t="shared" si="160"/>
        <v>015</v>
      </c>
      <c r="F3331" t="s">
        <v>3364</v>
      </c>
      <c r="G3331" t="str">
        <f>"1712"</f>
        <v>1712</v>
      </c>
      <c r="H3331" t="str">
        <f>"0000"</f>
        <v>0000</v>
      </c>
      <c r="I3331" t="s">
        <v>69</v>
      </c>
      <c r="J3331">
        <v>0</v>
      </c>
      <c r="K3331">
        <v>1</v>
      </c>
      <c r="L3331">
        <v>2</v>
      </c>
      <c r="M3331">
        <v>384</v>
      </c>
      <c r="N3331">
        <v>405</v>
      </c>
      <c r="O3331">
        <v>6</v>
      </c>
      <c r="P3331">
        <v>405</v>
      </c>
      <c r="Q3331">
        <v>20</v>
      </c>
      <c r="R3331">
        <v>53</v>
      </c>
      <c r="S3331">
        <v>4</v>
      </c>
      <c r="T3331">
        <v>4</v>
      </c>
      <c r="U3331">
        <v>23</v>
      </c>
      <c r="V3331">
        <v>3</v>
      </c>
      <c r="W3331">
        <v>9</v>
      </c>
      <c r="X3331">
        <v>201</v>
      </c>
      <c r="Y3331">
        <v>31</v>
      </c>
      <c r="Z3331">
        <v>9</v>
      </c>
      <c r="AA3331">
        <v>7</v>
      </c>
      <c r="AB3331">
        <v>25</v>
      </c>
      <c r="AD3331">
        <v>2</v>
      </c>
      <c r="AE3331">
        <v>1</v>
      </c>
      <c r="AF3331">
        <v>0</v>
      </c>
      <c r="AG3331">
        <v>0</v>
      </c>
      <c r="AI3331">
        <v>0</v>
      </c>
      <c r="AJ3331">
        <v>13</v>
      </c>
      <c r="AK3331">
        <v>405</v>
      </c>
      <c r="AL3331">
        <v>405</v>
      </c>
      <c r="AM3331">
        <v>746</v>
      </c>
      <c r="AN3331">
        <v>44</v>
      </c>
      <c r="AP3331">
        <v>1</v>
      </c>
      <c r="AR3331" t="s">
        <v>3427</v>
      </c>
      <c r="AS3331" s="1">
        <v>44354.104166666664</v>
      </c>
      <c r="AT3331" s="1">
        <v>44354.132314814815</v>
      </c>
      <c r="AU3331" s="1">
        <v>44354.132870370369</v>
      </c>
      <c r="AV3331" t="s">
        <v>71</v>
      </c>
      <c r="AW3331" t="s">
        <v>72</v>
      </c>
      <c r="AX3331" t="s">
        <v>73</v>
      </c>
    </row>
    <row r="3332" spans="1:50" x14ac:dyDescent="0.3">
      <c r="A3332" t="str">
        <f>"201712C0100"</f>
        <v>201712C0100</v>
      </c>
      <c r="B3332" t="str">
        <f>"201712C01002"</f>
        <v>201712C01002</v>
      </c>
      <c r="C3332" t="str">
        <f t="shared" si="161"/>
        <v>20</v>
      </c>
      <c r="D3332" t="s">
        <v>67</v>
      </c>
      <c r="E3332" t="str">
        <f t="shared" si="160"/>
        <v>015</v>
      </c>
      <c r="F3332" t="s">
        <v>3364</v>
      </c>
      <c r="G3332" t="str">
        <f>"1712"</f>
        <v>1712</v>
      </c>
      <c r="H3332" t="str">
        <f>"0001"</f>
        <v>0001</v>
      </c>
      <c r="I3332" t="s">
        <v>75</v>
      </c>
      <c r="J3332">
        <v>0</v>
      </c>
      <c r="K3332">
        <v>1</v>
      </c>
      <c r="L3332">
        <v>2</v>
      </c>
      <c r="M3332">
        <v>366</v>
      </c>
      <c r="N3332">
        <v>424</v>
      </c>
      <c r="O3332">
        <v>8</v>
      </c>
      <c r="P3332">
        <v>424</v>
      </c>
      <c r="Q3332">
        <v>20</v>
      </c>
      <c r="R3332">
        <v>62</v>
      </c>
      <c r="S3332">
        <v>7</v>
      </c>
      <c r="T3332">
        <v>6</v>
      </c>
      <c r="U3332">
        <v>17</v>
      </c>
      <c r="V3332">
        <v>8</v>
      </c>
      <c r="W3332">
        <v>16</v>
      </c>
      <c r="X3332">
        <v>214</v>
      </c>
      <c r="Y3332">
        <v>24</v>
      </c>
      <c r="Z3332">
        <v>7</v>
      </c>
      <c r="AA3332">
        <v>2</v>
      </c>
      <c r="AB3332">
        <v>26</v>
      </c>
      <c r="AD3332">
        <v>0</v>
      </c>
      <c r="AE3332">
        <v>1</v>
      </c>
      <c r="AF3332">
        <v>0</v>
      </c>
      <c r="AG3332">
        <v>1</v>
      </c>
      <c r="AI3332">
        <v>0</v>
      </c>
      <c r="AJ3332">
        <v>13</v>
      </c>
      <c r="AK3332">
        <v>424</v>
      </c>
      <c r="AL3332">
        <v>424</v>
      </c>
      <c r="AM3332">
        <v>746</v>
      </c>
      <c r="AN3332">
        <v>44</v>
      </c>
      <c r="AP3332">
        <v>1</v>
      </c>
      <c r="AR3332" t="s">
        <v>3428</v>
      </c>
      <c r="AS3332" s="1">
        <v>44354.104166666664</v>
      </c>
      <c r="AT3332" s="1">
        <v>44354.132106481484</v>
      </c>
      <c r="AU3332" s="1">
        <v>44354.132511574076</v>
      </c>
      <c r="AV3332" t="s">
        <v>71</v>
      </c>
      <c r="AW3332" t="s">
        <v>72</v>
      </c>
      <c r="AX3332" t="s">
        <v>73</v>
      </c>
    </row>
    <row r="3333" spans="1:50" x14ac:dyDescent="0.3">
      <c r="A3333" t="str">
        <f>"201713B0000"</f>
        <v>201713B0000</v>
      </c>
      <c r="B3333" t="str">
        <f>"201713B00002"</f>
        <v>201713B00002</v>
      </c>
      <c r="C3333" t="str">
        <f t="shared" si="161"/>
        <v>20</v>
      </c>
      <c r="D3333" t="s">
        <v>67</v>
      </c>
      <c r="E3333" t="str">
        <f t="shared" ref="E3333:E3396" si="166">"015"</f>
        <v>015</v>
      </c>
      <c r="F3333" t="s">
        <v>3364</v>
      </c>
      <c r="G3333" t="str">
        <f>"1713"</f>
        <v>1713</v>
      </c>
      <c r="H3333" t="str">
        <f>"0000"</f>
        <v>0000</v>
      </c>
      <c r="I3333" t="s">
        <v>69</v>
      </c>
      <c r="J3333">
        <v>0</v>
      </c>
      <c r="K3333">
        <v>1</v>
      </c>
      <c r="L3333">
        <v>2</v>
      </c>
      <c r="M3333">
        <v>289</v>
      </c>
      <c r="N3333">
        <v>332</v>
      </c>
      <c r="O3333">
        <v>3</v>
      </c>
      <c r="P3333">
        <v>331</v>
      </c>
      <c r="Q3333">
        <v>20</v>
      </c>
      <c r="R3333">
        <v>59</v>
      </c>
      <c r="S3333">
        <v>10</v>
      </c>
      <c r="T3333">
        <v>1</v>
      </c>
      <c r="U3333">
        <v>8</v>
      </c>
      <c r="V3333">
        <v>6</v>
      </c>
      <c r="W3333">
        <v>12</v>
      </c>
      <c r="X3333">
        <v>147</v>
      </c>
      <c r="Y3333">
        <v>25</v>
      </c>
      <c r="Z3333">
        <v>7</v>
      </c>
      <c r="AA3333">
        <v>4</v>
      </c>
      <c r="AB3333">
        <v>18</v>
      </c>
      <c r="AD3333">
        <v>1</v>
      </c>
      <c r="AE3333">
        <v>0</v>
      </c>
      <c r="AF3333">
        <v>0</v>
      </c>
      <c r="AG3333">
        <v>0</v>
      </c>
      <c r="AI3333">
        <v>0</v>
      </c>
      <c r="AJ3333">
        <v>10</v>
      </c>
      <c r="AK3333">
        <v>328</v>
      </c>
      <c r="AL3333">
        <v>328</v>
      </c>
      <c r="AM3333">
        <v>574</v>
      </c>
      <c r="AN3333">
        <v>44</v>
      </c>
      <c r="AP3333">
        <v>1</v>
      </c>
      <c r="AR3333" t="s">
        <v>3429</v>
      </c>
      <c r="AS3333" s="1">
        <v>44354.091666666667</v>
      </c>
      <c r="AT3333" s="1">
        <v>44354.118194444447</v>
      </c>
      <c r="AU3333" s="1">
        <v>44354.118738425925</v>
      </c>
      <c r="AV3333" t="s">
        <v>71</v>
      </c>
      <c r="AW3333" t="s">
        <v>72</v>
      </c>
      <c r="AX3333" t="s">
        <v>73</v>
      </c>
    </row>
    <row r="3334" spans="1:50" x14ac:dyDescent="0.3">
      <c r="A3334" t="str">
        <f>"201713C0100"</f>
        <v>201713C0100</v>
      </c>
      <c r="B3334" t="str">
        <f>"201713C01002"</f>
        <v>201713C01002</v>
      </c>
      <c r="C3334" t="str">
        <f t="shared" si="161"/>
        <v>20</v>
      </c>
      <c r="D3334" t="s">
        <v>67</v>
      </c>
      <c r="E3334" t="str">
        <f t="shared" si="166"/>
        <v>015</v>
      </c>
      <c r="F3334" t="s">
        <v>3364</v>
      </c>
      <c r="G3334" t="str">
        <f>"1713"</f>
        <v>1713</v>
      </c>
      <c r="H3334" t="str">
        <f>"0001"</f>
        <v>0001</v>
      </c>
      <c r="I3334" t="s">
        <v>75</v>
      </c>
      <c r="J3334">
        <v>0</v>
      </c>
      <c r="K3334">
        <v>1</v>
      </c>
      <c r="L3334">
        <v>2</v>
      </c>
      <c r="M3334">
        <v>278</v>
      </c>
      <c r="N3334">
        <v>343</v>
      </c>
      <c r="O3334">
        <v>0</v>
      </c>
      <c r="P3334">
        <v>343</v>
      </c>
      <c r="Q3334">
        <v>18</v>
      </c>
      <c r="R3334">
        <v>61</v>
      </c>
      <c r="S3334">
        <v>5</v>
      </c>
      <c r="T3334">
        <v>4</v>
      </c>
      <c r="U3334">
        <v>9</v>
      </c>
      <c r="V3334">
        <v>7</v>
      </c>
      <c r="W3334">
        <v>10</v>
      </c>
      <c r="X3334">
        <v>169</v>
      </c>
      <c r="Y3334">
        <v>28</v>
      </c>
      <c r="Z3334">
        <v>4</v>
      </c>
      <c r="AA3334">
        <v>0</v>
      </c>
      <c r="AB3334">
        <v>14</v>
      </c>
      <c r="AD3334">
        <v>1</v>
      </c>
      <c r="AE3334">
        <v>1</v>
      </c>
      <c r="AF3334">
        <v>0</v>
      </c>
      <c r="AG3334">
        <v>0</v>
      </c>
      <c r="AI3334">
        <v>0</v>
      </c>
      <c r="AJ3334">
        <v>12</v>
      </c>
      <c r="AK3334">
        <v>343</v>
      </c>
      <c r="AL3334">
        <v>343</v>
      </c>
      <c r="AM3334">
        <v>574</v>
      </c>
      <c r="AN3334">
        <v>44</v>
      </c>
      <c r="AP3334">
        <v>1</v>
      </c>
      <c r="AR3334" t="s">
        <v>3430</v>
      </c>
      <c r="AS3334" s="1">
        <v>44354.09375</v>
      </c>
      <c r="AT3334" s="1">
        <v>44354.117743055554</v>
      </c>
      <c r="AU3334" s="1">
        <v>44354.118252314816</v>
      </c>
      <c r="AV3334" t="s">
        <v>71</v>
      </c>
      <c r="AW3334" t="s">
        <v>72</v>
      </c>
      <c r="AX3334" t="s">
        <v>73</v>
      </c>
    </row>
    <row r="3335" spans="1:50" x14ac:dyDescent="0.3">
      <c r="A3335" t="str">
        <f>"201713C0200"</f>
        <v>201713C0200</v>
      </c>
      <c r="B3335" t="str">
        <f>"201713C02002"</f>
        <v>201713C02002</v>
      </c>
      <c r="C3335" t="str">
        <f t="shared" ref="C3335:C3398" si="167">"20"</f>
        <v>20</v>
      </c>
      <c r="D3335" t="s">
        <v>67</v>
      </c>
      <c r="E3335" t="str">
        <f t="shared" si="166"/>
        <v>015</v>
      </c>
      <c r="F3335" t="s">
        <v>3364</v>
      </c>
      <c r="G3335" t="str">
        <f>"1713"</f>
        <v>1713</v>
      </c>
      <c r="H3335" t="str">
        <f>"0002"</f>
        <v>0002</v>
      </c>
      <c r="I3335" t="s">
        <v>75</v>
      </c>
      <c r="J3335">
        <v>0</v>
      </c>
      <c r="K3335">
        <v>1</v>
      </c>
      <c r="L3335">
        <v>2</v>
      </c>
      <c r="M3335">
        <v>296</v>
      </c>
      <c r="N3335">
        <v>319</v>
      </c>
      <c r="O3335">
        <v>3</v>
      </c>
      <c r="P3335">
        <v>319</v>
      </c>
      <c r="Q3335">
        <v>10</v>
      </c>
      <c r="R3335">
        <v>65</v>
      </c>
      <c r="S3335">
        <v>7</v>
      </c>
      <c r="T3335">
        <v>1</v>
      </c>
      <c r="U3335">
        <v>11</v>
      </c>
      <c r="V3335">
        <v>3</v>
      </c>
      <c r="W3335">
        <v>11</v>
      </c>
      <c r="X3335">
        <v>146</v>
      </c>
      <c r="Y3335">
        <v>26</v>
      </c>
      <c r="Z3335">
        <v>4</v>
      </c>
      <c r="AA3335">
        <v>1</v>
      </c>
      <c r="AB3335">
        <v>26</v>
      </c>
      <c r="AD3335">
        <v>0</v>
      </c>
      <c r="AE3335">
        <v>0</v>
      </c>
      <c r="AF3335">
        <v>0</v>
      </c>
      <c r="AG3335">
        <v>0</v>
      </c>
      <c r="AI3335">
        <v>0</v>
      </c>
      <c r="AJ3335">
        <v>8</v>
      </c>
      <c r="AK3335">
        <v>319</v>
      </c>
      <c r="AL3335">
        <v>319</v>
      </c>
      <c r="AM3335">
        <v>573</v>
      </c>
      <c r="AN3335">
        <v>44</v>
      </c>
      <c r="AP3335">
        <v>1</v>
      </c>
      <c r="AR3335" t="s">
        <v>3431</v>
      </c>
      <c r="AS3335" s="1">
        <v>44354.092361111114</v>
      </c>
      <c r="AT3335" s="1">
        <v>44354.117754629631</v>
      </c>
      <c r="AU3335" s="1">
        <v>44354.118576388886</v>
      </c>
      <c r="AV3335" t="s">
        <v>71</v>
      </c>
      <c r="AW3335" t="s">
        <v>72</v>
      </c>
      <c r="AX3335" t="s">
        <v>73</v>
      </c>
    </row>
    <row r="3336" spans="1:50" x14ac:dyDescent="0.3">
      <c r="A3336" t="str">
        <f>"201714B0000"</f>
        <v>201714B0000</v>
      </c>
      <c r="B3336" t="str">
        <f>"201714B00002"</f>
        <v>201714B00002</v>
      </c>
      <c r="C3336" t="str">
        <f t="shared" si="167"/>
        <v>20</v>
      </c>
      <c r="D3336" t="s">
        <v>67</v>
      </c>
      <c r="E3336" t="str">
        <f t="shared" si="166"/>
        <v>015</v>
      </c>
      <c r="F3336" t="s">
        <v>3364</v>
      </c>
      <c r="G3336" t="str">
        <f>"1714"</f>
        <v>1714</v>
      </c>
      <c r="H3336" t="str">
        <f>"0000"</f>
        <v>0000</v>
      </c>
      <c r="I3336" t="s">
        <v>69</v>
      </c>
      <c r="J3336">
        <v>0</v>
      </c>
      <c r="K3336">
        <v>1</v>
      </c>
      <c r="L3336">
        <v>2</v>
      </c>
      <c r="M3336">
        <v>277</v>
      </c>
      <c r="N3336">
        <v>295</v>
      </c>
      <c r="O3336">
        <v>5</v>
      </c>
      <c r="P3336">
        <v>295</v>
      </c>
      <c r="Q3336">
        <v>13</v>
      </c>
      <c r="R3336">
        <v>38</v>
      </c>
      <c r="S3336">
        <v>9</v>
      </c>
      <c r="T3336">
        <v>6</v>
      </c>
      <c r="U3336">
        <v>12</v>
      </c>
      <c r="V3336">
        <v>1</v>
      </c>
      <c r="W3336">
        <v>6</v>
      </c>
      <c r="X3336">
        <v>129</v>
      </c>
      <c r="Y3336">
        <v>26</v>
      </c>
      <c r="Z3336">
        <v>9</v>
      </c>
      <c r="AA3336">
        <v>6</v>
      </c>
      <c r="AB3336">
        <v>26</v>
      </c>
      <c r="AD3336">
        <v>2</v>
      </c>
      <c r="AE3336">
        <v>2</v>
      </c>
      <c r="AF3336">
        <v>0</v>
      </c>
      <c r="AG3336">
        <v>0</v>
      </c>
      <c r="AI3336">
        <v>0</v>
      </c>
      <c r="AJ3336">
        <v>10</v>
      </c>
      <c r="AK3336">
        <v>295</v>
      </c>
      <c r="AL3336">
        <v>295</v>
      </c>
      <c r="AM3336">
        <v>528</v>
      </c>
      <c r="AN3336">
        <v>44</v>
      </c>
      <c r="AP3336">
        <v>1</v>
      </c>
      <c r="AR3336" t="s">
        <v>3432</v>
      </c>
      <c r="AS3336" s="1">
        <v>44354.091666666667</v>
      </c>
      <c r="AT3336" s="1">
        <v>44354.117974537039</v>
      </c>
      <c r="AU3336" s="1">
        <v>44354.118796296294</v>
      </c>
      <c r="AV3336" t="s">
        <v>71</v>
      </c>
      <c r="AW3336" t="s">
        <v>72</v>
      </c>
      <c r="AX3336" t="s">
        <v>73</v>
      </c>
    </row>
    <row r="3337" spans="1:50" x14ac:dyDescent="0.3">
      <c r="A3337" t="str">
        <f>"201714C0100"</f>
        <v>201714C0100</v>
      </c>
      <c r="B3337" t="str">
        <f>"201714C01002"</f>
        <v>201714C01002</v>
      </c>
      <c r="C3337" t="str">
        <f t="shared" si="167"/>
        <v>20</v>
      </c>
      <c r="D3337" t="s">
        <v>67</v>
      </c>
      <c r="E3337" t="str">
        <f t="shared" si="166"/>
        <v>015</v>
      </c>
      <c r="F3337" t="s">
        <v>3364</v>
      </c>
      <c r="G3337" t="str">
        <f>"1714"</f>
        <v>1714</v>
      </c>
      <c r="H3337" t="str">
        <f>"0001"</f>
        <v>0001</v>
      </c>
      <c r="I3337" t="s">
        <v>75</v>
      </c>
      <c r="J3337">
        <v>0</v>
      </c>
      <c r="K3337">
        <v>1</v>
      </c>
      <c r="L3337">
        <v>2</v>
      </c>
      <c r="M3337">
        <v>270</v>
      </c>
      <c r="N3337">
        <v>302</v>
      </c>
      <c r="O3337">
        <v>6</v>
      </c>
      <c r="P3337">
        <v>302</v>
      </c>
      <c r="Q3337">
        <v>16</v>
      </c>
      <c r="R3337">
        <v>44</v>
      </c>
      <c r="S3337">
        <v>4</v>
      </c>
      <c r="T3337">
        <v>3</v>
      </c>
      <c r="U3337">
        <v>13</v>
      </c>
      <c r="V3337">
        <v>8</v>
      </c>
      <c r="W3337">
        <v>11</v>
      </c>
      <c r="X3337">
        <v>146</v>
      </c>
      <c r="Y3337">
        <v>26</v>
      </c>
      <c r="Z3337">
        <v>4</v>
      </c>
      <c r="AA3337">
        <v>4</v>
      </c>
      <c r="AB3337">
        <v>13</v>
      </c>
      <c r="AD3337">
        <v>0</v>
      </c>
      <c r="AE3337">
        <v>0</v>
      </c>
      <c r="AF3337">
        <v>0</v>
      </c>
      <c r="AG3337">
        <v>0</v>
      </c>
      <c r="AI3337">
        <v>0</v>
      </c>
      <c r="AJ3337">
        <v>10</v>
      </c>
      <c r="AK3337">
        <v>302</v>
      </c>
      <c r="AL3337">
        <v>302</v>
      </c>
      <c r="AM3337">
        <v>528</v>
      </c>
      <c r="AN3337">
        <v>44</v>
      </c>
      <c r="AP3337">
        <v>1</v>
      </c>
      <c r="AR3337" t="s">
        <v>3433</v>
      </c>
      <c r="AS3337" s="1">
        <v>44354.092361111114</v>
      </c>
      <c r="AT3337" s="1">
        <v>44354.117476851854</v>
      </c>
      <c r="AU3337" s="1">
        <v>44354.118020833332</v>
      </c>
      <c r="AV3337" t="s">
        <v>71</v>
      </c>
      <c r="AW3337" t="s">
        <v>72</v>
      </c>
      <c r="AX3337" t="s">
        <v>73</v>
      </c>
    </row>
    <row r="3338" spans="1:50" x14ac:dyDescent="0.3">
      <c r="A3338" t="str">
        <f>"201714C0200"</f>
        <v>201714C0200</v>
      </c>
      <c r="B3338" t="str">
        <f>"201714C02002"</f>
        <v>201714C02002</v>
      </c>
      <c r="C3338" t="str">
        <f t="shared" si="167"/>
        <v>20</v>
      </c>
      <c r="D3338" t="s">
        <v>67</v>
      </c>
      <c r="E3338" t="str">
        <f t="shared" si="166"/>
        <v>015</v>
      </c>
      <c r="F3338" t="s">
        <v>3364</v>
      </c>
      <c r="G3338" t="str">
        <f>"1714"</f>
        <v>1714</v>
      </c>
      <c r="H3338" t="str">
        <f>"0002"</f>
        <v>0002</v>
      </c>
      <c r="I3338" t="s">
        <v>75</v>
      </c>
      <c r="J3338">
        <v>0</v>
      </c>
      <c r="K3338">
        <v>1</v>
      </c>
      <c r="L3338">
        <v>2</v>
      </c>
      <c r="M3338">
        <v>290</v>
      </c>
      <c r="N3338">
        <v>281</v>
      </c>
      <c r="O3338">
        <v>5</v>
      </c>
      <c r="P3338">
        <v>281</v>
      </c>
      <c r="Q3338">
        <v>12</v>
      </c>
      <c r="R3338">
        <v>26</v>
      </c>
      <c r="S3338">
        <v>6</v>
      </c>
      <c r="T3338">
        <v>5</v>
      </c>
      <c r="U3338">
        <v>14</v>
      </c>
      <c r="V3338">
        <v>4</v>
      </c>
      <c r="W3338">
        <v>11</v>
      </c>
      <c r="X3338">
        <v>140</v>
      </c>
      <c r="Y3338">
        <v>26</v>
      </c>
      <c r="Z3338">
        <v>6</v>
      </c>
      <c r="AA3338">
        <v>1</v>
      </c>
      <c r="AB3338">
        <v>23</v>
      </c>
      <c r="AD3338">
        <v>2</v>
      </c>
      <c r="AE3338">
        <v>0</v>
      </c>
      <c r="AF3338">
        <v>0</v>
      </c>
      <c r="AG3338">
        <v>0</v>
      </c>
      <c r="AI3338">
        <v>0</v>
      </c>
      <c r="AJ3338">
        <v>5</v>
      </c>
      <c r="AK3338">
        <v>0</v>
      </c>
      <c r="AL3338">
        <v>281</v>
      </c>
      <c r="AM3338">
        <v>528</v>
      </c>
      <c r="AN3338">
        <v>44</v>
      </c>
      <c r="AP3338">
        <v>1</v>
      </c>
      <c r="AR3338" t="s">
        <v>3434</v>
      </c>
      <c r="AS3338" s="1">
        <v>44354.09097222222</v>
      </c>
      <c r="AT3338" s="1">
        <v>44354.118391203701</v>
      </c>
      <c r="AU3338" s="1">
        <v>44354.119317129633</v>
      </c>
      <c r="AV3338" t="s">
        <v>71</v>
      </c>
      <c r="AW3338" t="s">
        <v>72</v>
      </c>
      <c r="AX3338" t="s">
        <v>73</v>
      </c>
    </row>
    <row r="3339" spans="1:50" x14ac:dyDescent="0.3">
      <c r="A3339" t="str">
        <f>"201715B0000"</f>
        <v>201715B0000</v>
      </c>
      <c r="B3339" t="str">
        <f>"201715B00002"</f>
        <v>201715B00002</v>
      </c>
      <c r="C3339" t="str">
        <f t="shared" si="167"/>
        <v>20</v>
      </c>
      <c r="D3339" t="s">
        <v>67</v>
      </c>
      <c r="E3339" t="str">
        <f t="shared" si="166"/>
        <v>015</v>
      </c>
      <c r="F3339" t="s">
        <v>3364</v>
      </c>
      <c r="G3339" t="str">
        <f>"1715"</f>
        <v>1715</v>
      </c>
      <c r="H3339" t="str">
        <f>"0000"</f>
        <v>0000</v>
      </c>
      <c r="I3339" t="s">
        <v>69</v>
      </c>
      <c r="J3339">
        <v>0</v>
      </c>
      <c r="K3339">
        <v>1</v>
      </c>
      <c r="L3339">
        <v>2</v>
      </c>
      <c r="M3339">
        <v>309</v>
      </c>
      <c r="N3339">
        <v>311</v>
      </c>
      <c r="O3339">
        <v>7</v>
      </c>
      <c r="P3339">
        <v>318</v>
      </c>
      <c r="Q3339">
        <v>11</v>
      </c>
      <c r="R3339">
        <v>39</v>
      </c>
      <c r="S3339">
        <v>3</v>
      </c>
      <c r="T3339">
        <v>4</v>
      </c>
      <c r="U3339">
        <v>16</v>
      </c>
      <c r="V3339">
        <v>4</v>
      </c>
      <c r="W3339">
        <v>26</v>
      </c>
      <c r="X3339">
        <v>140</v>
      </c>
      <c r="Y3339">
        <v>10</v>
      </c>
      <c r="Z3339">
        <v>3</v>
      </c>
      <c r="AA3339">
        <v>1</v>
      </c>
      <c r="AB3339">
        <v>37</v>
      </c>
      <c r="AD3339">
        <v>0</v>
      </c>
      <c r="AE3339">
        <v>0</v>
      </c>
      <c r="AF3339">
        <v>0</v>
      </c>
      <c r="AG3339">
        <v>0</v>
      </c>
      <c r="AI3339">
        <v>1</v>
      </c>
      <c r="AJ3339">
        <v>13</v>
      </c>
      <c r="AK3339">
        <v>318</v>
      </c>
      <c r="AL3339">
        <v>308</v>
      </c>
      <c r="AM3339">
        <v>576</v>
      </c>
      <c r="AN3339">
        <v>44</v>
      </c>
      <c r="AP3339">
        <v>1</v>
      </c>
      <c r="AR3339" t="s">
        <v>3435</v>
      </c>
      <c r="AS3339" s="1">
        <v>44353.965277777781</v>
      </c>
      <c r="AT3339" s="1">
        <v>44353.992673611108</v>
      </c>
      <c r="AU3339" s="1">
        <v>44353.993449074071</v>
      </c>
      <c r="AV3339" t="s">
        <v>71</v>
      </c>
      <c r="AW3339" t="s">
        <v>72</v>
      </c>
      <c r="AX3339" t="s">
        <v>73</v>
      </c>
    </row>
    <row r="3340" spans="1:50" x14ac:dyDescent="0.3">
      <c r="A3340" t="str">
        <f>"201715C0100"</f>
        <v>201715C0100</v>
      </c>
      <c r="B3340" t="str">
        <f>"201715C01002"</f>
        <v>201715C01002</v>
      </c>
      <c r="C3340" t="str">
        <f t="shared" si="167"/>
        <v>20</v>
      </c>
      <c r="D3340" t="s">
        <v>67</v>
      </c>
      <c r="E3340" t="str">
        <f t="shared" si="166"/>
        <v>015</v>
      </c>
      <c r="F3340" t="s">
        <v>3364</v>
      </c>
      <c r="G3340" t="str">
        <f>"1715"</f>
        <v>1715</v>
      </c>
      <c r="H3340" t="str">
        <f>"0001"</f>
        <v>0001</v>
      </c>
      <c r="I3340" t="s">
        <v>75</v>
      </c>
      <c r="J3340">
        <v>0</v>
      </c>
      <c r="K3340">
        <v>1</v>
      </c>
      <c r="L3340">
        <v>2</v>
      </c>
      <c r="M3340">
        <v>249</v>
      </c>
      <c r="N3340">
        <v>620</v>
      </c>
      <c r="O3340">
        <v>5</v>
      </c>
      <c r="P3340">
        <v>366</v>
      </c>
      <c r="Q3340">
        <v>16</v>
      </c>
      <c r="R3340">
        <v>50</v>
      </c>
      <c r="S3340">
        <v>8</v>
      </c>
      <c r="T3340">
        <v>5</v>
      </c>
      <c r="U3340">
        <v>14</v>
      </c>
      <c r="V3340">
        <v>9</v>
      </c>
      <c r="W3340">
        <v>28</v>
      </c>
      <c r="X3340">
        <v>156</v>
      </c>
      <c r="Y3340">
        <v>9</v>
      </c>
      <c r="Z3340">
        <v>11</v>
      </c>
      <c r="AA3340">
        <v>1</v>
      </c>
      <c r="AB3340">
        <v>44</v>
      </c>
      <c r="AD3340">
        <v>2</v>
      </c>
      <c r="AE3340">
        <v>0</v>
      </c>
      <c r="AF3340">
        <v>0</v>
      </c>
      <c r="AG3340">
        <v>0</v>
      </c>
      <c r="AI3340">
        <v>1</v>
      </c>
      <c r="AJ3340">
        <v>12</v>
      </c>
      <c r="AK3340">
        <v>366</v>
      </c>
      <c r="AL3340">
        <v>366</v>
      </c>
      <c r="AM3340">
        <v>576</v>
      </c>
      <c r="AN3340">
        <v>44</v>
      </c>
      <c r="AP3340">
        <v>1</v>
      </c>
      <c r="AR3340" t="s">
        <v>3436</v>
      </c>
      <c r="AS3340" s="1">
        <v>44353.965277777781</v>
      </c>
      <c r="AT3340" s="1">
        <v>44353.994722222225</v>
      </c>
      <c r="AU3340" s="1">
        <v>44353.995393518519</v>
      </c>
      <c r="AV3340" t="s">
        <v>71</v>
      </c>
      <c r="AW3340" t="s">
        <v>72</v>
      </c>
      <c r="AX3340" t="s">
        <v>73</v>
      </c>
    </row>
    <row r="3341" spans="1:50" x14ac:dyDescent="0.3">
      <c r="A3341" t="str">
        <f>"201715C0200"</f>
        <v>201715C0200</v>
      </c>
      <c r="B3341" t="str">
        <f>"201715C02002"</f>
        <v>201715C02002</v>
      </c>
      <c r="C3341" t="str">
        <f t="shared" si="167"/>
        <v>20</v>
      </c>
      <c r="D3341" t="s">
        <v>67</v>
      </c>
      <c r="E3341" t="str">
        <f t="shared" si="166"/>
        <v>015</v>
      </c>
      <c r="F3341" t="s">
        <v>3364</v>
      </c>
      <c r="G3341" t="str">
        <f>"1715"</f>
        <v>1715</v>
      </c>
      <c r="H3341" t="str">
        <f>"0002"</f>
        <v>0002</v>
      </c>
      <c r="I3341" t="s">
        <v>75</v>
      </c>
      <c r="J3341">
        <v>0</v>
      </c>
      <c r="K3341">
        <v>1</v>
      </c>
      <c r="L3341">
        <v>2</v>
      </c>
      <c r="M3341" t="s">
        <v>80</v>
      </c>
      <c r="N3341">
        <v>374</v>
      </c>
      <c r="O3341">
        <v>2</v>
      </c>
      <c r="P3341">
        <v>374</v>
      </c>
      <c r="Q3341">
        <v>15</v>
      </c>
      <c r="R3341">
        <v>37</v>
      </c>
      <c r="S3341">
        <v>11</v>
      </c>
      <c r="T3341">
        <v>5</v>
      </c>
      <c r="U3341">
        <v>22</v>
      </c>
      <c r="V3341">
        <v>4</v>
      </c>
      <c r="W3341">
        <v>24</v>
      </c>
      <c r="X3341">
        <v>182</v>
      </c>
      <c r="Y3341">
        <v>6</v>
      </c>
      <c r="Z3341">
        <v>3</v>
      </c>
      <c r="AA3341">
        <v>5</v>
      </c>
      <c r="AB3341">
        <v>50</v>
      </c>
      <c r="AD3341" t="s">
        <v>77</v>
      </c>
      <c r="AE3341" t="s">
        <v>77</v>
      </c>
      <c r="AF3341" t="s">
        <v>77</v>
      </c>
      <c r="AG3341" t="s">
        <v>77</v>
      </c>
      <c r="AI3341" t="s">
        <v>77</v>
      </c>
      <c r="AJ3341" t="s">
        <v>77</v>
      </c>
      <c r="AK3341" t="s">
        <v>77</v>
      </c>
      <c r="AL3341">
        <v>364</v>
      </c>
      <c r="AM3341">
        <v>576</v>
      </c>
      <c r="AN3341">
        <v>44</v>
      </c>
      <c r="AO3341" t="s">
        <v>78</v>
      </c>
      <c r="AP3341">
        <v>1</v>
      </c>
      <c r="AR3341" t="s">
        <v>3437</v>
      </c>
      <c r="AS3341" s="1">
        <v>44353.984027777777</v>
      </c>
      <c r="AT3341" s="1">
        <v>44353.987974537034</v>
      </c>
      <c r="AU3341" s="1">
        <v>44353.988715277781</v>
      </c>
      <c r="AV3341" t="s">
        <v>71</v>
      </c>
      <c r="AW3341" t="s">
        <v>72</v>
      </c>
      <c r="AX3341" t="s">
        <v>73</v>
      </c>
    </row>
    <row r="3342" spans="1:50" x14ac:dyDescent="0.3">
      <c r="A3342" t="str">
        <f>"201715C0300"</f>
        <v>201715C0300</v>
      </c>
      <c r="B3342" t="str">
        <f>"201715C03002"</f>
        <v>201715C03002</v>
      </c>
      <c r="C3342" t="str">
        <f t="shared" si="167"/>
        <v>20</v>
      </c>
      <c r="D3342" t="s">
        <v>67</v>
      </c>
      <c r="E3342" t="str">
        <f t="shared" si="166"/>
        <v>015</v>
      </c>
      <c r="F3342" t="s">
        <v>3364</v>
      </c>
      <c r="G3342" t="str">
        <f>"1715"</f>
        <v>1715</v>
      </c>
      <c r="H3342" t="str">
        <f>"0003"</f>
        <v>0003</v>
      </c>
      <c r="I3342" t="s">
        <v>75</v>
      </c>
      <c r="J3342">
        <v>0</v>
      </c>
      <c r="K3342">
        <v>1</v>
      </c>
      <c r="L3342">
        <v>2</v>
      </c>
      <c r="M3342">
        <v>270</v>
      </c>
      <c r="N3342">
        <v>348</v>
      </c>
      <c r="O3342">
        <v>5</v>
      </c>
      <c r="P3342">
        <v>348</v>
      </c>
      <c r="Q3342">
        <v>12</v>
      </c>
      <c r="R3342">
        <v>56</v>
      </c>
      <c r="S3342">
        <v>4</v>
      </c>
      <c r="T3342">
        <v>5</v>
      </c>
      <c r="U3342">
        <v>7</v>
      </c>
      <c r="V3342">
        <v>5</v>
      </c>
      <c r="W3342">
        <v>20</v>
      </c>
      <c r="X3342">
        <v>175</v>
      </c>
      <c r="Y3342">
        <v>5</v>
      </c>
      <c r="Z3342">
        <v>6</v>
      </c>
      <c r="AA3342">
        <v>4</v>
      </c>
      <c r="AB3342">
        <v>41</v>
      </c>
      <c r="AD3342">
        <v>3</v>
      </c>
      <c r="AE3342">
        <v>0</v>
      </c>
      <c r="AF3342">
        <v>0</v>
      </c>
      <c r="AG3342">
        <v>0</v>
      </c>
      <c r="AI3342">
        <v>1</v>
      </c>
      <c r="AJ3342">
        <v>4</v>
      </c>
      <c r="AK3342">
        <v>348</v>
      </c>
      <c r="AL3342">
        <v>348</v>
      </c>
      <c r="AM3342">
        <v>575</v>
      </c>
      <c r="AN3342">
        <v>44</v>
      </c>
      <c r="AP3342">
        <v>1</v>
      </c>
      <c r="AR3342" t="s">
        <v>3438</v>
      </c>
      <c r="AS3342" s="1">
        <v>44353.963888888888</v>
      </c>
      <c r="AT3342" s="1">
        <v>44353.986956018518</v>
      </c>
      <c r="AU3342" s="1">
        <v>44353.98773148148</v>
      </c>
      <c r="AV3342" t="s">
        <v>71</v>
      </c>
      <c r="AW3342" t="s">
        <v>72</v>
      </c>
      <c r="AX3342" t="s">
        <v>73</v>
      </c>
    </row>
    <row r="3343" spans="1:50" x14ac:dyDescent="0.3">
      <c r="A3343" t="str">
        <f>"201716B0000"</f>
        <v>201716B0000</v>
      </c>
      <c r="B3343" t="str">
        <f>"201716B00002"</f>
        <v>201716B00002</v>
      </c>
      <c r="C3343" t="str">
        <f t="shared" si="167"/>
        <v>20</v>
      </c>
      <c r="D3343" t="s">
        <v>67</v>
      </c>
      <c r="E3343" t="str">
        <f t="shared" si="166"/>
        <v>015</v>
      </c>
      <c r="F3343" t="s">
        <v>3364</v>
      </c>
      <c r="G3343" t="str">
        <f>"1716"</f>
        <v>1716</v>
      </c>
      <c r="H3343" t="str">
        <f>"0000"</f>
        <v>0000</v>
      </c>
      <c r="I3343" t="s">
        <v>69</v>
      </c>
      <c r="J3343">
        <v>0</v>
      </c>
      <c r="K3343">
        <v>1</v>
      </c>
      <c r="L3343">
        <v>2</v>
      </c>
      <c r="M3343">
        <v>311</v>
      </c>
      <c r="N3343">
        <v>444</v>
      </c>
      <c r="O3343">
        <v>4</v>
      </c>
      <c r="P3343" t="s">
        <v>80</v>
      </c>
      <c r="Q3343">
        <v>6</v>
      </c>
      <c r="R3343">
        <v>39</v>
      </c>
      <c r="S3343">
        <v>7</v>
      </c>
      <c r="T3343">
        <v>13</v>
      </c>
      <c r="U3343">
        <v>18</v>
      </c>
      <c r="V3343">
        <v>4</v>
      </c>
      <c r="W3343">
        <v>29</v>
      </c>
      <c r="X3343">
        <v>217</v>
      </c>
      <c r="Y3343">
        <v>4</v>
      </c>
      <c r="Z3343">
        <v>10</v>
      </c>
      <c r="AA3343">
        <v>5</v>
      </c>
      <c r="AB3343">
        <v>70</v>
      </c>
      <c r="AD3343">
        <v>1</v>
      </c>
      <c r="AE3343">
        <v>0</v>
      </c>
      <c r="AF3343">
        <v>0</v>
      </c>
      <c r="AG3343">
        <v>0</v>
      </c>
      <c r="AI3343">
        <v>0</v>
      </c>
      <c r="AJ3343">
        <v>20</v>
      </c>
      <c r="AK3343">
        <v>443</v>
      </c>
      <c r="AL3343">
        <v>443</v>
      </c>
      <c r="AM3343">
        <v>711</v>
      </c>
      <c r="AN3343">
        <v>44</v>
      </c>
      <c r="AP3343">
        <v>1</v>
      </c>
      <c r="AR3343" t="s">
        <v>3439</v>
      </c>
      <c r="AS3343" s="1">
        <v>44354.104166666664</v>
      </c>
      <c r="AT3343" s="1">
        <v>44354.133240740739</v>
      </c>
      <c r="AU3343" s="1">
        <v>44354.133657407408</v>
      </c>
      <c r="AV3343" t="s">
        <v>71</v>
      </c>
      <c r="AW3343" t="s">
        <v>72</v>
      </c>
      <c r="AX3343" t="s">
        <v>73</v>
      </c>
    </row>
    <row r="3344" spans="1:50" x14ac:dyDescent="0.3">
      <c r="A3344" t="str">
        <f>"201716C0100"</f>
        <v>201716C0100</v>
      </c>
      <c r="B3344" t="str">
        <f>"201716C01002"</f>
        <v>201716C01002</v>
      </c>
      <c r="C3344" t="str">
        <f t="shared" si="167"/>
        <v>20</v>
      </c>
      <c r="D3344" t="s">
        <v>67</v>
      </c>
      <c r="E3344" t="str">
        <f t="shared" si="166"/>
        <v>015</v>
      </c>
      <c r="F3344" t="s">
        <v>3364</v>
      </c>
      <c r="G3344" t="str">
        <f>"1716"</f>
        <v>1716</v>
      </c>
      <c r="H3344" t="str">
        <f>"0001"</f>
        <v>0001</v>
      </c>
      <c r="I3344" t="s">
        <v>75</v>
      </c>
      <c r="J3344">
        <v>0</v>
      </c>
      <c r="K3344">
        <v>1</v>
      </c>
      <c r="L3344">
        <v>2</v>
      </c>
      <c r="M3344">
        <v>317</v>
      </c>
      <c r="N3344">
        <v>9</v>
      </c>
      <c r="O3344">
        <v>0</v>
      </c>
      <c r="P3344">
        <v>437</v>
      </c>
      <c r="Q3344">
        <v>3</v>
      </c>
      <c r="R3344">
        <v>41</v>
      </c>
      <c r="S3344">
        <v>4</v>
      </c>
      <c r="T3344">
        <v>1</v>
      </c>
      <c r="U3344">
        <v>20</v>
      </c>
      <c r="V3344">
        <v>8</v>
      </c>
      <c r="W3344">
        <v>24</v>
      </c>
      <c r="X3344">
        <v>211</v>
      </c>
      <c r="Y3344">
        <v>8</v>
      </c>
      <c r="Z3344">
        <v>6</v>
      </c>
      <c r="AA3344">
        <v>4</v>
      </c>
      <c r="AB3344">
        <v>94</v>
      </c>
      <c r="AD3344">
        <v>1</v>
      </c>
      <c r="AE3344">
        <v>1</v>
      </c>
      <c r="AF3344">
        <v>0</v>
      </c>
      <c r="AG3344">
        <v>0</v>
      </c>
      <c r="AI3344">
        <v>0</v>
      </c>
      <c r="AJ3344">
        <v>11</v>
      </c>
      <c r="AK3344">
        <v>437</v>
      </c>
      <c r="AL3344">
        <v>437</v>
      </c>
      <c r="AM3344">
        <v>710</v>
      </c>
      <c r="AN3344">
        <v>44</v>
      </c>
      <c r="AP3344">
        <v>1</v>
      </c>
      <c r="AR3344" t="s">
        <v>3440</v>
      </c>
      <c r="AS3344" s="1">
        <v>44354.104861111111</v>
      </c>
      <c r="AT3344" s="1">
        <v>44354.131377314814</v>
      </c>
      <c r="AU3344" s="1">
        <v>44354.131851851853</v>
      </c>
      <c r="AV3344" t="s">
        <v>71</v>
      </c>
      <c r="AW3344" t="s">
        <v>72</v>
      </c>
      <c r="AX3344" t="s">
        <v>73</v>
      </c>
    </row>
    <row r="3345" spans="1:50" x14ac:dyDescent="0.3">
      <c r="A3345" t="str">
        <f>"201716C0200"</f>
        <v>201716C0200</v>
      </c>
      <c r="B3345" t="str">
        <f>"201716C02002"</f>
        <v>201716C02002</v>
      </c>
      <c r="C3345" t="str">
        <f t="shared" si="167"/>
        <v>20</v>
      </c>
      <c r="D3345" t="s">
        <v>67</v>
      </c>
      <c r="E3345" t="str">
        <f t="shared" si="166"/>
        <v>015</v>
      </c>
      <c r="F3345" t="s">
        <v>3364</v>
      </c>
      <c r="G3345" t="str">
        <f>"1716"</f>
        <v>1716</v>
      </c>
      <c r="H3345" t="str">
        <f>"0002"</f>
        <v>0002</v>
      </c>
      <c r="I3345" t="s">
        <v>75</v>
      </c>
      <c r="J3345">
        <v>0</v>
      </c>
      <c r="K3345">
        <v>1</v>
      </c>
      <c r="L3345">
        <v>2</v>
      </c>
      <c r="M3345">
        <v>324</v>
      </c>
      <c r="N3345">
        <v>431</v>
      </c>
      <c r="O3345">
        <v>3</v>
      </c>
      <c r="P3345">
        <v>431</v>
      </c>
      <c r="Q3345">
        <v>9</v>
      </c>
      <c r="R3345">
        <v>30</v>
      </c>
      <c r="S3345">
        <v>5</v>
      </c>
      <c r="T3345">
        <v>7</v>
      </c>
      <c r="U3345">
        <v>29</v>
      </c>
      <c r="V3345">
        <v>10</v>
      </c>
      <c r="W3345">
        <v>30</v>
      </c>
      <c r="X3345">
        <v>208</v>
      </c>
      <c r="Y3345">
        <v>2</v>
      </c>
      <c r="Z3345">
        <v>4</v>
      </c>
      <c r="AA3345">
        <v>1</v>
      </c>
      <c r="AB3345">
        <v>74</v>
      </c>
      <c r="AD3345">
        <v>1</v>
      </c>
      <c r="AE3345">
        <v>0</v>
      </c>
      <c r="AF3345">
        <v>0</v>
      </c>
      <c r="AG3345">
        <v>0</v>
      </c>
      <c r="AI3345">
        <v>0</v>
      </c>
      <c r="AJ3345">
        <v>19</v>
      </c>
      <c r="AK3345">
        <v>431</v>
      </c>
      <c r="AL3345">
        <v>429</v>
      </c>
      <c r="AM3345">
        <v>710</v>
      </c>
      <c r="AN3345">
        <v>44</v>
      </c>
      <c r="AP3345">
        <v>1</v>
      </c>
      <c r="AR3345" t="s">
        <v>3441</v>
      </c>
      <c r="AS3345" s="1">
        <v>44354.104166666664</v>
      </c>
      <c r="AT3345" s="1">
        <v>44354.13385416667</v>
      </c>
      <c r="AU3345" s="1">
        <v>44354.135023148148</v>
      </c>
      <c r="AV3345" t="s">
        <v>71</v>
      </c>
      <c r="AW3345" t="s">
        <v>72</v>
      </c>
      <c r="AX3345" t="s">
        <v>73</v>
      </c>
    </row>
    <row r="3346" spans="1:50" x14ac:dyDescent="0.3">
      <c r="A3346" t="str">
        <f>"201717B0000"</f>
        <v>201717B0000</v>
      </c>
      <c r="B3346" t="str">
        <f>"201717B00002"</f>
        <v>201717B00002</v>
      </c>
      <c r="C3346" t="str">
        <f t="shared" si="167"/>
        <v>20</v>
      </c>
      <c r="D3346" t="s">
        <v>67</v>
      </c>
      <c r="E3346" t="str">
        <f t="shared" si="166"/>
        <v>015</v>
      </c>
      <c r="F3346" t="s">
        <v>3364</v>
      </c>
      <c r="G3346" t="str">
        <f>"1717"</f>
        <v>1717</v>
      </c>
      <c r="H3346" t="str">
        <f>"0000"</f>
        <v>0000</v>
      </c>
      <c r="I3346" t="s">
        <v>69</v>
      </c>
      <c r="J3346">
        <v>0</v>
      </c>
      <c r="K3346">
        <v>1</v>
      </c>
      <c r="L3346">
        <v>2</v>
      </c>
      <c r="M3346">
        <v>243</v>
      </c>
      <c r="N3346">
        <v>436</v>
      </c>
      <c r="O3346">
        <v>2</v>
      </c>
      <c r="P3346">
        <v>435</v>
      </c>
      <c r="Q3346">
        <v>7</v>
      </c>
      <c r="R3346">
        <v>60</v>
      </c>
      <c r="S3346">
        <v>7</v>
      </c>
      <c r="T3346">
        <v>5</v>
      </c>
      <c r="U3346">
        <v>16</v>
      </c>
      <c r="V3346">
        <v>6</v>
      </c>
      <c r="W3346">
        <v>29</v>
      </c>
      <c r="X3346">
        <v>173</v>
      </c>
      <c r="Y3346">
        <v>18</v>
      </c>
      <c r="Z3346">
        <v>7</v>
      </c>
      <c r="AA3346">
        <v>4</v>
      </c>
      <c r="AB3346">
        <v>87</v>
      </c>
      <c r="AD3346">
        <v>0</v>
      </c>
      <c r="AE3346">
        <v>0</v>
      </c>
      <c r="AF3346">
        <v>0</v>
      </c>
      <c r="AG3346">
        <v>0</v>
      </c>
      <c r="AI3346">
        <v>0</v>
      </c>
      <c r="AJ3346">
        <v>16</v>
      </c>
      <c r="AK3346">
        <v>435</v>
      </c>
      <c r="AL3346">
        <v>435</v>
      </c>
      <c r="AM3346">
        <v>635</v>
      </c>
      <c r="AN3346">
        <v>44</v>
      </c>
      <c r="AP3346">
        <v>1</v>
      </c>
      <c r="AR3346" t="s">
        <v>3442</v>
      </c>
      <c r="AS3346" s="1">
        <v>44354.258333333331</v>
      </c>
      <c r="AT3346" s="1">
        <v>44354.260844907411</v>
      </c>
      <c r="AU3346" s="1">
        <v>44354.261354166665</v>
      </c>
      <c r="AV3346" t="s">
        <v>71</v>
      </c>
      <c r="AW3346" t="s">
        <v>72</v>
      </c>
      <c r="AX3346" t="s">
        <v>73</v>
      </c>
    </row>
    <row r="3347" spans="1:50" x14ac:dyDescent="0.3">
      <c r="A3347" t="str">
        <f>"201717C0100"</f>
        <v>201717C0100</v>
      </c>
      <c r="B3347" t="str">
        <f>"201717C01002"</f>
        <v>201717C01002</v>
      </c>
      <c r="C3347" t="str">
        <f t="shared" si="167"/>
        <v>20</v>
      </c>
      <c r="D3347" t="s">
        <v>67</v>
      </c>
      <c r="E3347" t="str">
        <f t="shared" si="166"/>
        <v>015</v>
      </c>
      <c r="F3347" t="s">
        <v>3364</v>
      </c>
      <c r="G3347" t="str">
        <f>"1717"</f>
        <v>1717</v>
      </c>
      <c r="H3347" t="str">
        <f>"0001"</f>
        <v>0001</v>
      </c>
      <c r="I3347" t="s">
        <v>75</v>
      </c>
      <c r="J3347">
        <v>0</v>
      </c>
      <c r="K3347">
        <v>1</v>
      </c>
      <c r="L3347">
        <v>2</v>
      </c>
      <c r="M3347">
        <v>258</v>
      </c>
      <c r="N3347">
        <v>421</v>
      </c>
      <c r="O3347">
        <v>3</v>
      </c>
      <c r="P3347" t="s">
        <v>80</v>
      </c>
      <c r="Q3347">
        <v>9</v>
      </c>
      <c r="R3347">
        <v>44</v>
      </c>
      <c r="S3347">
        <v>8</v>
      </c>
      <c r="T3347">
        <v>2</v>
      </c>
      <c r="U3347">
        <v>18</v>
      </c>
      <c r="V3347">
        <v>3</v>
      </c>
      <c r="W3347">
        <v>26</v>
      </c>
      <c r="X3347">
        <v>199</v>
      </c>
      <c r="Y3347">
        <v>6</v>
      </c>
      <c r="Z3347">
        <v>11</v>
      </c>
      <c r="AA3347">
        <v>1</v>
      </c>
      <c r="AB3347">
        <v>84</v>
      </c>
      <c r="AD3347">
        <v>0</v>
      </c>
      <c r="AE3347">
        <v>0</v>
      </c>
      <c r="AF3347">
        <v>0</v>
      </c>
      <c r="AG3347">
        <v>0</v>
      </c>
      <c r="AI3347">
        <v>0</v>
      </c>
      <c r="AJ3347">
        <v>10</v>
      </c>
      <c r="AK3347">
        <v>421</v>
      </c>
      <c r="AL3347">
        <v>421</v>
      </c>
      <c r="AM3347">
        <v>635</v>
      </c>
      <c r="AN3347">
        <v>44</v>
      </c>
      <c r="AP3347">
        <v>1</v>
      </c>
      <c r="AR3347" t="s">
        <v>3443</v>
      </c>
      <c r="AS3347" s="1">
        <v>44354.000694444447</v>
      </c>
      <c r="AT3347" s="1">
        <v>44354.013564814813</v>
      </c>
      <c r="AU3347" s="1">
        <v>44354.014456018522</v>
      </c>
      <c r="AV3347" t="s">
        <v>71</v>
      </c>
      <c r="AW3347" t="s">
        <v>72</v>
      </c>
      <c r="AX3347" t="s">
        <v>73</v>
      </c>
    </row>
    <row r="3348" spans="1:50" x14ac:dyDescent="0.3">
      <c r="A3348" t="str">
        <f>"201717C0200"</f>
        <v>201717C0200</v>
      </c>
      <c r="B3348" t="str">
        <f>"201717C02002"</f>
        <v>201717C02002</v>
      </c>
      <c r="C3348" t="str">
        <f t="shared" si="167"/>
        <v>20</v>
      </c>
      <c r="D3348" t="s">
        <v>67</v>
      </c>
      <c r="E3348" t="str">
        <f t="shared" si="166"/>
        <v>015</v>
      </c>
      <c r="F3348" t="s">
        <v>3364</v>
      </c>
      <c r="G3348" t="str">
        <f>"1717"</f>
        <v>1717</v>
      </c>
      <c r="H3348" t="str">
        <f>"0002"</f>
        <v>0002</v>
      </c>
      <c r="I3348" t="s">
        <v>75</v>
      </c>
      <c r="J3348">
        <v>0</v>
      </c>
      <c r="K3348">
        <v>1</v>
      </c>
      <c r="L3348">
        <v>2</v>
      </c>
      <c r="M3348">
        <v>242</v>
      </c>
      <c r="N3348">
        <v>436</v>
      </c>
      <c r="O3348">
        <v>3</v>
      </c>
      <c r="P3348">
        <v>436</v>
      </c>
      <c r="Q3348">
        <v>9</v>
      </c>
      <c r="R3348">
        <v>53</v>
      </c>
      <c r="S3348">
        <v>11</v>
      </c>
      <c r="T3348">
        <v>5</v>
      </c>
      <c r="U3348">
        <v>15</v>
      </c>
      <c r="V3348">
        <v>6</v>
      </c>
      <c r="W3348">
        <v>30</v>
      </c>
      <c r="X3348">
        <v>179</v>
      </c>
      <c r="Y3348">
        <v>11</v>
      </c>
      <c r="Z3348">
        <v>4</v>
      </c>
      <c r="AA3348">
        <v>4</v>
      </c>
      <c r="AB3348">
        <v>94</v>
      </c>
      <c r="AD3348">
        <v>0</v>
      </c>
      <c r="AE3348">
        <v>0</v>
      </c>
      <c r="AF3348">
        <v>0</v>
      </c>
      <c r="AG3348">
        <v>0</v>
      </c>
      <c r="AI3348">
        <v>0</v>
      </c>
      <c r="AJ3348">
        <v>15</v>
      </c>
      <c r="AK3348">
        <v>436</v>
      </c>
      <c r="AL3348">
        <v>436</v>
      </c>
      <c r="AM3348">
        <v>634</v>
      </c>
      <c r="AN3348">
        <v>44</v>
      </c>
      <c r="AP3348">
        <v>1</v>
      </c>
      <c r="AR3348" t="s">
        <v>3444</v>
      </c>
      <c r="AS3348" s="1">
        <v>44354</v>
      </c>
      <c r="AT3348" s="1">
        <v>44354.0155787037</v>
      </c>
      <c r="AU3348" s="1">
        <v>44354.016099537039</v>
      </c>
      <c r="AV3348" t="s">
        <v>71</v>
      </c>
      <c r="AW3348" t="s">
        <v>72</v>
      </c>
      <c r="AX3348" t="s">
        <v>73</v>
      </c>
    </row>
    <row r="3349" spans="1:50" x14ac:dyDescent="0.3">
      <c r="A3349" t="str">
        <f>"201717C0300"</f>
        <v>201717C0300</v>
      </c>
      <c r="B3349" t="str">
        <f>"201717C03002"</f>
        <v>201717C03002</v>
      </c>
      <c r="C3349" t="str">
        <f t="shared" si="167"/>
        <v>20</v>
      </c>
      <c r="D3349" t="s">
        <v>67</v>
      </c>
      <c r="E3349" t="str">
        <f t="shared" si="166"/>
        <v>015</v>
      </c>
      <c r="F3349" t="s">
        <v>3364</v>
      </c>
      <c r="G3349" t="str">
        <f>"1717"</f>
        <v>1717</v>
      </c>
      <c r="H3349" t="str">
        <f>"0003"</f>
        <v>0003</v>
      </c>
      <c r="I3349" t="s">
        <v>75</v>
      </c>
      <c r="J3349">
        <v>0</v>
      </c>
      <c r="K3349">
        <v>1</v>
      </c>
      <c r="L3349">
        <v>2</v>
      </c>
      <c r="M3349">
        <v>267</v>
      </c>
      <c r="N3349">
        <v>411</v>
      </c>
      <c r="O3349">
        <v>7</v>
      </c>
      <c r="P3349">
        <v>411</v>
      </c>
      <c r="Q3349">
        <v>11</v>
      </c>
      <c r="R3349">
        <v>45</v>
      </c>
      <c r="S3349">
        <v>10</v>
      </c>
      <c r="T3349">
        <v>7</v>
      </c>
      <c r="U3349">
        <v>19</v>
      </c>
      <c r="V3349">
        <v>4</v>
      </c>
      <c r="W3349">
        <v>23</v>
      </c>
      <c r="X3349">
        <v>195</v>
      </c>
      <c r="Y3349">
        <v>6</v>
      </c>
      <c r="Z3349">
        <v>6</v>
      </c>
      <c r="AA3349">
        <v>9</v>
      </c>
      <c r="AB3349">
        <v>70</v>
      </c>
      <c r="AD3349">
        <v>0</v>
      </c>
      <c r="AE3349">
        <v>0</v>
      </c>
      <c r="AF3349">
        <v>0</v>
      </c>
      <c r="AG3349">
        <v>0</v>
      </c>
      <c r="AI3349">
        <v>0</v>
      </c>
      <c r="AJ3349">
        <v>6</v>
      </c>
      <c r="AK3349">
        <v>411</v>
      </c>
      <c r="AL3349">
        <v>411</v>
      </c>
      <c r="AM3349">
        <v>634</v>
      </c>
      <c r="AN3349">
        <v>44</v>
      </c>
      <c r="AP3349">
        <v>1</v>
      </c>
      <c r="AR3349" t="s">
        <v>3445</v>
      </c>
      <c r="AS3349" s="1">
        <v>44353.999305555553</v>
      </c>
      <c r="AT3349" s="1">
        <v>44354.012986111113</v>
      </c>
      <c r="AU3349" s="1">
        <v>44354.013796296298</v>
      </c>
      <c r="AV3349" t="s">
        <v>71</v>
      </c>
      <c r="AW3349" t="s">
        <v>72</v>
      </c>
      <c r="AX3349" t="s">
        <v>73</v>
      </c>
    </row>
    <row r="3350" spans="1:50" x14ac:dyDescent="0.3">
      <c r="A3350" t="str">
        <f>"201718B0000"</f>
        <v>201718B0000</v>
      </c>
      <c r="B3350" t="str">
        <f>"201718B00002"</f>
        <v>201718B00002</v>
      </c>
      <c r="C3350" t="str">
        <f t="shared" si="167"/>
        <v>20</v>
      </c>
      <c r="D3350" t="s">
        <v>67</v>
      </c>
      <c r="E3350" t="str">
        <f t="shared" si="166"/>
        <v>015</v>
      </c>
      <c r="F3350" t="s">
        <v>3364</v>
      </c>
      <c r="G3350" t="str">
        <f t="shared" ref="G3350:G3357" si="168">"1718"</f>
        <v>1718</v>
      </c>
      <c r="H3350" t="str">
        <f>"0000"</f>
        <v>0000</v>
      </c>
      <c r="I3350" t="s">
        <v>69</v>
      </c>
      <c r="J3350">
        <v>0</v>
      </c>
      <c r="K3350">
        <v>1</v>
      </c>
      <c r="L3350">
        <v>2</v>
      </c>
      <c r="M3350">
        <v>276</v>
      </c>
      <c r="N3350">
        <v>476</v>
      </c>
      <c r="O3350">
        <v>6</v>
      </c>
      <c r="P3350">
        <v>475</v>
      </c>
      <c r="Q3350">
        <v>15</v>
      </c>
      <c r="R3350">
        <v>34</v>
      </c>
      <c r="S3350">
        <v>7</v>
      </c>
      <c r="T3350">
        <v>5</v>
      </c>
      <c r="U3350">
        <v>37</v>
      </c>
      <c r="V3350">
        <v>4</v>
      </c>
      <c r="W3350">
        <v>51</v>
      </c>
      <c r="X3350">
        <v>210</v>
      </c>
      <c r="Y3350">
        <v>6</v>
      </c>
      <c r="Z3350">
        <v>12</v>
      </c>
      <c r="AA3350">
        <v>8</v>
      </c>
      <c r="AB3350">
        <v>78</v>
      </c>
      <c r="AD3350">
        <v>0</v>
      </c>
      <c r="AE3350">
        <v>0</v>
      </c>
      <c r="AF3350">
        <v>1</v>
      </c>
      <c r="AG3350">
        <v>0</v>
      </c>
      <c r="AI3350">
        <v>0</v>
      </c>
      <c r="AJ3350">
        <v>7</v>
      </c>
      <c r="AK3350">
        <v>475</v>
      </c>
      <c r="AL3350">
        <v>475</v>
      </c>
      <c r="AM3350">
        <v>709</v>
      </c>
      <c r="AN3350">
        <v>44</v>
      </c>
      <c r="AP3350">
        <v>1</v>
      </c>
      <c r="AR3350" t="s">
        <v>3446</v>
      </c>
      <c r="AS3350" s="1">
        <v>44354.045138888891</v>
      </c>
      <c r="AT3350" s="1">
        <v>44354.094953703701</v>
      </c>
      <c r="AU3350" s="1">
        <v>44354.095601851855</v>
      </c>
      <c r="AV3350" t="s">
        <v>71</v>
      </c>
      <c r="AW3350" t="s">
        <v>72</v>
      </c>
      <c r="AX3350" t="s">
        <v>73</v>
      </c>
    </row>
    <row r="3351" spans="1:50" x14ac:dyDescent="0.3">
      <c r="A3351" t="str">
        <f>"201718C0100"</f>
        <v>201718C0100</v>
      </c>
      <c r="B3351" t="str">
        <f>"201718C01002"</f>
        <v>201718C01002</v>
      </c>
      <c r="C3351" t="str">
        <f t="shared" si="167"/>
        <v>20</v>
      </c>
      <c r="D3351" t="s">
        <v>67</v>
      </c>
      <c r="E3351" t="str">
        <f t="shared" si="166"/>
        <v>015</v>
      </c>
      <c r="F3351" t="s">
        <v>3364</v>
      </c>
      <c r="G3351" t="str">
        <f t="shared" si="168"/>
        <v>1718</v>
      </c>
      <c r="H3351" t="str">
        <f>"0001"</f>
        <v>0001</v>
      </c>
      <c r="I3351" t="s">
        <v>75</v>
      </c>
      <c r="J3351">
        <v>0</v>
      </c>
      <c r="K3351">
        <v>1</v>
      </c>
      <c r="L3351">
        <v>2</v>
      </c>
      <c r="M3351">
        <v>309</v>
      </c>
      <c r="N3351">
        <v>447</v>
      </c>
      <c r="O3351">
        <v>4</v>
      </c>
      <c r="P3351">
        <v>447</v>
      </c>
      <c r="Q3351">
        <v>10</v>
      </c>
      <c r="R3351">
        <v>39</v>
      </c>
      <c r="S3351">
        <v>10</v>
      </c>
      <c r="T3351">
        <v>4</v>
      </c>
      <c r="U3351">
        <v>17</v>
      </c>
      <c r="V3351">
        <v>3</v>
      </c>
      <c r="W3351">
        <v>59</v>
      </c>
      <c r="X3351">
        <v>187</v>
      </c>
      <c r="Y3351">
        <v>11</v>
      </c>
      <c r="Z3351">
        <v>5</v>
      </c>
      <c r="AA3351">
        <v>0</v>
      </c>
      <c r="AB3351">
        <v>88</v>
      </c>
      <c r="AD3351">
        <v>1</v>
      </c>
      <c r="AE3351" t="s">
        <v>77</v>
      </c>
      <c r="AF3351" t="s">
        <v>77</v>
      </c>
      <c r="AG3351" t="s">
        <v>77</v>
      </c>
      <c r="AI3351" t="s">
        <v>77</v>
      </c>
      <c r="AJ3351">
        <v>11</v>
      </c>
      <c r="AK3351">
        <v>443</v>
      </c>
      <c r="AL3351">
        <v>445</v>
      </c>
      <c r="AM3351">
        <v>709</v>
      </c>
      <c r="AN3351">
        <v>44</v>
      </c>
      <c r="AO3351" t="s">
        <v>78</v>
      </c>
      <c r="AP3351">
        <v>1</v>
      </c>
      <c r="AR3351" t="s">
        <v>3447</v>
      </c>
      <c r="AS3351" s="1">
        <v>44354.044444444444</v>
      </c>
      <c r="AT3351" s="1">
        <v>44354.096620370372</v>
      </c>
      <c r="AU3351" s="1">
        <v>44354.097118055557</v>
      </c>
      <c r="AV3351" t="s">
        <v>71</v>
      </c>
      <c r="AW3351" t="s">
        <v>72</v>
      </c>
      <c r="AX3351" t="s">
        <v>73</v>
      </c>
    </row>
    <row r="3352" spans="1:50" x14ac:dyDescent="0.3">
      <c r="A3352" t="str">
        <f>"201718C0200"</f>
        <v>201718C0200</v>
      </c>
      <c r="B3352" t="str">
        <f>"201718C02002"</f>
        <v>201718C02002</v>
      </c>
      <c r="C3352" t="str">
        <f t="shared" si="167"/>
        <v>20</v>
      </c>
      <c r="D3352" t="s">
        <v>67</v>
      </c>
      <c r="E3352" t="str">
        <f t="shared" si="166"/>
        <v>015</v>
      </c>
      <c r="F3352" t="s">
        <v>3364</v>
      </c>
      <c r="G3352" t="str">
        <f t="shared" si="168"/>
        <v>1718</v>
      </c>
      <c r="H3352" t="str">
        <f>"0002"</f>
        <v>0002</v>
      </c>
      <c r="I3352" t="s">
        <v>75</v>
      </c>
      <c r="J3352">
        <v>0</v>
      </c>
      <c r="K3352">
        <v>1</v>
      </c>
      <c r="L3352">
        <v>2</v>
      </c>
      <c r="M3352">
        <v>333</v>
      </c>
      <c r="N3352" t="s">
        <v>80</v>
      </c>
      <c r="O3352" t="s">
        <v>80</v>
      </c>
      <c r="P3352" t="s">
        <v>80</v>
      </c>
      <c r="Q3352">
        <v>12</v>
      </c>
      <c r="R3352">
        <v>29</v>
      </c>
      <c r="S3352">
        <v>12</v>
      </c>
      <c r="T3352">
        <v>5</v>
      </c>
      <c r="U3352">
        <v>20</v>
      </c>
      <c r="V3352">
        <v>7</v>
      </c>
      <c r="W3352">
        <v>49</v>
      </c>
      <c r="X3352">
        <v>180</v>
      </c>
      <c r="Y3352">
        <v>9</v>
      </c>
      <c r="Z3352">
        <v>8</v>
      </c>
      <c r="AA3352">
        <v>1</v>
      </c>
      <c r="AB3352">
        <v>74</v>
      </c>
      <c r="AD3352" t="s">
        <v>77</v>
      </c>
      <c r="AE3352" t="s">
        <v>77</v>
      </c>
      <c r="AF3352" t="s">
        <v>77</v>
      </c>
      <c r="AG3352" t="s">
        <v>77</v>
      </c>
      <c r="AI3352" t="s">
        <v>77</v>
      </c>
      <c r="AJ3352">
        <v>18</v>
      </c>
      <c r="AK3352">
        <v>424</v>
      </c>
      <c r="AL3352">
        <v>424</v>
      </c>
      <c r="AM3352">
        <v>709</v>
      </c>
      <c r="AN3352">
        <v>44</v>
      </c>
      <c r="AO3352" t="s">
        <v>78</v>
      </c>
      <c r="AP3352">
        <v>1</v>
      </c>
      <c r="AR3352" t="s">
        <v>3448</v>
      </c>
      <c r="AS3352" s="1">
        <v>44354.045138888891</v>
      </c>
      <c r="AT3352" s="1">
        <v>44354.097013888888</v>
      </c>
      <c r="AU3352" s="1">
        <v>44354.097384259258</v>
      </c>
      <c r="AV3352" t="s">
        <v>71</v>
      </c>
      <c r="AW3352" t="s">
        <v>72</v>
      </c>
      <c r="AX3352" t="s">
        <v>73</v>
      </c>
    </row>
    <row r="3353" spans="1:50" x14ac:dyDescent="0.3">
      <c r="A3353" t="str">
        <f>"201718C0300"</f>
        <v>201718C0300</v>
      </c>
      <c r="B3353" t="str">
        <f>"201718C03002"</f>
        <v>201718C03002</v>
      </c>
      <c r="C3353" t="str">
        <f t="shared" si="167"/>
        <v>20</v>
      </c>
      <c r="D3353" t="s">
        <v>67</v>
      </c>
      <c r="E3353" t="str">
        <f t="shared" si="166"/>
        <v>015</v>
      </c>
      <c r="F3353" t="s">
        <v>3364</v>
      </c>
      <c r="G3353" t="str">
        <f t="shared" si="168"/>
        <v>1718</v>
      </c>
      <c r="H3353" t="str">
        <f>"0003"</f>
        <v>0003</v>
      </c>
      <c r="I3353" t="s">
        <v>75</v>
      </c>
      <c r="J3353">
        <v>0</v>
      </c>
      <c r="K3353">
        <v>1</v>
      </c>
      <c r="L3353">
        <v>2</v>
      </c>
      <c r="M3353">
        <v>312</v>
      </c>
      <c r="N3353">
        <v>444</v>
      </c>
      <c r="O3353">
        <v>3</v>
      </c>
      <c r="P3353" t="s">
        <v>80</v>
      </c>
      <c r="Q3353">
        <v>9</v>
      </c>
      <c r="R3353">
        <v>36</v>
      </c>
      <c r="S3353">
        <v>9</v>
      </c>
      <c r="T3353">
        <v>5</v>
      </c>
      <c r="U3353">
        <v>38</v>
      </c>
      <c r="V3353">
        <v>7</v>
      </c>
      <c r="W3353">
        <v>45</v>
      </c>
      <c r="X3353">
        <v>171</v>
      </c>
      <c r="Y3353">
        <v>10</v>
      </c>
      <c r="Z3353">
        <v>12</v>
      </c>
      <c r="AA3353">
        <v>6</v>
      </c>
      <c r="AB3353">
        <v>77</v>
      </c>
      <c r="AD3353">
        <v>3</v>
      </c>
      <c r="AE3353" t="s">
        <v>77</v>
      </c>
      <c r="AF3353" t="s">
        <v>77</v>
      </c>
      <c r="AG3353" t="s">
        <v>77</v>
      </c>
      <c r="AI3353" t="s">
        <v>77</v>
      </c>
      <c r="AJ3353">
        <v>13</v>
      </c>
      <c r="AK3353">
        <v>441</v>
      </c>
      <c r="AL3353">
        <v>441</v>
      </c>
      <c r="AM3353">
        <v>709</v>
      </c>
      <c r="AN3353">
        <v>44</v>
      </c>
      <c r="AO3353" t="s">
        <v>78</v>
      </c>
      <c r="AP3353">
        <v>1</v>
      </c>
      <c r="AR3353" t="s">
        <v>3449</v>
      </c>
      <c r="AS3353" s="1">
        <v>44354.044444444444</v>
      </c>
      <c r="AT3353" s="1">
        <v>44354.329780092594</v>
      </c>
      <c r="AU3353" s="1">
        <v>44354.341516203705</v>
      </c>
      <c r="AV3353" t="s">
        <v>71</v>
      </c>
      <c r="AW3353" t="s">
        <v>72</v>
      </c>
      <c r="AX3353" t="s">
        <v>73</v>
      </c>
    </row>
    <row r="3354" spans="1:50" x14ac:dyDescent="0.3">
      <c r="A3354" t="str">
        <f>"201718C0400"</f>
        <v>201718C0400</v>
      </c>
      <c r="B3354" t="str">
        <f>"201718C04002"</f>
        <v>201718C04002</v>
      </c>
      <c r="C3354" t="str">
        <f t="shared" si="167"/>
        <v>20</v>
      </c>
      <c r="D3354" t="s">
        <v>67</v>
      </c>
      <c r="E3354" t="str">
        <f t="shared" si="166"/>
        <v>015</v>
      </c>
      <c r="F3354" t="s">
        <v>3364</v>
      </c>
      <c r="G3354" t="str">
        <f t="shared" si="168"/>
        <v>1718</v>
      </c>
      <c r="H3354" t="str">
        <f>"0004"</f>
        <v>0004</v>
      </c>
      <c r="I3354" t="s">
        <v>75</v>
      </c>
      <c r="J3354">
        <v>0</v>
      </c>
      <c r="K3354">
        <v>1</v>
      </c>
      <c r="L3354">
        <v>2</v>
      </c>
      <c r="M3354">
        <v>284</v>
      </c>
      <c r="N3354">
        <v>469</v>
      </c>
      <c r="O3354">
        <v>2</v>
      </c>
      <c r="P3354">
        <v>469</v>
      </c>
      <c r="Q3354">
        <v>10</v>
      </c>
      <c r="R3354">
        <v>42</v>
      </c>
      <c r="S3354">
        <v>15</v>
      </c>
      <c r="T3354">
        <v>6</v>
      </c>
      <c r="U3354">
        <v>26</v>
      </c>
      <c r="V3354">
        <v>8</v>
      </c>
      <c r="W3354">
        <v>53</v>
      </c>
      <c r="X3354">
        <v>173</v>
      </c>
      <c r="Y3354">
        <v>7</v>
      </c>
      <c r="Z3354">
        <v>10</v>
      </c>
      <c r="AA3354">
        <v>3</v>
      </c>
      <c r="AB3354">
        <v>97</v>
      </c>
      <c r="AD3354">
        <v>4</v>
      </c>
      <c r="AE3354">
        <v>0</v>
      </c>
      <c r="AF3354">
        <v>0</v>
      </c>
      <c r="AG3354">
        <v>1</v>
      </c>
      <c r="AI3354">
        <v>0</v>
      </c>
      <c r="AJ3354">
        <v>14</v>
      </c>
      <c r="AK3354">
        <v>469</v>
      </c>
      <c r="AL3354">
        <v>469</v>
      </c>
      <c r="AM3354">
        <v>709</v>
      </c>
      <c r="AN3354">
        <v>44</v>
      </c>
      <c r="AP3354">
        <v>1</v>
      </c>
      <c r="AR3354" t="s">
        <v>3450</v>
      </c>
      <c r="AS3354" s="1">
        <v>44353.958333333336</v>
      </c>
      <c r="AT3354" s="1">
        <v>44354.086388888885</v>
      </c>
      <c r="AU3354" s="1">
        <v>44354.086956018517</v>
      </c>
      <c r="AV3354" t="s">
        <v>71</v>
      </c>
      <c r="AW3354" t="s">
        <v>72</v>
      </c>
      <c r="AX3354" t="s">
        <v>73</v>
      </c>
    </row>
    <row r="3355" spans="1:50" x14ac:dyDescent="0.3">
      <c r="A3355" t="str">
        <f>"201718C0500"</f>
        <v>201718C0500</v>
      </c>
      <c r="B3355" t="str">
        <f>"201718C05002"</f>
        <v>201718C05002</v>
      </c>
      <c r="C3355" t="str">
        <f t="shared" si="167"/>
        <v>20</v>
      </c>
      <c r="D3355" t="s">
        <v>67</v>
      </c>
      <c r="E3355" t="str">
        <f t="shared" si="166"/>
        <v>015</v>
      </c>
      <c r="F3355" t="s">
        <v>3364</v>
      </c>
      <c r="G3355" t="str">
        <f t="shared" si="168"/>
        <v>1718</v>
      </c>
      <c r="H3355" t="str">
        <f>"0005"</f>
        <v>0005</v>
      </c>
      <c r="I3355" t="s">
        <v>75</v>
      </c>
      <c r="J3355">
        <v>0</v>
      </c>
      <c r="K3355">
        <v>1</v>
      </c>
      <c r="L3355">
        <v>2</v>
      </c>
      <c r="M3355">
        <v>302</v>
      </c>
      <c r="N3355">
        <v>451</v>
      </c>
      <c r="O3355">
        <v>1</v>
      </c>
      <c r="P3355">
        <v>450</v>
      </c>
      <c r="Q3355">
        <v>20</v>
      </c>
      <c r="R3355">
        <v>36</v>
      </c>
      <c r="S3355">
        <v>14</v>
      </c>
      <c r="T3355">
        <v>2</v>
      </c>
      <c r="U3355">
        <v>23</v>
      </c>
      <c r="V3355">
        <v>5</v>
      </c>
      <c r="W3355">
        <v>64</v>
      </c>
      <c r="X3355">
        <v>168</v>
      </c>
      <c r="Y3355">
        <v>9</v>
      </c>
      <c r="Z3355">
        <v>7</v>
      </c>
      <c r="AA3355">
        <v>4</v>
      </c>
      <c r="AB3355">
        <v>85</v>
      </c>
      <c r="AD3355">
        <v>1</v>
      </c>
      <c r="AE3355">
        <v>0</v>
      </c>
      <c r="AF3355">
        <v>0</v>
      </c>
      <c r="AG3355">
        <v>0</v>
      </c>
      <c r="AI3355">
        <v>0</v>
      </c>
      <c r="AJ3355">
        <v>12</v>
      </c>
      <c r="AK3355">
        <v>450</v>
      </c>
      <c r="AL3355">
        <v>450</v>
      </c>
      <c r="AM3355">
        <v>709</v>
      </c>
      <c r="AN3355">
        <v>44</v>
      </c>
      <c r="AP3355">
        <v>1</v>
      </c>
      <c r="AR3355" t="s">
        <v>3451</v>
      </c>
      <c r="AS3355" s="1">
        <v>44354.045138888891</v>
      </c>
      <c r="AT3355" s="1">
        <v>44354.0940162037</v>
      </c>
      <c r="AU3355" s="1">
        <v>44354.095543981479</v>
      </c>
      <c r="AV3355" t="s">
        <v>71</v>
      </c>
      <c r="AW3355" t="s">
        <v>72</v>
      </c>
      <c r="AX3355" t="s">
        <v>73</v>
      </c>
    </row>
    <row r="3356" spans="1:50" x14ac:dyDescent="0.3">
      <c r="A3356" t="str">
        <f>"201718C0600"</f>
        <v>201718C0600</v>
      </c>
      <c r="B3356" t="str">
        <f>"201718C06002"</f>
        <v>201718C06002</v>
      </c>
      <c r="C3356" t="str">
        <f t="shared" si="167"/>
        <v>20</v>
      </c>
      <c r="D3356" t="s">
        <v>67</v>
      </c>
      <c r="E3356" t="str">
        <f t="shared" si="166"/>
        <v>015</v>
      </c>
      <c r="F3356" t="s">
        <v>3364</v>
      </c>
      <c r="G3356" t="str">
        <f t="shared" si="168"/>
        <v>1718</v>
      </c>
      <c r="H3356" t="str">
        <f>"0006"</f>
        <v>0006</v>
      </c>
      <c r="I3356" t="s">
        <v>75</v>
      </c>
      <c r="J3356">
        <v>0</v>
      </c>
      <c r="K3356">
        <v>1</v>
      </c>
      <c r="L3356">
        <v>2</v>
      </c>
      <c r="M3356">
        <v>317</v>
      </c>
      <c r="N3356">
        <v>436</v>
      </c>
      <c r="O3356">
        <v>3</v>
      </c>
      <c r="P3356">
        <v>436</v>
      </c>
      <c r="Q3356">
        <v>11</v>
      </c>
      <c r="R3356">
        <v>39</v>
      </c>
      <c r="S3356">
        <v>5</v>
      </c>
      <c r="T3356">
        <v>4</v>
      </c>
      <c r="U3356">
        <v>35</v>
      </c>
      <c r="V3356">
        <v>4</v>
      </c>
      <c r="W3356">
        <v>50</v>
      </c>
      <c r="X3356">
        <v>168</v>
      </c>
      <c r="Y3356">
        <v>8</v>
      </c>
      <c r="Z3356">
        <v>6</v>
      </c>
      <c r="AA3356">
        <v>2</v>
      </c>
      <c r="AB3356">
        <v>83</v>
      </c>
      <c r="AD3356" t="s">
        <v>77</v>
      </c>
      <c r="AE3356">
        <v>1</v>
      </c>
      <c r="AF3356" t="s">
        <v>77</v>
      </c>
      <c r="AG3356" t="s">
        <v>77</v>
      </c>
      <c r="AI3356" t="s">
        <v>77</v>
      </c>
      <c r="AJ3356">
        <v>20</v>
      </c>
      <c r="AK3356">
        <v>436</v>
      </c>
      <c r="AL3356">
        <v>436</v>
      </c>
      <c r="AM3356">
        <v>709</v>
      </c>
      <c r="AN3356">
        <v>44</v>
      </c>
      <c r="AO3356" t="s">
        <v>78</v>
      </c>
      <c r="AP3356">
        <v>1</v>
      </c>
      <c r="AR3356" t="s">
        <v>3452</v>
      </c>
      <c r="AS3356" s="1">
        <v>44354.044444444444</v>
      </c>
      <c r="AT3356" s="1">
        <v>44354.096863425926</v>
      </c>
      <c r="AU3356" s="1">
        <v>44354.097743055558</v>
      </c>
      <c r="AV3356" t="s">
        <v>71</v>
      </c>
      <c r="AW3356" t="s">
        <v>72</v>
      </c>
      <c r="AX3356" t="s">
        <v>73</v>
      </c>
    </row>
    <row r="3357" spans="1:50" x14ac:dyDescent="0.3">
      <c r="A3357" t="str">
        <f>"201718S0100"</f>
        <v>201718S0100</v>
      </c>
      <c r="B3357" t="str">
        <f>"201718S01002EMR"</f>
        <v>201718S01002EMR</v>
      </c>
      <c r="C3357" t="str">
        <f t="shared" si="167"/>
        <v>20</v>
      </c>
      <c r="D3357" t="s">
        <v>67</v>
      </c>
      <c r="E3357" t="str">
        <f t="shared" si="166"/>
        <v>015</v>
      </c>
      <c r="F3357" t="s">
        <v>3364</v>
      </c>
      <c r="G3357" t="str">
        <f t="shared" si="168"/>
        <v>1718</v>
      </c>
      <c r="H3357" t="str">
        <f>"0001"</f>
        <v>0001</v>
      </c>
      <c r="I3357" t="s">
        <v>85</v>
      </c>
      <c r="J3357">
        <v>0</v>
      </c>
      <c r="K3357">
        <v>1</v>
      </c>
      <c r="L3357" t="s">
        <v>86</v>
      </c>
      <c r="AM3357">
        <v>0</v>
      </c>
      <c r="AN3357">
        <v>44</v>
      </c>
      <c r="AO3357" t="s">
        <v>143</v>
      </c>
      <c r="AP3357">
        <v>0</v>
      </c>
      <c r="AR3357" t="s">
        <v>3453</v>
      </c>
      <c r="AS3357" s="1">
        <v>44354.536805555559</v>
      </c>
      <c r="AT3357" s="1">
        <v>44354.540578703702</v>
      </c>
      <c r="AU3357" s="1">
        <v>44354.540578703702</v>
      </c>
      <c r="AV3357" t="s">
        <v>71</v>
      </c>
      <c r="AW3357" t="s">
        <v>72</v>
      </c>
      <c r="AX3357" t="s">
        <v>73</v>
      </c>
    </row>
    <row r="3358" spans="1:50" x14ac:dyDescent="0.3">
      <c r="A3358" t="str">
        <f>"201719B0000"</f>
        <v>201719B0000</v>
      </c>
      <c r="B3358" t="str">
        <f>"201719B00002"</f>
        <v>201719B00002</v>
      </c>
      <c r="C3358" t="str">
        <f t="shared" si="167"/>
        <v>20</v>
      </c>
      <c r="D3358" t="s">
        <v>67</v>
      </c>
      <c r="E3358" t="str">
        <f t="shared" si="166"/>
        <v>015</v>
      </c>
      <c r="F3358" t="s">
        <v>3364</v>
      </c>
      <c r="G3358" t="str">
        <f>"1719"</f>
        <v>1719</v>
      </c>
      <c r="H3358" t="str">
        <f>"0000"</f>
        <v>0000</v>
      </c>
      <c r="I3358" t="s">
        <v>69</v>
      </c>
      <c r="J3358">
        <v>0</v>
      </c>
      <c r="K3358">
        <v>1</v>
      </c>
      <c r="L3358">
        <v>2</v>
      </c>
      <c r="M3358">
        <v>280</v>
      </c>
      <c r="N3358">
        <v>454</v>
      </c>
      <c r="O3358">
        <v>8</v>
      </c>
      <c r="P3358">
        <v>454</v>
      </c>
      <c r="Q3358">
        <v>28</v>
      </c>
      <c r="R3358">
        <v>68</v>
      </c>
      <c r="S3358">
        <v>3</v>
      </c>
      <c r="T3358">
        <v>4</v>
      </c>
      <c r="U3358">
        <v>26</v>
      </c>
      <c r="V3358">
        <v>5</v>
      </c>
      <c r="W3358">
        <v>34</v>
      </c>
      <c r="X3358">
        <v>187</v>
      </c>
      <c r="Y3358">
        <v>11</v>
      </c>
      <c r="Z3358">
        <v>13</v>
      </c>
      <c r="AA3358">
        <v>1</v>
      </c>
      <c r="AB3358">
        <v>59</v>
      </c>
      <c r="AD3358">
        <v>1</v>
      </c>
      <c r="AE3358">
        <v>0</v>
      </c>
      <c r="AF3358">
        <v>0</v>
      </c>
      <c r="AG3358">
        <v>0</v>
      </c>
      <c r="AI3358">
        <v>0</v>
      </c>
      <c r="AJ3358">
        <v>14</v>
      </c>
      <c r="AK3358">
        <v>454</v>
      </c>
      <c r="AL3358">
        <v>454</v>
      </c>
      <c r="AM3358">
        <v>690</v>
      </c>
      <c r="AN3358">
        <v>44</v>
      </c>
      <c r="AP3358">
        <v>1</v>
      </c>
      <c r="AR3358" t="s">
        <v>3454</v>
      </c>
      <c r="AS3358" s="1">
        <v>44354.052777777775</v>
      </c>
      <c r="AT3358" s="1">
        <v>44354.101122685184</v>
      </c>
      <c r="AU3358" s="1">
        <v>44354.101539351854</v>
      </c>
      <c r="AV3358" t="s">
        <v>71</v>
      </c>
      <c r="AW3358" t="s">
        <v>72</v>
      </c>
      <c r="AX3358" t="s">
        <v>73</v>
      </c>
    </row>
    <row r="3359" spans="1:50" x14ac:dyDescent="0.3">
      <c r="A3359" t="str">
        <f>"201719C0100"</f>
        <v>201719C0100</v>
      </c>
      <c r="B3359" t="str">
        <f>"201719C01002"</f>
        <v>201719C01002</v>
      </c>
      <c r="C3359" t="str">
        <f t="shared" si="167"/>
        <v>20</v>
      </c>
      <c r="D3359" t="s">
        <v>67</v>
      </c>
      <c r="E3359" t="str">
        <f t="shared" si="166"/>
        <v>015</v>
      </c>
      <c r="F3359" t="s">
        <v>3364</v>
      </c>
      <c r="G3359" t="str">
        <f>"1719"</f>
        <v>1719</v>
      </c>
      <c r="H3359" t="str">
        <f>"0001"</f>
        <v>0001</v>
      </c>
      <c r="I3359" t="s">
        <v>75</v>
      </c>
      <c r="J3359">
        <v>0</v>
      </c>
      <c r="K3359">
        <v>1</v>
      </c>
      <c r="L3359">
        <v>2</v>
      </c>
      <c r="M3359">
        <v>325</v>
      </c>
      <c r="N3359">
        <v>409</v>
      </c>
      <c r="O3359">
        <v>4</v>
      </c>
      <c r="P3359">
        <v>409</v>
      </c>
      <c r="Q3359">
        <v>12</v>
      </c>
      <c r="R3359">
        <v>53</v>
      </c>
      <c r="S3359">
        <v>7</v>
      </c>
      <c r="T3359">
        <v>5</v>
      </c>
      <c r="U3359">
        <v>22</v>
      </c>
      <c r="V3359">
        <v>10</v>
      </c>
      <c r="W3359">
        <v>36</v>
      </c>
      <c r="X3359">
        <v>172</v>
      </c>
      <c r="Y3359">
        <v>11</v>
      </c>
      <c r="Z3359">
        <v>8</v>
      </c>
      <c r="AA3359">
        <v>2</v>
      </c>
      <c r="AB3359">
        <v>51</v>
      </c>
      <c r="AD3359">
        <v>0</v>
      </c>
      <c r="AE3359">
        <v>1</v>
      </c>
      <c r="AF3359">
        <v>0</v>
      </c>
      <c r="AG3359">
        <v>0</v>
      </c>
      <c r="AI3359">
        <v>0</v>
      </c>
      <c r="AJ3359">
        <v>19</v>
      </c>
      <c r="AK3359">
        <v>409</v>
      </c>
      <c r="AL3359">
        <v>409</v>
      </c>
      <c r="AM3359">
        <v>690</v>
      </c>
      <c r="AN3359">
        <v>44</v>
      </c>
      <c r="AP3359">
        <v>1</v>
      </c>
      <c r="AR3359" t="s">
        <v>3455</v>
      </c>
      <c r="AS3359" s="1">
        <v>44354.050694444442</v>
      </c>
      <c r="AT3359" s="1">
        <v>44354.104317129626</v>
      </c>
      <c r="AU3359" s="1">
        <v>44354.104699074072</v>
      </c>
      <c r="AV3359" t="s">
        <v>71</v>
      </c>
      <c r="AW3359" t="s">
        <v>72</v>
      </c>
      <c r="AX3359" t="s">
        <v>73</v>
      </c>
    </row>
    <row r="3360" spans="1:50" x14ac:dyDescent="0.3">
      <c r="A3360" t="str">
        <f>"201719C0200"</f>
        <v>201719C0200</v>
      </c>
      <c r="B3360" t="str">
        <f>"201719C02002"</f>
        <v>201719C02002</v>
      </c>
      <c r="C3360" t="str">
        <f t="shared" si="167"/>
        <v>20</v>
      </c>
      <c r="D3360" t="s">
        <v>67</v>
      </c>
      <c r="E3360" t="str">
        <f t="shared" si="166"/>
        <v>015</v>
      </c>
      <c r="F3360" t="s">
        <v>3364</v>
      </c>
      <c r="G3360" t="str">
        <f>"1719"</f>
        <v>1719</v>
      </c>
      <c r="H3360" t="str">
        <f>"0002"</f>
        <v>0002</v>
      </c>
      <c r="I3360" t="s">
        <v>75</v>
      </c>
      <c r="J3360">
        <v>0</v>
      </c>
      <c r="K3360">
        <v>1</v>
      </c>
      <c r="L3360">
        <v>2</v>
      </c>
      <c r="M3360">
        <v>307</v>
      </c>
      <c r="N3360">
        <v>427</v>
      </c>
      <c r="O3360">
        <v>5</v>
      </c>
      <c r="P3360">
        <v>427</v>
      </c>
      <c r="Q3360">
        <v>15</v>
      </c>
      <c r="R3360">
        <v>63</v>
      </c>
      <c r="S3360">
        <v>9</v>
      </c>
      <c r="T3360">
        <v>6</v>
      </c>
      <c r="U3360">
        <v>11</v>
      </c>
      <c r="V3360">
        <v>9</v>
      </c>
      <c r="W3360">
        <v>38</v>
      </c>
      <c r="X3360">
        <v>170</v>
      </c>
      <c r="Y3360">
        <v>19</v>
      </c>
      <c r="Z3360">
        <v>9</v>
      </c>
      <c r="AA3360">
        <v>5</v>
      </c>
      <c r="AB3360">
        <v>48</v>
      </c>
      <c r="AD3360">
        <v>4</v>
      </c>
      <c r="AE3360">
        <v>0</v>
      </c>
      <c r="AF3360">
        <v>0</v>
      </c>
      <c r="AG3360">
        <v>0</v>
      </c>
      <c r="AI3360">
        <v>0</v>
      </c>
      <c r="AJ3360">
        <v>21</v>
      </c>
      <c r="AK3360">
        <v>427</v>
      </c>
      <c r="AL3360">
        <v>427</v>
      </c>
      <c r="AM3360">
        <v>690</v>
      </c>
      <c r="AN3360">
        <v>44</v>
      </c>
      <c r="AP3360">
        <v>1</v>
      </c>
      <c r="AR3360" t="s">
        <v>3456</v>
      </c>
      <c r="AS3360" s="1">
        <v>44354.052083333336</v>
      </c>
      <c r="AT3360" s="1">
        <v>44354.100798611114</v>
      </c>
      <c r="AU3360" s="1">
        <v>44354.101458333331</v>
      </c>
      <c r="AV3360" t="s">
        <v>71</v>
      </c>
      <c r="AW3360" t="s">
        <v>72</v>
      </c>
      <c r="AX3360" t="s">
        <v>73</v>
      </c>
    </row>
    <row r="3361" spans="1:50" x14ac:dyDescent="0.3">
      <c r="A3361" t="str">
        <f>"201719C0300"</f>
        <v>201719C0300</v>
      </c>
      <c r="B3361" t="str">
        <f>"201719C03002"</f>
        <v>201719C03002</v>
      </c>
      <c r="C3361" t="str">
        <f t="shared" si="167"/>
        <v>20</v>
      </c>
      <c r="D3361" t="s">
        <v>67</v>
      </c>
      <c r="E3361" t="str">
        <f t="shared" si="166"/>
        <v>015</v>
      </c>
      <c r="F3361" t="s">
        <v>3364</v>
      </c>
      <c r="G3361" t="str">
        <f>"1719"</f>
        <v>1719</v>
      </c>
      <c r="H3361" t="str">
        <f>"0003"</f>
        <v>0003</v>
      </c>
      <c r="I3361" t="s">
        <v>75</v>
      </c>
      <c r="J3361">
        <v>0</v>
      </c>
      <c r="K3361">
        <v>1</v>
      </c>
      <c r="L3361">
        <v>2</v>
      </c>
      <c r="M3361">
        <v>317</v>
      </c>
      <c r="N3361">
        <v>417</v>
      </c>
      <c r="O3361">
        <v>4</v>
      </c>
      <c r="P3361">
        <v>417</v>
      </c>
      <c r="Q3361">
        <v>29</v>
      </c>
      <c r="R3361">
        <v>60</v>
      </c>
      <c r="S3361">
        <v>7</v>
      </c>
      <c r="T3361">
        <v>3</v>
      </c>
      <c r="U3361">
        <v>20</v>
      </c>
      <c r="V3361">
        <v>7</v>
      </c>
      <c r="W3361">
        <v>37</v>
      </c>
      <c r="X3361">
        <v>175</v>
      </c>
      <c r="Y3361">
        <v>4</v>
      </c>
      <c r="Z3361">
        <v>7</v>
      </c>
      <c r="AA3361">
        <v>3</v>
      </c>
      <c r="AB3361">
        <v>44</v>
      </c>
      <c r="AD3361">
        <v>8</v>
      </c>
      <c r="AE3361">
        <v>0</v>
      </c>
      <c r="AF3361">
        <v>0</v>
      </c>
      <c r="AG3361">
        <v>0</v>
      </c>
      <c r="AI3361">
        <v>0</v>
      </c>
      <c r="AJ3361">
        <v>13</v>
      </c>
      <c r="AK3361">
        <v>417</v>
      </c>
      <c r="AL3361">
        <v>417</v>
      </c>
      <c r="AM3361">
        <v>690</v>
      </c>
      <c r="AN3361">
        <v>44</v>
      </c>
      <c r="AP3361">
        <v>1</v>
      </c>
      <c r="AR3361" t="s">
        <v>3457</v>
      </c>
      <c r="AS3361" s="1">
        <v>44354.052083333336</v>
      </c>
      <c r="AT3361" s="1">
        <v>44354.101180555554</v>
      </c>
      <c r="AU3361" s="1">
        <v>44354.101863425924</v>
      </c>
      <c r="AV3361" t="s">
        <v>71</v>
      </c>
      <c r="AW3361" t="s">
        <v>72</v>
      </c>
      <c r="AX3361" t="s">
        <v>73</v>
      </c>
    </row>
    <row r="3362" spans="1:50" x14ac:dyDescent="0.3">
      <c r="A3362" t="str">
        <f>"201720B0000"</f>
        <v>201720B0000</v>
      </c>
      <c r="B3362" t="str">
        <f>"201720B00002"</f>
        <v>201720B00002</v>
      </c>
      <c r="C3362" t="str">
        <f t="shared" si="167"/>
        <v>20</v>
      </c>
      <c r="D3362" t="s">
        <v>67</v>
      </c>
      <c r="E3362" t="str">
        <f t="shared" si="166"/>
        <v>015</v>
      </c>
      <c r="F3362" t="s">
        <v>3364</v>
      </c>
      <c r="G3362" t="str">
        <f t="shared" ref="G3362:G3372" si="169">"1720"</f>
        <v>1720</v>
      </c>
      <c r="H3362" t="str">
        <f>"0000"</f>
        <v>0000</v>
      </c>
      <c r="I3362" t="s">
        <v>69</v>
      </c>
      <c r="J3362">
        <v>0</v>
      </c>
      <c r="K3362">
        <v>1</v>
      </c>
      <c r="L3362">
        <v>2</v>
      </c>
      <c r="M3362">
        <v>329</v>
      </c>
      <c r="N3362">
        <v>380</v>
      </c>
      <c r="O3362">
        <v>4</v>
      </c>
      <c r="P3362">
        <v>380</v>
      </c>
      <c r="Q3362">
        <v>27</v>
      </c>
      <c r="R3362">
        <v>65</v>
      </c>
      <c r="S3362">
        <v>3</v>
      </c>
      <c r="T3362">
        <v>5</v>
      </c>
      <c r="U3362">
        <v>16</v>
      </c>
      <c r="V3362">
        <v>8</v>
      </c>
      <c r="W3362">
        <v>17</v>
      </c>
      <c r="X3362">
        <v>172</v>
      </c>
      <c r="Y3362">
        <v>9</v>
      </c>
      <c r="Z3362">
        <v>8</v>
      </c>
      <c r="AA3362">
        <v>4</v>
      </c>
      <c r="AB3362">
        <v>35</v>
      </c>
      <c r="AD3362">
        <v>0</v>
      </c>
      <c r="AE3362">
        <v>0</v>
      </c>
      <c r="AF3362">
        <v>0</v>
      </c>
      <c r="AG3362">
        <v>0</v>
      </c>
      <c r="AI3362">
        <v>0</v>
      </c>
      <c r="AJ3362">
        <v>11</v>
      </c>
      <c r="AK3362">
        <v>380</v>
      </c>
      <c r="AL3362">
        <v>380</v>
      </c>
      <c r="AM3362">
        <v>664</v>
      </c>
      <c r="AN3362">
        <v>44</v>
      </c>
      <c r="AP3362">
        <v>1</v>
      </c>
      <c r="AR3362" t="s">
        <v>3458</v>
      </c>
      <c r="AS3362" s="1">
        <v>44353.999305555553</v>
      </c>
      <c r="AT3362" s="1">
        <v>44354.108634259261</v>
      </c>
      <c r="AU3362" s="1">
        <v>44354.109247685185</v>
      </c>
      <c r="AV3362" t="s">
        <v>71</v>
      </c>
      <c r="AW3362" t="s">
        <v>72</v>
      </c>
      <c r="AX3362" t="s">
        <v>73</v>
      </c>
    </row>
    <row r="3363" spans="1:50" x14ac:dyDescent="0.3">
      <c r="A3363" t="str">
        <f>"201720C0100"</f>
        <v>201720C0100</v>
      </c>
      <c r="B3363" t="str">
        <f>"201720C01002"</f>
        <v>201720C01002</v>
      </c>
      <c r="C3363" t="str">
        <f t="shared" si="167"/>
        <v>20</v>
      </c>
      <c r="D3363" t="s">
        <v>67</v>
      </c>
      <c r="E3363" t="str">
        <f t="shared" si="166"/>
        <v>015</v>
      </c>
      <c r="F3363" t="s">
        <v>3364</v>
      </c>
      <c r="G3363" t="str">
        <f t="shared" si="169"/>
        <v>1720</v>
      </c>
      <c r="H3363" t="str">
        <f>"0001"</f>
        <v>0001</v>
      </c>
      <c r="I3363" t="s">
        <v>75</v>
      </c>
      <c r="J3363">
        <v>0</v>
      </c>
      <c r="K3363">
        <v>1</v>
      </c>
      <c r="L3363">
        <v>2</v>
      </c>
      <c r="M3363">
        <v>321</v>
      </c>
      <c r="N3363">
        <v>387</v>
      </c>
      <c r="O3363">
        <v>6</v>
      </c>
      <c r="P3363">
        <v>385</v>
      </c>
      <c r="Q3363">
        <v>22</v>
      </c>
      <c r="R3363">
        <v>59</v>
      </c>
      <c r="S3363">
        <v>3</v>
      </c>
      <c r="T3363">
        <v>5</v>
      </c>
      <c r="U3363">
        <v>15</v>
      </c>
      <c r="V3363">
        <v>5</v>
      </c>
      <c r="W3363">
        <v>28</v>
      </c>
      <c r="X3363">
        <v>172</v>
      </c>
      <c r="Y3363">
        <v>6</v>
      </c>
      <c r="Z3363">
        <v>12</v>
      </c>
      <c r="AA3363">
        <v>3</v>
      </c>
      <c r="AB3363">
        <v>41</v>
      </c>
      <c r="AD3363">
        <v>1</v>
      </c>
      <c r="AE3363">
        <v>0</v>
      </c>
      <c r="AF3363">
        <v>0</v>
      </c>
      <c r="AG3363">
        <v>0</v>
      </c>
      <c r="AI3363">
        <v>0</v>
      </c>
      <c r="AJ3363">
        <v>13</v>
      </c>
      <c r="AK3363">
        <v>385</v>
      </c>
      <c r="AL3363">
        <v>385</v>
      </c>
      <c r="AM3363">
        <v>664</v>
      </c>
      <c r="AN3363">
        <v>44</v>
      </c>
      <c r="AP3363">
        <v>1</v>
      </c>
      <c r="AR3363" t="s">
        <v>3459</v>
      </c>
      <c r="AS3363" s="1">
        <v>44354.081250000003</v>
      </c>
      <c r="AT3363" s="1">
        <v>44354.108171296299</v>
      </c>
      <c r="AU3363" s="1">
        <v>44354.109224537038</v>
      </c>
      <c r="AV3363" t="s">
        <v>71</v>
      </c>
      <c r="AW3363" t="s">
        <v>72</v>
      </c>
      <c r="AX3363" t="s">
        <v>73</v>
      </c>
    </row>
    <row r="3364" spans="1:50" x14ac:dyDescent="0.3">
      <c r="A3364" t="str">
        <f>"201720C0200"</f>
        <v>201720C0200</v>
      </c>
      <c r="B3364" t="str">
        <f>"201720C02002"</f>
        <v>201720C02002</v>
      </c>
      <c r="C3364" t="str">
        <f t="shared" si="167"/>
        <v>20</v>
      </c>
      <c r="D3364" t="s">
        <v>67</v>
      </c>
      <c r="E3364" t="str">
        <f t="shared" si="166"/>
        <v>015</v>
      </c>
      <c r="F3364" t="s">
        <v>3364</v>
      </c>
      <c r="G3364" t="str">
        <f t="shared" si="169"/>
        <v>1720</v>
      </c>
      <c r="H3364" t="str">
        <f>"0002"</f>
        <v>0002</v>
      </c>
      <c r="I3364" t="s">
        <v>75</v>
      </c>
      <c r="J3364">
        <v>0</v>
      </c>
      <c r="K3364">
        <v>1</v>
      </c>
      <c r="L3364">
        <v>2</v>
      </c>
      <c r="M3364">
        <v>334</v>
      </c>
      <c r="N3364">
        <v>374</v>
      </c>
      <c r="O3364">
        <v>8</v>
      </c>
      <c r="P3364">
        <v>375</v>
      </c>
      <c r="Q3364">
        <v>16</v>
      </c>
      <c r="R3364">
        <v>63</v>
      </c>
      <c r="S3364">
        <v>5</v>
      </c>
      <c r="T3364">
        <v>6</v>
      </c>
      <c r="U3364">
        <v>17</v>
      </c>
      <c r="V3364">
        <v>5</v>
      </c>
      <c r="W3364">
        <v>14</v>
      </c>
      <c r="X3364">
        <v>181</v>
      </c>
      <c r="Y3364">
        <v>7</v>
      </c>
      <c r="Z3364">
        <v>12</v>
      </c>
      <c r="AA3364">
        <v>5</v>
      </c>
      <c r="AB3364">
        <v>32</v>
      </c>
      <c r="AD3364">
        <v>1</v>
      </c>
      <c r="AE3364">
        <v>0</v>
      </c>
      <c r="AF3364">
        <v>0</v>
      </c>
      <c r="AG3364">
        <v>0</v>
      </c>
      <c r="AI3364">
        <v>0</v>
      </c>
      <c r="AJ3364">
        <v>11</v>
      </c>
      <c r="AK3364">
        <v>375</v>
      </c>
      <c r="AL3364">
        <v>375</v>
      </c>
      <c r="AM3364">
        <v>664</v>
      </c>
      <c r="AN3364">
        <v>44</v>
      </c>
      <c r="AP3364">
        <v>1</v>
      </c>
      <c r="AR3364" t="s">
        <v>3460</v>
      </c>
      <c r="AS3364" s="1">
        <v>44354.024305555555</v>
      </c>
      <c r="AT3364" s="1">
        <v>44354.041006944448</v>
      </c>
      <c r="AU3364" s="1">
        <v>44354.04178240741</v>
      </c>
      <c r="AV3364" t="s">
        <v>71</v>
      </c>
      <c r="AW3364" t="s">
        <v>72</v>
      </c>
      <c r="AX3364" t="s">
        <v>73</v>
      </c>
    </row>
    <row r="3365" spans="1:50" x14ac:dyDescent="0.3">
      <c r="A3365" t="str">
        <f>"201720C0300"</f>
        <v>201720C0300</v>
      </c>
      <c r="B3365" t="str">
        <f>"201720C03002"</f>
        <v>201720C03002</v>
      </c>
      <c r="C3365" t="str">
        <f t="shared" si="167"/>
        <v>20</v>
      </c>
      <c r="D3365" t="s">
        <v>67</v>
      </c>
      <c r="E3365" t="str">
        <f t="shared" si="166"/>
        <v>015</v>
      </c>
      <c r="F3365" t="s">
        <v>3364</v>
      </c>
      <c r="G3365" t="str">
        <f t="shared" si="169"/>
        <v>1720</v>
      </c>
      <c r="H3365" t="str">
        <f>"0003"</f>
        <v>0003</v>
      </c>
      <c r="I3365" t="s">
        <v>75</v>
      </c>
      <c r="J3365">
        <v>0</v>
      </c>
      <c r="K3365">
        <v>1</v>
      </c>
      <c r="L3365">
        <v>2</v>
      </c>
      <c r="M3365">
        <v>317</v>
      </c>
      <c r="N3365">
        <v>390</v>
      </c>
      <c r="O3365">
        <v>6</v>
      </c>
      <c r="P3365">
        <v>388</v>
      </c>
      <c r="Q3365">
        <v>28</v>
      </c>
      <c r="R3365">
        <v>75</v>
      </c>
      <c r="S3365">
        <v>7</v>
      </c>
      <c r="T3365">
        <v>5</v>
      </c>
      <c r="U3365">
        <v>8</v>
      </c>
      <c r="V3365">
        <v>11</v>
      </c>
      <c r="W3365">
        <v>21</v>
      </c>
      <c r="X3365">
        <v>156</v>
      </c>
      <c r="Y3365">
        <v>14</v>
      </c>
      <c r="Z3365">
        <v>7</v>
      </c>
      <c r="AA3365">
        <v>1</v>
      </c>
      <c r="AB3365">
        <v>44</v>
      </c>
      <c r="AD3365">
        <v>1</v>
      </c>
      <c r="AE3365">
        <v>2</v>
      </c>
      <c r="AF3365">
        <v>0</v>
      </c>
      <c r="AG3365">
        <v>1</v>
      </c>
      <c r="AI3365">
        <v>0</v>
      </c>
      <c r="AJ3365">
        <v>7</v>
      </c>
      <c r="AK3365">
        <v>388</v>
      </c>
      <c r="AL3365">
        <v>388</v>
      </c>
      <c r="AM3365">
        <v>663</v>
      </c>
      <c r="AN3365">
        <v>44</v>
      </c>
      <c r="AP3365">
        <v>1</v>
      </c>
      <c r="AR3365" t="s">
        <v>3461</v>
      </c>
      <c r="AS3365" s="1">
        <v>44354.023611111108</v>
      </c>
      <c r="AT3365" s="1">
        <v>44354.038194444445</v>
      </c>
      <c r="AU3365" s="1">
        <v>44354.038923611108</v>
      </c>
      <c r="AV3365" t="s">
        <v>71</v>
      </c>
      <c r="AW3365" t="s">
        <v>72</v>
      </c>
      <c r="AX3365" t="s">
        <v>73</v>
      </c>
    </row>
    <row r="3366" spans="1:50" x14ac:dyDescent="0.3">
      <c r="A3366" t="str">
        <f>"201720C0400"</f>
        <v>201720C0400</v>
      </c>
      <c r="B3366" t="str">
        <f>"201720C04002"</f>
        <v>201720C04002</v>
      </c>
      <c r="C3366" t="str">
        <f t="shared" si="167"/>
        <v>20</v>
      </c>
      <c r="D3366" t="s">
        <v>67</v>
      </c>
      <c r="E3366" t="str">
        <f t="shared" si="166"/>
        <v>015</v>
      </c>
      <c r="F3366" t="s">
        <v>3364</v>
      </c>
      <c r="G3366" t="str">
        <f t="shared" si="169"/>
        <v>1720</v>
      </c>
      <c r="H3366" t="str">
        <f>"0004"</f>
        <v>0004</v>
      </c>
      <c r="I3366" t="s">
        <v>75</v>
      </c>
      <c r="J3366">
        <v>0</v>
      </c>
      <c r="K3366">
        <v>1</v>
      </c>
      <c r="L3366">
        <v>2</v>
      </c>
      <c r="M3366">
        <v>313</v>
      </c>
      <c r="N3366">
        <v>394</v>
      </c>
      <c r="O3366">
        <v>5</v>
      </c>
      <c r="P3366">
        <v>395</v>
      </c>
      <c r="Q3366">
        <v>27</v>
      </c>
      <c r="R3366">
        <v>75</v>
      </c>
      <c r="S3366">
        <v>3</v>
      </c>
      <c r="T3366">
        <v>4</v>
      </c>
      <c r="U3366">
        <v>12</v>
      </c>
      <c r="V3366">
        <v>4</v>
      </c>
      <c r="W3366">
        <v>27</v>
      </c>
      <c r="X3366">
        <v>169</v>
      </c>
      <c r="Y3366">
        <v>6</v>
      </c>
      <c r="Z3366">
        <v>19</v>
      </c>
      <c r="AA3366">
        <v>4</v>
      </c>
      <c r="AB3366">
        <v>37</v>
      </c>
      <c r="AD3366">
        <v>1</v>
      </c>
      <c r="AE3366">
        <v>1</v>
      </c>
      <c r="AF3366" t="s">
        <v>77</v>
      </c>
      <c r="AG3366" t="s">
        <v>77</v>
      </c>
      <c r="AI3366" t="s">
        <v>77</v>
      </c>
      <c r="AJ3366">
        <v>6</v>
      </c>
      <c r="AK3366">
        <v>395</v>
      </c>
      <c r="AL3366">
        <v>395</v>
      </c>
      <c r="AM3366">
        <v>663</v>
      </c>
      <c r="AN3366">
        <v>44</v>
      </c>
      <c r="AO3366" t="s">
        <v>78</v>
      </c>
      <c r="AP3366">
        <v>1</v>
      </c>
      <c r="AR3366" t="s">
        <v>3462</v>
      </c>
      <c r="AS3366" s="1">
        <v>44354.024305555555</v>
      </c>
      <c r="AT3366" s="1">
        <v>44354.040381944447</v>
      </c>
      <c r="AU3366" s="1">
        <v>44354.040972222225</v>
      </c>
      <c r="AV3366" t="s">
        <v>71</v>
      </c>
      <c r="AW3366" t="s">
        <v>72</v>
      </c>
      <c r="AX3366" t="s">
        <v>73</v>
      </c>
    </row>
    <row r="3367" spans="1:50" x14ac:dyDescent="0.3">
      <c r="A3367" t="str">
        <f>"201720C0500"</f>
        <v>201720C0500</v>
      </c>
      <c r="B3367" t="str">
        <f>"201720C05002"</f>
        <v>201720C05002</v>
      </c>
      <c r="C3367" t="str">
        <f t="shared" si="167"/>
        <v>20</v>
      </c>
      <c r="D3367" t="s">
        <v>67</v>
      </c>
      <c r="E3367" t="str">
        <f t="shared" si="166"/>
        <v>015</v>
      </c>
      <c r="F3367" t="s">
        <v>3364</v>
      </c>
      <c r="G3367" t="str">
        <f t="shared" si="169"/>
        <v>1720</v>
      </c>
      <c r="H3367" t="str">
        <f>"0005"</f>
        <v>0005</v>
      </c>
      <c r="I3367" t="s">
        <v>75</v>
      </c>
      <c r="J3367">
        <v>0</v>
      </c>
      <c r="K3367">
        <v>1</v>
      </c>
      <c r="L3367">
        <v>2</v>
      </c>
      <c r="M3367">
        <v>342</v>
      </c>
      <c r="N3367">
        <v>366</v>
      </c>
      <c r="O3367">
        <v>6</v>
      </c>
      <c r="P3367">
        <v>366</v>
      </c>
      <c r="Q3367">
        <v>26</v>
      </c>
      <c r="R3367">
        <v>61</v>
      </c>
      <c r="S3367">
        <v>5</v>
      </c>
      <c r="T3367">
        <v>7</v>
      </c>
      <c r="U3367">
        <v>11</v>
      </c>
      <c r="V3367">
        <v>11</v>
      </c>
      <c r="W3367">
        <v>23</v>
      </c>
      <c r="X3367">
        <v>160</v>
      </c>
      <c r="Y3367">
        <v>8</v>
      </c>
      <c r="Z3367">
        <v>5</v>
      </c>
      <c r="AA3367">
        <v>3</v>
      </c>
      <c r="AB3367">
        <v>38</v>
      </c>
      <c r="AD3367">
        <v>2</v>
      </c>
      <c r="AE3367">
        <v>0</v>
      </c>
      <c r="AF3367">
        <v>0</v>
      </c>
      <c r="AG3367">
        <v>0</v>
      </c>
      <c r="AI3367">
        <v>1</v>
      </c>
      <c r="AJ3367">
        <v>5</v>
      </c>
      <c r="AK3367">
        <v>366</v>
      </c>
      <c r="AL3367">
        <v>366</v>
      </c>
      <c r="AM3367">
        <v>663</v>
      </c>
      <c r="AN3367">
        <v>44</v>
      </c>
      <c r="AP3367">
        <v>1</v>
      </c>
      <c r="AR3367" t="s">
        <v>3463</v>
      </c>
      <c r="AS3367" s="1">
        <v>44354.024305555555</v>
      </c>
      <c r="AT3367" s="1">
        <v>44354.04111111111</v>
      </c>
      <c r="AU3367" s="1">
        <v>44354.042083333334</v>
      </c>
      <c r="AV3367" t="s">
        <v>71</v>
      </c>
      <c r="AW3367" t="s">
        <v>72</v>
      </c>
      <c r="AX3367" t="s">
        <v>73</v>
      </c>
    </row>
    <row r="3368" spans="1:50" x14ac:dyDescent="0.3">
      <c r="A3368" t="str">
        <f>"201720E0100"</f>
        <v>201720E0100</v>
      </c>
      <c r="B3368" t="str">
        <f>"201720E01002"</f>
        <v>201720E01002</v>
      </c>
      <c r="C3368" t="str">
        <f t="shared" si="167"/>
        <v>20</v>
      </c>
      <c r="D3368" t="s">
        <v>67</v>
      </c>
      <c r="E3368" t="str">
        <f t="shared" si="166"/>
        <v>015</v>
      </c>
      <c r="F3368" t="s">
        <v>3364</v>
      </c>
      <c r="G3368" t="str">
        <f t="shared" si="169"/>
        <v>1720</v>
      </c>
      <c r="H3368" t="str">
        <f>"0001"</f>
        <v>0001</v>
      </c>
      <c r="I3368" t="s">
        <v>109</v>
      </c>
      <c r="J3368">
        <v>0</v>
      </c>
      <c r="K3368">
        <v>1</v>
      </c>
      <c r="L3368">
        <v>2</v>
      </c>
      <c r="M3368">
        <v>463</v>
      </c>
      <c r="N3368">
        <v>316</v>
      </c>
      <c r="O3368">
        <v>0</v>
      </c>
      <c r="P3368">
        <v>316</v>
      </c>
      <c r="Q3368">
        <v>21</v>
      </c>
      <c r="R3368">
        <v>61</v>
      </c>
      <c r="S3368">
        <v>4</v>
      </c>
      <c r="T3368">
        <v>4</v>
      </c>
      <c r="U3368">
        <v>10</v>
      </c>
      <c r="V3368">
        <v>11</v>
      </c>
      <c r="W3368">
        <v>13</v>
      </c>
      <c r="X3368">
        <v>146</v>
      </c>
      <c r="Y3368">
        <v>10</v>
      </c>
      <c r="Z3368">
        <v>6</v>
      </c>
      <c r="AA3368">
        <v>2</v>
      </c>
      <c r="AB3368">
        <v>17</v>
      </c>
      <c r="AD3368">
        <v>1</v>
      </c>
      <c r="AE3368">
        <v>0</v>
      </c>
      <c r="AF3368">
        <v>0</v>
      </c>
      <c r="AG3368">
        <v>0</v>
      </c>
      <c r="AI3368">
        <v>0</v>
      </c>
      <c r="AJ3368">
        <v>11</v>
      </c>
      <c r="AK3368">
        <v>316</v>
      </c>
      <c r="AL3368">
        <v>317</v>
      </c>
      <c r="AM3368">
        <v>735</v>
      </c>
      <c r="AN3368">
        <v>44</v>
      </c>
      <c r="AP3368">
        <v>1</v>
      </c>
      <c r="AR3368" t="s">
        <v>3464</v>
      </c>
      <c r="AS3368" s="1">
        <v>44354.044444444444</v>
      </c>
      <c r="AT3368" s="1">
        <v>44354.096736111111</v>
      </c>
      <c r="AU3368" s="1">
        <v>44354.097187500003</v>
      </c>
      <c r="AV3368" t="s">
        <v>71</v>
      </c>
      <c r="AW3368" t="s">
        <v>72</v>
      </c>
      <c r="AX3368" t="s">
        <v>73</v>
      </c>
    </row>
    <row r="3369" spans="1:50" x14ac:dyDescent="0.3">
      <c r="A3369" t="str">
        <f>"201720E0101"</f>
        <v>201720E0101</v>
      </c>
      <c r="B3369" t="str">
        <f>"201720E01012"</f>
        <v>201720E01012</v>
      </c>
      <c r="C3369" t="str">
        <f t="shared" si="167"/>
        <v>20</v>
      </c>
      <c r="D3369" t="s">
        <v>67</v>
      </c>
      <c r="E3369" t="str">
        <f t="shared" si="166"/>
        <v>015</v>
      </c>
      <c r="F3369" t="s">
        <v>3364</v>
      </c>
      <c r="G3369" t="str">
        <f t="shared" si="169"/>
        <v>1720</v>
      </c>
      <c r="H3369" t="str">
        <f>"0001"</f>
        <v>0001</v>
      </c>
      <c r="I3369" t="s">
        <v>109</v>
      </c>
      <c r="J3369">
        <v>1</v>
      </c>
      <c r="K3369">
        <v>1</v>
      </c>
      <c r="L3369">
        <v>2</v>
      </c>
      <c r="M3369">
        <v>448</v>
      </c>
      <c r="N3369">
        <v>330</v>
      </c>
      <c r="O3369">
        <v>7</v>
      </c>
      <c r="P3369">
        <v>330</v>
      </c>
      <c r="Q3369">
        <v>19</v>
      </c>
      <c r="R3369">
        <v>59</v>
      </c>
      <c r="S3369">
        <v>2</v>
      </c>
      <c r="T3369">
        <v>6</v>
      </c>
      <c r="U3369">
        <v>13</v>
      </c>
      <c r="V3369">
        <v>6</v>
      </c>
      <c r="W3369">
        <v>14</v>
      </c>
      <c r="X3369">
        <v>162</v>
      </c>
      <c r="Y3369">
        <v>8</v>
      </c>
      <c r="Z3369">
        <v>3</v>
      </c>
      <c r="AA3369">
        <v>2</v>
      </c>
      <c r="AB3369">
        <v>19</v>
      </c>
      <c r="AD3369">
        <v>4</v>
      </c>
      <c r="AE3369">
        <v>0</v>
      </c>
      <c r="AF3369">
        <v>0</v>
      </c>
      <c r="AG3369">
        <v>0</v>
      </c>
      <c r="AI3369">
        <v>0</v>
      </c>
      <c r="AJ3369">
        <v>13</v>
      </c>
      <c r="AK3369">
        <v>330</v>
      </c>
      <c r="AL3369">
        <v>330</v>
      </c>
      <c r="AM3369">
        <v>734</v>
      </c>
      <c r="AN3369">
        <v>44</v>
      </c>
      <c r="AP3369">
        <v>1</v>
      </c>
      <c r="AR3369" t="s">
        <v>3465</v>
      </c>
      <c r="AS3369" s="1">
        <v>44354.044444444444</v>
      </c>
      <c r="AT3369" s="1">
        <v>44354.087569444448</v>
      </c>
      <c r="AU3369" s="1">
        <v>44354.088472222225</v>
      </c>
      <c r="AV3369" t="s">
        <v>71</v>
      </c>
      <c r="AW3369" t="s">
        <v>72</v>
      </c>
      <c r="AX3369" t="s">
        <v>73</v>
      </c>
    </row>
    <row r="3370" spans="1:50" x14ac:dyDescent="0.3">
      <c r="A3370" t="str">
        <f>"201720E0102"</f>
        <v>201720E0102</v>
      </c>
      <c r="B3370" t="str">
        <f>"201720E01022"</f>
        <v>201720E01022</v>
      </c>
      <c r="C3370" t="str">
        <f t="shared" si="167"/>
        <v>20</v>
      </c>
      <c r="D3370" t="s">
        <v>67</v>
      </c>
      <c r="E3370" t="str">
        <f t="shared" si="166"/>
        <v>015</v>
      </c>
      <c r="F3370" t="s">
        <v>3364</v>
      </c>
      <c r="G3370" t="str">
        <f t="shared" si="169"/>
        <v>1720</v>
      </c>
      <c r="H3370" t="str">
        <f>"0001"</f>
        <v>0001</v>
      </c>
      <c r="I3370" t="s">
        <v>109</v>
      </c>
      <c r="J3370">
        <v>2</v>
      </c>
      <c r="K3370">
        <v>1</v>
      </c>
      <c r="L3370">
        <v>2</v>
      </c>
      <c r="M3370">
        <v>447</v>
      </c>
      <c r="N3370">
        <v>331</v>
      </c>
      <c r="O3370">
        <v>5</v>
      </c>
      <c r="P3370">
        <v>331</v>
      </c>
      <c r="Q3370">
        <v>21</v>
      </c>
      <c r="R3370">
        <v>38</v>
      </c>
      <c r="S3370">
        <v>1</v>
      </c>
      <c r="T3370">
        <v>11</v>
      </c>
      <c r="U3370">
        <v>13</v>
      </c>
      <c r="V3370">
        <v>3</v>
      </c>
      <c r="W3370">
        <v>24</v>
      </c>
      <c r="X3370">
        <v>167</v>
      </c>
      <c r="Y3370">
        <v>7</v>
      </c>
      <c r="Z3370">
        <v>2</v>
      </c>
      <c r="AA3370">
        <v>1</v>
      </c>
      <c r="AB3370">
        <v>34</v>
      </c>
      <c r="AD3370">
        <v>1</v>
      </c>
      <c r="AE3370">
        <v>0</v>
      </c>
      <c r="AF3370">
        <v>0</v>
      </c>
      <c r="AG3370">
        <v>0</v>
      </c>
      <c r="AI3370">
        <v>0</v>
      </c>
      <c r="AJ3370">
        <v>8</v>
      </c>
      <c r="AK3370">
        <v>331</v>
      </c>
      <c r="AL3370">
        <v>331</v>
      </c>
      <c r="AM3370">
        <v>734</v>
      </c>
      <c r="AN3370">
        <v>44</v>
      </c>
      <c r="AP3370">
        <v>1</v>
      </c>
      <c r="AR3370" t="s">
        <v>3466</v>
      </c>
      <c r="AS3370" s="1">
        <v>44354.044444444444</v>
      </c>
      <c r="AT3370" s="1">
        <v>44354.097743055558</v>
      </c>
      <c r="AU3370" s="1">
        <v>44354.098645833335</v>
      </c>
      <c r="AV3370" t="s">
        <v>71</v>
      </c>
      <c r="AW3370" t="s">
        <v>72</v>
      </c>
      <c r="AX3370" t="s">
        <v>73</v>
      </c>
    </row>
    <row r="3371" spans="1:50" x14ac:dyDescent="0.3">
      <c r="A3371" t="str">
        <f>"201720E0103"</f>
        <v>201720E0103</v>
      </c>
      <c r="B3371" t="str">
        <f>"201720E01032"</f>
        <v>201720E01032</v>
      </c>
      <c r="C3371" t="str">
        <f t="shared" si="167"/>
        <v>20</v>
      </c>
      <c r="D3371" t="s">
        <v>67</v>
      </c>
      <c r="E3371" t="str">
        <f t="shared" si="166"/>
        <v>015</v>
      </c>
      <c r="F3371" t="s">
        <v>3364</v>
      </c>
      <c r="G3371" t="str">
        <f t="shared" si="169"/>
        <v>1720</v>
      </c>
      <c r="H3371" t="str">
        <f>"0001"</f>
        <v>0001</v>
      </c>
      <c r="I3371" t="s">
        <v>109</v>
      </c>
      <c r="J3371">
        <v>3</v>
      </c>
      <c r="K3371">
        <v>1</v>
      </c>
      <c r="L3371">
        <v>2</v>
      </c>
      <c r="M3371">
        <v>443</v>
      </c>
      <c r="N3371">
        <v>335</v>
      </c>
      <c r="O3371">
        <v>2</v>
      </c>
      <c r="P3371">
        <v>335</v>
      </c>
      <c r="Q3371">
        <v>19</v>
      </c>
      <c r="R3371">
        <v>58</v>
      </c>
      <c r="S3371">
        <v>4</v>
      </c>
      <c r="T3371">
        <v>5</v>
      </c>
      <c r="U3371">
        <v>9</v>
      </c>
      <c r="V3371">
        <v>10</v>
      </c>
      <c r="W3371">
        <v>12</v>
      </c>
      <c r="X3371">
        <v>167</v>
      </c>
      <c r="Y3371">
        <v>10</v>
      </c>
      <c r="Z3371">
        <v>5</v>
      </c>
      <c r="AA3371">
        <v>3</v>
      </c>
      <c r="AB3371">
        <v>22</v>
      </c>
      <c r="AD3371">
        <v>0</v>
      </c>
      <c r="AE3371">
        <v>3</v>
      </c>
      <c r="AF3371">
        <v>0</v>
      </c>
      <c r="AG3371">
        <v>0</v>
      </c>
      <c r="AI3371">
        <v>0</v>
      </c>
      <c r="AJ3371">
        <v>9</v>
      </c>
      <c r="AK3371">
        <v>335</v>
      </c>
      <c r="AL3371">
        <v>336</v>
      </c>
      <c r="AM3371">
        <v>734</v>
      </c>
      <c r="AN3371">
        <v>44</v>
      </c>
      <c r="AP3371">
        <v>1</v>
      </c>
      <c r="AR3371" t="s">
        <v>3467</v>
      </c>
      <c r="AS3371" s="1">
        <v>44354.043055555558</v>
      </c>
      <c r="AT3371" s="1">
        <v>44354.088518518518</v>
      </c>
      <c r="AU3371" s="1">
        <v>44354.089120370372</v>
      </c>
      <c r="AV3371" t="s">
        <v>71</v>
      </c>
      <c r="AW3371" t="s">
        <v>72</v>
      </c>
      <c r="AX3371" t="s">
        <v>73</v>
      </c>
    </row>
    <row r="3372" spans="1:50" x14ac:dyDescent="0.3">
      <c r="A3372" t="str">
        <f>"201720E0104"</f>
        <v>201720E0104</v>
      </c>
      <c r="B3372" t="str">
        <f>"201720E01042"</f>
        <v>201720E01042</v>
      </c>
      <c r="C3372" t="str">
        <f t="shared" si="167"/>
        <v>20</v>
      </c>
      <c r="D3372" t="s">
        <v>67</v>
      </c>
      <c r="E3372" t="str">
        <f t="shared" si="166"/>
        <v>015</v>
      </c>
      <c r="F3372" t="s">
        <v>3364</v>
      </c>
      <c r="G3372" t="str">
        <f t="shared" si="169"/>
        <v>1720</v>
      </c>
      <c r="H3372" t="str">
        <f>"0001"</f>
        <v>0001</v>
      </c>
      <c r="I3372" t="s">
        <v>109</v>
      </c>
      <c r="J3372">
        <v>4</v>
      </c>
      <c r="K3372">
        <v>1</v>
      </c>
      <c r="L3372">
        <v>2</v>
      </c>
      <c r="M3372">
        <v>441</v>
      </c>
      <c r="N3372">
        <v>337</v>
      </c>
      <c r="O3372">
        <v>12</v>
      </c>
      <c r="P3372">
        <v>338</v>
      </c>
      <c r="Q3372">
        <v>18</v>
      </c>
      <c r="R3372">
        <v>58</v>
      </c>
      <c r="S3372">
        <v>6</v>
      </c>
      <c r="T3372">
        <v>5</v>
      </c>
      <c r="U3372">
        <v>10</v>
      </c>
      <c r="V3372">
        <v>6</v>
      </c>
      <c r="W3372">
        <v>12</v>
      </c>
      <c r="X3372">
        <v>169</v>
      </c>
      <c r="Y3372">
        <v>9</v>
      </c>
      <c r="Z3372">
        <v>5</v>
      </c>
      <c r="AA3372">
        <v>1</v>
      </c>
      <c r="AB3372">
        <v>33</v>
      </c>
      <c r="AD3372">
        <v>1</v>
      </c>
      <c r="AE3372">
        <v>0</v>
      </c>
      <c r="AF3372">
        <v>0</v>
      </c>
      <c r="AG3372">
        <v>0</v>
      </c>
      <c r="AI3372">
        <v>0</v>
      </c>
      <c r="AJ3372">
        <v>5</v>
      </c>
      <c r="AK3372">
        <v>338</v>
      </c>
      <c r="AL3372">
        <v>338</v>
      </c>
      <c r="AM3372">
        <v>734</v>
      </c>
      <c r="AN3372">
        <v>44</v>
      </c>
      <c r="AP3372">
        <v>1</v>
      </c>
      <c r="AR3372" t="s">
        <v>3468</v>
      </c>
      <c r="AS3372" s="1">
        <v>44354.04583333333</v>
      </c>
      <c r="AT3372" s="1">
        <v>44354.093032407407</v>
      </c>
      <c r="AU3372" s="1">
        <v>44354.093287037038</v>
      </c>
      <c r="AV3372" t="s">
        <v>71</v>
      </c>
      <c r="AW3372" t="s">
        <v>72</v>
      </c>
      <c r="AX3372" t="s">
        <v>73</v>
      </c>
    </row>
    <row r="3373" spans="1:50" x14ac:dyDescent="0.3">
      <c r="A3373" t="str">
        <f>"201721B0000"</f>
        <v>201721B0000</v>
      </c>
      <c r="B3373" t="str">
        <f>"201721B00002"</f>
        <v>201721B00002</v>
      </c>
      <c r="C3373" t="str">
        <f t="shared" si="167"/>
        <v>20</v>
      </c>
      <c r="D3373" t="s">
        <v>67</v>
      </c>
      <c r="E3373" t="str">
        <f t="shared" si="166"/>
        <v>015</v>
      </c>
      <c r="F3373" t="s">
        <v>3364</v>
      </c>
      <c r="G3373" t="str">
        <f>"1721"</f>
        <v>1721</v>
      </c>
      <c r="H3373" t="str">
        <f>"0000"</f>
        <v>0000</v>
      </c>
      <c r="I3373" t="s">
        <v>69</v>
      </c>
      <c r="J3373">
        <v>0</v>
      </c>
      <c r="K3373">
        <v>1</v>
      </c>
      <c r="L3373">
        <v>2</v>
      </c>
      <c r="M3373">
        <v>289</v>
      </c>
      <c r="N3373">
        <v>415</v>
      </c>
      <c r="O3373">
        <v>5</v>
      </c>
      <c r="P3373">
        <v>415</v>
      </c>
      <c r="Q3373">
        <v>13</v>
      </c>
      <c r="R3373">
        <v>39</v>
      </c>
      <c r="S3373">
        <v>5</v>
      </c>
      <c r="T3373">
        <v>4</v>
      </c>
      <c r="U3373">
        <v>23</v>
      </c>
      <c r="V3373">
        <v>7</v>
      </c>
      <c r="W3373">
        <v>46</v>
      </c>
      <c r="X3373">
        <v>180</v>
      </c>
      <c r="Y3373">
        <v>8</v>
      </c>
      <c r="Z3373">
        <v>6</v>
      </c>
      <c r="AA3373">
        <v>2</v>
      </c>
      <c r="AB3373">
        <v>71</v>
      </c>
      <c r="AD3373">
        <v>1</v>
      </c>
      <c r="AE3373" t="s">
        <v>77</v>
      </c>
      <c r="AF3373" t="s">
        <v>77</v>
      </c>
      <c r="AG3373" t="s">
        <v>77</v>
      </c>
      <c r="AI3373" t="s">
        <v>77</v>
      </c>
      <c r="AJ3373">
        <v>10</v>
      </c>
      <c r="AK3373">
        <v>415</v>
      </c>
      <c r="AL3373">
        <v>415</v>
      </c>
      <c r="AM3373">
        <v>662</v>
      </c>
      <c r="AN3373">
        <v>44</v>
      </c>
      <c r="AO3373" t="s">
        <v>78</v>
      </c>
      <c r="AP3373">
        <v>1</v>
      </c>
      <c r="AR3373" t="s">
        <v>3469</v>
      </c>
      <c r="AS3373" s="1">
        <v>44353.993055555555</v>
      </c>
      <c r="AT3373" s="1">
        <v>44354.020381944443</v>
      </c>
      <c r="AU3373" s="1">
        <v>44354.020949074074</v>
      </c>
      <c r="AV3373" t="s">
        <v>71</v>
      </c>
      <c r="AW3373" t="s">
        <v>72</v>
      </c>
      <c r="AX3373" t="s">
        <v>73</v>
      </c>
    </row>
    <row r="3374" spans="1:50" x14ac:dyDescent="0.3">
      <c r="A3374" t="str">
        <f>"201721C0100"</f>
        <v>201721C0100</v>
      </c>
      <c r="B3374" t="str">
        <f>"201721C01002"</f>
        <v>201721C01002</v>
      </c>
      <c r="C3374" t="str">
        <f t="shared" si="167"/>
        <v>20</v>
      </c>
      <c r="D3374" t="s">
        <v>67</v>
      </c>
      <c r="E3374" t="str">
        <f t="shared" si="166"/>
        <v>015</v>
      </c>
      <c r="F3374" t="s">
        <v>3364</v>
      </c>
      <c r="G3374" t="str">
        <f>"1721"</f>
        <v>1721</v>
      </c>
      <c r="H3374" t="str">
        <f>"0001"</f>
        <v>0001</v>
      </c>
      <c r="I3374" t="s">
        <v>75</v>
      </c>
      <c r="J3374">
        <v>0</v>
      </c>
      <c r="K3374">
        <v>1</v>
      </c>
      <c r="L3374">
        <v>2</v>
      </c>
      <c r="M3374">
        <v>279</v>
      </c>
      <c r="N3374">
        <v>427</v>
      </c>
      <c r="O3374">
        <v>0</v>
      </c>
      <c r="P3374">
        <v>427</v>
      </c>
      <c r="Q3374">
        <v>17</v>
      </c>
      <c r="R3374">
        <v>34</v>
      </c>
      <c r="S3374">
        <v>4</v>
      </c>
      <c r="T3374">
        <v>6</v>
      </c>
      <c r="U3374">
        <v>13</v>
      </c>
      <c r="V3374">
        <v>9</v>
      </c>
      <c r="W3374">
        <v>45</v>
      </c>
      <c r="X3374">
        <v>176</v>
      </c>
      <c r="Y3374">
        <v>8</v>
      </c>
      <c r="Z3374">
        <v>3</v>
      </c>
      <c r="AA3374">
        <v>3</v>
      </c>
      <c r="AB3374">
        <v>93</v>
      </c>
      <c r="AD3374">
        <v>0</v>
      </c>
      <c r="AE3374">
        <v>0</v>
      </c>
      <c r="AF3374">
        <v>0</v>
      </c>
      <c r="AG3374">
        <v>0</v>
      </c>
      <c r="AI3374">
        <v>0</v>
      </c>
      <c r="AJ3374">
        <v>16</v>
      </c>
      <c r="AK3374">
        <v>427</v>
      </c>
      <c r="AL3374">
        <v>427</v>
      </c>
      <c r="AM3374">
        <v>662</v>
      </c>
      <c r="AN3374">
        <v>44</v>
      </c>
      <c r="AP3374">
        <v>1</v>
      </c>
      <c r="AR3374" t="s">
        <v>3470</v>
      </c>
      <c r="AS3374" s="1">
        <v>44354.258333333331</v>
      </c>
      <c r="AT3374" s="1">
        <v>44354.265324074076</v>
      </c>
      <c r="AU3374" s="1">
        <v>44354.266053240739</v>
      </c>
      <c r="AV3374" t="s">
        <v>71</v>
      </c>
      <c r="AW3374" t="s">
        <v>72</v>
      </c>
      <c r="AX3374" t="s">
        <v>347</v>
      </c>
    </row>
    <row r="3375" spans="1:50" x14ac:dyDescent="0.3">
      <c r="A3375" t="str">
        <f>"201721C0200"</f>
        <v>201721C0200</v>
      </c>
      <c r="B3375" t="str">
        <f>"201721C02002"</f>
        <v>201721C02002</v>
      </c>
      <c r="C3375" t="str">
        <f t="shared" si="167"/>
        <v>20</v>
      </c>
      <c r="D3375" t="s">
        <v>67</v>
      </c>
      <c r="E3375" t="str">
        <f t="shared" si="166"/>
        <v>015</v>
      </c>
      <c r="F3375" t="s">
        <v>3364</v>
      </c>
      <c r="G3375" t="str">
        <f>"1721"</f>
        <v>1721</v>
      </c>
      <c r="H3375" t="str">
        <f>"0002"</f>
        <v>0002</v>
      </c>
      <c r="I3375" t="s">
        <v>75</v>
      </c>
      <c r="J3375">
        <v>0</v>
      </c>
      <c r="K3375">
        <v>1</v>
      </c>
      <c r="L3375">
        <v>2</v>
      </c>
      <c r="M3375">
        <v>297</v>
      </c>
      <c r="N3375">
        <v>408</v>
      </c>
      <c r="O3375">
        <v>3</v>
      </c>
      <c r="P3375">
        <v>408</v>
      </c>
      <c r="Q3375">
        <v>11</v>
      </c>
      <c r="R3375">
        <v>31</v>
      </c>
      <c r="S3375">
        <v>6</v>
      </c>
      <c r="T3375">
        <v>3</v>
      </c>
      <c r="U3375">
        <v>21</v>
      </c>
      <c r="V3375">
        <v>2</v>
      </c>
      <c r="W3375">
        <v>53</v>
      </c>
      <c r="X3375">
        <v>188</v>
      </c>
      <c r="Y3375">
        <v>2</v>
      </c>
      <c r="Z3375">
        <v>6</v>
      </c>
      <c r="AA3375">
        <v>4</v>
      </c>
      <c r="AB3375">
        <v>66</v>
      </c>
      <c r="AD3375">
        <v>2</v>
      </c>
      <c r="AE3375">
        <v>0</v>
      </c>
      <c r="AF3375">
        <v>0</v>
      </c>
      <c r="AG3375">
        <v>0</v>
      </c>
      <c r="AI3375">
        <v>0</v>
      </c>
      <c r="AJ3375">
        <v>13</v>
      </c>
      <c r="AK3375">
        <v>408</v>
      </c>
      <c r="AL3375">
        <v>408</v>
      </c>
      <c r="AM3375">
        <v>661</v>
      </c>
      <c r="AN3375">
        <v>44</v>
      </c>
      <c r="AP3375">
        <v>1</v>
      </c>
      <c r="AR3375" t="s">
        <v>3471</v>
      </c>
      <c r="AS3375" s="1">
        <v>44353.993055555555</v>
      </c>
      <c r="AT3375" s="1">
        <v>44354.017511574071</v>
      </c>
      <c r="AU3375" s="1">
        <v>44354.017974537041</v>
      </c>
      <c r="AV3375" t="s">
        <v>71</v>
      </c>
      <c r="AW3375" t="s">
        <v>72</v>
      </c>
      <c r="AX3375" t="s">
        <v>73</v>
      </c>
    </row>
    <row r="3376" spans="1:50" x14ac:dyDescent="0.3">
      <c r="A3376" t="str">
        <f>"201721C0300"</f>
        <v>201721C0300</v>
      </c>
      <c r="B3376" t="str">
        <f>"201721C03002"</f>
        <v>201721C03002</v>
      </c>
      <c r="C3376" t="str">
        <f t="shared" si="167"/>
        <v>20</v>
      </c>
      <c r="D3376" t="s">
        <v>67</v>
      </c>
      <c r="E3376" t="str">
        <f t="shared" si="166"/>
        <v>015</v>
      </c>
      <c r="F3376" t="s">
        <v>3364</v>
      </c>
      <c r="G3376" t="str">
        <f>"1721"</f>
        <v>1721</v>
      </c>
      <c r="H3376" t="str">
        <f>"0003"</f>
        <v>0003</v>
      </c>
      <c r="I3376" t="s">
        <v>75</v>
      </c>
      <c r="J3376">
        <v>0</v>
      </c>
      <c r="K3376">
        <v>1</v>
      </c>
      <c r="L3376">
        <v>2</v>
      </c>
      <c r="M3376">
        <v>265</v>
      </c>
      <c r="N3376">
        <v>440</v>
      </c>
      <c r="O3376">
        <v>10</v>
      </c>
      <c r="P3376">
        <v>439</v>
      </c>
      <c r="Q3376">
        <v>15</v>
      </c>
      <c r="R3376">
        <v>34</v>
      </c>
      <c r="S3376">
        <v>6</v>
      </c>
      <c r="T3376">
        <v>12</v>
      </c>
      <c r="U3376">
        <v>22</v>
      </c>
      <c r="V3376">
        <v>11</v>
      </c>
      <c r="W3376">
        <v>38</v>
      </c>
      <c r="X3376">
        <v>185</v>
      </c>
      <c r="Y3376">
        <v>4</v>
      </c>
      <c r="Z3376">
        <v>9</v>
      </c>
      <c r="AA3376">
        <v>2</v>
      </c>
      <c r="AB3376">
        <v>83</v>
      </c>
      <c r="AD3376">
        <v>2</v>
      </c>
      <c r="AE3376">
        <v>1</v>
      </c>
      <c r="AF3376">
        <v>0</v>
      </c>
      <c r="AG3376">
        <v>1</v>
      </c>
      <c r="AI3376">
        <v>0</v>
      </c>
      <c r="AJ3376">
        <v>14</v>
      </c>
      <c r="AK3376">
        <v>439</v>
      </c>
      <c r="AL3376">
        <v>439</v>
      </c>
      <c r="AM3376">
        <v>661</v>
      </c>
      <c r="AN3376">
        <v>44</v>
      </c>
      <c r="AP3376">
        <v>1</v>
      </c>
      <c r="AR3376" t="s">
        <v>3472</v>
      </c>
      <c r="AS3376" s="1">
        <v>44353.993055555555</v>
      </c>
      <c r="AT3376" s="1">
        <v>44354.016365740739</v>
      </c>
      <c r="AU3376" s="1">
        <v>44354.017210648148</v>
      </c>
      <c r="AV3376" t="s">
        <v>71</v>
      </c>
      <c r="AW3376" t="s">
        <v>72</v>
      </c>
      <c r="AX3376" t="s">
        <v>73</v>
      </c>
    </row>
    <row r="3377" spans="1:50" x14ac:dyDescent="0.3">
      <c r="A3377" t="str">
        <f>"201721C0400"</f>
        <v>201721C0400</v>
      </c>
      <c r="B3377" t="str">
        <f>"201721C04002"</f>
        <v>201721C04002</v>
      </c>
      <c r="C3377" t="str">
        <f t="shared" si="167"/>
        <v>20</v>
      </c>
      <c r="D3377" t="s">
        <v>67</v>
      </c>
      <c r="E3377" t="str">
        <f t="shared" si="166"/>
        <v>015</v>
      </c>
      <c r="F3377" t="s">
        <v>3364</v>
      </c>
      <c r="G3377" t="str">
        <f>"1721"</f>
        <v>1721</v>
      </c>
      <c r="H3377" t="str">
        <f>"0004"</f>
        <v>0004</v>
      </c>
      <c r="I3377" t="s">
        <v>75</v>
      </c>
      <c r="J3377">
        <v>0</v>
      </c>
      <c r="K3377">
        <v>1</v>
      </c>
      <c r="L3377">
        <v>2</v>
      </c>
      <c r="M3377">
        <v>295</v>
      </c>
      <c r="N3377">
        <v>410</v>
      </c>
      <c r="O3377">
        <v>9</v>
      </c>
      <c r="P3377">
        <v>410</v>
      </c>
      <c r="Q3377">
        <v>6</v>
      </c>
      <c r="R3377">
        <v>21</v>
      </c>
      <c r="S3377">
        <v>7</v>
      </c>
      <c r="T3377">
        <v>5</v>
      </c>
      <c r="U3377">
        <v>26</v>
      </c>
      <c r="V3377">
        <v>4</v>
      </c>
      <c r="W3377">
        <v>51</v>
      </c>
      <c r="X3377">
        <v>191</v>
      </c>
      <c r="Y3377">
        <v>14</v>
      </c>
      <c r="Z3377">
        <v>1</v>
      </c>
      <c r="AA3377">
        <v>2</v>
      </c>
      <c r="AB3377">
        <v>70</v>
      </c>
      <c r="AD3377">
        <v>1</v>
      </c>
      <c r="AE3377" t="s">
        <v>77</v>
      </c>
      <c r="AF3377" t="s">
        <v>77</v>
      </c>
      <c r="AG3377" t="s">
        <v>77</v>
      </c>
      <c r="AI3377" t="s">
        <v>77</v>
      </c>
      <c r="AJ3377">
        <v>11</v>
      </c>
      <c r="AK3377">
        <v>410</v>
      </c>
      <c r="AL3377">
        <v>410</v>
      </c>
      <c r="AM3377">
        <v>661</v>
      </c>
      <c r="AN3377">
        <v>44</v>
      </c>
      <c r="AO3377" t="s">
        <v>78</v>
      </c>
      <c r="AP3377">
        <v>1</v>
      </c>
      <c r="AR3377" t="s">
        <v>3473</v>
      </c>
      <c r="AS3377" s="1">
        <v>44353.951388888891</v>
      </c>
      <c r="AT3377" s="1">
        <v>44353.95652777778</v>
      </c>
      <c r="AU3377" s="1">
        <v>44353.957141203704</v>
      </c>
      <c r="AV3377" t="s">
        <v>71</v>
      </c>
      <c r="AW3377" t="s">
        <v>72</v>
      </c>
      <c r="AX3377" t="s">
        <v>73</v>
      </c>
    </row>
    <row r="3378" spans="1:50" x14ac:dyDescent="0.3">
      <c r="A3378" t="str">
        <f>"201722B0000"</f>
        <v>201722B0000</v>
      </c>
      <c r="B3378" t="str">
        <f>"201722B00002"</f>
        <v>201722B00002</v>
      </c>
      <c r="C3378" t="str">
        <f t="shared" si="167"/>
        <v>20</v>
      </c>
      <c r="D3378" t="s">
        <v>67</v>
      </c>
      <c r="E3378" t="str">
        <f t="shared" si="166"/>
        <v>015</v>
      </c>
      <c r="F3378" t="s">
        <v>3364</v>
      </c>
      <c r="G3378" t="str">
        <f t="shared" ref="G3378:G3392" si="170">"1722"</f>
        <v>1722</v>
      </c>
      <c r="H3378" t="str">
        <f>"0000"</f>
        <v>0000</v>
      </c>
      <c r="I3378" t="s">
        <v>69</v>
      </c>
      <c r="J3378">
        <v>0</v>
      </c>
      <c r="K3378">
        <v>1</v>
      </c>
      <c r="L3378">
        <v>2</v>
      </c>
      <c r="M3378">
        <v>218</v>
      </c>
      <c r="N3378">
        <v>460</v>
      </c>
      <c r="O3378">
        <v>8</v>
      </c>
      <c r="P3378">
        <v>460</v>
      </c>
      <c r="Q3378">
        <v>5</v>
      </c>
      <c r="R3378">
        <v>30</v>
      </c>
      <c r="S3378">
        <v>10</v>
      </c>
      <c r="T3378">
        <v>7</v>
      </c>
      <c r="U3378">
        <v>25</v>
      </c>
      <c r="V3378">
        <v>4</v>
      </c>
      <c r="W3378">
        <v>64</v>
      </c>
      <c r="X3378">
        <v>180</v>
      </c>
      <c r="Y3378">
        <v>11</v>
      </c>
      <c r="Z3378">
        <v>8</v>
      </c>
      <c r="AA3378">
        <v>3</v>
      </c>
      <c r="AB3378">
        <v>89</v>
      </c>
      <c r="AD3378">
        <v>3</v>
      </c>
      <c r="AE3378">
        <v>0</v>
      </c>
      <c r="AF3378">
        <v>0</v>
      </c>
      <c r="AG3378">
        <v>0</v>
      </c>
      <c r="AI3378">
        <v>0</v>
      </c>
      <c r="AJ3378">
        <v>21</v>
      </c>
      <c r="AK3378">
        <v>460</v>
      </c>
      <c r="AL3378">
        <v>460</v>
      </c>
      <c r="AM3378">
        <v>634</v>
      </c>
      <c r="AN3378">
        <v>44</v>
      </c>
      <c r="AP3378">
        <v>1</v>
      </c>
      <c r="AR3378" t="s">
        <v>3474</v>
      </c>
      <c r="AS3378" s="1">
        <v>44353.984027777777</v>
      </c>
      <c r="AT3378" s="1">
        <v>44354.000983796293</v>
      </c>
      <c r="AU3378" s="1">
        <v>44354.001354166663</v>
      </c>
      <c r="AV3378" t="s">
        <v>71</v>
      </c>
      <c r="AW3378" t="s">
        <v>72</v>
      </c>
      <c r="AX3378" t="s">
        <v>73</v>
      </c>
    </row>
    <row r="3379" spans="1:50" x14ac:dyDescent="0.3">
      <c r="A3379" t="str">
        <f>"201722C0100"</f>
        <v>201722C0100</v>
      </c>
      <c r="B3379" t="str">
        <f>"201722C01002"</f>
        <v>201722C01002</v>
      </c>
      <c r="C3379" t="str">
        <f t="shared" si="167"/>
        <v>20</v>
      </c>
      <c r="D3379" t="s">
        <v>67</v>
      </c>
      <c r="E3379" t="str">
        <f t="shared" si="166"/>
        <v>015</v>
      </c>
      <c r="F3379" t="s">
        <v>3364</v>
      </c>
      <c r="G3379" t="str">
        <f t="shared" si="170"/>
        <v>1722</v>
      </c>
      <c r="H3379" t="str">
        <f>"0001"</f>
        <v>0001</v>
      </c>
      <c r="I3379" t="s">
        <v>75</v>
      </c>
      <c r="J3379">
        <v>0</v>
      </c>
      <c r="K3379">
        <v>1</v>
      </c>
      <c r="L3379">
        <v>2</v>
      </c>
      <c r="M3379">
        <v>251</v>
      </c>
      <c r="N3379">
        <v>426</v>
      </c>
      <c r="O3379">
        <v>7</v>
      </c>
      <c r="P3379">
        <v>425</v>
      </c>
      <c r="Q3379">
        <v>18</v>
      </c>
      <c r="R3379">
        <v>22</v>
      </c>
      <c r="S3379">
        <v>4</v>
      </c>
      <c r="T3379">
        <v>4</v>
      </c>
      <c r="U3379">
        <v>20</v>
      </c>
      <c r="V3379">
        <v>1</v>
      </c>
      <c r="W3379">
        <v>59</v>
      </c>
      <c r="X3379">
        <v>198</v>
      </c>
      <c r="Y3379">
        <v>7</v>
      </c>
      <c r="Z3379">
        <v>9</v>
      </c>
      <c r="AA3379">
        <v>1</v>
      </c>
      <c r="AB3379">
        <v>76</v>
      </c>
      <c r="AD3379" t="s">
        <v>77</v>
      </c>
      <c r="AE3379" t="s">
        <v>77</v>
      </c>
      <c r="AF3379" t="s">
        <v>77</v>
      </c>
      <c r="AG3379">
        <v>1</v>
      </c>
      <c r="AI3379" t="s">
        <v>77</v>
      </c>
      <c r="AJ3379">
        <v>5</v>
      </c>
      <c r="AK3379">
        <v>425</v>
      </c>
      <c r="AL3379">
        <v>425</v>
      </c>
      <c r="AM3379">
        <v>633</v>
      </c>
      <c r="AN3379">
        <v>44</v>
      </c>
      <c r="AO3379" t="s">
        <v>78</v>
      </c>
      <c r="AP3379">
        <v>1</v>
      </c>
      <c r="AR3379" t="s">
        <v>3475</v>
      </c>
      <c r="AS3379" s="1">
        <v>44353.940972222219</v>
      </c>
      <c r="AT3379" s="1">
        <v>44353.962314814817</v>
      </c>
      <c r="AU3379" s="1">
        <v>44353.963148148148</v>
      </c>
      <c r="AV3379" t="s">
        <v>71</v>
      </c>
      <c r="AW3379" t="s">
        <v>72</v>
      </c>
      <c r="AX3379" t="s">
        <v>73</v>
      </c>
    </row>
    <row r="3380" spans="1:50" x14ac:dyDescent="0.3">
      <c r="A3380" t="str">
        <f>"201722C0200"</f>
        <v>201722C0200</v>
      </c>
      <c r="B3380" t="str">
        <f>"201722C02002"</f>
        <v>201722C02002</v>
      </c>
      <c r="C3380" t="str">
        <f t="shared" si="167"/>
        <v>20</v>
      </c>
      <c r="D3380" t="s">
        <v>67</v>
      </c>
      <c r="E3380" t="str">
        <f t="shared" si="166"/>
        <v>015</v>
      </c>
      <c r="F3380" t="s">
        <v>3364</v>
      </c>
      <c r="G3380" t="str">
        <f t="shared" si="170"/>
        <v>1722</v>
      </c>
      <c r="H3380" t="str">
        <f>"0002"</f>
        <v>0002</v>
      </c>
      <c r="I3380" t="s">
        <v>75</v>
      </c>
      <c r="J3380">
        <v>0</v>
      </c>
      <c r="K3380">
        <v>1</v>
      </c>
      <c r="L3380">
        <v>2</v>
      </c>
      <c r="M3380">
        <v>227</v>
      </c>
      <c r="N3380">
        <v>450</v>
      </c>
      <c r="O3380">
        <v>8</v>
      </c>
      <c r="P3380">
        <v>450</v>
      </c>
      <c r="Q3380">
        <v>15</v>
      </c>
      <c r="R3380">
        <v>35</v>
      </c>
      <c r="S3380">
        <v>6</v>
      </c>
      <c r="T3380">
        <v>1</v>
      </c>
      <c r="U3380">
        <v>29</v>
      </c>
      <c r="V3380">
        <v>2</v>
      </c>
      <c r="W3380">
        <v>49</v>
      </c>
      <c r="X3380">
        <v>201</v>
      </c>
      <c r="Y3380">
        <v>10</v>
      </c>
      <c r="Z3380">
        <v>8</v>
      </c>
      <c r="AA3380">
        <v>5</v>
      </c>
      <c r="AB3380">
        <v>69</v>
      </c>
      <c r="AD3380">
        <v>0</v>
      </c>
      <c r="AE3380">
        <v>0</v>
      </c>
      <c r="AF3380">
        <v>0</v>
      </c>
      <c r="AG3380">
        <v>0</v>
      </c>
      <c r="AI3380">
        <v>0</v>
      </c>
      <c r="AJ3380">
        <v>20</v>
      </c>
      <c r="AK3380">
        <v>450</v>
      </c>
      <c r="AL3380">
        <v>450</v>
      </c>
      <c r="AM3380">
        <v>633</v>
      </c>
      <c r="AN3380">
        <v>44</v>
      </c>
      <c r="AP3380">
        <v>1</v>
      </c>
      <c r="AR3380" t="s">
        <v>3476</v>
      </c>
      <c r="AS3380" s="1">
        <v>44353.984027777777</v>
      </c>
      <c r="AT3380" s="1">
        <v>44354.000590277778</v>
      </c>
      <c r="AU3380" s="1">
        <v>44354.001354166663</v>
      </c>
      <c r="AV3380" t="s">
        <v>71</v>
      </c>
      <c r="AW3380" t="s">
        <v>72</v>
      </c>
      <c r="AX3380" t="s">
        <v>73</v>
      </c>
    </row>
    <row r="3381" spans="1:50" x14ac:dyDescent="0.3">
      <c r="A3381" t="str">
        <f>"201722C0300"</f>
        <v>201722C0300</v>
      </c>
      <c r="B3381" t="str">
        <f>"201722C03002"</f>
        <v>201722C03002</v>
      </c>
      <c r="C3381" t="str">
        <f t="shared" si="167"/>
        <v>20</v>
      </c>
      <c r="D3381" t="s">
        <v>67</v>
      </c>
      <c r="E3381" t="str">
        <f t="shared" si="166"/>
        <v>015</v>
      </c>
      <c r="F3381" t="s">
        <v>3364</v>
      </c>
      <c r="G3381" t="str">
        <f t="shared" si="170"/>
        <v>1722</v>
      </c>
      <c r="H3381" t="str">
        <f>"0003"</f>
        <v>0003</v>
      </c>
      <c r="I3381" t="s">
        <v>75</v>
      </c>
      <c r="J3381">
        <v>0</v>
      </c>
      <c r="K3381">
        <v>1</v>
      </c>
      <c r="L3381">
        <v>2</v>
      </c>
      <c r="M3381">
        <v>246</v>
      </c>
      <c r="N3381">
        <v>448</v>
      </c>
      <c r="O3381">
        <v>10</v>
      </c>
      <c r="P3381" t="s">
        <v>80</v>
      </c>
      <c r="Q3381">
        <v>16</v>
      </c>
      <c r="R3381">
        <v>41</v>
      </c>
      <c r="S3381">
        <v>8</v>
      </c>
      <c r="T3381">
        <v>4</v>
      </c>
      <c r="U3381">
        <v>24</v>
      </c>
      <c r="V3381">
        <v>1</v>
      </c>
      <c r="W3381">
        <v>64</v>
      </c>
      <c r="X3381">
        <v>179</v>
      </c>
      <c r="Y3381">
        <v>5</v>
      </c>
      <c r="Z3381">
        <v>8</v>
      </c>
      <c r="AA3381">
        <v>3</v>
      </c>
      <c r="AB3381">
        <v>80</v>
      </c>
      <c r="AD3381">
        <v>2</v>
      </c>
      <c r="AE3381" t="s">
        <v>77</v>
      </c>
      <c r="AF3381" t="s">
        <v>77</v>
      </c>
      <c r="AG3381" t="s">
        <v>77</v>
      </c>
      <c r="AI3381" t="s">
        <v>77</v>
      </c>
      <c r="AJ3381" t="s">
        <v>77</v>
      </c>
      <c r="AK3381" t="s">
        <v>77</v>
      </c>
      <c r="AL3381">
        <v>435</v>
      </c>
      <c r="AM3381">
        <v>633</v>
      </c>
      <c r="AN3381">
        <v>44</v>
      </c>
      <c r="AO3381" t="s">
        <v>78</v>
      </c>
      <c r="AP3381">
        <v>1</v>
      </c>
      <c r="AR3381" t="s">
        <v>3477</v>
      </c>
      <c r="AS3381" s="1">
        <v>44353.933333333334</v>
      </c>
      <c r="AT3381" s="1">
        <v>44353.946805555555</v>
      </c>
      <c r="AU3381" s="1">
        <v>44353.947395833333</v>
      </c>
      <c r="AV3381" t="s">
        <v>71</v>
      </c>
      <c r="AW3381" t="s">
        <v>72</v>
      </c>
      <c r="AX3381" t="s">
        <v>73</v>
      </c>
    </row>
    <row r="3382" spans="1:50" x14ac:dyDescent="0.3">
      <c r="A3382" t="str">
        <f>"201722E0100"</f>
        <v>201722E0100</v>
      </c>
      <c r="B3382" t="str">
        <f>"201722E01002"</f>
        <v>201722E01002</v>
      </c>
      <c r="C3382" t="str">
        <f t="shared" si="167"/>
        <v>20</v>
      </c>
      <c r="D3382" t="s">
        <v>67</v>
      </c>
      <c r="E3382" t="str">
        <f t="shared" si="166"/>
        <v>015</v>
      </c>
      <c r="F3382" t="s">
        <v>3364</v>
      </c>
      <c r="G3382" t="str">
        <f t="shared" si="170"/>
        <v>1722</v>
      </c>
      <c r="H3382" t="str">
        <f t="shared" ref="H3382:H3387" si="171">"0001"</f>
        <v>0001</v>
      </c>
      <c r="I3382" t="s">
        <v>109</v>
      </c>
      <c r="J3382">
        <v>0</v>
      </c>
      <c r="K3382">
        <v>1</v>
      </c>
      <c r="L3382">
        <v>2</v>
      </c>
      <c r="M3382">
        <v>280</v>
      </c>
      <c r="N3382">
        <v>412</v>
      </c>
      <c r="O3382">
        <v>7</v>
      </c>
      <c r="P3382">
        <v>412</v>
      </c>
      <c r="Q3382">
        <v>9</v>
      </c>
      <c r="R3382">
        <v>21</v>
      </c>
      <c r="S3382">
        <v>8</v>
      </c>
      <c r="T3382">
        <v>3</v>
      </c>
      <c r="U3382">
        <v>23</v>
      </c>
      <c r="V3382">
        <v>4</v>
      </c>
      <c r="W3382">
        <v>60</v>
      </c>
      <c r="X3382">
        <v>199</v>
      </c>
      <c r="Y3382">
        <v>6</v>
      </c>
      <c r="Z3382">
        <v>7</v>
      </c>
      <c r="AA3382">
        <v>2</v>
      </c>
      <c r="AB3382">
        <v>57</v>
      </c>
      <c r="AD3382">
        <v>1</v>
      </c>
      <c r="AE3382">
        <v>0</v>
      </c>
      <c r="AF3382">
        <v>0</v>
      </c>
      <c r="AG3382">
        <v>0</v>
      </c>
      <c r="AI3382">
        <v>0</v>
      </c>
      <c r="AJ3382">
        <v>12</v>
      </c>
      <c r="AK3382">
        <v>412</v>
      </c>
      <c r="AL3382">
        <v>412</v>
      </c>
      <c r="AM3382">
        <v>648</v>
      </c>
      <c r="AN3382">
        <v>44</v>
      </c>
      <c r="AP3382">
        <v>1</v>
      </c>
      <c r="AR3382" t="s">
        <v>3478</v>
      </c>
      <c r="AS3382" s="1">
        <v>44354.018055555556</v>
      </c>
      <c r="AT3382" s="1">
        <v>44354.039502314816</v>
      </c>
      <c r="AU3382" s="1">
        <v>44354.040185185186</v>
      </c>
      <c r="AV3382" t="s">
        <v>71</v>
      </c>
      <c r="AW3382" t="s">
        <v>72</v>
      </c>
      <c r="AX3382" t="s">
        <v>73</v>
      </c>
    </row>
    <row r="3383" spans="1:50" x14ac:dyDescent="0.3">
      <c r="A3383" t="str">
        <f>"201722E0101"</f>
        <v>201722E0101</v>
      </c>
      <c r="B3383" t="str">
        <f>"201722E01012"</f>
        <v>201722E01012</v>
      </c>
      <c r="C3383" t="str">
        <f t="shared" si="167"/>
        <v>20</v>
      </c>
      <c r="D3383" t="s">
        <v>67</v>
      </c>
      <c r="E3383" t="str">
        <f t="shared" si="166"/>
        <v>015</v>
      </c>
      <c r="F3383" t="s">
        <v>3364</v>
      </c>
      <c r="G3383" t="str">
        <f t="shared" si="170"/>
        <v>1722</v>
      </c>
      <c r="H3383" t="str">
        <f t="shared" si="171"/>
        <v>0001</v>
      </c>
      <c r="I3383" t="s">
        <v>109</v>
      </c>
      <c r="J3383">
        <v>1</v>
      </c>
      <c r="K3383">
        <v>1</v>
      </c>
      <c r="L3383">
        <v>2</v>
      </c>
      <c r="M3383">
        <v>337</v>
      </c>
      <c r="N3383">
        <v>355</v>
      </c>
      <c r="O3383">
        <v>10</v>
      </c>
      <c r="P3383">
        <v>355</v>
      </c>
      <c r="Q3383">
        <v>3</v>
      </c>
      <c r="R3383">
        <v>25</v>
      </c>
      <c r="S3383">
        <v>5</v>
      </c>
      <c r="T3383">
        <v>4</v>
      </c>
      <c r="U3383">
        <v>35</v>
      </c>
      <c r="V3383">
        <v>5</v>
      </c>
      <c r="W3383">
        <v>46</v>
      </c>
      <c r="X3383">
        <v>155</v>
      </c>
      <c r="Y3383">
        <v>7</v>
      </c>
      <c r="Z3383">
        <v>3</v>
      </c>
      <c r="AA3383">
        <v>4</v>
      </c>
      <c r="AB3383">
        <v>51</v>
      </c>
      <c r="AD3383">
        <v>0</v>
      </c>
      <c r="AE3383">
        <v>0</v>
      </c>
      <c r="AF3383">
        <v>0</v>
      </c>
      <c r="AG3383">
        <v>0</v>
      </c>
      <c r="AI3383">
        <v>0</v>
      </c>
      <c r="AJ3383">
        <v>12</v>
      </c>
      <c r="AK3383">
        <v>355</v>
      </c>
      <c r="AL3383">
        <v>355</v>
      </c>
      <c r="AM3383">
        <v>648</v>
      </c>
      <c r="AN3383">
        <v>44</v>
      </c>
      <c r="AP3383">
        <v>1</v>
      </c>
      <c r="AR3383" t="s">
        <v>3479</v>
      </c>
      <c r="AS3383" s="1">
        <v>44354.017361111109</v>
      </c>
      <c r="AT3383" s="1">
        <v>44354.031493055554</v>
      </c>
      <c r="AU3383" s="1">
        <v>44354.032037037039</v>
      </c>
      <c r="AV3383" t="s">
        <v>71</v>
      </c>
      <c r="AW3383" t="s">
        <v>72</v>
      </c>
      <c r="AX3383" t="s">
        <v>73</v>
      </c>
    </row>
    <row r="3384" spans="1:50" x14ac:dyDescent="0.3">
      <c r="A3384" t="str">
        <f>"201722E0102"</f>
        <v>201722E0102</v>
      </c>
      <c r="B3384" t="str">
        <f>"201722E01022"</f>
        <v>201722E01022</v>
      </c>
      <c r="C3384" t="str">
        <f t="shared" si="167"/>
        <v>20</v>
      </c>
      <c r="D3384" t="s">
        <v>67</v>
      </c>
      <c r="E3384" t="str">
        <f t="shared" si="166"/>
        <v>015</v>
      </c>
      <c r="F3384" t="s">
        <v>3364</v>
      </c>
      <c r="G3384" t="str">
        <f t="shared" si="170"/>
        <v>1722</v>
      </c>
      <c r="H3384" t="str">
        <f t="shared" si="171"/>
        <v>0001</v>
      </c>
      <c r="I3384" t="s">
        <v>109</v>
      </c>
      <c r="J3384">
        <v>2</v>
      </c>
      <c r="K3384">
        <v>1</v>
      </c>
      <c r="L3384">
        <v>2</v>
      </c>
      <c r="M3384">
        <v>343</v>
      </c>
      <c r="N3384">
        <v>349</v>
      </c>
      <c r="O3384">
        <v>4</v>
      </c>
      <c r="P3384">
        <v>349</v>
      </c>
      <c r="Q3384">
        <v>2</v>
      </c>
      <c r="R3384">
        <v>26</v>
      </c>
      <c r="S3384">
        <v>4</v>
      </c>
      <c r="T3384">
        <v>4</v>
      </c>
      <c r="U3384">
        <v>16</v>
      </c>
      <c r="V3384">
        <v>2</v>
      </c>
      <c r="W3384">
        <v>48</v>
      </c>
      <c r="X3384">
        <v>16</v>
      </c>
      <c r="Y3384">
        <v>3</v>
      </c>
      <c r="Z3384">
        <v>10</v>
      </c>
      <c r="AA3384">
        <v>3</v>
      </c>
      <c r="AB3384">
        <v>57</v>
      </c>
      <c r="AD3384">
        <v>0</v>
      </c>
      <c r="AE3384">
        <v>0</v>
      </c>
      <c r="AF3384">
        <v>0</v>
      </c>
      <c r="AG3384">
        <v>0</v>
      </c>
      <c r="AI3384">
        <v>0</v>
      </c>
      <c r="AJ3384">
        <v>8</v>
      </c>
      <c r="AK3384">
        <v>349</v>
      </c>
      <c r="AL3384">
        <v>199</v>
      </c>
      <c r="AM3384">
        <v>648</v>
      </c>
      <c r="AN3384">
        <v>44</v>
      </c>
      <c r="AP3384">
        <v>1</v>
      </c>
      <c r="AR3384" t="s">
        <v>3480</v>
      </c>
      <c r="AS3384" s="1">
        <v>44354.018055555556</v>
      </c>
      <c r="AT3384" s="1">
        <v>44354.042673611111</v>
      </c>
      <c r="AU3384" s="1">
        <v>44354.043449074074</v>
      </c>
      <c r="AV3384" t="s">
        <v>71</v>
      </c>
      <c r="AW3384" t="s">
        <v>72</v>
      </c>
      <c r="AX3384" t="s">
        <v>73</v>
      </c>
    </row>
    <row r="3385" spans="1:50" x14ac:dyDescent="0.3">
      <c r="A3385" t="str">
        <f>"201722E0103"</f>
        <v>201722E0103</v>
      </c>
      <c r="B3385" t="str">
        <f>"201722E01032"</f>
        <v>201722E01032</v>
      </c>
      <c r="C3385" t="str">
        <f t="shared" si="167"/>
        <v>20</v>
      </c>
      <c r="D3385" t="s">
        <v>67</v>
      </c>
      <c r="E3385" t="str">
        <f t="shared" si="166"/>
        <v>015</v>
      </c>
      <c r="F3385" t="s">
        <v>3364</v>
      </c>
      <c r="G3385" t="str">
        <f t="shared" si="170"/>
        <v>1722</v>
      </c>
      <c r="H3385" t="str">
        <f t="shared" si="171"/>
        <v>0001</v>
      </c>
      <c r="I3385" t="s">
        <v>109</v>
      </c>
      <c r="J3385">
        <v>3</v>
      </c>
      <c r="K3385">
        <v>1</v>
      </c>
      <c r="L3385">
        <v>2</v>
      </c>
      <c r="M3385">
        <v>292</v>
      </c>
      <c r="N3385">
        <v>400</v>
      </c>
      <c r="O3385">
        <v>5</v>
      </c>
      <c r="P3385">
        <v>400</v>
      </c>
      <c r="Q3385">
        <v>3</v>
      </c>
      <c r="R3385">
        <v>36</v>
      </c>
      <c r="S3385">
        <v>5</v>
      </c>
      <c r="T3385">
        <v>1</v>
      </c>
      <c r="U3385">
        <v>25</v>
      </c>
      <c r="V3385">
        <v>8</v>
      </c>
      <c r="W3385">
        <v>64</v>
      </c>
      <c r="X3385">
        <v>174</v>
      </c>
      <c r="Y3385">
        <v>7</v>
      </c>
      <c r="Z3385">
        <v>4</v>
      </c>
      <c r="AA3385">
        <v>4</v>
      </c>
      <c r="AB3385">
        <v>49</v>
      </c>
      <c r="AD3385">
        <v>0</v>
      </c>
      <c r="AE3385">
        <v>0</v>
      </c>
      <c r="AF3385">
        <v>0</v>
      </c>
      <c r="AG3385">
        <v>0</v>
      </c>
      <c r="AI3385">
        <v>0</v>
      </c>
      <c r="AJ3385">
        <v>20</v>
      </c>
      <c r="AK3385">
        <v>400</v>
      </c>
      <c r="AL3385">
        <v>400</v>
      </c>
      <c r="AM3385">
        <v>648</v>
      </c>
      <c r="AN3385">
        <v>44</v>
      </c>
      <c r="AP3385">
        <v>1</v>
      </c>
      <c r="AR3385" t="s">
        <v>3481</v>
      </c>
      <c r="AS3385" s="1">
        <v>44354.017361111109</v>
      </c>
      <c r="AT3385" s="1">
        <v>44354.036145833335</v>
      </c>
      <c r="AU3385" s="1">
        <v>44354.036724537036</v>
      </c>
      <c r="AV3385" t="s">
        <v>71</v>
      </c>
      <c r="AW3385" t="s">
        <v>72</v>
      </c>
      <c r="AX3385" t="s">
        <v>73</v>
      </c>
    </row>
    <row r="3386" spans="1:50" x14ac:dyDescent="0.3">
      <c r="A3386" t="str">
        <f>"201722E0104"</f>
        <v>201722E0104</v>
      </c>
      <c r="B3386" t="str">
        <f>"201722E01042"</f>
        <v>201722E01042</v>
      </c>
      <c r="C3386" t="str">
        <f t="shared" si="167"/>
        <v>20</v>
      </c>
      <c r="D3386" t="s">
        <v>67</v>
      </c>
      <c r="E3386" t="str">
        <f t="shared" si="166"/>
        <v>015</v>
      </c>
      <c r="F3386" t="s">
        <v>3364</v>
      </c>
      <c r="G3386" t="str">
        <f t="shared" si="170"/>
        <v>1722</v>
      </c>
      <c r="H3386" t="str">
        <f t="shared" si="171"/>
        <v>0001</v>
      </c>
      <c r="I3386" t="s">
        <v>109</v>
      </c>
      <c r="J3386">
        <v>4</v>
      </c>
      <c r="K3386">
        <v>1</v>
      </c>
      <c r="L3386">
        <v>2</v>
      </c>
      <c r="M3386">
        <v>273</v>
      </c>
      <c r="N3386">
        <v>418</v>
      </c>
      <c r="O3386">
        <v>9</v>
      </c>
      <c r="P3386">
        <v>418</v>
      </c>
      <c r="Q3386">
        <v>5</v>
      </c>
      <c r="R3386">
        <v>30</v>
      </c>
      <c r="S3386">
        <v>11</v>
      </c>
      <c r="T3386">
        <v>8</v>
      </c>
      <c r="U3386">
        <v>38</v>
      </c>
      <c r="V3386">
        <v>6</v>
      </c>
      <c r="W3386">
        <v>50</v>
      </c>
      <c r="X3386">
        <v>180</v>
      </c>
      <c r="Y3386">
        <v>5</v>
      </c>
      <c r="Z3386">
        <v>3</v>
      </c>
      <c r="AA3386">
        <v>4</v>
      </c>
      <c r="AB3386">
        <v>68</v>
      </c>
      <c r="AD3386">
        <v>0</v>
      </c>
      <c r="AE3386">
        <v>0</v>
      </c>
      <c r="AF3386">
        <v>0</v>
      </c>
      <c r="AG3386">
        <v>0</v>
      </c>
      <c r="AI3386">
        <v>0</v>
      </c>
      <c r="AJ3386">
        <v>10</v>
      </c>
      <c r="AK3386">
        <v>418</v>
      </c>
      <c r="AL3386">
        <v>418</v>
      </c>
      <c r="AM3386">
        <v>648</v>
      </c>
      <c r="AN3386">
        <v>44</v>
      </c>
      <c r="AP3386">
        <v>1</v>
      </c>
      <c r="AR3386" t="s">
        <v>3482</v>
      </c>
      <c r="AS3386" s="1">
        <v>44354.019444444442</v>
      </c>
      <c r="AT3386" s="1">
        <v>44354.03869212963</v>
      </c>
      <c r="AU3386" s="1">
        <v>44354.039282407408</v>
      </c>
      <c r="AV3386" t="s">
        <v>71</v>
      </c>
      <c r="AW3386" t="s">
        <v>72</v>
      </c>
      <c r="AX3386" t="s">
        <v>73</v>
      </c>
    </row>
    <row r="3387" spans="1:50" x14ac:dyDescent="0.3">
      <c r="A3387" t="str">
        <f>"201722E0105"</f>
        <v>201722E0105</v>
      </c>
      <c r="B3387" t="str">
        <f>"201722E01052"</f>
        <v>201722E01052</v>
      </c>
      <c r="C3387" t="str">
        <f t="shared" si="167"/>
        <v>20</v>
      </c>
      <c r="D3387" t="s">
        <v>67</v>
      </c>
      <c r="E3387" t="str">
        <f t="shared" si="166"/>
        <v>015</v>
      </c>
      <c r="F3387" t="s">
        <v>3364</v>
      </c>
      <c r="G3387" t="str">
        <f t="shared" si="170"/>
        <v>1722</v>
      </c>
      <c r="H3387" t="str">
        <f t="shared" si="171"/>
        <v>0001</v>
      </c>
      <c r="I3387" t="s">
        <v>109</v>
      </c>
      <c r="J3387">
        <v>5</v>
      </c>
      <c r="K3387">
        <v>1</v>
      </c>
      <c r="L3387">
        <v>2</v>
      </c>
      <c r="M3387">
        <v>311</v>
      </c>
      <c r="N3387">
        <v>381</v>
      </c>
      <c r="O3387">
        <v>3</v>
      </c>
      <c r="P3387">
        <v>381</v>
      </c>
      <c r="Q3387">
        <v>8</v>
      </c>
      <c r="R3387">
        <v>22</v>
      </c>
      <c r="S3387">
        <v>3</v>
      </c>
      <c r="T3387">
        <v>5</v>
      </c>
      <c r="U3387">
        <v>26</v>
      </c>
      <c r="V3387">
        <v>4</v>
      </c>
      <c r="W3387">
        <v>56</v>
      </c>
      <c r="X3387">
        <v>175</v>
      </c>
      <c r="Y3387">
        <v>3</v>
      </c>
      <c r="Z3387">
        <v>5</v>
      </c>
      <c r="AA3387">
        <v>0</v>
      </c>
      <c r="AB3387">
        <v>59</v>
      </c>
      <c r="AD3387">
        <v>0</v>
      </c>
      <c r="AE3387">
        <v>0</v>
      </c>
      <c r="AF3387">
        <v>0</v>
      </c>
      <c r="AG3387">
        <v>0</v>
      </c>
      <c r="AI3387">
        <v>0</v>
      </c>
      <c r="AJ3387">
        <v>15</v>
      </c>
      <c r="AK3387">
        <v>381</v>
      </c>
      <c r="AL3387">
        <v>381</v>
      </c>
      <c r="AM3387">
        <v>648</v>
      </c>
      <c r="AN3387">
        <v>44</v>
      </c>
      <c r="AP3387">
        <v>1</v>
      </c>
      <c r="AR3387" t="s">
        <v>3483</v>
      </c>
      <c r="AS3387" s="1">
        <v>44354.020138888889</v>
      </c>
      <c r="AT3387" s="1">
        <v>44354.038645833331</v>
      </c>
      <c r="AU3387" s="1">
        <v>44354.042696759258</v>
      </c>
      <c r="AV3387" t="s">
        <v>71</v>
      </c>
      <c r="AW3387" t="s">
        <v>72</v>
      </c>
      <c r="AX3387" t="s">
        <v>73</v>
      </c>
    </row>
    <row r="3388" spans="1:50" x14ac:dyDescent="0.3">
      <c r="A3388" t="str">
        <f>"201722E0200"</f>
        <v>201722E0200</v>
      </c>
      <c r="B3388" t="str">
        <f>"201722E02002"</f>
        <v>201722E02002</v>
      </c>
      <c r="C3388" t="str">
        <f t="shared" si="167"/>
        <v>20</v>
      </c>
      <c r="D3388" t="s">
        <v>67</v>
      </c>
      <c r="E3388" t="str">
        <f t="shared" si="166"/>
        <v>015</v>
      </c>
      <c r="F3388" t="s">
        <v>3364</v>
      </c>
      <c r="G3388" t="str">
        <f t="shared" si="170"/>
        <v>1722</v>
      </c>
      <c r="H3388" t="str">
        <f>"0002"</f>
        <v>0002</v>
      </c>
      <c r="I3388" t="s">
        <v>109</v>
      </c>
      <c r="J3388">
        <v>0</v>
      </c>
      <c r="K3388">
        <v>1</v>
      </c>
      <c r="L3388">
        <v>2</v>
      </c>
      <c r="M3388">
        <v>302</v>
      </c>
      <c r="N3388">
        <v>399</v>
      </c>
      <c r="O3388">
        <v>6</v>
      </c>
      <c r="P3388" t="s">
        <v>80</v>
      </c>
      <c r="Q3388">
        <v>8</v>
      </c>
      <c r="R3388">
        <v>35</v>
      </c>
      <c r="S3388">
        <v>1</v>
      </c>
      <c r="T3388">
        <v>4</v>
      </c>
      <c r="U3388">
        <v>27</v>
      </c>
      <c r="V3388">
        <v>5</v>
      </c>
      <c r="W3388">
        <v>54</v>
      </c>
      <c r="X3388">
        <v>168</v>
      </c>
      <c r="Y3388">
        <v>6</v>
      </c>
      <c r="Z3388">
        <v>2</v>
      </c>
      <c r="AA3388">
        <v>4</v>
      </c>
      <c r="AB3388">
        <v>78</v>
      </c>
      <c r="AD3388">
        <v>1</v>
      </c>
      <c r="AE3388">
        <v>0</v>
      </c>
      <c r="AF3388">
        <v>0</v>
      </c>
      <c r="AG3388">
        <v>0</v>
      </c>
      <c r="AI3388">
        <v>0</v>
      </c>
      <c r="AJ3388">
        <v>6</v>
      </c>
      <c r="AK3388">
        <v>399</v>
      </c>
      <c r="AL3388">
        <v>399</v>
      </c>
      <c r="AM3388">
        <v>657</v>
      </c>
      <c r="AN3388">
        <v>44</v>
      </c>
      <c r="AP3388">
        <v>1</v>
      </c>
      <c r="AR3388" t="s">
        <v>3484</v>
      </c>
      <c r="AS3388" s="1">
        <v>44353.969444444447</v>
      </c>
      <c r="AT3388" s="1">
        <v>44354.012673611112</v>
      </c>
      <c r="AU3388" s="1">
        <v>44354.013229166667</v>
      </c>
      <c r="AV3388" t="s">
        <v>71</v>
      </c>
      <c r="AW3388" t="s">
        <v>72</v>
      </c>
      <c r="AX3388" t="s">
        <v>73</v>
      </c>
    </row>
    <row r="3389" spans="1:50" x14ac:dyDescent="0.3">
      <c r="A3389" t="str">
        <f>"201722E0201"</f>
        <v>201722E0201</v>
      </c>
      <c r="B3389" t="str">
        <f>"201722E02012"</f>
        <v>201722E02012</v>
      </c>
      <c r="C3389" t="str">
        <f t="shared" si="167"/>
        <v>20</v>
      </c>
      <c r="D3389" t="s">
        <v>67</v>
      </c>
      <c r="E3389" t="str">
        <f t="shared" si="166"/>
        <v>015</v>
      </c>
      <c r="F3389" t="s">
        <v>3364</v>
      </c>
      <c r="G3389" t="str">
        <f t="shared" si="170"/>
        <v>1722</v>
      </c>
      <c r="H3389" t="str">
        <f>"0002"</f>
        <v>0002</v>
      </c>
      <c r="I3389" t="s">
        <v>109</v>
      </c>
      <c r="J3389">
        <v>1</v>
      </c>
      <c r="K3389">
        <v>1</v>
      </c>
      <c r="L3389">
        <v>2</v>
      </c>
      <c r="M3389">
        <v>306</v>
      </c>
      <c r="N3389">
        <v>395</v>
      </c>
      <c r="O3389">
        <v>6</v>
      </c>
      <c r="P3389">
        <v>394</v>
      </c>
      <c r="Q3389">
        <v>10</v>
      </c>
      <c r="R3389">
        <v>37</v>
      </c>
      <c r="S3389">
        <v>14</v>
      </c>
      <c r="T3389">
        <v>9</v>
      </c>
      <c r="U3389">
        <v>14</v>
      </c>
      <c r="V3389">
        <v>3</v>
      </c>
      <c r="W3389">
        <v>57</v>
      </c>
      <c r="X3389">
        <v>157</v>
      </c>
      <c r="Y3389">
        <v>4</v>
      </c>
      <c r="Z3389">
        <v>6</v>
      </c>
      <c r="AA3389">
        <v>3</v>
      </c>
      <c r="AB3389">
        <v>67</v>
      </c>
      <c r="AD3389">
        <v>0</v>
      </c>
      <c r="AE3389">
        <v>0</v>
      </c>
      <c r="AF3389">
        <v>0</v>
      </c>
      <c r="AG3389">
        <v>0</v>
      </c>
      <c r="AI3389">
        <v>0</v>
      </c>
      <c r="AJ3389">
        <v>13</v>
      </c>
      <c r="AK3389">
        <v>394</v>
      </c>
      <c r="AL3389">
        <v>394</v>
      </c>
      <c r="AM3389">
        <v>657</v>
      </c>
      <c r="AN3389">
        <v>44</v>
      </c>
      <c r="AP3389">
        <v>1</v>
      </c>
      <c r="AR3389" t="s">
        <v>3485</v>
      </c>
      <c r="AS3389" s="1">
        <v>44353.969444444447</v>
      </c>
      <c r="AT3389" s="1">
        <v>44354.013171296298</v>
      </c>
      <c r="AU3389" s="1">
        <v>44354.013969907406</v>
      </c>
      <c r="AV3389" t="s">
        <v>71</v>
      </c>
      <c r="AW3389" t="s">
        <v>72</v>
      </c>
      <c r="AX3389" t="s">
        <v>73</v>
      </c>
    </row>
    <row r="3390" spans="1:50" x14ac:dyDescent="0.3">
      <c r="A3390" t="str">
        <f>"201722E0202"</f>
        <v>201722E0202</v>
      </c>
      <c r="B3390" t="str">
        <f>"201722E02022"</f>
        <v>201722E02022</v>
      </c>
      <c r="C3390" t="str">
        <f t="shared" si="167"/>
        <v>20</v>
      </c>
      <c r="D3390" t="s">
        <v>67</v>
      </c>
      <c r="E3390" t="str">
        <f t="shared" si="166"/>
        <v>015</v>
      </c>
      <c r="F3390" t="s">
        <v>3364</v>
      </c>
      <c r="G3390" t="str">
        <f t="shared" si="170"/>
        <v>1722</v>
      </c>
      <c r="H3390" t="str">
        <f>"0002"</f>
        <v>0002</v>
      </c>
      <c r="I3390" t="s">
        <v>109</v>
      </c>
      <c r="J3390">
        <v>2</v>
      </c>
      <c r="K3390">
        <v>1</v>
      </c>
      <c r="L3390">
        <v>2</v>
      </c>
      <c r="M3390">
        <v>311</v>
      </c>
      <c r="N3390">
        <v>399</v>
      </c>
      <c r="O3390">
        <v>9</v>
      </c>
      <c r="P3390">
        <v>390</v>
      </c>
      <c r="Q3390">
        <v>10</v>
      </c>
      <c r="R3390">
        <v>25</v>
      </c>
      <c r="S3390">
        <v>4</v>
      </c>
      <c r="T3390">
        <v>6</v>
      </c>
      <c r="U3390">
        <v>18</v>
      </c>
      <c r="V3390">
        <v>5</v>
      </c>
      <c r="W3390">
        <v>60</v>
      </c>
      <c r="X3390">
        <v>161</v>
      </c>
      <c r="Y3390">
        <v>4</v>
      </c>
      <c r="Z3390">
        <v>0</v>
      </c>
      <c r="AA3390">
        <v>3</v>
      </c>
      <c r="AB3390">
        <v>79</v>
      </c>
      <c r="AD3390">
        <v>0</v>
      </c>
      <c r="AE3390">
        <v>0</v>
      </c>
      <c r="AF3390">
        <v>0</v>
      </c>
      <c r="AG3390">
        <v>0</v>
      </c>
      <c r="AI3390">
        <v>0</v>
      </c>
      <c r="AJ3390">
        <v>0</v>
      </c>
      <c r="AK3390">
        <v>0</v>
      </c>
      <c r="AL3390">
        <v>375</v>
      </c>
      <c r="AM3390">
        <v>657</v>
      </c>
      <c r="AN3390">
        <v>44</v>
      </c>
      <c r="AP3390">
        <v>1</v>
      </c>
      <c r="AR3390" t="s">
        <v>3486</v>
      </c>
      <c r="AS3390" s="1">
        <v>44353.973611111112</v>
      </c>
      <c r="AT3390" s="1">
        <v>44353.993391203701</v>
      </c>
      <c r="AU3390" s="1">
        <v>44353.995787037034</v>
      </c>
      <c r="AV3390" t="s">
        <v>71</v>
      </c>
      <c r="AW3390" t="s">
        <v>72</v>
      </c>
      <c r="AX3390" t="s">
        <v>73</v>
      </c>
    </row>
    <row r="3391" spans="1:50" x14ac:dyDescent="0.3">
      <c r="A3391" t="str">
        <f>"201722E0203"</f>
        <v>201722E0203</v>
      </c>
      <c r="B3391" t="str">
        <f>"201722E02032"</f>
        <v>201722E02032</v>
      </c>
      <c r="C3391" t="str">
        <f t="shared" si="167"/>
        <v>20</v>
      </c>
      <c r="D3391" t="s">
        <v>67</v>
      </c>
      <c r="E3391" t="str">
        <f t="shared" si="166"/>
        <v>015</v>
      </c>
      <c r="F3391" t="s">
        <v>3364</v>
      </c>
      <c r="G3391" t="str">
        <f t="shared" si="170"/>
        <v>1722</v>
      </c>
      <c r="H3391" t="str">
        <f>"0002"</f>
        <v>0002</v>
      </c>
      <c r="I3391" t="s">
        <v>109</v>
      </c>
      <c r="J3391">
        <v>3</v>
      </c>
      <c r="K3391">
        <v>1</v>
      </c>
      <c r="L3391">
        <v>2</v>
      </c>
      <c r="M3391">
        <v>299</v>
      </c>
      <c r="N3391">
        <v>402</v>
      </c>
      <c r="O3391">
        <v>8</v>
      </c>
      <c r="P3391">
        <v>402</v>
      </c>
      <c r="Q3391">
        <v>6</v>
      </c>
      <c r="R3391">
        <v>37</v>
      </c>
      <c r="S3391">
        <v>9</v>
      </c>
      <c r="T3391">
        <v>7</v>
      </c>
      <c r="U3391">
        <v>15</v>
      </c>
      <c r="V3391">
        <v>4</v>
      </c>
      <c r="W3391">
        <v>56</v>
      </c>
      <c r="X3391">
        <v>165</v>
      </c>
      <c r="Y3391">
        <v>5</v>
      </c>
      <c r="Z3391">
        <v>4</v>
      </c>
      <c r="AA3391">
        <v>5</v>
      </c>
      <c r="AB3391">
        <v>78</v>
      </c>
      <c r="AD3391" t="s">
        <v>77</v>
      </c>
      <c r="AE3391" t="s">
        <v>77</v>
      </c>
      <c r="AF3391" t="s">
        <v>77</v>
      </c>
      <c r="AG3391" t="s">
        <v>77</v>
      </c>
      <c r="AI3391" t="s">
        <v>77</v>
      </c>
      <c r="AJ3391" t="s">
        <v>77</v>
      </c>
      <c r="AK3391" t="s">
        <v>77</v>
      </c>
      <c r="AL3391">
        <v>391</v>
      </c>
      <c r="AM3391">
        <v>657</v>
      </c>
      <c r="AN3391">
        <v>44</v>
      </c>
      <c r="AO3391" t="s">
        <v>78</v>
      </c>
      <c r="AP3391">
        <v>1</v>
      </c>
      <c r="AR3391" t="s">
        <v>3487</v>
      </c>
      <c r="AS3391" s="1">
        <v>44353.966666666667</v>
      </c>
      <c r="AT3391" s="1">
        <v>44353.981412037036</v>
      </c>
      <c r="AU3391" s="1">
        <v>44353.98196759259</v>
      </c>
      <c r="AV3391" t="s">
        <v>71</v>
      </c>
      <c r="AW3391" t="s">
        <v>72</v>
      </c>
      <c r="AX3391" t="s">
        <v>73</v>
      </c>
    </row>
    <row r="3392" spans="1:50" x14ac:dyDescent="0.3">
      <c r="A3392" t="str">
        <f>"201722E0204"</f>
        <v>201722E0204</v>
      </c>
      <c r="B3392" t="str">
        <f>"201722E02042"</f>
        <v>201722E02042</v>
      </c>
      <c r="C3392" t="str">
        <f t="shared" si="167"/>
        <v>20</v>
      </c>
      <c r="D3392" t="s">
        <v>67</v>
      </c>
      <c r="E3392" t="str">
        <f t="shared" si="166"/>
        <v>015</v>
      </c>
      <c r="F3392" t="s">
        <v>3364</v>
      </c>
      <c r="G3392" t="str">
        <f t="shared" si="170"/>
        <v>1722</v>
      </c>
      <c r="H3392" t="str">
        <f>"0002"</f>
        <v>0002</v>
      </c>
      <c r="I3392" t="s">
        <v>109</v>
      </c>
      <c r="J3392">
        <v>4</v>
      </c>
      <c r="K3392">
        <v>1</v>
      </c>
      <c r="L3392">
        <v>2</v>
      </c>
      <c r="M3392">
        <v>287</v>
      </c>
      <c r="N3392">
        <v>413</v>
      </c>
      <c r="O3392">
        <v>6</v>
      </c>
      <c r="P3392">
        <v>413</v>
      </c>
      <c r="Q3392">
        <v>10</v>
      </c>
      <c r="R3392">
        <v>20</v>
      </c>
      <c r="S3392">
        <v>5</v>
      </c>
      <c r="T3392">
        <v>11</v>
      </c>
      <c r="U3392">
        <v>27</v>
      </c>
      <c r="V3392">
        <v>3</v>
      </c>
      <c r="W3392">
        <v>57</v>
      </c>
      <c r="X3392">
        <v>181</v>
      </c>
      <c r="Y3392">
        <v>12</v>
      </c>
      <c r="Z3392">
        <v>2</v>
      </c>
      <c r="AA3392">
        <v>4</v>
      </c>
      <c r="AB3392">
        <v>62</v>
      </c>
      <c r="AD3392">
        <v>0</v>
      </c>
      <c r="AE3392">
        <v>0</v>
      </c>
      <c r="AF3392">
        <v>0</v>
      </c>
      <c r="AG3392">
        <v>0</v>
      </c>
      <c r="AI3392">
        <v>0</v>
      </c>
      <c r="AJ3392">
        <v>0</v>
      </c>
      <c r="AK3392">
        <v>394</v>
      </c>
      <c r="AL3392">
        <v>394</v>
      </c>
      <c r="AM3392">
        <v>656</v>
      </c>
      <c r="AN3392">
        <v>44</v>
      </c>
      <c r="AP3392">
        <v>1</v>
      </c>
      <c r="AR3392" t="s">
        <v>3488</v>
      </c>
      <c r="AS3392" s="1">
        <v>44353.970138888886</v>
      </c>
      <c r="AT3392" s="1">
        <v>44354.012199074074</v>
      </c>
      <c r="AU3392" s="1">
        <v>44354.012997685182</v>
      </c>
      <c r="AV3392" t="s">
        <v>71</v>
      </c>
      <c r="AW3392" t="s">
        <v>72</v>
      </c>
      <c r="AX3392" t="s">
        <v>73</v>
      </c>
    </row>
    <row r="3393" spans="1:50" x14ac:dyDescent="0.3">
      <c r="A3393" t="str">
        <f>"201723B0000"</f>
        <v>201723B0000</v>
      </c>
      <c r="B3393" t="str">
        <f>"201723B00002"</f>
        <v>201723B00002</v>
      </c>
      <c r="C3393" t="str">
        <f t="shared" si="167"/>
        <v>20</v>
      </c>
      <c r="D3393" t="s">
        <v>67</v>
      </c>
      <c r="E3393" t="str">
        <f t="shared" si="166"/>
        <v>015</v>
      </c>
      <c r="F3393" t="s">
        <v>3364</v>
      </c>
      <c r="G3393" t="str">
        <f t="shared" ref="G3393:G3398" si="172">"1723"</f>
        <v>1723</v>
      </c>
      <c r="H3393" t="str">
        <f>"0000"</f>
        <v>0000</v>
      </c>
      <c r="I3393" t="s">
        <v>69</v>
      </c>
      <c r="J3393">
        <v>0</v>
      </c>
      <c r="K3393">
        <v>1</v>
      </c>
      <c r="L3393">
        <v>2</v>
      </c>
      <c r="M3393">
        <v>309</v>
      </c>
      <c r="N3393">
        <v>368</v>
      </c>
      <c r="O3393">
        <v>3</v>
      </c>
      <c r="P3393">
        <v>368</v>
      </c>
      <c r="Q3393">
        <v>12</v>
      </c>
      <c r="R3393">
        <v>38</v>
      </c>
      <c r="S3393">
        <v>5</v>
      </c>
      <c r="T3393">
        <v>7</v>
      </c>
      <c r="U3393">
        <v>19</v>
      </c>
      <c r="V3393">
        <v>4</v>
      </c>
      <c r="W3393">
        <v>33</v>
      </c>
      <c r="X3393">
        <v>176</v>
      </c>
      <c r="Y3393">
        <v>5</v>
      </c>
      <c r="Z3393">
        <v>4</v>
      </c>
      <c r="AA3393">
        <v>2</v>
      </c>
      <c r="AB3393">
        <v>53</v>
      </c>
      <c r="AD3393">
        <v>1</v>
      </c>
      <c r="AE3393">
        <v>0</v>
      </c>
      <c r="AF3393">
        <v>0</v>
      </c>
      <c r="AG3393">
        <v>0</v>
      </c>
      <c r="AI3393">
        <v>0</v>
      </c>
      <c r="AJ3393">
        <v>9</v>
      </c>
      <c r="AK3393">
        <v>368</v>
      </c>
      <c r="AL3393">
        <v>368</v>
      </c>
      <c r="AM3393">
        <v>633</v>
      </c>
      <c r="AN3393">
        <v>44</v>
      </c>
      <c r="AP3393">
        <v>1</v>
      </c>
      <c r="AR3393" t="s">
        <v>3489</v>
      </c>
      <c r="AS3393" s="1">
        <v>44353.974999999999</v>
      </c>
      <c r="AT3393" s="1">
        <v>44354.008460648147</v>
      </c>
      <c r="AU3393" s="1">
        <v>44354.009386574071</v>
      </c>
      <c r="AV3393" t="s">
        <v>71</v>
      </c>
      <c r="AW3393" t="s">
        <v>72</v>
      </c>
      <c r="AX3393" t="s">
        <v>73</v>
      </c>
    </row>
    <row r="3394" spans="1:50" x14ac:dyDescent="0.3">
      <c r="A3394" t="str">
        <f>"201723C0100"</f>
        <v>201723C0100</v>
      </c>
      <c r="B3394" t="str">
        <f>"201723C01002"</f>
        <v>201723C01002</v>
      </c>
      <c r="C3394" t="str">
        <f t="shared" si="167"/>
        <v>20</v>
      </c>
      <c r="D3394" t="s">
        <v>67</v>
      </c>
      <c r="E3394" t="str">
        <f t="shared" si="166"/>
        <v>015</v>
      </c>
      <c r="F3394" t="s">
        <v>3364</v>
      </c>
      <c r="G3394" t="str">
        <f t="shared" si="172"/>
        <v>1723</v>
      </c>
      <c r="H3394" t="str">
        <f>"0001"</f>
        <v>0001</v>
      </c>
      <c r="I3394" t="s">
        <v>75</v>
      </c>
      <c r="J3394">
        <v>0</v>
      </c>
      <c r="K3394">
        <v>1</v>
      </c>
      <c r="L3394">
        <v>2</v>
      </c>
      <c r="M3394">
        <v>315</v>
      </c>
      <c r="N3394">
        <v>362</v>
      </c>
      <c r="O3394">
        <v>3</v>
      </c>
      <c r="P3394">
        <v>362</v>
      </c>
      <c r="Q3394">
        <v>10</v>
      </c>
      <c r="R3394">
        <v>45</v>
      </c>
      <c r="S3394">
        <v>8</v>
      </c>
      <c r="T3394">
        <v>6</v>
      </c>
      <c r="U3394">
        <v>17</v>
      </c>
      <c r="V3394">
        <v>1</v>
      </c>
      <c r="W3394">
        <v>43</v>
      </c>
      <c r="X3394">
        <v>165</v>
      </c>
      <c r="Y3394">
        <v>1</v>
      </c>
      <c r="Z3394">
        <v>2</v>
      </c>
      <c r="AA3394">
        <v>5</v>
      </c>
      <c r="AB3394">
        <v>48</v>
      </c>
      <c r="AD3394">
        <v>2</v>
      </c>
      <c r="AE3394">
        <v>0</v>
      </c>
      <c r="AF3394">
        <v>1</v>
      </c>
      <c r="AG3394">
        <v>0</v>
      </c>
      <c r="AI3394">
        <v>0</v>
      </c>
      <c r="AJ3394">
        <v>8</v>
      </c>
      <c r="AK3394" t="s">
        <v>77</v>
      </c>
      <c r="AL3394">
        <v>362</v>
      </c>
      <c r="AM3394">
        <v>633</v>
      </c>
      <c r="AN3394">
        <v>44</v>
      </c>
      <c r="AP3394">
        <v>1</v>
      </c>
      <c r="AR3394" t="s">
        <v>3490</v>
      </c>
      <c r="AS3394" s="1">
        <v>44353.974999999999</v>
      </c>
      <c r="AT3394" s="1">
        <v>44354.009143518517</v>
      </c>
      <c r="AU3394" s="1">
        <v>44354.009965277779</v>
      </c>
      <c r="AV3394" t="s">
        <v>71</v>
      </c>
      <c r="AW3394" t="s">
        <v>72</v>
      </c>
      <c r="AX3394" t="s">
        <v>73</v>
      </c>
    </row>
    <row r="3395" spans="1:50" x14ac:dyDescent="0.3">
      <c r="A3395" t="str">
        <f>"201723C0200"</f>
        <v>201723C0200</v>
      </c>
      <c r="B3395" t="str">
        <f>"201723C02002"</f>
        <v>201723C02002</v>
      </c>
      <c r="C3395" t="str">
        <f t="shared" si="167"/>
        <v>20</v>
      </c>
      <c r="D3395" t="s">
        <v>67</v>
      </c>
      <c r="E3395" t="str">
        <f t="shared" si="166"/>
        <v>015</v>
      </c>
      <c r="F3395" t="s">
        <v>3364</v>
      </c>
      <c r="G3395" t="str">
        <f t="shared" si="172"/>
        <v>1723</v>
      </c>
      <c r="H3395" t="str">
        <f>"0002"</f>
        <v>0002</v>
      </c>
      <c r="I3395" t="s">
        <v>75</v>
      </c>
      <c r="J3395">
        <v>0</v>
      </c>
      <c r="K3395">
        <v>1</v>
      </c>
      <c r="L3395">
        <v>2</v>
      </c>
      <c r="M3395">
        <v>332</v>
      </c>
      <c r="N3395">
        <v>345</v>
      </c>
      <c r="O3395">
        <v>0</v>
      </c>
      <c r="P3395">
        <v>345</v>
      </c>
      <c r="Q3395">
        <v>9</v>
      </c>
      <c r="R3395">
        <v>28</v>
      </c>
      <c r="S3395">
        <v>7</v>
      </c>
      <c r="T3395">
        <v>4</v>
      </c>
      <c r="U3395">
        <v>17</v>
      </c>
      <c r="V3395">
        <v>5</v>
      </c>
      <c r="W3395">
        <v>24</v>
      </c>
      <c r="X3395">
        <v>178</v>
      </c>
      <c r="Y3395">
        <v>2</v>
      </c>
      <c r="Z3395">
        <v>10</v>
      </c>
      <c r="AA3395">
        <v>3</v>
      </c>
      <c r="AB3395">
        <v>43</v>
      </c>
      <c r="AD3395">
        <v>1</v>
      </c>
      <c r="AE3395">
        <v>0</v>
      </c>
      <c r="AF3395">
        <v>0</v>
      </c>
      <c r="AG3395">
        <v>0</v>
      </c>
      <c r="AI3395">
        <v>0</v>
      </c>
      <c r="AJ3395">
        <v>14</v>
      </c>
      <c r="AK3395">
        <v>345</v>
      </c>
      <c r="AL3395">
        <v>345</v>
      </c>
      <c r="AM3395">
        <v>633</v>
      </c>
      <c r="AN3395">
        <v>44</v>
      </c>
      <c r="AP3395">
        <v>1</v>
      </c>
      <c r="AR3395" t="s">
        <v>3491</v>
      </c>
      <c r="AS3395" s="1">
        <v>44353.975694444445</v>
      </c>
      <c r="AT3395" s="1">
        <v>44354.004826388889</v>
      </c>
      <c r="AU3395" s="1">
        <v>44354.005891203706</v>
      </c>
      <c r="AV3395" t="s">
        <v>71</v>
      </c>
      <c r="AW3395" t="s">
        <v>72</v>
      </c>
      <c r="AX3395" t="s">
        <v>73</v>
      </c>
    </row>
    <row r="3396" spans="1:50" x14ac:dyDescent="0.3">
      <c r="A3396" t="str">
        <f>"201723C0300"</f>
        <v>201723C0300</v>
      </c>
      <c r="B3396" t="str">
        <f>"201723C03002"</f>
        <v>201723C03002</v>
      </c>
      <c r="C3396" t="str">
        <f t="shared" si="167"/>
        <v>20</v>
      </c>
      <c r="D3396" t="s">
        <v>67</v>
      </c>
      <c r="E3396" t="str">
        <f t="shared" si="166"/>
        <v>015</v>
      </c>
      <c r="F3396" t="s">
        <v>3364</v>
      </c>
      <c r="G3396" t="str">
        <f t="shared" si="172"/>
        <v>1723</v>
      </c>
      <c r="H3396" t="str">
        <f>"0003"</f>
        <v>0003</v>
      </c>
      <c r="I3396" t="s">
        <v>75</v>
      </c>
      <c r="J3396">
        <v>0</v>
      </c>
      <c r="K3396">
        <v>1</v>
      </c>
      <c r="L3396">
        <v>2</v>
      </c>
      <c r="M3396">
        <v>333</v>
      </c>
      <c r="N3396">
        <v>343</v>
      </c>
      <c r="O3396">
        <v>0</v>
      </c>
      <c r="P3396">
        <v>343</v>
      </c>
      <c r="Q3396">
        <v>5</v>
      </c>
      <c r="R3396">
        <v>38</v>
      </c>
      <c r="S3396">
        <v>8</v>
      </c>
      <c r="T3396">
        <v>5</v>
      </c>
      <c r="U3396">
        <v>20</v>
      </c>
      <c r="V3396">
        <v>3</v>
      </c>
      <c r="W3396">
        <v>22</v>
      </c>
      <c r="X3396">
        <v>169</v>
      </c>
      <c r="Y3396">
        <v>5</v>
      </c>
      <c r="Z3396">
        <v>7</v>
      </c>
      <c r="AA3396">
        <v>3</v>
      </c>
      <c r="AB3396">
        <v>48</v>
      </c>
      <c r="AD3396">
        <v>2</v>
      </c>
      <c r="AE3396" t="s">
        <v>77</v>
      </c>
      <c r="AF3396" t="s">
        <v>77</v>
      </c>
      <c r="AG3396" t="s">
        <v>77</v>
      </c>
      <c r="AI3396" t="s">
        <v>77</v>
      </c>
      <c r="AJ3396">
        <v>8</v>
      </c>
      <c r="AK3396" t="s">
        <v>77</v>
      </c>
      <c r="AL3396">
        <v>343</v>
      </c>
      <c r="AM3396">
        <v>632</v>
      </c>
      <c r="AN3396">
        <v>44</v>
      </c>
      <c r="AO3396" t="s">
        <v>78</v>
      </c>
      <c r="AP3396">
        <v>1</v>
      </c>
      <c r="AR3396" t="s">
        <v>3492</v>
      </c>
      <c r="AS3396" s="1">
        <v>44353.975694444445</v>
      </c>
      <c r="AT3396" s="1">
        <v>44354.006226851852</v>
      </c>
      <c r="AU3396" s="1">
        <v>44354.006828703707</v>
      </c>
      <c r="AV3396" t="s">
        <v>71</v>
      </c>
      <c r="AW3396" t="s">
        <v>72</v>
      </c>
      <c r="AX3396" t="s">
        <v>73</v>
      </c>
    </row>
    <row r="3397" spans="1:50" x14ac:dyDescent="0.3">
      <c r="A3397" t="str">
        <f>"201723C0400"</f>
        <v>201723C0400</v>
      </c>
      <c r="B3397" t="str">
        <f>"201723C04002"</f>
        <v>201723C04002</v>
      </c>
      <c r="C3397" t="str">
        <f t="shared" si="167"/>
        <v>20</v>
      </c>
      <c r="D3397" t="s">
        <v>67</v>
      </c>
      <c r="E3397" t="str">
        <f t="shared" ref="E3397:E3460" si="173">"015"</f>
        <v>015</v>
      </c>
      <c r="F3397" t="s">
        <v>3364</v>
      </c>
      <c r="G3397" t="str">
        <f t="shared" si="172"/>
        <v>1723</v>
      </c>
      <c r="H3397" t="str">
        <f>"0004"</f>
        <v>0004</v>
      </c>
      <c r="I3397" t="s">
        <v>75</v>
      </c>
      <c r="J3397">
        <v>0</v>
      </c>
      <c r="K3397">
        <v>1</v>
      </c>
      <c r="L3397">
        <v>2</v>
      </c>
      <c r="M3397">
        <v>353</v>
      </c>
      <c r="N3397">
        <v>355</v>
      </c>
      <c r="O3397">
        <v>353</v>
      </c>
      <c r="P3397">
        <v>355</v>
      </c>
      <c r="Q3397">
        <v>10</v>
      </c>
      <c r="R3397">
        <v>35</v>
      </c>
      <c r="S3397">
        <v>5</v>
      </c>
      <c r="T3397">
        <v>9</v>
      </c>
      <c r="U3397">
        <v>22</v>
      </c>
      <c r="V3397">
        <v>5</v>
      </c>
      <c r="W3397">
        <v>30</v>
      </c>
      <c r="X3397">
        <v>160</v>
      </c>
      <c r="Y3397">
        <v>11</v>
      </c>
      <c r="Z3397">
        <v>5</v>
      </c>
      <c r="AA3397">
        <v>3</v>
      </c>
      <c r="AB3397">
        <v>45</v>
      </c>
      <c r="AD3397">
        <v>2</v>
      </c>
      <c r="AE3397">
        <v>0</v>
      </c>
      <c r="AF3397">
        <v>0</v>
      </c>
      <c r="AG3397">
        <v>0</v>
      </c>
      <c r="AI3397">
        <v>0</v>
      </c>
      <c r="AJ3397">
        <v>12</v>
      </c>
      <c r="AK3397">
        <v>355</v>
      </c>
      <c r="AL3397">
        <v>354</v>
      </c>
      <c r="AM3397">
        <v>632</v>
      </c>
      <c r="AN3397">
        <v>44</v>
      </c>
      <c r="AP3397">
        <v>1</v>
      </c>
      <c r="AR3397" t="s">
        <v>3493</v>
      </c>
      <c r="AS3397" s="1">
        <v>44353.975694444445</v>
      </c>
      <c r="AT3397" s="1">
        <v>44354.005428240744</v>
      </c>
      <c r="AU3397" s="1">
        <v>44354.006238425929</v>
      </c>
      <c r="AV3397" t="s">
        <v>71</v>
      </c>
      <c r="AW3397" t="s">
        <v>72</v>
      </c>
      <c r="AX3397" t="s">
        <v>73</v>
      </c>
    </row>
    <row r="3398" spans="1:50" x14ac:dyDescent="0.3">
      <c r="A3398" t="str">
        <f>"201723C0500"</f>
        <v>201723C0500</v>
      </c>
      <c r="B3398" t="str">
        <f>"201723C05002"</f>
        <v>201723C05002</v>
      </c>
      <c r="C3398" t="str">
        <f t="shared" si="167"/>
        <v>20</v>
      </c>
      <c r="D3398" t="s">
        <v>67</v>
      </c>
      <c r="E3398" t="str">
        <f t="shared" si="173"/>
        <v>015</v>
      </c>
      <c r="F3398" t="s">
        <v>3364</v>
      </c>
      <c r="G3398" t="str">
        <f t="shared" si="172"/>
        <v>1723</v>
      </c>
      <c r="H3398" t="str">
        <f>"0005"</f>
        <v>0005</v>
      </c>
      <c r="I3398" t="s">
        <v>75</v>
      </c>
      <c r="J3398">
        <v>0</v>
      </c>
      <c r="K3398">
        <v>1</v>
      </c>
      <c r="L3398">
        <v>2</v>
      </c>
      <c r="M3398">
        <v>330</v>
      </c>
      <c r="N3398">
        <v>346</v>
      </c>
      <c r="O3398">
        <v>8</v>
      </c>
      <c r="P3398">
        <v>346</v>
      </c>
      <c r="Q3398">
        <v>17</v>
      </c>
      <c r="R3398">
        <v>29</v>
      </c>
      <c r="S3398">
        <v>3</v>
      </c>
      <c r="T3398">
        <v>7</v>
      </c>
      <c r="U3398">
        <v>21</v>
      </c>
      <c r="V3398">
        <v>6</v>
      </c>
      <c r="W3398">
        <v>43</v>
      </c>
      <c r="X3398">
        <v>151</v>
      </c>
      <c r="Y3398">
        <v>3</v>
      </c>
      <c r="Z3398">
        <v>6</v>
      </c>
      <c r="AA3398">
        <v>1</v>
      </c>
      <c r="AB3398">
        <v>48</v>
      </c>
      <c r="AD3398">
        <v>1</v>
      </c>
      <c r="AE3398" t="s">
        <v>77</v>
      </c>
      <c r="AF3398" t="s">
        <v>77</v>
      </c>
      <c r="AG3398" t="s">
        <v>77</v>
      </c>
      <c r="AI3398" t="s">
        <v>77</v>
      </c>
      <c r="AJ3398">
        <v>10</v>
      </c>
      <c r="AK3398">
        <v>346</v>
      </c>
      <c r="AL3398">
        <v>346</v>
      </c>
      <c r="AM3398">
        <v>632</v>
      </c>
      <c r="AN3398">
        <v>44</v>
      </c>
      <c r="AO3398" t="s">
        <v>78</v>
      </c>
      <c r="AP3398">
        <v>1</v>
      </c>
      <c r="AR3398" t="s">
        <v>3494</v>
      </c>
      <c r="AS3398" s="1">
        <v>44353.976388888892</v>
      </c>
      <c r="AT3398" s="1">
        <v>44353.997581018521</v>
      </c>
      <c r="AU3398" s="1">
        <v>44353.998333333337</v>
      </c>
      <c r="AV3398" t="s">
        <v>71</v>
      </c>
      <c r="AW3398" t="s">
        <v>72</v>
      </c>
      <c r="AX3398" t="s">
        <v>73</v>
      </c>
    </row>
    <row r="3399" spans="1:50" x14ac:dyDescent="0.3">
      <c r="A3399" t="str">
        <f>"201724B0000"</f>
        <v>201724B0000</v>
      </c>
      <c r="B3399" t="str">
        <f>"201724B00002"</f>
        <v>201724B00002</v>
      </c>
      <c r="C3399" t="str">
        <f t="shared" ref="C3399:C3462" si="174">"20"</f>
        <v>20</v>
      </c>
      <c r="D3399" t="s">
        <v>67</v>
      </c>
      <c r="E3399" t="str">
        <f t="shared" si="173"/>
        <v>015</v>
      </c>
      <c r="F3399" t="s">
        <v>3364</v>
      </c>
      <c r="G3399" t="str">
        <f>"1724"</f>
        <v>1724</v>
      </c>
      <c r="H3399" t="str">
        <f>"0000"</f>
        <v>0000</v>
      </c>
      <c r="I3399" t="s">
        <v>69</v>
      </c>
      <c r="J3399">
        <v>0</v>
      </c>
      <c r="K3399">
        <v>1</v>
      </c>
      <c r="L3399">
        <v>2</v>
      </c>
      <c r="M3399">
        <v>226</v>
      </c>
      <c r="N3399">
        <v>400</v>
      </c>
      <c r="O3399">
        <v>5</v>
      </c>
      <c r="P3399">
        <v>400</v>
      </c>
      <c r="Q3399">
        <v>19</v>
      </c>
      <c r="R3399">
        <v>42</v>
      </c>
      <c r="S3399">
        <v>6</v>
      </c>
      <c r="T3399">
        <v>5</v>
      </c>
      <c r="U3399">
        <v>27</v>
      </c>
      <c r="V3399">
        <v>3</v>
      </c>
      <c r="W3399">
        <v>45</v>
      </c>
      <c r="X3399">
        <v>169</v>
      </c>
      <c r="Y3399">
        <v>12</v>
      </c>
      <c r="Z3399">
        <v>8</v>
      </c>
      <c r="AA3399">
        <v>0</v>
      </c>
      <c r="AB3399">
        <v>45</v>
      </c>
      <c r="AD3399">
        <v>2</v>
      </c>
      <c r="AE3399">
        <v>0</v>
      </c>
      <c r="AF3399">
        <v>1</v>
      </c>
      <c r="AG3399">
        <v>1</v>
      </c>
      <c r="AI3399">
        <v>0</v>
      </c>
      <c r="AJ3399">
        <v>15</v>
      </c>
      <c r="AK3399">
        <v>400</v>
      </c>
      <c r="AL3399">
        <v>400</v>
      </c>
      <c r="AM3399">
        <v>582</v>
      </c>
      <c r="AN3399">
        <v>44</v>
      </c>
      <c r="AP3399">
        <v>1</v>
      </c>
      <c r="AR3399" s="2" t="s">
        <v>3495</v>
      </c>
      <c r="AS3399" s="1">
        <v>44353.972916666666</v>
      </c>
      <c r="AT3399" s="1">
        <v>44353.998530092591</v>
      </c>
      <c r="AU3399" s="1">
        <v>44353.999236111114</v>
      </c>
      <c r="AV3399" t="s">
        <v>71</v>
      </c>
      <c r="AW3399" t="s">
        <v>72</v>
      </c>
      <c r="AX3399" t="s">
        <v>73</v>
      </c>
    </row>
    <row r="3400" spans="1:50" x14ac:dyDescent="0.3">
      <c r="A3400" t="str">
        <f>"201724C0100"</f>
        <v>201724C0100</v>
      </c>
      <c r="B3400" t="str">
        <f>"201724C01002"</f>
        <v>201724C01002</v>
      </c>
      <c r="C3400" t="str">
        <f t="shared" si="174"/>
        <v>20</v>
      </c>
      <c r="D3400" t="s">
        <v>67</v>
      </c>
      <c r="E3400" t="str">
        <f t="shared" si="173"/>
        <v>015</v>
      </c>
      <c r="F3400" t="s">
        <v>3364</v>
      </c>
      <c r="G3400" t="str">
        <f>"1724"</f>
        <v>1724</v>
      </c>
      <c r="H3400" t="str">
        <f>"0001"</f>
        <v>0001</v>
      </c>
      <c r="I3400" t="s">
        <v>75</v>
      </c>
      <c r="J3400">
        <v>0</v>
      </c>
      <c r="K3400">
        <v>1</v>
      </c>
      <c r="L3400">
        <v>2</v>
      </c>
      <c r="M3400">
        <v>260</v>
      </c>
      <c r="N3400">
        <v>366</v>
      </c>
      <c r="O3400">
        <v>2</v>
      </c>
      <c r="P3400">
        <v>366</v>
      </c>
      <c r="Q3400">
        <v>11</v>
      </c>
      <c r="R3400">
        <v>32</v>
      </c>
      <c r="S3400">
        <v>8</v>
      </c>
      <c r="T3400">
        <v>5</v>
      </c>
      <c r="U3400">
        <v>21</v>
      </c>
      <c r="V3400">
        <v>1</v>
      </c>
      <c r="W3400">
        <v>29</v>
      </c>
      <c r="X3400">
        <v>175</v>
      </c>
      <c r="Y3400">
        <v>4</v>
      </c>
      <c r="Z3400">
        <v>4</v>
      </c>
      <c r="AA3400">
        <v>2</v>
      </c>
      <c r="AB3400">
        <v>60</v>
      </c>
      <c r="AD3400">
        <v>0</v>
      </c>
      <c r="AE3400">
        <v>0</v>
      </c>
      <c r="AF3400">
        <v>0</v>
      </c>
      <c r="AG3400">
        <v>0</v>
      </c>
      <c r="AI3400">
        <v>0</v>
      </c>
      <c r="AJ3400">
        <v>14</v>
      </c>
      <c r="AK3400">
        <v>366</v>
      </c>
      <c r="AL3400">
        <v>366</v>
      </c>
      <c r="AM3400">
        <v>582</v>
      </c>
      <c r="AN3400">
        <v>44</v>
      </c>
      <c r="AP3400">
        <v>1</v>
      </c>
      <c r="AR3400" t="s">
        <v>3496</v>
      </c>
      <c r="AS3400" s="1">
        <v>44353.975694444445</v>
      </c>
      <c r="AT3400" s="1">
        <v>44354.006423611114</v>
      </c>
      <c r="AU3400" s="1">
        <v>44354.007060185184</v>
      </c>
      <c r="AV3400" t="s">
        <v>71</v>
      </c>
      <c r="AW3400" t="s">
        <v>72</v>
      </c>
      <c r="AX3400" t="s">
        <v>73</v>
      </c>
    </row>
    <row r="3401" spans="1:50" x14ac:dyDescent="0.3">
      <c r="A3401" t="str">
        <f>"201724C0200"</f>
        <v>201724C0200</v>
      </c>
      <c r="B3401" t="str">
        <f>"201724C02002"</f>
        <v>201724C02002</v>
      </c>
      <c r="C3401" t="str">
        <f t="shared" si="174"/>
        <v>20</v>
      </c>
      <c r="D3401" t="s">
        <v>67</v>
      </c>
      <c r="E3401" t="str">
        <f t="shared" si="173"/>
        <v>015</v>
      </c>
      <c r="F3401" t="s">
        <v>3364</v>
      </c>
      <c r="G3401" t="str">
        <f>"1724"</f>
        <v>1724</v>
      </c>
      <c r="H3401" t="str">
        <f>"0002"</f>
        <v>0002</v>
      </c>
      <c r="I3401" t="s">
        <v>75</v>
      </c>
      <c r="J3401">
        <v>0</v>
      </c>
      <c r="K3401">
        <v>1</v>
      </c>
      <c r="L3401">
        <v>2</v>
      </c>
      <c r="M3401">
        <v>269</v>
      </c>
      <c r="N3401">
        <v>357</v>
      </c>
      <c r="O3401">
        <v>3</v>
      </c>
      <c r="P3401" t="s">
        <v>80</v>
      </c>
      <c r="Q3401">
        <v>13</v>
      </c>
      <c r="R3401">
        <v>28</v>
      </c>
      <c r="S3401">
        <v>5</v>
      </c>
      <c r="T3401">
        <v>2</v>
      </c>
      <c r="U3401">
        <v>19</v>
      </c>
      <c r="V3401">
        <v>6</v>
      </c>
      <c r="W3401">
        <v>30</v>
      </c>
      <c r="X3401">
        <v>168</v>
      </c>
      <c r="Y3401">
        <v>9</v>
      </c>
      <c r="Z3401">
        <v>4</v>
      </c>
      <c r="AA3401">
        <v>3</v>
      </c>
      <c r="AB3401">
        <v>53</v>
      </c>
      <c r="AD3401">
        <v>1</v>
      </c>
      <c r="AE3401">
        <v>0</v>
      </c>
      <c r="AF3401">
        <v>0</v>
      </c>
      <c r="AG3401">
        <v>1</v>
      </c>
      <c r="AI3401">
        <v>0</v>
      </c>
      <c r="AJ3401">
        <v>15</v>
      </c>
      <c r="AK3401">
        <v>357</v>
      </c>
      <c r="AL3401">
        <v>357</v>
      </c>
      <c r="AM3401">
        <v>582</v>
      </c>
      <c r="AN3401">
        <v>44</v>
      </c>
      <c r="AP3401">
        <v>1</v>
      </c>
      <c r="AR3401" t="s">
        <v>3497</v>
      </c>
      <c r="AS3401" s="1">
        <v>44353.972916666666</v>
      </c>
      <c r="AT3401" s="1">
        <v>44353.997858796298</v>
      </c>
      <c r="AU3401" s="1">
        <v>44353.998993055553</v>
      </c>
      <c r="AV3401" t="s">
        <v>71</v>
      </c>
      <c r="AW3401" t="s">
        <v>72</v>
      </c>
      <c r="AX3401" t="s">
        <v>73</v>
      </c>
    </row>
    <row r="3402" spans="1:50" x14ac:dyDescent="0.3">
      <c r="A3402" t="str">
        <f>"201724C0300"</f>
        <v>201724C0300</v>
      </c>
      <c r="B3402" t="str">
        <f>"201724C03002"</f>
        <v>201724C03002</v>
      </c>
      <c r="C3402" t="str">
        <f t="shared" si="174"/>
        <v>20</v>
      </c>
      <c r="D3402" t="s">
        <v>67</v>
      </c>
      <c r="E3402" t="str">
        <f t="shared" si="173"/>
        <v>015</v>
      </c>
      <c r="F3402" t="s">
        <v>3364</v>
      </c>
      <c r="G3402" t="str">
        <f>"1724"</f>
        <v>1724</v>
      </c>
      <c r="H3402" t="str">
        <f>"0003"</f>
        <v>0003</v>
      </c>
      <c r="I3402" t="s">
        <v>75</v>
      </c>
      <c r="J3402">
        <v>0</v>
      </c>
      <c r="K3402">
        <v>1</v>
      </c>
      <c r="L3402">
        <v>2</v>
      </c>
      <c r="M3402">
        <v>247</v>
      </c>
      <c r="N3402">
        <v>378</v>
      </c>
      <c r="O3402">
        <v>5</v>
      </c>
      <c r="P3402">
        <v>378</v>
      </c>
      <c r="Q3402">
        <v>7</v>
      </c>
      <c r="R3402">
        <v>35</v>
      </c>
      <c r="S3402">
        <v>10</v>
      </c>
      <c r="T3402">
        <v>5</v>
      </c>
      <c r="U3402">
        <v>21</v>
      </c>
      <c r="V3402">
        <v>5</v>
      </c>
      <c r="W3402">
        <v>34</v>
      </c>
      <c r="X3402">
        <v>183</v>
      </c>
      <c r="Y3402">
        <v>7</v>
      </c>
      <c r="Z3402">
        <v>5</v>
      </c>
      <c r="AA3402">
        <v>1</v>
      </c>
      <c r="AB3402">
        <v>51</v>
      </c>
      <c r="AD3402">
        <v>1</v>
      </c>
      <c r="AE3402">
        <v>0</v>
      </c>
      <c r="AF3402">
        <v>1</v>
      </c>
      <c r="AG3402">
        <v>0</v>
      </c>
      <c r="AI3402">
        <v>0</v>
      </c>
      <c r="AJ3402">
        <v>12</v>
      </c>
      <c r="AK3402">
        <v>378</v>
      </c>
      <c r="AL3402">
        <v>378</v>
      </c>
      <c r="AM3402">
        <v>581</v>
      </c>
      <c r="AN3402">
        <v>44</v>
      </c>
      <c r="AP3402">
        <v>1</v>
      </c>
      <c r="AR3402" t="s">
        <v>3498</v>
      </c>
      <c r="AS3402" s="1">
        <v>44353.975694444445</v>
      </c>
      <c r="AT3402" s="1">
        <v>44354.007453703707</v>
      </c>
      <c r="AU3402" s="1">
        <v>44354.008043981485</v>
      </c>
      <c r="AV3402" t="s">
        <v>71</v>
      </c>
      <c r="AW3402" t="s">
        <v>72</v>
      </c>
      <c r="AX3402" t="s">
        <v>73</v>
      </c>
    </row>
    <row r="3403" spans="1:50" x14ac:dyDescent="0.3">
      <c r="A3403" t="str">
        <f>"201725B0000"</f>
        <v>201725B0000</v>
      </c>
      <c r="B3403" t="str">
        <f>"201725B00002"</f>
        <v>201725B00002</v>
      </c>
      <c r="C3403" t="str">
        <f t="shared" si="174"/>
        <v>20</v>
      </c>
      <c r="D3403" t="s">
        <v>67</v>
      </c>
      <c r="E3403" t="str">
        <f t="shared" si="173"/>
        <v>015</v>
      </c>
      <c r="F3403" t="s">
        <v>3364</v>
      </c>
      <c r="G3403" t="str">
        <f>"1725"</f>
        <v>1725</v>
      </c>
      <c r="H3403" t="str">
        <f>"0000"</f>
        <v>0000</v>
      </c>
      <c r="I3403" t="s">
        <v>69</v>
      </c>
      <c r="J3403">
        <v>0</v>
      </c>
      <c r="K3403">
        <v>1</v>
      </c>
      <c r="L3403">
        <v>2</v>
      </c>
      <c r="M3403">
        <v>335</v>
      </c>
      <c r="N3403">
        <v>407</v>
      </c>
      <c r="O3403">
        <v>5</v>
      </c>
      <c r="P3403">
        <v>407</v>
      </c>
      <c r="Q3403">
        <v>11</v>
      </c>
      <c r="R3403">
        <v>37</v>
      </c>
      <c r="S3403">
        <v>4</v>
      </c>
      <c r="T3403">
        <v>11</v>
      </c>
      <c r="U3403">
        <v>22</v>
      </c>
      <c r="V3403">
        <v>6</v>
      </c>
      <c r="W3403">
        <v>31</v>
      </c>
      <c r="X3403">
        <v>196</v>
      </c>
      <c r="Y3403">
        <v>7</v>
      </c>
      <c r="Z3403">
        <v>14</v>
      </c>
      <c r="AA3403">
        <v>3</v>
      </c>
      <c r="AB3403">
        <v>45</v>
      </c>
      <c r="AD3403">
        <v>2</v>
      </c>
      <c r="AE3403">
        <v>0</v>
      </c>
      <c r="AF3403">
        <v>0</v>
      </c>
      <c r="AG3403">
        <v>0</v>
      </c>
      <c r="AI3403">
        <v>0</v>
      </c>
      <c r="AJ3403">
        <v>18</v>
      </c>
      <c r="AK3403">
        <v>407</v>
      </c>
      <c r="AL3403">
        <v>407</v>
      </c>
      <c r="AM3403">
        <v>698</v>
      </c>
      <c r="AN3403">
        <v>44</v>
      </c>
      <c r="AP3403">
        <v>1</v>
      </c>
      <c r="AR3403" t="s">
        <v>3499</v>
      </c>
      <c r="AS3403" s="1">
        <v>44354.038194444445</v>
      </c>
      <c r="AT3403" s="1">
        <v>44354.057268518518</v>
      </c>
      <c r="AU3403" s="1">
        <v>44354.057824074072</v>
      </c>
      <c r="AV3403" t="s">
        <v>71</v>
      </c>
      <c r="AW3403" t="s">
        <v>72</v>
      </c>
      <c r="AX3403" t="s">
        <v>73</v>
      </c>
    </row>
    <row r="3404" spans="1:50" x14ac:dyDescent="0.3">
      <c r="A3404" t="str">
        <f>"201725C0100"</f>
        <v>201725C0100</v>
      </c>
      <c r="B3404" t="str">
        <f>"201725C01002"</f>
        <v>201725C01002</v>
      </c>
      <c r="C3404" t="str">
        <f t="shared" si="174"/>
        <v>20</v>
      </c>
      <c r="D3404" t="s">
        <v>67</v>
      </c>
      <c r="E3404" t="str">
        <f t="shared" si="173"/>
        <v>015</v>
      </c>
      <c r="F3404" t="s">
        <v>3364</v>
      </c>
      <c r="G3404" t="str">
        <f>"1725"</f>
        <v>1725</v>
      </c>
      <c r="H3404" t="str">
        <f>"0001"</f>
        <v>0001</v>
      </c>
      <c r="I3404" t="s">
        <v>75</v>
      </c>
      <c r="J3404">
        <v>0</v>
      </c>
      <c r="K3404">
        <v>1</v>
      </c>
      <c r="L3404">
        <v>2</v>
      </c>
      <c r="M3404">
        <v>323</v>
      </c>
      <c r="N3404">
        <v>419</v>
      </c>
      <c r="O3404">
        <v>1</v>
      </c>
      <c r="P3404">
        <v>419</v>
      </c>
      <c r="Q3404">
        <v>15</v>
      </c>
      <c r="R3404">
        <v>40</v>
      </c>
      <c r="S3404">
        <v>5</v>
      </c>
      <c r="T3404">
        <v>7</v>
      </c>
      <c r="U3404">
        <v>26</v>
      </c>
      <c r="V3404">
        <v>3</v>
      </c>
      <c r="W3404">
        <v>30</v>
      </c>
      <c r="X3404">
        <v>197</v>
      </c>
      <c r="Y3404">
        <v>8</v>
      </c>
      <c r="Z3404">
        <v>9</v>
      </c>
      <c r="AA3404">
        <v>3</v>
      </c>
      <c r="AB3404">
        <v>56</v>
      </c>
      <c r="AD3404">
        <v>2</v>
      </c>
      <c r="AE3404">
        <v>0</v>
      </c>
      <c r="AF3404">
        <v>0</v>
      </c>
      <c r="AG3404">
        <v>0</v>
      </c>
      <c r="AI3404">
        <v>1</v>
      </c>
      <c r="AJ3404">
        <v>17</v>
      </c>
      <c r="AK3404">
        <v>419</v>
      </c>
      <c r="AL3404">
        <v>419</v>
      </c>
      <c r="AM3404">
        <v>698</v>
      </c>
      <c r="AN3404">
        <v>44</v>
      </c>
      <c r="AP3404">
        <v>1</v>
      </c>
      <c r="AR3404" t="s">
        <v>3500</v>
      </c>
      <c r="AS3404" s="1">
        <v>44354.032638888886</v>
      </c>
      <c r="AT3404" s="1">
        <v>44354.055428240739</v>
      </c>
      <c r="AU3404" s="1">
        <v>44354.056145833332</v>
      </c>
      <c r="AV3404" t="s">
        <v>71</v>
      </c>
      <c r="AW3404" t="s">
        <v>72</v>
      </c>
      <c r="AX3404" t="s">
        <v>73</v>
      </c>
    </row>
    <row r="3405" spans="1:50" x14ac:dyDescent="0.3">
      <c r="A3405" t="str">
        <f>"201725C0200"</f>
        <v>201725C0200</v>
      </c>
      <c r="B3405" t="str">
        <f>"201725C02002"</f>
        <v>201725C02002</v>
      </c>
      <c r="C3405" t="str">
        <f t="shared" si="174"/>
        <v>20</v>
      </c>
      <c r="D3405" t="s">
        <v>67</v>
      </c>
      <c r="E3405" t="str">
        <f t="shared" si="173"/>
        <v>015</v>
      </c>
      <c r="F3405" t="s">
        <v>3364</v>
      </c>
      <c r="G3405" t="str">
        <f>"1725"</f>
        <v>1725</v>
      </c>
      <c r="H3405" t="str">
        <f>"0002"</f>
        <v>0002</v>
      </c>
      <c r="I3405" t="s">
        <v>75</v>
      </c>
      <c r="J3405">
        <v>0</v>
      </c>
      <c r="K3405">
        <v>1</v>
      </c>
      <c r="L3405">
        <v>2</v>
      </c>
      <c r="M3405">
        <v>290</v>
      </c>
      <c r="N3405">
        <v>452</v>
      </c>
      <c r="O3405">
        <v>8</v>
      </c>
      <c r="P3405">
        <v>452</v>
      </c>
      <c r="Q3405">
        <v>12</v>
      </c>
      <c r="R3405">
        <v>45</v>
      </c>
      <c r="S3405">
        <v>8</v>
      </c>
      <c r="T3405">
        <v>3</v>
      </c>
      <c r="U3405">
        <v>31</v>
      </c>
      <c r="V3405">
        <v>8</v>
      </c>
      <c r="W3405">
        <v>34</v>
      </c>
      <c r="X3405">
        <v>208</v>
      </c>
      <c r="Y3405">
        <v>6</v>
      </c>
      <c r="Z3405">
        <v>17</v>
      </c>
      <c r="AA3405">
        <v>2</v>
      </c>
      <c r="AB3405">
        <v>67</v>
      </c>
      <c r="AD3405">
        <v>3</v>
      </c>
      <c r="AE3405">
        <v>0</v>
      </c>
      <c r="AF3405">
        <v>0</v>
      </c>
      <c r="AG3405">
        <v>0</v>
      </c>
      <c r="AI3405">
        <v>0</v>
      </c>
      <c r="AJ3405">
        <v>8</v>
      </c>
      <c r="AK3405">
        <v>452</v>
      </c>
      <c r="AL3405">
        <v>452</v>
      </c>
      <c r="AM3405">
        <v>698</v>
      </c>
      <c r="AN3405">
        <v>44</v>
      </c>
      <c r="AP3405">
        <v>1</v>
      </c>
      <c r="AR3405" t="s">
        <v>3501</v>
      </c>
      <c r="AS3405" s="1">
        <v>44354.038194444445</v>
      </c>
      <c r="AT3405" s="1">
        <v>44354.057175925926</v>
      </c>
      <c r="AU3405" s="1">
        <v>44354.057708333334</v>
      </c>
      <c r="AV3405" t="s">
        <v>71</v>
      </c>
      <c r="AW3405" t="s">
        <v>72</v>
      </c>
      <c r="AX3405" t="s">
        <v>73</v>
      </c>
    </row>
    <row r="3406" spans="1:50" x14ac:dyDescent="0.3">
      <c r="A3406" t="str">
        <f>"201725C0300"</f>
        <v>201725C0300</v>
      </c>
      <c r="B3406" t="str">
        <f>"201725C03002"</f>
        <v>201725C03002</v>
      </c>
      <c r="C3406" t="str">
        <f t="shared" si="174"/>
        <v>20</v>
      </c>
      <c r="D3406" t="s">
        <v>67</v>
      </c>
      <c r="E3406" t="str">
        <f t="shared" si="173"/>
        <v>015</v>
      </c>
      <c r="F3406" t="s">
        <v>3364</v>
      </c>
      <c r="G3406" t="str">
        <f>"1725"</f>
        <v>1725</v>
      </c>
      <c r="H3406" t="str">
        <f>"0003"</f>
        <v>0003</v>
      </c>
      <c r="I3406" t="s">
        <v>75</v>
      </c>
      <c r="J3406">
        <v>0</v>
      </c>
      <c r="K3406">
        <v>1</v>
      </c>
      <c r="L3406">
        <v>2</v>
      </c>
      <c r="M3406">
        <v>341</v>
      </c>
      <c r="N3406">
        <v>401</v>
      </c>
      <c r="O3406">
        <v>7</v>
      </c>
      <c r="P3406">
        <v>401</v>
      </c>
      <c r="Q3406">
        <v>15</v>
      </c>
      <c r="R3406">
        <v>49</v>
      </c>
      <c r="S3406">
        <v>1</v>
      </c>
      <c r="T3406">
        <v>5</v>
      </c>
      <c r="U3406">
        <v>22</v>
      </c>
      <c r="V3406">
        <v>7</v>
      </c>
      <c r="W3406">
        <v>44</v>
      </c>
      <c r="X3406">
        <v>178</v>
      </c>
      <c r="Y3406">
        <v>6</v>
      </c>
      <c r="Z3406">
        <v>12</v>
      </c>
      <c r="AA3406">
        <v>0</v>
      </c>
      <c r="AB3406">
        <v>44</v>
      </c>
      <c r="AD3406">
        <v>2</v>
      </c>
      <c r="AE3406">
        <v>1</v>
      </c>
      <c r="AF3406">
        <v>0</v>
      </c>
      <c r="AG3406">
        <v>0</v>
      </c>
      <c r="AI3406">
        <v>0</v>
      </c>
      <c r="AJ3406">
        <v>15</v>
      </c>
      <c r="AK3406">
        <v>401</v>
      </c>
      <c r="AL3406">
        <v>401</v>
      </c>
      <c r="AM3406">
        <v>698</v>
      </c>
      <c r="AN3406">
        <v>44</v>
      </c>
      <c r="AP3406">
        <v>1</v>
      </c>
      <c r="AR3406" t="s">
        <v>3502</v>
      </c>
      <c r="AS3406" s="1">
        <v>44354.036111111112</v>
      </c>
      <c r="AT3406" s="1">
        <v>44354.050949074073</v>
      </c>
      <c r="AU3406" s="1">
        <v>44354.051562499997</v>
      </c>
      <c r="AV3406" t="s">
        <v>71</v>
      </c>
      <c r="AW3406" t="s">
        <v>72</v>
      </c>
      <c r="AX3406" t="s">
        <v>73</v>
      </c>
    </row>
    <row r="3407" spans="1:50" x14ac:dyDescent="0.3">
      <c r="A3407" t="str">
        <f>"201725C0400"</f>
        <v>201725C0400</v>
      </c>
      <c r="B3407" t="str">
        <f>"201725C04002"</f>
        <v>201725C04002</v>
      </c>
      <c r="C3407" t="str">
        <f t="shared" si="174"/>
        <v>20</v>
      </c>
      <c r="D3407" t="s">
        <v>67</v>
      </c>
      <c r="E3407" t="str">
        <f t="shared" si="173"/>
        <v>015</v>
      </c>
      <c r="F3407" t="s">
        <v>3364</v>
      </c>
      <c r="G3407" t="str">
        <f>"1725"</f>
        <v>1725</v>
      </c>
      <c r="H3407" t="str">
        <f>"0004"</f>
        <v>0004</v>
      </c>
      <c r="I3407" t="s">
        <v>75</v>
      </c>
      <c r="J3407">
        <v>0</v>
      </c>
      <c r="K3407">
        <v>1</v>
      </c>
      <c r="L3407">
        <v>2</v>
      </c>
      <c r="M3407">
        <v>333</v>
      </c>
      <c r="N3407">
        <v>408</v>
      </c>
      <c r="O3407">
        <v>7</v>
      </c>
      <c r="P3407">
        <v>408</v>
      </c>
      <c r="Q3407">
        <v>11</v>
      </c>
      <c r="R3407">
        <v>46</v>
      </c>
      <c r="S3407">
        <v>6</v>
      </c>
      <c r="T3407">
        <v>6</v>
      </c>
      <c r="U3407">
        <v>20</v>
      </c>
      <c r="V3407">
        <v>8</v>
      </c>
      <c r="W3407">
        <v>31</v>
      </c>
      <c r="X3407">
        <v>183</v>
      </c>
      <c r="Y3407">
        <v>10</v>
      </c>
      <c r="Z3407">
        <v>11</v>
      </c>
      <c r="AA3407">
        <v>6</v>
      </c>
      <c r="AB3407">
        <v>52</v>
      </c>
      <c r="AD3407">
        <v>2</v>
      </c>
      <c r="AE3407">
        <v>0</v>
      </c>
      <c r="AF3407">
        <v>0</v>
      </c>
      <c r="AG3407">
        <v>0</v>
      </c>
      <c r="AI3407">
        <v>1</v>
      </c>
      <c r="AJ3407">
        <v>15</v>
      </c>
      <c r="AK3407">
        <v>408</v>
      </c>
      <c r="AL3407">
        <v>408</v>
      </c>
      <c r="AM3407">
        <v>697</v>
      </c>
      <c r="AN3407">
        <v>44</v>
      </c>
      <c r="AP3407">
        <v>1</v>
      </c>
      <c r="AR3407" t="s">
        <v>3503</v>
      </c>
      <c r="AS3407" s="1">
        <v>44354.036111111112</v>
      </c>
      <c r="AT3407" s="1">
        <v>44354.050509259258</v>
      </c>
      <c r="AU3407" s="1">
        <v>44354.051249999997</v>
      </c>
      <c r="AV3407" t="s">
        <v>71</v>
      </c>
      <c r="AW3407" t="s">
        <v>72</v>
      </c>
      <c r="AX3407" t="s">
        <v>73</v>
      </c>
    </row>
    <row r="3408" spans="1:50" x14ac:dyDescent="0.3">
      <c r="A3408" t="str">
        <f>"201726B0000"</f>
        <v>201726B0000</v>
      </c>
      <c r="B3408" t="str">
        <f>"201726B00002"</f>
        <v>201726B00002</v>
      </c>
      <c r="C3408" t="str">
        <f t="shared" si="174"/>
        <v>20</v>
      </c>
      <c r="D3408" t="s">
        <v>67</v>
      </c>
      <c r="E3408" t="str">
        <f t="shared" si="173"/>
        <v>015</v>
      </c>
      <c r="F3408" t="s">
        <v>3364</v>
      </c>
      <c r="G3408" t="str">
        <f t="shared" ref="G3408:G3414" si="175">"1726"</f>
        <v>1726</v>
      </c>
      <c r="H3408" t="str">
        <f>"0000"</f>
        <v>0000</v>
      </c>
      <c r="I3408" t="s">
        <v>69</v>
      </c>
      <c r="J3408">
        <v>0</v>
      </c>
      <c r="K3408">
        <v>1</v>
      </c>
      <c r="L3408">
        <v>2</v>
      </c>
      <c r="M3408">
        <v>333</v>
      </c>
      <c r="N3408">
        <v>439</v>
      </c>
      <c r="O3408">
        <v>4</v>
      </c>
      <c r="P3408">
        <v>446</v>
      </c>
      <c r="Q3408">
        <v>12</v>
      </c>
      <c r="R3408">
        <v>51</v>
      </c>
      <c r="S3408">
        <v>5</v>
      </c>
      <c r="T3408">
        <v>10</v>
      </c>
      <c r="U3408">
        <v>26</v>
      </c>
      <c r="V3408">
        <v>3</v>
      </c>
      <c r="W3408">
        <v>29</v>
      </c>
      <c r="X3408">
        <v>214</v>
      </c>
      <c r="Y3408">
        <v>8</v>
      </c>
      <c r="Z3408">
        <v>6</v>
      </c>
      <c r="AA3408">
        <v>3</v>
      </c>
      <c r="AB3408">
        <v>72</v>
      </c>
      <c r="AD3408">
        <v>2</v>
      </c>
      <c r="AE3408">
        <v>0</v>
      </c>
      <c r="AF3408">
        <v>0</v>
      </c>
      <c r="AG3408">
        <v>0</v>
      </c>
      <c r="AI3408">
        <v>0</v>
      </c>
      <c r="AJ3408">
        <v>5</v>
      </c>
      <c r="AK3408">
        <v>446</v>
      </c>
      <c r="AL3408">
        <v>446</v>
      </c>
      <c r="AM3408">
        <v>728</v>
      </c>
      <c r="AN3408">
        <v>44</v>
      </c>
      <c r="AP3408">
        <v>1</v>
      </c>
      <c r="AR3408" t="s">
        <v>3504</v>
      </c>
      <c r="AS3408" s="1">
        <v>44354.063888888886</v>
      </c>
      <c r="AT3408" s="1">
        <v>44354.086446759262</v>
      </c>
      <c r="AU3408" s="1">
        <v>44354.087187500001</v>
      </c>
      <c r="AV3408" t="s">
        <v>71</v>
      </c>
      <c r="AW3408" t="s">
        <v>72</v>
      </c>
      <c r="AX3408" t="s">
        <v>73</v>
      </c>
    </row>
    <row r="3409" spans="1:50" x14ac:dyDescent="0.3">
      <c r="A3409" t="str">
        <f>"201726C0100"</f>
        <v>201726C0100</v>
      </c>
      <c r="B3409" t="str">
        <f>"201726C01002"</f>
        <v>201726C01002</v>
      </c>
      <c r="C3409" t="str">
        <f t="shared" si="174"/>
        <v>20</v>
      </c>
      <c r="D3409" t="s">
        <v>67</v>
      </c>
      <c r="E3409" t="str">
        <f t="shared" si="173"/>
        <v>015</v>
      </c>
      <c r="F3409" t="s">
        <v>3364</v>
      </c>
      <c r="G3409" t="str">
        <f t="shared" si="175"/>
        <v>1726</v>
      </c>
      <c r="H3409" t="str">
        <f>"0001"</f>
        <v>0001</v>
      </c>
      <c r="I3409" t="s">
        <v>75</v>
      </c>
      <c r="J3409">
        <v>0</v>
      </c>
      <c r="K3409">
        <v>1</v>
      </c>
      <c r="L3409">
        <v>2</v>
      </c>
      <c r="M3409">
        <v>333</v>
      </c>
      <c r="N3409">
        <v>439</v>
      </c>
      <c r="O3409">
        <v>9</v>
      </c>
      <c r="P3409">
        <v>432</v>
      </c>
      <c r="Q3409">
        <v>15</v>
      </c>
      <c r="R3409">
        <v>51</v>
      </c>
      <c r="S3409">
        <v>7</v>
      </c>
      <c r="T3409">
        <v>3</v>
      </c>
      <c r="U3409">
        <v>29</v>
      </c>
      <c r="V3409">
        <v>5</v>
      </c>
      <c r="W3409">
        <v>37</v>
      </c>
      <c r="X3409">
        <v>178</v>
      </c>
      <c r="Y3409">
        <v>6</v>
      </c>
      <c r="Z3409">
        <v>7</v>
      </c>
      <c r="AA3409">
        <v>3</v>
      </c>
      <c r="AB3409">
        <v>74</v>
      </c>
      <c r="AD3409">
        <v>4</v>
      </c>
      <c r="AE3409">
        <v>0</v>
      </c>
      <c r="AF3409">
        <v>0</v>
      </c>
      <c r="AG3409">
        <v>0</v>
      </c>
      <c r="AI3409">
        <v>0</v>
      </c>
      <c r="AJ3409">
        <v>13</v>
      </c>
      <c r="AK3409">
        <v>432</v>
      </c>
      <c r="AL3409">
        <v>432</v>
      </c>
      <c r="AM3409">
        <v>728</v>
      </c>
      <c r="AN3409">
        <v>44</v>
      </c>
      <c r="AP3409">
        <v>1</v>
      </c>
      <c r="AR3409" t="s">
        <v>3505</v>
      </c>
      <c r="AS3409" s="1">
        <v>44354.0625</v>
      </c>
      <c r="AT3409" s="1">
        <v>44354.095601851855</v>
      </c>
      <c r="AU3409" s="1">
        <v>44354.096261574072</v>
      </c>
      <c r="AV3409" t="s">
        <v>71</v>
      </c>
      <c r="AW3409" t="s">
        <v>72</v>
      </c>
      <c r="AX3409" t="s">
        <v>73</v>
      </c>
    </row>
    <row r="3410" spans="1:50" x14ac:dyDescent="0.3">
      <c r="A3410" t="str">
        <f>"201726C0200"</f>
        <v>201726C0200</v>
      </c>
      <c r="B3410" t="str">
        <f>"201726C02002"</f>
        <v>201726C02002</v>
      </c>
      <c r="C3410" t="str">
        <f t="shared" si="174"/>
        <v>20</v>
      </c>
      <c r="D3410" t="s">
        <v>67</v>
      </c>
      <c r="E3410" t="str">
        <f t="shared" si="173"/>
        <v>015</v>
      </c>
      <c r="F3410" t="s">
        <v>3364</v>
      </c>
      <c r="G3410" t="str">
        <f t="shared" si="175"/>
        <v>1726</v>
      </c>
      <c r="H3410" t="str">
        <f>"0002"</f>
        <v>0002</v>
      </c>
      <c r="I3410" t="s">
        <v>75</v>
      </c>
      <c r="J3410">
        <v>0</v>
      </c>
      <c r="K3410">
        <v>1</v>
      </c>
      <c r="L3410">
        <v>2</v>
      </c>
      <c r="M3410">
        <v>346</v>
      </c>
      <c r="N3410">
        <v>426</v>
      </c>
      <c r="O3410">
        <v>3</v>
      </c>
      <c r="P3410">
        <v>429</v>
      </c>
      <c r="Q3410">
        <v>9</v>
      </c>
      <c r="R3410">
        <v>41</v>
      </c>
      <c r="S3410">
        <v>4</v>
      </c>
      <c r="T3410">
        <v>7</v>
      </c>
      <c r="U3410">
        <v>32</v>
      </c>
      <c r="V3410">
        <v>3</v>
      </c>
      <c r="W3410">
        <v>35</v>
      </c>
      <c r="X3410">
        <v>186</v>
      </c>
      <c r="Y3410">
        <v>7</v>
      </c>
      <c r="Z3410">
        <v>7</v>
      </c>
      <c r="AA3410">
        <v>4</v>
      </c>
      <c r="AB3410">
        <v>80</v>
      </c>
      <c r="AD3410">
        <v>0</v>
      </c>
      <c r="AE3410">
        <v>0</v>
      </c>
      <c r="AF3410">
        <v>0</v>
      </c>
      <c r="AG3410">
        <v>0</v>
      </c>
      <c r="AI3410">
        <v>0</v>
      </c>
      <c r="AJ3410">
        <v>11</v>
      </c>
      <c r="AK3410">
        <v>429</v>
      </c>
      <c r="AL3410">
        <v>426</v>
      </c>
      <c r="AM3410">
        <v>728</v>
      </c>
      <c r="AN3410">
        <v>44</v>
      </c>
      <c r="AP3410">
        <v>1</v>
      </c>
      <c r="AR3410" t="s">
        <v>3506</v>
      </c>
      <c r="AS3410" s="1">
        <v>44354.0625</v>
      </c>
      <c r="AT3410" s="1">
        <v>44354.095312500001</v>
      </c>
      <c r="AU3410" s="1">
        <v>44354.095694444448</v>
      </c>
      <c r="AV3410" t="s">
        <v>71</v>
      </c>
      <c r="AW3410" t="s">
        <v>72</v>
      </c>
      <c r="AX3410" t="s">
        <v>73</v>
      </c>
    </row>
    <row r="3411" spans="1:50" x14ac:dyDescent="0.3">
      <c r="A3411" t="str">
        <f>"201726C0300"</f>
        <v>201726C0300</v>
      </c>
      <c r="B3411" t="str">
        <f>"201726C03002"</f>
        <v>201726C03002</v>
      </c>
      <c r="C3411" t="str">
        <f t="shared" si="174"/>
        <v>20</v>
      </c>
      <c r="D3411" t="s">
        <v>67</v>
      </c>
      <c r="E3411" t="str">
        <f t="shared" si="173"/>
        <v>015</v>
      </c>
      <c r="F3411" t="s">
        <v>3364</v>
      </c>
      <c r="G3411" t="str">
        <f t="shared" si="175"/>
        <v>1726</v>
      </c>
      <c r="H3411" t="str">
        <f>"0003"</f>
        <v>0003</v>
      </c>
      <c r="I3411" t="s">
        <v>75</v>
      </c>
      <c r="J3411">
        <v>0</v>
      </c>
      <c r="K3411">
        <v>1</v>
      </c>
      <c r="L3411">
        <v>2</v>
      </c>
      <c r="M3411">
        <v>353</v>
      </c>
      <c r="N3411">
        <v>420</v>
      </c>
      <c r="O3411">
        <v>4</v>
      </c>
      <c r="P3411">
        <v>416</v>
      </c>
      <c r="Q3411">
        <v>7</v>
      </c>
      <c r="R3411">
        <v>39</v>
      </c>
      <c r="S3411">
        <v>8</v>
      </c>
      <c r="T3411">
        <v>9</v>
      </c>
      <c r="U3411">
        <v>28</v>
      </c>
      <c r="V3411">
        <v>5</v>
      </c>
      <c r="W3411">
        <v>31</v>
      </c>
      <c r="X3411">
        <v>190</v>
      </c>
      <c r="Y3411">
        <v>13</v>
      </c>
      <c r="Z3411">
        <v>8</v>
      </c>
      <c r="AA3411">
        <v>3</v>
      </c>
      <c r="AB3411">
        <v>58</v>
      </c>
      <c r="AD3411">
        <v>0</v>
      </c>
      <c r="AE3411">
        <v>0</v>
      </c>
      <c r="AF3411">
        <v>0</v>
      </c>
      <c r="AG3411">
        <v>1</v>
      </c>
      <c r="AI3411">
        <v>0</v>
      </c>
      <c r="AJ3411">
        <v>17</v>
      </c>
      <c r="AK3411">
        <v>417</v>
      </c>
      <c r="AL3411">
        <v>417</v>
      </c>
      <c r="AM3411">
        <v>728</v>
      </c>
      <c r="AN3411">
        <v>44</v>
      </c>
      <c r="AP3411">
        <v>1</v>
      </c>
      <c r="AR3411" t="s">
        <v>3507</v>
      </c>
      <c r="AS3411" s="1">
        <v>44354.063888888886</v>
      </c>
      <c r="AT3411" s="1">
        <v>44354.078402777777</v>
      </c>
      <c r="AU3411" s="1">
        <v>44354.079097222224</v>
      </c>
      <c r="AV3411" t="s">
        <v>71</v>
      </c>
      <c r="AW3411" t="s">
        <v>72</v>
      </c>
      <c r="AX3411" t="s">
        <v>73</v>
      </c>
    </row>
    <row r="3412" spans="1:50" x14ac:dyDescent="0.3">
      <c r="A3412" t="str">
        <f>"201726C0400"</f>
        <v>201726C0400</v>
      </c>
      <c r="B3412" t="str">
        <f>"201726C04002"</f>
        <v>201726C04002</v>
      </c>
      <c r="C3412" t="str">
        <f t="shared" si="174"/>
        <v>20</v>
      </c>
      <c r="D3412" t="s">
        <v>67</v>
      </c>
      <c r="E3412" t="str">
        <f t="shared" si="173"/>
        <v>015</v>
      </c>
      <c r="F3412" t="s">
        <v>3364</v>
      </c>
      <c r="G3412" t="str">
        <f t="shared" si="175"/>
        <v>1726</v>
      </c>
      <c r="H3412" t="str">
        <f>"0004"</f>
        <v>0004</v>
      </c>
      <c r="I3412" t="s">
        <v>75</v>
      </c>
      <c r="J3412">
        <v>0</v>
      </c>
      <c r="K3412">
        <v>1</v>
      </c>
      <c r="L3412">
        <v>2</v>
      </c>
      <c r="M3412">
        <v>333</v>
      </c>
      <c r="N3412">
        <v>439</v>
      </c>
      <c r="O3412">
        <v>5</v>
      </c>
      <c r="P3412">
        <v>439</v>
      </c>
      <c r="Q3412">
        <v>12</v>
      </c>
      <c r="R3412">
        <v>48</v>
      </c>
      <c r="S3412">
        <v>7</v>
      </c>
      <c r="T3412">
        <v>7</v>
      </c>
      <c r="U3412">
        <v>35</v>
      </c>
      <c r="V3412">
        <v>3</v>
      </c>
      <c r="W3412">
        <v>36</v>
      </c>
      <c r="X3412">
        <v>167</v>
      </c>
      <c r="Y3412">
        <v>9</v>
      </c>
      <c r="Z3412">
        <v>8</v>
      </c>
      <c r="AA3412">
        <v>2</v>
      </c>
      <c r="AB3412">
        <v>82</v>
      </c>
      <c r="AD3412">
        <v>4</v>
      </c>
      <c r="AE3412">
        <v>0</v>
      </c>
      <c r="AF3412">
        <v>0</v>
      </c>
      <c r="AG3412">
        <v>0</v>
      </c>
      <c r="AI3412">
        <v>0</v>
      </c>
      <c r="AJ3412">
        <v>19</v>
      </c>
      <c r="AK3412">
        <v>439</v>
      </c>
      <c r="AL3412">
        <v>439</v>
      </c>
      <c r="AM3412">
        <v>728</v>
      </c>
      <c r="AN3412">
        <v>44</v>
      </c>
      <c r="AP3412">
        <v>1</v>
      </c>
      <c r="AR3412" t="s">
        <v>3508</v>
      </c>
      <c r="AS3412" s="1">
        <v>44354.063888888886</v>
      </c>
      <c r="AT3412" s="1">
        <v>44354.079201388886</v>
      </c>
      <c r="AU3412" s="1">
        <v>44354.079756944448</v>
      </c>
      <c r="AV3412" t="s">
        <v>71</v>
      </c>
      <c r="AW3412" t="s">
        <v>72</v>
      </c>
      <c r="AX3412" t="s">
        <v>73</v>
      </c>
    </row>
    <row r="3413" spans="1:50" x14ac:dyDescent="0.3">
      <c r="A3413" t="str">
        <f>"201726C0500"</f>
        <v>201726C0500</v>
      </c>
      <c r="B3413" t="str">
        <f>"201726C05002"</f>
        <v>201726C05002</v>
      </c>
      <c r="C3413" t="str">
        <f t="shared" si="174"/>
        <v>20</v>
      </c>
      <c r="D3413" t="s">
        <v>67</v>
      </c>
      <c r="E3413" t="str">
        <f t="shared" si="173"/>
        <v>015</v>
      </c>
      <c r="F3413" t="s">
        <v>3364</v>
      </c>
      <c r="G3413" t="str">
        <f t="shared" si="175"/>
        <v>1726</v>
      </c>
      <c r="H3413" t="str">
        <f>"0005"</f>
        <v>0005</v>
      </c>
      <c r="I3413" t="s">
        <v>75</v>
      </c>
      <c r="J3413">
        <v>0</v>
      </c>
      <c r="K3413">
        <v>1</v>
      </c>
      <c r="L3413">
        <v>2</v>
      </c>
      <c r="M3413">
        <v>377</v>
      </c>
      <c r="N3413">
        <v>771</v>
      </c>
      <c r="O3413">
        <v>6</v>
      </c>
      <c r="P3413">
        <v>771</v>
      </c>
      <c r="Q3413">
        <v>10</v>
      </c>
      <c r="R3413">
        <v>51</v>
      </c>
      <c r="S3413">
        <v>11</v>
      </c>
      <c r="T3413">
        <v>6</v>
      </c>
      <c r="U3413">
        <v>17</v>
      </c>
      <c r="V3413">
        <v>1</v>
      </c>
      <c r="W3413">
        <v>31</v>
      </c>
      <c r="X3413">
        <v>173</v>
      </c>
      <c r="Y3413">
        <v>7</v>
      </c>
      <c r="Z3413">
        <v>5</v>
      </c>
      <c r="AA3413">
        <v>6</v>
      </c>
      <c r="AB3413">
        <v>59</v>
      </c>
      <c r="AD3413">
        <v>3</v>
      </c>
      <c r="AE3413">
        <v>0</v>
      </c>
      <c r="AF3413">
        <v>0</v>
      </c>
      <c r="AG3413">
        <v>0</v>
      </c>
      <c r="AI3413">
        <v>0</v>
      </c>
      <c r="AJ3413">
        <v>15</v>
      </c>
      <c r="AK3413">
        <v>395</v>
      </c>
      <c r="AL3413">
        <v>395</v>
      </c>
      <c r="AM3413">
        <v>727</v>
      </c>
      <c r="AN3413">
        <v>44</v>
      </c>
      <c r="AP3413">
        <v>1</v>
      </c>
      <c r="AR3413" t="s">
        <v>3509</v>
      </c>
      <c r="AS3413" s="1">
        <v>44354.0625</v>
      </c>
      <c r="AT3413" s="1">
        <v>44354.094328703701</v>
      </c>
      <c r="AU3413" s="1">
        <v>44354.094872685186</v>
      </c>
      <c r="AV3413" t="s">
        <v>71</v>
      </c>
      <c r="AW3413" t="s">
        <v>72</v>
      </c>
      <c r="AX3413" t="s">
        <v>73</v>
      </c>
    </row>
    <row r="3414" spans="1:50" x14ac:dyDescent="0.3">
      <c r="A3414" t="str">
        <f>"201726E0100"</f>
        <v>201726E0100</v>
      </c>
      <c r="B3414" t="str">
        <f>"201726E01002"</f>
        <v>201726E01002</v>
      </c>
      <c r="C3414" t="str">
        <f t="shared" si="174"/>
        <v>20</v>
      </c>
      <c r="D3414" t="s">
        <v>67</v>
      </c>
      <c r="E3414" t="str">
        <f t="shared" si="173"/>
        <v>015</v>
      </c>
      <c r="F3414" t="s">
        <v>3364</v>
      </c>
      <c r="G3414" t="str">
        <f t="shared" si="175"/>
        <v>1726</v>
      </c>
      <c r="H3414" t="str">
        <f>"0001"</f>
        <v>0001</v>
      </c>
      <c r="I3414" t="s">
        <v>109</v>
      </c>
      <c r="J3414">
        <v>0</v>
      </c>
      <c r="K3414">
        <v>1</v>
      </c>
      <c r="L3414">
        <v>2</v>
      </c>
      <c r="M3414">
        <v>311</v>
      </c>
      <c r="N3414">
        <v>327</v>
      </c>
      <c r="O3414">
        <v>9</v>
      </c>
      <c r="P3414">
        <v>327</v>
      </c>
      <c r="Q3414">
        <v>7</v>
      </c>
      <c r="R3414">
        <v>25</v>
      </c>
      <c r="S3414">
        <v>5</v>
      </c>
      <c r="T3414">
        <v>4</v>
      </c>
      <c r="U3414">
        <v>33</v>
      </c>
      <c r="V3414">
        <v>6</v>
      </c>
      <c r="W3414">
        <v>38</v>
      </c>
      <c r="X3414">
        <v>104</v>
      </c>
      <c r="Y3414">
        <v>4</v>
      </c>
      <c r="Z3414">
        <v>5</v>
      </c>
      <c r="AA3414">
        <v>2</v>
      </c>
      <c r="AB3414">
        <v>80</v>
      </c>
      <c r="AD3414">
        <v>2</v>
      </c>
      <c r="AE3414">
        <v>0</v>
      </c>
      <c r="AF3414">
        <v>0</v>
      </c>
      <c r="AG3414">
        <v>0</v>
      </c>
      <c r="AI3414">
        <v>0</v>
      </c>
      <c r="AJ3414">
        <v>12</v>
      </c>
      <c r="AK3414">
        <v>327</v>
      </c>
      <c r="AL3414">
        <v>327</v>
      </c>
      <c r="AM3414">
        <v>594</v>
      </c>
      <c r="AN3414">
        <v>44</v>
      </c>
      <c r="AP3414">
        <v>1</v>
      </c>
      <c r="AR3414" t="s">
        <v>3510</v>
      </c>
      <c r="AS3414" s="1">
        <v>44354.029861111114</v>
      </c>
      <c r="AT3414" s="1">
        <v>44354.067499999997</v>
      </c>
      <c r="AU3414" s="1">
        <v>44354.068159722221</v>
      </c>
      <c r="AV3414" t="s">
        <v>71</v>
      </c>
      <c r="AW3414" t="s">
        <v>72</v>
      </c>
      <c r="AX3414" t="s">
        <v>73</v>
      </c>
    </row>
    <row r="3415" spans="1:50" x14ac:dyDescent="0.3">
      <c r="A3415" t="str">
        <f>"201727B0000"</f>
        <v>201727B0000</v>
      </c>
      <c r="B3415" t="str">
        <f>"201727B00002"</f>
        <v>201727B00002</v>
      </c>
      <c r="C3415" t="str">
        <f t="shared" si="174"/>
        <v>20</v>
      </c>
      <c r="D3415" t="s">
        <v>67</v>
      </c>
      <c r="E3415" t="str">
        <f t="shared" si="173"/>
        <v>015</v>
      </c>
      <c r="F3415" t="s">
        <v>3364</v>
      </c>
      <c r="G3415" t="str">
        <f t="shared" ref="G3415:G3420" si="176">"1727"</f>
        <v>1727</v>
      </c>
      <c r="H3415" t="str">
        <f>"0000"</f>
        <v>0000</v>
      </c>
      <c r="I3415" t="s">
        <v>69</v>
      </c>
      <c r="J3415">
        <v>0</v>
      </c>
      <c r="K3415">
        <v>1</v>
      </c>
      <c r="L3415">
        <v>2</v>
      </c>
      <c r="M3415">
        <v>284</v>
      </c>
      <c r="N3415">
        <v>461</v>
      </c>
      <c r="O3415">
        <v>4</v>
      </c>
      <c r="P3415">
        <v>461</v>
      </c>
      <c r="Q3415">
        <v>5</v>
      </c>
      <c r="R3415">
        <v>42</v>
      </c>
      <c r="S3415">
        <v>5</v>
      </c>
      <c r="T3415">
        <v>9</v>
      </c>
      <c r="U3415">
        <v>18</v>
      </c>
      <c r="V3415">
        <v>7</v>
      </c>
      <c r="W3415">
        <v>90</v>
      </c>
      <c r="X3415">
        <v>159</v>
      </c>
      <c r="Y3415">
        <v>7</v>
      </c>
      <c r="Z3415">
        <v>3</v>
      </c>
      <c r="AA3415">
        <v>1</v>
      </c>
      <c r="AB3415">
        <v>98</v>
      </c>
      <c r="AD3415">
        <v>1</v>
      </c>
      <c r="AE3415">
        <v>0</v>
      </c>
      <c r="AF3415">
        <v>0</v>
      </c>
      <c r="AG3415">
        <v>1</v>
      </c>
      <c r="AI3415">
        <v>0</v>
      </c>
      <c r="AJ3415">
        <v>15</v>
      </c>
      <c r="AK3415">
        <v>461</v>
      </c>
      <c r="AL3415">
        <v>461</v>
      </c>
      <c r="AM3415">
        <v>701</v>
      </c>
      <c r="AN3415">
        <v>44</v>
      </c>
      <c r="AP3415">
        <v>1</v>
      </c>
      <c r="AR3415" t="s">
        <v>3511</v>
      </c>
      <c r="AS3415" s="1">
        <v>44354.069444444445</v>
      </c>
      <c r="AT3415" s="1">
        <v>44354.114155092589</v>
      </c>
      <c r="AU3415" s="1">
        <v>44354.115266203706</v>
      </c>
      <c r="AV3415" t="s">
        <v>71</v>
      </c>
      <c r="AW3415" t="s">
        <v>72</v>
      </c>
      <c r="AX3415" t="s">
        <v>73</v>
      </c>
    </row>
    <row r="3416" spans="1:50" x14ac:dyDescent="0.3">
      <c r="A3416" t="str">
        <f>"201727C0100"</f>
        <v>201727C0100</v>
      </c>
      <c r="B3416" t="str">
        <f>"201727C01002"</f>
        <v>201727C01002</v>
      </c>
      <c r="C3416" t="str">
        <f t="shared" si="174"/>
        <v>20</v>
      </c>
      <c r="D3416" t="s">
        <v>67</v>
      </c>
      <c r="E3416" t="str">
        <f t="shared" si="173"/>
        <v>015</v>
      </c>
      <c r="F3416" t="s">
        <v>3364</v>
      </c>
      <c r="G3416" t="str">
        <f t="shared" si="176"/>
        <v>1727</v>
      </c>
      <c r="H3416" t="str">
        <f>"0001"</f>
        <v>0001</v>
      </c>
      <c r="I3416" t="s">
        <v>75</v>
      </c>
      <c r="J3416">
        <v>0</v>
      </c>
      <c r="K3416">
        <v>1</v>
      </c>
      <c r="L3416">
        <v>2</v>
      </c>
      <c r="M3416">
        <v>305</v>
      </c>
      <c r="N3416">
        <v>440</v>
      </c>
      <c r="O3416">
        <v>7</v>
      </c>
      <c r="P3416">
        <v>440</v>
      </c>
      <c r="Q3416">
        <v>5</v>
      </c>
      <c r="R3416">
        <v>36</v>
      </c>
      <c r="S3416">
        <v>7</v>
      </c>
      <c r="T3416">
        <v>7</v>
      </c>
      <c r="U3416">
        <v>19</v>
      </c>
      <c r="V3416">
        <v>4</v>
      </c>
      <c r="W3416">
        <v>62</v>
      </c>
      <c r="X3416">
        <v>195</v>
      </c>
      <c r="Y3416">
        <v>4</v>
      </c>
      <c r="Z3416">
        <v>6</v>
      </c>
      <c r="AA3416">
        <v>4</v>
      </c>
      <c r="AB3416">
        <v>74</v>
      </c>
      <c r="AD3416">
        <v>1</v>
      </c>
      <c r="AE3416" t="s">
        <v>77</v>
      </c>
      <c r="AF3416" t="s">
        <v>77</v>
      </c>
      <c r="AG3416" t="s">
        <v>77</v>
      </c>
      <c r="AI3416">
        <v>1</v>
      </c>
      <c r="AJ3416">
        <v>15</v>
      </c>
      <c r="AK3416">
        <v>440</v>
      </c>
      <c r="AL3416">
        <v>440</v>
      </c>
      <c r="AM3416">
        <v>701</v>
      </c>
      <c r="AN3416">
        <v>44</v>
      </c>
      <c r="AO3416" t="s">
        <v>78</v>
      </c>
      <c r="AP3416">
        <v>1</v>
      </c>
      <c r="AR3416" t="s">
        <v>3512</v>
      </c>
      <c r="AS3416" s="1">
        <v>44354.071527777778</v>
      </c>
      <c r="AT3416" s="1">
        <v>44354.11204861111</v>
      </c>
      <c r="AU3416" s="1">
        <v>44354.11273148148</v>
      </c>
      <c r="AV3416" t="s">
        <v>71</v>
      </c>
      <c r="AW3416" t="s">
        <v>72</v>
      </c>
      <c r="AX3416" t="s">
        <v>73</v>
      </c>
    </row>
    <row r="3417" spans="1:50" x14ac:dyDescent="0.3">
      <c r="A3417" t="str">
        <f>"201727C0200"</f>
        <v>201727C0200</v>
      </c>
      <c r="B3417" t="str">
        <f>"201727C02002"</f>
        <v>201727C02002</v>
      </c>
      <c r="C3417" t="str">
        <f t="shared" si="174"/>
        <v>20</v>
      </c>
      <c r="D3417" t="s">
        <v>67</v>
      </c>
      <c r="E3417" t="str">
        <f t="shared" si="173"/>
        <v>015</v>
      </c>
      <c r="F3417" t="s">
        <v>3364</v>
      </c>
      <c r="G3417" t="str">
        <f t="shared" si="176"/>
        <v>1727</v>
      </c>
      <c r="H3417" t="str">
        <f>"0002"</f>
        <v>0002</v>
      </c>
      <c r="I3417" t="s">
        <v>75</v>
      </c>
      <c r="J3417">
        <v>0</v>
      </c>
      <c r="K3417">
        <v>1</v>
      </c>
      <c r="L3417">
        <v>2</v>
      </c>
      <c r="M3417">
        <v>296</v>
      </c>
      <c r="N3417">
        <v>449</v>
      </c>
      <c r="O3417">
        <v>2</v>
      </c>
      <c r="P3417">
        <v>450</v>
      </c>
      <c r="Q3417">
        <v>7</v>
      </c>
      <c r="R3417">
        <v>41</v>
      </c>
      <c r="S3417">
        <v>6</v>
      </c>
      <c r="T3417">
        <v>7</v>
      </c>
      <c r="U3417">
        <v>24</v>
      </c>
      <c r="V3417">
        <v>8</v>
      </c>
      <c r="W3417">
        <v>77</v>
      </c>
      <c r="X3417">
        <v>156</v>
      </c>
      <c r="Y3417">
        <v>4</v>
      </c>
      <c r="Z3417">
        <v>9</v>
      </c>
      <c r="AA3417">
        <v>2</v>
      </c>
      <c r="AB3417">
        <v>96</v>
      </c>
      <c r="AD3417">
        <v>1</v>
      </c>
      <c r="AE3417" t="s">
        <v>77</v>
      </c>
      <c r="AF3417" t="s">
        <v>77</v>
      </c>
      <c r="AG3417" t="s">
        <v>77</v>
      </c>
      <c r="AI3417" t="s">
        <v>77</v>
      </c>
      <c r="AJ3417">
        <v>12</v>
      </c>
      <c r="AK3417">
        <v>450</v>
      </c>
      <c r="AL3417">
        <v>450</v>
      </c>
      <c r="AM3417">
        <v>701</v>
      </c>
      <c r="AN3417">
        <v>44</v>
      </c>
      <c r="AO3417" t="s">
        <v>78</v>
      </c>
      <c r="AP3417">
        <v>1</v>
      </c>
      <c r="AR3417" t="s">
        <v>3513</v>
      </c>
      <c r="AS3417" s="1">
        <v>44354.074305555558</v>
      </c>
      <c r="AT3417" s="1">
        <v>44354.114722222221</v>
      </c>
      <c r="AU3417" s="1">
        <v>44354.115416666667</v>
      </c>
      <c r="AV3417" t="s">
        <v>71</v>
      </c>
      <c r="AW3417" t="s">
        <v>72</v>
      </c>
      <c r="AX3417" t="s">
        <v>73</v>
      </c>
    </row>
    <row r="3418" spans="1:50" x14ac:dyDescent="0.3">
      <c r="A3418" t="str">
        <f>"201727C0300"</f>
        <v>201727C0300</v>
      </c>
      <c r="B3418" t="str">
        <f>"201727C03002"</f>
        <v>201727C03002</v>
      </c>
      <c r="C3418" t="str">
        <f t="shared" si="174"/>
        <v>20</v>
      </c>
      <c r="D3418" t="s">
        <v>67</v>
      </c>
      <c r="E3418" t="str">
        <f t="shared" si="173"/>
        <v>015</v>
      </c>
      <c r="F3418" t="s">
        <v>3364</v>
      </c>
      <c r="G3418" t="str">
        <f t="shared" si="176"/>
        <v>1727</v>
      </c>
      <c r="H3418" t="str">
        <f>"0003"</f>
        <v>0003</v>
      </c>
      <c r="I3418" t="s">
        <v>75</v>
      </c>
      <c r="J3418">
        <v>0</v>
      </c>
      <c r="K3418">
        <v>1</v>
      </c>
      <c r="L3418">
        <v>2</v>
      </c>
      <c r="M3418">
        <v>326</v>
      </c>
      <c r="N3418">
        <v>418</v>
      </c>
      <c r="O3418">
        <v>1</v>
      </c>
      <c r="P3418">
        <v>0</v>
      </c>
      <c r="Q3418">
        <v>6</v>
      </c>
      <c r="R3418">
        <v>43</v>
      </c>
      <c r="S3418">
        <v>14</v>
      </c>
      <c r="T3418">
        <v>6</v>
      </c>
      <c r="U3418">
        <v>20</v>
      </c>
      <c r="V3418">
        <v>3</v>
      </c>
      <c r="W3418">
        <v>53</v>
      </c>
      <c r="X3418">
        <v>147</v>
      </c>
      <c r="Y3418">
        <v>8</v>
      </c>
      <c r="Z3418">
        <v>10</v>
      </c>
      <c r="AA3418">
        <v>4</v>
      </c>
      <c r="AB3418">
        <v>81</v>
      </c>
      <c r="AD3418">
        <v>0</v>
      </c>
      <c r="AE3418">
        <v>1</v>
      </c>
      <c r="AF3418">
        <v>1</v>
      </c>
      <c r="AG3418">
        <v>0</v>
      </c>
      <c r="AI3418">
        <v>0</v>
      </c>
      <c r="AJ3418">
        <v>22</v>
      </c>
      <c r="AK3418">
        <v>419</v>
      </c>
      <c r="AL3418">
        <v>419</v>
      </c>
      <c r="AM3418">
        <v>701</v>
      </c>
      <c r="AN3418">
        <v>44</v>
      </c>
      <c r="AP3418">
        <v>1</v>
      </c>
      <c r="AR3418" t="s">
        <v>3514</v>
      </c>
      <c r="AS3418" s="1">
        <v>44354.067361111112</v>
      </c>
      <c r="AT3418" s="1">
        <v>44354.114699074074</v>
      </c>
      <c r="AU3418" s="1">
        <v>44354.115104166667</v>
      </c>
      <c r="AV3418" t="s">
        <v>71</v>
      </c>
      <c r="AW3418" t="s">
        <v>72</v>
      </c>
      <c r="AX3418" t="s">
        <v>73</v>
      </c>
    </row>
    <row r="3419" spans="1:50" x14ac:dyDescent="0.3">
      <c r="A3419" t="str">
        <f>"201727C0400"</f>
        <v>201727C0400</v>
      </c>
      <c r="B3419" t="str">
        <f>"201727C04002"</f>
        <v>201727C04002</v>
      </c>
      <c r="C3419" t="str">
        <f t="shared" si="174"/>
        <v>20</v>
      </c>
      <c r="D3419" t="s">
        <v>67</v>
      </c>
      <c r="E3419" t="str">
        <f t="shared" si="173"/>
        <v>015</v>
      </c>
      <c r="F3419" t="s">
        <v>3364</v>
      </c>
      <c r="G3419" t="str">
        <f t="shared" si="176"/>
        <v>1727</v>
      </c>
      <c r="H3419" t="str">
        <f>"0004"</f>
        <v>0004</v>
      </c>
      <c r="I3419" t="s">
        <v>75</v>
      </c>
      <c r="J3419">
        <v>0</v>
      </c>
      <c r="K3419">
        <v>1</v>
      </c>
      <c r="L3419">
        <v>2</v>
      </c>
      <c r="M3419">
        <v>311</v>
      </c>
      <c r="N3419">
        <v>435</v>
      </c>
      <c r="O3419">
        <v>2</v>
      </c>
      <c r="P3419">
        <v>435</v>
      </c>
      <c r="Q3419">
        <v>7</v>
      </c>
      <c r="R3419">
        <v>27</v>
      </c>
      <c r="S3419">
        <v>8</v>
      </c>
      <c r="T3419">
        <v>12</v>
      </c>
      <c r="U3419">
        <v>20</v>
      </c>
      <c r="V3419">
        <v>6</v>
      </c>
      <c r="W3419">
        <v>66</v>
      </c>
      <c r="X3419">
        <v>160</v>
      </c>
      <c r="Y3419">
        <v>10</v>
      </c>
      <c r="Z3419">
        <v>3</v>
      </c>
      <c r="AA3419">
        <v>1</v>
      </c>
      <c r="AB3419">
        <v>99</v>
      </c>
      <c r="AD3419">
        <v>0</v>
      </c>
      <c r="AE3419">
        <v>0</v>
      </c>
      <c r="AF3419">
        <v>0</v>
      </c>
      <c r="AG3419">
        <v>0</v>
      </c>
      <c r="AI3419">
        <v>0</v>
      </c>
      <c r="AJ3419">
        <v>16</v>
      </c>
      <c r="AK3419">
        <v>435</v>
      </c>
      <c r="AL3419">
        <v>435</v>
      </c>
      <c r="AM3419">
        <v>701</v>
      </c>
      <c r="AN3419">
        <v>44</v>
      </c>
      <c r="AP3419">
        <v>1</v>
      </c>
      <c r="AR3419" t="s">
        <v>3515</v>
      </c>
      <c r="AS3419" s="1">
        <v>44354.072916666664</v>
      </c>
      <c r="AT3419" s="1">
        <v>44354.112349537034</v>
      </c>
      <c r="AU3419" s="1">
        <v>44354.112962962965</v>
      </c>
      <c r="AV3419" t="s">
        <v>71</v>
      </c>
      <c r="AW3419" t="s">
        <v>72</v>
      </c>
      <c r="AX3419" t="s">
        <v>73</v>
      </c>
    </row>
    <row r="3420" spans="1:50" x14ac:dyDescent="0.3">
      <c r="A3420" t="str">
        <f>"201727C0500"</f>
        <v>201727C0500</v>
      </c>
      <c r="B3420" t="str">
        <f>"201727C05002"</f>
        <v>201727C05002</v>
      </c>
      <c r="C3420" t="str">
        <f t="shared" si="174"/>
        <v>20</v>
      </c>
      <c r="D3420" t="s">
        <v>67</v>
      </c>
      <c r="E3420" t="str">
        <f t="shared" si="173"/>
        <v>015</v>
      </c>
      <c r="F3420" t="s">
        <v>3364</v>
      </c>
      <c r="G3420" t="str">
        <f t="shared" si="176"/>
        <v>1727</v>
      </c>
      <c r="H3420" t="str">
        <f>"0005"</f>
        <v>0005</v>
      </c>
      <c r="I3420" t="s">
        <v>75</v>
      </c>
      <c r="J3420">
        <v>0</v>
      </c>
      <c r="K3420">
        <v>1</v>
      </c>
      <c r="L3420">
        <v>2</v>
      </c>
      <c r="M3420">
        <v>304</v>
      </c>
      <c r="N3420">
        <v>441</v>
      </c>
      <c r="O3420">
        <v>3</v>
      </c>
      <c r="P3420">
        <v>440</v>
      </c>
      <c r="Q3420">
        <v>7</v>
      </c>
      <c r="R3420">
        <v>46</v>
      </c>
      <c r="S3420">
        <v>8</v>
      </c>
      <c r="T3420">
        <v>9</v>
      </c>
      <c r="U3420">
        <v>18</v>
      </c>
      <c r="V3420">
        <v>10</v>
      </c>
      <c r="W3420">
        <v>63</v>
      </c>
      <c r="X3420">
        <v>160</v>
      </c>
      <c r="Y3420">
        <v>15</v>
      </c>
      <c r="Z3420">
        <v>7</v>
      </c>
      <c r="AA3420">
        <v>2</v>
      </c>
      <c r="AB3420">
        <v>76</v>
      </c>
      <c r="AD3420">
        <v>0</v>
      </c>
      <c r="AE3420">
        <v>0</v>
      </c>
      <c r="AF3420">
        <v>0</v>
      </c>
      <c r="AG3420">
        <v>0</v>
      </c>
      <c r="AI3420">
        <v>0</v>
      </c>
      <c r="AJ3420">
        <v>19</v>
      </c>
      <c r="AK3420">
        <v>440</v>
      </c>
      <c r="AL3420">
        <v>440</v>
      </c>
      <c r="AM3420">
        <v>701</v>
      </c>
      <c r="AN3420">
        <v>44</v>
      </c>
      <c r="AP3420">
        <v>1</v>
      </c>
      <c r="AR3420" t="s">
        <v>3516</v>
      </c>
      <c r="AS3420" s="1">
        <v>44354.070138888892</v>
      </c>
      <c r="AT3420" s="1">
        <v>44354.112928240742</v>
      </c>
      <c r="AU3420" s="1">
        <v>44354.113553240742</v>
      </c>
      <c r="AV3420" t="s">
        <v>71</v>
      </c>
      <c r="AW3420" t="s">
        <v>72</v>
      </c>
      <c r="AX3420" t="s">
        <v>73</v>
      </c>
    </row>
    <row r="3421" spans="1:50" x14ac:dyDescent="0.3">
      <c r="A3421" t="str">
        <f>"201728B0000"</f>
        <v>201728B0000</v>
      </c>
      <c r="B3421" t="str">
        <f>"201728B00002"</f>
        <v>201728B00002</v>
      </c>
      <c r="C3421" t="str">
        <f t="shared" si="174"/>
        <v>20</v>
      </c>
      <c r="D3421" t="s">
        <v>67</v>
      </c>
      <c r="E3421" t="str">
        <f t="shared" si="173"/>
        <v>015</v>
      </c>
      <c r="F3421" t="s">
        <v>3364</v>
      </c>
      <c r="G3421" t="str">
        <f t="shared" ref="G3421:G3430" si="177">"1728"</f>
        <v>1728</v>
      </c>
      <c r="H3421" t="str">
        <f>"0000"</f>
        <v>0000</v>
      </c>
      <c r="I3421" t="s">
        <v>69</v>
      </c>
      <c r="J3421">
        <v>0</v>
      </c>
      <c r="K3421">
        <v>1</v>
      </c>
      <c r="L3421">
        <v>2</v>
      </c>
      <c r="M3421">
        <v>275</v>
      </c>
      <c r="N3421">
        <v>334</v>
      </c>
      <c r="O3421">
        <v>8</v>
      </c>
      <c r="P3421">
        <v>334</v>
      </c>
      <c r="Q3421">
        <v>16</v>
      </c>
      <c r="R3421">
        <v>35</v>
      </c>
      <c r="S3421">
        <v>10</v>
      </c>
      <c r="T3421">
        <v>2</v>
      </c>
      <c r="U3421">
        <v>24</v>
      </c>
      <c r="V3421">
        <v>7</v>
      </c>
      <c r="W3421">
        <v>21</v>
      </c>
      <c r="X3421">
        <v>131</v>
      </c>
      <c r="Y3421">
        <v>6</v>
      </c>
      <c r="Z3421">
        <v>9</v>
      </c>
      <c r="AA3421">
        <v>1</v>
      </c>
      <c r="AB3421">
        <v>59</v>
      </c>
      <c r="AD3421">
        <v>2</v>
      </c>
      <c r="AE3421">
        <v>0</v>
      </c>
      <c r="AF3421">
        <v>0</v>
      </c>
      <c r="AG3421">
        <v>0</v>
      </c>
      <c r="AI3421">
        <v>0</v>
      </c>
      <c r="AJ3421">
        <v>11</v>
      </c>
      <c r="AK3421">
        <v>334</v>
      </c>
      <c r="AL3421">
        <v>334</v>
      </c>
      <c r="AM3421">
        <v>565</v>
      </c>
      <c r="AN3421">
        <v>44</v>
      </c>
      <c r="AP3421">
        <v>1</v>
      </c>
      <c r="AR3421" t="s">
        <v>3517</v>
      </c>
      <c r="AS3421" s="1">
        <v>44353.960416666669</v>
      </c>
      <c r="AT3421" s="1">
        <v>44353.992905092593</v>
      </c>
      <c r="AU3421" s="1">
        <v>44353.993344907409</v>
      </c>
      <c r="AV3421" t="s">
        <v>71</v>
      </c>
      <c r="AW3421" t="s">
        <v>72</v>
      </c>
      <c r="AX3421" t="s">
        <v>73</v>
      </c>
    </row>
    <row r="3422" spans="1:50" x14ac:dyDescent="0.3">
      <c r="A3422" t="str">
        <f>"201728C0100"</f>
        <v>201728C0100</v>
      </c>
      <c r="B3422" t="str">
        <f>"201728C01002"</f>
        <v>201728C01002</v>
      </c>
      <c r="C3422" t="str">
        <f t="shared" si="174"/>
        <v>20</v>
      </c>
      <c r="D3422" t="s">
        <v>67</v>
      </c>
      <c r="E3422" t="str">
        <f t="shared" si="173"/>
        <v>015</v>
      </c>
      <c r="F3422" t="s">
        <v>3364</v>
      </c>
      <c r="G3422" t="str">
        <f t="shared" si="177"/>
        <v>1728</v>
      </c>
      <c r="H3422" t="str">
        <f>"0001"</f>
        <v>0001</v>
      </c>
      <c r="I3422" t="s">
        <v>75</v>
      </c>
      <c r="J3422">
        <v>0</v>
      </c>
      <c r="K3422">
        <v>1</v>
      </c>
      <c r="L3422">
        <v>2</v>
      </c>
      <c r="M3422">
        <v>269</v>
      </c>
      <c r="N3422">
        <v>340</v>
      </c>
      <c r="O3422">
        <v>9</v>
      </c>
      <c r="P3422">
        <v>340</v>
      </c>
      <c r="Q3422">
        <v>8</v>
      </c>
      <c r="R3422">
        <v>33</v>
      </c>
      <c r="S3422">
        <v>9</v>
      </c>
      <c r="T3422">
        <v>6</v>
      </c>
      <c r="U3422">
        <v>23</v>
      </c>
      <c r="V3422">
        <v>10</v>
      </c>
      <c r="W3422">
        <v>27</v>
      </c>
      <c r="X3422">
        <v>140</v>
      </c>
      <c r="Y3422">
        <v>8</v>
      </c>
      <c r="Z3422">
        <v>6</v>
      </c>
      <c r="AA3422">
        <v>2</v>
      </c>
      <c r="AB3422">
        <v>52</v>
      </c>
      <c r="AD3422">
        <v>1</v>
      </c>
      <c r="AE3422">
        <v>0</v>
      </c>
      <c r="AF3422">
        <v>0</v>
      </c>
      <c r="AG3422">
        <v>0</v>
      </c>
      <c r="AI3422">
        <v>1</v>
      </c>
      <c r="AJ3422">
        <v>14</v>
      </c>
      <c r="AK3422">
        <v>340</v>
      </c>
      <c r="AL3422">
        <v>340</v>
      </c>
      <c r="AM3422">
        <v>565</v>
      </c>
      <c r="AN3422">
        <v>44</v>
      </c>
      <c r="AP3422">
        <v>1</v>
      </c>
      <c r="AR3422" t="s">
        <v>3518</v>
      </c>
      <c r="AS3422" s="1">
        <v>44353.960416666669</v>
      </c>
      <c r="AT3422" s="1">
        <v>44353.975972222222</v>
      </c>
      <c r="AU3422" s="1">
        <v>44353.976793981485</v>
      </c>
      <c r="AV3422" t="s">
        <v>71</v>
      </c>
      <c r="AW3422" t="s">
        <v>72</v>
      </c>
      <c r="AX3422" t="s">
        <v>73</v>
      </c>
    </row>
    <row r="3423" spans="1:50" x14ac:dyDescent="0.3">
      <c r="A3423" t="str">
        <f>"201728C0200"</f>
        <v>201728C0200</v>
      </c>
      <c r="B3423" t="str">
        <f>"201728C02002"</f>
        <v>201728C02002</v>
      </c>
      <c r="C3423" t="str">
        <f t="shared" si="174"/>
        <v>20</v>
      </c>
      <c r="D3423" t="s">
        <v>67</v>
      </c>
      <c r="E3423" t="str">
        <f t="shared" si="173"/>
        <v>015</v>
      </c>
      <c r="F3423" t="s">
        <v>3364</v>
      </c>
      <c r="G3423" t="str">
        <f t="shared" si="177"/>
        <v>1728</v>
      </c>
      <c r="H3423" t="str">
        <f>"0002"</f>
        <v>0002</v>
      </c>
      <c r="I3423" t="s">
        <v>75</v>
      </c>
      <c r="J3423">
        <v>0</v>
      </c>
      <c r="K3423">
        <v>1</v>
      </c>
      <c r="L3423">
        <v>2</v>
      </c>
      <c r="M3423">
        <v>280</v>
      </c>
      <c r="N3423">
        <v>328</v>
      </c>
      <c r="O3423">
        <v>6</v>
      </c>
      <c r="P3423">
        <v>328</v>
      </c>
      <c r="Q3423">
        <v>16</v>
      </c>
      <c r="R3423">
        <v>26</v>
      </c>
      <c r="S3423">
        <v>5</v>
      </c>
      <c r="T3423">
        <v>3</v>
      </c>
      <c r="U3423">
        <v>14</v>
      </c>
      <c r="V3423">
        <v>6</v>
      </c>
      <c r="W3423">
        <v>27</v>
      </c>
      <c r="X3423">
        <v>142</v>
      </c>
      <c r="Y3423">
        <v>3</v>
      </c>
      <c r="Z3423">
        <v>10</v>
      </c>
      <c r="AA3423">
        <v>4</v>
      </c>
      <c r="AB3423">
        <v>60</v>
      </c>
      <c r="AD3423">
        <v>2</v>
      </c>
      <c r="AE3423">
        <v>2</v>
      </c>
      <c r="AF3423">
        <v>0</v>
      </c>
      <c r="AG3423">
        <v>0</v>
      </c>
      <c r="AI3423">
        <v>0</v>
      </c>
      <c r="AJ3423">
        <v>8</v>
      </c>
      <c r="AK3423">
        <v>328</v>
      </c>
      <c r="AL3423">
        <v>328</v>
      </c>
      <c r="AM3423">
        <v>564</v>
      </c>
      <c r="AN3423">
        <v>44</v>
      </c>
      <c r="AP3423">
        <v>1</v>
      </c>
      <c r="AR3423" s="2" t="s">
        <v>3519</v>
      </c>
      <c r="AS3423" s="1">
        <v>44353.961111111108</v>
      </c>
      <c r="AT3423" s="1">
        <v>44353.996145833335</v>
      </c>
      <c r="AU3423" s="1">
        <v>44353.996631944443</v>
      </c>
      <c r="AV3423" t="s">
        <v>71</v>
      </c>
      <c r="AW3423" t="s">
        <v>72</v>
      </c>
      <c r="AX3423" t="s">
        <v>73</v>
      </c>
    </row>
    <row r="3424" spans="1:50" x14ac:dyDescent="0.3">
      <c r="A3424" t="str">
        <f>"201728C0300"</f>
        <v>201728C0300</v>
      </c>
      <c r="B3424" t="str">
        <f>"201728C03002"</f>
        <v>201728C03002</v>
      </c>
      <c r="C3424" t="str">
        <f t="shared" si="174"/>
        <v>20</v>
      </c>
      <c r="D3424" t="s">
        <v>67</v>
      </c>
      <c r="E3424" t="str">
        <f t="shared" si="173"/>
        <v>015</v>
      </c>
      <c r="F3424" t="s">
        <v>3364</v>
      </c>
      <c r="G3424" t="str">
        <f t="shared" si="177"/>
        <v>1728</v>
      </c>
      <c r="H3424" t="str">
        <f>"0003"</f>
        <v>0003</v>
      </c>
      <c r="I3424" t="s">
        <v>75</v>
      </c>
      <c r="J3424">
        <v>0</v>
      </c>
      <c r="K3424">
        <v>1</v>
      </c>
      <c r="L3424">
        <v>2</v>
      </c>
      <c r="M3424">
        <v>281</v>
      </c>
      <c r="N3424">
        <v>327</v>
      </c>
      <c r="O3424">
        <v>11</v>
      </c>
      <c r="P3424">
        <v>327</v>
      </c>
      <c r="Q3424">
        <v>11</v>
      </c>
      <c r="R3424">
        <v>31</v>
      </c>
      <c r="S3424">
        <v>7</v>
      </c>
      <c r="T3424">
        <v>8</v>
      </c>
      <c r="U3424">
        <v>15</v>
      </c>
      <c r="V3424">
        <v>3</v>
      </c>
      <c r="W3424">
        <v>25</v>
      </c>
      <c r="X3424">
        <v>134</v>
      </c>
      <c r="Y3424">
        <v>5</v>
      </c>
      <c r="Z3424">
        <v>10</v>
      </c>
      <c r="AA3424">
        <v>3</v>
      </c>
      <c r="AB3424">
        <v>65</v>
      </c>
      <c r="AD3424">
        <v>0</v>
      </c>
      <c r="AE3424">
        <v>0</v>
      </c>
      <c r="AF3424">
        <v>0</v>
      </c>
      <c r="AG3424">
        <v>0</v>
      </c>
      <c r="AI3424">
        <v>0</v>
      </c>
      <c r="AJ3424">
        <v>10</v>
      </c>
      <c r="AK3424">
        <v>327</v>
      </c>
      <c r="AL3424">
        <v>327</v>
      </c>
      <c r="AM3424">
        <v>564</v>
      </c>
      <c r="AN3424">
        <v>44</v>
      </c>
      <c r="AP3424">
        <v>1</v>
      </c>
      <c r="AR3424" t="s">
        <v>3520</v>
      </c>
      <c r="AS3424" s="1">
        <v>44353.961111111108</v>
      </c>
      <c r="AT3424" s="1">
        <v>44353.979247685187</v>
      </c>
      <c r="AU3424" s="1">
        <v>44353.979872685188</v>
      </c>
      <c r="AV3424" t="s">
        <v>71</v>
      </c>
      <c r="AW3424" t="s">
        <v>72</v>
      </c>
      <c r="AX3424" t="s">
        <v>73</v>
      </c>
    </row>
    <row r="3425" spans="1:50" x14ac:dyDescent="0.3">
      <c r="A3425" t="str">
        <f>"201728E0100"</f>
        <v>201728E0100</v>
      </c>
      <c r="B3425" t="str">
        <f>"201728E01002"</f>
        <v>201728E01002</v>
      </c>
      <c r="C3425" t="str">
        <f t="shared" si="174"/>
        <v>20</v>
      </c>
      <c r="D3425" t="s">
        <v>67</v>
      </c>
      <c r="E3425" t="str">
        <f t="shared" si="173"/>
        <v>015</v>
      </c>
      <c r="F3425" t="s">
        <v>3364</v>
      </c>
      <c r="G3425" t="str">
        <f t="shared" si="177"/>
        <v>1728</v>
      </c>
      <c r="H3425" t="str">
        <f t="shared" ref="H3425:H3430" si="178">"0001"</f>
        <v>0001</v>
      </c>
      <c r="I3425" t="s">
        <v>109</v>
      </c>
      <c r="J3425">
        <v>0</v>
      </c>
      <c r="K3425">
        <v>1</v>
      </c>
      <c r="L3425">
        <v>2</v>
      </c>
      <c r="AM3425">
        <v>674</v>
      </c>
      <c r="AN3425">
        <v>44</v>
      </c>
      <c r="AO3425" t="s">
        <v>143</v>
      </c>
      <c r="AP3425">
        <v>0</v>
      </c>
      <c r="AR3425" t="s">
        <v>3521</v>
      </c>
      <c r="AS3425" s="1">
        <v>44354.518750000003</v>
      </c>
      <c r="AT3425" s="1">
        <v>44354.531041666669</v>
      </c>
      <c r="AU3425" s="1">
        <v>44354.531041666669</v>
      </c>
      <c r="AV3425" t="s">
        <v>71</v>
      </c>
      <c r="AW3425" t="s">
        <v>72</v>
      </c>
      <c r="AX3425" t="s">
        <v>73</v>
      </c>
    </row>
    <row r="3426" spans="1:50" x14ac:dyDescent="0.3">
      <c r="A3426" t="str">
        <f>"201728E0101"</f>
        <v>201728E0101</v>
      </c>
      <c r="B3426" t="str">
        <f>"201728E01012"</f>
        <v>201728E01012</v>
      </c>
      <c r="C3426" t="str">
        <f t="shared" si="174"/>
        <v>20</v>
      </c>
      <c r="D3426" t="s">
        <v>67</v>
      </c>
      <c r="E3426" t="str">
        <f t="shared" si="173"/>
        <v>015</v>
      </c>
      <c r="F3426" t="s">
        <v>3364</v>
      </c>
      <c r="G3426" t="str">
        <f t="shared" si="177"/>
        <v>1728</v>
      </c>
      <c r="H3426" t="str">
        <f t="shared" si="178"/>
        <v>0001</v>
      </c>
      <c r="I3426" t="s">
        <v>109</v>
      </c>
      <c r="J3426">
        <v>1</v>
      </c>
      <c r="K3426">
        <v>1</v>
      </c>
      <c r="L3426">
        <v>2</v>
      </c>
      <c r="M3426">
        <v>378</v>
      </c>
      <c r="N3426">
        <v>340</v>
      </c>
      <c r="O3426">
        <v>3</v>
      </c>
      <c r="P3426">
        <v>340</v>
      </c>
      <c r="Q3426">
        <v>4</v>
      </c>
      <c r="R3426">
        <v>31</v>
      </c>
      <c r="S3426">
        <v>6</v>
      </c>
      <c r="T3426">
        <v>4</v>
      </c>
      <c r="U3426">
        <v>10</v>
      </c>
      <c r="V3426">
        <v>7</v>
      </c>
      <c r="W3426">
        <v>30</v>
      </c>
      <c r="X3426">
        <v>170</v>
      </c>
      <c r="Y3426">
        <v>5</v>
      </c>
      <c r="Z3426">
        <v>11</v>
      </c>
      <c r="AA3426">
        <v>7</v>
      </c>
      <c r="AB3426">
        <v>54</v>
      </c>
      <c r="AD3426">
        <v>0</v>
      </c>
      <c r="AE3426">
        <v>1</v>
      </c>
      <c r="AF3426">
        <v>1</v>
      </c>
      <c r="AG3426">
        <v>0</v>
      </c>
      <c r="AI3426">
        <v>0</v>
      </c>
      <c r="AJ3426">
        <v>9</v>
      </c>
      <c r="AK3426">
        <v>340</v>
      </c>
      <c r="AL3426">
        <v>350</v>
      </c>
      <c r="AM3426">
        <v>674</v>
      </c>
      <c r="AN3426">
        <v>44</v>
      </c>
      <c r="AP3426">
        <v>1</v>
      </c>
      <c r="AR3426" t="s">
        <v>3522</v>
      </c>
      <c r="AS3426" s="1">
        <v>44354.038888888892</v>
      </c>
      <c r="AT3426" s="1">
        <v>44354.081087962964</v>
      </c>
      <c r="AU3426" s="1">
        <v>44354.081574074073</v>
      </c>
      <c r="AV3426" t="s">
        <v>71</v>
      </c>
      <c r="AW3426" t="s">
        <v>72</v>
      </c>
      <c r="AX3426" t="s">
        <v>73</v>
      </c>
    </row>
    <row r="3427" spans="1:50" x14ac:dyDescent="0.3">
      <c r="A3427" t="str">
        <f>"201728E0102"</f>
        <v>201728E0102</v>
      </c>
      <c r="B3427" t="str">
        <f>"201728E01022"</f>
        <v>201728E01022</v>
      </c>
      <c r="C3427" t="str">
        <f t="shared" si="174"/>
        <v>20</v>
      </c>
      <c r="D3427" t="s">
        <v>67</v>
      </c>
      <c r="E3427" t="str">
        <f t="shared" si="173"/>
        <v>015</v>
      </c>
      <c r="F3427" t="s">
        <v>3364</v>
      </c>
      <c r="G3427" t="str">
        <f t="shared" si="177"/>
        <v>1728</v>
      </c>
      <c r="H3427" t="str">
        <f t="shared" si="178"/>
        <v>0001</v>
      </c>
      <c r="I3427" t="s">
        <v>109</v>
      </c>
      <c r="J3427">
        <v>2</v>
      </c>
      <c r="K3427">
        <v>1</v>
      </c>
      <c r="L3427">
        <v>2</v>
      </c>
      <c r="M3427">
        <v>384</v>
      </c>
      <c r="N3427">
        <v>333</v>
      </c>
      <c r="O3427">
        <v>2</v>
      </c>
      <c r="P3427">
        <v>333</v>
      </c>
      <c r="Q3427">
        <v>6</v>
      </c>
      <c r="R3427">
        <v>26</v>
      </c>
      <c r="S3427">
        <v>7</v>
      </c>
      <c r="T3427">
        <v>2</v>
      </c>
      <c r="U3427">
        <v>12</v>
      </c>
      <c r="V3427">
        <v>5</v>
      </c>
      <c r="W3427">
        <v>31</v>
      </c>
      <c r="X3427">
        <v>149</v>
      </c>
      <c r="Y3427">
        <v>8</v>
      </c>
      <c r="Z3427">
        <v>4</v>
      </c>
      <c r="AA3427">
        <v>4</v>
      </c>
      <c r="AB3427">
        <v>70</v>
      </c>
      <c r="AD3427" t="s">
        <v>77</v>
      </c>
      <c r="AE3427" t="s">
        <v>77</v>
      </c>
      <c r="AF3427" t="s">
        <v>77</v>
      </c>
      <c r="AG3427" t="s">
        <v>77</v>
      </c>
      <c r="AI3427" t="s">
        <v>77</v>
      </c>
      <c r="AJ3427">
        <v>9</v>
      </c>
      <c r="AK3427">
        <v>333</v>
      </c>
      <c r="AL3427">
        <v>333</v>
      </c>
      <c r="AM3427">
        <v>673</v>
      </c>
      <c r="AN3427">
        <v>44</v>
      </c>
      <c r="AO3427" t="s">
        <v>78</v>
      </c>
      <c r="AP3427">
        <v>1</v>
      </c>
      <c r="AR3427" t="s">
        <v>3523</v>
      </c>
      <c r="AS3427" s="1">
        <v>44354.038888888892</v>
      </c>
      <c r="AT3427" s="1">
        <v>44354.080937500003</v>
      </c>
      <c r="AU3427" s="1">
        <v>44354.081643518519</v>
      </c>
      <c r="AV3427" t="s">
        <v>71</v>
      </c>
      <c r="AW3427" t="s">
        <v>72</v>
      </c>
      <c r="AX3427" t="s">
        <v>73</v>
      </c>
    </row>
    <row r="3428" spans="1:50" x14ac:dyDescent="0.3">
      <c r="A3428" t="str">
        <f>"201728E0103"</f>
        <v>201728E0103</v>
      </c>
      <c r="B3428" t="str">
        <f>"201728E01032"</f>
        <v>201728E01032</v>
      </c>
      <c r="C3428" t="str">
        <f t="shared" si="174"/>
        <v>20</v>
      </c>
      <c r="D3428" t="s">
        <v>67</v>
      </c>
      <c r="E3428" t="str">
        <f t="shared" si="173"/>
        <v>015</v>
      </c>
      <c r="F3428" t="s">
        <v>3364</v>
      </c>
      <c r="G3428" t="str">
        <f t="shared" si="177"/>
        <v>1728</v>
      </c>
      <c r="H3428" t="str">
        <f t="shared" si="178"/>
        <v>0001</v>
      </c>
      <c r="I3428" t="s">
        <v>109</v>
      </c>
      <c r="J3428">
        <v>3</v>
      </c>
      <c r="K3428">
        <v>1</v>
      </c>
      <c r="L3428">
        <v>2</v>
      </c>
      <c r="M3428">
        <v>364</v>
      </c>
      <c r="N3428" t="s">
        <v>80</v>
      </c>
      <c r="O3428" t="s">
        <v>80</v>
      </c>
      <c r="P3428">
        <v>351</v>
      </c>
      <c r="Q3428">
        <v>5</v>
      </c>
      <c r="R3428">
        <v>31</v>
      </c>
      <c r="S3428">
        <v>8</v>
      </c>
      <c r="T3428">
        <v>3</v>
      </c>
      <c r="U3428">
        <v>7</v>
      </c>
      <c r="V3428">
        <v>2</v>
      </c>
      <c r="W3428">
        <v>28</v>
      </c>
      <c r="X3428">
        <v>164</v>
      </c>
      <c r="Y3428">
        <v>9</v>
      </c>
      <c r="Z3428">
        <v>7</v>
      </c>
      <c r="AA3428">
        <v>4</v>
      </c>
      <c r="AB3428">
        <v>68</v>
      </c>
      <c r="AD3428" t="s">
        <v>77</v>
      </c>
      <c r="AE3428" t="s">
        <v>77</v>
      </c>
      <c r="AF3428" t="s">
        <v>77</v>
      </c>
      <c r="AG3428" t="s">
        <v>77</v>
      </c>
      <c r="AI3428" t="s">
        <v>77</v>
      </c>
      <c r="AJ3428">
        <v>15</v>
      </c>
      <c r="AK3428">
        <v>351</v>
      </c>
      <c r="AL3428">
        <v>351</v>
      </c>
      <c r="AM3428">
        <v>673</v>
      </c>
      <c r="AN3428">
        <v>44</v>
      </c>
      <c r="AO3428" t="s">
        <v>78</v>
      </c>
      <c r="AP3428">
        <v>1</v>
      </c>
      <c r="AR3428" t="s">
        <v>3524</v>
      </c>
      <c r="AS3428" s="1">
        <v>44354.154166666667</v>
      </c>
      <c r="AT3428" s="1">
        <v>44354.158159722225</v>
      </c>
      <c r="AU3428" s="1">
        <v>44354.159212962964</v>
      </c>
      <c r="AV3428" t="s">
        <v>71</v>
      </c>
      <c r="AW3428" t="s">
        <v>72</v>
      </c>
      <c r="AX3428" t="s">
        <v>347</v>
      </c>
    </row>
    <row r="3429" spans="1:50" x14ac:dyDescent="0.3">
      <c r="A3429" t="str">
        <f>"201728E0104"</f>
        <v>201728E0104</v>
      </c>
      <c r="B3429" t="str">
        <f>"201728E01042"</f>
        <v>201728E01042</v>
      </c>
      <c r="C3429" t="str">
        <f t="shared" si="174"/>
        <v>20</v>
      </c>
      <c r="D3429" t="s">
        <v>67</v>
      </c>
      <c r="E3429" t="str">
        <f t="shared" si="173"/>
        <v>015</v>
      </c>
      <c r="F3429" t="s">
        <v>3364</v>
      </c>
      <c r="G3429" t="str">
        <f t="shared" si="177"/>
        <v>1728</v>
      </c>
      <c r="H3429" t="str">
        <f t="shared" si="178"/>
        <v>0001</v>
      </c>
      <c r="I3429" t="s">
        <v>109</v>
      </c>
      <c r="J3429">
        <v>4</v>
      </c>
      <c r="K3429">
        <v>1</v>
      </c>
      <c r="L3429">
        <v>2</v>
      </c>
      <c r="M3429">
        <v>376</v>
      </c>
      <c r="N3429">
        <v>336</v>
      </c>
      <c r="O3429">
        <v>5</v>
      </c>
      <c r="P3429">
        <v>342</v>
      </c>
      <c r="Q3429">
        <v>7</v>
      </c>
      <c r="R3429">
        <v>27</v>
      </c>
      <c r="S3429">
        <v>7</v>
      </c>
      <c r="T3429">
        <v>0</v>
      </c>
      <c r="U3429">
        <v>12</v>
      </c>
      <c r="V3429">
        <v>1</v>
      </c>
      <c r="W3429">
        <v>37</v>
      </c>
      <c r="X3429">
        <v>162</v>
      </c>
      <c r="Y3429">
        <v>6</v>
      </c>
      <c r="Z3429">
        <v>5</v>
      </c>
      <c r="AA3429">
        <v>2</v>
      </c>
      <c r="AB3429">
        <v>62</v>
      </c>
      <c r="AD3429">
        <v>0</v>
      </c>
      <c r="AE3429">
        <v>0</v>
      </c>
      <c r="AF3429">
        <v>0</v>
      </c>
      <c r="AG3429">
        <v>0</v>
      </c>
      <c r="AI3429">
        <v>0</v>
      </c>
      <c r="AJ3429">
        <v>14</v>
      </c>
      <c r="AK3429">
        <v>342</v>
      </c>
      <c r="AL3429">
        <v>342</v>
      </c>
      <c r="AM3429">
        <v>673</v>
      </c>
      <c r="AN3429">
        <v>44</v>
      </c>
      <c r="AP3429">
        <v>1</v>
      </c>
      <c r="AR3429" t="s">
        <v>3525</v>
      </c>
      <c r="AS3429" s="1">
        <v>44354.039583333331</v>
      </c>
      <c r="AT3429" s="1">
        <v>44354.081226851849</v>
      </c>
      <c r="AU3429" s="1">
        <v>44354.082569444443</v>
      </c>
      <c r="AV3429" t="s">
        <v>71</v>
      </c>
      <c r="AW3429" t="s">
        <v>72</v>
      </c>
      <c r="AX3429" t="s">
        <v>73</v>
      </c>
    </row>
    <row r="3430" spans="1:50" x14ac:dyDescent="0.3">
      <c r="A3430" t="str">
        <f>"201728E0105"</f>
        <v>201728E0105</v>
      </c>
      <c r="B3430" t="str">
        <f>"201728E01052"</f>
        <v>201728E01052</v>
      </c>
      <c r="C3430" t="str">
        <f t="shared" si="174"/>
        <v>20</v>
      </c>
      <c r="D3430" t="s">
        <v>67</v>
      </c>
      <c r="E3430" t="str">
        <f t="shared" si="173"/>
        <v>015</v>
      </c>
      <c r="F3430" t="s">
        <v>3364</v>
      </c>
      <c r="G3430" t="str">
        <f t="shared" si="177"/>
        <v>1728</v>
      </c>
      <c r="H3430" t="str">
        <f t="shared" si="178"/>
        <v>0001</v>
      </c>
      <c r="I3430" t="s">
        <v>109</v>
      </c>
      <c r="J3430">
        <v>5</v>
      </c>
      <c r="K3430">
        <v>1</v>
      </c>
      <c r="L3430">
        <v>2</v>
      </c>
      <c r="AM3430">
        <v>673</v>
      </c>
      <c r="AN3430">
        <v>44</v>
      </c>
      <c r="AO3430" t="s">
        <v>143</v>
      </c>
      <c r="AP3430">
        <v>0</v>
      </c>
      <c r="AR3430" t="s">
        <v>3526</v>
      </c>
      <c r="AS3430" s="1">
        <v>44354.518750000003</v>
      </c>
      <c r="AT3430" s="1">
        <v>44354.531759259262</v>
      </c>
      <c r="AU3430" s="1">
        <v>44354.531759259262</v>
      </c>
      <c r="AV3430" t="s">
        <v>71</v>
      </c>
      <c r="AW3430" t="s">
        <v>72</v>
      </c>
      <c r="AX3430" t="s">
        <v>73</v>
      </c>
    </row>
    <row r="3431" spans="1:50" x14ac:dyDescent="0.3">
      <c r="A3431" t="str">
        <f>"201729B0000"</f>
        <v>201729B0000</v>
      </c>
      <c r="B3431" t="str">
        <f>"201729B00002"</f>
        <v>201729B00002</v>
      </c>
      <c r="C3431" t="str">
        <f t="shared" si="174"/>
        <v>20</v>
      </c>
      <c r="D3431" t="s">
        <v>67</v>
      </c>
      <c r="E3431" t="str">
        <f t="shared" si="173"/>
        <v>015</v>
      </c>
      <c r="F3431" t="s">
        <v>3364</v>
      </c>
      <c r="G3431" t="str">
        <f>"1729"</f>
        <v>1729</v>
      </c>
      <c r="H3431" t="str">
        <f>"0000"</f>
        <v>0000</v>
      </c>
      <c r="I3431" t="s">
        <v>69</v>
      </c>
      <c r="J3431">
        <v>0</v>
      </c>
      <c r="K3431">
        <v>1</v>
      </c>
      <c r="L3431">
        <v>2</v>
      </c>
      <c r="M3431">
        <v>233</v>
      </c>
      <c r="N3431">
        <v>397</v>
      </c>
      <c r="O3431">
        <v>3</v>
      </c>
      <c r="P3431">
        <v>396</v>
      </c>
      <c r="Q3431">
        <v>7</v>
      </c>
      <c r="R3431">
        <v>60</v>
      </c>
      <c r="S3431">
        <v>9</v>
      </c>
      <c r="T3431">
        <v>3</v>
      </c>
      <c r="U3431">
        <v>27</v>
      </c>
      <c r="V3431">
        <v>5</v>
      </c>
      <c r="W3431">
        <v>21</v>
      </c>
      <c r="X3431">
        <v>158</v>
      </c>
      <c r="Y3431">
        <v>3</v>
      </c>
      <c r="Z3431">
        <v>9</v>
      </c>
      <c r="AA3431">
        <v>4</v>
      </c>
      <c r="AB3431">
        <v>74</v>
      </c>
      <c r="AD3431">
        <v>2</v>
      </c>
      <c r="AE3431">
        <v>0</v>
      </c>
      <c r="AF3431">
        <v>0</v>
      </c>
      <c r="AG3431">
        <v>0</v>
      </c>
      <c r="AI3431">
        <v>0</v>
      </c>
      <c r="AJ3431">
        <v>14</v>
      </c>
      <c r="AK3431">
        <v>396</v>
      </c>
      <c r="AL3431">
        <v>396</v>
      </c>
      <c r="AM3431">
        <v>585</v>
      </c>
      <c r="AN3431">
        <v>44</v>
      </c>
      <c r="AP3431">
        <v>1</v>
      </c>
      <c r="AR3431" t="s">
        <v>3527</v>
      </c>
      <c r="AS3431" s="1">
        <v>44353.979861111111</v>
      </c>
      <c r="AT3431" s="1">
        <v>44354.001238425924</v>
      </c>
      <c r="AU3431" s="1">
        <v>44354.001747685186</v>
      </c>
      <c r="AV3431" t="s">
        <v>71</v>
      </c>
      <c r="AW3431" t="s">
        <v>72</v>
      </c>
      <c r="AX3431" t="s">
        <v>73</v>
      </c>
    </row>
    <row r="3432" spans="1:50" x14ac:dyDescent="0.3">
      <c r="A3432" t="str">
        <f>"201729C0100"</f>
        <v>201729C0100</v>
      </c>
      <c r="B3432" t="str">
        <f>"201729C01002"</f>
        <v>201729C01002</v>
      </c>
      <c r="C3432" t="str">
        <f t="shared" si="174"/>
        <v>20</v>
      </c>
      <c r="D3432" t="s">
        <v>67</v>
      </c>
      <c r="E3432" t="str">
        <f t="shared" si="173"/>
        <v>015</v>
      </c>
      <c r="F3432" t="s">
        <v>3364</v>
      </c>
      <c r="G3432" t="str">
        <f>"1729"</f>
        <v>1729</v>
      </c>
      <c r="H3432" t="str">
        <f>"0001"</f>
        <v>0001</v>
      </c>
      <c r="I3432" t="s">
        <v>75</v>
      </c>
      <c r="J3432">
        <v>0</v>
      </c>
      <c r="K3432">
        <v>1</v>
      </c>
      <c r="L3432">
        <v>2</v>
      </c>
      <c r="M3432">
        <v>286</v>
      </c>
      <c r="N3432">
        <v>342</v>
      </c>
      <c r="O3432">
        <v>1</v>
      </c>
      <c r="P3432">
        <v>342</v>
      </c>
      <c r="Q3432">
        <v>7</v>
      </c>
      <c r="R3432">
        <v>41</v>
      </c>
      <c r="S3432">
        <v>5</v>
      </c>
      <c r="T3432">
        <v>4</v>
      </c>
      <c r="U3432">
        <v>16</v>
      </c>
      <c r="V3432">
        <v>6</v>
      </c>
      <c r="W3432">
        <v>30</v>
      </c>
      <c r="X3432">
        <v>158</v>
      </c>
      <c r="Y3432">
        <v>2</v>
      </c>
      <c r="Z3432">
        <v>5</v>
      </c>
      <c r="AA3432">
        <v>3</v>
      </c>
      <c r="AB3432">
        <v>48</v>
      </c>
      <c r="AD3432">
        <v>0</v>
      </c>
      <c r="AE3432">
        <v>1</v>
      </c>
      <c r="AF3432">
        <v>0</v>
      </c>
      <c r="AG3432">
        <v>0</v>
      </c>
      <c r="AI3432">
        <v>1</v>
      </c>
      <c r="AJ3432">
        <v>15</v>
      </c>
      <c r="AK3432">
        <v>342</v>
      </c>
      <c r="AL3432">
        <v>342</v>
      </c>
      <c r="AM3432">
        <v>584</v>
      </c>
      <c r="AN3432">
        <v>44</v>
      </c>
      <c r="AP3432">
        <v>1</v>
      </c>
      <c r="AR3432" t="s">
        <v>3528</v>
      </c>
      <c r="AS3432" s="1">
        <v>44353.979861111111</v>
      </c>
      <c r="AT3432" s="1">
        <v>44354.005555555559</v>
      </c>
      <c r="AU3432" s="1">
        <v>44354.006249999999</v>
      </c>
      <c r="AV3432" t="s">
        <v>71</v>
      </c>
      <c r="AW3432" t="s">
        <v>72</v>
      </c>
      <c r="AX3432" t="s">
        <v>73</v>
      </c>
    </row>
    <row r="3433" spans="1:50" x14ac:dyDescent="0.3">
      <c r="A3433" t="str">
        <f>"201729C0200"</f>
        <v>201729C0200</v>
      </c>
      <c r="B3433" t="str">
        <f>"201729C02002"</f>
        <v>201729C02002</v>
      </c>
      <c r="C3433" t="str">
        <f t="shared" si="174"/>
        <v>20</v>
      </c>
      <c r="D3433" t="s">
        <v>67</v>
      </c>
      <c r="E3433" t="str">
        <f t="shared" si="173"/>
        <v>015</v>
      </c>
      <c r="F3433" t="s">
        <v>3364</v>
      </c>
      <c r="G3433" t="str">
        <f>"1729"</f>
        <v>1729</v>
      </c>
      <c r="H3433" t="str">
        <f>"0002"</f>
        <v>0002</v>
      </c>
      <c r="I3433" t="s">
        <v>75</v>
      </c>
      <c r="J3433">
        <v>0</v>
      </c>
      <c r="K3433">
        <v>1</v>
      </c>
      <c r="L3433">
        <v>2</v>
      </c>
      <c r="M3433">
        <v>278</v>
      </c>
      <c r="N3433">
        <v>350</v>
      </c>
      <c r="O3433">
        <v>4</v>
      </c>
      <c r="P3433">
        <v>350</v>
      </c>
      <c r="Q3433">
        <v>10</v>
      </c>
      <c r="R3433">
        <v>56</v>
      </c>
      <c r="S3433">
        <v>5</v>
      </c>
      <c r="T3433">
        <v>3</v>
      </c>
      <c r="U3433">
        <v>31</v>
      </c>
      <c r="V3433">
        <v>5</v>
      </c>
      <c r="W3433">
        <v>23</v>
      </c>
      <c r="X3433">
        <v>133</v>
      </c>
      <c r="Y3433">
        <v>3</v>
      </c>
      <c r="Z3433">
        <v>7</v>
      </c>
      <c r="AA3433">
        <v>7</v>
      </c>
      <c r="AB3433">
        <v>61</v>
      </c>
      <c r="AD3433" t="s">
        <v>77</v>
      </c>
      <c r="AE3433" t="s">
        <v>77</v>
      </c>
      <c r="AF3433" t="s">
        <v>77</v>
      </c>
      <c r="AG3433" t="s">
        <v>77</v>
      </c>
      <c r="AI3433" t="s">
        <v>77</v>
      </c>
      <c r="AJ3433">
        <v>6</v>
      </c>
      <c r="AK3433">
        <v>350</v>
      </c>
      <c r="AL3433">
        <v>350</v>
      </c>
      <c r="AM3433">
        <v>584</v>
      </c>
      <c r="AN3433">
        <v>44</v>
      </c>
      <c r="AO3433" t="s">
        <v>78</v>
      </c>
      <c r="AP3433">
        <v>1</v>
      </c>
      <c r="AR3433" t="s">
        <v>3529</v>
      </c>
      <c r="AS3433" s="1">
        <v>44353.979166666664</v>
      </c>
      <c r="AT3433" s="1">
        <v>44354.003344907411</v>
      </c>
      <c r="AU3433" s="1">
        <v>44354.003761574073</v>
      </c>
      <c r="AV3433" t="s">
        <v>71</v>
      </c>
      <c r="AW3433" t="s">
        <v>72</v>
      </c>
      <c r="AX3433" t="s">
        <v>73</v>
      </c>
    </row>
    <row r="3434" spans="1:50" x14ac:dyDescent="0.3">
      <c r="A3434" t="str">
        <f>"201729C0300"</f>
        <v>201729C0300</v>
      </c>
      <c r="B3434" t="str">
        <f>"201729C03002"</f>
        <v>201729C03002</v>
      </c>
      <c r="C3434" t="str">
        <f t="shared" si="174"/>
        <v>20</v>
      </c>
      <c r="D3434" t="s">
        <v>67</v>
      </c>
      <c r="E3434" t="str">
        <f t="shared" si="173"/>
        <v>015</v>
      </c>
      <c r="F3434" t="s">
        <v>3364</v>
      </c>
      <c r="G3434" t="str">
        <f>"1729"</f>
        <v>1729</v>
      </c>
      <c r="H3434" t="str">
        <f>"0003"</f>
        <v>0003</v>
      </c>
      <c r="I3434" t="s">
        <v>75</v>
      </c>
      <c r="J3434">
        <v>0</v>
      </c>
      <c r="K3434">
        <v>1</v>
      </c>
      <c r="L3434">
        <v>2</v>
      </c>
      <c r="M3434">
        <v>273</v>
      </c>
      <c r="N3434">
        <v>355</v>
      </c>
      <c r="O3434">
        <v>2</v>
      </c>
      <c r="P3434">
        <v>355</v>
      </c>
      <c r="Q3434">
        <v>10</v>
      </c>
      <c r="R3434">
        <v>65</v>
      </c>
      <c r="S3434">
        <v>4</v>
      </c>
      <c r="T3434">
        <v>5</v>
      </c>
      <c r="U3434">
        <v>13</v>
      </c>
      <c r="V3434">
        <v>3</v>
      </c>
      <c r="W3434">
        <v>24</v>
      </c>
      <c r="X3434">
        <v>150</v>
      </c>
      <c r="Y3434">
        <v>5</v>
      </c>
      <c r="Z3434">
        <v>6</v>
      </c>
      <c r="AA3434">
        <v>1</v>
      </c>
      <c r="AB3434">
        <v>54</v>
      </c>
      <c r="AD3434">
        <v>2</v>
      </c>
      <c r="AE3434">
        <v>0</v>
      </c>
      <c r="AF3434">
        <v>0</v>
      </c>
      <c r="AG3434">
        <v>1</v>
      </c>
      <c r="AI3434">
        <v>0</v>
      </c>
      <c r="AJ3434">
        <v>14</v>
      </c>
      <c r="AK3434">
        <v>355</v>
      </c>
      <c r="AL3434">
        <v>357</v>
      </c>
      <c r="AM3434">
        <v>584</v>
      </c>
      <c r="AN3434">
        <v>44</v>
      </c>
      <c r="AP3434">
        <v>1</v>
      </c>
      <c r="AR3434" t="s">
        <v>3530</v>
      </c>
      <c r="AS3434" s="1">
        <v>44353.979861111111</v>
      </c>
      <c r="AT3434" s="1">
        <v>44354.013923611114</v>
      </c>
      <c r="AU3434" s="1">
        <v>44354.014444444445</v>
      </c>
      <c r="AV3434" t="s">
        <v>71</v>
      </c>
      <c r="AW3434" t="s">
        <v>72</v>
      </c>
      <c r="AX3434" t="s">
        <v>347</v>
      </c>
    </row>
    <row r="3435" spans="1:50" x14ac:dyDescent="0.3">
      <c r="A3435" t="str">
        <f>"202423B0000"</f>
        <v>202423B0000</v>
      </c>
      <c r="B3435" t="str">
        <f>"202423B00002"</f>
        <v>202423B00002</v>
      </c>
      <c r="C3435" t="str">
        <f t="shared" si="174"/>
        <v>20</v>
      </c>
      <c r="D3435" t="s">
        <v>67</v>
      </c>
      <c r="E3435" t="str">
        <f t="shared" si="173"/>
        <v>015</v>
      </c>
      <c r="F3435" t="s">
        <v>3364</v>
      </c>
      <c r="G3435" t="str">
        <f>"2423"</f>
        <v>2423</v>
      </c>
      <c r="H3435" t="str">
        <f>"0000"</f>
        <v>0000</v>
      </c>
      <c r="I3435" t="s">
        <v>69</v>
      </c>
      <c r="J3435">
        <v>0</v>
      </c>
      <c r="K3435">
        <v>1</v>
      </c>
      <c r="L3435">
        <v>2</v>
      </c>
      <c r="M3435">
        <v>253</v>
      </c>
      <c r="N3435">
        <v>463</v>
      </c>
      <c r="O3435">
        <v>8</v>
      </c>
      <c r="P3435">
        <v>462</v>
      </c>
      <c r="Q3435">
        <v>19</v>
      </c>
      <c r="R3435">
        <v>39</v>
      </c>
      <c r="S3435">
        <v>14</v>
      </c>
      <c r="T3435">
        <v>9</v>
      </c>
      <c r="U3435">
        <v>42</v>
      </c>
      <c r="V3435">
        <v>8</v>
      </c>
      <c r="W3435">
        <v>62</v>
      </c>
      <c r="X3435">
        <v>216</v>
      </c>
      <c r="Y3435">
        <v>8</v>
      </c>
      <c r="Z3435">
        <v>14</v>
      </c>
      <c r="AA3435">
        <v>3</v>
      </c>
      <c r="AB3435">
        <v>5</v>
      </c>
      <c r="AD3435">
        <v>2</v>
      </c>
      <c r="AE3435">
        <v>0</v>
      </c>
      <c r="AF3435">
        <v>0</v>
      </c>
      <c r="AG3435">
        <v>0</v>
      </c>
      <c r="AI3435">
        <v>0</v>
      </c>
      <c r="AJ3435">
        <v>20</v>
      </c>
      <c r="AK3435">
        <v>462</v>
      </c>
      <c r="AL3435">
        <v>461</v>
      </c>
      <c r="AM3435">
        <v>665</v>
      </c>
      <c r="AN3435">
        <v>50</v>
      </c>
      <c r="AP3435">
        <v>1</v>
      </c>
      <c r="AR3435" t="s">
        <v>3531</v>
      </c>
      <c r="AS3435" s="1">
        <v>44353.916666666664</v>
      </c>
      <c r="AT3435" s="1">
        <v>44354.155717592592</v>
      </c>
      <c r="AU3435" s="1">
        <v>44354.156539351854</v>
      </c>
      <c r="AV3435" t="s">
        <v>71</v>
      </c>
      <c r="AW3435" t="s">
        <v>72</v>
      </c>
      <c r="AX3435" t="s">
        <v>73</v>
      </c>
    </row>
    <row r="3436" spans="1:50" x14ac:dyDescent="0.3">
      <c r="A3436" t="str">
        <f>"202423C0100"</f>
        <v>202423C0100</v>
      </c>
      <c r="B3436" t="str">
        <f>"202423C01002"</f>
        <v>202423C01002</v>
      </c>
      <c r="C3436" t="str">
        <f t="shared" si="174"/>
        <v>20</v>
      </c>
      <c r="D3436" t="s">
        <v>67</v>
      </c>
      <c r="E3436" t="str">
        <f t="shared" si="173"/>
        <v>015</v>
      </c>
      <c r="F3436" t="s">
        <v>3364</v>
      </c>
      <c r="G3436" t="str">
        <f>"2423"</f>
        <v>2423</v>
      </c>
      <c r="H3436" t="str">
        <f>"0001"</f>
        <v>0001</v>
      </c>
      <c r="I3436" t="s">
        <v>75</v>
      </c>
      <c r="J3436">
        <v>0</v>
      </c>
      <c r="K3436">
        <v>1</v>
      </c>
      <c r="L3436">
        <v>2</v>
      </c>
      <c r="M3436">
        <v>235</v>
      </c>
      <c r="N3436">
        <v>480</v>
      </c>
      <c r="O3436">
        <v>4</v>
      </c>
      <c r="P3436">
        <v>480</v>
      </c>
      <c r="Q3436">
        <v>15</v>
      </c>
      <c r="R3436">
        <v>36</v>
      </c>
      <c r="S3436">
        <v>16</v>
      </c>
      <c r="T3436">
        <v>11</v>
      </c>
      <c r="U3436">
        <v>38</v>
      </c>
      <c r="V3436">
        <v>13</v>
      </c>
      <c r="W3436">
        <v>57</v>
      </c>
      <c r="X3436">
        <v>232</v>
      </c>
      <c r="Y3436">
        <v>22</v>
      </c>
      <c r="Z3436">
        <v>18</v>
      </c>
      <c r="AA3436">
        <v>5</v>
      </c>
      <c r="AB3436">
        <v>5</v>
      </c>
      <c r="AD3436">
        <v>3</v>
      </c>
      <c r="AE3436">
        <v>0</v>
      </c>
      <c r="AF3436">
        <v>0</v>
      </c>
      <c r="AG3436">
        <v>0</v>
      </c>
      <c r="AI3436">
        <v>0</v>
      </c>
      <c r="AJ3436">
        <v>9</v>
      </c>
      <c r="AK3436">
        <v>480</v>
      </c>
      <c r="AL3436">
        <v>480</v>
      </c>
      <c r="AM3436">
        <v>665</v>
      </c>
      <c r="AN3436">
        <v>50</v>
      </c>
      <c r="AP3436">
        <v>1</v>
      </c>
      <c r="AR3436" s="2" t="s">
        <v>3532</v>
      </c>
      <c r="AS3436" s="1">
        <v>44353.951388888891</v>
      </c>
      <c r="AT3436" s="1">
        <v>44354.156180555554</v>
      </c>
      <c r="AU3436" s="1">
        <v>44354.15730324074</v>
      </c>
      <c r="AV3436" t="s">
        <v>71</v>
      </c>
      <c r="AW3436" t="s">
        <v>72</v>
      </c>
      <c r="AX3436" t="s">
        <v>73</v>
      </c>
    </row>
    <row r="3437" spans="1:50" x14ac:dyDescent="0.3">
      <c r="A3437" t="str">
        <f>"202423C0200"</f>
        <v>202423C0200</v>
      </c>
      <c r="B3437" t="str">
        <f>"202423C02002"</f>
        <v>202423C02002</v>
      </c>
      <c r="C3437" t="str">
        <f t="shared" si="174"/>
        <v>20</v>
      </c>
      <c r="D3437" t="s">
        <v>67</v>
      </c>
      <c r="E3437" t="str">
        <f t="shared" si="173"/>
        <v>015</v>
      </c>
      <c r="F3437" t="s">
        <v>3364</v>
      </c>
      <c r="G3437" t="str">
        <f>"2423"</f>
        <v>2423</v>
      </c>
      <c r="H3437" t="str">
        <f>"0002"</f>
        <v>0002</v>
      </c>
      <c r="I3437" t="s">
        <v>75</v>
      </c>
      <c r="J3437">
        <v>0</v>
      </c>
      <c r="K3437">
        <v>1</v>
      </c>
      <c r="L3437">
        <v>2</v>
      </c>
      <c r="M3437">
        <v>265</v>
      </c>
      <c r="N3437">
        <v>450</v>
      </c>
      <c r="O3437">
        <v>7</v>
      </c>
      <c r="P3437">
        <v>435</v>
      </c>
      <c r="Q3437">
        <v>14</v>
      </c>
      <c r="R3437">
        <v>36</v>
      </c>
      <c r="S3437">
        <v>12</v>
      </c>
      <c r="T3437">
        <v>7</v>
      </c>
      <c r="U3437">
        <v>30</v>
      </c>
      <c r="V3437">
        <v>14</v>
      </c>
      <c r="W3437">
        <v>62</v>
      </c>
      <c r="X3437">
        <v>220</v>
      </c>
      <c r="Y3437">
        <v>13</v>
      </c>
      <c r="Z3437">
        <v>15</v>
      </c>
      <c r="AA3437">
        <v>3</v>
      </c>
      <c r="AB3437">
        <v>8</v>
      </c>
      <c r="AD3437">
        <v>1</v>
      </c>
      <c r="AE3437">
        <v>0</v>
      </c>
      <c r="AF3437">
        <v>0</v>
      </c>
      <c r="AG3437">
        <v>0</v>
      </c>
      <c r="AI3437">
        <v>0</v>
      </c>
      <c r="AJ3437">
        <v>0</v>
      </c>
      <c r="AK3437">
        <v>0</v>
      </c>
      <c r="AL3437">
        <v>435</v>
      </c>
      <c r="AM3437">
        <v>665</v>
      </c>
      <c r="AN3437">
        <v>50</v>
      </c>
      <c r="AP3437">
        <v>1</v>
      </c>
      <c r="AR3437" t="s">
        <v>3533</v>
      </c>
      <c r="AS3437" s="1">
        <v>44353.875</v>
      </c>
      <c r="AT3437" s="1">
        <v>44354.155636574076</v>
      </c>
      <c r="AU3437" s="1">
        <v>44354.156226851854</v>
      </c>
      <c r="AV3437" t="s">
        <v>71</v>
      </c>
      <c r="AW3437" t="s">
        <v>72</v>
      </c>
      <c r="AX3437" t="s">
        <v>73</v>
      </c>
    </row>
    <row r="3438" spans="1:50" x14ac:dyDescent="0.3">
      <c r="A3438" t="str">
        <f>"202423C0300"</f>
        <v>202423C0300</v>
      </c>
      <c r="B3438" t="str">
        <f>"202423C03002"</f>
        <v>202423C03002</v>
      </c>
      <c r="C3438" t="str">
        <f t="shared" si="174"/>
        <v>20</v>
      </c>
      <c r="D3438" t="s">
        <v>67</v>
      </c>
      <c r="E3438" t="str">
        <f t="shared" si="173"/>
        <v>015</v>
      </c>
      <c r="F3438" t="s">
        <v>3364</v>
      </c>
      <c r="G3438" t="str">
        <f>"2423"</f>
        <v>2423</v>
      </c>
      <c r="H3438" t="str">
        <f>"0003"</f>
        <v>0003</v>
      </c>
      <c r="I3438" t="s">
        <v>75</v>
      </c>
      <c r="J3438">
        <v>0</v>
      </c>
      <c r="K3438">
        <v>1</v>
      </c>
      <c r="L3438">
        <v>2</v>
      </c>
      <c r="M3438" t="s">
        <v>80</v>
      </c>
      <c r="N3438" t="s">
        <v>80</v>
      </c>
      <c r="O3438" t="s">
        <v>80</v>
      </c>
      <c r="P3438" t="s">
        <v>80</v>
      </c>
      <c r="Q3438">
        <v>22</v>
      </c>
      <c r="R3438">
        <v>38</v>
      </c>
      <c r="S3438">
        <v>32</v>
      </c>
      <c r="T3438">
        <v>11</v>
      </c>
      <c r="U3438">
        <v>36</v>
      </c>
      <c r="V3438">
        <v>4</v>
      </c>
      <c r="W3438">
        <v>54</v>
      </c>
      <c r="X3438">
        <v>198</v>
      </c>
      <c r="Y3438">
        <v>19</v>
      </c>
      <c r="Z3438">
        <v>11</v>
      </c>
      <c r="AA3438">
        <v>1</v>
      </c>
      <c r="AB3438">
        <v>7</v>
      </c>
      <c r="AD3438">
        <v>1</v>
      </c>
      <c r="AE3438">
        <v>0</v>
      </c>
      <c r="AF3438">
        <v>0</v>
      </c>
      <c r="AG3438">
        <v>0</v>
      </c>
      <c r="AI3438">
        <v>0</v>
      </c>
      <c r="AJ3438">
        <v>14</v>
      </c>
      <c r="AK3438">
        <v>448</v>
      </c>
      <c r="AL3438">
        <v>448</v>
      </c>
      <c r="AM3438">
        <v>665</v>
      </c>
      <c r="AN3438">
        <v>50</v>
      </c>
      <c r="AP3438">
        <v>1</v>
      </c>
      <c r="AR3438" t="s">
        <v>3534</v>
      </c>
      <c r="AS3438" s="1">
        <v>44354.129861111112</v>
      </c>
      <c r="AT3438" s="1">
        <v>44354.157858796294</v>
      </c>
      <c r="AU3438" s="1">
        <v>44354.158263888887</v>
      </c>
      <c r="AV3438" t="s">
        <v>71</v>
      </c>
      <c r="AW3438" t="s">
        <v>72</v>
      </c>
      <c r="AX3438" t="s">
        <v>73</v>
      </c>
    </row>
    <row r="3439" spans="1:50" x14ac:dyDescent="0.3">
      <c r="A3439" t="str">
        <f>"202423C0400"</f>
        <v>202423C0400</v>
      </c>
      <c r="B3439" t="str">
        <f>"202423C04002"</f>
        <v>202423C04002</v>
      </c>
      <c r="C3439" t="str">
        <f t="shared" si="174"/>
        <v>20</v>
      </c>
      <c r="D3439" t="s">
        <v>67</v>
      </c>
      <c r="E3439" t="str">
        <f t="shared" si="173"/>
        <v>015</v>
      </c>
      <c r="F3439" t="s">
        <v>3364</v>
      </c>
      <c r="G3439" t="str">
        <f>"2423"</f>
        <v>2423</v>
      </c>
      <c r="H3439" t="str">
        <f>"0004"</f>
        <v>0004</v>
      </c>
      <c r="I3439" t="s">
        <v>75</v>
      </c>
      <c r="J3439">
        <v>0</v>
      </c>
      <c r="K3439">
        <v>1</v>
      </c>
      <c r="L3439">
        <v>2</v>
      </c>
      <c r="M3439">
        <v>255</v>
      </c>
      <c r="N3439">
        <v>459</v>
      </c>
      <c r="O3439">
        <v>8</v>
      </c>
      <c r="P3439">
        <v>4</v>
      </c>
      <c r="Q3439">
        <v>17</v>
      </c>
      <c r="R3439">
        <v>42</v>
      </c>
      <c r="S3439">
        <v>20</v>
      </c>
      <c r="T3439">
        <v>11</v>
      </c>
      <c r="U3439">
        <v>30</v>
      </c>
      <c r="V3439">
        <v>9</v>
      </c>
      <c r="W3439">
        <v>67</v>
      </c>
      <c r="X3439">
        <v>177</v>
      </c>
      <c r="Y3439">
        <v>31</v>
      </c>
      <c r="Z3439">
        <v>17</v>
      </c>
      <c r="AA3439">
        <v>5</v>
      </c>
      <c r="AB3439">
        <v>5</v>
      </c>
      <c r="AD3439">
        <v>1</v>
      </c>
      <c r="AE3439">
        <v>1</v>
      </c>
      <c r="AF3439">
        <v>0</v>
      </c>
      <c r="AG3439">
        <v>0</v>
      </c>
      <c r="AI3439">
        <v>1</v>
      </c>
      <c r="AJ3439">
        <v>18</v>
      </c>
      <c r="AK3439">
        <v>452</v>
      </c>
      <c r="AL3439">
        <v>452</v>
      </c>
      <c r="AM3439">
        <v>664</v>
      </c>
      <c r="AN3439">
        <v>50</v>
      </c>
      <c r="AP3439">
        <v>1</v>
      </c>
      <c r="AR3439" t="s">
        <v>3535</v>
      </c>
      <c r="AS3439" s="1">
        <v>44354.132638888892</v>
      </c>
      <c r="AT3439" s="1">
        <v>44354.154398148145</v>
      </c>
      <c r="AU3439" s="1">
        <v>44354.155289351853</v>
      </c>
      <c r="AV3439" t="s">
        <v>71</v>
      </c>
      <c r="AW3439" t="s">
        <v>72</v>
      </c>
      <c r="AX3439" t="s">
        <v>73</v>
      </c>
    </row>
    <row r="3440" spans="1:50" x14ac:dyDescent="0.3">
      <c r="A3440" t="str">
        <f>"202424B0000"</f>
        <v>202424B0000</v>
      </c>
      <c r="B3440" t="str">
        <f>"202424B00002"</f>
        <v>202424B00002</v>
      </c>
      <c r="C3440" t="str">
        <f t="shared" si="174"/>
        <v>20</v>
      </c>
      <c r="D3440" t="s">
        <v>67</v>
      </c>
      <c r="E3440" t="str">
        <f t="shared" si="173"/>
        <v>015</v>
      </c>
      <c r="F3440" t="s">
        <v>3364</v>
      </c>
      <c r="G3440" t="str">
        <f>"2424"</f>
        <v>2424</v>
      </c>
      <c r="H3440" t="str">
        <f>"0000"</f>
        <v>0000</v>
      </c>
      <c r="I3440" t="s">
        <v>69</v>
      </c>
      <c r="J3440">
        <v>0</v>
      </c>
      <c r="K3440">
        <v>1</v>
      </c>
      <c r="L3440">
        <v>2</v>
      </c>
      <c r="M3440">
        <v>260</v>
      </c>
      <c r="N3440">
        <v>538</v>
      </c>
      <c r="O3440">
        <v>3</v>
      </c>
      <c r="P3440">
        <v>538</v>
      </c>
      <c r="Q3440">
        <v>24</v>
      </c>
      <c r="R3440">
        <v>29</v>
      </c>
      <c r="S3440">
        <v>14</v>
      </c>
      <c r="T3440">
        <v>5</v>
      </c>
      <c r="U3440">
        <v>41</v>
      </c>
      <c r="V3440">
        <v>14</v>
      </c>
      <c r="W3440">
        <v>94</v>
      </c>
      <c r="X3440">
        <v>248</v>
      </c>
      <c r="Y3440">
        <v>11</v>
      </c>
      <c r="Z3440">
        <v>26</v>
      </c>
      <c r="AA3440">
        <v>5</v>
      </c>
      <c r="AB3440">
        <v>5</v>
      </c>
      <c r="AD3440">
        <v>0</v>
      </c>
      <c r="AE3440">
        <v>0</v>
      </c>
      <c r="AF3440">
        <v>0</v>
      </c>
      <c r="AG3440">
        <v>0</v>
      </c>
      <c r="AI3440">
        <v>0</v>
      </c>
      <c r="AJ3440">
        <v>22</v>
      </c>
      <c r="AK3440">
        <v>538</v>
      </c>
      <c r="AL3440">
        <v>538</v>
      </c>
      <c r="AM3440">
        <v>748</v>
      </c>
      <c r="AN3440">
        <v>50</v>
      </c>
      <c r="AP3440">
        <v>1</v>
      </c>
      <c r="AR3440" t="s">
        <v>3536</v>
      </c>
      <c r="AS3440" s="1">
        <v>44354.077777777777</v>
      </c>
      <c r="AT3440" s="1">
        <v>44354.110347222224</v>
      </c>
      <c r="AU3440" s="1">
        <v>44354.110833333332</v>
      </c>
      <c r="AV3440" t="s">
        <v>71</v>
      </c>
      <c r="AW3440" t="s">
        <v>72</v>
      </c>
      <c r="AX3440" t="s">
        <v>73</v>
      </c>
    </row>
    <row r="3441" spans="1:50" x14ac:dyDescent="0.3">
      <c r="A3441" t="str">
        <f>"202424C0100"</f>
        <v>202424C0100</v>
      </c>
      <c r="B3441" t="str">
        <f>"202424C01002"</f>
        <v>202424C01002</v>
      </c>
      <c r="C3441" t="str">
        <f t="shared" si="174"/>
        <v>20</v>
      </c>
      <c r="D3441" t="s">
        <v>67</v>
      </c>
      <c r="E3441" t="str">
        <f t="shared" si="173"/>
        <v>015</v>
      </c>
      <c r="F3441" t="s">
        <v>3364</v>
      </c>
      <c r="G3441" t="str">
        <f>"2424"</f>
        <v>2424</v>
      </c>
      <c r="H3441" t="str">
        <f>"0001"</f>
        <v>0001</v>
      </c>
      <c r="I3441" t="s">
        <v>75</v>
      </c>
      <c r="J3441">
        <v>0</v>
      </c>
      <c r="K3441">
        <v>1</v>
      </c>
      <c r="L3441">
        <v>2</v>
      </c>
      <c r="M3441">
        <v>289</v>
      </c>
      <c r="N3441">
        <v>509</v>
      </c>
      <c r="O3441">
        <v>9</v>
      </c>
      <c r="P3441" t="s">
        <v>80</v>
      </c>
      <c r="Q3441">
        <v>13</v>
      </c>
      <c r="R3441">
        <v>41</v>
      </c>
      <c r="S3441">
        <v>8</v>
      </c>
      <c r="T3441">
        <v>12</v>
      </c>
      <c r="U3441">
        <v>56</v>
      </c>
      <c r="V3441">
        <v>3</v>
      </c>
      <c r="W3441">
        <v>66</v>
      </c>
      <c r="X3441">
        <v>235</v>
      </c>
      <c r="Y3441">
        <v>27</v>
      </c>
      <c r="Z3441">
        <v>17</v>
      </c>
      <c r="AA3441">
        <v>5</v>
      </c>
      <c r="AB3441">
        <v>8</v>
      </c>
      <c r="AD3441">
        <v>2</v>
      </c>
      <c r="AE3441">
        <v>0</v>
      </c>
      <c r="AF3441">
        <v>0</v>
      </c>
      <c r="AG3441">
        <v>0</v>
      </c>
      <c r="AI3441">
        <v>0</v>
      </c>
      <c r="AJ3441">
        <v>16</v>
      </c>
      <c r="AK3441">
        <v>509</v>
      </c>
      <c r="AL3441">
        <v>509</v>
      </c>
      <c r="AM3441">
        <v>748</v>
      </c>
      <c r="AN3441">
        <v>50</v>
      </c>
      <c r="AP3441">
        <v>1</v>
      </c>
      <c r="AR3441" t="s">
        <v>3537</v>
      </c>
      <c r="AS3441" s="1">
        <v>44354.063888888886</v>
      </c>
      <c r="AT3441" s="1">
        <v>44354.112349537034</v>
      </c>
      <c r="AU3441" s="1">
        <v>44354.114178240743</v>
      </c>
      <c r="AV3441" t="s">
        <v>71</v>
      </c>
      <c r="AW3441" t="s">
        <v>72</v>
      </c>
      <c r="AX3441" t="s">
        <v>73</v>
      </c>
    </row>
    <row r="3442" spans="1:50" x14ac:dyDescent="0.3">
      <c r="A3442" t="str">
        <f>"202424C0200"</f>
        <v>202424C0200</v>
      </c>
      <c r="B3442" t="str">
        <f>"202424C02002"</f>
        <v>202424C02002</v>
      </c>
      <c r="C3442" t="str">
        <f t="shared" si="174"/>
        <v>20</v>
      </c>
      <c r="D3442" t="s">
        <v>67</v>
      </c>
      <c r="E3442" t="str">
        <f t="shared" si="173"/>
        <v>015</v>
      </c>
      <c r="F3442" t="s">
        <v>3364</v>
      </c>
      <c r="G3442" t="str">
        <f>"2424"</f>
        <v>2424</v>
      </c>
      <c r="H3442" t="str">
        <f>"0002"</f>
        <v>0002</v>
      </c>
      <c r="I3442" t="s">
        <v>75</v>
      </c>
      <c r="J3442">
        <v>0</v>
      </c>
      <c r="K3442">
        <v>1</v>
      </c>
      <c r="L3442">
        <v>2</v>
      </c>
      <c r="M3442">
        <v>296</v>
      </c>
      <c r="N3442">
        <v>501</v>
      </c>
      <c r="O3442">
        <v>3</v>
      </c>
      <c r="P3442">
        <v>501</v>
      </c>
      <c r="Q3442">
        <v>22</v>
      </c>
      <c r="R3442">
        <v>26</v>
      </c>
      <c r="S3442">
        <v>14</v>
      </c>
      <c r="T3442">
        <v>4</v>
      </c>
      <c r="U3442">
        <v>46</v>
      </c>
      <c r="V3442">
        <v>15</v>
      </c>
      <c r="W3442">
        <v>74</v>
      </c>
      <c r="X3442">
        <v>217</v>
      </c>
      <c r="Y3442">
        <v>30</v>
      </c>
      <c r="Z3442">
        <v>15</v>
      </c>
      <c r="AA3442">
        <v>3</v>
      </c>
      <c r="AB3442">
        <v>6</v>
      </c>
      <c r="AD3442">
        <v>3</v>
      </c>
      <c r="AE3442">
        <v>1</v>
      </c>
      <c r="AF3442">
        <v>0</v>
      </c>
      <c r="AG3442">
        <v>0</v>
      </c>
      <c r="AI3442">
        <v>0</v>
      </c>
      <c r="AJ3442">
        <v>25</v>
      </c>
      <c r="AK3442">
        <v>501</v>
      </c>
      <c r="AL3442">
        <v>501</v>
      </c>
      <c r="AM3442">
        <v>747</v>
      </c>
      <c r="AN3442">
        <v>50</v>
      </c>
      <c r="AP3442">
        <v>1</v>
      </c>
      <c r="AR3442" t="s">
        <v>3538</v>
      </c>
      <c r="AS3442" s="1">
        <v>44354.077777777777</v>
      </c>
      <c r="AT3442" s="1">
        <v>44354.11136574074</v>
      </c>
      <c r="AU3442" s="1">
        <v>44354.112013888887</v>
      </c>
      <c r="AV3442" t="s">
        <v>71</v>
      </c>
      <c r="AW3442" t="s">
        <v>72</v>
      </c>
      <c r="AX3442" t="s">
        <v>73</v>
      </c>
    </row>
    <row r="3443" spans="1:50" x14ac:dyDescent="0.3">
      <c r="A3443" t="str">
        <f>"202424C0300"</f>
        <v>202424C0300</v>
      </c>
      <c r="B3443" t="str">
        <f>"202424C03002"</f>
        <v>202424C03002</v>
      </c>
      <c r="C3443" t="str">
        <f t="shared" si="174"/>
        <v>20</v>
      </c>
      <c r="D3443" t="s">
        <v>67</v>
      </c>
      <c r="E3443" t="str">
        <f t="shared" si="173"/>
        <v>015</v>
      </c>
      <c r="F3443" t="s">
        <v>3364</v>
      </c>
      <c r="G3443" t="str">
        <f>"2424"</f>
        <v>2424</v>
      </c>
      <c r="H3443" t="str">
        <f>"0003"</f>
        <v>0003</v>
      </c>
      <c r="I3443" t="s">
        <v>75</v>
      </c>
      <c r="J3443">
        <v>0</v>
      </c>
      <c r="K3443">
        <v>1</v>
      </c>
      <c r="L3443">
        <v>2</v>
      </c>
      <c r="M3443">
        <v>281</v>
      </c>
      <c r="N3443">
        <v>516</v>
      </c>
      <c r="O3443">
        <v>2</v>
      </c>
      <c r="P3443">
        <v>516</v>
      </c>
      <c r="Q3443">
        <v>29</v>
      </c>
      <c r="R3443">
        <v>50</v>
      </c>
      <c r="S3443">
        <v>15</v>
      </c>
      <c r="T3443">
        <v>5</v>
      </c>
      <c r="U3443">
        <v>62</v>
      </c>
      <c r="V3443">
        <v>5</v>
      </c>
      <c r="W3443">
        <v>61</v>
      </c>
      <c r="X3443">
        <v>211</v>
      </c>
      <c r="Y3443">
        <v>23</v>
      </c>
      <c r="Z3443">
        <v>27</v>
      </c>
      <c r="AA3443">
        <v>4</v>
      </c>
      <c r="AB3443">
        <v>7</v>
      </c>
      <c r="AD3443">
        <v>1</v>
      </c>
      <c r="AE3443">
        <v>0</v>
      </c>
      <c r="AF3443">
        <v>0</v>
      </c>
      <c r="AG3443">
        <v>0</v>
      </c>
      <c r="AI3443">
        <v>1</v>
      </c>
      <c r="AJ3443">
        <v>15</v>
      </c>
      <c r="AK3443">
        <v>516</v>
      </c>
      <c r="AL3443">
        <v>516</v>
      </c>
      <c r="AM3443">
        <v>747</v>
      </c>
      <c r="AN3443">
        <v>50</v>
      </c>
      <c r="AP3443">
        <v>1</v>
      </c>
      <c r="AR3443" t="s">
        <v>3539</v>
      </c>
      <c r="AS3443" s="1">
        <v>44354.078472222223</v>
      </c>
      <c r="AT3443" s="1">
        <v>44354.11519675926</v>
      </c>
      <c r="AU3443" s="1">
        <v>44354.115902777776</v>
      </c>
      <c r="AV3443" t="s">
        <v>71</v>
      </c>
      <c r="AW3443" t="s">
        <v>72</v>
      </c>
      <c r="AX3443" t="s">
        <v>73</v>
      </c>
    </row>
    <row r="3444" spans="1:50" x14ac:dyDescent="0.3">
      <c r="A3444" t="str">
        <f>"202425B0000"</f>
        <v>202425B0000</v>
      </c>
      <c r="B3444" t="str">
        <f>"202425B00002"</f>
        <v>202425B00002</v>
      </c>
      <c r="C3444" t="str">
        <f t="shared" si="174"/>
        <v>20</v>
      </c>
      <c r="D3444" t="s">
        <v>67</v>
      </c>
      <c r="E3444" t="str">
        <f t="shared" si="173"/>
        <v>015</v>
      </c>
      <c r="F3444" t="s">
        <v>3364</v>
      </c>
      <c r="G3444" t="str">
        <f>"2425"</f>
        <v>2425</v>
      </c>
      <c r="H3444" t="str">
        <f>"0000"</f>
        <v>0000</v>
      </c>
      <c r="I3444" t="s">
        <v>69</v>
      </c>
      <c r="J3444">
        <v>0</v>
      </c>
      <c r="K3444">
        <v>1</v>
      </c>
      <c r="L3444">
        <v>2</v>
      </c>
      <c r="M3444">
        <v>191</v>
      </c>
      <c r="N3444">
        <v>401</v>
      </c>
      <c r="O3444">
        <v>10</v>
      </c>
      <c r="P3444">
        <v>401</v>
      </c>
      <c r="Q3444">
        <v>22</v>
      </c>
      <c r="R3444">
        <v>26</v>
      </c>
      <c r="S3444">
        <v>19</v>
      </c>
      <c r="T3444">
        <v>10</v>
      </c>
      <c r="U3444">
        <v>23</v>
      </c>
      <c r="V3444">
        <v>7</v>
      </c>
      <c r="W3444">
        <v>59</v>
      </c>
      <c r="X3444">
        <v>185</v>
      </c>
      <c r="Y3444">
        <v>18</v>
      </c>
      <c r="Z3444">
        <v>6</v>
      </c>
      <c r="AA3444">
        <v>2</v>
      </c>
      <c r="AB3444">
        <v>6</v>
      </c>
      <c r="AD3444" t="s">
        <v>77</v>
      </c>
      <c r="AE3444" t="s">
        <v>77</v>
      </c>
      <c r="AF3444" t="s">
        <v>77</v>
      </c>
      <c r="AG3444" t="s">
        <v>77</v>
      </c>
      <c r="AI3444" t="s">
        <v>77</v>
      </c>
      <c r="AJ3444" t="s">
        <v>77</v>
      </c>
      <c r="AK3444" t="s">
        <v>77</v>
      </c>
      <c r="AL3444">
        <v>383</v>
      </c>
      <c r="AM3444">
        <v>542</v>
      </c>
      <c r="AN3444">
        <v>50</v>
      </c>
      <c r="AO3444" t="s">
        <v>78</v>
      </c>
      <c r="AP3444">
        <v>1</v>
      </c>
      <c r="AR3444" t="s">
        <v>3540</v>
      </c>
      <c r="AS3444" s="1">
        <v>44354.063888888886</v>
      </c>
      <c r="AT3444" s="1">
        <v>44354.079583333332</v>
      </c>
      <c r="AU3444" s="1">
        <v>44354.080057870371</v>
      </c>
      <c r="AV3444" t="s">
        <v>71</v>
      </c>
      <c r="AW3444" t="s">
        <v>72</v>
      </c>
      <c r="AX3444" t="s">
        <v>73</v>
      </c>
    </row>
    <row r="3445" spans="1:50" x14ac:dyDescent="0.3">
      <c r="A3445" t="str">
        <f>"202425C0100"</f>
        <v>202425C0100</v>
      </c>
      <c r="B3445" t="str">
        <f>"202425C01002"</f>
        <v>202425C01002</v>
      </c>
      <c r="C3445" t="str">
        <f t="shared" si="174"/>
        <v>20</v>
      </c>
      <c r="D3445" t="s">
        <v>67</v>
      </c>
      <c r="E3445" t="str">
        <f t="shared" si="173"/>
        <v>015</v>
      </c>
      <c r="F3445" t="s">
        <v>3364</v>
      </c>
      <c r="G3445" t="str">
        <f>"2425"</f>
        <v>2425</v>
      </c>
      <c r="H3445" t="str">
        <f>"0001"</f>
        <v>0001</v>
      </c>
      <c r="I3445" t="s">
        <v>75</v>
      </c>
      <c r="J3445">
        <v>0</v>
      </c>
      <c r="K3445">
        <v>1</v>
      </c>
      <c r="L3445">
        <v>2</v>
      </c>
      <c r="M3445">
        <v>179</v>
      </c>
      <c r="N3445">
        <v>429</v>
      </c>
      <c r="O3445">
        <v>16</v>
      </c>
      <c r="P3445">
        <v>413</v>
      </c>
      <c r="Q3445">
        <v>10</v>
      </c>
      <c r="R3445">
        <v>44</v>
      </c>
      <c r="S3445">
        <v>18</v>
      </c>
      <c r="T3445">
        <v>3</v>
      </c>
      <c r="U3445">
        <v>32</v>
      </c>
      <c r="V3445">
        <v>10</v>
      </c>
      <c r="W3445">
        <v>62</v>
      </c>
      <c r="X3445">
        <v>190</v>
      </c>
      <c r="Y3445">
        <v>8</v>
      </c>
      <c r="Z3445">
        <v>7</v>
      </c>
      <c r="AA3445">
        <v>9</v>
      </c>
      <c r="AB3445">
        <v>0</v>
      </c>
      <c r="AD3445">
        <v>1</v>
      </c>
      <c r="AE3445" t="s">
        <v>77</v>
      </c>
      <c r="AF3445" t="s">
        <v>77</v>
      </c>
      <c r="AG3445" t="s">
        <v>77</v>
      </c>
      <c r="AI3445" t="s">
        <v>77</v>
      </c>
      <c r="AJ3445">
        <v>19</v>
      </c>
      <c r="AK3445">
        <v>413</v>
      </c>
      <c r="AL3445">
        <v>413</v>
      </c>
      <c r="AM3445">
        <v>542</v>
      </c>
      <c r="AN3445">
        <v>50</v>
      </c>
      <c r="AO3445" t="s">
        <v>78</v>
      </c>
      <c r="AP3445">
        <v>1</v>
      </c>
      <c r="AR3445" t="s">
        <v>3541</v>
      </c>
      <c r="AS3445" s="1">
        <v>44354.061805555553</v>
      </c>
      <c r="AT3445" s="1">
        <v>44354.095659722225</v>
      </c>
      <c r="AU3445" s="1">
        <v>44354.096284722225</v>
      </c>
      <c r="AV3445" t="s">
        <v>71</v>
      </c>
      <c r="AW3445" t="s">
        <v>72</v>
      </c>
      <c r="AX3445" t="s">
        <v>73</v>
      </c>
    </row>
    <row r="3446" spans="1:50" x14ac:dyDescent="0.3">
      <c r="A3446" t="str">
        <f>"202425C0200"</f>
        <v>202425C0200</v>
      </c>
      <c r="B3446" t="str">
        <f>"202425C02002"</f>
        <v>202425C02002</v>
      </c>
      <c r="C3446" t="str">
        <f t="shared" si="174"/>
        <v>20</v>
      </c>
      <c r="D3446" t="s">
        <v>67</v>
      </c>
      <c r="E3446" t="str">
        <f t="shared" si="173"/>
        <v>015</v>
      </c>
      <c r="F3446" t="s">
        <v>3364</v>
      </c>
      <c r="G3446" t="str">
        <f>"2425"</f>
        <v>2425</v>
      </c>
      <c r="H3446" t="str">
        <f>"0002"</f>
        <v>0002</v>
      </c>
      <c r="I3446" t="s">
        <v>75</v>
      </c>
      <c r="J3446">
        <v>0</v>
      </c>
      <c r="K3446">
        <v>1</v>
      </c>
      <c r="L3446">
        <v>2</v>
      </c>
      <c r="M3446">
        <v>191</v>
      </c>
      <c r="N3446">
        <v>401</v>
      </c>
      <c r="O3446">
        <v>10</v>
      </c>
      <c r="P3446">
        <v>401</v>
      </c>
      <c r="Q3446">
        <v>23</v>
      </c>
      <c r="R3446">
        <v>41</v>
      </c>
      <c r="S3446">
        <v>19</v>
      </c>
      <c r="T3446">
        <v>10</v>
      </c>
      <c r="U3446">
        <v>27</v>
      </c>
      <c r="V3446">
        <v>8</v>
      </c>
      <c r="W3446">
        <v>60</v>
      </c>
      <c r="X3446">
        <v>159</v>
      </c>
      <c r="Y3446">
        <v>12</v>
      </c>
      <c r="Z3446">
        <v>11</v>
      </c>
      <c r="AA3446">
        <v>5</v>
      </c>
      <c r="AB3446">
        <v>4</v>
      </c>
      <c r="AD3446" t="s">
        <v>77</v>
      </c>
      <c r="AE3446" t="s">
        <v>77</v>
      </c>
      <c r="AF3446" t="s">
        <v>77</v>
      </c>
      <c r="AG3446" t="s">
        <v>77</v>
      </c>
      <c r="AI3446" t="s">
        <v>77</v>
      </c>
      <c r="AJ3446">
        <v>22</v>
      </c>
      <c r="AK3446">
        <v>401</v>
      </c>
      <c r="AL3446">
        <v>401</v>
      </c>
      <c r="AM3446">
        <v>542</v>
      </c>
      <c r="AN3446">
        <v>50</v>
      </c>
      <c r="AO3446" t="s">
        <v>78</v>
      </c>
      <c r="AP3446">
        <v>1</v>
      </c>
      <c r="AR3446" t="s">
        <v>3542</v>
      </c>
      <c r="AS3446" s="1">
        <v>44354.061805555553</v>
      </c>
      <c r="AT3446" s="1">
        <v>44354.095590277779</v>
      </c>
      <c r="AU3446" s="1">
        <v>44354.096412037034</v>
      </c>
      <c r="AV3446" t="s">
        <v>71</v>
      </c>
      <c r="AW3446" t="s">
        <v>72</v>
      </c>
      <c r="AX3446" t="s">
        <v>73</v>
      </c>
    </row>
    <row r="3447" spans="1:50" x14ac:dyDescent="0.3">
      <c r="A3447" t="str">
        <f>"202426B0000"</f>
        <v>202426B0000</v>
      </c>
      <c r="B3447" t="str">
        <f>"202426B00002"</f>
        <v>202426B00002</v>
      </c>
      <c r="C3447" t="str">
        <f t="shared" si="174"/>
        <v>20</v>
      </c>
      <c r="D3447" t="s">
        <v>67</v>
      </c>
      <c r="E3447" t="str">
        <f t="shared" si="173"/>
        <v>015</v>
      </c>
      <c r="F3447" t="s">
        <v>3364</v>
      </c>
      <c r="G3447" t="str">
        <f t="shared" ref="G3447:G3452" si="179">"2426"</f>
        <v>2426</v>
      </c>
      <c r="H3447" t="str">
        <f>"0000"</f>
        <v>0000</v>
      </c>
      <c r="I3447" t="s">
        <v>69</v>
      </c>
      <c r="J3447">
        <v>0</v>
      </c>
      <c r="K3447">
        <v>1</v>
      </c>
      <c r="L3447">
        <v>2</v>
      </c>
      <c r="M3447">
        <v>283</v>
      </c>
      <c r="N3447">
        <v>491</v>
      </c>
      <c r="O3447">
        <v>6</v>
      </c>
      <c r="P3447">
        <v>491</v>
      </c>
      <c r="Q3447">
        <v>18</v>
      </c>
      <c r="R3447">
        <v>32</v>
      </c>
      <c r="S3447">
        <v>19</v>
      </c>
      <c r="T3447">
        <v>16</v>
      </c>
      <c r="U3447">
        <v>37</v>
      </c>
      <c r="V3447">
        <v>10</v>
      </c>
      <c r="W3447">
        <v>69</v>
      </c>
      <c r="X3447">
        <v>206</v>
      </c>
      <c r="Y3447">
        <v>18</v>
      </c>
      <c r="Z3447">
        <v>24</v>
      </c>
      <c r="AA3447">
        <v>7</v>
      </c>
      <c r="AB3447">
        <v>19</v>
      </c>
      <c r="AD3447">
        <v>0</v>
      </c>
      <c r="AE3447">
        <v>0</v>
      </c>
      <c r="AF3447">
        <v>0</v>
      </c>
      <c r="AG3447">
        <v>0</v>
      </c>
      <c r="AI3447">
        <v>0</v>
      </c>
      <c r="AJ3447">
        <v>16</v>
      </c>
      <c r="AK3447">
        <v>491</v>
      </c>
      <c r="AL3447">
        <v>491</v>
      </c>
      <c r="AM3447">
        <v>724</v>
      </c>
      <c r="AN3447">
        <v>50</v>
      </c>
      <c r="AP3447">
        <v>1</v>
      </c>
      <c r="AR3447" t="s">
        <v>3543</v>
      </c>
      <c r="AS3447" s="1">
        <v>44354.114583333336</v>
      </c>
      <c r="AT3447" s="1">
        <v>44354.129479166666</v>
      </c>
      <c r="AU3447" s="1">
        <v>44354.130104166667</v>
      </c>
      <c r="AV3447" t="s">
        <v>71</v>
      </c>
      <c r="AW3447" t="s">
        <v>72</v>
      </c>
      <c r="AX3447" t="s">
        <v>73</v>
      </c>
    </row>
    <row r="3448" spans="1:50" x14ac:dyDescent="0.3">
      <c r="A3448" t="str">
        <f>"202426C0100"</f>
        <v>202426C0100</v>
      </c>
      <c r="B3448" t="str">
        <f>"202426C01002"</f>
        <v>202426C01002</v>
      </c>
      <c r="C3448" t="str">
        <f t="shared" si="174"/>
        <v>20</v>
      </c>
      <c r="D3448" t="s">
        <v>67</v>
      </c>
      <c r="E3448" t="str">
        <f t="shared" si="173"/>
        <v>015</v>
      </c>
      <c r="F3448" t="s">
        <v>3364</v>
      </c>
      <c r="G3448" t="str">
        <f t="shared" si="179"/>
        <v>2426</v>
      </c>
      <c r="H3448" t="str">
        <f>"0001"</f>
        <v>0001</v>
      </c>
      <c r="I3448" t="s">
        <v>75</v>
      </c>
      <c r="J3448">
        <v>0</v>
      </c>
      <c r="K3448">
        <v>1</v>
      </c>
      <c r="L3448">
        <v>2</v>
      </c>
      <c r="AM3448">
        <v>724</v>
      </c>
      <c r="AN3448">
        <v>50</v>
      </c>
      <c r="AO3448" t="s">
        <v>143</v>
      </c>
      <c r="AP3448">
        <v>0</v>
      </c>
      <c r="AR3448" t="s">
        <v>3544</v>
      </c>
      <c r="AS3448" s="1">
        <v>44354.518750000003</v>
      </c>
      <c r="AT3448" s="1">
        <v>44354.532002314816</v>
      </c>
      <c r="AU3448" s="1">
        <v>44354.532002314816</v>
      </c>
      <c r="AV3448" t="s">
        <v>71</v>
      </c>
      <c r="AW3448" t="s">
        <v>72</v>
      </c>
      <c r="AX3448" t="s">
        <v>73</v>
      </c>
    </row>
    <row r="3449" spans="1:50" x14ac:dyDescent="0.3">
      <c r="A3449" t="str">
        <f>"202426C0200"</f>
        <v>202426C0200</v>
      </c>
      <c r="B3449" t="str">
        <f>"202426C02002"</f>
        <v>202426C02002</v>
      </c>
      <c r="C3449" t="str">
        <f t="shared" si="174"/>
        <v>20</v>
      </c>
      <c r="D3449" t="s">
        <v>67</v>
      </c>
      <c r="E3449" t="str">
        <f t="shared" si="173"/>
        <v>015</v>
      </c>
      <c r="F3449" t="s">
        <v>3364</v>
      </c>
      <c r="G3449" t="str">
        <f t="shared" si="179"/>
        <v>2426</v>
      </c>
      <c r="H3449" t="str">
        <f>"0002"</f>
        <v>0002</v>
      </c>
      <c r="I3449" t="s">
        <v>75</v>
      </c>
      <c r="J3449">
        <v>0</v>
      </c>
      <c r="K3449">
        <v>1</v>
      </c>
      <c r="L3449">
        <v>2</v>
      </c>
      <c r="M3449" t="s">
        <v>80</v>
      </c>
      <c r="N3449" t="s">
        <v>80</v>
      </c>
      <c r="O3449" t="s">
        <v>80</v>
      </c>
      <c r="P3449" t="s">
        <v>80</v>
      </c>
      <c r="Q3449" t="s">
        <v>77</v>
      </c>
      <c r="R3449" t="s">
        <v>77</v>
      </c>
      <c r="S3449" t="s">
        <v>77</v>
      </c>
      <c r="T3449" t="s">
        <v>77</v>
      </c>
      <c r="U3449" t="s">
        <v>77</v>
      </c>
      <c r="V3449" t="s">
        <v>77</v>
      </c>
      <c r="W3449" t="s">
        <v>77</v>
      </c>
      <c r="X3449" t="s">
        <v>77</v>
      </c>
      <c r="Y3449" t="s">
        <v>77</v>
      </c>
      <c r="Z3449" t="s">
        <v>77</v>
      </c>
      <c r="AA3449" t="s">
        <v>77</v>
      </c>
      <c r="AB3449" t="s">
        <v>77</v>
      </c>
      <c r="AD3449" t="s">
        <v>77</v>
      </c>
      <c r="AE3449" t="s">
        <v>77</v>
      </c>
      <c r="AF3449" t="s">
        <v>77</v>
      </c>
      <c r="AG3449" t="s">
        <v>77</v>
      </c>
      <c r="AI3449" t="s">
        <v>77</v>
      </c>
      <c r="AJ3449" t="s">
        <v>77</v>
      </c>
      <c r="AM3449">
        <v>724</v>
      </c>
      <c r="AN3449">
        <v>50</v>
      </c>
      <c r="AO3449" t="s">
        <v>392</v>
      </c>
      <c r="AP3449">
        <v>0</v>
      </c>
      <c r="AR3449" t="s">
        <v>3545</v>
      </c>
      <c r="AS3449" s="1">
        <v>44354.114583333336</v>
      </c>
      <c r="AT3449" s="1">
        <v>44354.134548611109</v>
      </c>
      <c r="AU3449" s="1">
        <v>44354.134548611109</v>
      </c>
      <c r="AV3449" t="s">
        <v>71</v>
      </c>
      <c r="AW3449" t="s">
        <v>72</v>
      </c>
      <c r="AX3449" t="s">
        <v>73</v>
      </c>
    </row>
    <row r="3450" spans="1:50" x14ac:dyDescent="0.3">
      <c r="A3450" t="str">
        <f>"202426C0300"</f>
        <v>202426C0300</v>
      </c>
      <c r="B3450" t="str">
        <f>"202426C03002"</f>
        <v>202426C03002</v>
      </c>
      <c r="C3450" t="str">
        <f t="shared" si="174"/>
        <v>20</v>
      </c>
      <c r="D3450" t="s">
        <v>67</v>
      </c>
      <c r="E3450" t="str">
        <f t="shared" si="173"/>
        <v>015</v>
      </c>
      <c r="F3450" t="s">
        <v>3364</v>
      </c>
      <c r="G3450" t="str">
        <f t="shared" si="179"/>
        <v>2426</v>
      </c>
      <c r="H3450" t="str">
        <f>"0003"</f>
        <v>0003</v>
      </c>
      <c r="I3450" t="s">
        <v>75</v>
      </c>
      <c r="J3450">
        <v>0</v>
      </c>
      <c r="K3450">
        <v>1</v>
      </c>
      <c r="L3450">
        <v>2</v>
      </c>
      <c r="M3450">
        <v>312</v>
      </c>
      <c r="N3450">
        <v>461</v>
      </c>
      <c r="O3450">
        <v>10</v>
      </c>
      <c r="P3450">
        <v>461</v>
      </c>
      <c r="Q3450">
        <v>25</v>
      </c>
      <c r="R3450">
        <v>30</v>
      </c>
      <c r="S3450">
        <v>16</v>
      </c>
      <c r="T3450">
        <v>11</v>
      </c>
      <c r="U3450">
        <v>56</v>
      </c>
      <c r="V3450">
        <v>5</v>
      </c>
      <c r="W3450">
        <v>52</v>
      </c>
      <c r="X3450">
        <v>199</v>
      </c>
      <c r="Y3450">
        <v>18</v>
      </c>
      <c r="Z3450">
        <v>16</v>
      </c>
      <c r="AA3450">
        <v>5</v>
      </c>
      <c r="AB3450">
        <v>13</v>
      </c>
      <c r="AD3450">
        <v>0</v>
      </c>
      <c r="AE3450">
        <v>0</v>
      </c>
      <c r="AF3450">
        <v>0</v>
      </c>
      <c r="AG3450">
        <v>0</v>
      </c>
      <c r="AI3450">
        <v>0</v>
      </c>
      <c r="AJ3450">
        <v>14</v>
      </c>
      <c r="AK3450">
        <v>461</v>
      </c>
      <c r="AL3450">
        <v>460</v>
      </c>
      <c r="AM3450">
        <v>724</v>
      </c>
      <c r="AN3450">
        <v>50</v>
      </c>
      <c r="AP3450">
        <v>1</v>
      </c>
      <c r="AR3450" t="s">
        <v>3546</v>
      </c>
      <c r="AS3450" s="1">
        <v>44353.830555555556</v>
      </c>
      <c r="AT3450" s="1">
        <v>44354.134189814817</v>
      </c>
      <c r="AU3450" s="1">
        <v>44354.171134259261</v>
      </c>
      <c r="AV3450" t="s">
        <v>71</v>
      </c>
      <c r="AW3450" t="s">
        <v>72</v>
      </c>
      <c r="AX3450" t="s">
        <v>73</v>
      </c>
    </row>
    <row r="3451" spans="1:50" x14ac:dyDescent="0.3">
      <c r="A3451" t="str">
        <f>"202426E0100"</f>
        <v>202426E0100</v>
      </c>
      <c r="B3451" t="str">
        <f>"202426E01002"</f>
        <v>202426E01002</v>
      </c>
      <c r="C3451" t="str">
        <f t="shared" si="174"/>
        <v>20</v>
      </c>
      <c r="D3451" t="s">
        <v>67</v>
      </c>
      <c r="E3451" t="str">
        <f t="shared" si="173"/>
        <v>015</v>
      </c>
      <c r="F3451" t="s">
        <v>3364</v>
      </c>
      <c r="G3451" t="str">
        <f t="shared" si="179"/>
        <v>2426</v>
      </c>
      <c r="H3451" t="str">
        <f>"0001"</f>
        <v>0001</v>
      </c>
      <c r="I3451" t="s">
        <v>109</v>
      </c>
      <c r="J3451">
        <v>0</v>
      </c>
      <c r="K3451">
        <v>1</v>
      </c>
      <c r="L3451">
        <v>2</v>
      </c>
      <c r="M3451">
        <v>293</v>
      </c>
      <c r="N3451">
        <v>263</v>
      </c>
      <c r="O3451">
        <v>10</v>
      </c>
      <c r="P3451">
        <v>263</v>
      </c>
      <c r="Q3451">
        <v>14</v>
      </c>
      <c r="R3451">
        <v>53</v>
      </c>
      <c r="S3451">
        <v>3</v>
      </c>
      <c r="T3451">
        <v>3</v>
      </c>
      <c r="U3451">
        <v>11</v>
      </c>
      <c r="V3451">
        <v>2</v>
      </c>
      <c r="W3451">
        <v>24</v>
      </c>
      <c r="X3451">
        <v>122</v>
      </c>
      <c r="Y3451">
        <v>8</v>
      </c>
      <c r="Z3451">
        <v>11</v>
      </c>
      <c r="AA3451">
        <v>1</v>
      </c>
      <c r="AB3451">
        <v>6</v>
      </c>
      <c r="AD3451">
        <v>0</v>
      </c>
      <c r="AE3451">
        <v>0</v>
      </c>
      <c r="AF3451">
        <v>0</v>
      </c>
      <c r="AG3451">
        <v>0</v>
      </c>
      <c r="AI3451">
        <v>0</v>
      </c>
      <c r="AJ3451">
        <v>5</v>
      </c>
      <c r="AK3451">
        <v>263</v>
      </c>
      <c r="AL3451">
        <v>263</v>
      </c>
      <c r="AM3451">
        <v>506</v>
      </c>
      <c r="AN3451">
        <v>50</v>
      </c>
      <c r="AP3451">
        <v>1</v>
      </c>
      <c r="AR3451" t="s">
        <v>3547</v>
      </c>
      <c r="AS3451" s="1">
        <v>44354.04583333333</v>
      </c>
      <c r="AT3451" s="1">
        <v>44354.093634259261</v>
      </c>
      <c r="AU3451" s="1">
        <v>44354.09412037037</v>
      </c>
      <c r="AV3451" t="s">
        <v>71</v>
      </c>
      <c r="AW3451" t="s">
        <v>72</v>
      </c>
      <c r="AX3451" t="s">
        <v>73</v>
      </c>
    </row>
    <row r="3452" spans="1:50" x14ac:dyDescent="0.3">
      <c r="A3452" t="str">
        <f>"202426E0101"</f>
        <v>202426E0101</v>
      </c>
      <c r="B3452" t="str">
        <f>"202426E01012"</f>
        <v>202426E01012</v>
      </c>
      <c r="C3452" t="str">
        <f t="shared" si="174"/>
        <v>20</v>
      </c>
      <c r="D3452" t="s">
        <v>67</v>
      </c>
      <c r="E3452" t="str">
        <f t="shared" si="173"/>
        <v>015</v>
      </c>
      <c r="F3452" t="s">
        <v>3364</v>
      </c>
      <c r="G3452" t="str">
        <f t="shared" si="179"/>
        <v>2426</v>
      </c>
      <c r="H3452" t="str">
        <f>"0001"</f>
        <v>0001</v>
      </c>
      <c r="I3452" t="s">
        <v>109</v>
      </c>
      <c r="J3452">
        <v>1</v>
      </c>
      <c r="K3452">
        <v>1</v>
      </c>
      <c r="L3452">
        <v>2</v>
      </c>
      <c r="M3452">
        <v>303</v>
      </c>
      <c r="N3452">
        <v>253</v>
      </c>
      <c r="O3452">
        <v>16</v>
      </c>
      <c r="P3452">
        <v>253</v>
      </c>
      <c r="Q3452">
        <v>15</v>
      </c>
      <c r="R3452">
        <v>44</v>
      </c>
      <c r="S3452">
        <v>5</v>
      </c>
      <c r="T3452">
        <v>4</v>
      </c>
      <c r="U3452">
        <v>13</v>
      </c>
      <c r="V3452">
        <v>4</v>
      </c>
      <c r="W3452">
        <v>23</v>
      </c>
      <c r="X3452">
        <v>110</v>
      </c>
      <c r="Y3452">
        <v>10</v>
      </c>
      <c r="Z3452">
        <v>9</v>
      </c>
      <c r="AA3452">
        <v>2</v>
      </c>
      <c r="AB3452">
        <v>3</v>
      </c>
      <c r="AD3452">
        <v>1</v>
      </c>
      <c r="AE3452">
        <v>1</v>
      </c>
      <c r="AF3452">
        <v>0</v>
      </c>
      <c r="AG3452">
        <v>0</v>
      </c>
      <c r="AI3452">
        <v>0</v>
      </c>
      <c r="AJ3452">
        <v>9</v>
      </c>
      <c r="AK3452">
        <v>253</v>
      </c>
      <c r="AL3452">
        <v>253</v>
      </c>
      <c r="AM3452">
        <v>506</v>
      </c>
      <c r="AN3452">
        <v>50</v>
      </c>
      <c r="AP3452">
        <v>1</v>
      </c>
      <c r="AR3452" t="s">
        <v>3548</v>
      </c>
      <c r="AS3452" s="1">
        <v>44354.04583333333</v>
      </c>
      <c r="AT3452" s="1">
        <v>44354.093564814815</v>
      </c>
      <c r="AU3452" s="1">
        <v>44354.095254629632</v>
      </c>
      <c r="AV3452" t="s">
        <v>71</v>
      </c>
      <c r="AW3452" t="s">
        <v>72</v>
      </c>
      <c r="AX3452" t="s">
        <v>73</v>
      </c>
    </row>
    <row r="3453" spans="1:50" x14ac:dyDescent="0.3">
      <c r="A3453" t="str">
        <f>"202427B0000"</f>
        <v>202427B0000</v>
      </c>
      <c r="B3453" t="str">
        <f>"202427B00002"</f>
        <v>202427B00002</v>
      </c>
      <c r="C3453" t="str">
        <f t="shared" si="174"/>
        <v>20</v>
      </c>
      <c r="D3453" t="s">
        <v>67</v>
      </c>
      <c r="E3453" t="str">
        <f t="shared" si="173"/>
        <v>015</v>
      </c>
      <c r="F3453" t="s">
        <v>3364</v>
      </c>
      <c r="G3453" t="str">
        <f>"2427"</f>
        <v>2427</v>
      </c>
      <c r="H3453" t="str">
        <f>"0000"</f>
        <v>0000</v>
      </c>
      <c r="I3453" t="s">
        <v>69</v>
      </c>
      <c r="J3453">
        <v>0</v>
      </c>
      <c r="K3453">
        <v>1</v>
      </c>
      <c r="L3453">
        <v>2</v>
      </c>
      <c r="M3453">
        <v>203</v>
      </c>
      <c r="N3453">
        <v>496</v>
      </c>
      <c r="O3453">
        <v>16</v>
      </c>
      <c r="P3453">
        <v>496</v>
      </c>
      <c r="Q3453">
        <v>23</v>
      </c>
      <c r="R3453">
        <v>58</v>
      </c>
      <c r="S3453">
        <v>8</v>
      </c>
      <c r="T3453">
        <v>11</v>
      </c>
      <c r="U3453">
        <v>47</v>
      </c>
      <c r="V3453">
        <v>17</v>
      </c>
      <c r="W3453">
        <v>39</v>
      </c>
      <c r="X3453">
        <v>218</v>
      </c>
      <c r="Y3453">
        <v>18</v>
      </c>
      <c r="Z3453">
        <v>22</v>
      </c>
      <c r="AA3453">
        <v>0</v>
      </c>
      <c r="AB3453">
        <v>12</v>
      </c>
      <c r="AD3453">
        <v>1</v>
      </c>
      <c r="AE3453">
        <v>1</v>
      </c>
      <c r="AF3453">
        <v>0</v>
      </c>
      <c r="AG3453">
        <v>0</v>
      </c>
      <c r="AI3453">
        <v>0</v>
      </c>
      <c r="AJ3453">
        <v>21</v>
      </c>
      <c r="AK3453">
        <v>496</v>
      </c>
      <c r="AL3453">
        <v>496</v>
      </c>
      <c r="AM3453">
        <v>649</v>
      </c>
      <c r="AN3453">
        <v>50</v>
      </c>
      <c r="AP3453">
        <v>1</v>
      </c>
      <c r="AR3453" t="s">
        <v>3549</v>
      </c>
      <c r="AS3453" s="1">
        <v>44354.048611111109</v>
      </c>
      <c r="AT3453" s="1">
        <v>44354.105856481481</v>
      </c>
      <c r="AU3453" s="1">
        <v>44354.106365740743</v>
      </c>
      <c r="AV3453" t="s">
        <v>71</v>
      </c>
      <c r="AW3453" t="s">
        <v>72</v>
      </c>
      <c r="AX3453" t="s">
        <v>73</v>
      </c>
    </row>
    <row r="3454" spans="1:50" x14ac:dyDescent="0.3">
      <c r="A3454" t="str">
        <f>"202427C0100"</f>
        <v>202427C0100</v>
      </c>
      <c r="B3454" t="str">
        <f>"202427C01002"</f>
        <v>202427C01002</v>
      </c>
      <c r="C3454" t="str">
        <f t="shared" si="174"/>
        <v>20</v>
      </c>
      <c r="D3454" t="s">
        <v>67</v>
      </c>
      <c r="E3454" t="str">
        <f t="shared" si="173"/>
        <v>015</v>
      </c>
      <c r="F3454" t="s">
        <v>3364</v>
      </c>
      <c r="G3454" t="str">
        <f>"2427"</f>
        <v>2427</v>
      </c>
      <c r="H3454" t="str">
        <f>"0001"</f>
        <v>0001</v>
      </c>
      <c r="I3454" t="s">
        <v>75</v>
      </c>
      <c r="J3454">
        <v>0</v>
      </c>
      <c r="K3454">
        <v>1</v>
      </c>
      <c r="L3454">
        <v>2</v>
      </c>
      <c r="M3454">
        <v>218</v>
      </c>
      <c r="N3454">
        <v>478</v>
      </c>
      <c r="O3454">
        <v>13</v>
      </c>
      <c r="P3454">
        <v>481</v>
      </c>
      <c r="Q3454">
        <v>23</v>
      </c>
      <c r="R3454">
        <v>62</v>
      </c>
      <c r="S3454">
        <v>17</v>
      </c>
      <c r="T3454">
        <v>9</v>
      </c>
      <c r="U3454">
        <v>32</v>
      </c>
      <c r="V3454">
        <v>11</v>
      </c>
      <c r="W3454">
        <v>56</v>
      </c>
      <c r="X3454">
        <v>207</v>
      </c>
      <c r="Y3454">
        <v>22</v>
      </c>
      <c r="Z3454">
        <v>11</v>
      </c>
      <c r="AA3454">
        <v>3</v>
      </c>
      <c r="AB3454">
        <v>9</v>
      </c>
      <c r="AD3454">
        <v>0</v>
      </c>
      <c r="AE3454">
        <v>1</v>
      </c>
      <c r="AF3454">
        <v>0</v>
      </c>
      <c r="AG3454">
        <v>0</v>
      </c>
      <c r="AI3454">
        <v>0</v>
      </c>
      <c r="AJ3454">
        <v>16</v>
      </c>
      <c r="AK3454">
        <v>479</v>
      </c>
      <c r="AL3454">
        <v>479</v>
      </c>
      <c r="AM3454">
        <v>649</v>
      </c>
      <c r="AN3454">
        <v>50</v>
      </c>
      <c r="AP3454">
        <v>1</v>
      </c>
      <c r="AR3454" t="s">
        <v>3550</v>
      </c>
      <c r="AS3454" s="1">
        <v>44354.051388888889</v>
      </c>
      <c r="AT3454" s="1">
        <v>44354.102638888886</v>
      </c>
      <c r="AU3454" s="1">
        <v>44354.10361111111</v>
      </c>
      <c r="AV3454" t="s">
        <v>71</v>
      </c>
      <c r="AW3454" t="s">
        <v>72</v>
      </c>
      <c r="AX3454" t="s">
        <v>73</v>
      </c>
    </row>
    <row r="3455" spans="1:50" x14ac:dyDescent="0.3">
      <c r="A3455" t="str">
        <f>"202427E0100"</f>
        <v>202427E0100</v>
      </c>
      <c r="B3455" t="str">
        <f>"202427E01002"</f>
        <v>202427E01002</v>
      </c>
      <c r="C3455" t="str">
        <f t="shared" si="174"/>
        <v>20</v>
      </c>
      <c r="D3455" t="s">
        <v>67</v>
      </c>
      <c r="E3455" t="str">
        <f t="shared" si="173"/>
        <v>015</v>
      </c>
      <c r="F3455" t="s">
        <v>3364</v>
      </c>
      <c r="G3455" t="str">
        <f>"2427"</f>
        <v>2427</v>
      </c>
      <c r="H3455" t="str">
        <f>"0001"</f>
        <v>0001</v>
      </c>
      <c r="I3455" t="s">
        <v>109</v>
      </c>
      <c r="J3455">
        <v>0</v>
      </c>
      <c r="K3455">
        <v>1</v>
      </c>
      <c r="L3455">
        <v>2</v>
      </c>
      <c r="M3455">
        <v>227</v>
      </c>
      <c r="N3455">
        <v>386</v>
      </c>
      <c r="O3455">
        <v>13</v>
      </c>
      <c r="P3455">
        <v>386</v>
      </c>
      <c r="Q3455">
        <v>16</v>
      </c>
      <c r="R3455">
        <v>39</v>
      </c>
      <c r="S3455">
        <v>29</v>
      </c>
      <c r="T3455">
        <v>10</v>
      </c>
      <c r="U3455">
        <v>65</v>
      </c>
      <c r="V3455">
        <v>7</v>
      </c>
      <c r="W3455">
        <v>41</v>
      </c>
      <c r="X3455">
        <v>107</v>
      </c>
      <c r="Y3455">
        <v>8</v>
      </c>
      <c r="Z3455">
        <v>28</v>
      </c>
      <c r="AA3455">
        <v>3</v>
      </c>
      <c r="AB3455">
        <v>7</v>
      </c>
      <c r="AD3455">
        <v>2</v>
      </c>
      <c r="AE3455" t="s">
        <v>77</v>
      </c>
      <c r="AF3455" t="s">
        <v>77</v>
      </c>
      <c r="AG3455" t="s">
        <v>77</v>
      </c>
      <c r="AI3455" t="s">
        <v>77</v>
      </c>
      <c r="AJ3455">
        <v>24</v>
      </c>
      <c r="AK3455">
        <v>386</v>
      </c>
      <c r="AL3455">
        <v>386</v>
      </c>
      <c r="AM3455">
        <v>565</v>
      </c>
      <c r="AN3455">
        <v>50</v>
      </c>
      <c r="AO3455" t="s">
        <v>78</v>
      </c>
      <c r="AP3455">
        <v>1</v>
      </c>
      <c r="AR3455" t="s">
        <v>3551</v>
      </c>
      <c r="AS3455" s="1">
        <v>44354.07916666667</v>
      </c>
      <c r="AT3455" s="1">
        <v>44354.109027777777</v>
      </c>
      <c r="AU3455" s="1">
        <v>44354.110983796294</v>
      </c>
      <c r="AV3455" t="s">
        <v>71</v>
      </c>
      <c r="AW3455" t="s">
        <v>72</v>
      </c>
      <c r="AX3455" t="s">
        <v>73</v>
      </c>
    </row>
    <row r="3456" spans="1:50" x14ac:dyDescent="0.3">
      <c r="A3456" t="str">
        <f>"202428B0000"</f>
        <v>202428B0000</v>
      </c>
      <c r="B3456" t="str">
        <f>"202428B00002"</f>
        <v>202428B00002</v>
      </c>
      <c r="C3456" t="str">
        <f t="shared" si="174"/>
        <v>20</v>
      </c>
      <c r="D3456" t="s">
        <v>67</v>
      </c>
      <c r="E3456" t="str">
        <f t="shared" si="173"/>
        <v>015</v>
      </c>
      <c r="F3456" t="s">
        <v>3364</v>
      </c>
      <c r="G3456" t="str">
        <f t="shared" ref="G3456:G3479" si="180">"2428"</f>
        <v>2428</v>
      </c>
      <c r="H3456" t="str">
        <f>"0000"</f>
        <v>0000</v>
      </c>
      <c r="I3456" t="s">
        <v>69</v>
      </c>
      <c r="J3456">
        <v>0</v>
      </c>
      <c r="K3456">
        <v>1</v>
      </c>
      <c r="L3456">
        <v>2</v>
      </c>
      <c r="M3456">
        <v>222</v>
      </c>
      <c r="N3456">
        <v>330</v>
      </c>
      <c r="O3456">
        <v>5</v>
      </c>
      <c r="P3456">
        <v>330</v>
      </c>
      <c r="Q3456">
        <v>17</v>
      </c>
      <c r="R3456">
        <v>30</v>
      </c>
      <c r="S3456">
        <v>10</v>
      </c>
      <c r="T3456">
        <v>13</v>
      </c>
      <c r="U3456">
        <v>21</v>
      </c>
      <c r="V3456">
        <v>5</v>
      </c>
      <c r="W3456">
        <v>53</v>
      </c>
      <c r="X3456">
        <v>135</v>
      </c>
      <c r="Y3456">
        <v>18</v>
      </c>
      <c r="Z3456">
        <v>12</v>
      </c>
      <c r="AA3456">
        <v>4</v>
      </c>
      <c r="AB3456">
        <v>8</v>
      </c>
      <c r="AD3456">
        <v>0</v>
      </c>
      <c r="AE3456">
        <v>0</v>
      </c>
      <c r="AF3456">
        <v>0</v>
      </c>
      <c r="AG3456">
        <v>0</v>
      </c>
      <c r="AI3456">
        <v>0</v>
      </c>
      <c r="AJ3456">
        <v>4</v>
      </c>
      <c r="AK3456">
        <v>330</v>
      </c>
      <c r="AL3456">
        <v>330</v>
      </c>
      <c r="AM3456">
        <v>502</v>
      </c>
      <c r="AN3456">
        <v>50</v>
      </c>
      <c r="AP3456">
        <v>1</v>
      </c>
      <c r="AR3456" t="s">
        <v>3552</v>
      </c>
      <c r="AS3456" s="1">
        <v>44354.143055555556</v>
      </c>
      <c r="AT3456" s="1">
        <v>44354.157754629632</v>
      </c>
      <c r="AU3456" s="1">
        <v>44354.158391203702</v>
      </c>
      <c r="AV3456" t="s">
        <v>71</v>
      </c>
      <c r="AW3456" t="s">
        <v>72</v>
      </c>
      <c r="AX3456" t="s">
        <v>73</v>
      </c>
    </row>
    <row r="3457" spans="1:50" x14ac:dyDescent="0.3">
      <c r="A3457" t="str">
        <f>"202428C0100"</f>
        <v>202428C0100</v>
      </c>
      <c r="B3457" t="str">
        <f>"202428C01002"</f>
        <v>202428C01002</v>
      </c>
      <c r="C3457" t="str">
        <f t="shared" si="174"/>
        <v>20</v>
      </c>
      <c r="D3457" t="s">
        <v>67</v>
      </c>
      <c r="E3457" t="str">
        <f t="shared" si="173"/>
        <v>015</v>
      </c>
      <c r="F3457" t="s">
        <v>3364</v>
      </c>
      <c r="G3457" t="str">
        <f t="shared" si="180"/>
        <v>2428</v>
      </c>
      <c r="H3457" t="str">
        <f>"0001"</f>
        <v>0001</v>
      </c>
      <c r="I3457" t="s">
        <v>75</v>
      </c>
      <c r="J3457">
        <v>0</v>
      </c>
      <c r="K3457">
        <v>1</v>
      </c>
      <c r="L3457">
        <v>2</v>
      </c>
      <c r="M3457">
        <v>205</v>
      </c>
      <c r="N3457">
        <v>347</v>
      </c>
      <c r="O3457">
        <v>7</v>
      </c>
      <c r="P3457">
        <v>347</v>
      </c>
      <c r="Q3457">
        <v>25</v>
      </c>
      <c r="R3457">
        <v>34</v>
      </c>
      <c r="S3457">
        <v>7</v>
      </c>
      <c r="T3457">
        <v>10</v>
      </c>
      <c r="U3457">
        <v>31</v>
      </c>
      <c r="V3457">
        <v>10</v>
      </c>
      <c r="W3457">
        <v>39</v>
      </c>
      <c r="X3457">
        <v>137</v>
      </c>
      <c r="Y3457">
        <v>13</v>
      </c>
      <c r="Z3457">
        <v>19</v>
      </c>
      <c r="AA3457">
        <v>7</v>
      </c>
      <c r="AB3457">
        <v>3</v>
      </c>
      <c r="AD3457">
        <v>2</v>
      </c>
      <c r="AE3457">
        <v>0</v>
      </c>
      <c r="AF3457">
        <v>0</v>
      </c>
      <c r="AG3457">
        <v>0</v>
      </c>
      <c r="AI3457">
        <v>0</v>
      </c>
      <c r="AJ3457">
        <v>10</v>
      </c>
      <c r="AK3457">
        <v>347</v>
      </c>
      <c r="AL3457">
        <v>347</v>
      </c>
      <c r="AM3457">
        <v>502</v>
      </c>
      <c r="AN3457">
        <v>50</v>
      </c>
      <c r="AP3457">
        <v>1</v>
      </c>
      <c r="AR3457" t="s">
        <v>3553</v>
      </c>
      <c r="AS3457" s="1">
        <v>44354.147916666669</v>
      </c>
      <c r="AT3457" s="1">
        <v>44354.16646990741</v>
      </c>
      <c r="AU3457" s="1">
        <v>44354.167546296296</v>
      </c>
      <c r="AV3457" t="s">
        <v>71</v>
      </c>
      <c r="AW3457" t="s">
        <v>72</v>
      </c>
      <c r="AX3457" t="s">
        <v>73</v>
      </c>
    </row>
    <row r="3458" spans="1:50" x14ac:dyDescent="0.3">
      <c r="A3458" t="str">
        <f>"202428C0200"</f>
        <v>202428C0200</v>
      </c>
      <c r="B3458" t="str">
        <f>"202428C02002"</f>
        <v>202428C02002</v>
      </c>
      <c r="C3458" t="str">
        <f t="shared" si="174"/>
        <v>20</v>
      </c>
      <c r="D3458" t="s">
        <v>67</v>
      </c>
      <c r="E3458" t="str">
        <f t="shared" si="173"/>
        <v>015</v>
      </c>
      <c r="F3458" t="s">
        <v>3364</v>
      </c>
      <c r="G3458" t="str">
        <f t="shared" si="180"/>
        <v>2428</v>
      </c>
      <c r="H3458" t="str">
        <f>"0002"</f>
        <v>0002</v>
      </c>
      <c r="I3458" t="s">
        <v>75</v>
      </c>
      <c r="J3458">
        <v>0</v>
      </c>
      <c r="K3458">
        <v>1</v>
      </c>
      <c r="L3458">
        <v>2</v>
      </c>
      <c r="M3458">
        <v>218</v>
      </c>
      <c r="N3458">
        <v>333</v>
      </c>
      <c r="O3458">
        <v>8</v>
      </c>
      <c r="P3458">
        <v>333</v>
      </c>
      <c r="Q3458">
        <v>15</v>
      </c>
      <c r="R3458">
        <v>39</v>
      </c>
      <c r="S3458">
        <v>6</v>
      </c>
      <c r="T3458">
        <v>4</v>
      </c>
      <c r="U3458">
        <v>26</v>
      </c>
      <c r="V3458">
        <v>8</v>
      </c>
      <c r="W3458">
        <v>54</v>
      </c>
      <c r="X3458">
        <v>119</v>
      </c>
      <c r="Y3458">
        <v>21</v>
      </c>
      <c r="Z3458">
        <v>16</v>
      </c>
      <c r="AA3458">
        <v>7</v>
      </c>
      <c r="AB3458">
        <v>7</v>
      </c>
      <c r="AD3458">
        <v>2</v>
      </c>
      <c r="AE3458">
        <v>0</v>
      </c>
      <c r="AF3458">
        <v>0</v>
      </c>
      <c r="AG3458">
        <v>0</v>
      </c>
      <c r="AI3458">
        <v>0</v>
      </c>
      <c r="AJ3458">
        <v>9</v>
      </c>
      <c r="AK3458">
        <v>333</v>
      </c>
      <c r="AL3458">
        <v>333</v>
      </c>
      <c r="AM3458">
        <v>501</v>
      </c>
      <c r="AN3458">
        <v>50</v>
      </c>
      <c r="AP3458">
        <v>1</v>
      </c>
      <c r="AR3458" t="s">
        <v>3554</v>
      </c>
      <c r="AS3458" s="1">
        <v>44354.143055555556</v>
      </c>
      <c r="AT3458" s="1">
        <v>44354.158356481479</v>
      </c>
      <c r="AU3458" s="1">
        <v>44354.158935185187</v>
      </c>
      <c r="AV3458" t="s">
        <v>71</v>
      </c>
      <c r="AW3458" t="s">
        <v>72</v>
      </c>
      <c r="AX3458" t="s">
        <v>73</v>
      </c>
    </row>
    <row r="3459" spans="1:50" x14ac:dyDescent="0.3">
      <c r="A3459" t="str">
        <f>"202428E0100"</f>
        <v>202428E0100</v>
      </c>
      <c r="B3459" t="str">
        <f>"202428E01002"</f>
        <v>202428E01002</v>
      </c>
      <c r="C3459" t="str">
        <f t="shared" si="174"/>
        <v>20</v>
      </c>
      <c r="D3459" t="s">
        <v>67</v>
      </c>
      <c r="E3459" t="str">
        <f t="shared" si="173"/>
        <v>015</v>
      </c>
      <c r="F3459" t="s">
        <v>3364</v>
      </c>
      <c r="G3459" t="str">
        <f t="shared" si="180"/>
        <v>2428</v>
      </c>
      <c r="H3459" t="str">
        <f>"0001"</f>
        <v>0001</v>
      </c>
      <c r="I3459" t="s">
        <v>109</v>
      </c>
      <c r="J3459">
        <v>0</v>
      </c>
      <c r="K3459">
        <v>1</v>
      </c>
      <c r="L3459">
        <v>2</v>
      </c>
      <c r="M3459">
        <v>330</v>
      </c>
      <c r="N3459">
        <v>466</v>
      </c>
      <c r="O3459">
        <v>10</v>
      </c>
      <c r="P3459">
        <v>466</v>
      </c>
      <c r="Q3459">
        <v>56</v>
      </c>
      <c r="R3459">
        <v>19</v>
      </c>
      <c r="S3459">
        <v>9</v>
      </c>
      <c r="T3459">
        <v>48</v>
      </c>
      <c r="U3459">
        <v>97</v>
      </c>
      <c r="V3459">
        <v>5</v>
      </c>
      <c r="W3459">
        <v>19</v>
      </c>
      <c r="X3459">
        <v>152</v>
      </c>
      <c r="Y3459">
        <v>10</v>
      </c>
      <c r="Z3459">
        <v>29</v>
      </c>
      <c r="AA3459">
        <v>4</v>
      </c>
      <c r="AB3459">
        <v>3</v>
      </c>
      <c r="AD3459">
        <v>1</v>
      </c>
      <c r="AE3459">
        <v>0</v>
      </c>
      <c r="AF3459">
        <v>0</v>
      </c>
      <c r="AG3459">
        <v>0</v>
      </c>
      <c r="AI3459">
        <v>0</v>
      </c>
      <c r="AJ3459">
        <v>14</v>
      </c>
      <c r="AK3459">
        <v>466</v>
      </c>
      <c r="AL3459">
        <v>466</v>
      </c>
      <c r="AM3459">
        <v>746</v>
      </c>
      <c r="AN3459">
        <v>50</v>
      </c>
      <c r="AP3459">
        <v>1</v>
      </c>
      <c r="AR3459" t="s">
        <v>3555</v>
      </c>
      <c r="AS3459" s="1">
        <v>44354.147916666669</v>
      </c>
      <c r="AT3459" s="1">
        <v>44354.166458333333</v>
      </c>
      <c r="AU3459" s="1">
        <v>44354.166898148149</v>
      </c>
      <c r="AV3459" t="s">
        <v>71</v>
      </c>
      <c r="AW3459" t="s">
        <v>72</v>
      </c>
      <c r="AX3459" t="s">
        <v>73</v>
      </c>
    </row>
    <row r="3460" spans="1:50" x14ac:dyDescent="0.3">
      <c r="A3460" t="str">
        <f>"202428E0101"</f>
        <v>202428E0101</v>
      </c>
      <c r="B3460" t="str">
        <f>"202428E01012"</f>
        <v>202428E01012</v>
      </c>
      <c r="C3460" t="str">
        <f t="shared" si="174"/>
        <v>20</v>
      </c>
      <c r="D3460" t="s">
        <v>67</v>
      </c>
      <c r="E3460" t="str">
        <f t="shared" si="173"/>
        <v>015</v>
      </c>
      <c r="F3460" t="s">
        <v>3364</v>
      </c>
      <c r="G3460" t="str">
        <f t="shared" si="180"/>
        <v>2428</v>
      </c>
      <c r="H3460" t="str">
        <f>"0001"</f>
        <v>0001</v>
      </c>
      <c r="I3460" t="s">
        <v>109</v>
      </c>
      <c r="J3460">
        <v>1</v>
      </c>
      <c r="K3460">
        <v>1</v>
      </c>
      <c r="L3460">
        <v>2</v>
      </c>
      <c r="M3460">
        <v>367</v>
      </c>
      <c r="N3460">
        <v>429</v>
      </c>
      <c r="O3460">
        <v>14</v>
      </c>
      <c r="P3460">
        <v>429</v>
      </c>
      <c r="Q3460">
        <v>52</v>
      </c>
      <c r="R3460">
        <v>11</v>
      </c>
      <c r="S3460">
        <v>11</v>
      </c>
      <c r="T3460">
        <v>46</v>
      </c>
      <c r="U3460">
        <v>67</v>
      </c>
      <c r="V3460">
        <v>5</v>
      </c>
      <c r="W3460">
        <v>28</v>
      </c>
      <c r="X3460">
        <v>147</v>
      </c>
      <c r="Y3460">
        <v>3</v>
      </c>
      <c r="Z3460">
        <v>30</v>
      </c>
      <c r="AA3460">
        <v>1</v>
      </c>
      <c r="AB3460">
        <v>5</v>
      </c>
      <c r="AD3460">
        <v>0</v>
      </c>
      <c r="AE3460">
        <v>0</v>
      </c>
      <c r="AF3460">
        <v>0</v>
      </c>
      <c r="AG3460">
        <v>0</v>
      </c>
      <c r="AI3460">
        <v>1</v>
      </c>
      <c r="AJ3460">
        <v>22</v>
      </c>
      <c r="AK3460">
        <v>429</v>
      </c>
      <c r="AL3460">
        <v>429</v>
      </c>
      <c r="AM3460">
        <v>746</v>
      </c>
      <c r="AN3460">
        <v>50</v>
      </c>
      <c r="AP3460">
        <v>1</v>
      </c>
      <c r="AR3460" t="s">
        <v>3556</v>
      </c>
      <c r="AS3460" s="1">
        <v>44354.145138888889</v>
      </c>
      <c r="AT3460" s="1">
        <v>44354.16678240741</v>
      </c>
      <c r="AU3460" s="1">
        <v>44354.167870370373</v>
      </c>
      <c r="AV3460" t="s">
        <v>71</v>
      </c>
      <c r="AW3460" t="s">
        <v>72</v>
      </c>
      <c r="AX3460" t="s">
        <v>73</v>
      </c>
    </row>
    <row r="3461" spans="1:50" x14ac:dyDescent="0.3">
      <c r="A3461" t="str">
        <f>"202428E0200"</f>
        <v>202428E0200</v>
      </c>
      <c r="B3461" t="str">
        <f>"202428E02002"</f>
        <v>202428E02002</v>
      </c>
      <c r="C3461" t="str">
        <f t="shared" si="174"/>
        <v>20</v>
      </c>
      <c r="D3461" t="s">
        <v>67</v>
      </c>
      <c r="E3461" t="str">
        <f t="shared" ref="E3461:E3481" si="181">"015"</f>
        <v>015</v>
      </c>
      <c r="F3461" t="s">
        <v>3364</v>
      </c>
      <c r="G3461" t="str">
        <f t="shared" si="180"/>
        <v>2428</v>
      </c>
      <c r="H3461" t="str">
        <f t="shared" ref="H3461:H3468" si="182">"0002"</f>
        <v>0002</v>
      </c>
      <c r="I3461" t="s">
        <v>109</v>
      </c>
      <c r="J3461">
        <v>0</v>
      </c>
      <c r="K3461">
        <v>1</v>
      </c>
      <c r="L3461">
        <v>2</v>
      </c>
      <c r="M3461">
        <v>436</v>
      </c>
      <c r="N3461">
        <v>320</v>
      </c>
      <c r="O3461">
        <v>14</v>
      </c>
      <c r="P3461">
        <v>320</v>
      </c>
      <c r="Q3461">
        <v>21</v>
      </c>
      <c r="R3461">
        <v>22</v>
      </c>
      <c r="S3461">
        <v>6</v>
      </c>
      <c r="T3461">
        <v>12</v>
      </c>
      <c r="U3461">
        <v>94</v>
      </c>
      <c r="V3461">
        <v>2</v>
      </c>
      <c r="W3461">
        <v>26</v>
      </c>
      <c r="X3461">
        <v>28</v>
      </c>
      <c r="Y3461">
        <v>4</v>
      </c>
      <c r="Z3461">
        <v>15</v>
      </c>
      <c r="AA3461">
        <v>4</v>
      </c>
      <c r="AB3461">
        <v>3</v>
      </c>
      <c r="AD3461">
        <v>0</v>
      </c>
      <c r="AE3461">
        <v>0</v>
      </c>
      <c r="AF3461">
        <v>0</v>
      </c>
      <c r="AG3461">
        <v>0</v>
      </c>
      <c r="AI3461">
        <v>0</v>
      </c>
      <c r="AJ3461">
        <v>13</v>
      </c>
      <c r="AK3461">
        <v>320</v>
      </c>
      <c r="AL3461">
        <v>250</v>
      </c>
      <c r="AM3461">
        <v>706</v>
      </c>
      <c r="AN3461">
        <v>50</v>
      </c>
      <c r="AP3461">
        <v>1</v>
      </c>
      <c r="AR3461" t="s">
        <v>3557</v>
      </c>
      <c r="AS3461" s="1">
        <v>44354.10833333333</v>
      </c>
      <c r="AT3461" s="1">
        <v>44354.126284722224</v>
      </c>
      <c r="AU3461" s="1">
        <v>44354.130543981482</v>
      </c>
      <c r="AV3461" t="s">
        <v>71</v>
      </c>
      <c r="AW3461" t="s">
        <v>72</v>
      </c>
      <c r="AX3461" t="s">
        <v>73</v>
      </c>
    </row>
    <row r="3462" spans="1:50" x14ac:dyDescent="0.3">
      <c r="A3462" t="str">
        <f>"202428E0201"</f>
        <v>202428E0201</v>
      </c>
      <c r="B3462" t="str">
        <f>"202428E02012"</f>
        <v>202428E02012</v>
      </c>
      <c r="C3462" t="str">
        <f t="shared" si="174"/>
        <v>20</v>
      </c>
      <c r="D3462" t="s">
        <v>67</v>
      </c>
      <c r="E3462" t="str">
        <f t="shared" si="181"/>
        <v>015</v>
      </c>
      <c r="F3462" t="s">
        <v>3364</v>
      </c>
      <c r="G3462" t="str">
        <f t="shared" si="180"/>
        <v>2428</v>
      </c>
      <c r="H3462" t="str">
        <f t="shared" si="182"/>
        <v>0002</v>
      </c>
      <c r="I3462" t="s">
        <v>109</v>
      </c>
      <c r="J3462">
        <v>1</v>
      </c>
      <c r="K3462">
        <v>1</v>
      </c>
      <c r="L3462">
        <v>2</v>
      </c>
      <c r="M3462">
        <v>431</v>
      </c>
      <c r="N3462">
        <v>324</v>
      </c>
      <c r="O3462">
        <v>7</v>
      </c>
      <c r="P3462">
        <v>325</v>
      </c>
      <c r="Q3462">
        <v>13</v>
      </c>
      <c r="R3462">
        <v>28</v>
      </c>
      <c r="S3462">
        <v>6</v>
      </c>
      <c r="T3462">
        <v>10</v>
      </c>
      <c r="U3462">
        <v>91</v>
      </c>
      <c r="V3462">
        <v>5</v>
      </c>
      <c r="W3462">
        <v>42</v>
      </c>
      <c r="X3462">
        <v>97</v>
      </c>
      <c r="Y3462">
        <v>2</v>
      </c>
      <c r="Z3462">
        <v>20</v>
      </c>
      <c r="AA3462">
        <v>2</v>
      </c>
      <c r="AB3462">
        <v>3</v>
      </c>
      <c r="AD3462">
        <v>0</v>
      </c>
      <c r="AE3462">
        <v>0</v>
      </c>
      <c r="AF3462">
        <v>0</v>
      </c>
      <c r="AG3462">
        <v>0</v>
      </c>
      <c r="AI3462">
        <v>0</v>
      </c>
      <c r="AJ3462">
        <v>6</v>
      </c>
      <c r="AK3462">
        <v>325</v>
      </c>
      <c r="AL3462">
        <v>325</v>
      </c>
      <c r="AM3462">
        <v>706</v>
      </c>
      <c r="AN3462">
        <v>50</v>
      </c>
      <c r="AP3462">
        <v>1</v>
      </c>
      <c r="AR3462" t="s">
        <v>3558</v>
      </c>
      <c r="AS3462" s="1">
        <v>44354.107638888891</v>
      </c>
      <c r="AT3462" s="1">
        <v>44354.125543981485</v>
      </c>
      <c r="AU3462" s="1">
        <v>44354.126238425924</v>
      </c>
      <c r="AV3462" t="s">
        <v>71</v>
      </c>
      <c r="AW3462" t="s">
        <v>72</v>
      </c>
      <c r="AX3462" t="s">
        <v>73</v>
      </c>
    </row>
    <row r="3463" spans="1:50" x14ac:dyDescent="0.3">
      <c r="A3463" t="str">
        <f>"202428E0202"</f>
        <v>202428E0202</v>
      </c>
      <c r="B3463" t="str">
        <f>"202428E02022"</f>
        <v>202428E02022</v>
      </c>
      <c r="C3463" t="str">
        <f t="shared" ref="C3463:C3526" si="183">"20"</f>
        <v>20</v>
      </c>
      <c r="D3463" t="s">
        <v>67</v>
      </c>
      <c r="E3463" t="str">
        <f t="shared" si="181"/>
        <v>015</v>
      </c>
      <c r="F3463" t="s">
        <v>3364</v>
      </c>
      <c r="G3463" t="str">
        <f t="shared" si="180"/>
        <v>2428</v>
      </c>
      <c r="H3463" t="str">
        <f t="shared" si="182"/>
        <v>0002</v>
      </c>
      <c r="I3463" t="s">
        <v>109</v>
      </c>
      <c r="J3463">
        <v>2</v>
      </c>
      <c r="K3463">
        <v>1</v>
      </c>
      <c r="L3463">
        <v>2</v>
      </c>
      <c r="M3463">
        <v>430</v>
      </c>
      <c r="N3463">
        <v>327</v>
      </c>
      <c r="O3463">
        <v>8</v>
      </c>
      <c r="P3463">
        <v>326</v>
      </c>
      <c r="Q3463">
        <v>20</v>
      </c>
      <c r="R3463">
        <v>22</v>
      </c>
      <c r="S3463">
        <v>5</v>
      </c>
      <c r="T3463">
        <v>13</v>
      </c>
      <c r="U3463">
        <v>77</v>
      </c>
      <c r="V3463">
        <v>5</v>
      </c>
      <c r="W3463">
        <v>29</v>
      </c>
      <c r="X3463">
        <v>119</v>
      </c>
      <c r="Y3463">
        <v>1</v>
      </c>
      <c r="Z3463">
        <v>15</v>
      </c>
      <c r="AA3463">
        <v>1</v>
      </c>
      <c r="AB3463">
        <v>1</v>
      </c>
      <c r="AD3463">
        <v>1</v>
      </c>
      <c r="AE3463">
        <v>0</v>
      </c>
      <c r="AF3463">
        <v>0</v>
      </c>
      <c r="AG3463">
        <v>0</v>
      </c>
      <c r="AI3463">
        <v>0</v>
      </c>
      <c r="AJ3463">
        <v>17</v>
      </c>
      <c r="AK3463">
        <v>326</v>
      </c>
      <c r="AL3463">
        <v>326</v>
      </c>
      <c r="AM3463">
        <v>706</v>
      </c>
      <c r="AN3463">
        <v>50</v>
      </c>
      <c r="AP3463">
        <v>1</v>
      </c>
      <c r="AR3463" t="s">
        <v>3559</v>
      </c>
      <c r="AS3463" s="1">
        <v>44354.106944444444</v>
      </c>
      <c r="AT3463" s="1">
        <v>44354.124212962961</v>
      </c>
      <c r="AU3463" s="1">
        <v>44354.1250462963</v>
      </c>
      <c r="AV3463" t="s">
        <v>71</v>
      </c>
      <c r="AW3463" t="s">
        <v>72</v>
      </c>
      <c r="AX3463" t="s">
        <v>73</v>
      </c>
    </row>
    <row r="3464" spans="1:50" x14ac:dyDescent="0.3">
      <c r="A3464" t="str">
        <f>"202428E0203"</f>
        <v>202428E0203</v>
      </c>
      <c r="B3464" t="str">
        <f>"202428E02032"</f>
        <v>202428E02032</v>
      </c>
      <c r="C3464" t="str">
        <f t="shared" si="183"/>
        <v>20</v>
      </c>
      <c r="D3464" t="s">
        <v>67</v>
      </c>
      <c r="E3464" t="str">
        <f t="shared" si="181"/>
        <v>015</v>
      </c>
      <c r="F3464" t="s">
        <v>3364</v>
      </c>
      <c r="G3464" t="str">
        <f t="shared" si="180"/>
        <v>2428</v>
      </c>
      <c r="H3464" t="str">
        <f t="shared" si="182"/>
        <v>0002</v>
      </c>
      <c r="I3464" t="s">
        <v>109</v>
      </c>
      <c r="J3464">
        <v>3</v>
      </c>
      <c r="K3464">
        <v>1</v>
      </c>
      <c r="L3464">
        <v>2</v>
      </c>
      <c r="M3464">
        <v>412</v>
      </c>
      <c r="N3464">
        <v>344</v>
      </c>
      <c r="O3464">
        <v>13</v>
      </c>
      <c r="P3464" t="s">
        <v>80</v>
      </c>
      <c r="Q3464">
        <v>14</v>
      </c>
      <c r="R3464">
        <v>19</v>
      </c>
      <c r="S3464">
        <v>8</v>
      </c>
      <c r="T3464">
        <v>8</v>
      </c>
      <c r="U3464">
        <v>104</v>
      </c>
      <c r="V3464">
        <v>5</v>
      </c>
      <c r="W3464">
        <v>27</v>
      </c>
      <c r="X3464">
        <v>124</v>
      </c>
      <c r="Y3464">
        <v>1</v>
      </c>
      <c r="Z3464">
        <v>14</v>
      </c>
      <c r="AA3464">
        <v>2</v>
      </c>
      <c r="AB3464">
        <v>3</v>
      </c>
      <c r="AD3464">
        <v>0</v>
      </c>
      <c r="AE3464">
        <v>0</v>
      </c>
      <c r="AF3464">
        <v>0</v>
      </c>
      <c r="AG3464">
        <v>0</v>
      </c>
      <c r="AI3464">
        <v>0</v>
      </c>
      <c r="AJ3464">
        <v>15</v>
      </c>
      <c r="AK3464">
        <v>344</v>
      </c>
      <c r="AL3464">
        <v>344</v>
      </c>
      <c r="AM3464">
        <v>706</v>
      </c>
      <c r="AN3464">
        <v>50</v>
      </c>
      <c r="AP3464">
        <v>1</v>
      </c>
      <c r="AR3464" t="s">
        <v>3560</v>
      </c>
      <c r="AS3464" s="1">
        <v>44354.10833333333</v>
      </c>
      <c r="AT3464" s="1">
        <v>44354.124513888892</v>
      </c>
      <c r="AU3464" s="1">
        <v>44354.124907407408</v>
      </c>
      <c r="AV3464" t="s">
        <v>71</v>
      </c>
      <c r="AW3464" t="s">
        <v>72</v>
      </c>
      <c r="AX3464" t="s">
        <v>73</v>
      </c>
    </row>
    <row r="3465" spans="1:50" x14ac:dyDescent="0.3">
      <c r="A3465" t="str">
        <f>"202428E0204"</f>
        <v>202428E0204</v>
      </c>
      <c r="B3465" t="str">
        <f>"202428E02042"</f>
        <v>202428E02042</v>
      </c>
      <c r="C3465" t="str">
        <f t="shared" si="183"/>
        <v>20</v>
      </c>
      <c r="D3465" t="s">
        <v>67</v>
      </c>
      <c r="E3465" t="str">
        <f t="shared" si="181"/>
        <v>015</v>
      </c>
      <c r="F3465" t="s">
        <v>3364</v>
      </c>
      <c r="G3465" t="str">
        <f t="shared" si="180"/>
        <v>2428</v>
      </c>
      <c r="H3465" t="str">
        <f t="shared" si="182"/>
        <v>0002</v>
      </c>
      <c r="I3465" t="s">
        <v>109</v>
      </c>
      <c r="J3465">
        <v>4</v>
      </c>
      <c r="K3465">
        <v>1</v>
      </c>
      <c r="L3465">
        <v>2</v>
      </c>
      <c r="M3465">
        <v>394</v>
      </c>
      <c r="N3465">
        <v>362</v>
      </c>
      <c r="O3465">
        <v>15</v>
      </c>
      <c r="P3465">
        <v>363</v>
      </c>
      <c r="Q3465">
        <v>25</v>
      </c>
      <c r="R3465">
        <v>32</v>
      </c>
      <c r="S3465">
        <v>5</v>
      </c>
      <c r="T3465">
        <v>7</v>
      </c>
      <c r="U3465">
        <v>94</v>
      </c>
      <c r="V3465">
        <v>3</v>
      </c>
      <c r="W3465">
        <v>28</v>
      </c>
      <c r="X3465">
        <v>114</v>
      </c>
      <c r="Y3465">
        <v>1</v>
      </c>
      <c r="Z3465">
        <v>28</v>
      </c>
      <c r="AA3465">
        <v>2</v>
      </c>
      <c r="AB3465">
        <v>5</v>
      </c>
      <c r="AD3465">
        <v>0</v>
      </c>
      <c r="AE3465">
        <v>0</v>
      </c>
      <c r="AF3465">
        <v>0</v>
      </c>
      <c r="AG3465">
        <v>0</v>
      </c>
      <c r="AI3465">
        <v>0</v>
      </c>
      <c r="AJ3465">
        <v>9</v>
      </c>
      <c r="AK3465">
        <v>363</v>
      </c>
      <c r="AL3465">
        <v>353</v>
      </c>
      <c r="AM3465">
        <v>706</v>
      </c>
      <c r="AN3465">
        <v>50</v>
      </c>
      <c r="AP3465">
        <v>1</v>
      </c>
      <c r="AR3465" t="s">
        <v>3561</v>
      </c>
      <c r="AS3465" s="1">
        <v>44354.107638888891</v>
      </c>
      <c r="AT3465" s="1">
        <v>44354.133125</v>
      </c>
      <c r="AU3465" s="1">
        <v>44354.13354166667</v>
      </c>
      <c r="AV3465" t="s">
        <v>71</v>
      </c>
      <c r="AW3465" t="s">
        <v>72</v>
      </c>
      <c r="AX3465" t="s">
        <v>73</v>
      </c>
    </row>
    <row r="3466" spans="1:50" x14ac:dyDescent="0.3">
      <c r="A3466" t="str">
        <f>"202428E0205"</f>
        <v>202428E0205</v>
      </c>
      <c r="B3466" t="str">
        <f>"202428E02052"</f>
        <v>202428E02052</v>
      </c>
      <c r="C3466" t="str">
        <f t="shared" si="183"/>
        <v>20</v>
      </c>
      <c r="D3466" t="s">
        <v>67</v>
      </c>
      <c r="E3466" t="str">
        <f t="shared" si="181"/>
        <v>015</v>
      </c>
      <c r="F3466" t="s">
        <v>3364</v>
      </c>
      <c r="G3466" t="str">
        <f t="shared" si="180"/>
        <v>2428</v>
      </c>
      <c r="H3466" t="str">
        <f t="shared" si="182"/>
        <v>0002</v>
      </c>
      <c r="I3466" t="s">
        <v>109</v>
      </c>
      <c r="J3466">
        <v>5</v>
      </c>
      <c r="K3466">
        <v>1</v>
      </c>
      <c r="L3466">
        <v>2</v>
      </c>
      <c r="M3466">
        <v>443</v>
      </c>
      <c r="N3466">
        <v>312</v>
      </c>
      <c r="O3466">
        <v>14</v>
      </c>
      <c r="P3466">
        <v>312</v>
      </c>
      <c r="Q3466">
        <v>25</v>
      </c>
      <c r="R3466">
        <v>18</v>
      </c>
      <c r="S3466">
        <v>10</v>
      </c>
      <c r="T3466">
        <v>13</v>
      </c>
      <c r="U3466">
        <v>87</v>
      </c>
      <c r="V3466">
        <v>2</v>
      </c>
      <c r="W3466">
        <v>15</v>
      </c>
      <c r="X3466">
        <v>86</v>
      </c>
      <c r="Y3466">
        <v>3</v>
      </c>
      <c r="Z3466">
        <v>29</v>
      </c>
      <c r="AA3466">
        <v>3</v>
      </c>
      <c r="AB3466">
        <v>0</v>
      </c>
      <c r="AD3466">
        <v>1</v>
      </c>
      <c r="AE3466">
        <v>0</v>
      </c>
      <c r="AF3466">
        <v>0</v>
      </c>
      <c r="AG3466">
        <v>0</v>
      </c>
      <c r="AI3466">
        <v>0</v>
      </c>
      <c r="AJ3466">
        <v>20</v>
      </c>
      <c r="AK3466">
        <v>312</v>
      </c>
      <c r="AL3466">
        <v>312</v>
      </c>
      <c r="AM3466">
        <v>706</v>
      </c>
      <c r="AN3466">
        <v>50</v>
      </c>
      <c r="AP3466">
        <v>1</v>
      </c>
      <c r="AR3466" t="s">
        <v>3562</v>
      </c>
      <c r="AS3466" s="1">
        <v>44354.10833333333</v>
      </c>
      <c r="AT3466" s="1">
        <v>44354.125671296293</v>
      </c>
      <c r="AU3466" s="1">
        <v>44354.126597222225</v>
      </c>
      <c r="AV3466" t="s">
        <v>71</v>
      </c>
      <c r="AW3466" t="s">
        <v>72</v>
      </c>
      <c r="AX3466" t="s">
        <v>73</v>
      </c>
    </row>
    <row r="3467" spans="1:50" x14ac:dyDescent="0.3">
      <c r="A3467" t="str">
        <f>"202428E0206"</f>
        <v>202428E0206</v>
      </c>
      <c r="B3467" t="str">
        <f>"202428E02062"</f>
        <v>202428E02062</v>
      </c>
      <c r="C3467" t="str">
        <f t="shared" si="183"/>
        <v>20</v>
      </c>
      <c r="D3467" t="s">
        <v>67</v>
      </c>
      <c r="E3467" t="str">
        <f t="shared" si="181"/>
        <v>015</v>
      </c>
      <c r="F3467" t="s">
        <v>3364</v>
      </c>
      <c r="G3467" t="str">
        <f t="shared" si="180"/>
        <v>2428</v>
      </c>
      <c r="H3467" t="str">
        <f t="shared" si="182"/>
        <v>0002</v>
      </c>
      <c r="I3467" t="s">
        <v>109</v>
      </c>
      <c r="J3467">
        <v>6</v>
      </c>
      <c r="K3467">
        <v>1</v>
      </c>
      <c r="L3467">
        <v>2</v>
      </c>
      <c r="M3467">
        <v>426</v>
      </c>
      <c r="N3467">
        <v>330</v>
      </c>
      <c r="O3467">
        <v>12</v>
      </c>
      <c r="P3467">
        <v>330</v>
      </c>
      <c r="Q3467">
        <v>11</v>
      </c>
      <c r="R3467">
        <v>24</v>
      </c>
      <c r="S3467">
        <v>8</v>
      </c>
      <c r="T3467">
        <v>10</v>
      </c>
      <c r="U3467">
        <v>110</v>
      </c>
      <c r="V3467">
        <v>2</v>
      </c>
      <c r="W3467">
        <v>21</v>
      </c>
      <c r="X3467">
        <v>103</v>
      </c>
      <c r="Y3467">
        <v>3</v>
      </c>
      <c r="Z3467">
        <v>23</v>
      </c>
      <c r="AA3467">
        <v>3</v>
      </c>
      <c r="AB3467">
        <v>1</v>
      </c>
      <c r="AD3467">
        <v>0</v>
      </c>
      <c r="AE3467">
        <v>0</v>
      </c>
      <c r="AF3467">
        <v>0</v>
      </c>
      <c r="AG3467">
        <v>0</v>
      </c>
      <c r="AI3467">
        <v>0</v>
      </c>
      <c r="AJ3467">
        <v>0</v>
      </c>
      <c r="AK3467">
        <v>0</v>
      </c>
      <c r="AL3467">
        <v>319</v>
      </c>
      <c r="AM3467">
        <v>706</v>
      </c>
      <c r="AN3467">
        <v>50</v>
      </c>
      <c r="AP3467">
        <v>1</v>
      </c>
      <c r="AR3467" t="s">
        <v>3563</v>
      </c>
      <c r="AS3467" s="1">
        <v>44354.106944444444</v>
      </c>
      <c r="AT3467" s="1">
        <v>44354.123645833337</v>
      </c>
      <c r="AU3467" s="1">
        <v>44354.123993055553</v>
      </c>
      <c r="AV3467" t="s">
        <v>71</v>
      </c>
      <c r="AW3467" t="s">
        <v>72</v>
      </c>
      <c r="AX3467" t="s">
        <v>73</v>
      </c>
    </row>
    <row r="3468" spans="1:50" x14ac:dyDescent="0.3">
      <c r="A3468" t="str">
        <f>"202428E0207"</f>
        <v>202428E0207</v>
      </c>
      <c r="B3468" t="str">
        <f>"202428E02072"</f>
        <v>202428E02072</v>
      </c>
      <c r="C3468" t="str">
        <f t="shared" si="183"/>
        <v>20</v>
      </c>
      <c r="D3468" t="s">
        <v>67</v>
      </c>
      <c r="E3468" t="str">
        <f t="shared" si="181"/>
        <v>015</v>
      </c>
      <c r="F3468" t="s">
        <v>3364</v>
      </c>
      <c r="G3468" t="str">
        <f t="shared" si="180"/>
        <v>2428</v>
      </c>
      <c r="H3468" t="str">
        <f t="shared" si="182"/>
        <v>0002</v>
      </c>
      <c r="I3468" t="s">
        <v>109</v>
      </c>
      <c r="J3468">
        <v>7</v>
      </c>
      <c r="K3468">
        <v>1</v>
      </c>
      <c r="L3468">
        <v>2</v>
      </c>
      <c r="M3468">
        <v>405</v>
      </c>
      <c r="N3468">
        <v>350</v>
      </c>
      <c r="O3468">
        <v>12</v>
      </c>
      <c r="P3468">
        <v>350</v>
      </c>
      <c r="Q3468">
        <v>22</v>
      </c>
      <c r="R3468">
        <v>27</v>
      </c>
      <c r="S3468">
        <v>12</v>
      </c>
      <c r="T3468">
        <v>11</v>
      </c>
      <c r="U3468">
        <v>84</v>
      </c>
      <c r="V3468">
        <v>4</v>
      </c>
      <c r="W3468">
        <v>36</v>
      </c>
      <c r="X3468">
        <v>117</v>
      </c>
      <c r="Y3468">
        <v>1</v>
      </c>
      <c r="Z3468">
        <v>15</v>
      </c>
      <c r="AA3468">
        <v>4</v>
      </c>
      <c r="AB3468">
        <v>2</v>
      </c>
      <c r="AD3468">
        <v>1</v>
      </c>
      <c r="AE3468">
        <v>0</v>
      </c>
      <c r="AF3468">
        <v>0</v>
      </c>
      <c r="AG3468">
        <v>1</v>
      </c>
      <c r="AI3468">
        <v>0</v>
      </c>
      <c r="AJ3468">
        <v>13</v>
      </c>
      <c r="AK3468">
        <v>350</v>
      </c>
      <c r="AL3468">
        <v>350</v>
      </c>
      <c r="AM3468">
        <v>705</v>
      </c>
      <c r="AN3468">
        <v>50</v>
      </c>
      <c r="AP3468">
        <v>1</v>
      </c>
      <c r="AR3468" t="s">
        <v>3564</v>
      </c>
      <c r="AS3468" s="1">
        <v>44354.107638888891</v>
      </c>
      <c r="AT3468" s="1">
        <v>44354.126504629632</v>
      </c>
      <c r="AU3468" s="1">
        <v>44354.127071759256</v>
      </c>
      <c r="AV3468" t="s">
        <v>71</v>
      </c>
      <c r="AW3468" t="s">
        <v>72</v>
      </c>
      <c r="AX3468" t="s">
        <v>73</v>
      </c>
    </row>
    <row r="3469" spans="1:50" x14ac:dyDescent="0.3">
      <c r="A3469" t="str">
        <f>"202428E0300"</f>
        <v>202428E0300</v>
      </c>
      <c r="B3469" t="str">
        <f>"202428E03002"</f>
        <v>202428E03002</v>
      </c>
      <c r="C3469" t="str">
        <f t="shared" si="183"/>
        <v>20</v>
      </c>
      <c r="D3469" t="s">
        <v>67</v>
      </c>
      <c r="E3469" t="str">
        <f t="shared" si="181"/>
        <v>015</v>
      </c>
      <c r="F3469" t="s">
        <v>3364</v>
      </c>
      <c r="G3469" t="str">
        <f t="shared" si="180"/>
        <v>2428</v>
      </c>
      <c r="H3469" t="str">
        <f t="shared" ref="H3469:H3476" si="184">"0003"</f>
        <v>0003</v>
      </c>
      <c r="I3469" t="s">
        <v>109</v>
      </c>
      <c r="J3469">
        <v>0</v>
      </c>
      <c r="K3469">
        <v>1</v>
      </c>
      <c r="L3469">
        <v>2</v>
      </c>
      <c r="M3469">
        <v>389</v>
      </c>
      <c r="N3469">
        <v>368</v>
      </c>
      <c r="O3469">
        <v>6</v>
      </c>
      <c r="P3469">
        <v>368</v>
      </c>
      <c r="Q3469">
        <v>38</v>
      </c>
      <c r="R3469">
        <v>32</v>
      </c>
      <c r="S3469">
        <v>15</v>
      </c>
      <c r="T3469">
        <v>28</v>
      </c>
      <c r="U3469">
        <v>65</v>
      </c>
      <c r="V3469">
        <v>5</v>
      </c>
      <c r="W3469">
        <v>38</v>
      </c>
      <c r="X3469">
        <v>98</v>
      </c>
      <c r="Y3469">
        <v>4</v>
      </c>
      <c r="Z3469">
        <v>25</v>
      </c>
      <c r="AA3469">
        <v>1</v>
      </c>
      <c r="AB3469">
        <v>4</v>
      </c>
      <c r="AD3469">
        <v>1</v>
      </c>
      <c r="AE3469">
        <v>0</v>
      </c>
      <c r="AF3469">
        <v>0</v>
      </c>
      <c r="AG3469">
        <v>0</v>
      </c>
      <c r="AI3469">
        <v>0</v>
      </c>
      <c r="AJ3469">
        <v>14</v>
      </c>
      <c r="AK3469">
        <v>368</v>
      </c>
      <c r="AL3469">
        <v>368</v>
      </c>
      <c r="AM3469">
        <v>707</v>
      </c>
      <c r="AN3469">
        <v>50</v>
      </c>
      <c r="AP3469">
        <v>1</v>
      </c>
      <c r="AR3469" t="s">
        <v>3565</v>
      </c>
      <c r="AS3469" s="1">
        <v>44354.037499999999</v>
      </c>
      <c r="AT3469" s="1">
        <v>44354.057847222219</v>
      </c>
      <c r="AU3469" s="1">
        <v>44354.058229166665</v>
      </c>
      <c r="AV3469" t="s">
        <v>71</v>
      </c>
      <c r="AW3469" t="s">
        <v>72</v>
      </c>
      <c r="AX3469" t="s">
        <v>73</v>
      </c>
    </row>
    <row r="3470" spans="1:50" x14ac:dyDescent="0.3">
      <c r="A3470" t="str">
        <f>"202428E0301"</f>
        <v>202428E0301</v>
      </c>
      <c r="B3470" t="str">
        <f>"202428E03012"</f>
        <v>202428E03012</v>
      </c>
      <c r="C3470" t="str">
        <f t="shared" si="183"/>
        <v>20</v>
      </c>
      <c r="D3470" t="s">
        <v>67</v>
      </c>
      <c r="E3470" t="str">
        <f t="shared" si="181"/>
        <v>015</v>
      </c>
      <c r="F3470" t="s">
        <v>3364</v>
      </c>
      <c r="G3470" t="str">
        <f t="shared" si="180"/>
        <v>2428</v>
      </c>
      <c r="H3470" t="str">
        <f t="shared" si="184"/>
        <v>0003</v>
      </c>
      <c r="I3470" t="s">
        <v>109</v>
      </c>
      <c r="J3470">
        <v>1</v>
      </c>
      <c r="K3470">
        <v>1</v>
      </c>
      <c r="L3470">
        <v>2</v>
      </c>
      <c r="M3470">
        <v>413</v>
      </c>
      <c r="N3470">
        <v>344</v>
      </c>
      <c r="O3470">
        <v>10</v>
      </c>
      <c r="P3470">
        <v>344</v>
      </c>
      <c r="Q3470">
        <v>28</v>
      </c>
      <c r="R3470">
        <v>23</v>
      </c>
      <c r="S3470">
        <v>17</v>
      </c>
      <c r="T3470">
        <v>15</v>
      </c>
      <c r="U3470">
        <v>53</v>
      </c>
      <c r="V3470">
        <v>4</v>
      </c>
      <c r="W3470">
        <v>49</v>
      </c>
      <c r="X3470">
        <v>109</v>
      </c>
      <c r="Y3470">
        <v>2</v>
      </c>
      <c r="Z3470">
        <v>27</v>
      </c>
      <c r="AA3470">
        <v>3</v>
      </c>
      <c r="AB3470">
        <v>3</v>
      </c>
      <c r="AD3470" t="s">
        <v>77</v>
      </c>
      <c r="AE3470" t="s">
        <v>77</v>
      </c>
      <c r="AF3470" t="s">
        <v>77</v>
      </c>
      <c r="AG3470" t="s">
        <v>77</v>
      </c>
      <c r="AI3470" t="s">
        <v>77</v>
      </c>
      <c r="AJ3470">
        <v>11</v>
      </c>
      <c r="AK3470">
        <v>344</v>
      </c>
      <c r="AL3470">
        <v>344</v>
      </c>
      <c r="AM3470">
        <v>707</v>
      </c>
      <c r="AN3470">
        <v>50</v>
      </c>
      <c r="AO3470" t="s">
        <v>78</v>
      </c>
      <c r="AP3470">
        <v>1</v>
      </c>
      <c r="AR3470" t="s">
        <v>3566</v>
      </c>
      <c r="AS3470" s="1">
        <v>44354.042361111111</v>
      </c>
      <c r="AT3470" s="1">
        <v>44354.08185185185</v>
      </c>
      <c r="AU3470" s="1">
        <v>44354.08253472222</v>
      </c>
      <c r="AV3470" t="s">
        <v>71</v>
      </c>
      <c r="AW3470" t="s">
        <v>72</v>
      </c>
      <c r="AX3470" t="s">
        <v>73</v>
      </c>
    </row>
    <row r="3471" spans="1:50" x14ac:dyDescent="0.3">
      <c r="A3471" t="str">
        <f>"202428E0302"</f>
        <v>202428E0302</v>
      </c>
      <c r="B3471" t="str">
        <f>"202428E03022"</f>
        <v>202428E03022</v>
      </c>
      <c r="C3471" t="str">
        <f t="shared" si="183"/>
        <v>20</v>
      </c>
      <c r="D3471" t="s">
        <v>67</v>
      </c>
      <c r="E3471" t="str">
        <f t="shared" si="181"/>
        <v>015</v>
      </c>
      <c r="F3471" t="s">
        <v>3364</v>
      </c>
      <c r="G3471" t="str">
        <f t="shared" si="180"/>
        <v>2428</v>
      </c>
      <c r="H3471" t="str">
        <f t="shared" si="184"/>
        <v>0003</v>
      </c>
      <c r="I3471" t="s">
        <v>109</v>
      </c>
      <c r="J3471">
        <v>2</v>
      </c>
      <c r="K3471">
        <v>1</v>
      </c>
      <c r="L3471">
        <v>2</v>
      </c>
      <c r="M3471">
        <v>389</v>
      </c>
      <c r="N3471">
        <v>369</v>
      </c>
      <c r="O3471">
        <v>9</v>
      </c>
      <c r="P3471">
        <v>369</v>
      </c>
      <c r="Q3471">
        <v>36</v>
      </c>
      <c r="R3471">
        <v>22</v>
      </c>
      <c r="S3471">
        <v>22</v>
      </c>
      <c r="T3471">
        <v>21</v>
      </c>
      <c r="U3471">
        <v>59</v>
      </c>
      <c r="V3471">
        <v>0</v>
      </c>
      <c r="W3471">
        <v>49</v>
      </c>
      <c r="X3471">
        <v>104</v>
      </c>
      <c r="Y3471">
        <v>3</v>
      </c>
      <c r="Z3471">
        <v>36</v>
      </c>
      <c r="AA3471">
        <v>2</v>
      </c>
      <c r="AB3471">
        <v>4</v>
      </c>
      <c r="AD3471">
        <v>0</v>
      </c>
      <c r="AE3471">
        <v>0</v>
      </c>
      <c r="AF3471">
        <v>1</v>
      </c>
      <c r="AG3471">
        <v>0</v>
      </c>
      <c r="AI3471">
        <v>0</v>
      </c>
      <c r="AJ3471">
        <v>10</v>
      </c>
      <c r="AK3471">
        <v>369</v>
      </c>
      <c r="AL3471">
        <v>369</v>
      </c>
      <c r="AM3471">
        <v>707</v>
      </c>
      <c r="AN3471">
        <v>50</v>
      </c>
      <c r="AP3471">
        <v>1</v>
      </c>
      <c r="AR3471" t="s">
        <v>3567</v>
      </c>
      <c r="AS3471" s="1">
        <v>44353.886805555558</v>
      </c>
      <c r="AT3471" s="1">
        <v>44354.088460648149</v>
      </c>
      <c r="AU3471" s="1">
        <v>44354.08929398148</v>
      </c>
      <c r="AV3471" t="s">
        <v>71</v>
      </c>
      <c r="AW3471" t="s">
        <v>72</v>
      </c>
      <c r="AX3471" t="s">
        <v>73</v>
      </c>
    </row>
    <row r="3472" spans="1:50" x14ac:dyDescent="0.3">
      <c r="A3472" t="str">
        <f>"202428E0303"</f>
        <v>202428E0303</v>
      </c>
      <c r="B3472" t="str">
        <f>"202428E03032"</f>
        <v>202428E03032</v>
      </c>
      <c r="C3472" t="str">
        <f t="shared" si="183"/>
        <v>20</v>
      </c>
      <c r="D3472" t="s">
        <v>67</v>
      </c>
      <c r="E3472" t="str">
        <f t="shared" si="181"/>
        <v>015</v>
      </c>
      <c r="F3472" t="s">
        <v>3364</v>
      </c>
      <c r="G3472" t="str">
        <f t="shared" si="180"/>
        <v>2428</v>
      </c>
      <c r="H3472" t="str">
        <f t="shared" si="184"/>
        <v>0003</v>
      </c>
      <c r="I3472" t="s">
        <v>109</v>
      </c>
      <c r="J3472">
        <v>3</v>
      </c>
      <c r="K3472">
        <v>1</v>
      </c>
      <c r="L3472">
        <v>2</v>
      </c>
      <c r="M3472">
        <v>404</v>
      </c>
      <c r="N3472">
        <v>353</v>
      </c>
      <c r="O3472">
        <v>11</v>
      </c>
      <c r="P3472">
        <v>353</v>
      </c>
      <c r="Q3472">
        <v>30</v>
      </c>
      <c r="R3472">
        <v>26</v>
      </c>
      <c r="S3472">
        <v>20</v>
      </c>
      <c r="T3472">
        <v>27</v>
      </c>
      <c r="U3472">
        <v>46</v>
      </c>
      <c r="V3472">
        <v>4</v>
      </c>
      <c r="W3472">
        <v>40</v>
      </c>
      <c r="X3472">
        <v>106</v>
      </c>
      <c r="Y3472">
        <v>1</v>
      </c>
      <c r="Z3472">
        <v>30</v>
      </c>
      <c r="AA3472">
        <v>2</v>
      </c>
      <c r="AB3472">
        <v>3</v>
      </c>
      <c r="AD3472">
        <v>1</v>
      </c>
      <c r="AE3472" t="s">
        <v>77</v>
      </c>
      <c r="AF3472" t="s">
        <v>77</v>
      </c>
      <c r="AG3472" t="s">
        <v>77</v>
      </c>
      <c r="AI3472" t="s">
        <v>77</v>
      </c>
      <c r="AJ3472">
        <v>17</v>
      </c>
      <c r="AK3472">
        <v>353</v>
      </c>
      <c r="AL3472">
        <v>353</v>
      </c>
      <c r="AM3472">
        <v>706</v>
      </c>
      <c r="AN3472">
        <v>50</v>
      </c>
      <c r="AO3472" t="s">
        <v>78</v>
      </c>
      <c r="AP3472">
        <v>1</v>
      </c>
      <c r="AR3472" t="s">
        <v>3568</v>
      </c>
      <c r="AS3472" s="1">
        <v>44354.046527777777</v>
      </c>
      <c r="AT3472" s="1">
        <v>44354.092245370368</v>
      </c>
      <c r="AU3472" s="1">
        <v>44354.09270833333</v>
      </c>
      <c r="AV3472" t="s">
        <v>71</v>
      </c>
      <c r="AW3472" t="s">
        <v>72</v>
      </c>
      <c r="AX3472" t="s">
        <v>73</v>
      </c>
    </row>
    <row r="3473" spans="1:50" x14ac:dyDescent="0.3">
      <c r="A3473" t="str">
        <f>"202428E0304"</f>
        <v>202428E0304</v>
      </c>
      <c r="B3473" t="str">
        <f>"202428E03042"</f>
        <v>202428E03042</v>
      </c>
      <c r="C3473" t="str">
        <f t="shared" si="183"/>
        <v>20</v>
      </c>
      <c r="D3473" t="s">
        <v>67</v>
      </c>
      <c r="E3473" t="str">
        <f t="shared" si="181"/>
        <v>015</v>
      </c>
      <c r="F3473" t="s">
        <v>3364</v>
      </c>
      <c r="G3473" t="str">
        <f t="shared" si="180"/>
        <v>2428</v>
      </c>
      <c r="H3473" t="str">
        <f t="shared" si="184"/>
        <v>0003</v>
      </c>
      <c r="I3473" t="s">
        <v>109</v>
      </c>
      <c r="J3473">
        <v>4</v>
      </c>
      <c r="K3473">
        <v>1</v>
      </c>
      <c r="L3473">
        <v>2</v>
      </c>
      <c r="M3473">
        <v>412</v>
      </c>
      <c r="N3473">
        <v>344</v>
      </c>
      <c r="O3473">
        <v>10</v>
      </c>
      <c r="P3473">
        <v>344</v>
      </c>
      <c r="Q3473">
        <v>30</v>
      </c>
      <c r="R3473">
        <v>30</v>
      </c>
      <c r="S3473">
        <v>13</v>
      </c>
      <c r="T3473">
        <v>17</v>
      </c>
      <c r="U3473">
        <v>40</v>
      </c>
      <c r="V3473">
        <v>3</v>
      </c>
      <c r="W3473">
        <v>46</v>
      </c>
      <c r="X3473">
        <v>119</v>
      </c>
      <c r="Y3473">
        <v>3</v>
      </c>
      <c r="Z3473">
        <v>21</v>
      </c>
      <c r="AA3473">
        <v>1</v>
      </c>
      <c r="AB3473">
        <v>0</v>
      </c>
      <c r="AD3473">
        <v>2</v>
      </c>
      <c r="AE3473">
        <v>1</v>
      </c>
      <c r="AF3473">
        <v>0</v>
      </c>
      <c r="AG3473">
        <v>0</v>
      </c>
      <c r="AI3473">
        <v>1</v>
      </c>
      <c r="AJ3473">
        <v>17</v>
      </c>
      <c r="AK3473">
        <v>344</v>
      </c>
      <c r="AL3473">
        <v>344</v>
      </c>
      <c r="AM3473">
        <v>706</v>
      </c>
      <c r="AN3473">
        <v>50</v>
      </c>
      <c r="AP3473">
        <v>1</v>
      </c>
      <c r="AR3473" t="s">
        <v>3569</v>
      </c>
      <c r="AS3473" s="1">
        <v>44354.049305555556</v>
      </c>
      <c r="AT3473" s="1">
        <v>44354.104942129627</v>
      </c>
      <c r="AU3473" s="1">
        <v>44354.105231481481</v>
      </c>
      <c r="AV3473" t="s">
        <v>71</v>
      </c>
      <c r="AW3473" t="s">
        <v>72</v>
      </c>
      <c r="AX3473" t="s">
        <v>73</v>
      </c>
    </row>
    <row r="3474" spans="1:50" x14ac:dyDescent="0.3">
      <c r="A3474" t="str">
        <f>"202428E0305"</f>
        <v>202428E0305</v>
      </c>
      <c r="B3474" t="str">
        <f>"202428E03052"</f>
        <v>202428E03052</v>
      </c>
      <c r="C3474" t="str">
        <f t="shared" si="183"/>
        <v>20</v>
      </c>
      <c r="D3474" t="s">
        <v>67</v>
      </c>
      <c r="E3474" t="str">
        <f t="shared" si="181"/>
        <v>015</v>
      </c>
      <c r="F3474" t="s">
        <v>3364</v>
      </c>
      <c r="G3474" t="str">
        <f t="shared" si="180"/>
        <v>2428</v>
      </c>
      <c r="H3474" t="str">
        <f t="shared" si="184"/>
        <v>0003</v>
      </c>
      <c r="I3474" t="s">
        <v>109</v>
      </c>
      <c r="J3474">
        <v>5</v>
      </c>
      <c r="K3474">
        <v>1</v>
      </c>
      <c r="L3474">
        <v>2</v>
      </c>
      <c r="M3474">
        <v>395</v>
      </c>
      <c r="N3474">
        <v>361</v>
      </c>
      <c r="O3474">
        <v>8</v>
      </c>
      <c r="P3474">
        <v>361</v>
      </c>
      <c r="Q3474">
        <v>23</v>
      </c>
      <c r="R3474">
        <v>24</v>
      </c>
      <c r="S3474">
        <v>14</v>
      </c>
      <c r="T3474">
        <v>24</v>
      </c>
      <c r="U3474">
        <v>59</v>
      </c>
      <c r="V3474">
        <v>4</v>
      </c>
      <c r="W3474">
        <v>43</v>
      </c>
      <c r="X3474">
        <v>114</v>
      </c>
      <c r="Y3474">
        <v>3</v>
      </c>
      <c r="Z3474">
        <v>21</v>
      </c>
      <c r="AA3474">
        <v>3</v>
      </c>
      <c r="AB3474">
        <v>6</v>
      </c>
      <c r="AD3474">
        <v>1</v>
      </c>
      <c r="AE3474">
        <v>0</v>
      </c>
      <c r="AF3474">
        <v>0</v>
      </c>
      <c r="AG3474">
        <v>0</v>
      </c>
      <c r="AI3474">
        <v>0</v>
      </c>
      <c r="AJ3474">
        <v>22</v>
      </c>
      <c r="AK3474">
        <v>361</v>
      </c>
      <c r="AL3474">
        <v>361</v>
      </c>
      <c r="AM3474">
        <v>706</v>
      </c>
      <c r="AN3474">
        <v>50</v>
      </c>
      <c r="AP3474">
        <v>1</v>
      </c>
      <c r="AR3474" t="s">
        <v>3570</v>
      </c>
      <c r="AS3474" s="1">
        <v>44354.052777777775</v>
      </c>
      <c r="AT3474" s="1">
        <v>44354.100532407407</v>
      </c>
      <c r="AU3474" s="1">
        <v>44354.101006944446</v>
      </c>
      <c r="AV3474" t="s">
        <v>71</v>
      </c>
      <c r="AW3474" t="s">
        <v>72</v>
      </c>
      <c r="AX3474" t="s">
        <v>73</v>
      </c>
    </row>
    <row r="3475" spans="1:50" x14ac:dyDescent="0.3">
      <c r="A3475" t="str">
        <f>"202428E0306"</f>
        <v>202428E0306</v>
      </c>
      <c r="B3475" t="str">
        <f>"202428E03062"</f>
        <v>202428E03062</v>
      </c>
      <c r="C3475" t="str">
        <f t="shared" si="183"/>
        <v>20</v>
      </c>
      <c r="D3475" t="s">
        <v>67</v>
      </c>
      <c r="E3475" t="str">
        <f t="shared" si="181"/>
        <v>015</v>
      </c>
      <c r="F3475" t="s">
        <v>3364</v>
      </c>
      <c r="G3475" t="str">
        <f t="shared" si="180"/>
        <v>2428</v>
      </c>
      <c r="H3475" t="str">
        <f t="shared" si="184"/>
        <v>0003</v>
      </c>
      <c r="I3475" t="s">
        <v>109</v>
      </c>
      <c r="J3475">
        <v>6</v>
      </c>
      <c r="K3475">
        <v>1</v>
      </c>
      <c r="L3475">
        <v>2</v>
      </c>
      <c r="M3475">
        <v>417</v>
      </c>
      <c r="N3475">
        <v>339</v>
      </c>
      <c r="O3475">
        <v>9</v>
      </c>
      <c r="P3475" t="s">
        <v>80</v>
      </c>
      <c r="Q3475">
        <v>19</v>
      </c>
      <c r="R3475">
        <v>26</v>
      </c>
      <c r="S3475">
        <v>12</v>
      </c>
      <c r="T3475">
        <v>24</v>
      </c>
      <c r="U3475">
        <v>43</v>
      </c>
      <c r="V3475">
        <v>2</v>
      </c>
      <c r="W3475">
        <v>39</v>
      </c>
      <c r="X3475">
        <v>130</v>
      </c>
      <c r="Y3475">
        <v>2</v>
      </c>
      <c r="Z3475">
        <v>21</v>
      </c>
      <c r="AA3475">
        <v>3</v>
      </c>
      <c r="AB3475">
        <v>3</v>
      </c>
      <c r="AD3475">
        <v>1</v>
      </c>
      <c r="AE3475">
        <v>0</v>
      </c>
      <c r="AF3475">
        <v>1</v>
      </c>
      <c r="AG3475">
        <v>0</v>
      </c>
      <c r="AI3475">
        <v>0</v>
      </c>
      <c r="AJ3475">
        <v>15</v>
      </c>
      <c r="AK3475">
        <v>339</v>
      </c>
      <c r="AL3475">
        <v>341</v>
      </c>
      <c r="AM3475">
        <v>706</v>
      </c>
      <c r="AN3475">
        <v>50</v>
      </c>
      <c r="AP3475">
        <v>1</v>
      </c>
      <c r="AR3475" t="s">
        <v>3571</v>
      </c>
      <c r="AS3475" s="1">
        <v>44353.999305555553</v>
      </c>
      <c r="AT3475" s="1">
        <v>44354.018078703702</v>
      </c>
      <c r="AU3475" s="1">
        <v>44354.019085648149</v>
      </c>
      <c r="AV3475" t="s">
        <v>71</v>
      </c>
      <c r="AW3475" t="s">
        <v>72</v>
      </c>
      <c r="AX3475" t="s">
        <v>73</v>
      </c>
    </row>
    <row r="3476" spans="1:50" x14ac:dyDescent="0.3">
      <c r="A3476" t="str">
        <f>"202428E0307"</f>
        <v>202428E0307</v>
      </c>
      <c r="B3476" t="str">
        <f>"202428E03072"</f>
        <v>202428E03072</v>
      </c>
      <c r="C3476" t="str">
        <f t="shared" si="183"/>
        <v>20</v>
      </c>
      <c r="D3476" t="s">
        <v>67</v>
      </c>
      <c r="E3476" t="str">
        <f t="shared" si="181"/>
        <v>015</v>
      </c>
      <c r="F3476" t="s">
        <v>3364</v>
      </c>
      <c r="G3476" t="str">
        <f t="shared" si="180"/>
        <v>2428</v>
      </c>
      <c r="H3476" t="str">
        <f t="shared" si="184"/>
        <v>0003</v>
      </c>
      <c r="I3476" t="s">
        <v>109</v>
      </c>
      <c r="J3476">
        <v>7</v>
      </c>
      <c r="K3476">
        <v>1</v>
      </c>
      <c r="L3476">
        <v>2</v>
      </c>
      <c r="M3476">
        <v>402</v>
      </c>
      <c r="N3476">
        <v>354</v>
      </c>
      <c r="O3476">
        <v>10</v>
      </c>
      <c r="P3476">
        <v>354</v>
      </c>
      <c r="Q3476">
        <v>35</v>
      </c>
      <c r="R3476">
        <v>21</v>
      </c>
      <c r="S3476">
        <v>14</v>
      </c>
      <c r="T3476">
        <v>24</v>
      </c>
      <c r="U3476">
        <v>60</v>
      </c>
      <c r="V3476">
        <v>2</v>
      </c>
      <c r="W3476">
        <v>41</v>
      </c>
      <c r="X3476">
        <v>110</v>
      </c>
      <c r="Y3476">
        <v>2</v>
      </c>
      <c r="Z3476">
        <v>21</v>
      </c>
      <c r="AA3476">
        <v>1</v>
      </c>
      <c r="AB3476">
        <v>4</v>
      </c>
      <c r="AD3476">
        <v>1</v>
      </c>
      <c r="AE3476">
        <v>1</v>
      </c>
      <c r="AF3476">
        <v>0</v>
      </c>
      <c r="AG3476">
        <v>0</v>
      </c>
      <c r="AI3476">
        <v>0</v>
      </c>
      <c r="AJ3476">
        <v>17</v>
      </c>
      <c r="AK3476">
        <v>354</v>
      </c>
      <c r="AL3476">
        <v>354</v>
      </c>
      <c r="AM3476">
        <v>706</v>
      </c>
      <c r="AN3476">
        <v>50</v>
      </c>
      <c r="AP3476">
        <v>1</v>
      </c>
      <c r="AR3476" t="s">
        <v>3572</v>
      </c>
      <c r="AS3476" s="1">
        <v>44354</v>
      </c>
      <c r="AT3476" s="1">
        <v>44354.016099537039</v>
      </c>
      <c r="AU3476" s="1">
        <v>44354.017025462963</v>
      </c>
      <c r="AV3476" t="s">
        <v>71</v>
      </c>
      <c r="AW3476" t="s">
        <v>72</v>
      </c>
      <c r="AX3476" t="s">
        <v>73</v>
      </c>
    </row>
    <row r="3477" spans="1:50" x14ac:dyDescent="0.3">
      <c r="A3477" t="str">
        <f>"202428E0400"</f>
        <v>202428E0400</v>
      </c>
      <c r="B3477" t="str">
        <f>"202428E04002"</f>
        <v>202428E04002</v>
      </c>
      <c r="C3477" t="str">
        <f t="shared" si="183"/>
        <v>20</v>
      </c>
      <c r="D3477" t="s">
        <v>67</v>
      </c>
      <c r="E3477" t="str">
        <f t="shared" si="181"/>
        <v>015</v>
      </c>
      <c r="F3477" t="s">
        <v>3364</v>
      </c>
      <c r="G3477" t="str">
        <f t="shared" si="180"/>
        <v>2428</v>
      </c>
      <c r="H3477" t="str">
        <f>"0004"</f>
        <v>0004</v>
      </c>
      <c r="I3477" t="s">
        <v>109</v>
      </c>
      <c r="J3477">
        <v>0</v>
      </c>
      <c r="K3477">
        <v>1</v>
      </c>
      <c r="L3477">
        <v>2</v>
      </c>
      <c r="M3477">
        <v>353</v>
      </c>
      <c r="N3477">
        <v>358</v>
      </c>
      <c r="O3477">
        <v>4</v>
      </c>
      <c r="P3477">
        <v>358</v>
      </c>
      <c r="Q3477">
        <v>10</v>
      </c>
      <c r="R3477">
        <v>25</v>
      </c>
      <c r="S3477">
        <v>3</v>
      </c>
      <c r="T3477">
        <v>15</v>
      </c>
      <c r="U3477">
        <v>51</v>
      </c>
      <c r="V3477">
        <v>6</v>
      </c>
      <c r="W3477">
        <v>59</v>
      </c>
      <c r="X3477">
        <v>143</v>
      </c>
      <c r="Y3477">
        <v>1</v>
      </c>
      <c r="Z3477">
        <v>33</v>
      </c>
      <c r="AA3477">
        <v>1</v>
      </c>
      <c r="AB3477">
        <v>5</v>
      </c>
      <c r="AD3477">
        <v>0</v>
      </c>
      <c r="AE3477">
        <v>0</v>
      </c>
      <c r="AF3477">
        <v>0</v>
      </c>
      <c r="AG3477">
        <v>0</v>
      </c>
      <c r="AI3477">
        <v>0</v>
      </c>
      <c r="AJ3477">
        <v>6</v>
      </c>
      <c r="AK3477">
        <v>358</v>
      </c>
      <c r="AL3477">
        <v>358</v>
      </c>
      <c r="AM3477">
        <v>661</v>
      </c>
      <c r="AN3477">
        <v>50</v>
      </c>
      <c r="AP3477">
        <v>1</v>
      </c>
      <c r="AR3477" t="s">
        <v>3573</v>
      </c>
      <c r="AS3477" s="1">
        <v>44354.081250000003</v>
      </c>
      <c r="AT3477" s="1">
        <v>44354.109178240738</v>
      </c>
      <c r="AU3477" s="1">
        <v>44354.109594907408</v>
      </c>
      <c r="AV3477" t="s">
        <v>71</v>
      </c>
      <c r="AW3477" t="s">
        <v>72</v>
      </c>
      <c r="AX3477" t="s">
        <v>73</v>
      </c>
    </row>
    <row r="3478" spans="1:50" x14ac:dyDescent="0.3">
      <c r="A3478" t="str">
        <f>"202428E0401"</f>
        <v>202428E0401</v>
      </c>
      <c r="B3478" t="str">
        <f>"202428E04012"</f>
        <v>202428E04012</v>
      </c>
      <c r="C3478" t="str">
        <f t="shared" si="183"/>
        <v>20</v>
      </c>
      <c r="D3478" t="s">
        <v>67</v>
      </c>
      <c r="E3478" t="str">
        <f t="shared" si="181"/>
        <v>015</v>
      </c>
      <c r="F3478" t="s">
        <v>3364</v>
      </c>
      <c r="G3478" t="str">
        <f t="shared" si="180"/>
        <v>2428</v>
      </c>
      <c r="H3478" t="str">
        <f>"0004"</f>
        <v>0004</v>
      </c>
      <c r="I3478" t="s">
        <v>109</v>
      </c>
      <c r="J3478">
        <v>1</v>
      </c>
      <c r="K3478">
        <v>1</v>
      </c>
      <c r="L3478">
        <v>2</v>
      </c>
      <c r="M3478">
        <v>386</v>
      </c>
      <c r="N3478">
        <v>324</v>
      </c>
      <c r="O3478">
        <v>12</v>
      </c>
      <c r="P3478">
        <v>324</v>
      </c>
      <c r="Q3478">
        <v>13</v>
      </c>
      <c r="R3478">
        <v>23</v>
      </c>
      <c r="S3478">
        <v>10</v>
      </c>
      <c r="T3478">
        <v>2</v>
      </c>
      <c r="U3478">
        <v>58</v>
      </c>
      <c r="V3478">
        <v>3</v>
      </c>
      <c r="W3478">
        <v>58</v>
      </c>
      <c r="X3478">
        <v>106</v>
      </c>
      <c r="Y3478">
        <v>2</v>
      </c>
      <c r="Z3478">
        <v>37</v>
      </c>
      <c r="AA3478">
        <v>1</v>
      </c>
      <c r="AB3478">
        <v>2</v>
      </c>
      <c r="AD3478">
        <v>0</v>
      </c>
      <c r="AE3478">
        <v>0</v>
      </c>
      <c r="AF3478">
        <v>0</v>
      </c>
      <c r="AG3478">
        <v>0</v>
      </c>
      <c r="AI3478">
        <v>0</v>
      </c>
      <c r="AJ3478">
        <v>9</v>
      </c>
      <c r="AK3478">
        <v>324</v>
      </c>
      <c r="AL3478">
        <v>324</v>
      </c>
      <c r="AM3478">
        <v>660</v>
      </c>
      <c r="AN3478">
        <v>50</v>
      </c>
      <c r="AP3478">
        <v>1</v>
      </c>
      <c r="AR3478" t="s">
        <v>3574</v>
      </c>
      <c r="AS3478" s="1">
        <v>44354.080555555556</v>
      </c>
      <c r="AT3478" s="1">
        <v>44354.108634259261</v>
      </c>
      <c r="AU3478" s="1">
        <v>44354.110127314816</v>
      </c>
      <c r="AV3478" t="s">
        <v>71</v>
      </c>
      <c r="AW3478" t="s">
        <v>72</v>
      </c>
      <c r="AX3478" t="s">
        <v>73</v>
      </c>
    </row>
    <row r="3479" spans="1:50" x14ac:dyDescent="0.3">
      <c r="A3479" t="str">
        <f>"202428E0402"</f>
        <v>202428E0402</v>
      </c>
      <c r="B3479" t="str">
        <f>"202428E04022"</f>
        <v>202428E04022</v>
      </c>
      <c r="C3479" t="str">
        <f t="shared" si="183"/>
        <v>20</v>
      </c>
      <c r="D3479" t="s">
        <v>67</v>
      </c>
      <c r="E3479" t="str">
        <f t="shared" si="181"/>
        <v>015</v>
      </c>
      <c r="F3479" t="s">
        <v>3364</v>
      </c>
      <c r="G3479" t="str">
        <f t="shared" si="180"/>
        <v>2428</v>
      </c>
      <c r="H3479" t="str">
        <f>"0004"</f>
        <v>0004</v>
      </c>
      <c r="I3479" t="s">
        <v>109</v>
      </c>
      <c r="J3479">
        <v>2</v>
      </c>
      <c r="K3479">
        <v>1</v>
      </c>
      <c r="L3479">
        <v>2</v>
      </c>
      <c r="M3479">
        <v>389</v>
      </c>
      <c r="N3479">
        <v>321</v>
      </c>
      <c r="O3479">
        <v>11</v>
      </c>
      <c r="P3479">
        <v>321</v>
      </c>
      <c r="Q3479">
        <v>14</v>
      </c>
      <c r="R3479">
        <v>34</v>
      </c>
      <c r="S3479">
        <v>5</v>
      </c>
      <c r="T3479">
        <v>7</v>
      </c>
      <c r="U3479">
        <v>45</v>
      </c>
      <c r="V3479">
        <v>3</v>
      </c>
      <c r="W3479">
        <v>57</v>
      </c>
      <c r="X3479">
        <v>108</v>
      </c>
      <c r="Y3479">
        <v>5</v>
      </c>
      <c r="Z3479">
        <v>27</v>
      </c>
      <c r="AA3479">
        <v>3</v>
      </c>
      <c r="AB3479">
        <v>3</v>
      </c>
      <c r="AD3479">
        <v>0</v>
      </c>
      <c r="AE3479">
        <v>0</v>
      </c>
      <c r="AF3479">
        <v>0</v>
      </c>
      <c r="AG3479">
        <v>0</v>
      </c>
      <c r="AI3479">
        <v>0</v>
      </c>
      <c r="AJ3479">
        <v>10</v>
      </c>
      <c r="AK3479">
        <v>321</v>
      </c>
      <c r="AL3479">
        <v>321</v>
      </c>
      <c r="AM3479">
        <v>660</v>
      </c>
      <c r="AN3479">
        <v>50</v>
      </c>
      <c r="AP3479">
        <v>1</v>
      </c>
      <c r="AR3479" t="s">
        <v>3575</v>
      </c>
      <c r="AS3479" s="1">
        <v>44354.078472222223</v>
      </c>
      <c r="AT3479" s="1">
        <v>44354.110810185186</v>
      </c>
      <c r="AU3479" s="1">
        <v>44354.111493055556</v>
      </c>
      <c r="AV3479" t="s">
        <v>71</v>
      </c>
      <c r="AW3479" t="s">
        <v>72</v>
      </c>
      <c r="AX3479" t="s">
        <v>73</v>
      </c>
    </row>
    <row r="3480" spans="1:50" x14ac:dyDescent="0.3">
      <c r="A3480" t="str">
        <f>"202429B0000"</f>
        <v>202429B0000</v>
      </c>
      <c r="B3480" t="str">
        <f>"202429B00002"</f>
        <v>202429B00002</v>
      </c>
      <c r="C3480" t="str">
        <f t="shared" si="183"/>
        <v>20</v>
      </c>
      <c r="D3480" t="s">
        <v>67</v>
      </c>
      <c r="E3480" t="str">
        <f t="shared" si="181"/>
        <v>015</v>
      </c>
      <c r="F3480" t="s">
        <v>3364</v>
      </c>
      <c r="G3480" t="str">
        <f>"2429"</f>
        <v>2429</v>
      </c>
      <c r="H3480" t="str">
        <f>"0000"</f>
        <v>0000</v>
      </c>
      <c r="I3480" t="s">
        <v>69</v>
      </c>
      <c r="J3480">
        <v>0</v>
      </c>
      <c r="K3480">
        <v>1</v>
      </c>
      <c r="L3480">
        <v>2</v>
      </c>
      <c r="M3480">
        <v>217</v>
      </c>
      <c r="N3480">
        <v>261</v>
      </c>
      <c r="O3480">
        <v>4</v>
      </c>
      <c r="P3480">
        <v>261</v>
      </c>
      <c r="Q3480">
        <v>9</v>
      </c>
      <c r="R3480">
        <v>5</v>
      </c>
      <c r="S3480">
        <v>17</v>
      </c>
      <c r="T3480">
        <v>15</v>
      </c>
      <c r="U3480">
        <v>59</v>
      </c>
      <c r="V3480">
        <v>8</v>
      </c>
      <c r="W3480">
        <v>20</v>
      </c>
      <c r="X3480">
        <v>63</v>
      </c>
      <c r="Y3480">
        <v>28</v>
      </c>
      <c r="Z3480">
        <v>7</v>
      </c>
      <c r="AA3480">
        <v>8</v>
      </c>
      <c r="AB3480">
        <v>7</v>
      </c>
      <c r="AD3480">
        <v>0</v>
      </c>
      <c r="AE3480">
        <v>0</v>
      </c>
      <c r="AF3480">
        <v>0</v>
      </c>
      <c r="AG3480">
        <v>0</v>
      </c>
      <c r="AI3480">
        <v>0</v>
      </c>
      <c r="AJ3480">
        <v>15</v>
      </c>
      <c r="AK3480">
        <v>261</v>
      </c>
      <c r="AL3480">
        <v>261</v>
      </c>
      <c r="AM3480">
        <v>428</v>
      </c>
      <c r="AN3480">
        <v>50</v>
      </c>
      <c r="AP3480">
        <v>1</v>
      </c>
      <c r="AR3480" t="s">
        <v>3576</v>
      </c>
      <c r="AS3480" s="1">
        <v>44354.061805555553</v>
      </c>
      <c r="AT3480" s="1">
        <v>44354.095439814817</v>
      </c>
      <c r="AU3480" s="1">
        <v>44354.096261574072</v>
      </c>
      <c r="AV3480" t="s">
        <v>71</v>
      </c>
      <c r="AW3480" t="s">
        <v>72</v>
      </c>
      <c r="AX3480" t="s">
        <v>73</v>
      </c>
    </row>
    <row r="3481" spans="1:50" x14ac:dyDescent="0.3">
      <c r="A3481" t="str">
        <f>"202455B0000"</f>
        <v>202455B0000</v>
      </c>
      <c r="B3481" t="str">
        <f>"202455B00002"</f>
        <v>202455B00002</v>
      </c>
      <c r="C3481" t="str">
        <f t="shared" si="183"/>
        <v>20</v>
      </c>
      <c r="D3481" t="s">
        <v>67</v>
      </c>
      <c r="E3481" t="str">
        <f t="shared" si="181"/>
        <v>015</v>
      </c>
      <c r="F3481" t="s">
        <v>3364</v>
      </c>
      <c r="G3481" t="str">
        <f>"2455"</f>
        <v>2455</v>
      </c>
      <c r="H3481" t="str">
        <f>"0000"</f>
        <v>0000</v>
      </c>
      <c r="I3481" t="s">
        <v>69</v>
      </c>
      <c r="J3481">
        <v>0</v>
      </c>
      <c r="K3481">
        <v>1</v>
      </c>
      <c r="L3481">
        <v>2</v>
      </c>
      <c r="M3481">
        <v>164</v>
      </c>
      <c r="N3481">
        <v>136</v>
      </c>
      <c r="O3481">
        <v>14</v>
      </c>
      <c r="P3481">
        <v>136</v>
      </c>
      <c r="Q3481">
        <v>1</v>
      </c>
      <c r="R3481">
        <v>9</v>
      </c>
      <c r="S3481">
        <v>1</v>
      </c>
      <c r="T3481">
        <v>1</v>
      </c>
      <c r="U3481">
        <v>4</v>
      </c>
      <c r="V3481">
        <v>11</v>
      </c>
      <c r="W3481">
        <v>24</v>
      </c>
      <c r="X3481">
        <v>63</v>
      </c>
      <c r="Y3481">
        <v>0</v>
      </c>
      <c r="Z3481">
        <v>2</v>
      </c>
      <c r="AA3481">
        <v>12</v>
      </c>
      <c r="AB3481">
        <v>1</v>
      </c>
      <c r="AD3481">
        <v>0</v>
      </c>
      <c r="AE3481">
        <v>0</v>
      </c>
      <c r="AF3481">
        <v>0</v>
      </c>
      <c r="AG3481">
        <v>0</v>
      </c>
      <c r="AI3481">
        <v>0</v>
      </c>
      <c r="AJ3481">
        <v>7</v>
      </c>
      <c r="AK3481">
        <v>136</v>
      </c>
      <c r="AL3481">
        <v>136</v>
      </c>
      <c r="AM3481">
        <v>256</v>
      </c>
      <c r="AN3481">
        <v>44</v>
      </c>
      <c r="AP3481">
        <v>1</v>
      </c>
      <c r="AR3481" t="s">
        <v>3577</v>
      </c>
      <c r="AS3481" s="1">
        <v>44354.120833333334</v>
      </c>
      <c r="AT3481" s="1">
        <v>44354.142870370371</v>
      </c>
      <c r="AU3481" s="1">
        <v>44354.143368055556</v>
      </c>
      <c r="AV3481" t="s">
        <v>71</v>
      </c>
      <c r="AW3481" t="s">
        <v>72</v>
      </c>
      <c r="AX3481" t="s">
        <v>73</v>
      </c>
    </row>
    <row r="3482" spans="1:50" x14ac:dyDescent="0.3">
      <c r="A3482" t="str">
        <f>"200035B0000"</f>
        <v>200035B0000</v>
      </c>
      <c r="B3482" t="str">
        <f>"200035B00002"</f>
        <v>200035B00002</v>
      </c>
      <c r="C3482" t="str">
        <f t="shared" si="183"/>
        <v>20</v>
      </c>
      <c r="D3482" t="s">
        <v>67</v>
      </c>
      <c r="E3482" t="str">
        <f t="shared" ref="E3482:E3545" si="185">"016"</f>
        <v>016</v>
      </c>
      <c r="F3482" t="s">
        <v>3578</v>
      </c>
      <c r="G3482" t="str">
        <f>"0035"</f>
        <v>0035</v>
      </c>
      <c r="H3482" t="str">
        <f>"0000"</f>
        <v>0000</v>
      </c>
      <c r="I3482" t="s">
        <v>69</v>
      </c>
      <c r="J3482">
        <v>0</v>
      </c>
      <c r="K3482">
        <v>1</v>
      </c>
      <c r="L3482">
        <v>2</v>
      </c>
      <c r="M3482">
        <v>387</v>
      </c>
      <c r="N3482">
        <v>353</v>
      </c>
      <c r="O3482">
        <v>3</v>
      </c>
      <c r="P3482">
        <v>353</v>
      </c>
      <c r="Q3482">
        <v>26</v>
      </c>
      <c r="R3482">
        <v>39</v>
      </c>
      <c r="S3482">
        <v>4</v>
      </c>
      <c r="T3482">
        <v>61</v>
      </c>
      <c r="U3482">
        <v>9</v>
      </c>
      <c r="V3482">
        <v>3</v>
      </c>
      <c r="W3482">
        <v>10</v>
      </c>
      <c r="X3482">
        <v>172</v>
      </c>
      <c r="Y3482">
        <v>1</v>
      </c>
      <c r="Z3482">
        <v>2</v>
      </c>
      <c r="AA3482">
        <v>2</v>
      </c>
      <c r="AB3482">
        <v>8</v>
      </c>
      <c r="AD3482">
        <v>1</v>
      </c>
      <c r="AE3482">
        <v>0</v>
      </c>
      <c r="AF3482">
        <v>0</v>
      </c>
      <c r="AG3482">
        <v>0</v>
      </c>
      <c r="AI3482">
        <v>0</v>
      </c>
      <c r="AJ3482">
        <v>15</v>
      </c>
      <c r="AK3482">
        <v>353</v>
      </c>
      <c r="AL3482">
        <v>353</v>
      </c>
      <c r="AM3482">
        <v>696</v>
      </c>
      <c r="AN3482">
        <v>44</v>
      </c>
      <c r="AP3482">
        <v>1</v>
      </c>
      <c r="AR3482" t="s">
        <v>3579</v>
      </c>
      <c r="AS3482" s="1">
        <v>44353.770833333336</v>
      </c>
      <c r="AT3482" s="1">
        <v>44354.025810185187</v>
      </c>
      <c r="AU3482" s="1">
        <v>44354.026365740741</v>
      </c>
      <c r="AV3482" t="s">
        <v>71</v>
      </c>
      <c r="AW3482" t="s">
        <v>72</v>
      </c>
      <c r="AX3482" t="s">
        <v>73</v>
      </c>
    </row>
    <row r="3483" spans="1:50" x14ac:dyDescent="0.3">
      <c r="A3483" t="str">
        <f>"200035C0100"</f>
        <v>200035C0100</v>
      </c>
      <c r="B3483" t="str">
        <f>"200035C01002"</f>
        <v>200035C01002</v>
      </c>
      <c r="C3483" t="str">
        <f t="shared" si="183"/>
        <v>20</v>
      </c>
      <c r="D3483" t="s">
        <v>67</v>
      </c>
      <c r="E3483" t="str">
        <f t="shared" si="185"/>
        <v>016</v>
      </c>
      <c r="F3483" t="s">
        <v>3578</v>
      </c>
      <c r="G3483" t="str">
        <f>"0035"</f>
        <v>0035</v>
      </c>
      <c r="H3483" t="str">
        <f>"0001"</f>
        <v>0001</v>
      </c>
      <c r="I3483" t="s">
        <v>75</v>
      </c>
      <c r="J3483">
        <v>0</v>
      </c>
      <c r="K3483">
        <v>1</v>
      </c>
      <c r="L3483">
        <v>2</v>
      </c>
      <c r="M3483">
        <v>407</v>
      </c>
      <c r="N3483">
        <v>333</v>
      </c>
      <c r="O3483">
        <v>3</v>
      </c>
      <c r="P3483">
        <v>333</v>
      </c>
      <c r="Q3483">
        <v>21</v>
      </c>
      <c r="R3483">
        <v>38</v>
      </c>
      <c r="S3483">
        <v>0</v>
      </c>
      <c r="T3483">
        <v>76</v>
      </c>
      <c r="U3483">
        <v>6</v>
      </c>
      <c r="V3483">
        <v>3</v>
      </c>
      <c r="W3483">
        <v>5</v>
      </c>
      <c r="X3483">
        <v>162</v>
      </c>
      <c r="Y3483">
        <v>2</v>
      </c>
      <c r="Z3483">
        <v>1</v>
      </c>
      <c r="AA3483">
        <v>0</v>
      </c>
      <c r="AB3483">
        <v>6</v>
      </c>
      <c r="AD3483">
        <v>1</v>
      </c>
      <c r="AE3483">
        <v>0</v>
      </c>
      <c r="AF3483">
        <v>0</v>
      </c>
      <c r="AG3483">
        <v>0</v>
      </c>
      <c r="AI3483">
        <v>1</v>
      </c>
      <c r="AJ3483">
        <v>11</v>
      </c>
      <c r="AK3483">
        <v>333</v>
      </c>
      <c r="AL3483">
        <v>333</v>
      </c>
      <c r="AM3483">
        <v>696</v>
      </c>
      <c r="AN3483">
        <v>44</v>
      </c>
      <c r="AP3483">
        <v>1</v>
      </c>
      <c r="AR3483" t="s">
        <v>3580</v>
      </c>
      <c r="AS3483" s="1">
        <v>44354.017361111109</v>
      </c>
      <c r="AT3483" s="1">
        <v>44354.02584490741</v>
      </c>
      <c r="AU3483" s="1">
        <v>44354.026562500003</v>
      </c>
      <c r="AV3483" t="s">
        <v>71</v>
      </c>
      <c r="AW3483" t="s">
        <v>72</v>
      </c>
      <c r="AX3483" t="s">
        <v>73</v>
      </c>
    </row>
    <row r="3484" spans="1:50" x14ac:dyDescent="0.3">
      <c r="A3484" t="str">
        <f>"200036B0000"</f>
        <v>200036B0000</v>
      </c>
      <c r="B3484" t="str">
        <f>"200036B00002"</f>
        <v>200036B00002</v>
      </c>
      <c r="C3484" t="str">
        <f t="shared" si="183"/>
        <v>20</v>
      </c>
      <c r="D3484" t="s">
        <v>67</v>
      </c>
      <c r="E3484" t="str">
        <f t="shared" si="185"/>
        <v>016</v>
      </c>
      <c r="F3484" t="s">
        <v>3578</v>
      </c>
      <c r="G3484" t="str">
        <f>"0036"</f>
        <v>0036</v>
      </c>
      <c r="H3484" t="str">
        <f>"0000"</f>
        <v>0000</v>
      </c>
      <c r="I3484" t="s">
        <v>69</v>
      </c>
      <c r="J3484">
        <v>0</v>
      </c>
      <c r="K3484">
        <v>1</v>
      </c>
      <c r="L3484">
        <v>2</v>
      </c>
      <c r="M3484">
        <v>411</v>
      </c>
      <c r="N3484">
        <v>278</v>
      </c>
      <c r="O3484">
        <v>0</v>
      </c>
      <c r="P3484">
        <v>278</v>
      </c>
      <c r="Q3484">
        <v>14</v>
      </c>
      <c r="R3484">
        <v>30</v>
      </c>
      <c r="S3484">
        <v>1</v>
      </c>
      <c r="T3484">
        <v>80</v>
      </c>
      <c r="U3484">
        <v>2</v>
      </c>
      <c r="V3484">
        <v>1</v>
      </c>
      <c r="W3484">
        <v>4</v>
      </c>
      <c r="X3484">
        <v>123</v>
      </c>
      <c r="Y3484">
        <v>0</v>
      </c>
      <c r="Z3484">
        <v>5</v>
      </c>
      <c r="AA3484">
        <v>1</v>
      </c>
      <c r="AB3484">
        <v>2</v>
      </c>
      <c r="AD3484">
        <v>2</v>
      </c>
      <c r="AE3484">
        <v>0</v>
      </c>
      <c r="AF3484">
        <v>0</v>
      </c>
      <c r="AG3484">
        <v>0</v>
      </c>
      <c r="AI3484">
        <v>3</v>
      </c>
      <c r="AJ3484">
        <v>10</v>
      </c>
      <c r="AK3484">
        <v>278</v>
      </c>
      <c r="AL3484">
        <v>278</v>
      </c>
      <c r="AM3484">
        <v>645</v>
      </c>
      <c r="AN3484">
        <v>44</v>
      </c>
      <c r="AP3484">
        <v>1</v>
      </c>
      <c r="AR3484" t="s">
        <v>3581</v>
      </c>
      <c r="AS3484" s="1">
        <v>44354.013194444444</v>
      </c>
      <c r="AT3484" s="1">
        <v>44354.022152777776</v>
      </c>
      <c r="AU3484" s="1">
        <v>44354.022685185184</v>
      </c>
      <c r="AV3484" t="s">
        <v>71</v>
      </c>
      <c r="AW3484" t="s">
        <v>72</v>
      </c>
      <c r="AX3484" t="s">
        <v>73</v>
      </c>
    </row>
    <row r="3485" spans="1:50" x14ac:dyDescent="0.3">
      <c r="A3485" t="str">
        <f>"200036C0100"</f>
        <v>200036C0100</v>
      </c>
      <c r="B3485" t="str">
        <f>"200036C01002"</f>
        <v>200036C01002</v>
      </c>
      <c r="C3485" t="str">
        <f t="shared" si="183"/>
        <v>20</v>
      </c>
      <c r="D3485" t="s">
        <v>67</v>
      </c>
      <c r="E3485" t="str">
        <f t="shared" si="185"/>
        <v>016</v>
      </c>
      <c r="F3485" t="s">
        <v>3578</v>
      </c>
      <c r="G3485" t="str">
        <f>"0036"</f>
        <v>0036</v>
      </c>
      <c r="H3485" t="str">
        <f>"0001"</f>
        <v>0001</v>
      </c>
      <c r="I3485" t="s">
        <v>75</v>
      </c>
      <c r="J3485">
        <v>0</v>
      </c>
      <c r="K3485">
        <v>1</v>
      </c>
      <c r="L3485">
        <v>2</v>
      </c>
      <c r="M3485">
        <v>10</v>
      </c>
      <c r="N3485">
        <v>302</v>
      </c>
      <c r="O3485">
        <v>2</v>
      </c>
      <c r="P3485">
        <v>302</v>
      </c>
      <c r="Q3485">
        <v>13</v>
      </c>
      <c r="R3485">
        <v>32</v>
      </c>
      <c r="S3485">
        <v>1</v>
      </c>
      <c r="T3485">
        <v>83</v>
      </c>
      <c r="U3485">
        <v>10</v>
      </c>
      <c r="V3485">
        <v>4</v>
      </c>
      <c r="W3485">
        <v>5</v>
      </c>
      <c r="X3485">
        <v>134</v>
      </c>
      <c r="Y3485">
        <v>0</v>
      </c>
      <c r="Z3485">
        <v>3</v>
      </c>
      <c r="AA3485">
        <v>2</v>
      </c>
      <c r="AB3485">
        <v>5</v>
      </c>
      <c r="AD3485">
        <v>0</v>
      </c>
      <c r="AE3485">
        <v>0</v>
      </c>
      <c r="AF3485">
        <v>0</v>
      </c>
      <c r="AG3485">
        <v>0</v>
      </c>
      <c r="AI3485">
        <v>0</v>
      </c>
      <c r="AJ3485">
        <v>10</v>
      </c>
      <c r="AK3485">
        <v>302</v>
      </c>
      <c r="AL3485">
        <v>302</v>
      </c>
      <c r="AM3485">
        <v>644</v>
      </c>
      <c r="AN3485">
        <v>44</v>
      </c>
      <c r="AP3485">
        <v>1</v>
      </c>
      <c r="AR3485" t="s">
        <v>3582</v>
      </c>
      <c r="AS3485" s="1">
        <v>44353.988194444442</v>
      </c>
      <c r="AT3485" s="1">
        <v>44354.030833333331</v>
      </c>
      <c r="AU3485" s="1">
        <v>44354.031388888892</v>
      </c>
      <c r="AV3485" t="s">
        <v>71</v>
      </c>
      <c r="AW3485" t="s">
        <v>72</v>
      </c>
      <c r="AX3485" t="s">
        <v>73</v>
      </c>
    </row>
    <row r="3486" spans="1:50" x14ac:dyDescent="0.3">
      <c r="A3486" t="str">
        <f>"200036C0200"</f>
        <v>200036C0200</v>
      </c>
      <c r="B3486" t="str">
        <f>"200036C02002"</f>
        <v>200036C02002</v>
      </c>
      <c r="C3486" t="str">
        <f t="shared" si="183"/>
        <v>20</v>
      </c>
      <c r="D3486" t="s">
        <v>67</v>
      </c>
      <c r="E3486" t="str">
        <f t="shared" si="185"/>
        <v>016</v>
      </c>
      <c r="F3486" t="s">
        <v>3578</v>
      </c>
      <c r="G3486" t="str">
        <f>"0036"</f>
        <v>0036</v>
      </c>
      <c r="H3486" t="str">
        <f>"0002"</f>
        <v>0002</v>
      </c>
      <c r="I3486" t="s">
        <v>75</v>
      </c>
      <c r="J3486">
        <v>0</v>
      </c>
      <c r="K3486">
        <v>1</v>
      </c>
      <c r="L3486">
        <v>2</v>
      </c>
      <c r="M3486">
        <v>391</v>
      </c>
      <c r="N3486">
        <v>297</v>
      </c>
      <c r="O3486">
        <v>2</v>
      </c>
      <c r="P3486">
        <v>297</v>
      </c>
      <c r="Q3486">
        <v>8</v>
      </c>
      <c r="R3486">
        <v>33</v>
      </c>
      <c r="S3486">
        <v>3</v>
      </c>
      <c r="T3486">
        <v>74</v>
      </c>
      <c r="U3486">
        <v>12</v>
      </c>
      <c r="V3486">
        <v>3</v>
      </c>
      <c r="W3486">
        <v>6</v>
      </c>
      <c r="X3486">
        <v>140</v>
      </c>
      <c r="Y3486">
        <v>1</v>
      </c>
      <c r="Z3486">
        <v>2</v>
      </c>
      <c r="AA3486">
        <v>1</v>
      </c>
      <c r="AB3486">
        <v>4</v>
      </c>
      <c r="AD3486" t="s">
        <v>77</v>
      </c>
      <c r="AE3486" t="s">
        <v>77</v>
      </c>
      <c r="AF3486" t="s">
        <v>77</v>
      </c>
      <c r="AG3486" t="s">
        <v>77</v>
      </c>
      <c r="AI3486" t="s">
        <v>77</v>
      </c>
      <c r="AJ3486">
        <v>10</v>
      </c>
      <c r="AK3486" t="s">
        <v>77</v>
      </c>
      <c r="AL3486">
        <v>297</v>
      </c>
      <c r="AM3486">
        <v>644</v>
      </c>
      <c r="AN3486">
        <v>44</v>
      </c>
      <c r="AO3486" t="s">
        <v>78</v>
      </c>
      <c r="AP3486">
        <v>1</v>
      </c>
      <c r="AR3486" t="s">
        <v>3583</v>
      </c>
      <c r="AS3486" s="1">
        <v>44354.017361111109</v>
      </c>
      <c r="AT3486" s="1">
        <v>44354.025810185187</v>
      </c>
      <c r="AU3486" s="1">
        <v>44354.026307870372</v>
      </c>
      <c r="AV3486" t="s">
        <v>71</v>
      </c>
      <c r="AW3486" t="s">
        <v>72</v>
      </c>
      <c r="AX3486" t="s">
        <v>73</v>
      </c>
    </row>
    <row r="3487" spans="1:50" x14ac:dyDescent="0.3">
      <c r="A3487" t="str">
        <f>"200065B0000"</f>
        <v>200065B0000</v>
      </c>
      <c r="B3487" t="str">
        <f>"200065B00002"</f>
        <v>200065B00002</v>
      </c>
      <c r="C3487" t="str">
        <f t="shared" si="183"/>
        <v>20</v>
      </c>
      <c r="D3487" t="s">
        <v>67</v>
      </c>
      <c r="E3487" t="str">
        <f t="shared" si="185"/>
        <v>016</v>
      </c>
      <c r="F3487" t="s">
        <v>3578</v>
      </c>
      <c r="G3487" t="str">
        <f>"0065"</f>
        <v>0065</v>
      </c>
      <c r="H3487" t="str">
        <f>"0000"</f>
        <v>0000</v>
      </c>
      <c r="I3487" t="s">
        <v>69</v>
      </c>
      <c r="J3487">
        <v>0</v>
      </c>
      <c r="K3487">
        <v>1</v>
      </c>
      <c r="L3487">
        <v>2</v>
      </c>
      <c r="M3487">
        <v>216</v>
      </c>
      <c r="N3487">
        <v>358</v>
      </c>
      <c r="O3487">
        <v>0</v>
      </c>
      <c r="P3487">
        <v>357</v>
      </c>
      <c r="Q3487">
        <v>5</v>
      </c>
      <c r="R3487">
        <v>12</v>
      </c>
      <c r="S3487">
        <v>0</v>
      </c>
      <c r="T3487">
        <v>60</v>
      </c>
      <c r="U3487">
        <v>20</v>
      </c>
      <c r="V3487">
        <v>0</v>
      </c>
      <c r="W3487">
        <v>1</v>
      </c>
      <c r="X3487">
        <v>53</v>
      </c>
      <c r="Y3487">
        <v>38</v>
      </c>
      <c r="Z3487">
        <v>0</v>
      </c>
      <c r="AA3487">
        <v>3</v>
      </c>
      <c r="AB3487">
        <v>137</v>
      </c>
      <c r="AD3487">
        <v>0</v>
      </c>
      <c r="AE3487">
        <v>1</v>
      </c>
      <c r="AF3487">
        <v>0</v>
      </c>
      <c r="AG3487">
        <v>0</v>
      </c>
      <c r="AI3487">
        <v>0</v>
      </c>
      <c r="AJ3487">
        <v>27</v>
      </c>
      <c r="AK3487">
        <v>357</v>
      </c>
      <c r="AL3487">
        <v>357</v>
      </c>
      <c r="AM3487">
        <v>530</v>
      </c>
      <c r="AN3487">
        <v>44</v>
      </c>
      <c r="AP3487">
        <v>1</v>
      </c>
      <c r="AR3487" t="s">
        <v>3584</v>
      </c>
      <c r="AS3487" s="1">
        <v>44353.944745370369</v>
      </c>
      <c r="AT3487" s="1">
        <v>44353.945625</v>
      </c>
      <c r="AU3487" s="1">
        <v>44353.946377314816</v>
      </c>
      <c r="AV3487" t="s">
        <v>269</v>
      </c>
      <c r="AW3487" t="s">
        <v>270</v>
      </c>
      <c r="AX3487" t="s">
        <v>73</v>
      </c>
    </row>
    <row r="3488" spans="1:50" x14ac:dyDescent="0.3">
      <c r="A3488" t="str">
        <f>"200065C0100"</f>
        <v>200065C0100</v>
      </c>
      <c r="B3488" t="str">
        <f>"200065C01002"</f>
        <v>200065C01002</v>
      </c>
      <c r="C3488" t="str">
        <f t="shared" si="183"/>
        <v>20</v>
      </c>
      <c r="D3488" t="s">
        <v>67</v>
      </c>
      <c r="E3488" t="str">
        <f t="shared" si="185"/>
        <v>016</v>
      </c>
      <c r="F3488" t="s">
        <v>3578</v>
      </c>
      <c r="G3488" t="str">
        <f>"0065"</f>
        <v>0065</v>
      </c>
      <c r="H3488" t="str">
        <f>"0001"</f>
        <v>0001</v>
      </c>
      <c r="I3488" t="s">
        <v>75</v>
      </c>
      <c r="J3488">
        <v>0</v>
      </c>
      <c r="K3488">
        <v>1</v>
      </c>
      <c r="L3488">
        <v>2</v>
      </c>
      <c r="M3488">
        <v>248</v>
      </c>
      <c r="N3488">
        <v>326</v>
      </c>
      <c r="O3488">
        <v>0</v>
      </c>
      <c r="P3488">
        <v>326</v>
      </c>
      <c r="Q3488">
        <v>11</v>
      </c>
      <c r="R3488">
        <v>12</v>
      </c>
      <c r="S3488">
        <v>1</v>
      </c>
      <c r="T3488">
        <v>71</v>
      </c>
      <c r="U3488">
        <v>19</v>
      </c>
      <c r="V3488">
        <v>0</v>
      </c>
      <c r="W3488">
        <v>0</v>
      </c>
      <c r="X3488">
        <v>36</v>
      </c>
      <c r="Y3488">
        <v>50</v>
      </c>
      <c r="Z3488">
        <v>1</v>
      </c>
      <c r="AA3488">
        <v>0</v>
      </c>
      <c r="AB3488">
        <v>113</v>
      </c>
      <c r="AD3488">
        <v>1</v>
      </c>
      <c r="AE3488">
        <v>0</v>
      </c>
      <c r="AF3488">
        <v>0</v>
      </c>
      <c r="AG3488">
        <v>0</v>
      </c>
      <c r="AI3488">
        <v>1</v>
      </c>
      <c r="AJ3488">
        <v>18</v>
      </c>
      <c r="AK3488">
        <v>305</v>
      </c>
      <c r="AL3488">
        <v>334</v>
      </c>
      <c r="AM3488">
        <v>530</v>
      </c>
      <c r="AN3488">
        <v>44</v>
      </c>
      <c r="AP3488">
        <v>1</v>
      </c>
      <c r="AR3488" t="s">
        <v>3585</v>
      </c>
      <c r="AS3488" s="1">
        <v>44354.113194444442</v>
      </c>
      <c r="AT3488" s="1">
        <v>44354.119085648148</v>
      </c>
      <c r="AU3488" s="1">
        <v>44354.119814814818</v>
      </c>
      <c r="AV3488" t="s">
        <v>71</v>
      </c>
      <c r="AW3488" t="s">
        <v>72</v>
      </c>
      <c r="AX3488" t="s">
        <v>73</v>
      </c>
    </row>
    <row r="3489" spans="1:50" x14ac:dyDescent="0.3">
      <c r="A3489" t="str">
        <f>"200066B0000"</f>
        <v>200066B0000</v>
      </c>
      <c r="B3489" t="str">
        <f>"200066B00002"</f>
        <v>200066B00002</v>
      </c>
      <c r="C3489" t="str">
        <f t="shared" si="183"/>
        <v>20</v>
      </c>
      <c r="D3489" t="s">
        <v>67</v>
      </c>
      <c r="E3489" t="str">
        <f t="shared" si="185"/>
        <v>016</v>
      </c>
      <c r="F3489" t="s">
        <v>3578</v>
      </c>
      <c r="G3489" t="str">
        <f>"0066"</f>
        <v>0066</v>
      </c>
      <c r="H3489" t="str">
        <f>"0000"</f>
        <v>0000</v>
      </c>
      <c r="I3489" t="s">
        <v>69</v>
      </c>
      <c r="J3489">
        <v>0</v>
      </c>
      <c r="K3489">
        <v>1</v>
      </c>
      <c r="L3489">
        <v>2</v>
      </c>
      <c r="M3489">
        <v>209</v>
      </c>
      <c r="N3489">
        <v>258</v>
      </c>
      <c r="O3489">
        <v>0</v>
      </c>
      <c r="P3489" t="s">
        <v>80</v>
      </c>
      <c r="Q3489">
        <v>10</v>
      </c>
      <c r="R3489">
        <v>2</v>
      </c>
      <c r="S3489">
        <v>0</v>
      </c>
      <c r="T3489">
        <v>40</v>
      </c>
      <c r="U3489">
        <v>14</v>
      </c>
      <c r="V3489">
        <v>3</v>
      </c>
      <c r="W3489">
        <v>2</v>
      </c>
      <c r="X3489">
        <v>43</v>
      </c>
      <c r="Y3489">
        <v>37</v>
      </c>
      <c r="Z3489">
        <v>3</v>
      </c>
      <c r="AA3489">
        <v>4</v>
      </c>
      <c r="AB3489">
        <v>78</v>
      </c>
      <c r="AD3489">
        <v>0</v>
      </c>
      <c r="AE3489">
        <v>0</v>
      </c>
      <c r="AF3489">
        <v>0</v>
      </c>
      <c r="AG3489">
        <v>0</v>
      </c>
      <c r="AI3489">
        <v>0</v>
      </c>
      <c r="AJ3489">
        <v>22</v>
      </c>
      <c r="AK3489">
        <v>258</v>
      </c>
      <c r="AL3489">
        <v>258</v>
      </c>
      <c r="AM3489">
        <v>423</v>
      </c>
      <c r="AN3489">
        <v>44</v>
      </c>
      <c r="AP3489">
        <v>1</v>
      </c>
      <c r="AR3489" t="s">
        <v>3586</v>
      </c>
      <c r="AS3489" s="1">
        <v>44353.895752314813</v>
      </c>
      <c r="AT3489" s="1">
        <v>44353.898692129631</v>
      </c>
      <c r="AU3489" s="1">
        <v>44353.900150462963</v>
      </c>
      <c r="AV3489" t="s">
        <v>269</v>
      </c>
      <c r="AW3489" t="s">
        <v>270</v>
      </c>
      <c r="AX3489" t="s">
        <v>73</v>
      </c>
    </row>
    <row r="3490" spans="1:50" x14ac:dyDescent="0.3">
      <c r="A3490" t="str">
        <f>"200066C0100"</f>
        <v>200066C0100</v>
      </c>
      <c r="B3490" t="str">
        <f>"200066C01002"</f>
        <v>200066C01002</v>
      </c>
      <c r="C3490" t="str">
        <f t="shared" si="183"/>
        <v>20</v>
      </c>
      <c r="D3490" t="s">
        <v>67</v>
      </c>
      <c r="E3490" t="str">
        <f t="shared" si="185"/>
        <v>016</v>
      </c>
      <c r="F3490" t="s">
        <v>3578</v>
      </c>
      <c r="G3490" t="str">
        <f>"0066"</f>
        <v>0066</v>
      </c>
      <c r="H3490" t="str">
        <f>"0001"</f>
        <v>0001</v>
      </c>
      <c r="I3490" t="s">
        <v>75</v>
      </c>
      <c r="J3490">
        <v>0</v>
      </c>
      <c r="K3490">
        <v>1</v>
      </c>
      <c r="L3490">
        <v>2</v>
      </c>
      <c r="M3490">
        <v>217</v>
      </c>
      <c r="N3490">
        <v>249</v>
      </c>
      <c r="O3490">
        <v>249</v>
      </c>
      <c r="P3490">
        <v>249</v>
      </c>
      <c r="Q3490">
        <v>12</v>
      </c>
      <c r="R3490">
        <v>1</v>
      </c>
      <c r="S3490">
        <v>2</v>
      </c>
      <c r="T3490">
        <v>46</v>
      </c>
      <c r="U3490">
        <v>22</v>
      </c>
      <c r="V3490">
        <v>1</v>
      </c>
      <c r="W3490">
        <v>0</v>
      </c>
      <c r="X3490">
        <v>36</v>
      </c>
      <c r="Y3490">
        <v>45</v>
      </c>
      <c r="Z3490">
        <v>1</v>
      </c>
      <c r="AA3490">
        <v>1</v>
      </c>
      <c r="AB3490">
        <v>70</v>
      </c>
      <c r="AD3490">
        <v>0</v>
      </c>
      <c r="AE3490">
        <v>0</v>
      </c>
      <c r="AF3490">
        <v>0</v>
      </c>
      <c r="AG3490">
        <v>0</v>
      </c>
      <c r="AI3490">
        <v>0</v>
      </c>
      <c r="AJ3490">
        <v>12</v>
      </c>
      <c r="AK3490">
        <v>249</v>
      </c>
      <c r="AL3490">
        <v>249</v>
      </c>
      <c r="AM3490">
        <v>422</v>
      </c>
      <c r="AN3490">
        <v>44</v>
      </c>
      <c r="AP3490">
        <v>1</v>
      </c>
      <c r="AR3490" t="s">
        <v>3587</v>
      </c>
      <c r="AS3490" s="1">
        <v>44353.964363425926</v>
      </c>
      <c r="AT3490" s="1">
        <v>44353.965902777774</v>
      </c>
      <c r="AU3490" s="1">
        <v>44353.966423611113</v>
      </c>
      <c r="AV3490" t="s">
        <v>269</v>
      </c>
      <c r="AW3490" t="s">
        <v>270</v>
      </c>
      <c r="AX3490" t="s">
        <v>73</v>
      </c>
    </row>
    <row r="3491" spans="1:50" x14ac:dyDescent="0.3">
      <c r="A3491" t="str">
        <f>"200067B0000"</f>
        <v>200067B0000</v>
      </c>
      <c r="B3491" t="str">
        <f>"200067B00002"</f>
        <v>200067B00002</v>
      </c>
      <c r="C3491" t="str">
        <f t="shared" si="183"/>
        <v>20</v>
      </c>
      <c r="D3491" t="s">
        <v>67</v>
      </c>
      <c r="E3491" t="str">
        <f t="shared" si="185"/>
        <v>016</v>
      </c>
      <c r="F3491" t="s">
        <v>3578</v>
      </c>
      <c r="G3491" t="str">
        <f>"0067"</f>
        <v>0067</v>
      </c>
      <c r="H3491" t="str">
        <f>"0000"</f>
        <v>0000</v>
      </c>
      <c r="I3491" t="s">
        <v>69</v>
      </c>
      <c r="J3491">
        <v>0</v>
      </c>
      <c r="K3491">
        <v>1</v>
      </c>
      <c r="L3491">
        <v>2</v>
      </c>
      <c r="M3491">
        <v>301</v>
      </c>
      <c r="N3491">
        <v>358</v>
      </c>
      <c r="O3491">
        <v>7</v>
      </c>
      <c r="P3491">
        <v>358</v>
      </c>
      <c r="Q3491">
        <v>17</v>
      </c>
      <c r="R3491">
        <v>12</v>
      </c>
      <c r="S3491">
        <v>1</v>
      </c>
      <c r="T3491">
        <v>75</v>
      </c>
      <c r="U3491">
        <v>25</v>
      </c>
      <c r="V3491">
        <v>1</v>
      </c>
      <c r="W3491">
        <v>2</v>
      </c>
      <c r="X3491">
        <v>67</v>
      </c>
      <c r="Y3491">
        <v>31</v>
      </c>
      <c r="Z3491">
        <v>5</v>
      </c>
      <c r="AA3491">
        <v>3</v>
      </c>
      <c r="AB3491">
        <v>102</v>
      </c>
      <c r="AD3491">
        <v>0</v>
      </c>
      <c r="AE3491">
        <v>0</v>
      </c>
      <c r="AF3491">
        <v>0</v>
      </c>
      <c r="AG3491">
        <v>0</v>
      </c>
      <c r="AI3491">
        <v>0</v>
      </c>
      <c r="AJ3491">
        <v>17</v>
      </c>
      <c r="AK3491">
        <v>358</v>
      </c>
      <c r="AL3491">
        <v>358</v>
      </c>
      <c r="AM3491">
        <v>615</v>
      </c>
      <c r="AN3491">
        <v>44</v>
      </c>
      <c r="AP3491">
        <v>1</v>
      </c>
      <c r="AR3491" t="s">
        <v>3588</v>
      </c>
      <c r="AS3491" s="1">
        <v>44353.953298611108</v>
      </c>
      <c r="AT3491" s="1">
        <v>44353.954918981479</v>
      </c>
      <c r="AU3491" s="1">
        <v>44353.955439814818</v>
      </c>
      <c r="AV3491" t="s">
        <v>269</v>
      </c>
      <c r="AW3491" t="s">
        <v>270</v>
      </c>
      <c r="AX3491" t="s">
        <v>73</v>
      </c>
    </row>
    <row r="3492" spans="1:50" x14ac:dyDescent="0.3">
      <c r="A3492" t="str">
        <f>"200070B0000"</f>
        <v>200070B0000</v>
      </c>
      <c r="B3492" t="str">
        <f>"200070B00002"</f>
        <v>200070B00002</v>
      </c>
      <c r="C3492" t="str">
        <f t="shared" si="183"/>
        <v>20</v>
      </c>
      <c r="D3492" t="s">
        <v>67</v>
      </c>
      <c r="E3492" t="str">
        <f t="shared" si="185"/>
        <v>016</v>
      </c>
      <c r="F3492" t="s">
        <v>3578</v>
      </c>
      <c r="G3492" t="str">
        <f>"0070"</f>
        <v>0070</v>
      </c>
      <c r="H3492" t="str">
        <f>"0000"</f>
        <v>0000</v>
      </c>
      <c r="I3492" t="s">
        <v>69</v>
      </c>
      <c r="J3492">
        <v>0</v>
      </c>
      <c r="K3492">
        <v>1</v>
      </c>
      <c r="L3492">
        <v>2</v>
      </c>
      <c r="M3492">
        <v>408</v>
      </c>
      <c r="N3492">
        <v>203</v>
      </c>
      <c r="O3492">
        <v>1</v>
      </c>
      <c r="P3492" t="s">
        <v>80</v>
      </c>
      <c r="Q3492">
        <v>24</v>
      </c>
      <c r="R3492">
        <v>3</v>
      </c>
      <c r="S3492">
        <v>2</v>
      </c>
      <c r="T3492">
        <v>10</v>
      </c>
      <c r="U3492">
        <v>28</v>
      </c>
      <c r="V3492">
        <v>3</v>
      </c>
      <c r="W3492">
        <v>2</v>
      </c>
      <c r="X3492">
        <v>117</v>
      </c>
      <c r="Y3492">
        <v>0</v>
      </c>
      <c r="Z3492">
        <v>2</v>
      </c>
      <c r="AA3492">
        <v>2</v>
      </c>
      <c r="AB3492">
        <v>2</v>
      </c>
      <c r="AD3492">
        <v>1</v>
      </c>
      <c r="AE3492">
        <v>0</v>
      </c>
      <c r="AF3492">
        <v>0</v>
      </c>
      <c r="AG3492">
        <v>0</v>
      </c>
      <c r="AI3492">
        <v>0</v>
      </c>
      <c r="AJ3492">
        <v>7</v>
      </c>
      <c r="AK3492">
        <v>203</v>
      </c>
      <c r="AL3492">
        <v>203</v>
      </c>
      <c r="AM3492">
        <v>567</v>
      </c>
      <c r="AN3492">
        <v>44</v>
      </c>
      <c r="AP3492">
        <v>1</v>
      </c>
      <c r="AR3492" t="s">
        <v>3589</v>
      </c>
      <c r="AS3492" s="1">
        <v>44353.995833333334</v>
      </c>
      <c r="AT3492" s="1">
        <v>44354.001585648148</v>
      </c>
      <c r="AU3492" s="1">
        <v>44354.002118055556</v>
      </c>
      <c r="AV3492" t="s">
        <v>71</v>
      </c>
      <c r="AW3492" t="s">
        <v>72</v>
      </c>
      <c r="AX3492" t="s">
        <v>73</v>
      </c>
    </row>
    <row r="3493" spans="1:50" x14ac:dyDescent="0.3">
      <c r="A3493" t="str">
        <f>"200070C0100"</f>
        <v>200070C0100</v>
      </c>
      <c r="B3493" t="str">
        <f>"200070C01002"</f>
        <v>200070C01002</v>
      </c>
      <c r="C3493" t="str">
        <f t="shared" si="183"/>
        <v>20</v>
      </c>
      <c r="D3493" t="s">
        <v>67</v>
      </c>
      <c r="E3493" t="str">
        <f t="shared" si="185"/>
        <v>016</v>
      </c>
      <c r="F3493" t="s">
        <v>3578</v>
      </c>
      <c r="G3493" t="str">
        <f>"0070"</f>
        <v>0070</v>
      </c>
      <c r="H3493" t="str">
        <f>"0001"</f>
        <v>0001</v>
      </c>
      <c r="I3493" t="s">
        <v>75</v>
      </c>
      <c r="J3493">
        <v>0</v>
      </c>
      <c r="K3493">
        <v>1</v>
      </c>
      <c r="L3493">
        <v>2</v>
      </c>
      <c r="M3493">
        <v>404</v>
      </c>
      <c r="N3493">
        <v>206</v>
      </c>
      <c r="O3493">
        <v>0</v>
      </c>
      <c r="P3493">
        <v>206</v>
      </c>
      <c r="Q3493">
        <v>19</v>
      </c>
      <c r="R3493">
        <v>10</v>
      </c>
      <c r="S3493">
        <v>2</v>
      </c>
      <c r="T3493">
        <v>14</v>
      </c>
      <c r="U3493">
        <v>30</v>
      </c>
      <c r="V3493">
        <v>1</v>
      </c>
      <c r="W3493">
        <v>4</v>
      </c>
      <c r="X3493">
        <v>108</v>
      </c>
      <c r="Y3493">
        <v>0</v>
      </c>
      <c r="Z3493">
        <v>4</v>
      </c>
      <c r="AA3493">
        <v>1</v>
      </c>
      <c r="AB3493">
        <v>1</v>
      </c>
      <c r="AD3493">
        <v>2</v>
      </c>
      <c r="AE3493">
        <v>0</v>
      </c>
      <c r="AF3493">
        <v>0</v>
      </c>
      <c r="AG3493">
        <v>2</v>
      </c>
      <c r="AI3493">
        <v>0</v>
      </c>
      <c r="AJ3493">
        <v>8</v>
      </c>
      <c r="AK3493">
        <v>206</v>
      </c>
      <c r="AL3493">
        <v>206</v>
      </c>
      <c r="AM3493">
        <v>566</v>
      </c>
      <c r="AN3493">
        <v>44</v>
      </c>
      <c r="AP3493">
        <v>1</v>
      </c>
      <c r="AR3493" t="s">
        <v>3590</v>
      </c>
      <c r="AS3493" s="1">
        <v>44353.997916666667</v>
      </c>
      <c r="AT3493" s="1">
        <v>44354.003738425927</v>
      </c>
      <c r="AU3493" s="1">
        <v>44354.004560185182</v>
      </c>
      <c r="AV3493" t="s">
        <v>71</v>
      </c>
      <c r="AW3493" t="s">
        <v>72</v>
      </c>
      <c r="AX3493" t="s">
        <v>73</v>
      </c>
    </row>
    <row r="3494" spans="1:50" x14ac:dyDescent="0.3">
      <c r="A3494" t="str">
        <f>"200070C0200"</f>
        <v>200070C0200</v>
      </c>
      <c r="B3494" t="str">
        <f>"200070C02002"</f>
        <v>200070C02002</v>
      </c>
      <c r="C3494" t="str">
        <f t="shared" si="183"/>
        <v>20</v>
      </c>
      <c r="D3494" t="s">
        <v>67</v>
      </c>
      <c r="E3494" t="str">
        <f t="shared" si="185"/>
        <v>016</v>
      </c>
      <c r="F3494" t="s">
        <v>3578</v>
      </c>
      <c r="G3494" t="str">
        <f>"0070"</f>
        <v>0070</v>
      </c>
      <c r="H3494" t="str">
        <f>"0002"</f>
        <v>0002</v>
      </c>
      <c r="I3494" t="s">
        <v>75</v>
      </c>
      <c r="J3494">
        <v>0</v>
      </c>
      <c r="K3494">
        <v>1</v>
      </c>
      <c r="L3494">
        <v>2</v>
      </c>
      <c r="M3494">
        <v>403</v>
      </c>
      <c r="N3494">
        <v>207</v>
      </c>
      <c r="O3494">
        <v>0</v>
      </c>
      <c r="P3494">
        <v>207</v>
      </c>
      <c r="Q3494">
        <v>14</v>
      </c>
      <c r="R3494">
        <v>4</v>
      </c>
      <c r="S3494">
        <v>4</v>
      </c>
      <c r="T3494">
        <v>11</v>
      </c>
      <c r="U3494">
        <v>47</v>
      </c>
      <c r="V3494">
        <v>4</v>
      </c>
      <c r="W3494">
        <v>4</v>
      </c>
      <c r="X3494">
        <v>94</v>
      </c>
      <c r="Y3494">
        <v>0</v>
      </c>
      <c r="Z3494">
        <v>4</v>
      </c>
      <c r="AA3494">
        <v>4</v>
      </c>
      <c r="AB3494">
        <v>6</v>
      </c>
      <c r="AD3494">
        <v>0</v>
      </c>
      <c r="AE3494">
        <v>1</v>
      </c>
      <c r="AF3494">
        <v>0</v>
      </c>
      <c r="AG3494">
        <v>0</v>
      </c>
      <c r="AI3494">
        <v>0</v>
      </c>
      <c r="AJ3494">
        <v>10</v>
      </c>
      <c r="AK3494">
        <v>207</v>
      </c>
      <c r="AL3494">
        <v>207</v>
      </c>
      <c r="AM3494">
        <v>566</v>
      </c>
      <c r="AN3494">
        <v>44</v>
      </c>
      <c r="AP3494">
        <v>1</v>
      </c>
      <c r="AR3494" t="s">
        <v>3591</v>
      </c>
      <c r="AS3494" s="1">
        <v>44353.997916666667</v>
      </c>
      <c r="AT3494" s="1">
        <v>44354.004155092596</v>
      </c>
      <c r="AU3494" s="1">
        <v>44354.004652777781</v>
      </c>
      <c r="AV3494" t="s">
        <v>71</v>
      </c>
      <c r="AW3494" t="s">
        <v>72</v>
      </c>
      <c r="AX3494" t="s">
        <v>73</v>
      </c>
    </row>
    <row r="3495" spans="1:50" x14ac:dyDescent="0.3">
      <c r="A3495" t="str">
        <f>"200071B0000"</f>
        <v>200071B0000</v>
      </c>
      <c r="B3495" t="str">
        <f>"200071B00002"</f>
        <v>200071B00002</v>
      </c>
      <c r="C3495" t="str">
        <f t="shared" si="183"/>
        <v>20</v>
      </c>
      <c r="D3495" t="s">
        <v>67</v>
      </c>
      <c r="E3495" t="str">
        <f t="shared" si="185"/>
        <v>016</v>
      </c>
      <c r="F3495" t="s">
        <v>3578</v>
      </c>
      <c r="G3495" t="str">
        <f>"0071"</f>
        <v>0071</v>
      </c>
      <c r="H3495" t="str">
        <f>"0000"</f>
        <v>0000</v>
      </c>
      <c r="I3495" t="s">
        <v>69</v>
      </c>
      <c r="J3495">
        <v>0</v>
      </c>
      <c r="K3495">
        <v>1</v>
      </c>
      <c r="L3495">
        <v>2</v>
      </c>
      <c r="M3495">
        <v>343</v>
      </c>
      <c r="N3495">
        <v>156</v>
      </c>
      <c r="O3495">
        <v>6</v>
      </c>
      <c r="P3495">
        <v>156</v>
      </c>
      <c r="Q3495">
        <v>1</v>
      </c>
      <c r="R3495">
        <v>1</v>
      </c>
      <c r="S3495">
        <v>2</v>
      </c>
      <c r="T3495">
        <v>10</v>
      </c>
      <c r="U3495">
        <v>16</v>
      </c>
      <c r="V3495">
        <v>1</v>
      </c>
      <c r="W3495">
        <v>2</v>
      </c>
      <c r="X3495">
        <v>98</v>
      </c>
      <c r="Y3495">
        <v>1</v>
      </c>
      <c r="Z3495">
        <v>2</v>
      </c>
      <c r="AA3495">
        <v>2</v>
      </c>
      <c r="AB3495">
        <v>6</v>
      </c>
      <c r="AD3495">
        <v>0</v>
      </c>
      <c r="AE3495">
        <v>0</v>
      </c>
      <c r="AF3495">
        <v>0</v>
      </c>
      <c r="AG3495">
        <v>0</v>
      </c>
      <c r="AI3495">
        <v>0</v>
      </c>
      <c r="AJ3495">
        <v>11</v>
      </c>
      <c r="AK3495">
        <v>156</v>
      </c>
      <c r="AL3495">
        <v>153</v>
      </c>
      <c r="AM3495">
        <v>455</v>
      </c>
      <c r="AN3495">
        <v>44</v>
      </c>
      <c r="AP3495">
        <v>1</v>
      </c>
      <c r="AR3495" t="s">
        <v>3592</v>
      </c>
      <c r="AS3495" s="1">
        <v>44353.99722222222</v>
      </c>
      <c r="AT3495" s="1">
        <v>44354.003194444442</v>
      </c>
      <c r="AU3495" s="1">
        <v>44354.003738425927</v>
      </c>
      <c r="AV3495" t="s">
        <v>71</v>
      </c>
      <c r="AW3495" t="s">
        <v>72</v>
      </c>
      <c r="AX3495" t="s">
        <v>73</v>
      </c>
    </row>
    <row r="3496" spans="1:50" x14ac:dyDescent="0.3">
      <c r="A3496" t="str">
        <f>"200071C0100"</f>
        <v>200071C0100</v>
      </c>
      <c r="B3496" t="str">
        <f>"200071C01002"</f>
        <v>200071C01002</v>
      </c>
      <c r="C3496" t="str">
        <f t="shared" si="183"/>
        <v>20</v>
      </c>
      <c r="D3496" t="s">
        <v>67</v>
      </c>
      <c r="E3496" t="str">
        <f t="shared" si="185"/>
        <v>016</v>
      </c>
      <c r="F3496" t="s">
        <v>3578</v>
      </c>
      <c r="G3496" t="str">
        <f>"0071"</f>
        <v>0071</v>
      </c>
      <c r="H3496" t="str">
        <f>"0001"</f>
        <v>0001</v>
      </c>
      <c r="I3496" t="s">
        <v>75</v>
      </c>
      <c r="J3496">
        <v>0</v>
      </c>
      <c r="K3496">
        <v>1</v>
      </c>
      <c r="L3496">
        <v>2</v>
      </c>
      <c r="M3496">
        <v>343</v>
      </c>
      <c r="N3496">
        <v>156</v>
      </c>
      <c r="O3496">
        <v>6</v>
      </c>
      <c r="P3496">
        <v>156</v>
      </c>
      <c r="Q3496">
        <v>15</v>
      </c>
      <c r="R3496">
        <v>9</v>
      </c>
      <c r="S3496">
        <v>1</v>
      </c>
      <c r="T3496">
        <v>11</v>
      </c>
      <c r="U3496">
        <v>22</v>
      </c>
      <c r="V3496">
        <v>0</v>
      </c>
      <c r="W3496">
        <v>1</v>
      </c>
      <c r="X3496">
        <v>84</v>
      </c>
      <c r="Y3496">
        <v>0</v>
      </c>
      <c r="Z3496">
        <v>5</v>
      </c>
      <c r="AA3496">
        <v>1</v>
      </c>
      <c r="AB3496">
        <v>0</v>
      </c>
      <c r="AD3496" t="s">
        <v>77</v>
      </c>
      <c r="AE3496" t="s">
        <v>77</v>
      </c>
      <c r="AF3496" t="s">
        <v>77</v>
      </c>
      <c r="AG3496" t="s">
        <v>77</v>
      </c>
      <c r="AI3496" t="s">
        <v>77</v>
      </c>
      <c r="AJ3496" t="s">
        <v>99</v>
      </c>
      <c r="AK3496">
        <v>156</v>
      </c>
      <c r="AL3496">
        <v>149</v>
      </c>
      <c r="AM3496">
        <v>455</v>
      </c>
      <c r="AN3496">
        <v>44</v>
      </c>
      <c r="AO3496" t="s">
        <v>78</v>
      </c>
      <c r="AP3496">
        <v>1</v>
      </c>
      <c r="AR3496" t="s">
        <v>3593</v>
      </c>
      <c r="AS3496" s="1">
        <v>44353.995833333334</v>
      </c>
      <c r="AT3496" s="1">
        <v>44354.00267361111</v>
      </c>
      <c r="AU3496" s="1">
        <v>44354.003206018519</v>
      </c>
      <c r="AV3496" t="s">
        <v>71</v>
      </c>
      <c r="AW3496" t="s">
        <v>72</v>
      </c>
      <c r="AX3496" t="s">
        <v>73</v>
      </c>
    </row>
    <row r="3497" spans="1:50" x14ac:dyDescent="0.3">
      <c r="A3497" t="str">
        <f>"200072B0000"</f>
        <v>200072B0000</v>
      </c>
      <c r="B3497" t="str">
        <f>"200072B00002"</f>
        <v>200072B00002</v>
      </c>
      <c r="C3497" t="str">
        <f t="shared" si="183"/>
        <v>20</v>
      </c>
      <c r="D3497" t="s">
        <v>67</v>
      </c>
      <c r="E3497" t="str">
        <f t="shared" si="185"/>
        <v>016</v>
      </c>
      <c r="F3497" t="s">
        <v>3578</v>
      </c>
      <c r="G3497" t="str">
        <f>"0072"</f>
        <v>0072</v>
      </c>
      <c r="H3497" t="str">
        <f>"0000"</f>
        <v>0000</v>
      </c>
      <c r="I3497" t="s">
        <v>69</v>
      </c>
      <c r="J3497">
        <v>0</v>
      </c>
      <c r="K3497">
        <v>1</v>
      </c>
      <c r="L3497">
        <v>2</v>
      </c>
      <c r="M3497">
        <v>414</v>
      </c>
      <c r="N3497">
        <v>182</v>
      </c>
      <c r="O3497">
        <v>2</v>
      </c>
      <c r="P3497">
        <v>182</v>
      </c>
      <c r="Q3497">
        <v>19</v>
      </c>
      <c r="R3497">
        <v>10</v>
      </c>
      <c r="S3497">
        <v>2</v>
      </c>
      <c r="T3497">
        <v>7</v>
      </c>
      <c r="U3497">
        <v>17</v>
      </c>
      <c r="V3497">
        <v>1</v>
      </c>
      <c r="W3497">
        <v>5</v>
      </c>
      <c r="X3497">
        <v>102</v>
      </c>
      <c r="Y3497">
        <v>2</v>
      </c>
      <c r="Z3497">
        <v>3</v>
      </c>
      <c r="AA3497">
        <v>1</v>
      </c>
      <c r="AB3497">
        <v>3</v>
      </c>
      <c r="AD3497">
        <v>0</v>
      </c>
      <c r="AE3497">
        <v>0</v>
      </c>
      <c r="AF3497">
        <v>1</v>
      </c>
      <c r="AG3497">
        <v>0</v>
      </c>
      <c r="AI3497">
        <v>0</v>
      </c>
      <c r="AJ3497">
        <v>9</v>
      </c>
      <c r="AK3497" t="s">
        <v>99</v>
      </c>
      <c r="AL3497">
        <v>182</v>
      </c>
      <c r="AM3497">
        <v>552</v>
      </c>
      <c r="AN3497">
        <v>44</v>
      </c>
      <c r="AP3497">
        <v>1</v>
      </c>
      <c r="AR3497" t="s">
        <v>3594</v>
      </c>
      <c r="AS3497" s="1">
        <v>44354.072222222225</v>
      </c>
      <c r="AT3497" s="1">
        <v>44354.081724537034</v>
      </c>
      <c r="AU3497" s="1">
        <v>44354.083391203705</v>
      </c>
      <c r="AV3497" t="s">
        <v>71</v>
      </c>
      <c r="AW3497" t="s">
        <v>72</v>
      </c>
      <c r="AX3497" t="s">
        <v>73</v>
      </c>
    </row>
    <row r="3498" spans="1:50" x14ac:dyDescent="0.3">
      <c r="A3498" t="str">
        <f>"200072C0100"</f>
        <v>200072C0100</v>
      </c>
      <c r="B3498" t="str">
        <f>"200072C01002"</f>
        <v>200072C01002</v>
      </c>
      <c r="C3498" t="str">
        <f t="shared" si="183"/>
        <v>20</v>
      </c>
      <c r="D3498" t="s">
        <v>67</v>
      </c>
      <c r="E3498" t="str">
        <f t="shared" si="185"/>
        <v>016</v>
      </c>
      <c r="F3498" t="s">
        <v>3578</v>
      </c>
      <c r="G3498" t="str">
        <f>"0072"</f>
        <v>0072</v>
      </c>
      <c r="H3498" t="str">
        <f>"0001"</f>
        <v>0001</v>
      </c>
      <c r="I3498" t="s">
        <v>75</v>
      </c>
      <c r="J3498">
        <v>0</v>
      </c>
      <c r="K3498">
        <v>1</v>
      </c>
      <c r="L3498">
        <v>2</v>
      </c>
      <c r="M3498">
        <v>390</v>
      </c>
      <c r="N3498">
        <v>205</v>
      </c>
      <c r="O3498">
        <v>3</v>
      </c>
      <c r="P3498">
        <v>205</v>
      </c>
      <c r="Q3498">
        <v>15</v>
      </c>
      <c r="R3498">
        <v>3</v>
      </c>
      <c r="S3498">
        <v>6</v>
      </c>
      <c r="T3498">
        <v>10</v>
      </c>
      <c r="U3498">
        <v>29</v>
      </c>
      <c r="V3498">
        <v>6</v>
      </c>
      <c r="W3498">
        <v>3</v>
      </c>
      <c r="X3498">
        <v>110</v>
      </c>
      <c r="Y3498">
        <v>1</v>
      </c>
      <c r="Z3498">
        <v>4</v>
      </c>
      <c r="AA3498">
        <v>6</v>
      </c>
      <c r="AB3498">
        <v>1</v>
      </c>
      <c r="AD3498">
        <v>1</v>
      </c>
      <c r="AE3498">
        <v>0</v>
      </c>
      <c r="AF3498">
        <v>0</v>
      </c>
      <c r="AG3498">
        <v>0</v>
      </c>
      <c r="AI3498">
        <v>0</v>
      </c>
      <c r="AJ3498">
        <v>10</v>
      </c>
      <c r="AK3498">
        <v>205</v>
      </c>
      <c r="AL3498">
        <v>205</v>
      </c>
      <c r="AM3498">
        <v>551</v>
      </c>
      <c r="AN3498">
        <v>44</v>
      </c>
      <c r="AP3498">
        <v>1</v>
      </c>
      <c r="AR3498" t="s">
        <v>3595</v>
      </c>
      <c r="AS3498" s="1">
        <v>44354.069444444445</v>
      </c>
      <c r="AT3498" s="1">
        <v>44354.075509259259</v>
      </c>
      <c r="AU3498" s="1">
        <v>44354.076435185183</v>
      </c>
      <c r="AV3498" t="s">
        <v>71</v>
      </c>
      <c r="AW3498" t="s">
        <v>72</v>
      </c>
      <c r="AX3498" t="s">
        <v>73</v>
      </c>
    </row>
    <row r="3499" spans="1:50" x14ac:dyDescent="0.3">
      <c r="A3499" t="str">
        <f>"200073B0000"</f>
        <v>200073B0000</v>
      </c>
      <c r="B3499" t="str">
        <f>"200073B00002"</f>
        <v>200073B00002</v>
      </c>
      <c r="C3499" t="str">
        <f t="shared" si="183"/>
        <v>20</v>
      </c>
      <c r="D3499" t="s">
        <v>67</v>
      </c>
      <c r="E3499" t="str">
        <f t="shared" si="185"/>
        <v>016</v>
      </c>
      <c r="F3499" t="s">
        <v>3578</v>
      </c>
      <c r="G3499" t="str">
        <f>"0073"</f>
        <v>0073</v>
      </c>
      <c r="H3499" t="str">
        <f>"0000"</f>
        <v>0000</v>
      </c>
      <c r="I3499" t="s">
        <v>69</v>
      </c>
      <c r="J3499">
        <v>0</v>
      </c>
      <c r="K3499">
        <v>1</v>
      </c>
      <c r="L3499">
        <v>2</v>
      </c>
      <c r="M3499">
        <v>213</v>
      </c>
      <c r="N3499">
        <v>139</v>
      </c>
      <c r="O3499">
        <v>0</v>
      </c>
      <c r="P3499">
        <v>139</v>
      </c>
      <c r="Q3499">
        <v>15</v>
      </c>
      <c r="R3499">
        <v>5</v>
      </c>
      <c r="S3499">
        <v>1</v>
      </c>
      <c r="T3499">
        <v>6</v>
      </c>
      <c r="U3499">
        <v>17</v>
      </c>
      <c r="V3499">
        <v>2</v>
      </c>
      <c r="W3499">
        <v>0</v>
      </c>
      <c r="X3499">
        <v>88</v>
      </c>
      <c r="Y3499">
        <v>0</v>
      </c>
      <c r="Z3499">
        <v>1</v>
      </c>
      <c r="AA3499">
        <v>2</v>
      </c>
      <c r="AB3499">
        <v>1</v>
      </c>
      <c r="AD3499">
        <v>0</v>
      </c>
      <c r="AE3499">
        <v>1</v>
      </c>
      <c r="AF3499">
        <v>0</v>
      </c>
      <c r="AG3499">
        <v>0</v>
      </c>
      <c r="AI3499">
        <v>0</v>
      </c>
      <c r="AJ3499">
        <v>0</v>
      </c>
      <c r="AK3499">
        <v>139</v>
      </c>
      <c r="AL3499">
        <v>139</v>
      </c>
      <c r="AM3499">
        <v>308</v>
      </c>
      <c r="AN3499">
        <v>44</v>
      </c>
      <c r="AP3499">
        <v>1</v>
      </c>
      <c r="AR3499" t="s">
        <v>3596</v>
      </c>
      <c r="AS3499" s="1">
        <v>44354.070138888892</v>
      </c>
      <c r="AT3499" s="1">
        <v>44354.076701388891</v>
      </c>
      <c r="AU3499" s="1">
        <v>44354.077256944445</v>
      </c>
      <c r="AV3499" t="s">
        <v>71</v>
      </c>
      <c r="AW3499" t="s">
        <v>72</v>
      </c>
      <c r="AX3499" t="s">
        <v>73</v>
      </c>
    </row>
    <row r="3500" spans="1:50" x14ac:dyDescent="0.3">
      <c r="A3500" t="str">
        <f>"200111B0000"</f>
        <v>200111B0000</v>
      </c>
      <c r="B3500" t="str">
        <f>"200111B00002"</f>
        <v>200111B00002</v>
      </c>
      <c r="C3500" t="str">
        <f t="shared" si="183"/>
        <v>20</v>
      </c>
      <c r="D3500" t="s">
        <v>67</v>
      </c>
      <c r="E3500" t="str">
        <f t="shared" si="185"/>
        <v>016</v>
      </c>
      <c r="F3500" t="s">
        <v>3578</v>
      </c>
      <c r="G3500" t="str">
        <f>"0111"</f>
        <v>0111</v>
      </c>
      <c r="H3500" t="str">
        <f>"0000"</f>
        <v>0000</v>
      </c>
      <c r="I3500" t="s">
        <v>69</v>
      </c>
      <c r="J3500">
        <v>0</v>
      </c>
      <c r="K3500">
        <v>1</v>
      </c>
      <c r="L3500">
        <v>2</v>
      </c>
      <c r="M3500">
        <v>208</v>
      </c>
      <c r="N3500">
        <v>465</v>
      </c>
      <c r="O3500">
        <v>3</v>
      </c>
      <c r="P3500">
        <v>465</v>
      </c>
      <c r="Q3500">
        <v>5</v>
      </c>
      <c r="R3500">
        <v>156</v>
      </c>
      <c r="S3500">
        <v>13</v>
      </c>
      <c r="T3500">
        <v>30</v>
      </c>
      <c r="U3500">
        <v>104</v>
      </c>
      <c r="V3500">
        <v>6</v>
      </c>
      <c r="W3500">
        <v>0</v>
      </c>
      <c r="X3500">
        <v>106</v>
      </c>
      <c r="Y3500">
        <v>1</v>
      </c>
      <c r="Z3500">
        <v>5</v>
      </c>
      <c r="AA3500">
        <v>5</v>
      </c>
      <c r="AB3500">
        <v>6</v>
      </c>
      <c r="AD3500">
        <v>7</v>
      </c>
      <c r="AE3500">
        <v>0</v>
      </c>
      <c r="AF3500">
        <v>0</v>
      </c>
      <c r="AG3500">
        <v>0</v>
      </c>
      <c r="AI3500">
        <v>0</v>
      </c>
      <c r="AJ3500">
        <v>21</v>
      </c>
      <c r="AK3500">
        <v>465</v>
      </c>
      <c r="AL3500">
        <v>465</v>
      </c>
      <c r="AM3500">
        <v>629</v>
      </c>
      <c r="AN3500">
        <v>44</v>
      </c>
      <c r="AP3500">
        <v>1</v>
      </c>
      <c r="AR3500" t="s">
        <v>3597</v>
      </c>
      <c r="AS3500" s="1">
        <v>44354.118055555555</v>
      </c>
      <c r="AT3500" s="1">
        <v>44354.122256944444</v>
      </c>
      <c r="AU3500" s="1">
        <v>44354.123078703706</v>
      </c>
      <c r="AV3500" t="s">
        <v>71</v>
      </c>
      <c r="AW3500" t="s">
        <v>72</v>
      </c>
      <c r="AX3500" t="s">
        <v>73</v>
      </c>
    </row>
    <row r="3501" spans="1:50" x14ac:dyDescent="0.3">
      <c r="A3501" t="str">
        <f>"200111C0100"</f>
        <v>200111C0100</v>
      </c>
      <c r="B3501" t="str">
        <f>"200111C01002"</f>
        <v>200111C01002</v>
      </c>
      <c r="C3501" t="str">
        <f t="shared" si="183"/>
        <v>20</v>
      </c>
      <c r="D3501" t="s">
        <v>67</v>
      </c>
      <c r="E3501" t="str">
        <f t="shared" si="185"/>
        <v>016</v>
      </c>
      <c r="F3501" t="s">
        <v>3578</v>
      </c>
      <c r="G3501" t="str">
        <f>"0111"</f>
        <v>0111</v>
      </c>
      <c r="H3501" t="str">
        <f>"0001"</f>
        <v>0001</v>
      </c>
      <c r="I3501" t="s">
        <v>75</v>
      </c>
      <c r="J3501">
        <v>0</v>
      </c>
      <c r="K3501">
        <v>1</v>
      </c>
      <c r="L3501">
        <v>2</v>
      </c>
      <c r="M3501">
        <v>230</v>
      </c>
      <c r="N3501">
        <v>443</v>
      </c>
      <c r="O3501">
        <v>4</v>
      </c>
      <c r="P3501">
        <v>443</v>
      </c>
      <c r="Q3501">
        <v>14</v>
      </c>
      <c r="R3501">
        <v>136</v>
      </c>
      <c r="S3501">
        <v>7</v>
      </c>
      <c r="T3501">
        <v>28</v>
      </c>
      <c r="U3501">
        <v>108</v>
      </c>
      <c r="V3501">
        <v>6</v>
      </c>
      <c r="W3501">
        <v>4</v>
      </c>
      <c r="X3501">
        <v>113</v>
      </c>
      <c r="Y3501">
        <v>1</v>
      </c>
      <c r="Z3501">
        <v>0</v>
      </c>
      <c r="AA3501">
        <v>2</v>
      </c>
      <c r="AB3501">
        <v>5</v>
      </c>
      <c r="AD3501">
        <v>1</v>
      </c>
      <c r="AE3501">
        <v>1</v>
      </c>
      <c r="AF3501">
        <v>0</v>
      </c>
      <c r="AG3501">
        <v>0</v>
      </c>
      <c r="AI3501">
        <v>0</v>
      </c>
      <c r="AJ3501" t="s">
        <v>99</v>
      </c>
      <c r="AK3501" t="s">
        <v>99</v>
      </c>
      <c r="AL3501">
        <v>426</v>
      </c>
      <c r="AM3501">
        <v>629</v>
      </c>
      <c r="AN3501">
        <v>44</v>
      </c>
      <c r="AO3501" t="s">
        <v>78</v>
      </c>
      <c r="AP3501">
        <v>1</v>
      </c>
      <c r="AR3501" t="s">
        <v>3598</v>
      </c>
      <c r="AS3501" s="1">
        <v>44354.120833333334</v>
      </c>
      <c r="AT3501" s="1">
        <v>44354.124050925922</v>
      </c>
      <c r="AU3501" s="1">
        <v>44354.125833333332</v>
      </c>
      <c r="AV3501" t="s">
        <v>71</v>
      </c>
      <c r="AW3501" t="s">
        <v>72</v>
      </c>
      <c r="AX3501" t="s">
        <v>73</v>
      </c>
    </row>
    <row r="3502" spans="1:50" x14ac:dyDescent="0.3">
      <c r="A3502" t="str">
        <f>"200112B0000"</f>
        <v>200112B0000</v>
      </c>
      <c r="B3502" t="str">
        <f>"200112B00002"</f>
        <v>200112B00002</v>
      </c>
      <c r="C3502" t="str">
        <f t="shared" si="183"/>
        <v>20</v>
      </c>
      <c r="D3502" t="s">
        <v>67</v>
      </c>
      <c r="E3502" t="str">
        <f t="shared" si="185"/>
        <v>016</v>
      </c>
      <c r="F3502" t="s">
        <v>3578</v>
      </c>
      <c r="G3502" t="str">
        <f>"0112"</f>
        <v>0112</v>
      </c>
      <c r="H3502" t="str">
        <f>"0000"</f>
        <v>0000</v>
      </c>
      <c r="I3502" t="s">
        <v>69</v>
      </c>
      <c r="J3502">
        <v>0</v>
      </c>
      <c r="K3502">
        <v>1</v>
      </c>
      <c r="L3502">
        <v>2</v>
      </c>
      <c r="M3502">
        <v>221</v>
      </c>
      <c r="N3502">
        <v>447</v>
      </c>
      <c r="O3502">
        <v>7</v>
      </c>
      <c r="P3502">
        <v>447</v>
      </c>
      <c r="Q3502">
        <v>21</v>
      </c>
      <c r="R3502">
        <v>111</v>
      </c>
      <c r="S3502">
        <v>17</v>
      </c>
      <c r="T3502">
        <v>13</v>
      </c>
      <c r="U3502">
        <v>125</v>
      </c>
      <c r="V3502">
        <v>2</v>
      </c>
      <c r="W3502">
        <v>1</v>
      </c>
      <c r="X3502">
        <v>122</v>
      </c>
      <c r="Y3502">
        <v>0</v>
      </c>
      <c r="Z3502">
        <v>2</v>
      </c>
      <c r="AA3502">
        <v>4</v>
      </c>
      <c r="AB3502">
        <v>4</v>
      </c>
      <c r="AD3502">
        <v>0</v>
      </c>
      <c r="AE3502">
        <v>3</v>
      </c>
      <c r="AF3502">
        <v>0</v>
      </c>
      <c r="AG3502">
        <v>0</v>
      </c>
      <c r="AI3502">
        <v>0</v>
      </c>
      <c r="AJ3502">
        <v>22</v>
      </c>
      <c r="AK3502">
        <v>447</v>
      </c>
      <c r="AL3502">
        <v>447</v>
      </c>
      <c r="AM3502">
        <v>624</v>
      </c>
      <c r="AN3502">
        <v>44</v>
      </c>
      <c r="AP3502">
        <v>1</v>
      </c>
      <c r="AR3502" t="s">
        <v>3599</v>
      </c>
      <c r="AS3502" s="1">
        <v>44353.920289351852</v>
      </c>
      <c r="AT3502" s="1">
        <v>44353.923206018517</v>
      </c>
      <c r="AU3502" s="1">
        <v>44353.924328703702</v>
      </c>
      <c r="AV3502" t="s">
        <v>269</v>
      </c>
      <c r="AW3502" t="s">
        <v>270</v>
      </c>
      <c r="AX3502" t="s">
        <v>73</v>
      </c>
    </row>
    <row r="3503" spans="1:50" x14ac:dyDescent="0.3">
      <c r="A3503" t="str">
        <f>"200112C0100"</f>
        <v>200112C0100</v>
      </c>
      <c r="B3503" t="str">
        <f>"200112C01002"</f>
        <v>200112C01002</v>
      </c>
      <c r="C3503" t="str">
        <f t="shared" si="183"/>
        <v>20</v>
      </c>
      <c r="D3503" t="s">
        <v>67</v>
      </c>
      <c r="E3503" t="str">
        <f t="shared" si="185"/>
        <v>016</v>
      </c>
      <c r="F3503" t="s">
        <v>3578</v>
      </c>
      <c r="G3503" t="str">
        <f>"0112"</f>
        <v>0112</v>
      </c>
      <c r="H3503" t="str">
        <f>"0001"</f>
        <v>0001</v>
      </c>
      <c r="I3503" t="s">
        <v>75</v>
      </c>
      <c r="J3503">
        <v>0</v>
      </c>
      <c r="K3503">
        <v>1</v>
      </c>
      <c r="L3503">
        <v>2</v>
      </c>
      <c r="M3503">
        <v>238</v>
      </c>
      <c r="N3503">
        <v>429</v>
      </c>
      <c r="O3503">
        <v>10</v>
      </c>
      <c r="P3503">
        <v>429</v>
      </c>
      <c r="Q3503">
        <v>12</v>
      </c>
      <c r="R3503">
        <v>126</v>
      </c>
      <c r="S3503">
        <v>14</v>
      </c>
      <c r="T3503">
        <v>26</v>
      </c>
      <c r="U3503">
        <v>100</v>
      </c>
      <c r="V3503">
        <v>2</v>
      </c>
      <c r="W3503">
        <v>2</v>
      </c>
      <c r="X3503">
        <v>100</v>
      </c>
      <c r="Y3503">
        <v>1</v>
      </c>
      <c r="Z3503">
        <v>5</v>
      </c>
      <c r="AA3503">
        <v>4</v>
      </c>
      <c r="AB3503">
        <v>5</v>
      </c>
      <c r="AD3503">
        <v>3</v>
      </c>
      <c r="AE3503">
        <v>1</v>
      </c>
      <c r="AF3503">
        <v>0</v>
      </c>
      <c r="AG3503">
        <v>1</v>
      </c>
      <c r="AI3503">
        <v>0</v>
      </c>
      <c r="AJ3503">
        <v>27</v>
      </c>
      <c r="AK3503">
        <v>429</v>
      </c>
      <c r="AL3503">
        <v>429</v>
      </c>
      <c r="AM3503">
        <v>623</v>
      </c>
      <c r="AN3503">
        <v>44</v>
      </c>
      <c r="AP3503">
        <v>1</v>
      </c>
      <c r="AR3503" t="s">
        <v>3600</v>
      </c>
      <c r="AS3503" s="1">
        <v>44353.944236111114</v>
      </c>
      <c r="AT3503" s="1">
        <v>44353.945648148147</v>
      </c>
      <c r="AU3503" s="1">
        <v>44353.946273148147</v>
      </c>
      <c r="AV3503" t="s">
        <v>269</v>
      </c>
      <c r="AW3503" t="s">
        <v>270</v>
      </c>
      <c r="AX3503" t="s">
        <v>73</v>
      </c>
    </row>
    <row r="3504" spans="1:50" x14ac:dyDescent="0.3">
      <c r="A3504" t="str">
        <f>"200373B0000"</f>
        <v>200373B0000</v>
      </c>
      <c r="B3504" t="str">
        <f>"200373B00002"</f>
        <v>200373B00002</v>
      </c>
      <c r="C3504" t="str">
        <f t="shared" si="183"/>
        <v>20</v>
      </c>
      <c r="D3504" t="s">
        <v>67</v>
      </c>
      <c r="E3504" t="str">
        <f t="shared" si="185"/>
        <v>016</v>
      </c>
      <c r="F3504" t="s">
        <v>3578</v>
      </c>
      <c r="G3504" t="str">
        <f>"0373"</f>
        <v>0373</v>
      </c>
      <c r="H3504" t="str">
        <f>"0000"</f>
        <v>0000</v>
      </c>
      <c r="I3504" t="s">
        <v>69</v>
      </c>
      <c r="J3504">
        <v>0</v>
      </c>
      <c r="K3504">
        <v>1</v>
      </c>
      <c r="L3504">
        <v>2</v>
      </c>
      <c r="M3504">
        <v>239</v>
      </c>
      <c r="N3504">
        <v>238</v>
      </c>
      <c r="O3504">
        <v>7</v>
      </c>
      <c r="P3504">
        <v>231</v>
      </c>
      <c r="Q3504">
        <v>12</v>
      </c>
      <c r="R3504">
        <v>23</v>
      </c>
      <c r="S3504">
        <v>12</v>
      </c>
      <c r="T3504">
        <v>10</v>
      </c>
      <c r="U3504">
        <v>32</v>
      </c>
      <c r="V3504">
        <v>1</v>
      </c>
      <c r="W3504">
        <v>4</v>
      </c>
      <c r="X3504">
        <v>114</v>
      </c>
      <c r="Y3504">
        <v>0</v>
      </c>
      <c r="Z3504">
        <v>2</v>
      </c>
      <c r="AA3504">
        <v>2</v>
      </c>
      <c r="AB3504">
        <v>0</v>
      </c>
      <c r="AD3504">
        <v>1</v>
      </c>
      <c r="AE3504">
        <v>0</v>
      </c>
      <c r="AF3504">
        <v>0</v>
      </c>
      <c r="AG3504">
        <v>0</v>
      </c>
      <c r="AI3504">
        <v>0</v>
      </c>
      <c r="AJ3504">
        <v>18</v>
      </c>
      <c r="AK3504">
        <v>231</v>
      </c>
      <c r="AL3504">
        <v>231</v>
      </c>
      <c r="AM3504">
        <v>426</v>
      </c>
      <c r="AN3504">
        <v>44</v>
      </c>
      <c r="AP3504">
        <v>1</v>
      </c>
      <c r="AR3504" t="s">
        <v>3601</v>
      </c>
      <c r="AS3504" s="1">
        <v>44354.09097222222</v>
      </c>
      <c r="AT3504" s="1">
        <v>44354.097141203703</v>
      </c>
      <c r="AU3504" s="1">
        <v>44354.098275462966</v>
      </c>
      <c r="AV3504" t="s">
        <v>71</v>
      </c>
      <c r="AW3504" t="s">
        <v>72</v>
      </c>
      <c r="AX3504" t="s">
        <v>73</v>
      </c>
    </row>
    <row r="3505" spans="1:50" x14ac:dyDescent="0.3">
      <c r="A3505" t="str">
        <f>"200373E0100"</f>
        <v>200373E0100</v>
      </c>
      <c r="B3505" t="str">
        <f>"200373E01002"</f>
        <v>200373E01002</v>
      </c>
      <c r="C3505" t="str">
        <f t="shared" si="183"/>
        <v>20</v>
      </c>
      <c r="D3505" t="s">
        <v>67</v>
      </c>
      <c r="E3505" t="str">
        <f t="shared" si="185"/>
        <v>016</v>
      </c>
      <c r="F3505" t="s">
        <v>3578</v>
      </c>
      <c r="G3505" t="str">
        <f>"0373"</f>
        <v>0373</v>
      </c>
      <c r="H3505" t="str">
        <f>"0001"</f>
        <v>0001</v>
      </c>
      <c r="I3505" t="s">
        <v>109</v>
      </c>
      <c r="J3505">
        <v>0</v>
      </c>
      <c r="K3505">
        <v>1</v>
      </c>
      <c r="L3505">
        <v>2</v>
      </c>
      <c r="M3505">
        <v>189</v>
      </c>
      <c r="N3505">
        <v>265</v>
      </c>
      <c r="O3505">
        <v>4</v>
      </c>
      <c r="P3505">
        <v>266</v>
      </c>
      <c r="Q3505">
        <v>31</v>
      </c>
      <c r="R3505">
        <v>58</v>
      </c>
      <c r="S3505">
        <v>6</v>
      </c>
      <c r="T3505">
        <v>37</v>
      </c>
      <c r="U3505">
        <v>54</v>
      </c>
      <c r="V3505">
        <v>3</v>
      </c>
      <c r="W3505">
        <v>4</v>
      </c>
      <c r="X3505">
        <v>62</v>
      </c>
      <c r="Y3505">
        <v>1</v>
      </c>
      <c r="Z3505">
        <v>1</v>
      </c>
      <c r="AA3505">
        <v>2</v>
      </c>
      <c r="AB3505">
        <v>0</v>
      </c>
      <c r="AD3505">
        <v>0</v>
      </c>
      <c r="AE3505">
        <v>0</v>
      </c>
      <c r="AF3505">
        <v>0</v>
      </c>
      <c r="AG3505">
        <v>0</v>
      </c>
      <c r="AI3505">
        <v>0</v>
      </c>
      <c r="AJ3505">
        <v>7</v>
      </c>
      <c r="AK3505">
        <v>266</v>
      </c>
      <c r="AL3505">
        <v>266</v>
      </c>
      <c r="AM3505">
        <v>412</v>
      </c>
      <c r="AN3505">
        <v>44</v>
      </c>
      <c r="AP3505">
        <v>1</v>
      </c>
      <c r="AR3505" t="s">
        <v>3602</v>
      </c>
      <c r="AS3505" s="1">
        <v>44354.106944444444</v>
      </c>
      <c r="AT3505" s="1">
        <v>44354.111620370371</v>
      </c>
      <c r="AU3505" s="1">
        <v>44354.112187500003</v>
      </c>
      <c r="AV3505" t="s">
        <v>71</v>
      </c>
      <c r="AW3505" t="s">
        <v>72</v>
      </c>
      <c r="AX3505" t="s">
        <v>73</v>
      </c>
    </row>
    <row r="3506" spans="1:50" x14ac:dyDescent="0.3">
      <c r="A3506" t="str">
        <f>"200617B0000"</f>
        <v>200617B0000</v>
      </c>
      <c r="B3506" t="str">
        <f>"200617B00002"</f>
        <v>200617B00002</v>
      </c>
      <c r="C3506" t="str">
        <f t="shared" si="183"/>
        <v>20</v>
      </c>
      <c r="D3506" t="s">
        <v>67</v>
      </c>
      <c r="E3506" t="str">
        <f t="shared" si="185"/>
        <v>016</v>
      </c>
      <c r="F3506" t="s">
        <v>3578</v>
      </c>
      <c r="G3506" t="str">
        <f>"0617"</f>
        <v>0617</v>
      </c>
      <c r="H3506" t="str">
        <f>"0000"</f>
        <v>0000</v>
      </c>
      <c r="I3506" t="s">
        <v>69</v>
      </c>
      <c r="J3506">
        <v>0</v>
      </c>
      <c r="K3506">
        <v>1</v>
      </c>
      <c r="L3506">
        <v>2</v>
      </c>
      <c r="M3506">
        <v>280</v>
      </c>
      <c r="N3506">
        <v>465</v>
      </c>
      <c r="O3506">
        <v>1</v>
      </c>
      <c r="P3506">
        <v>465</v>
      </c>
      <c r="Q3506">
        <v>46</v>
      </c>
      <c r="R3506">
        <v>30</v>
      </c>
      <c r="S3506">
        <v>8</v>
      </c>
      <c r="T3506">
        <v>126</v>
      </c>
      <c r="U3506">
        <v>57</v>
      </c>
      <c r="V3506">
        <v>6</v>
      </c>
      <c r="W3506">
        <v>0</v>
      </c>
      <c r="X3506">
        <v>138</v>
      </c>
      <c r="Y3506">
        <v>1</v>
      </c>
      <c r="Z3506">
        <v>2</v>
      </c>
      <c r="AA3506">
        <v>2</v>
      </c>
      <c r="AB3506">
        <v>35</v>
      </c>
      <c r="AD3506" t="s">
        <v>77</v>
      </c>
      <c r="AE3506" t="s">
        <v>77</v>
      </c>
      <c r="AF3506" t="s">
        <v>77</v>
      </c>
      <c r="AG3506" t="s">
        <v>77</v>
      </c>
      <c r="AI3506" t="s">
        <v>77</v>
      </c>
      <c r="AJ3506">
        <v>14</v>
      </c>
      <c r="AK3506">
        <v>465</v>
      </c>
      <c r="AL3506">
        <v>465</v>
      </c>
      <c r="AM3506">
        <v>701</v>
      </c>
      <c r="AN3506">
        <v>44</v>
      </c>
      <c r="AO3506" t="s">
        <v>78</v>
      </c>
      <c r="AP3506">
        <v>1</v>
      </c>
      <c r="AR3506" t="s">
        <v>3603</v>
      </c>
      <c r="AS3506" s="1">
        <v>44353.995000000003</v>
      </c>
      <c r="AT3506" s="1">
        <v>44353.999398148146</v>
      </c>
      <c r="AU3506" s="1">
        <v>44354.000277777777</v>
      </c>
      <c r="AV3506" t="s">
        <v>269</v>
      </c>
      <c r="AW3506" t="s">
        <v>270</v>
      </c>
      <c r="AX3506" t="s">
        <v>73</v>
      </c>
    </row>
    <row r="3507" spans="1:50" x14ac:dyDescent="0.3">
      <c r="A3507" t="str">
        <f>"200617C0100"</f>
        <v>200617C0100</v>
      </c>
      <c r="B3507" t="str">
        <f>"200617C01002"</f>
        <v>200617C01002</v>
      </c>
      <c r="C3507" t="str">
        <f t="shared" si="183"/>
        <v>20</v>
      </c>
      <c r="D3507" t="s">
        <v>67</v>
      </c>
      <c r="E3507" t="str">
        <f t="shared" si="185"/>
        <v>016</v>
      </c>
      <c r="F3507" t="s">
        <v>3578</v>
      </c>
      <c r="G3507" t="str">
        <f>"0617"</f>
        <v>0617</v>
      </c>
      <c r="H3507" t="str">
        <f>"0001"</f>
        <v>0001</v>
      </c>
      <c r="I3507" t="s">
        <v>75</v>
      </c>
      <c r="J3507">
        <v>0</v>
      </c>
      <c r="K3507">
        <v>1</v>
      </c>
      <c r="L3507">
        <v>2</v>
      </c>
      <c r="M3507">
        <v>320</v>
      </c>
      <c r="N3507">
        <v>425</v>
      </c>
      <c r="O3507">
        <v>1</v>
      </c>
      <c r="P3507" t="s">
        <v>80</v>
      </c>
      <c r="Q3507">
        <v>31</v>
      </c>
      <c r="R3507">
        <v>37</v>
      </c>
      <c r="S3507">
        <v>9</v>
      </c>
      <c r="T3507">
        <v>115</v>
      </c>
      <c r="U3507">
        <v>37</v>
      </c>
      <c r="V3507">
        <v>7</v>
      </c>
      <c r="W3507">
        <v>2</v>
      </c>
      <c r="X3507">
        <v>135</v>
      </c>
      <c r="Y3507">
        <v>4</v>
      </c>
      <c r="Z3507">
        <v>2</v>
      </c>
      <c r="AA3507">
        <v>3</v>
      </c>
      <c r="AB3507">
        <v>22</v>
      </c>
      <c r="AD3507" t="s">
        <v>77</v>
      </c>
      <c r="AE3507" t="s">
        <v>77</v>
      </c>
      <c r="AF3507" t="s">
        <v>77</v>
      </c>
      <c r="AG3507" t="s">
        <v>77</v>
      </c>
      <c r="AI3507" t="s">
        <v>77</v>
      </c>
      <c r="AJ3507">
        <v>21</v>
      </c>
      <c r="AK3507" t="s">
        <v>77</v>
      </c>
      <c r="AL3507">
        <v>425</v>
      </c>
      <c r="AM3507">
        <v>701</v>
      </c>
      <c r="AN3507">
        <v>44</v>
      </c>
      <c r="AO3507" t="s">
        <v>78</v>
      </c>
      <c r="AP3507">
        <v>1</v>
      </c>
      <c r="AR3507" t="s">
        <v>3604</v>
      </c>
      <c r="AS3507" s="1">
        <v>44353.934074074074</v>
      </c>
      <c r="AT3507" s="1">
        <v>44353.936064814814</v>
      </c>
      <c r="AU3507" s="1">
        <v>44353.937152777777</v>
      </c>
      <c r="AV3507" t="s">
        <v>269</v>
      </c>
      <c r="AW3507" t="s">
        <v>270</v>
      </c>
      <c r="AX3507" t="s">
        <v>73</v>
      </c>
    </row>
    <row r="3508" spans="1:50" x14ac:dyDescent="0.3">
      <c r="A3508" t="str">
        <f>"200617E0100"</f>
        <v>200617E0100</v>
      </c>
      <c r="B3508" t="str">
        <f>"200617E01002"</f>
        <v>200617E01002</v>
      </c>
      <c r="C3508" t="str">
        <f t="shared" si="183"/>
        <v>20</v>
      </c>
      <c r="D3508" t="s">
        <v>67</v>
      </c>
      <c r="E3508" t="str">
        <f t="shared" si="185"/>
        <v>016</v>
      </c>
      <c r="F3508" t="s">
        <v>3578</v>
      </c>
      <c r="G3508" t="str">
        <f>"0617"</f>
        <v>0617</v>
      </c>
      <c r="H3508" t="str">
        <f>"0001"</f>
        <v>0001</v>
      </c>
      <c r="I3508" t="s">
        <v>109</v>
      </c>
      <c r="J3508">
        <v>0</v>
      </c>
      <c r="K3508">
        <v>1</v>
      </c>
      <c r="L3508">
        <v>2</v>
      </c>
      <c r="M3508">
        <v>78</v>
      </c>
      <c r="N3508">
        <v>103</v>
      </c>
      <c r="O3508">
        <v>5</v>
      </c>
      <c r="P3508" t="s">
        <v>80</v>
      </c>
      <c r="Q3508">
        <v>12</v>
      </c>
      <c r="R3508">
        <v>13</v>
      </c>
      <c r="S3508">
        <v>2</v>
      </c>
      <c r="T3508">
        <v>35</v>
      </c>
      <c r="U3508">
        <v>2</v>
      </c>
      <c r="V3508">
        <v>0</v>
      </c>
      <c r="W3508">
        <v>0</v>
      </c>
      <c r="X3508">
        <v>31</v>
      </c>
      <c r="Y3508">
        <v>0</v>
      </c>
      <c r="Z3508">
        <v>0</v>
      </c>
      <c r="AA3508">
        <v>2</v>
      </c>
      <c r="AB3508">
        <v>5</v>
      </c>
      <c r="AD3508">
        <v>0</v>
      </c>
      <c r="AE3508">
        <v>0</v>
      </c>
      <c r="AF3508">
        <v>0</v>
      </c>
      <c r="AG3508">
        <v>0</v>
      </c>
      <c r="AI3508">
        <v>0</v>
      </c>
      <c r="AJ3508">
        <v>1</v>
      </c>
      <c r="AK3508">
        <v>103</v>
      </c>
      <c r="AL3508">
        <v>103</v>
      </c>
      <c r="AM3508">
        <v>137</v>
      </c>
      <c r="AN3508">
        <v>44</v>
      </c>
      <c r="AP3508">
        <v>1</v>
      </c>
      <c r="AR3508" t="s">
        <v>3605</v>
      </c>
      <c r="AS3508" s="1">
        <v>44354.067361111112</v>
      </c>
      <c r="AT3508" s="1">
        <v>44354.073530092595</v>
      </c>
      <c r="AU3508" s="1">
        <v>44354.074143518519</v>
      </c>
      <c r="AV3508" t="s">
        <v>71</v>
      </c>
      <c r="AW3508" t="s">
        <v>72</v>
      </c>
      <c r="AX3508" t="s">
        <v>73</v>
      </c>
    </row>
    <row r="3509" spans="1:50" x14ac:dyDescent="0.3">
      <c r="A3509" t="str">
        <f>"200617S0100"</f>
        <v>200617S0100</v>
      </c>
      <c r="B3509" t="str">
        <f>"200617S01002EMR"</f>
        <v>200617S01002EMR</v>
      </c>
      <c r="C3509" t="str">
        <f t="shared" si="183"/>
        <v>20</v>
      </c>
      <c r="D3509" t="s">
        <v>67</v>
      </c>
      <c r="E3509" t="str">
        <f t="shared" si="185"/>
        <v>016</v>
      </c>
      <c r="F3509" t="s">
        <v>3578</v>
      </c>
      <c r="G3509" t="str">
        <f>"0617"</f>
        <v>0617</v>
      </c>
      <c r="H3509" t="str">
        <f>"0001"</f>
        <v>0001</v>
      </c>
      <c r="I3509" t="s">
        <v>85</v>
      </c>
      <c r="J3509">
        <v>0</v>
      </c>
      <c r="K3509">
        <v>1</v>
      </c>
      <c r="L3509" t="s">
        <v>86</v>
      </c>
      <c r="M3509">
        <v>728</v>
      </c>
      <c r="N3509">
        <v>42</v>
      </c>
      <c r="O3509">
        <v>0</v>
      </c>
      <c r="P3509">
        <v>42</v>
      </c>
      <c r="Q3509">
        <v>4</v>
      </c>
      <c r="R3509">
        <v>4</v>
      </c>
      <c r="S3509">
        <v>2</v>
      </c>
      <c r="T3509">
        <v>9</v>
      </c>
      <c r="U3509">
        <v>6</v>
      </c>
      <c r="V3509">
        <v>1</v>
      </c>
      <c r="W3509" t="s">
        <v>77</v>
      </c>
      <c r="X3509">
        <v>14</v>
      </c>
      <c r="Y3509" t="s">
        <v>77</v>
      </c>
      <c r="Z3509" t="s">
        <v>77</v>
      </c>
      <c r="AA3509" t="s">
        <v>77</v>
      </c>
      <c r="AB3509">
        <v>2</v>
      </c>
      <c r="AD3509" t="s">
        <v>77</v>
      </c>
      <c r="AE3509" t="s">
        <v>77</v>
      </c>
      <c r="AF3509" t="s">
        <v>77</v>
      </c>
      <c r="AG3509" t="s">
        <v>77</v>
      </c>
      <c r="AI3509" t="s">
        <v>77</v>
      </c>
      <c r="AJ3509">
        <v>0</v>
      </c>
      <c r="AK3509">
        <v>42</v>
      </c>
      <c r="AL3509">
        <v>42</v>
      </c>
      <c r="AM3509">
        <v>0</v>
      </c>
      <c r="AN3509">
        <v>44</v>
      </c>
      <c r="AO3509" t="s">
        <v>78</v>
      </c>
      <c r="AP3509">
        <v>1</v>
      </c>
      <c r="AR3509" t="s">
        <v>3606</v>
      </c>
      <c r="AS3509" s="1">
        <v>44354.276388888888</v>
      </c>
      <c r="AT3509" s="1">
        <v>44354.281840277778</v>
      </c>
      <c r="AU3509" s="1">
        <v>44354.282488425924</v>
      </c>
      <c r="AV3509" t="s">
        <v>71</v>
      </c>
      <c r="AW3509" t="s">
        <v>72</v>
      </c>
      <c r="AX3509" t="s">
        <v>73</v>
      </c>
    </row>
    <row r="3510" spans="1:50" x14ac:dyDescent="0.3">
      <c r="A3510" t="str">
        <f>"200618B0000"</f>
        <v>200618B0000</v>
      </c>
      <c r="B3510" t="str">
        <f>"200618B00002"</f>
        <v>200618B00002</v>
      </c>
      <c r="C3510" t="str">
        <f t="shared" si="183"/>
        <v>20</v>
      </c>
      <c r="D3510" t="s">
        <v>67</v>
      </c>
      <c r="E3510" t="str">
        <f t="shared" si="185"/>
        <v>016</v>
      </c>
      <c r="F3510" t="s">
        <v>3578</v>
      </c>
      <c r="G3510" t="str">
        <f>"0618"</f>
        <v>0618</v>
      </c>
      <c r="H3510" t="str">
        <f>"0000"</f>
        <v>0000</v>
      </c>
      <c r="I3510" t="s">
        <v>69</v>
      </c>
      <c r="J3510">
        <v>0</v>
      </c>
      <c r="K3510">
        <v>1</v>
      </c>
      <c r="L3510">
        <v>2</v>
      </c>
      <c r="M3510">
        <v>277</v>
      </c>
      <c r="N3510">
        <v>379</v>
      </c>
      <c r="O3510">
        <v>0</v>
      </c>
      <c r="P3510">
        <v>379</v>
      </c>
      <c r="Q3510">
        <v>22</v>
      </c>
      <c r="R3510">
        <v>17</v>
      </c>
      <c r="S3510">
        <v>9</v>
      </c>
      <c r="T3510">
        <v>108</v>
      </c>
      <c r="U3510">
        <v>42</v>
      </c>
      <c r="V3510">
        <v>13</v>
      </c>
      <c r="W3510">
        <v>3</v>
      </c>
      <c r="X3510">
        <v>108</v>
      </c>
      <c r="Y3510">
        <v>1</v>
      </c>
      <c r="Z3510">
        <v>4</v>
      </c>
      <c r="AA3510">
        <v>2</v>
      </c>
      <c r="AB3510">
        <v>27</v>
      </c>
      <c r="AD3510">
        <v>5</v>
      </c>
      <c r="AE3510">
        <v>0</v>
      </c>
      <c r="AF3510">
        <v>0</v>
      </c>
      <c r="AG3510">
        <v>0</v>
      </c>
      <c r="AI3510">
        <v>0</v>
      </c>
      <c r="AJ3510">
        <v>18</v>
      </c>
      <c r="AK3510">
        <v>379</v>
      </c>
      <c r="AL3510">
        <v>379</v>
      </c>
      <c r="AM3510">
        <v>613</v>
      </c>
      <c r="AN3510">
        <v>44</v>
      </c>
      <c r="AP3510">
        <v>1</v>
      </c>
      <c r="AR3510" t="s">
        <v>3607</v>
      </c>
      <c r="AS3510" s="1">
        <v>44353.970960648148</v>
      </c>
      <c r="AT3510" s="1">
        <v>44353.97314814815</v>
      </c>
      <c r="AU3510" s="1">
        <v>44353.974004629628</v>
      </c>
      <c r="AV3510" t="s">
        <v>269</v>
      </c>
      <c r="AW3510" t="s">
        <v>270</v>
      </c>
      <c r="AX3510" t="s">
        <v>73</v>
      </c>
    </row>
    <row r="3511" spans="1:50" x14ac:dyDescent="0.3">
      <c r="A3511" t="str">
        <f>"200618C0100"</f>
        <v>200618C0100</v>
      </c>
      <c r="B3511" t="str">
        <f>"200618C01002"</f>
        <v>200618C01002</v>
      </c>
      <c r="C3511" t="str">
        <f t="shared" si="183"/>
        <v>20</v>
      </c>
      <c r="D3511" t="s">
        <v>67</v>
      </c>
      <c r="E3511" t="str">
        <f t="shared" si="185"/>
        <v>016</v>
      </c>
      <c r="F3511" t="s">
        <v>3578</v>
      </c>
      <c r="G3511" t="str">
        <f>"0618"</f>
        <v>0618</v>
      </c>
      <c r="H3511" t="str">
        <f>"0001"</f>
        <v>0001</v>
      </c>
      <c r="I3511" t="s">
        <v>75</v>
      </c>
      <c r="J3511">
        <v>0</v>
      </c>
      <c r="K3511">
        <v>1</v>
      </c>
      <c r="L3511">
        <v>2</v>
      </c>
      <c r="M3511">
        <v>297</v>
      </c>
      <c r="N3511">
        <v>359</v>
      </c>
      <c r="O3511">
        <v>1</v>
      </c>
      <c r="P3511">
        <v>359</v>
      </c>
      <c r="Q3511">
        <v>22</v>
      </c>
      <c r="R3511">
        <v>23</v>
      </c>
      <c r="S3511">
        <v>7</v>
      </c>
      <c r="T3511">
        <v>78</v>
      </c>
      <c r="U3511">
        <v>39</v>
      </c>
      <c r="V3511">
        <v>10</v>
      </c>
      <c r="W3511">
        <v>1</v>
      </c>
      <c r="X3511">
        <v>125</v>
      </c>
      <c r="Y3511">
        <v>1</v>
      </c>
      <c r="Z3511">
        <v>2</v>
      </c>
      <c r="AA3511">
        <v>5</v>
      </c>
      <c r="AB3511">
        <v>33</v>
      </c>
      <c r="AD3511">
        <v>0</v>
      </c>
      <c r="AE3511">
        <v>0</v>
      </c>
      <c r="AF3511">
        <v>0</v>
      </c>
      <c r="AG3511">
        <v>0</v>
      </c>
      <c r="AI3511" t="s">
        <v>77</v>
      </c>
      <c r="AJ3511">
        <v>13</v>
      </c>
      <c r="AK3511">
        <v>359</v>
      </c>
      <c r="AL3511">
        <v>359</v>
      </c>
      <c r="AM3511">
        <v>613</v>
      </c>
      <c r="AN3511">
        <v>44</v>
      </c>
      <c r="AO3511" t="s">
        <v>78</v>
      </c>
      <c r="AP3511">
        <v>1</v>
      </c>
      <c r="AR3511" t="s">
        <v>3608</v>
      </c>
      <c r="AS3511" s="1">
        <v>44353.956712962965</v>
      </c>
      <c r="AT3511" s="1">
        <v>44353.95921296296</v>
      </c>
      <c r="AU3511" s="1">
        <v>44353.959837962961</v>
      </c>
      <c r="AV3511" t="s">
        <v>269</v>
      </c>
      <c r="AW3511" t="s">
        <v>270</v>
      </c>
      <c r="AX3511" t="s">
        <v>73</v>
      </c>
    </row>
    <row r="3512" spans="1:50" x14ac:dyDescent="0.3">
      <c r="A3512" t="str">
        <f>"200618C0200"</f>
        <v>200618C0200</v>
      </c>
      <c r="B3512" t="str">
        <f>"200618C02002"</f>
        <v>200618C02002</v>
      </c>
      <c r="C3512" t="str">
        <f t="shared" si="183"/>
        <v>20</v>
      </c>
      <c r="D3512" t="s">
        <v>67</v>
      </c>
      <c r="E3512" t="str">
        <f t="shared" si="185"/>
        <v>016</v>
      </c>
      <c r="F3512" t="s">
        <v>3578</v>
      </c>
      <c r="G3512" t="str">
        <f>"0618"</f>
        <v>0618</v>
      </c>
      <c r="H3512" t="str">
        <f>"0002"</f>
        <v>0002</v>
      </c>
      <c r="I3512" t="s">
        <v>75</v>
      </c>
      <c r="J3512">
        <v>0</v>
      </c>
      <c r="K3512">
        <v>1</v>
      </c>
      <c r="L3512">
        <v>2</v>
      </c>
      <c r="M3512">
        <v>286</v>
      </c>
      <c r="N3512">
        <v>371</v>
      </c>
      <c r="O3512">
        <v>4</v>
      </c>
      <c r="P3512">
        <v>372</v>
      </c>
      <c r="Q3512">
        <v>24</v>
      </c>
      <c r="R3512">
        <v>17</v>
      </c>
      <c r="S3512">
        <v>7</v>
      </c>
      <c r="T3512">
        <v>90</v>
      </c>
      <c r="U3512">
        <v>39</v>
      </c>
      <c r="V3512">
        <v>8</v>
      </c>
      <c r="W3512">
        <v>6</v>
      </c>
      <c r="X3512">
        <v>101</v>
      </c>
      <c r="Y3512">
        <v>5</v>
      </c>
      <c r="Z3512">
        <v>6</v>
      </c>
      <c r="AA3512">
        <v>3</v>
      </c>
      <c r="AB3512">
        <v>43</v>
      </c>
      <c r="AD3512">
        <v>0</v>
      </c>
      <c r="AE3512">
        <v>1</v>
      </c>
      <c r="AF3512">
        <v>0</v>
      </c>
      <c r="AG3512">
        <v>0</v>
      </c>
      <c r="AI3512">
        <v>1</v>
      </c>
      <c r="AJ3512">
        <v>21</v>
      </c>
      <c r="AK3512">
        <v>372</v>
      </c>
      <c r="AL3512">
        <v>372</v>
      </c>
      <c r="AM3512">
        <v>613</v>
      </c>
      <c r="AN3512">
        <v>44</v>
      </c>
      <c r="AP3512">
        <v>1</v>
      </c>
      <c r="AR3512" t="s">
        <v>3609</v>
      </c>
      <c r="AS3512" s="1">
        <v>44354.039583333331</v>
      </c>
      <c r="AT3512" s="1">
        <v>44354.048831018517</v>
      </c>
      <c r="AU3512" s="1">
        <v>44354.049907407411</v>
      </c>
      <c r="AV3512" t="s">
        <v>71</v>
      </c>
      <c r="AW3512" t="s">
        <v>72</v>
      </c>
      <c r="AX3512" t="s">
        <v>73</v>
      </c>
    </row>
    <row r="3513" spans="1:50" x14ac:dyDescent="0.3">
      <c r="A3513" t="str">
        <f>"200619B0000"</f>
        <v>200619B0000</v>
      </c>
      <c r="B3513" t="str">
        <f>"200619B00002"</f>
        <v>200619B00002</v>
      </c>
      <c r="C3513" t="str">
        <f t="shared" si="183"/>
        <v>20</v>
      </c>
      <c r="D3513" t="s">
        <v>67</v>
      </c>
      <c r="E3513" t="str">
        <f t="shared" si="185"/>
        <v>016</v>
      </c>
      <c r="F3513" t="s">
        <v>3578</v>
      </c>
      <c r="G3513" t="str">
        <f>"0619"</f>
        <v>0619</v>
      </c>
      <c r="H3513" t="str">
        <f>"0000"</f>
        <v>0000</v>
      </c>
      <c r="I3513" t="s">
        <v>69</v>
      </c>
      <c r="J3513">
        <v>0</v>
      </c>
      <c r="K3513">
        <v>1</v>
      </c>
      <c r="L3513">
        <v>2</v>
      </c>
      <c r="M3513" t="s">
        <v>99</v>
      </c>
      <c r="N3513">
        <v>436</v>
      </c>
      <c r="O3513">
        <v>1</v>
      </c>
      <c r="P3513" t="s">
        <v>80</v>
      </c>
      <c r="Q3513">
        <v>37</v>
      </c>
      <c r="R3513">
        <v>24</v>
      </c>
      <c r="S3513">
        <v>6</v>
      </c>
      <c r="T3513">
        <v>127</v>
      </c>
      <c r="U3513">
        <v>44</v>
      </c>
      <c r="V3513">
        <v>14</v>
      </c>
      <c r="W3513">
        <v>4</v>
      </c>
      <c r="X3513">
        <v>117</v>
      </c>
      <c r="Y3513">
        <v>2</v>
      </c>
      <c r="Z3513">
        <v>3</v>
      </c>
      <c r="AA3513">
        <v>2</v>
      </c>
      <c r="AB3513">
        <v>31</v>
      </c>
      <c r="AD3513">
        <v>0</v>
      </c>
      <c r="AE3513">
        <v>0</v>
      </c>
      <c r="AF3513">
        <v>0</v>
      </c>
      <c r="AG3513">
        <v>0</v>
      </c>
      <c r="AI3513">
        <v>1</v>
      </c>
      <c r="AJ3513">
        <v>23</v>
      </c>
      <c r="AK3513">
        <v>435</v>
      </c>
      <c r="AL3513">
        <v>435</v>
      </c>
      <c r="AM3513">
        <v>747</v>
      </c>
      <c r="AN3513">
        <v>44</v>
      </c>
      <c r="AP3513">
        <v>1</v>
      </c>
      <c r="AR3513" t="s">
        <v>3610</v>
      </c>
      <c r="AS3513" s="1">
        <v>44353.884456018517</v>
      </c>
      <c r="AT3513" s="1">
        <v>44353.886354166665</v>
      </c>
      <c r="AU3513" s="1">
        <v>44353.887650462966</v>
      </c>
      <c r="AV3513" t="s">
        <v>269</v>
      </c>
      <c r="AW3513" t="s">
        <v>270</v>
      </c>
      <c r="AX3513" t="s">
        <v>73</v>
      </c>
    </row>
    <row r="3514" spans="1:50" x14ac:dyDescent="0.3">
      <c r="A3514" t="str">
        <f>"200619C0100"</f>
        <v>200619C0100</v>
      </c>
      <c r="B3514" t="str">
        <f>"200619C01002"</f>
        <v>200619C01002</v>
      </c>
      <c r="C3514" t="str">
        <f t="shared" si="183"/>
        <v>20</v>
      </c>
      <c r="D3514" t="s">
        <v>67</v>
      </c>
      <c r="E3514" t="str">
        <f t="shared" si="185"/>
        <v>016</v>
      </c>
      <c r="F3514" t="s">
        <v>3578</v>
      </c>
      <c r="G3514" t="str">
        <f>"0619"</f>
        <v>0619</v>
      </c>
      <c r="H3514" t="str">
        <f>"0001"</f>
        <v>0001</v>
      </c>
      <c r="I3514" t="s">
        <v>75</v>
      </c>
      <c r="J3514">
        <v>0</v>
      </c>
      <c r="K3514">
        <v>1</v>
      </c>
      <c r="L3514">
        <v>2</v>
      </c>
      <c r="M3514">
        <v>319</v>
      </c>
      <c r="N3514">
        <v>472</v>
      </c>
      <c r="O3514">
        <v>1</v>
      </c>
      <c r="P3514" t="s">
        <v>80</v>
      </c>
      <c r="Q3514">
        <v>47</v>
      </c>
      <c r="R3514">
        <v>30</v>
      </c>
      <c r="S3514">
        <v>7</v>
      </c>
      <c r="T3514">
        <v>126</v>
      </c>
      <c r="U3514">
        <v>39</v>
      </c>
      <c r="V3514">
        <v>6</v>
      </c>
      <c r="W3514">
        <v>3</v>
      </c>
      <c r="X3514">
        <v>151</v>
      </c>
      <c r="Y3514">
        <v>3</v>
      </c>
      <c r="Z3514">
        <v>5</v>
      </c>
      <c r="AA3514">
        <v>5</v>
      </c>
      <c r="AB3514">
        <v>37</v>
      </c>
      <c r="AD3514">
        <v>0</v>
      </c>
      <c r="AE3514">
        <v>0</v>
      </c>
      <c r="AF3514">
        <v>0</v>
      </c>
      <c r="AG3514">
        <v>0</v>
      </c>
      <c r="AI3514">
        <v>0</v>
      </c>
      <c r="AJ3514">
        <v>12</v>
      </c>
      <c r="AK3514">
        <v>472</v>
      </c>
      <c r="AL3514">
        <v>471</v>
      </c>
      <c r="AM3514">
        <v>747</v>
      </c>
      <c r="AN3514">
        <v>44</v>
      </c>
      <c r="AP3514">
        <v>1</v>
      </c>
      <c r="AR3514" t="s">
        <v>3611</v>
      </c>
      <c r="AS3514" s="1">
        <v>44353.900902777779</v>
      </c>
      <c r="AT3514" s="1">
        <v>44353.904895833337</v>
      </c>
      <c r="AU3514" s="1">
        <v>44353.90729166667</v>
      </c>
      <c r="AV3514" t="s">
        <v>269</v>
      </c>
      <c r="AW3514" t="s">
        <v>270</v>
      </c>
      <c r="AX3514" t="s">
        <v>73</v>
      </c>
    </row>
    <row r="3515" spans="1:50" x14ac:dyDescent="0.3">
      <c r="A3515" t="str">
        <f>"200619C0200"</f>
        <v>200619C0200</v>
      </c>
      <c r="B3515" t="str">
        <f>"200619C02002"</f>
        <v>200619C02002</v>
      </c>
      <c r="C3515" t="str">
        <f t="shared" si="183"/>
        <v>20</v>
      </c>
      <c r="D3515" t="s">
        <v>67</v>
      </c>
      <c r="E3515" t="str">
        <f t="shared" si="185"/>
        <v>016</v>
      </c>
      <c r="F3515" t="s">
        <v>3578</v>
      </c>
      <c r="G3515" t="str">
        <f>"0619"</f>
        <v>0619</v>
      </c>
      <c r="H3515" t="str">
        <f>"0002"</f>
        <v>0002</v>
      </c>
      <c r="I3515" t="s">
        <v>75</v>
      </c>
      <c r="J3515">
        <v>0</v>
      </c>
      <c r="K3515">
        <v>1</v>
      </c>
      <c r="L3515">
        <v>2</v>
      </c>
      <c r="M3515">
        <v>354</v>
      </c>
      <c r="N3515">
        <v>436</v>
      </c>
      <c r="O3515">
        <v>0</v>
      </c>
      <c r="P3515">
        <v>436</v>
      </c>
      <c r="Q3515">
        <v>33</v>
      </c>
      <c r="R3515">
        <v>30</v>
      </c>
      <c r="S3515">
        <v>11</v>
      </c>
      <c r="T3515">
        <v>142</v>
      </c>
      <c r="U3515">
        <v>31</v>
      </c>
      <c r="V3515">
        <v>10</v>
      </c>
      <c r="W3515">
        <v>0</v>
      </c>
      <c r="X3515">
        <v>127</v>
      </c>
      <c r="Y3515">
        <v>2</v>
      </c>
      <c r="Z3515">
        <v>2</v>
      </c>
      <c r="AA3515">
        <v>2</v>
      </c>
      <c r="AB3515">
        <v>27</v>
      </c>
      <c r="AD3515">
        <v>0</v>
      </c>
      <c r="AE3515">
        <v>0</v>
      </c>
      <c r="AF3515">
        <v>0</v>
      </c>
      <c r="AG3515">
        <v>0</v>
      </c>
      <c r="AI3515">
        <v>0</v>
      </c>
      <c r="AJ3515">
        <v>19</v>
      </c>
      <c r="AK3515">
        <v>436</v>
      </c>
      <c r="AL3515">
        <v>436</v>
      </c>
      <c r="AM3515">
        <v>746</v>
      </c>
      <c r="AN3515">
        <v>44</v>
      </c>
      <c r="AP3515">
        <v>1</v>
      </c>
      <c r="AR3515" t="s">
        <v>3612</v>
      </c>
      <c r="AS3515" s="1">
        <v>44353.896099537036</v>
      </c>
      <c r="AT3515" s="1">
        <v>44353.89738425926</v>
      </c>
      <c r="AU3515" s="1">
        <v>44353.898136574076</v>
      </c>
      <c r="AV3515" t="s">
        <v>269</v>
      </c>
      <c r="AW3515" t="s">
        <v>270</v>
      </c>
      <c r="AX3515" t="s">
        <v>73</v>
      </c>
    </row>
    <row r="3516" spans="1:50" x14ac:dyDescent="0.3">
      <c r="A3516" t="str">
        <f>"200620B0000"</f>
        <v>200620B0000</v>
      </c>
      <c r="B3516" t="str">
        <f>"200620B00002"</f>
        <v>200620B00002</v>
      </c>
      <c r="C3516" t="str">
        <f t="shared" si="183"/>
        <v>20</v>
      </c>
      <c r="D3516" t="s">
        <v>67</v>
      </c>
      <c r="E3516" t="str">
        <f t="shared" si="185"/>
        <v>016</v>
      </c>
      <c r="F3516" t="s">
        <v>3578</v>
      </c>
      <c r="G3516" t="str">
        <f>"0620"</f>
        <v>0620</v>
      </c>
      <c r="H3516" t="str">
        <f>"0000"</f>
        <v>0000</v>
      </c>
      <c r="I3516" t="s">
        <v>69</v>
      </c>
      <c r="J3516">
        <v>0</v>
      </c>
      <c r="K3516">
        <v>1</v>
      </c>
      <c r="L3516">
        <v>2</v>
      </c>
      <c r="M3516">
        <v>252</v>
      </c>
      <c r="N3516">
        <v>396</v>
      </c>
      <c r="O3516">
        <v>3</v>
      </c>
      <c r="P3516">
        <v>396</v>
      </c>
      <c r="Q3516">
        <v>44</v>
      </c>
      <c r="R3516">
        <v>17</v>
      </c>
      <c r="S3516">
        <v>10</v>
      </c>
      <c r="T3516">
        <v>97</v>
      </c>
      <c r="U3516">
        <v>53</v>
      </c>
      <c r="V3516">
        <v>4</v>
      </c>
      <c r="W3516">
        <v>1</v>
      </c>
      <c r="X3516">
        <v>108</v>
      </c>
      <c r="Y3516">
        <v>5</v>
      </c>
      <c r="Z3516">
        <v>4</v>
      </c>
      <c r="AA3516">
        <v>1</v>
      </c>
      <c r="AB3516">
        <v>25</v>
      </c>
      <c r="AD3516">
        <v>2</v>
      </c>
      <c r="AE3516">
        <v>0</v>
      </c>
      <c r="AF3516">
        <v>0</v>
      </c>
      <c r="AG3516">
        <v>0</v>
      </c>
      <c r="AI3516">
        <v>0</v>
      </c>
      <c r="AJ3516">
        <v>25</v>
      </c>
      <c r="AK3516">
        <v>396</v>
      </c>
      <c r="AL3516">
        <v>396</v>
      </c>
      <c r="AM3516">
        <v>605</v>
      </c>
      <c r="AN3516">
        <v>44</v>
      </c>
      <c r="AP3516">
        <v>1</v>
      </c>
      <c r="AR3516" t="s">
        <v>3613</v>
      </c>
      <c r="AS3516" s="1">
        <v>44353.90766203704</v>
      </c>
      <c r="AT3516" s="1">
        <v>44353.910937499997</v>
      </c>
      <c r="AU3516" s="1">
        <v>44353.912442129629</v>
      </c>
      <c r="AV3516" t="s">
        <v>269</v>
      </c>
      <c r="AW3516" t="s">
        <v>270</v>
      </c>
      <c r="AX3516" t="s">
        <v>73</v>
      </c>
    </row>
    <row r="3517" spans="1:50" x14ac:dyDescent="0.3">
      <c r="A3517" t="str">
        <f>"200620C0100"</f>
        <v>200620C0100</v>
      </c>
      <c r="B3517" t="str">
        <f>"200620C01002"</f>
        <v>200620C01002</v>
      </c>
      <c r="C3517" t="str">
        <f t="shared" si="183"/>
        <v>20</v>
      </c>
      <c r="D3517" t="s">
        <v>67</v>
      </c>
      <c r="E3517" t="str">
        <f t="shared" si="185"/>
        <v>016</v>
      </c>
      <c r="F3517" t="s">
        <v>3578</v>
      </c>
      <c r="G3517" t="str">
        <f>"0620"</f>
        <v>0620</v>
      </c>
      <c r="H3517" t="str">
        <f>"0001"</f>
        <v>0001</v>
      </c>
      <c r="I3517" t="s">
        <v>75</v>
      </c>
      <c r="J3517">
        <v>0</v>
      </c>
      <c r="K3517">
        <v>1</v>
      </c>
      <c r="L3517">
        <v>2</v>
      </c>
      <c r="M3517">
        <v>272</v>
      </c>
      <c r="N3517">
        <v>377</v>
      </c>
      <c r="O3517">
        <v>2</v>
      </c>
      <c r="P3517">
        <v>377</v>
      </c>
      <c r="Q3517">
        <v>38</v>
      </c>
      <c r="R3517">
        <v>20</v>
      </c>
      <c r="S3517">
        <v>3</v>
      </c>
      <c r="T3517">
        <v>114</v>
      </c>
      <c r="U3517">
        <v>37</v>
      </c>
      <c r="V3517">
        <v>11</v>
      </c>
      <c r="W3517">
        <v>3</v>
      </c>
      <c r="X3517">
        <v>108</v>
      </c>
      <c r="Y3517">
        <v>2</v>
      </c>
      <c r="Z3517">
        <v>5</v>
      </c>
      <c r="AA3517">
        <v>1</v>
      </c>
      <c r="AB3517">
        <v>24</v>
      </c>
      <c r="AD3517">
        <v>2</v>
      </c>
      <c r="AE3517">
        <v>0</v>
      </c>
      <c r="AF3517">
        <v>0</v>
      </c>
      <c r="AG3517">
        <v>0</v>
      </c>
      <c r="AI3517">
        <v>0</v>
      </c>
      <c r="AJ3517">
        <v>9</v>
      </c>
      <c r="AK3517">
        <v>377</v>
      </c>
      <c r="AL3517">
        <v>377</v>
      </c>
      <c r="AM3517">
        <v>605</v>
      </c>
      <c r="AN3517">
        <v>44</v>
      </c>
      <c r="AP3517">
        <v>1</v>
      </c>
      <c r="AR3517" t="s">
        <v>3614</v>
      </c>
      <c r="AS3517" s="1">
        <v>44353.940358796295</v>
      </c>
      <c r="AT3517" s="1">
        <v>44353.94253472222</v>
      </c>
      <c r="AU3517" s="1">
        <v>44353.943182870367</v>
      </c>
      <c r="AV3517" t="s">
        <v>269</v>
      </c>
      <c r="AW3517" t="s">
        <v>270</v>
      </c>
      <c r="AX3517" t="s">
        <v>73</v>
      </c>
    </row>
    <row r="3518" spans="1:50" x14ac:dyDescent="0.3">
      <c r="A3518" t="str">
        <f>"200620C0200"</f>
        <v>200620C0200</v>
      </c>
      <c r="B3518" t="str">
        <f>"200620C02002"</f>
        <v>200620C02002</v>
      </c>
      <c r="C3518" t="str">
        <f t="shared" si="183"/>
        <v>20</v>
      </c>
      <c r="D3518" t="s">
        <v>67</v>
      </c>
      <c r="E3518" t="str">
        <f t="shared" si="185"/>
        <v>016</v>
      </c>
      <c r="F3518" t="s">
        <v>3578</v>
      </c>
      <c r="G3518" t="str">
        <f>"0620"</f>
        <v>0620</v>
      </c>
      <c r="H3518" t="str">
        <f>"0002"</f>
        <v>0002</v>
      </c>
      <c r="I3518" t="s">
        <v>75</v>
      </c>
      <c r="J3518">
        <v>0</v>
      </c>
      <c r="K3518">
        <v>1</v>
      </c>
      <c r="L3518">
        <v>2</v>
      </c>
      <c r="M3518">
        <v>264</v>
      </c>
      <c r="N3518">
        <v>385</v>
      </c>
      <c r="O3518">
        <v>3</v>
      </c>
      <c r="P3518">
        <v>385</v>
      </c>
      <c r="Q3518">
        <v>51</v>
      </c>
      <c r="R3518">
        <v>21</v>
      </c>
      <c r="S3518">
        <v>6</v>
      </c>
      <c r="T3518">
        <v>123</v>
      </c>
      <c r="U3518">
        <v>31</v>
      </c>
      <c r="V3518">
        <v>8</v>
      </c>
      <c r="W3518">
        <v>0</v>
      </c>
      <c r="X3518">
        <v>94</v>
      </c>
      <c r="Y3518">
        <v>0</v>
      </c>
      <c r="Z3518">
        <v>3</v>
      </c>
      <c r="AA3518">
        <v>2</v>
      </c>
      <c r="AB3518">
        <v>31</v>
      </c>
      <c r="AD3518">
        <v>4</v>
      </c>
      <c r="AE3518">
        <v>0</v>
      </c>
      <c r="AF3518">
        <v>0</v>
      </c>
      <c r="AG3518">
        <v>0</v>
      </c>
      <c r="AI3518">
        <v>0</v>
      </c>
      <c r="AJ3518">
        <v>11</v>
      </c>
      <c r="AK3518">
        <v>385</v>
      </c>
      <c r="AL3518">
        <v>385</v>
      </c>
      <c r="AM3518">
        <v>605</v>
      </c>
      <c r="AN3518">
        <v>44</v>
      </c>
      <c r="AP3518">
        <v>1</v>
      </c>
      <c r="AR3518" t="s">
        <v>3615</v>
      </c>
      <c r="AS3518" s="1">
        <v>44353.943310185183</v>
      </c>
      <c r="AT3518" s="1">
        <v>44353.945219907408</v>
      </c>
      <c r="AU3518" s="1">
        <v>44353.945810185185</v>
      </c>
      <c r="AV3518" t="s">
        <v>269</v>
      </c>
      <c r="AW3518" t="s">
        <v>270</v>
      </c>
      <c r="AX3518" t="s">
        <v>73</v>
      </c>
    </row>
    <row r="3519" spans="1:50" x14ac:dyDescent="0.3">
      <c r="A3519" t="str">
        <f>"200620C0300"</f>
        <v>200620C0300</v>
      </c>
      <c r="B3519" t="str">
        <f>"200620C03002"</f>
        <v>200620C03002</v>
      </c>
      <c r="C3519" t="str">
        <f t="shared" si="183"/>
        <v>20</v>
      </c>
      <c r="D3519" t="s">
        <v>67</v>
      </c>
      <c r="E3519" t="str">
        <f t="shared" si="185"/>
        <v>016</v>
      </c>
      <c r="F3519" t="s">
        <v>3578</v>
      </c>
      <c r="G3519" t="str">
        <f>"0620"</f>
        <v>0620</v>
      </c>
      <c r="H3519" t="str">
        <f>"0003"</f>
        <v>0003</v>
      </c>
      <c r="I3519" t="s">
        <v>75</v>
      </c>
      <c r="J3519">
        <v>0</v>
      </c>
      <c r="K3519">
        <v>1</v>
      </c>
      <c r="L3519">
        <v>2</v>
      </c>
      <c r="M3519">
        <v>269</v>
      </c>
      <c r="N3519">
        <v>380</v>
      </c>
      <c r="O3519">
        <v>2</v>
      </c>
      <c r="P3519">
        <v>380</v>
      </c>
      <c r="Q3519">
        <v>37</v>
      </c>
      <c r="R3519">
        <v>18</v>
      </c>
      <c r="S3519">
        <v>4</v>
      </c>
      <c r="T3519">
        <v>119</v>
      </c>
      <c r="U3519">
        <v>39</v>
      </c>
      <c r="V3519">
        <v>5</v>
      </c>
      <c r="W3519">
        <v>1</v>
      </c>
      <c r="X3519">
        <v>92</v>
      </c>
      <c r="Y3519">
        <v>0</v>
      </c>
      <c r="Z3519">
        <v>3</v>
      </c>
      <c r="AA3519">
        <v>1</v>
      </c>
      <c r="AB3519">
        <v>43</v>
      </c>
      <c r="AD3519">
        <v>0</v>
      </c>
      <c r="AE3519">
        <v>0</v>
      </c>
      <c r="AF3519">
        <v>0</v>
      </c>
      <c r="AG3519">
        <v>0</v>
      </c>
      <c r="AI3519">
        <v>0</v>
      </c>
      <c r="AJ3519">
        <v>18</v>
      </c>
      <c r="AK3519">
        <v>380</v>
      </c>
      <c r="AL3519">
        <v>380</v>
      </c>
      <c r="AM3519">
        <v>605</v>
      </c>
      <c r="AN3519">
        <v>44</v>
      </c>
      <c r="AP3519">
        <v>1</v>
      </c>
      <c r="AR3519" t="s">
        <v>3616</v>
      </c>
      <c r="AS3519" s="1">
        <v>44353.949236111112</v>
      </c>
      <c r="AT3519" s="1">
        <v>44353.95108796296</v>
      </c>
      <c r="AU3519" s="1">
        <v>44353.951481481483</v>
      </c>
      <c r="AV3519" t="s">
        <v>269</v>
      </c>
      <c r="AW3519" t="s">
        <v>270</v>
      </c>
      <c r="AX3519" t="s">
        <v>73</v>
      </c>
    </row>
    <row r="3520" spans="1:50" x14ac:dyDescent="0.3">
      <c r="A3520" t="str">
        <f>"200620C0400"</f>
        <v>200620C0400</v>
      </c>
      <c r="B3520" t="str">
        <f>"200620C04002"</f>
        <v>200620C04002</v>
      </c>
      <c r="C3520" t="str">
        <f t="shared" si="183"/>
        <v>20</v>
      </c>
      <c r="D3520" t="s">
        <v>67</v>
      </c>
      <c r="E3520" t="str">
        <f t="shared" si="185"/>
        <v>016</v>
      </c>
      <c r="F3520" t="s">
        <v>3578</v>
      </c>
      <c r="G3520" t="str">
        <f>"0620"</f>
        <v>0620</v>
      </c>
      <c r="H3520" t="str">
        <f>"0004"</f>
        <v>0004</v>
      </c>
      <c r="I3520" t="s">
        <v>75</v>
      </c>
      <c r="J3520">
        <v>0</v>
      </c>
      <c r="K3520">
        <v>1</v>
      </c>
      <c r="L3520">
        <v>2</v>
      </c>
      <c r="M3520">
        <v>292</v>
      </c>
      <c r="N3520">
        <v>356</v>
      </c>
      <c r="O3520">
        <v>0</v>
      </c>
      <c r="P3520">
        <v>356</v>
      </c>
      <c r="Q3520">
        <v>40</v>
      </c>
      <c r="R3520">
        <v>19</v>
      </c>
      <c r="S3520">
        <v>7</v>
      </c>
      <c r="T3520">
        <v>106</v>
      </c>
      <c r="U3520">
        <v>33</v>
      </c>
      <c r="V3520">
        <v>10</v>
      </c>
      <c r="W3520">
        <v>1</v>
      </c>
      <c r="X3520">
        <v>96</v>
      </c>
      <c r="Y3520">
        <v>2</v>
      </c>
      <c r="Z3520">
        <v>0</v>
      </c>
      <c r="AA3520">
        <v>1</v>
      </c>
      <c r="AB3520">
        <v>21</v>
      </c>
      <c r="AD3520">
        <v>1</v>
      </c>
      <c r="AE3520">
        <v>1</v>
      </c>
      <c r="AF3520">
        <v>0</v>
      </c>
      <c r="AG3520">
        <v>0</v>
      </c>
      <c r="AI3520">
        <v>0</v>
      </c>
      <c r="AJ3520">
        <v>17</v>
      </c>
      <c r="AK3520">
        <v>356</v>
      </c>
      <c r="AL3520">
        <v>355</v>
      </c>
      <c r="AM3520">
        <v>604</v>
      </c>
      <c r="AN3520">
        <v>44</v>
      </c>
      <c r="AP3520">
        <v>1</v>
      </c>
      <c r="AR3520" t="s">
        <v>3617</v>
      </c>
      <c r="AS3520" s="1">
        <v>44353.91920138889</v>
      </c>
      <c r="AT3520" s="1">
        <v>44353.921886574077</v>
      </c>
      <c r="AU3520" s="1">
        <v>44353.922812500001</v>
      </c>
      <c r="AV3520" t="s">
        <v>269</v>
      </c>
      <c r="AW3520" t="s">
        <v>270</v>
      </c>
      <c r="AX3520" t="s">
        <v>73</v>
      </c>
    </row>
    <row r="3521" spans="1:50" x14ac:dyDescent="0.3">
      <c r="A3521" t="str">
        <f>"200621B0000"</f>
        <v>200621B0000</v>
      </c>
      <c r="B3521" t="str">
        <f>"200621B00002"</f>
        <v>200621B00002</v>
      </c>
      <c r="C3521" t="str">
        <f t="shared" si="183"/>
        <v>20</v>
      </c>
      <c r="D3521" t="s">
        <v>67</v>
      </c>
      <c r="E3521" t="str">
        <f t="shared" si="185"/>
        <v>016</v>
      </c>
      <c r="F3521" t="s">
        <v>3578</v>
      </c>
      <c r="G3521" t="str">
        <f>"0621"</f>
        <v>0621</v>
      </c>
      <c r="H3521" t="str">
        <f>"0000"</f>
        <v>0000</v>
      </c>
      <c r="I3521" t="s">
        <v>69</v>
      </c>
      <c r="J3521">
        <v>0</v>
      </c>
      <c r="K3521">
        <v>1</v>
      </c>
      <c r="L3521">
        <v>2</v>
      </c>
      <c r="M3521">
        <v>232</v>
      </c>
      <c r="N3521">
        <v>340</v>
      </c>
      <c r="O3521">
        <v>1</v>
      </c>
      <c r="P3521">
        <v>340</v>
      </c>
      <c r="Q3521">
        <v>25</v>
      </c>
      <c r="R3521">
        <v>15</v>
      </c>
      <c r="S3521">
        <v>6</v>
      </c>
      <c r="T3521">
        <v>84</v>
      </c>
      <c r="U3521">
        <v>23</v>
      </c>
      <c r="V3521">
        <v>7</v>
      </c>
      <c r="W3521">
        <v>2</v>
      </c>
      <c r="X3521">
        <v>121</v>
      </c>
      <c r="Y3521">
        <v>3</v>
      </c>
      <c r="Z3521">
        <v>3</v>
      </c>
      <c r="AA3521">
        <v>3</v>
      </c>
      <c r="AB3521">
        <v>32</v>
      </c>
      <c r="AD3521">
        <v>1</v>
      </c>
      <c r="AE3521" t="s">
        <v>77</v>
      </c>
      <c r="AF3521" t="s">
        <v>77</v>
      </c>
      <c r="AG3521" t="s">
        <v>77</v>
      </c>
      <c r="AI3521" t="s">
        <v>77</v>
      </c>
      <c r="AJ3521">
        <v>15</v>
      </c>
      <c r="AK3521">
        <v>340</v>
      </c>
      <c r="AL3521">
        <v>340</v>
      </c>
      <c r="AM3521">
        <v>528</v>
      </c>
      <c r="AN3521">
        <v>44</v>
      </c>
      <c r="AO3521" t="s">
        <v>78</v>
      </c>
      <c r="AP3521">
        <v>1</v>
      </c>
      <c r="AR3521" t="s">
        <v>3618</v>
      </c>
      <c r="AS3521" s="1">
        <v>44353.925393518519</v>
      </c>
      <c r="AT3521" s="1">
        <v>44353.927743055552</v>
      </c>
      <c r="AU3521" s="1">
        <v>44353.928703703707</v>
      </c>
      <c r="AV3521" t="s">
        <v>269</v>
      </c>
      <c r="AW3521" t="s">
        <v>270</v>
      </c>
      <c r="AX3521" t="s">
        <v>73</v>
      </c>
    </row>
    <row r="3522" spans="1:50" x14ac:dyDescent="0.3">
      <c r="A3522" t="str">
        <f>"200621C0100"</f>
        <v>200621C0100</v>
      </c>
      <c r="B3522" t="str">
        <f>"200621C01002"</f>
        <v>200621C01002</v>
      </c>
      <c r="C3522" t="str">
        <f t="shared" si="183"/>
        <v>20</v>
      </c>
      <c r="D3522" t="s">
        <v>67</v>
      </c>
      <c r="E3522" t="str">
        <f t="shared" si="185"/>
        <v>016</v>
      </c>
      <c r="F3522" t="s">
        <v>3578</v>
      </c>
      <c r="G3522" t="str">
        <f>"0621"</f>
        <v>0621</v>
      </c>
      <c r="H3522" t="str">
        <f>"0001"</f>
        <v>0001</v>
      </c>
      <c r="I3522" t="s">
        <v>75</v>
      </c>
      <c r="J3522">
        <v>0</v>
      </c>
      <c r="K3522">
        <v>1</v>
      </c>
      <c r="L3522">
        <v>2</v>
      </c>
      <c r="M3522">
        <v>240</v>
      </c>
      <c r="N3522">
        <v>329</v>
      </c>
      <c r="O3522">
        <v>2</v>
      </c>
      <c r="P3522">
        <v>329</v>
      </c>
      <c r="Q3522">
        <v>27</v>
      </c>
      <c r="R3522">
        <v>22</v>
      </c>
      <c r="S3522">
        <v>5</v>
      </c>
      <c r="T3522">
        <v>67</v>
      </c>
      <c r="U3522">
        <v>23</v>
      </c>
      <c r="V3522">
        <v>7</v>
      </c>
      <c r="W3522">
        <v>4</v>
      </c>
      <c r="X3522">
        <v>116</v>
      </c>
      <c r="Y3522">
        <v>0</v>
      </c>
      <c r="Z3522">
        <v>4</v>
      </c>
      <c r="AA3522">
        <v>4</v>
      </c>
      <c r="AB3522">
        <v>36</v>
      </c>
      <c r="AD3522">
        <v>1</v>
      </c>
      <c r="AE3522" t="s">
        <v>77</v>
      </c>
      <c r="AF3522" t="s">
        <v>77</v>
      </c>
      <c r="AG3522" t="s">
        <v>77</v>
      </c>
      <c r="AI3522" t="s">
        <v>77</v>
      </c>
      <c r="AJ3522">
        <v>13</v>
      </c>
      <c r="AK3522">
        <v>329</v>
      </c>
      <c r="AL3522">
        <v>329</v>
      </c>
      <c r="AM3522">
        <v>527</v>
      </c>
      <c r="AN3522">
        <v>44</v>
      </c>
      <c r="AO3522" t="s">
        <v>78</v>
      </c>
      <c r="AP3522">
        <v>1</v>
      </c>
      <c r="AR3522" t="s">
        <v>3619</v>
      </c>
      <c r="AS3522" s="1">
        <v>44353.879641203705</v>
      </c>
      <c r="AT3522" s="1">
        <v>44353.882187499999</v>
      </c>
      <c r="AU3522" s="1">
        <v>44353.883414351854</v>
      </c>
      <c r="AV3522" t="s">
        <v>269</v>
      </c>
      <c r="AW3522" t="s">
        <v>270</v>
      </c>
      <c r="AX3522" t="s">
        <v>73</v>
      </c>
    </row>
    <row r="3523" spans="1:50" x14ac:dyDescent="0.3">
      <c r="A3523" t="str">
        <f>"200621C0200"</f>
        <v>200621C0200</v>
      </c>
      <c r="B3523" t="str">
        <f>"200621C02002"</f>
        <v>200621C02002</v>
      </c>
      <c r="C3523" t="str">
        <f t="shared" si="183"/>
        <v>20</v>
      </c>
      <c r="D3523" t="s">
        <v>67</v>
      </c>
      <c r="E3523" t="str">
        <f t="shared" si="185"/>
        <v>016</v>
      </c>
      <c r="F3523" t="s">
        <v>3578</v>
      </c>
      <c r="G3523" t="str">
        <f>"0621"</f>
        <v>0621</v>
      </c>
      <c r="H3523" t="str">
        <f>"0002"</f>
        <v>0002</v>
      </c>
      <c r="I3523" t="s">
        <v>75</v>
      </c>
      <c r="J3523">
        <v>0</v>
      </c>
      <c r="K3523">
        <v>1</v>
      </c>
      <c r="L3523">
        <v>2</v>
      </c>
      <c r="M3523">
        <v>249</v>
      </c>
      <c r="N3523">
        <v>321</v>
      </c>
      <c r="O3523">
        <v>5</v>
      </c>
      <c r="P3523">
        <v>322</v>
      </c>
      <c r="Q3523">
        <v>23</v>
      </c>
      <c r="R3523">
        <v>24</v>
      </c>
      <c r="S3523">
        <v>6</v>
      </c>
      <c r="T3523">
        <v>81</v>
      </c>
      <c r="U3523">
        <v>22</v>
      </c>
      <c r="V3523">
        <v>4</v>
      </c>
      <c r="W3523">
        <v>3</v>
      </c>
      <c r="X3523">
        <v>110</v>
      </c>
      <c r="Y3523">
        <v>3</v>
      </c>
      <c r="Z3523">
        <v>8</v>
      </c>
      <c r="AA3523">
        <v>2</v>
      </c>
      <c r="AB3523">
        <v>20</v>
      </c>
      <c r="AD3523">
        <v>1</v>
      </c>
      <c r="AE3523">
        <v>0</v>
      </c>
      <c r="AF3523">
        <v>0</v>
      </c>
      <c r="AG3523">
        <v>0</v>
      </c>
      <c r="AI3523">
        <v>0</v>
      </c>
      <c r="AJ3523">
        <v>15</v>
      </c>
      <c r="AK3523">
        <v>322</v>
      </c>
      <c r="AL3523">
        <v>322</v>
      </c>
      <c r="AM3523">
        <v>527</v>
      </c>
      <c r="AN3523">
        <v>44</v>
      </c>
      <c r="AP3523">
        <v>1</v>
      </c>
      <c r="AR3523" t="s">
        <v>3620</v>
      </c>
      <c r="AS3523" s="1">
        <v>44353.890324074076</v>
      </c>
      <c r="AT3523" s="1">
        <v>44353.896817129629</v>
      </c>
      <c r="AU3523" s="1">
        <v>44353.897997685184</v>
      </c>
      <c r="AV3523" t="s">
        <v>269</v>
      </c>
      <c r="AW3523" t="s">
        <v>270</v>
      </c>
      <c r="AX3523" t="s">
        <v>73</v>
      </c>
    </row>
    <row r="3524" spans="1:50" x14ac:dyDescent="0.3">
      <c r="A3524" t="str">
        <f>"200622B0000"</f>
        <v>200622B0000</v>
      </c>
      <c r="B3524" t="str">
        <f>"200622B00002"</f>
        <v>200622B00002</v>
      </c>
      <c r="C3524" t="str">
        <f t="shared" si="183"/>
        <v>20</v>
      </c>
      <c r="D3524" t="s">
        <v>67</v>
      </c>
      <c r="E3524" t="str">
        <f t="shared" si="185"/>
        <v>016</v>
      </c>
      <c r="F3524" t="s">
        <v>3578</v>
      </c>
      <c r="G3524" t="str">
        <f>"0622"</f>
        <v>0622</v>
      </c>
      <c r="H3524" t="str">
        <f>"0000"</f>
        <v>0000</v>
      </c>
      <c r="I3524" t="s">
        <v>69</v>
      </c>
      <c r="J3524">
        <v>0</v>
      </c>
      <c r="K3524">
        <v>1</v>
      </c>
      <c r="L3524">
        <v>2</v>
      </c>
      <c r="M3524">
        <v>320</v>
      </c>
      <c r="N3524">
        <v>473</v>
      </c>
      <c r="O3524">
        <v>0</v>
      </c>
      <c r="P3524">
        <v>473</v>
      </c>
      <c r="Q3524">
        <v>48</v>
      </c>
      <c r="R3524">
        <v>23</v>
      </c>
      <c r="S3524">
        <v>9</v>
      </c>
      <c r="T3524">
        <v>112</v>
      </c>
      <c r="U3524">
        <v>42</v>
      </c>
      <c r="V3524">
        <v>7</v>
      </c>
      <c r="W3524">
        <v>3</v>
      </c>
      <c r="X3524">
        <v>153</v>
      </c>
      <c r="Y3524">
        <v>2</v>
      </c>
      <c r="Z3524">
        <v>10</v>
      </c>
      <c r="AA3524">
        <v>5</v>
      </c>
      <c r="AB3524">
        <v>37</v>
      </c>
      <c r="AD3524">
        <v>1</v>
      </c>
      <c r="AE3524">
        <v>0</v>
      </c>
      <c r="AF3524">
        <v>0</v>
      </c>
      <c r="AG3524">
        <v>0</v>
      </c>
      <c r="AI3524">
        <v>1</v>
      </c>
      <c r="AJ3524">
        <v>20</v>
      </c>
      <c r="AK3524">
        <v>473</v>
      </c>
      <c r="AL3524">
        <v>473</v>
      </c>
      <c r="AM3524">
        <v>749</v>
      </c>
      <c r="AN3524">
        <v>44</v>
      </c>
      <c r="AP3524">
        <v>1</v>
      </c>
      <c r="AR3524" t="s">
        <v>3621</v>
      </c>
      <c r="AS3524" s="1">
        <v>44353.994560185187</v>
      </c>
      <c r="AT3524" s="1">
        <v>44353.999363425923</v>
      </c>
      <c r="AU3524" s="1">
        <v>44353.999895833331</v>
      </c>
      <c r="AV3524" t="s">
        <v>269</v>
      </c>
      <c r="AW3524" t="s">
        <v>270</v>
      </c>
      <c r="AX3524" t="s">
        <v>73</v>
      </c>
    </row>
    <row r="3525" spans="1:50" x14ac:dyDescent="0.3">
      <c r="A3525" t="str">
        <f>"200622C0100"</f>
        <v>200622C0100</v>
      </c>
      <c r="B3525" t="str">
        <f>"200622C01002"</f>
        <v>200622C01002</v>
      </c>
      <c r="C3525" t="str">
        <f t="shared" si="183"/>
        <v>20</v>
      </c>
      <c r="D3525" t="s">
        <v>67</v>
      </c>
      <c r="E3525" t="str">
        <f t="shared" si="185"/>
        <v>016</v>
      </c>
      <c r="F3525" t="s">
        <v>3578</v>
      </c>
      <c r="G3525" t="str">
        <f>"0622"</f>
        <v>0622</v>
      </c>
      <c r="H3525" t="str">
        <f>"0001"</f>
        <v>0001</v>
      </c>
      <c r="I3525" t="s">
        <v>75</v>
      </c>
      <c r="J3525">
        <v>0</v>
      </c>
      <c r="K3525">
        <v>1</v>
      </c>
      <c r="L3525">
        <v>2</v>
      </c>
      <c r="M3525">
        <v>340</v>
      </c>
      <c r="N3525">
        <v>454</v>
      </c>
      <c r="O3525">
        <v>1</v>
      </c>
      <c r="P3525">
        <v>453</v>
      </c>
      <c r="Q3525">
        <v>49</v>
      </c>
      <c r="R3525">
        <v>21</v>
      </c>
      <c r="S3525">
        <v>8</v>
      </c>
      <c r="T3525">
        <v>114</v>
      </c>
      <c r="U3525">
        <v>31</v>
      </c>
      <c r="V3525">
        <v>8</v>
      </c>
      <c r="W3525">
        <v>0</v>
      </c>
      <c r="X3525">
        <v>155</v>
      </c>
      <c r="Y3525">
        <v>1</v>
      </c>
      <c r="Z3525">
        <v>6</v>
      </c>
      <c r="AA3525">
        <v>7</v>
      </c>
      <c r="AB3525">
        <v>31</v>
      </c>
      <c r="AD3525">
        <v>1</v>
      </c>
      <c r="AE3525">
        <v>0</v>
      </c>
      <c r="AF3525">
        <v>0</v>
      </c>
      <c r="AG3525">
        <v>0</v>
      </c>
      <c r="AI3525">
        <v>0</v>
      </c>
      <c r="AJ3525">
        <v>21</v>
      </c>
      <c r="AK3525">
        <v>453</v>
      </c>
      <c r="AL3525">
        <v>453</v>
      </c>
      <c r="AM3525">
        <v>749</v>
      </c>
      <c r="AN3525">
        <v>44</v>
      </c>
      <c r="AP3525">
        <v>1</v>
      </c>
      <c r="AR3525" t="s">
        <v>3622</v>
      </c>
      <c r="AS3525" s="1">
        <v>44353.992592592593</v>
      </c>
      <c r="AT3525" s="1">
        <v>44353.997291666667</v>
      </c>
      <c r="AU3525" s="1">
        <v>44353.998530092591</v>
      </c>
      <c r="AV3525" t="s">
        <v>269</v>
      </c>
      <c r="AW3525" t="s">
        <v>270</v>
      </c>
      <c r="AX3525" t="s">
        <v>73</v>
      </c>
    </row>
    <row r="3526" spans="1:50" x14ac:dyDescent="0.3">
      <c r="A3526" t="str">
        <f>"200622C0200"</f>
        <v>200622C0200</v>
      </c>
      <c r="B3526" t="str">
        <f>"200622C02002"</f>
        <v>200622C02002</v>
      </c>
      <c r="C3526" t="str">
        <f t="shared" si="183"/>
        <v>20</v>
      </c>
      <c r="D3526" t="s">
        <v>67</v>
      </c>
      <c r="E3526" t="str">
        <f t="shared" si="185"/>
        <v>016</v>
      </c>
      <c r="F3526" t="s">
        <v>3578</v>
      </c>
      <c r="G3526" t="str">
        <f>"0622"</f>
        <v>0622</v>
      </c>
      <c r="H3526" t="str">
        <f>"0002"</f>
        <v>0002</v>
      </c>
      <c r="I3526" t="s">
        <v>75</v>
      </c>
      <c r="J3526">
        <v>0</v>
      </c>
      <c r="K3526">
        <v>1</v>
      </c>
      <c r="L3526">
        <v>2</v>
      </c>
      <c r="M3526">
        <v>337</v>
      </c>
      <c r="N3526">
        <v>455</v>
      </c>
      <c r="O3526">
        <v>6</v>
      </c>
      <c r="P3526">
        <v>455</v>
      </c>
      <c r="Q3526">
        <v>54</v>
      </c>
      <c r="R3526">
        <v>14</v>
      </c>
      <c r="S3526">
        <v>13</v>
      </c>
      <c r="T3526">
        <v>142</v>
      </c>
      <c r="U3526">
        <v>42</v>
      </c>
      <c r="V3526">
        <v>6</v>
      </c>
      <c r="W3526">
        <v>2</v>
      </c>
      <c r="X3526">
        <v>126</v>
      </c>
      <c r="Y3526">
        <v>1</v>
      </c>
      <c r="Z3526">
        <v>2</v>
      </c>
      <c r="AA3526">
        <v>5</v>
      </c>
      <c r="AB3526">
        <v>30</v>
      </c>
      <c r="AD3526">
        <v>1</v>
      </c>
      <c r="AE3526">
        <v>0</v>
      </c>
      <c r="AF3526">
        <v>0</v>
      </c>
      <c r="AG3526">
        <v>0</v>
      </c>
      <c r="AI3526">
        <v>0</v>
      </c>
      <c r="AJ3526">
        <v>17</v>
      </c>
      <c r="AK3526">
        <v>455</v>
      </c>
      <c r="AL3526">
        <v>455</v>
      </c>
      <c r="AM3526">
        <v>748</v>
      </c>
      <c r="AN3526">
        <v>44</v>
      </c>
      <c r="AP3526">
        <v>1</v>
      </c>
      <c r="AR3526" t="s">
        <v>3623</v>
      </c>
      <c r="AS3526" s="1">
        <v>44353.981481481482</v>
      </c>
      <c r="AT3526" s="1">
        <v>44353.982986111114</v>
      </c>
      <c r="AU3526" s="1">
        <v>44353.983715277776</v>
      </c>
      <c r="AV3526" t="s">
        <v>269</v>
      </c>
      <c r="AW3526" t="s">
        <v>270</v>
      </c>
      <c r="AX3526" t="s">
        <v>73</v>
      </c>
    </row>
    <row r="3527" spans="1:50" x14ac:dyDescent="0.3">
      <c r="A3527" t="str">
        <f>"200623B0000"</f>
        <v>200623B0000</v>
      </c>
      <c r="B3527" t="str">
        <f>"200623B00002"</f>
        <v>200623B00002</v>
      </c>
      <c r="C3527" t="str">
        <f t="shared" ref="C3527:C3590" si="186">"20"</f>
        <v>20</v>
      </c>
      <c r="D3527" t="s">
        <v>67</v>
      </c>
      <c r="E3527" t="str">
        <f t="shared" si="185"/>
        <v>016</v>
      </c>
      <c r="F3527" t="s">
        <v>3578</v>
      </c>
      <c r="G3527" t="str">
        <f>"0623"</f>
        <v>0623</v>
      </c>
      <c r="H3527" t="str">
        <f>"0000"</f>
        <v>0000</v>
      </c>
      <c r="I3527" t="s">
        <v>69</v>
      </c>
      <c r="J3527">
        <v>0</v>
      </c>
      <c r="K3527">
        <v>1</v>
      </c>
      <c r="L3527">
        <v>2</v>
      </c>
      <c r="M3527">
        <v>217</v>
      </c>
      <c r="N3527">
        <v>305</v>
      </c>
      <c r="O3527">
        <v>2</v>
      </c>
      <c r="P3527">
        <v>305</v>
      </c>
      <c r="Q3527">
        <v>35</v>
      </c>
      <c r="R3527">
        <v>7</v>
      </c>
      <c r="S3527">
        <v>8</v>
      </c>
      <c r="T3527">
        <v>71</v>
      </c>
      <c r="U3527">
        <v>24</v>
      </c>
      <c r="V3527">
        <v>13</v>
      </c>
      <c r="W3527">
        <v>2</v>
      </c>
      <c r="X3527">
        <v>110</v>
      </c>
      <c r="Y3527">
        <v>2</v>
      </c>
      <c r="Z3527">
        <v>3</v>
      </c>
      <c r="AA3527">
        <v>2</v>
      </c>
      <c r="AB3527">
        <v>12</v>
      </c>
      <c r="AD3527">
        <v>1</v>
      </c>
      <c r="AE3527">
        <v>0</v>
      </c>
      <c r="AF3527">
        <v>1</v>
      </c>
      <c r="AG3527">
        <v>0</v>
      </c>
      <c r="AI3527">
        <v>0</v>
      </c>
      <c r="AJ3527">
        <v>14</v>
      </c>
      <c r="AK3527">
        <v>305</v>
      </c>
      <c r="AL3527">
        <v>305</v>
      </c>
      <c r="AM3527">
        <v>478</v>
      </c>
      <c r="AN3527">
        <v>44</v>
      </c>
      <c r="AP3527">
        <v>1</v>
      </c>
      <c r="AR3527" t="s">
        <v>3624</v>
      </c>
      <c r="AS3527" s="1">
        <v>44353.933761574073</v>
      </c>
      <c r="AT3527" s="1">
        <v>44353.935393518521</v>
      </c>
      <c r="AU3527" s="1">
        <v>44353.935925925929</v>
      </c>
      <c r="AV3527" t="s">
        <v>269</v>
      </c>
      <c r="AW3527" t="s">
        <v>270</v>
      </c>
      <c r="AX3527" t="s">
        <v>73</v>
      </c>
    </row>
    <row r="3528" spans="1:50" x14ac:dyDescent="0.3">
      <c r="A3528" t="str">
        <f>"200623C0100"</f>
        <v>200623C0100</v>
      </c>
      <c r="B3528" t="str">
        <f>"200623C01002"</f>
        <v>200623C01002</v>
      </c>
      <c r="C3528" t="str">
        <f t="shared" si="186"/>
        <v>20</v>
      </c>
      <c r="D3528" t="s">
        <v>67</v>
      </c>
      <c r="E3528" t="str">
        <f t="shared" si="185"/>
        <v>016</v>
      </c>
      <c r="F3528" t="s">
        <v>3578</v>
      </c>
      <c r="G3528" t="str">
        <f>"0623"</f>
        <v>0623</v>
      </c>
      <c r="H3528" t="str">
        <f>"0001"</f>
        <v>0001</v>
      </c>
      <c r="I3528" t="s">
        <v>75</v>
      </c>
      <c r="J3528">
        <v>0</v>
      </c>
      <c r="K3528">
        <v>1</v>
      </c>
      <c r="L3528">
        <v>2</v>
      </c>
      <c r="M3528">
        <v>243</v>
      </c>
      <c r="N3528">
        <v>278</v>
      </c>
      <c r="O3528">
        <v>1</v>
      </c>
      <c r="P3528">
        <v>277</v>
      </c>
      <c r="Q3528">
        <v>22</v>
      </c>
      <c r="R3528">
        <v>10</v>
      </c>
      <c r="S3528">
        <v>11</v>
      </c>
      <c r="T3528">
        <v>48</v>
      </c>
      <c r="U3528">
        <v>34</v>
      </c>
      <c r="V3528">
        <v>8</v>
      </c>
      <c r="W3528">
        <v>1</v>
      </c>
      <c r="X3528">
        <v>106</v>
      </c>
      <c r="Y3528">
        <v>0</v>
      </c>
      <c r="Z3528">
        <v>4</v>
      </c>
      <c r="AA3528">
        <v>4</v>
      </c>
      <c r="AB3528">
        <v>13</v>
      </c>
      <c r="AD3528">
        <v>1</v>
      </c>
      <c r="AE3528">
        <v>1</v>
      </c>
      <c r="AF3528">
        <v>1</v>
      </c>
      <c r="AG3528">
        <v>0</v>
      </c>
      <c r="AI3528">
        <v>0</v>
      </c>
      <c r="AJ3528">
        <v>13</v>
      </c>
      <c r="AK3528">
        <v>277</v>
      </c>
      <c r="AL3528">
        <v>277</v>
      </c>
      <c r="AM3528">
        <v>477</v>
      </c>
      <c r="AN3528">
        <v>44</v>
      </c>
      <c r="AP3528">
        <v>1</v>
      </c>
      <c r="AR3528" t="s">
        <v>3625</v>
      </c>
      <c r="AS3528" s="1">
        <v>44353.91679398148</v>
      </c>
      <c r="AT3528" s="1">
        <v>44353.918923611112</v>
      </c>
      <c r="AU3528" s="1">
        <v>44353.919768518521</v>
      </c>
      <c r="AV3528" t="s">
        <v>269</v>
      </c>
      <c r="AW3528" t="s">
        <v>270</v>
      </c>
      <c r="AX3528" t="s">
        <v>73</v>
      </c>
    </row>
    <row r="3529" spans="1:50" x14ac:dyDescent="0.3">
      <c r="A3529" t="str">
        <f>"200624B0000"</f>
        <v>200624B0000</v>
      </c>
      <c r="B3529" t="str">
        <f>"200624B00002"</f>
        <v>200624B00002</v>
      </c>
      <c r="C3529" t="str">
        <f t="shared" si="186"/>
        <v>20</v>
      </c>
      <c r="D3529" t="s">
        <v>67</v>
      </c>
      <c r="E3529" t="str">
        <f t="shared" si="185"/>
        <v>016</v>
      </c>
      <c r="F3529" t="s">
        <v>3578</v>
      </c>
      <c r="G3529" t="str">
        <f>"0624"</f>
        <v>0624</v>
      </c>
      <c r="H3529" t="str">
        <f t="shared" ref="H3529:H3535" si="187">"0000"</f>
        <v>0000</v>
      </c>
      <c r="I3529" t="s">
        <v>69</v>
      </c>
      <c r="J3529">
        <v>0</v>
      </c>
      <c r="K3529">
        <v>1</v>
      </c>
      <c r="L3529">
        <v>2</v>
      </c>
      <c r="M3529">
        <v>328</v>
      </c>
      <c r="N3529">
        <v>433</v>
      </c>
      <c r="O3529">
        <v>11</v>
      </c>
      <c r="P3529">
        <v>433</v>
      </c>
      <c r="Q3529">
        <v>45</v>
      </c>
      <c r="R3529">
        <v>20</v>
      </c>
      <c r="S3529">
        <v>11</v>
      </c>
      <c r="T3529">
        <v>110</v>
      </c>
      <c r="U3529">
        <v>60</v>
      </c>
      <c r="V3529">
        <v>9</v>
      </c>
      <c r="W3529">
        <v>0</v>
      </c>
      <c r="X3529">
        <v>100</v>
      </c>
      <c r="Y3529">
        <v>1</v>
      </c>
      <c r="Z3529">
        <v>3</v>
      </c>
      <c r="AA3529">
        <v>3</v>
      </c>
      <c r="AB3529">
        <v>35</v>
      </c>
      <c r="AD3529">
        <v>0</v>
      </c>
      <c r="AE3529">
        <v>0</v>
      </c>
      <c r="AF3529">
        <v>0</v>
      </c>
      <c r="AG3529">
        <v>0</v>
      </c>
      <c r="AI3529">
        <v>1</v>
      </c>
      <c r="AJ3529">
        <v>35</v>
      </c>
      <c r="AK3529">
        <v>433</v>
      </c>
      <c r="AL3529">
        <v>433</v>
      </c>
      <c r="AM3529">
        <v>717</v>
      </c>
      <c r="AN3529">
        <v>44</v>
      </c>
      <c r="AP3529">
        <v>1</v>
      </c>
      <c r="AR3529" t="s">
        <v>3626</v>
      </c>
      <c r="AS3529" s="1">
        <v>44354.042881944442</v>
      </c>
      <c r="AT3529" s="1">
        <v>44354.05097222222</v>
      </c>
      <c r="AU3529" s="1">
        <v>44354.051446759258</v>
      </c>
      <c r="AV3529" t="s">
        <v>269</v>
      </c>
      <c r="AW3529" t="s">
        <v>270</v>
      </c>
      <c r="AX3529" t="s">
        <v>73</v>
      </c>
    </row>
    <row r="3530" spans="1:50" x14ac:dyDescent="0.3">
      <c r="A3530" t="str">
        <f>"200625B0000"</f>
        <v>200625B0000</v>
      </c>
      <c r="B3530" t="str">
        <f>"200625B00002"</f>
        <v>200625B00002</v>
      </c>
      <c r="C3530" t="str">
        <f t="shared" si="186"/>
        <v>20</v>
      </c>
      <c r="D3530" t="s">
        <v>67</v>
      </c>
      <c r="E3530" t="str">
        <f t="shared" si="185"/>
        <v>016</v>
      </c>
      <c r="F3530" t="s">
        <v>3578</v>
      </c>
      <c r="G3530" t="str">
        <f>"0625"</f>
        <v>0625</v>
      </c>
      <c r="H3530" t="str">
        <f t="shared" si="187"/>
        <v>0000</v>
      </c>
      <c r="I3530" t="s">
        <v>69</v>
      </c>
      <c r="J3530">
        <v>0</v>
      </c>
      <c r="K3530">
        <v>1</v>
      </c>
      <c r="L3530">
        <v>2</v>
      </c>
      <c r="M3530">
        <v>199</v>
      </c>
      <c r="N3530">
        <v>374</v>
      </c>
      <c r="O3530">
        <v>7</v>
      </c>
      <c r="P3530">
        <v>374</v>
      </c>
      <c r="Q3530">
        <v>26</v>
      </c>
      <c r="R3530">
        <v>9</v>
      </c>
      <c r="S3530">
        <v>5</v>
      </c>
      <c r="T3530">
        <v>159</v>
      </c>
      <c r="U3530">
        <v>27</v>
      </c>
      <c r="V3530">
        <v>7</v>
      </c>
      <c r="W3530">
        <v>2</v>
      </c>
      <c r="X3530">
        <v>105</v>
      </c>
      <c r="Y3530">
        <v>2</v>
      </c>
      <c r="Z3530">
        <v>3</v>
      </c>
      <c r="AA3530">
        <v>1</v>
      </c>
      <c r="AB3530">
        <v>13</v>
      </c>
      <c r="AD3530">
        <v>1</v>
      </c>
      <c r="AE3530">
        <v>0</v>
      </c>
      <c r="AF3530">
        <v>0</v>
      </c>
      <c r="AG3530">
        <v>0</v>
      </c>
      <c r="AI3530">
        <v>0</v>
      </c>
      <c r="AJ3530">
        <v>14</v>
      </c>
      <c r="AK3530">
        <v>374</v>
      </c>
      <c r="AL3530">
        <v>374</v>
      </c>
      <c r="AM3530">
        <v>529</v>
      </c>
      <c r="AN3530">
        <v>44</v>
      </c>
      <c r="AP3530">
        <v>1</v>
      </c>
      <c r="AR3530" t="s">
        <v>3627</v>
      </c>
      <c r="AS3530" s="1">
        <v>44353.859212962961</v>
      </c>
      <c r="AT3530" s="1">
        <v>44353.862314814818</v>
      </c>
      <c r="AU3530" s="1">
        <v>44353.86309027778</v>
      </c>
      <c r="AV3530" t="s">
        <v>269</v>
      </c>
      <c r="AW3530" t="s">
        <v>270</v>
      </c>
      <c r="AX3530" t="s">
        <v>73</v>
      </c>
    </row>
    <row r="3531" spans="1:50" x14ac:dyDescent="0.3">
      <c r="A3531" t="str">
        <f>"200626B0000"</f>
        <v>200626B0000</v>
      </c>
      <c r="B3531" t="str">
        <f>"200626B00002"</f>
        <v>200626B00002</v>
      </c>
      <c r="C3531" t="str">
        <f t="shared" si="186"/>
        <v>20</v>
      </c>
      <c r="D3531" t="s">
        <v>67</v>
      </c>
      <c r="E3531" t="str">
        <f t="shared" si="185"/>
        <v>016</v>
      </c>
      <c r="F3531" t="s">
        <v>3578</v>
      </c>
      <c r="G3531" t="str">
        <f>"0626"</f>
        <v>0626</v>
      </c>
      <c r="H3531" t="str">
        <f t="shared" si="187"/>
        <v>0000</v>
      </c>
      <c r="I3531" t="s">
        <v>69</v>
      </c>
      <c r="J3531">
        <v>0</v>
      </c>
      <c r="K3531">
        <v>1</v>
      </c>
      <c r="L3531">
        <v>2</v>
      </c>
      <c r="M3531">
        <v>220</v>
      </c>
      <c r="N3531">
        <v>285</v>
      </c>
      <c r="O3531">
        <v>6</v>
      </c>
      <c r="P3531">
        <v>286</v>
      </c>
      <c r="Q3531">
        <v>25</v>
      </c>
      <c r="R3531">
        <v>22</v>
      </c>
      <c r="S3531">
        <v>5</v>
      </c>
      <c r="T3531">
        <v>100</v>
      </c>
      <c r="U3531">
        <v>18</v>
      </c>
      <c r="V3531">
        <v>4</v>
      </c>
      <c r="W3531">
        <v>2</v>
      </c>
      <c r="X3531">
        <v>66</v>
      </c>
      <c r="Y3531">
        <v>1</v>
      </c>
      <c r="Z3531">
        <v>4</v>
      </c>
      <c r="AA3531">
        <v>3</v>
      </c>
      <c r="AB3531">
        <v>16</v>
      </c>
      <c r="AD3531">
        <v>1</v>
      </c>
      <c r="AE3531">
        <v>0</v>
      </c>
      <c r="AF3531">
        <v>0</v>
      </c>
      <c r="AG3531">
        <v>0</v>
      </c>
      <c r="AI3531">
        <v>0</v>
      </c>
      <c r="AJ3531">
        <v>18</v>
      </c>
      <c r="AK3531">
        <v>286</v>
      </c>
      <c r="AL3531">
        <v>285</v>
      </c>
      <c r="AM3531">
        <v>462</v>
      </c>
      <c r="AN3531">
        <v>44</v>
      </c>
      <c r="AP3531">
        <v>1</v>
      </c>
      <c r="AR3531" t="s">
        <v>3628</v>
      </c>
      <c r="AS3531" s="1">
        <v>44354.026030092595</v>
      </c>
      <c r="AT3531" s="1">
        <v>44354.032581018517</v>
      </c>
      <c r="AU3531" s="1">
        <v>44354.033634259256</v>
      </c>
      <c r="AV3531" t="s">
        <v>269</v>
      </c>
      <c r="AW3531" t="s">
        <v>270</v>
      </c>
      <c r="AX3531" t="s">
        <v>73</v>
      </c>
    </row>
    <row r="3532" spans="1:50" x14ac:dyDescent="0.3">
      <c r="A3532" t="str">
        <f>"200627B0000"</f>
        <v>200627B0000</v>
      </c>
      <c r="B3532" t="str">
        <f>"200627B00002"</f>
        <v>200627B00002</v>
      </c>
      <c r="C3532" t="str">
        <f t="shared" si="186"/>
        <v>20</v>
      </c>
      <c r="D3532" t="s">
        <v>67</v>
      </c>
      <c r="E3532" t="str">
        <f t="shared" si="185"/>
        <v>016</v>
      </c>
      <c r="F3532" t="s">
        <v>3578</v>
      </c>
      <c r="G3532" t="str">
        <f>"0627"</f>
        <v>0627</v>
      </c>
      <c r="H3532" t="str">
        <f t="shared" si="187"/>
        <v>0000</v>
      </c>
      <c r="I3532" t="s">
        <v>69</v>
      </c>
      <c r="J3532">
        <v>0</v>
      </c>
      <c r="K3532">
        <v>1</v>
      </c>
      <c r="L3532">
        <v>2</v>
      </c>
      <c r="M3532">
        <v>112</v>
      </c>
      <c r="N3532">
        <v>143</v>
      </c>
      <c r="O3532">
        <v>3</v>
      </c>
      <c r="P3532">
        <v>143</v>
      </c>
      <c r="Q3532">
        <v>22</v>
      </c>
      <c r="R3532">
        <v>7</v>
      </c>
      <c r="S3532">
        <v>0</v>
      </c>
      <c r="T3532">
        <v>30</v>
      </c>
      <c r="U3532">
        <v>24</v>
      </c>
      <c r="V3532">
        <v>3</v>
      </c>
      <c r="W3532">
        <v>6</v>
      </c>
      <c r="X3532">
        <v>30</v>
      </c>
      <c r="Y3532">
        <v>1</v>
      </c>
      <c r="Z3532">
        <v>1</v>
      </c>
      <c r="AA3532">
        <v>0</v>
      </c>
      <c r="AB3532">
        <v>9</v>
      </c>
      <c r="AD3532">
        <v>1</v>
      </c>
      <c r="AE3532">
        <v>0</v>
      </c>
      <c r="AF3532">
        <v>0</v>
      </c>
      <c r="AG3532">
        <v>0</v>
      </c>
      <c r="AI3532">
        <v>0</v>
      </c>
      <c r="AJ3532">
        <v>9</v>
      </c>
      <c r="AK3532">
        <v>143</v>
      </c>
      <c r="AL3532">
        <v>143</v>
      </c>
      <c r="AM3532">
        <v>211</v>
      </c>
      <c r="AN3532">
        <v>44</v>
      </c>
      <c r="AP3532">
        <v>1</v>
      </c>
      <c r="AR3532" t="s">
        <v>3629</v>
      </c>
      <c r="AS3532" s="1">
        <v>44353.851435185185</v>
      </c>
      <c r="AT3532" s="1">
        <v>44353.853946759256</v>
      </c>
      <c r="AU3532" s="1">
        <v>44353.855115740742</v>
      </c>
      <c r="AV3532" t="s">
        <v>269</v>
      </c>
      <c r="AW3532" t="s">
        <v>270</v>
      </c>
      <c r="AX3532" t="s">
        <v>73</v>
      </c>
    </row>
    <row r="3533" spans="1:50" x14ac:dyDescent="0.3">
      <c r="A3533" t="str">
        <f>"200628B0000"</f>
        <v>200628B0000</v>
      </c>
      <c r="B3533" t="str">
        <f>"200628B00002"</f>
        <v>200628B00002</v>
      </c>
      <c r="C3533" t="str">
        <f t="shared" si="186"/>
        <v>20</v>
      </c>
      <c r="D3533" t="s">
        <v>67</v>
      </c>
      <c r="E3533" t="str">
        <f t="shared" si="185"/>
        <v>016</v>
      </c>
      <c r="F3533" t="s">
        <v>3578</v>
      </c>
      <c r="G3533" t="str">
        <f>"0628"</f>
        <v>0628</v>
      </c>
      <c r="H3533" t="str">
        <f t="shared" si="187"/>
        <v>0000</v>
      </c>
      <c r="I3533" t="s">
        <v>69</v>
      </c>
      <c r="J3533">
        <v>0</v>
      </c>
      <c r="K3533">
        <v>1</v>
      </c>
      <c r="L3533">
        <v>2</v>
      </c>
      <c r="M3533">
        <v>302</v>
      </c>
      <c r="N3533">
        <v>317</v>
      </c>
      <c r="O3533">
        <v>2</v>
      </c>
      <c r="P3533">
        <v>317</v>
      </c>
      <c r="Q3533">
        <v>11</v>
      </c>
      <c r="R3533">
        <v>16</v>
      </c>
      <c r="S3533">
        <v>17</v>
      </c>
      <c r="T3533">
        <v>40</v>
      </c>
      <c r="U3533">
        <v>32</v>
      </c>
      <c r="V3533">
        <v>30</v>
      </c>
      <c r="W3533">
        <v>4</v>
      </c>
      <c r="X3533">
        <v>91</v>
      </c>
      <c r="Y3533">
        <v>3</v>
      </c>
      <c r="Z3533">
        <v>4</v>
      </c>
      <c r="AA3533">
        <v>3</v>
      </c>
      <c r="AB3533">
        <v>46</v>
      </c>
      <c r="AD3533">
        <v>1</v>
      </c>
      <c r="AE3533">
        <v>0</v>
      </c>
      <c r="AF3533">
        <v>0</v>
      </c>
      <c r="AG3533">
        <v>0</v>
      </c>
      <c r="AI3533">
        <v>0</v>
      </c>
      <c r="AJ3533">
        <v>19</v>
      </c>
      <c r="AK3533">
        <v>317</v>
      </c>
      <c r="AL3533">
        <v>317</v>
      </c>
      <c r="AM3533">
        <v>575</v>
      </c>
      <c r="AN3533">
        <v>44</v>
      </c>
      <c r="AP3533">
        <v>1</v>
      </c>
      <c r="AR3533" t="s">
        <v>3630</v>
      </c>
      <c r="AS3533" s="1">
        <v>44354.252083333333</v>
      </c>
      <c r="AT3533" s="1">
        <v>44354.256099537037</v>
      </c>
      <c r="AU3533" s="1">
        <v>44354.256886574076</v>
      </c>
      <c r="AV3533" t="s">
        <v>71</v>
      </c>
      <c r="AW3533" t="s">
        <v>72</v>
      </c>
      <c r="AX3533" t="s">
        <v>73</v>
      </c>
    </row>
    <row r="3534" spans="1:50" x14ac:dyDescent="0.3">
      <c r="A3534" t="str">
        <f>"200629B0000"</f>
        <v>200629B0000</v>
      </c>
      <c r="B3534" t="str">
        <f>"200629B00002"</f>
        <v>200629B00002</v>
      </c>
      <c r="C3534" t="str">
        <f t="shared" si="186"/>
        <v>20</v>
      </c>
      <c r="D3534" t="s">
        <v>67</v>
      </c>
      <c r="E3534" t="str">
        <f t="shared" si="185"/>
        <v>016</v>
      </c>
      <c r="F3534" t="s">
        <v>3578</v>
      </c>
      <c r="G3534" t="str">
        <f>"0629"</f>
        <v>0629</v>
      </c>
      <c r="H3534" t="str">
        <f t="shared" si="187"/>
        <v>0000</v>
      </c>
      <c r="I3534" t="s">
        <v>69</v>
      </c>
      <c r="J3534">
        <v>0</v>
      </c>
      <c r="K3534">
        <v>1</v>
      </c>
      <c r="L3534">
        <v>2</v>
      </c>
      <c r="M3534">
        <v>102</v>
      </c>
      <c r="N3534">
        <v>122</v>
      </c>
      <c r="O3534">
        <v>4</v>
      </c>
      <c r="P3534">
        <v>122</v>
      </c>
      <c r="Q3534">
        <v>7</v>
      </c>
      <c r="R3534">
        <v>2</v>
      </c>
      <c r="S3534">
        <v>3</v>
      </c>
      <c r="T3534">
        <v>41</v>
      </c>
      <c r="U3534">
        <v>18</v>
      </c>
      <c r="V3534">
        <v>10</v>
      </c>
      <c r="W3534">
        <v>0</v>
      </c>
      <c r="X3534">
        <v>29</v>
      </c>
      <c r="Y3534">
        <v>0</v>
      </c>
      <c r="Z3534">
        <v>2</v>
      </c>
      <c r="AA3534">
        <v>1</v>
      </c>
      <c r="AB3534">
        <v>3</v>
      </c>
      <c r="AD3534">
        <v>1</v>
      </c>
      <c r="AE3534">
        <v>0</v>
      </c>
      <c r="AF3534">
        <v>0</v>
      </c>
      <c r="AG3534">
        <v>0</v>
      </c>
      <c r="AI3534">
        <v>0</v>
      </c>
      <c r="AJ3534">
        <v>5</v>
      </c>
      <c r="AK3534">
        <v>122</v>
      </c>
      <c r="AL3534">
        <v>122</v>
      </c>
      <c r="AM3534">
        <v>180</v>
      </c>
      <c r="AN3534">
        <v>44</v>
      </c>
      <c r="AP3534">
        <v>1</v>
      </c>
      <c r="AR3534" t="s">
        <v>3631</v>
      </c>
      <c r="AS3534" s="1">
        <v>44353.909571759257</v>
      </c>
      <c r="AT3534" s="1">
        <v>44353.911990740744</v>
      </c>
      <c r="AU3534" s="1">
        <v>44353.913553240738</v>
      </c>
      <c r="AV3534" t="s">
        <v>269</v>
      </c>
      <c r="AW3534" t="s">
        <v>270</v>
      </c>
      <c r="AX3534" t="s">
        <v>73</v>
      </c>
    </row>
    <row r="3535" spans="1:50" x14ac:dyDescent="0.3">
      <c r="A3535" t="str">
        <f>"200630B0000"</f>
        <v>200630B0000</v>
      </c>
      <c r="B3535" t="str">
        <f>"200630B00002"</f>
        <v>200630B00002</v>
      </c>
      <c r="C3535" t="str">
        <f t="shared" si="186"/>
        <v>20</v>
      </c>
      <c r="D3535" t="s">
        <v>67</v>
      </c>
      <c r="E3535" t="str">
        <f t="shared" si="185"/>
        <v>016</v>
      </c>
      <c r="F3535" t="s">
        <v>3578</v>
      </c>
      <c r="G3535" t="str">
        <f>"0630"</f>
        <v>0630</v>
      </c>
      <c r="H3535" t="str">
        <f t="shared" si="187"/>
        <v>0000</v>
      </c>
      <c r="I3535" t="s">
        <v>69</v>
      </c>
      <c r="J3535">
        <v>0</v>
      </c>
      <c r="K3535">
        <v>1</v>
      </c>
      <c r="L3535">
        <v>2</v>
      </c>
      <c r="M3535">
        <v>253</v>
      </c>
      <c r="N3535">
        <v>345</v>
      </c>
      <c r="O3535">
        <v>3</v>
      </c>
      <c r="P3535">
        <v>345</v>
      </c>
      <c r="Q3535">
        <v>27</v>
      </c>
      <c r="R3535">
        <v>29</v>
      </c>
      <c r="S3535">
        <v>8</v>
      </c>
      <c r="T3535">
        <v>156</v>
      </c>
      <c r="U3535">
        <v>34</v>
      </c>
      <c r="V3535">
        <v>15</v>
      </c>
      <c r="W3535">
        <v>0</v>
      </c>
      <c r="X3535">
        <v>21</v>
      </c>
      <c r="Y3535">
        <v>3</v>
      </c>
      <c r="Z3535">
        <v>1</v>
      </c>
      <c r="AA3535">
        <v>3</v>
      </c>
      <c r="AB3535">
        <v>30</v>
      </c>
      <c r="AD3535">
        <v>0</v>
      </c>
      <c r="AE3535">
        <v>0</v>
      </c>
      <c r="AF3535">
        <v>0</v>
      </c>
      <c r="AG3535">
        <v>0</v>
      </c>
      <c r="AI3535">
        <v>0</v>
      </c>
      <c r="AJ3535">
        <v>18</v>
      </c>
      <c r="AK3535">
        <v>345</v>
      </c>
      <c r="AL3535">
        <v>345</v>
      </c>
      <c r="AM3535">
        <v>554</v>
      </c>
      <c r="AN3535">
        <v>44</v>
      </c>
      <c r="AP3535">
        <v>1</v>
      </c>
      <c r="AR3535" t="s">
        <v>3632</v>
      </c>
      <c r="AS3535" s="1">
        <v>44353.945636574077</v>
      </c>
      <c r="AT3535" s="1">
        <v>44353.947905092595</v>
      </c>
      <c r="AU3535" s="1">
        <v>44353.949074074073</v>
      </c>
      <c r="AV3535" t="s">
        <v>269</v>
      </c>
      <c r="AW3535" t="s">
        <v>270</v>
      </c>
      <c r="AX3535" t="s">
        <v>73</v>
      </c>
    </row>
    <row r="3536" spans="1:50" x14ac:dyDescent="0.3">
      <c r="A3536" t="str">
        <f>"200630C0100"</f>
        <v>200630C0100</v>
      </c>
      <c r="B3536" t="str">
        <f>"200630C01002"</f>
        <v>200630C01002</v>
      </c>
      <c r="C3536" t="str">
        <f t="shared" si="186"/>
        <v>20</v>
      </c>
      <c r="D3536" t="s">
        <v>67</v>
      </c>
      <c r="E3536" t="str">
        <f t="shared" si="185"/>
        <v>016</v>
      </c>
      <c r="F3536" t="s">
        <v>3578</v>
      </c>
      <c r="G3536" t="str">
        <f>"0630"</f>
        <v>0630</v>
      </c>
      <c r="H3536" t="str">
        <f>"0001"</f>
        <v>0001</v>
      </c>
      <c r="I3536" t="s">
        <v>75</v>
      </c>
      <c r="J3536">
        <v>0</v>
      </c>
      <c r="K3536">
        <v>1</v>
      </c>
      <c r="L3536">
        <v>2</v>
      </c>
      <c r="M3536">
        <v>235</v>
      </c>
      <c r="N3536">
        <v>363</v>
      </c>
      <c r="O3536">
        <v>0</v>
      </c>
      <c r="P3536">
        <v>363</v>
      </c>
      <c r="Q3536">
        <v>11</v>
      </c>
      <c r="R3536">
        <v>40</v>
      </c>
      <c r="S3536">
        <v>5</v>
      </c>
      <c r="T3536">
        <v>189</v>
      </c>
      <c r="U3536">
        <v>28</v>
      </c>
      <c r="V3536">
        <v>11</v>
      </c>
      <c r="W3536">
        <v>2</v>
      </c>
      <c r="X3536">
        <v>22</v>
      </c>
      <c r="Y3536">
        <v>4</v>
      </c>
      <c r="Z3536">
        <v>1</v>
      </c>
      <c r="AA3536">
        <v>3</v>
      </c>
      <c r="AB3536">
        <v>29</v>
      </c>
      <c r="AD3536">
        <v>0</v>
      </c>
      <c r="AE3536">
        <v>0</v>
      </c>
      <c r="AF3536">
        <v>0</v>
      </c>
      <c r="AG3536">
        <v>0</v>
      </c>
      <c r="AI3536">
        <v>0</v>
      </c>
      <c r="AJ3536">
        <v>18</v>
      </c>
      <c r="AK3536">
        <v>363</v>
      </c>
      <c r="AL3536">
        <v>363</v>
      </c>
      <c r="AM3536">
        <v>554</v>
      </c>
      <c r="AN3536">
        <v>44</v>
      </c>
      <c r="AP3536">
        <v>1</v>
      </c>
      <c r="AR3536" t="s">
        <v>3633</v>
      </c>
      <c r="AS3536" s="1">
        <v>44353.952465277776</v>
      </c>
      <c r="AT3536" s="1">
        <v>44353.954502314817</v>
      </c>
      <c r="AU3536" s="1">
        <v>44353.954976851855</v>
      </c>
      <c r="AV3536" t="s">
        <v>269</v>
      </c>
      <c r="AW3536" t="s">
        <v>270</v>
      </c>
      <c r="AX3536" t="s">
        <v>73</v>
      </c>
    </row>
    <row r="3537" spans="1:50" x14ac:dyDescent="0.3">
      <c r="A3537" t="str">
        <f>"200631B0000"</f>
        <v>200631B0000</v>
      </c>
      <c r="B3537" t="str">
        <f>"200631B00002"</f>
        <v>200631B00002</v>
      </c>
      <c r="C3537" t="str">
        <f t="shared" si="186"/>
        <v>20</v>
      </c>
      <c r="D3537" t="s">
        <v>67</v>
      </c>
      <c r="E3537" t="str">
        <f t="shared" si="185"/>
        <v>016</v>
      </c>
      <c r="F3537" t="s">
        <v>3578</v>
      </c>
      <c r="G3537" t="str">
        <f>"0631"</f>
        <v>0631</v>
      </c>
      <c r="H3537" t="str">
        <f>"0000"</f>
        <v>0000</v>
      </c>
      <c r="I3537" t="s">
        <v>69</v>
      </c>
      <c r="J3537">
        <v>0</v>
      </c>
      <c r="K3537">
        <v>1</v>
      </c>
      <c r="L3537">
        <v>2</v>
      </c>
      <c r="M3537">
        <v>179</v>
      </c>
      <c r="N3537">
        <v>234</v>
      </c>
      <c r="O3537">
        <v>2</v>
      </c>
      <c r="P3537">
        <v>234</v>
      </c>
      <c r="Q3537">
        <v>8</v>
      </c>
      <c r="R3537">
        <v>6</v>
      </c>
      <c r="S3537">
        <v>0</v>
      </c>
      <c r="T3537" t="s">
        <v>99</v>
      </c>
      <c r="U3537">
        <v>35</v>
      </c>
      <c r="V3537">
        <v>7</v>
      </c>
      <c r="W3537">
        <v>0</v>
      </c>
      <c r="X3537">
        <v>68</v>
      </c>
      <c r="Y3537">
        <v>3</v>
      </c>
      <c r="Z3537">
        <v>1</v>
      </c>
      <c r="AA3537">
        <v>1</v>
      </c>
      <c r="AB3537">
        <v>4</v>
      </c>
      <c r="AD3537">
        <v>0</v>
      </c>
      <c r="AE3537">
        <v>0</v>
      </c>
      <c r="AF3537">
        <v>0</v>
      </c>
      <c r="AG3537">
        <v>0</v>
      </c>
      <c r="AI3537">
        <v>0</v>
      </c>
      <c r="AJ3537">
        <v>21</v>
      </c>
      <c r="AK3537">
        <v>234</v>
      </c>
      <c r="AL3537">
        <v>154</v>
      </c>
      <c r="AM3537">
        <v>369</v>
      </c>
      <c r="AN3537">
        <v>44</v>
      </c>
      <c r="AO3537" t="s">
        <v>78</v>
      </c>
      <c r="AP3537">
        <v>1</v>
      </c>
      <c r="AR3537" t="s">
        <v>3634</v>
      </c>
      <c r="AS3537" s="1">
        <v>44354.052060185182</v>
      </c>
      <c r="AT3537" s="1">
        <v>44354.060474537036</v>
      </c>
      <c r="AU3537" s="1">
        <v>44354.062210648146</v>
      </c>
      <c r="AV3537" t="s">
        <v>269</v>
      </c>
      <c r="AW3537" t="s">
        <v>270</v>
      </c>
      <c r="AX3537" t="s">
        <v>73</v>
      </c>
    </row>
    <row r="3538" spans="1:50" x14ac:dyDescent="0.3">
      <c r="A3538" t="str">
        <f>"200717B0000"</f>
        <v>200717B0000</v>
      </c>
      <c r="B3538" t="str">
        <f>"200717B00002"</f>
        <v>200717B00002</v>
      </c>
      <c r="C3538" t="str">
        <f t="shared" si="186"/>
        <v>20</v>
      </c>
      <c r="D3538" t="s">
        <v>67</v>
      </c>
      <c r="E3538" t="str">
        <f t="shared" si="185"/>
        <v>016</v>
      </c>
      <c r="F3538" t="s">
        <v>3578</v>
      </c>
      <c r="G3538" t="str">
        <f t="shared" ref="G3538:G3543" si="188">"0717"</f>
        <v>0717</v>
      </c>
      <c r="H3538" t="str">
        <f>"0000"</f>
        <v>0000</v>
      </c>
      <c r="I3538" t="s">
        <v>69</v>
      </c>
      <c r="J3538">
        <v>0</v>
      </c>
      <c r="K3538">
        <v>1</v>
      </c>
      <c r="L3538">
        <v>2</v>
      </c>
      <c r="M3538">
        <v>464</v>
      </c>
      <c r="N3538">
        <v>211</v>
      </c>
      <c r="O3538">
        <v>3</v>
      </c>
      <c r="P3538">
        <v>211</v>
      </c>
      <c r="Q3538">
        <v>13</v>
      </c>
      <c r="R3538">
        <v>17</v>
      </c>
      <c r="S3538">
        <v>1</v>
      </c>
      <c r="T3538">
        <v>40</v>
      </c>
      <c r="U3538">
        <v>7</v>
      </c>
      <c r="V3538">
        <v>1</v>
      </c>
      <c r="W3538">
        <v>5</v>
      </c>
      <c r="X3538">
        <v>103</v>
      </c>
      <c r="Y3538">
        <v>1</v>
      </c>
      <c r="Z3538">
        <v>7</v>
      </c>
      <c r="AA3538">
        <v>2</v>
      </c>
      <c r="AB3538">
        <v>6</v>
      </c>
      <c r="AD3538">
        <v>0</v>
      </c>
      <c r="AE3538">
        <v>0</v>
      </c>
      <c r="AF3538">
        <v>0</v>
      </c>
      <c r="AG3538">
        <v>0</v>
      </c>
      <c r="AI3538">
        <v>0</v>
      </c>
      <c r="AJ3538">
        <v>8</v>
      </c>
      <c r="AK3538">
        <v>211</v>
      </c>
      <c r="AL3538">
        <v>211</v>
      </c>
      <c r="AM3538">
        <v>631</v>
      </c>
      <c r="AN3538">
        <v>44</v>
      </c>
      <c r="AP3538">
        <v>1</v>
      </c>
      <c r="AR3538" t="s">
        <v>3635</v>
      </c>
      <c r="AS3538" s="1">
        <v>44353.833333333336</v>
      </c>
      <c r="AT3538" s="1">
        <v>44353.991782407407</v>
      </c>
      <c r="AU3538" s="1">
        <v>44353.992384259262</v>
      </c>
      <c r="AV3538" t="s">
        <v>71</v>
      </c>
      <c r="AW3538" t="s">
        <v>72</v>
      </c>
      <c r="AX3538" t="s">
        <v>73</v>
      </c>
    </row>
    <row r="3539" spans="1:50" x14ac:dyDescent="0.3">
      <c r="A3539" t="str">
        <f>"200717C0100"</f>
        <v>200717C0100</v>
      </c>
      <c r="B3539" t="str">
        <f>"200717C01002"</f>
        <v>200717C01002</v>
      </c>
      <c r="C3539" t="str">
        <f t="shared" si="186"/>
        <v>20</v>
      </c>
      <c r="D3539" t="s">
        <v>67</v>
      </c>
      <c r="E3539" t="str">
        <f t="shared" si="185"/>
        <v>016</v>
      </c>
      <c r="F3539" t="s">
        <v>3578</v>
      </c>
      <c r="G3539" t="str">
        <f t="shared" si="188"/>
        <v>0717</v>
      </c>
      <c r="H3539" t="str">
        <f>"0001"</f>
        <v>0001</v>
      </c>
      <c r="I3539" t="s">
        <v>75</v>
      </c>
      <c r="J3539">
        <v>0</v>
      </c>
      <c r="K3539">
        <v>1</v>
      </c>
      <c r="L3539">
        <v>2</v>
      </c>
      <c r="M3539">
        <v>438</v>
      </c>
      <c r="N3539">
        <v>236</v>
      </c>
      <c r="O3539">
        <v>3</v>
      </c>
      <c r="P3539">
        <v>236</v>
      </c>
      <c r="Q3539">
        <v>14</v>
      </c>
      <c r="R3539">
        <v>34</v>
      </c>
      <c r="S3539">
        <v>1</v>
      </c>
      <c r="T3539">
        <v>60</v>
      </c>
      <c r="U3539">
        <v>5</v>
      </c>
      <c r="V3539">
        <v>2</v>
      </c>
      <c r="W3539">
        <v>3</v>
      </c>
      <c r="X3539">
        <v>105</v>
      </c>
      <c r="Y3539">
        <v>0</v>
      </c>
      <c r="Z3539">
        <v>2</v>
      </c>
      <c r="AA3539">
        <v>0</v>
      </c>
      <c r="AB3539">
        <v>4</v>
      </c>
      <c r="AD3539">
        <v>0</v>
      </c>
      <c r="AE3539">
        <v>0</v>
      </c>
      <c r="AF3539">
        <v>0</v>
      </c>
      <c r="AG3539">
        <v>0</v>
      </c>
      <c r="AI3539">
        <v>0</v>
      </c>
      <c r="AJ3539">
        <v>6</v>
      </c>
      <c r="AK3539">
        <v>236</v>
      </c>
      <c r="AL3539">
        <v>236</v>
      </c>
      <c r="AM3539">
        <v>630</v>
      </c>
      <c r="AN3539">
        <v>44</v>
      </c>
      <c r="AP3539">
        <v>1</v>
      </c>
      <c r="AR3539" t="s">
        <v>3636</v>
      </c>
      <c r="AS3539" s="1">
        <v>44353.836805555555</v>
      </c>
      <c r="AT3539" s="1">
        <v>44353.992523148147</v>
      </c>
      <c r="AU3539" s="1">
        <v>44353.992928240739</v>
      </c>
      <c r="AV3539" t="s">
        <v>71</v>
      </c>
      <c r="AW3539" t="s">
        <v>72</v>
      </c>
      <c r="AX3539" t="s">
        <v>73</v>
      </c>
    </row>
    <row r="3540" spans="1:50" x14ac:dyDescent="0.3">
      <c r="A3540" t="str">
        <f>"200717C0200"</f>
        <v>200717C0200</v>
      </c>
      <c r="B3540" t="str">
        <f>"200717C02002"</f>
        <v>200717C02002</v>
      </c>
      <c r="C3540" t="str">
        <f t="shared" si="186"/>
        <v>20</v>
      </c>
      <c r="D3540" t="s">
        <v>67</v>
      </c>
      <c r="E3540" t="str">
        <f t="shared" si="185"/>
        <v>016</v>
      </c>
      <c r="F3540" t="s">
        <v>3578</v>
      </c>
      <c r="G3540" t="str">
        <f t="shared" si="188"/>
        <v>0717</v>
      </c>
      <c r="H3540" t="str">
        <f>"0002"</f>
        <v>0002</v>
      </c>
      <c r="I3540" t="s">
        <v>75</v>
      </c>
      <c r="J3540">
        <v>0</v>
      </c>
      <c r="K3540">
        <v>1</v>
      </c>
      <c r="L3540">
        <v>2</v>
      </c>
      <c r="M3540">
        <v>456</v>
      </c>
      <c r="N3540">
        <v>218</v>
      </c>
      <c r="O3540">
        <v>5</v>
      </c>
      <c r="P3540">
        <v>218</v>
      </c>
      <c r="Q3540">
        <v>13</v>
      </c>
      <c r="R3540">
        <v>31</v>
      </c>
      <c r="S3540">
        <v>3</v>
      </c>
      <c r="T3540">
        <v>44</v>
      </c>
      <c r="U3540">
        <v>10</v>
      </c>
      <c r="V3540">
        <v>4</v>
      </c>
      <c r="W3540">
        <v>3</v>
      </c>
      <c r="X3540">
        <v>88</v>
      </c>
      <c r="Y3540">
        <v>1</v>
      </c>
      <c r="Z3540">
        <v>8</v>
      </c>
      <c r="AA3540">
        <v>2</v>
      </c>
      <c r="AB3540">
        <v>2</v>
      </c>
      <c r="AD3540">
        <v>0</v>
      </c>
      <c r="AE3540">
        <v>0</v>
      </c>
      <c r="AF3540">
        <v>0</v>
      </c>
      <c r="AG3540">
        <v>0</v>
      </c>
      <c r="AI3540">
        <v>0</v>
      </c>
      <c r="AJ3540">
        <v>9</v>
      </c>
      <c r="AK3540">
        <v>218</v>
      </c>
      <c r="AL3540">
        <v>218</v>
      </c>
      <c r="AM3540">
        <v>630</v>
      </c>
      <c r="AN3540">
        <v>44</v>
      </c>
      <c r="AP3540">
        <v>1</v>
      </c>
      <c r="AR3540" t="s">
        <v>3637</v>
      </c>
      <c r="AS3540" s="1">
        <v>44353.988194444442</v>
      </c>
      <c r="AT3540" s="1">
        <v>44353.992430555554</v>
      </c>
      <c r="AU3540" s="1">
        <v>44353.992997685185</v>
      </c>
      <c r="AV3540" t="s">
        <v>71</v>
      </c>
      <c r="AW3540" t="s">
        <v>72</v>
      </c>
      <c r="AX3540" t="s">
        <v>73</v>
      </c>
    </row>
    <row r="3541" spans="1:50" x14ac:dyDescent="0.3">
      <c r="A3541" t="str">
        <f>"200717C0300"</f>
        <v>200717C0300</v>
      </c>
      <c r="B3541" t="str">
        <f>"200717C03002"</f>
        <v>200717C03002</v>
      </c>
      <c r="C3541" t="str">
        <f t="shared" si="186"/>
        <v>20</v>
      </c>
      <c r="D3541" t="s">
        <v>67</v>
      </c>
      <c r="E3541" t="str">
        <f t="shared" si="185"/>
        <v>016</v>
      </c>
      <c r="F3541" t="s">
        <v>3578</v>
      </c>
      <c r="G3541" t="str">
        <f t="shared" si="188"/>
        <v>0717</v>
      </c>
      <c r="H3541" t="str">
        <f>"0003"</f>
        <v>0003</v>
      </c>
      <c r="I3541" t="s">
        <v>75</v>
      </c>
      <c r="J3541">
        <v>0</v>
      </c>
      <c r="K3541">
        <v>1</v>
      </c>
      <c r="L3541">
        <v>2</v>
      </c>
      <c r="M3541">
        <v>431</v>
      </c>
      <c r="N3541">
        <v>243</v>
      </c>
      <c r="O3541">
        <v>4</v>
      </c>
      <c r="P3541">
        <v>243</v>
      </c>
      <c r="Q3541">
        <v>15</v>
      </c>
      <c r="R3541">
        <v>27</v>
      </c>
      <c r="S3541">
        <v>0</v>
      </c>
      <c r="T3541">
        <v>47</v>
      </c>
      <c r="U3541">
        <v>13</v>
      </c>
      <c r="V3541">
        <v>4</v>
      </c>
      <c r="W3541">
        <v>3</v>
      </c>
      <c r="X3541">
        <v>110</v>
      </c>
      <c r="Y3541">
        <v>1</v>
      </c>
      <c r="Z3541">
        <v>6</v>
      </c>
      <c r="AA3541">
        <v>2</v>
      </c>
      <c r="AB3541">
        <v>6</v>
      </c>
      <c r="AD3541">
        <v>2</v>
      </c>
      <c r="AE3541">
        <v>3</v>
      </c>
      <c r="AF3541">
        <v>0</v>
      </c>
      <c r="AG3541">
        <v>0</v>
      </c>
      <c r="AI3541">
        <v>0</v>
      </c>
      <c r="AJ3541">
        <v>4</v>
      </c>
      <c r="AK3541">
        <v>243</v>
      </c>
      <c r="AL3541">
        <v>243</v>
      </c>
      <c r="AM3541">
        <v>630</v>
      </c>
      <c r="AN3541">
        <v>44</v>
      </c>
      <c r="AP3541">
        <v>1</v>
      </c>
      <c r="AR3541" s="2" t="s">
        <v>3638</v>
      </c>
      <c r="AS3541" s="1">
        <v>44353.875</v>
      </c>
      <c r="AT3541" s="1">
        <v>44353.994293981479</v>
      </c>
      <c r="AU3541" s="1">
        <v>44353.994780092595</v>
      </c>
      <c r="AV3541" t="s">
        <v>71</v>
      </c>
      <c r="AW3541" t="s">
        <v>72</v>
      </c>
      <c r="AX3541" t="s">
        <v>73</v>
      </c>
    </row>
    <row r="3542" spans="1:50" x14ac:dyDescent="0.3">
      <c r="A3542" t="str">
        <f>"200717C0400"</f>
        <v>200717C0400</v>
      </c>
      <c r="B3542" t="str">
        <f>"200717C04002"</f>
        <v>200717C04002</v>
      </c>
      <c r="C3542" t="str">
        <f t="shared" si="186"/>
        <v>20</v>
      </c>
      <c r="D3542" t="s">
        <v>67</v>
      </c>
      <c r="E3542" t="str">
        <f t="shared" si="185"/>
        <v>016</v>
      </c>
      <c r="F3542" t="s">
        <v>3578</v>
      </c>
      <c r="G3542" t="str">
        <f t="shared" si="188"/>
        <v>0717</v>
      </c>
      <c r="H3542" t="str">
        <f>"0004"</f>
        <v>0004</v>
      </c>
      <c r="I3542" t="s">
        <v>75</v>
      </c>
      <c r="J3542">
        <v>0</v>
      </c>
      <c r="K3542">
        <v>1</v>
      </c>
      <c r="L3542">
        <v>2</v>
      </c>
      <c r="M3542">
        <v>450</v>
      </c>
      <c r="N3542">
        <v>223</v>
      </c>
      <c r="O3542">
        <v>2</v>
      </c>
      <c r="P3542">
        <v>223</v>
      </c>
      <c r="Q3542">
        <v>15</v>
      </c>
      <c r="R3542">
        <v>25</v>
      </c>
      <c r="S3542">
        <v>4</v>
      </c>
      <c r="T3542">
        <v>40</v>
      </c>
      <c r="U3542">
        <v>11</v>
      </c>
      <c r="V3542">
        <v>8</v>
      </c>
      <c r="W3542">
        <v>3</v>
      </c>
      <c r="X3542">
        <v>95</v>
      </c>
      <c r="Y3542">
        <v>2</v>
      </c>
      <c r="Z3542">
        <v>4</v>
      </c>
      <c r="AA3542">
        <v>1</v>
      </c>
      <c r="AB3542">
        <v>7</v>
      </c>
      <c r="AD3542">
        <v>0</v>
      </c>
      <c r="AE3542">
        <v>0</v>
      </c>
      <c r="AF3542">
        <v>1</v>
      </c>
      <c r="AG3542">
        <v>0</v>
      </c>
      <c r="AI3542">
        <v>0</v>
      </c>
      <c r="AJ3542">
        <v>7</v>
      </c>
      <c r="AK3542">
        <v>223</v>
      </c>
      <c r="AL3542">
        <v>223</v>
      </c>
      <c r="AM3542">
        <v>630</v>
      </c>
      <c r="AN3542">
        <v>44</v>
      </c>
      <c r="AP3542">
        <v>1</v>
      </c>
      <c r="AR3542" t="s">
        <v>3639</v>
      </c>
      <c r="AS3542" s="1">
        <v>44353.990277777775</v>
      </c>
      <c r="AT3542" s="1">
        <v>44353.994120370371</v>
      </c>
      <c r="AU3542" s="1">
        <v>44353.995648148149</v>
      </c>
      <c r="AV3542" t="s">
        <v>71</v>
      </c>
      <c r="AW3542" t="s">
        <v>72</v>
      </c>
      <c r="AX3542" t="s">
        <v>73</v>
      </c>
    </row>
    <row r="3543" spans="1:50" x14ac:dyDescent="0.3">
      <c r="A3543" t="str">
        <f>"200717C0500"</f>
        <v>200717C0500</v>
      </c>
      <c r="B3543" t="str">
        <f>"200717C05002"</f>
        <v>200717C05002</v>
      </c>
      <c r="C3543" t="str">
        <f t="shared" si="186"/>
        <v>20</v>
      </c>
      <c r="D3543" t="s">
        <v>67</v>
      </c>
      <c r="E3543" t="str">
        <f t="shared" si="185"/>
        <v>016</v>
      </c>
      <c r="F3543" t="s">
        <v>3578</v>
      </c>
      <c r="G3543" t="str">
        <f t="shared" si="188"/>
        <v>0717</v>
      </c>
      <c r="H3543" t="str">
        <f>"0005"</f>
        <v>0005</v>
      </c>
      <c r="I3543" t="s">
        <v>75</v>
      </c>
      <c r="J3543">
        <v>0</v>
      </c>
      <c r="K3543">
        <v>1</v>
      </c>
      <c r="L3543">
        <v>2</v>
      </c>
      <c r="M3543">
        <v>452</v>
      </c>
      <c r="N3543">
        <v>222</v>
      </c>
      <c r="O3543">
        <v>4</v>
      </c>
      <c r="P3543">
        <v>222</v>
      </c>
      <c r="Q3543">
        <v>17</v>
      </c>
      <c r="R3543">
        <v>25</v>
      </c>
      <c r="S3543">
        <v>4</v>
      </c>
      <c r="T3543">
        <v>35</v>
      </c>
      <c r="U3543">
        <v>7</v>
      </c>
      <c r="V3543">
        <v>4</v>
      </c>
      <c r="W3543">
        <v>1</v>
      </c>
      <c r="X3543">
        <v>109</v>
      </c>
      <c r="Y3543">
        <v>0</v>
      </c>
      <c r="Z3543">
        <v>3</v>
      </c>
      <c r="AA3543">
        <v>0</v>
      </c>
      <c r="AB3543">
        <v>3</v>
      </c>
      <c r="AD3543">
        <v>1</v>
      </c>
      <c r="AE3543">
        <v>0</v>
      </c>
      <c r="AF3543">
        <v>0</v>
      </c>
      <c r="AG3543">
        <v>0</v>
      </c>
      <c r="AI3543">
        <v>1</v>
      </c>
      <c r="AJ3543">
        <v>12</v>
      </c>
      <c r="AK3543">
        <v>222</v>
      </c>
      <c r="AL3543">
        <v>222</v>
      </c>
      <c r="AM3543">
        <v>630</v>
      </c>
      <c r="AN3543">
        <v>44</v>
      </c>
      <c r="AP3543">
        <v>1</v>
      </c>
      <c r="AR3543" t="s">
        <v>3640</v>
      </c>
      <c r="AS3543" s="1">
        <v>44353.85</v>
      </c>
      <c r="AT3543" s="1">
        <v>44353.992835648147</v>
      </c>
      <c r="AU3543" s="1">
        <v>44353.993900462963</v>
      </c>
      <c r="AV3543" t="s">
        <v>71</v>
      </c>
      <c r="AW3543" t="s">
        <v>72</v>
      </c>
      <c r="AX3543" t="s">
        <v>73</v>
      </c>
    </row>
    <row r="3544" spans="1:50" x14ac:dyDescent="0.3">
      <c r="A3544" t="str">
        <f>"200718B0000"</f>
        <v>200718B0000</v>
      </c>
      <c r="B3544" t="str">
        <f>"200718B00002"</f>
        <v>200718B00002</v>
      </c>
      <c r="C3544" t="str">
        <f t="shared" si="186"/>
        <v>20</v>
      </c>
      <c r="D3544" t="s">
        <v>67</v>
      </c>
      <c r="E3544" t="str">
        <f t="shared" si="185"/>
        <v>016</v>
      </c>
      <c r="F3544" t="s">
        <v>3578</v>
      </c>
      <c r="G3544" t="str">
        <f>"0718"</f>
        <v>0718</v>
      </c>
      <c r="H3544" t="str">
        <f>"0000"</f>
        <v>0000</v>
      </c>
      <c r="I3544" t="s">
        <v>69</v>
      </c>
      <c r="J3544">
        <v>0</v>
      </c>
      <c r="K3544">
        <v>1</v>
      </c>
      <c r="L3544">
        <v>2</v>
      </c>
      <c r="M3544">
        <v>464</v>
      </c>
      <c r="N3544">
        <v>318</v>
      </c>
      <c r="O3544">
        <v>8</v>
      </c>
      <c r="P3544">
        <v>318</v>
      </c>
      <c r="Q3544">
        <v>29</v>
      </c>
      <c r="R3544">
        <v>35</v>
      </c>
      <c r="S3544">
        <v>1</v>
      </c>
      <c r="T3544">
        <v>76</v>
      </c>
      <c r="U3544">
        <v>16</v>
      </c>
      <c r="V3544">
        <v>4</v>
      </c>
      <c r="W3544">
        <v>0</v>
      </c>
      <c r="X3544">
        <v>134</v>
      </c>
      <c r="Y3544">
        <v>6</v>
      </c>
      <c r="Z3544">
        <v>2</v>
      </c>
      <c r="AA3544">
        <v>0</v>
      </c>
      <c r="AB3544">
        <v>6</v>
      </c>
      <c r="AD3544">
        <v>0</v>
      </c>
      <c r="AE3544">
        <v>0</v>
      </c>
      <c r="AF3544">
        <v>0</v>
      </c>
      <c r="AG3544">
        <v>0</v>
      </c>
      <c r="AI3544">
        <v>0</v>
      </c>
      <c r="AJ3544">
        <v>9</v>
      </c>
      <c r="AK3544">
        <v>318</v>
      </c>
      <c r="AL3544">
        <v>318</v>
      </c>
      <c r="AM3544">
        <v>738</v>
      </c>
      <c r="AN3544">
        <v>44</v>
      </c>
      <c r="AP3544">
        <v>1</v>
      </c>
      <c r="AR3544" t="s">
        <v>3641</v>
      </c>
      <c r="AS3544" s="1">
        <v>44354.009027777778</v>
      </c>
      <c r="AT3544" s="1">
        <v>44354.014236111114</v>
      </c>
      <c r="AU3544" s="1">
        <v>44354.014675925922</v>
      </c>
      <c r="AV3544" t="s">
        <v>71</v>
      </c>
      <c r="AW3544" t="s">
        <v>72</v>
      </c>
      <c r="AX3544" t="s">
        <v>73</v>
      </c>
    </row>
    <row r="3545" spans="1:50" x14ac:dyDescent="0.3">
      <c r="A3545" t="str">
        <f>"200718C0100"</f>
        <v>200718C0100</v>
      </c>
      <c r="B3545" t="str">
        <f>"200718C01002"</f>
        <v>200718C01002</v>
      </c>
      <c r="C3545" t="str">
        <f t="shared" si="186"/>
        <v>20</v>
      </c>
      <c r="D3545" t="s">
        <v>67</v>
      </c>
      <c r="E3545" t="str">
        <f t="shared" si="185"/>
        <v>016</v>
      </c>
      <c r="F3545" t="s">
        <v>3578</v>
      </c>
      <c r="G3545" t="str">
        <f>"0718"</f>
        <v>0718</v>
      </c>
      <c r="H3545" t="str">
        <f>"0001"</f>
        <v>0001</v>
      </c>
      <c r="I3545" t="s">
        <v>75</v>
      </c>
      <c r="J3545">
        <v>0</v>
      </c>
      <c r="K3545">
        <v>1</v>
      </c>
      <c r="L3545">
        <v>2</v>
      </c>
      <c r="M3545">
        <v>507</v>
      </c>
      <c r="N3545">
        <v>275</v>
      </c>
      <c r="O3545">
        <v>6</v>
      </c>
      <c r="P3545">
        <v>275</v>
      </c>
      <c r="Q3545">
        <v>13</v>
      </c>
      <c r="R3545">
        <v>36</v>
      </c>
      <c r="S3545">
        <v>2</v>
      </c>
      <c r="T3545">
        <v>57</v>
      </c>
      <c r="U3545">
        <v>12</v>
      </c>
      <c r="V3545">
        <v>4</v>
      </c>
      <c r="W3545">
        <v>5</v>
      </c>
      <c r="X3545">
        <v>113</v>
      </c>
      <c r="Y3545">
        <v>0</v>
      </c>
      <c r="Z3545">
        <v>7</v>
      </c>
      <c r="AA3545">
        <v>4</v>
      </c>
      <c r="AB3545">
        <v>4</v>
      </c>
      <c r="AD3545">
        <v>1</v>
      </c>
      <c r="AE3545">
        <v>1</v>
      </c>
      <c r="AF3545">
        <v>0</v>
      </c>
      <c r="AG3545">
        <v>0</v>
      </c>
      <c r="AI3545">
        <v>0</v>
      </c>
      <c r="AJ3545">
        <v>16</v>
      </c>
      <c r="AK3545">
        <v>275</v>
      </c>
      <c r="AL3545">
        <v>275</v>
      </c>
      <c r="AM3545">
        <v>738</v>
      </c>
      <c r="AN3545">
        <v>44</v>
      </c>
      <c r="AP3545">
        <v>1</v>
      </c>
      <c r="AR3545" t="s">
        <v>3642</v>
      </c>
      <c r="AS3545" s="1">
        <v>44354.007638888892</v>
      </c>
      <c r="AT3545" s="1">
        <v>44354.015289351853</v>
      </c>
      <c r="AU3545" s="1">
        <v>44354.016435185185</v>
      </c>
      <c r="AV3545" t="s">
        <v>71</v>
      </c>
      <c r="AW3545" t="s">
        <v>72</v>
      </c>
      <c r="AX3545" t="s">
        <v>73</v>
      </c>
    </row>
    <row r="3546" spans="1:50" x14ac:dyDescent="0.3">
      <c r="A3546" t="str">
        <f>"200718C0200"</f>
        <v>200718C0200</v>
      </c>
      <c r="B3546" t="str">
        <f>"200718C02002"</f>
        <v>200718C02002</v>
      </c>
      <c r="C3546" t="str">
        <f t="shared" si="186"/>
        <v>20</v>
      </c>
      <c r="D3546" t="s">
        <v>67</v>
      </c>
      <c r="E3546" t="str">
        <f t="shared" ref="E3546:E3609" si="189">"016"</f>
        <v>016</v>
      </c>
      <c r="F3546" t="s">
        <v>3578</v>
      </c>
      <c r="G3546" t="str">
        <f>"0718"</f>
        <v>0718</v>
      </c>
      <c r="H3546" t="str">
        <f>"0002"</f>
        <v>0002</v>
      </c>
      <c r="I3546" t="s">
        <v>75</v>
      </c>
      <c r="J3546">
        <v>0</v>
      </c>
      <c r="K3546">
        <v>1</v>
      </c>
      <c r="L3546">
        <v>2</v>
      </c>
      <c r="M3546">
        <v>486</v>
      </c>
      <c r="N3546">
        <v>295</v>
      </c>
      <c r="O3546">
        <v>6</v>
      </c>
      <c r="P3546">
        <v>295</v>
      </c>
      <c r="Q3546">
        <v>14</v>
      </c>
      <c r="R3546">
        <v>39</v>
      </c>
      <c r="S3546">
        <v>3</v>
      </c>
      <c r="T3546">
        <v>44</v>
      </c>
      <c r="U3546">
        <v>12</v>
      </c>
      <c r="V3546">
        <v>4</v>
      </c>
      <c r="W3546">
        <v>0</v>
      </c>
      <c r="X3546">
        <v>144</v>
      </c>
      <c r="Y3546">
        <v>1</v>
      </c>
      <c r="Z3546">
        <v>5</v>
      </c>
      <c r="AA3546">
        <v>3</v>
      </c>
      <c r="AB3546">
        <v>6</v>
      </c>
      <c r="AD3546">
        <v>2</v>
      </c>
      <c r="AE3546">
        <v>0</v>
      </c>
      <c r="AF3546">
        <v>0</v>
      </c>
      <c r="AG3546">
        <v>0</v>
      </c>
      <c r="AI3546">
        <v>0</v>
      </c>
      <c r="AJ3546">
        <v>18</v>
      </c>
      <c r="AK3546">
        <v>295</v>
      </c>
      <c r="AL3546">
        <v>295</v>
      </c>
      <c r="AM3546">
        <v>738</v>
      </c>
      <c r="AN3546">
        <v>44</v>
      </c>
      <c r="AP3546">
        <v>1</v>
      </c>
      <c r="AR3546" t="s">
        <v>3643</v>
      </c>
      <c r="AS3546" s="1">
        <v>44354.007638888892</v>
      </c>
      <c r="AT3546" s="1">
        <v>44354.012650462966</v>
      </c>
      <c r="AU3546" s="1">
        <v>44354.013796296298</v>
      </c>
      <c r="AV3546" t="s">
        <v>71</v>
      </c>
      <c r="AW3546" t="s">
        <v>72</v>
      </c>
      <c r="AX3546" t="s">
        <v>73</v>
      </c>
    </row>
    <row r="3547" spans="1:50" x14ac:dyDescent="0.3">
      <c r="A3547" t="str">
        <f>"200718C0300"</f>
        <v>200718C0300</v>
      </c>
      <c r="B3547" t="str">
        <f>"200718C03002"</f>
        <v>200718C03002</v>
      </c>
      <c r="C3547" t="str">
        <f t="shared" si="186"/>
        <v>20</v>
      </c>
      <c r="D3547" t="s">
        <v>67</v>
      </c>
      <c r="E3547" t="str">
        <f t="shared" si="189"/>
        <v>016</v>
      </c>
      <c r="F3547" t="s">
        <v>3578</v>
      </c>
      <c r="G3547" t="str">
        <f>"0718"</f>
        <v>0718</v>
      </c>
      <c r="H3547" t="str">
        <f>"0003"</f>
        <v>0003</v>
      </c>
      <c r="I3547" t="s">
        <v>75</v>
      </c>
      <c r="J3547">
        <v>0</v>
      </c>
      <c r="K3547">
        <v>1</v>
      </c>
      <c r="L3547">
        <v>2</v>
      </c>
      <c r="M3547">
        <v>487</v>
      </c>
      <c r="N3547">
        <v>294</v>
      </c>
      <c r="O3547">
        <v>8</v>
      </c>
      <c r="P3547">
        <v>293</v>
      </c>
      <c r="Q3547">
        <v>24</v>
      </c>
      <c r="R3547">
        <v>30</v>
      </c>
      <c r="S3547">
        <v>4</v>
      </c>
      <c r="T3547">
        <v>58</v>
      </c>
      <c r="U3547">
        <v>12</v>
      </c>
      <c r="V3547">
        <v>5</v>
      </c>
      <c r="W3547">
        <v>3</v>
      </c>
      <c r="X3547">
        <v>122</v>
      </c>
      <c r="Y3547">
        <v>2</v>
      </c>
      <c r="Z3547">
        <v>3</v>
      </c>
      <c r="AA3547">
        <v>2</v>
      </c>
      <c r="AB3547">
        <v>3</v>
      </c>
      <c r="AD3547">
        <v>6</v>
      </c>
      <c r="AE3547">
        <v>2</v>
      </c>
      <c r="AF3547">
        <v>0</v>
      </c>
      <c r="AG3547">
        <v>0</v>
      </c>
      <c r="AI3547">
        <v>0</v>
      </c>
      <c r="AJ3547">
        <v>17</v>
      </c>
      <c r="AK3547">
        <v>293</v>
      </c>
      <c r="AL3547">
        <v>293</v>
      </c>
      <c r="AM3547">
        <v>737</v>
      </c>
      <c r="AN3547">
        <v>44</v>
      </c>
      <c r="AP3547">
        <v>1</v>
      </c>
      <c r="AR3547" t="s">
        <v>3644</v>
      </c>
      <c r="AS3547" s="1">
        <v>44354.009027777778</v>
      </c>
      <c r="AT3547" s="1">
        <v>44354.015381944446</v>
      </c>
      <c r="AU3547" s="1">
        <v>44354.015798611108</v>
      </c>
      <c r="AV3547" t="s">
        <v>71</v>
      </c>
      <c r="AW3547" t="s">
        <v>72</v>
      </c>
      <c r="AX3547" t="s">
        <v>73</v>
      </c>
    </row>
    <row r="3548" spans="1:50" x14ac:dyDescent="0.3">
      <c r="A3548" t="str">
        <f>"200718C0400"</f>
        <v>200718C0400</v>
      </c>
      <c r="B3548" t="str">
        <f>"200718C04002"</f>
        <v>200718C04002</v>
      </c>
      <c r="C3548" t="str">
        <f t="shared" si="186"/>
        <v>20</v>
      </c>
      <c r="D3548" t="s">
        <v>67</v>
      </c>
      <c r="E3548" t="str">
        <f t="shared" si="189"/>
        <v>016</v>
      </c>
      <c r="F3548" t="s">
        <v>3578</v>
      </c>
      <c r="G3548" t="str">
        <f>"0718"</f>
        <v>0718</v>
      </c>
      <c r="H3548" t="str">
        <f>"0004"</f>
        <v>0004</v>
      </c>
      <c r="I3548" t="s">
        <v>75</v>
      </c>
      <c r="J3548">
        <v>0</v>
      </c>
      <c r="K3548">
        <v>1</v>
      </c>
      <c r="L3548">
        <v>2</v>
      </c>
      <c r="M3548">
        <v>478</v>
      </c>
      <c r="N3548">
        <v>302</v>
      </c>
      <c r="O3548">
        <v>5</v>
      </c>
      <c r="P3548">
        <v>300</v>
      </c>
      <c r="Q3548">
        <v>25</v>
      </c>
      <c r="R3548">
        <v>40</v>
      </c>
      <c r="S3548">
        <v>6</v>
      </c>
      <c r="T3548">
        <v>53</v>
      </c>
      <c r="U3548">
        <v>18</v>
      </c>
      <c r="V3548">
        <v>3</v>
      </c>
      <c r="W3548">
        <v>2</v>
      </c>
      <c r="X3548">
        <v>131</v>
      </c>
      <c r="Y3548">
        <v>1</v>
      </c>
      <c r="Z3548">
        <v>6</v>
      </c>
      <c r="AA3548">
        <v>2</v>
      </c>
      <c r="AB3548">
        <v>3</v>
      </c>
      <c r="AD3548">
        <v>4</v>
      </c>
      <c r="AE3548">
        <v>1</v>
      </c>
      <c r="AF3548">
        <v>0</v>
      </c>
      <c r="AG3548">
        <v>0</v>
      </c>
      <c r="AI3548">
        <v>0</v>
      </c>
      <c r="AJ3548">
        <v>7</v>
      </c>
      <c r="AK3548">
        <v>300</v>
      </c>
      <c r="AL3548">
        <v>302</v>
      </c>
      <c r="AM3548">
        <v>737</v>
      </c>
      <c r="AN3548">
        <v>44</v>
      </c>
      <c r="AP3548">
        <v>1</v>
      </c>
      <c r="AR3548" t="s">
        <v>3645</v>
      </c>
      <c r="AS3548" s="1">
        <v>44354.009722222225</v>
      </c>
      <c r="AT3548" s="1">
        <v>44354.016122685185</v>
      </c>
      <c r="AU3548" s="1">
        <v>44354.016782407409</v>
      </c>
      <c r="AV3548" t="s">
        <v>71</v>
      </c>
      <c r="AW3548" t="s">
        <v>72</v>
      </c>
      <c r="AX3548" t="s">
        <v>73</v>
      </c>
    </row>
    <row r="3549" spans="1:50" x14ac:dyDescent="0.3">
      <c r="A3549" t="str">
        <f>"200763B0000"</f>
        <v>200763B0000</v>
      </c>
      <c r="B3549" t="str">
        <f>"200763B00002"</f>
        <v>200763B00002</v>
      </c>
      <c r="C3549" t="str">
        <f t="shared" si="186"/>
        <v>20</v>
      </c>
      <c r="D3549" t="s">
        <v>67</v>
      </c>
      <c r="E3549" t="str">
        <f t="shared" si="189"/>
        <v>016</v>
      </c>
      <c r="F3549" t="s">
        <v>3578</v>
      </c>
      <c r="G3549" t="str">
        <f>"0763"</f>
        <v>0763</v>
      </c>
      <c r="H3549" t="str">
        <f>"0000"</f>
        <v>0000</v>
      </c>
      <c r="I3549" t="s">
        <v>69</v>
      </c>
      <c r="J3549">
        <v>0</v>
      </c>
      <c r="K3549">
        <v>1</v>
      </c>
      <c r="L3549">
        <v>2</v>
      </c>
      <c r="M3549">
        <v>395</v>
      </c>
      <c r="N3549">
        <v>291</v>
      </c>
      <c r="O3549">
        <v>0</v>
      </c>
      <c r="P3549">
        <v>291</v>
      </c>
      <c r="Q3549">
        <v>54</v>
      </c>
      <c r="R3549">
        <v>23</v>
      </c>
      <c r="S3549">
        <v>1</v>
      </c>
      <c r="T3549">
        <v>46</v>
      </c>
      <c r="U3549">
        <v>36</v>
      </c>
      <c r="V3549">
        <v>3</v>
      </c>
      <c r="W3549">
        <v>2</v>
      </c>
      <c r="X3549">
        <v>85</v>
      </c>
      <c r="Y3549">
        <v>1</v>
      </c>
      <c r="Z3549">
        <v>6</v>
      </c>
      <c r="AA3549">
        <v>7</v>
      </c>
      <c r="AB3549">
        <v>2</v>
      </c>
      <c r="AD3549">
        <v>1</v>
      </c>
      <c r="AE3549">
        <v>4</v>
      </c>
      <c r="AF3549">
        <v>0</v>
      </c>
      <c r="AG3549">
        <v>1</v>
      </c>
      <c r="AI3549">
        <v>0</v>
      </c>
      <c r="AJ3549">
        <v>19</v>
      </c>
      <c r="AK3549">
        <v>291</v>
      </c>
      <c r="AL3549">
        <v>291</v>
      </c>
      <c r="AM3549">
        <v>642</v>
      </c>
      <c r="AN3549">
        <v>44</v>
      </c>
      <c r="AP3549">
        <v>1</v>
      </c>
      <c r="AR3549" t="s">
        <v>3646</v>
      </c>
      <c r="AS3549" s="1">
        <v>44354</v>
      </c>
      <c r="AT3549" s="1">
        <v>44354.006620370368</v>
      </c>
      <c r="AU3549" s="1">
        <v>44354.007326388892</v>
      </c>
      <c r="AV3549" t="s">
        <v>71</v>
      </c>
      <c r="AW3549" t="s">
        <v>72</v>
      </c>
      <c r="AX3549" t="s">
        <v>73</v>
      </c>
    </row>
    <row r="3550" spans="1:50" x14ac:dyDescent="0.3">
      <c r="A3550" t="str">
        <f>"200766B0000"</f>
        <v>200766B0000</v>
      </c>
      <c r="B3550" t="str">
        <f>"200766B00002"</f>
        <v>200766B00002</v>
      </c>
      <c r="C3550" t="str">
        <f t="shared" si="186"/>
        <v>20</v>
      </c>
      <c r="D3550" t="s">
        <v>67</v>
      </c>
      <c r="E3550" t="str">
        <f t="shared" si="189"/>
        <v>016</v>
      </c>
      <c r="F3550" t="s">
        <v>3578</v>
      </c>
      <c r="G3550" t="str">
        <f>"0766"</f>
        <v>0766</v>
      </c>
      <c r="H3550" t="str">
        <f>"0000"</f>
        <v>0000</v>
      </c>
      <c r="I3550" t="s">
        <v>69</v>
      </c>
      <c r="J3550">
        <v>0</v>
      </c>
      <c r="K3550">
        <v>1</v>
      </c>
      <c r="L3550">
        <v>2</v>
      </c>
      <c r="M3550">
        <v>313</v>
      </c>
      <c r="N3550">
        <v>416</v>
      </c>
      <c r="O3550">
        <v>1</v>
      </c>
      <c r="P3550">
        <v>416</v>
      </c>
      <c r="Q3550">
        <v>6</v>
      </c>
      <c r="R3550">
        <v>1</v>
      </c>
      <c r="S3550">
        <v>2</v>
      </c>
      <c r="T3550">
        <v>59</v>
      </c>
      <c r="U3550">
        <v>95</v>
      </c>
      <c r="V3550">
        <v>5</v>
      </c>
      <c r="W3550">
        <v>1</v>
      </c>
      <c r="X3550">
        <v>125</v>
      </c>
      <c r="Y3550">
        <v>0</v>
      </c>
      <c r="Z3550">
        <v>1</v>
      </c>
      <c r="AA3550">
        <v>1</v>
      </c>
      <c r="AB3550">
        <v>12</v>
      </c>
      <c r="AD3550">
        <v>2</v>
      </c>
      <c r="AE3550">
        <v>0</v>
      </c>
      <c r="AF3550">
        <v>0</v>
      </c>
      <c r="AG3550">
        <v>0</v>
      </c>
      <c r="AI3550">
        <v>0</v>
      </c>
      <c r="AJ3550">
        <v>22</v>
      </c>
      <c r="AK3550">
        <v>416</v>
      </c>
      <c r="AL3550">
        <v>332</v>
      </c>
      <c r="AM3550">
        <v>685</v>
      </c>
      <c r="AN3550">
        <v>44</v>
      </c>
      <c r="AP3550">
        <v>1</v>
      </c>
      <c r="AR3550" t="s">
        <v>3647</v>
      </c>
      <c r="AS3550" s="1">
        <v>44353.96130787037</v>
      </c>
      <c r="AT3550" s="1">
        <v>44353.96429398148</v>
      </c>
      <c r="AU3550" s="1">
        <v>44353.96502314815</v>
      </c>
      <c r="AV3550" t="s">
        <v>269</v>
      </c>
      <c r="AW3550" t="s">
        <v>270</v>
      </c>
      <c r="AX3550" t="s">
        <v>73</v>
      </c>
    </row>
    <row r="3551" spans="1:50" x14ac:dyDescent="0.3">
      <c r="A3551" t="str">
        <f>"200766C0100"</f>
        <v>200766C0100</v>
      </c>
      <c r="B3551" t="str">
        <f>"200766C01002"</f>
        <v>200766C01002</v>
      </c>
      <c r="C3551" t="str">
        <f t="shared" si="186"/>
        <v>20</v>
      </c>
      <c r="D3551" t="s">
        <v>67</v>
      </c>
      <c r="E3551" t="str">
        <f t="shared" si="189"/>
        <v>016</v>
      </c>
      <c r="F3551" t="s">
        <v>3578</v>
      </c>
      <c r="G3551" t="str">
        <f>"0766"</f>
        <v>0766</v>
      </c>
      <c r="H3551" t="str">
        <f>"0001"</f>
        <v>0001</v>
      </c>
      <c r="I3551" t="s">
        <v>75</v>
      </c>
      <c r="J3551">
        <v>0</v>
      </c>
      <c r="K3551">
        <v>1</v>
      </c>
      <c r="L3551">
        <v>2</v>
      </c>
      <c r="M3551">
        <v>310</v>
      </c>
      <c r="N3551">
        <v>419</v>
      </c>
      <c r="O3551">
        <v>0</v>
      </c>
      <c r="P3551">
        <v>419</v>
      </c>
      <c r="Q3551">
        <v>6</v>
      </c>
      <c r="R3551">
        <v>126</v>
      </c>
      <c r="S3551">
        <v>3</v>
      </c>
      <c r="T3551">
        <v>50</v>
      </c>
      <c r="U3551">
        <v>70</v>
      </c>
      <c r="V3551">
        <v>0</v>
      </c>
      <c r="W3551">
        <v>3</v>
      </c>
      <c r="X3551">
        <v>115</v>
      </c>
      <c r="Y3551">
        <v>1</v>
      </c>
      <c r="Z3551">
        <v>1</v>
      </c>
      <c r="AA3551">
        <v>2</v>
      </c>
      <c r="AB3551">
        <v>14</v>
      </c>
      <c r="AD3551">
        <v>2</v>
      </c>
      <c r="AE3551">
        <v>0</v>
      </c>
      <c r="AF3551">
        <v>0</v>
      </c>
      <c r="AG3551">
        <v>1</v>
      </c>
      <c r="AI3551">
        <v>0</v>
      </c>
      <c r="AJ3551">
        <v>25</v>
      </c>
      <c r="AK3551">
        <v>419</v>
      </c>
      <c r="AL3551">
        <v>419</v>
      </c>
      <c r="AM3551">
        <v>685</v>
      </c>
      <c r="AN3551">
        <v>44</v>
      </c>
      <c r="AP3551">
        <v>1</v>
      </c>
      <c r="AR3551" t="s">
        <v>3648</v>
      </c>
      <c r="AS3551" s="1">
        <v>44353.973553240743</v>
      </c>
      <c r="AT3551" s="1">
        <v>44353.975243055553</v>
      </c>
      <c r="AU3551" s="1">
        <v>44353.975648148145</v>
      </c>
      <c r="AV3551" t="s">
        <v>269</v>
      </c>
      <c r="AW3551" t="s">
        <v>270</v>
      </c>
      <c r="AX3551" t="s">
        <v>73</v>
      </c>
    </row>
    <row r="3552" spans="1:50" x14ac:dyDescent="0.3">
      <c r="A3552" t="str">
        <f>"200767B0000"</f>
        <v>200767B0000</v>
      </c>
      <c r="B3552" t="str">
        <f>"200767B00002"</f>
        <v>200767B00002</v>
      </c>
      <c r="C3552" t="str">
        <f t="shared" si="186"/>
        <v>20</v>
      </c>
      <c r="D3552" t="s">
        <v>67</v>
      </c>
      <c r="E3552" t="str">
        <f t="shared" si="189"/>
        <v>016</v>
      </c>
      <c r="F3552" t="s">
        <v>3578</v>
      </c>
      <c r="G3552" t="str">
        <f>"0767"</f>
        <v>0767</v>
      </c>
      <c r="H3552" t="str">
        <f>"0000"</f>
        <v>0000</v>
      </c>
      <c r="I3552" t="s">
        <v>69</v>
      </c>
      <c r="J3552">
        <v>0</v>
      </c>
      <c r="K3552">
        <v>1</v>
      </c>
      <c r="L3552">
        <v>2</v>
      </c>
      <c r="M3552">
        <v>232</v>
      </c>
      <c r="N3552">
        <v>254</v>
      </c>
      <c r="O3552">
        <v>2</v>
      </c>
      <c r="P3552">
        <v>255</v>
      </c>
      <c r="Q3552">
        <v>8</v>
      </c>
      <c r="R3552">
        <v>56</v>
      </c>
      <c r="S3552">
        <v>3</v>
      </c>
      <c r="T3552">
        <v>18</v>
      </c>
      <c r="U3552">
        <v>36</v>
      </c>
      <c r="V3552">
        <v>2</v>
      </c>
      <c r="W3552">
        <v>9</v>
      </c>
      <c r="X3552">
        <v>104</v>
      </c>
      <c r="Y3552">
        <v>0</v>
      </c>
      <c r="Z3552">
        <v>1</v>
      </c>
      <c r="AA3552">
        <v>1</v>
      </c>
      <c r="AB3552">
        <v>12</v>
      </c>
      <c r="AD3552">
        <v>0</v>
      </c>
      <c r="AE3552">
        <v>2</v>
      </c>
      <c r="AF3552">
        <v>0</v>
      </c>
      <c r="AG3552">
        <v>0</v>
      </c>
      <c r="AI3552">
        <v>0</v>
      </c>
      <c r="AJ3552">
        <v>11</v>
      </c>
      <c r="AK3552">
        <v>255</v>
      </c>
      <c r="AL3552">
        <v>263</v>
      </c>
      <c r="AM3552">
        <v>443</v>
      </c>
      <c r="AN3552">
        <v>44</v>
      </c>
      <c r="AP3552">
        <v>1</v>
      </c>
      <c r="AR3552" t="s">
        <v>3649</v>
      </c>
      <c r="AS3552" s="1">
        <v>44354.095138888886</v>
      </c>
      <c r="AT3552" s="1">
        <v>44354.108831018515</v>
      </c>
      <c r="AU3552" s="1">
        <v>44354.111111111109</v>
      </c>
      <c r="AV3552" t="s">
        <v>71</v>
      </c>
      <c r="AW3552" t="s">
        <v>72</v>
      </c>
      <c r="AX3552" t="s">
        <v>73</v>
      </c>
    </row>
    <row r="3553" spans="1:50" x14ac:dyDescent="0.3">
      <c r="A3553" t="str">
        <f>"200767C0100"</f>
        <v>200767C0100</v>
      </c>
      <c r="B3553" t="str">
        <f>"200767C01002"</f>
        <v>200767C01002</v>
      </c>
      <c r="C3553" t="str">
        <f t="shared" si="186"/>
        <v>20</v>
      </c>
      <c r="D3553" t="s">
        <v>67</v>
      </c>
      <c r="E3553" t="str">
        <f t="shared" si="189"/>
        <v>016</v>
      </c>
      <c r="F3553" t="s">
        <v>3578</v>
      </c>
      <c r="G3553" t="str">
        <f>"0767"</f>
        <v>0767</v>
      </c>
      <c r="H3553" t="str">
        <f>"0001"</f>
        <v>0001</v>
      </c>
      <c r="I3553" t="s">
        <v>75</v>
      </c>
      <c r="J3553">
        <v>0</v>
      </c>
      <c r="K3553">
        <v>1</v>
      </c>
      <c r="L3553">
        <v>2</v>
      </c>
      <c r="M3553">
        <v>217</v>
      </c>
      <c r="N3553">
        <v>270</v>
      </c>
      <c r="O3553">
        <v>1</v>
      </c>
      <c r="P3553">
        <v>1</v>
      </c>
      <c r="Q3553">
        <v>4</v>
      </c>
      <c r="R3553">
        <v>69</v>
      </c>
      <c r="S3553">
        <v>3</v>
      </c>
      <c r="T3553">
        <v>17</v>
      </c>
      <c r="U3553">
        <v>41</v>
      </c>
      <c r="V3553">
        <v>3</v>
      </c>
      <c r="W3553">
        <v>1</v>
      </c>
      <c r="X3553">
        <v>94</v>
      </c>
      <c r="Y3553">
        <v>1</v>
      </c>
      <c r="Z3553">
        <v>2</v>
      </c>
      <c r="AA3553">
        <v>0</v>
      </c>
      <c r="AB3553">
        <v>14</v>
      </c>
      <c r="AD3553">
        <v>5</v>
      </c>
      <c r="AE3553">
        <v>0</v>
      </c>
      <c r="AF3553">
        <v>0</v>
      </c>
      <c r="AG3553">
        <v>0</v>
      </c>
      <c r="AI3553">
        <v>0</v>
      </c>
      <c r="AJ3553">
        <v>16</v>
      </c>
      <c r="AK3553">
        <v>270</v>
      </c>
      <c r="AL3553">
        <v>270</v>
      </c>
      <c r="AM3553">
        <v>443</v>
      </c>
      <c r="AN3553">
        <v>44</v>
      </c>
      <c r="AP3553">
        <v>1</v>
      </c>
      <c r="AR3553" t="s">
        <v>3650</v>
      </c>
      <c r="AS3553" s="1">
        <v>44354.097916666666</v>
      </c>
      <c r="AT3553" s="1">
        <v>44354.100624999999</v>
      </c>
      <c r="AU3553" s="1">
        <v>44354.100960648146</v>
      </c>
      <c r="AV3553" t="s">
        <v>71</v>
      </c>
      <c r="AW3553" t="s">
        <v>72</v>
      </c>
      <c r="AX3553" t="s">
        <v>73</v>
      </c>
    </row>
    <row r="3554" spans="1:50" x14ac:dyDescent="0.3">
      <c r="A3554" t="str">
        <f>"200767E0100"</f>
        <v>200767E0100</v>
      </c>
      <c r="B3554" t="str">
        <f>"200767E01002"</f>
        <v>200767E01002</v>
      </c>
      <c r="C3554" t="str">
        <f t="shared" si="186"/>
        <v>20</v>
      </c>
      <c r="D3554" t="s">
        <v>67</v>
      </c>
      <c r="E3554" t="str">
        <f t="shared" si="189"/>
        <v>016</v>
      </c>
      <c r="F3554" t="s">
        <v>3578</v>
      </c>
      <c r="G3554" t="str">
        <f>"0767"</f>
        <v>0767</v>
      </c>
      <c r="H3554" t="str">
        <f>"0001"</f>
        <v>0001</v>
      </c>
      <c r="I3554" t="s">
        <v>109</v>
      </c>
      <c r="J3554">
        <v>0</v>
      </c>
      <c r="K3554">
        <v>1</v>
      </c>
      <c r="L3554">
        <v>2</v>
      </c>
      <c r="M3554">
        <v>106</v>
      </c>
      <c r="N3554">
        <v>57</v>
      </c>
      <c r="O3554">
        <v>8</v>
      </c>
      <c r="P3554" t="s">
        <v>80</v>
      </c>
      <c r="Q3554">
        <v>13</v>
      </c>
      <c r="R3554">
        <v>14</v>
      </c>
      <c r="S3554">
        <v>1</v>
      </c>
      <c r="T3554">
        <v>8</v>
      </c>
      <c r="U3554">
        <v>5</v>
      </c>
      <c r="V3554">
        <v>0</v>
      </c>
      <c r="W3554">
        <v>1</v>
      </c>
      <c r="X3554">
        <v>9</v>
      </c>
      <c r="Y3554">
        <v>0</v>
      </c>
      <c r="Z3554">
        <v>0</v>
      </c>
      <c r="AA3554">
        <v>0</v>
      </c>
      <c r="AB3554">
        <v>0</v>
      </c>
      <c r="AD3554">
        <v>1</v>
      </c>
      <c r="AE3554">
        <v>0</v>
      </c>
      <c r="AF3554">
        <v>0</v>
      </c>
      <c r="AG3554">
        <v>1</v>
      </c>
      <c r="AI3554">
        <v>0</v>
      </c>
      <c r="AJ3554">
        <v>4</v>
      </c>
      <c r="AK3554">
        <v>57</v>
      </c>
      <c r="AL3554">
        <v>57</v>
      </c>
      <c r="AM3554">
        <v>119</v>
      </c>
      <c r="AN3554">
        <v>44</v>
      </c>
      <c r="AP3554">
        <v>1</v>
      </c>
      <c r="AR3554" t="s">
        <v>3651</v>
      </c>
      <c r="AS3554" s="1">
        <v>44354.108634259261</v>
      </c>
      <c r="AT3554" s="1">
        <v>44354.110520833332</v>
      </c>
      <c r="AU3554" s="1">
        <v>44354.110983796294</v>
      </c>
      <c r="AV3554" t="s">
        <v>71</v>
      </c>
      <c r="AW3554" t="s">
        <v>72</v>
      </c>
      <c r="AX3554" t="s">
        <v>73</v>
      </c>
    </row>
    <row r="3555" spans="1:50" x14ac:dyDescent="0.3">
      <c r="A3555" t="str">
        <f>"200768B0000"</f>
        <v>200768B0000</v>
      </c>
      <c r="B3555" t="str">
        <f>"200768B00002"</f>
        <v>200768B00002</v>
      </c>
      <c r="C3555" t="str">
        <f t="shared" si="186"/>
        <v>20</v>
      </c>
      <c r="D3555" t="s">
        <v>67</v>
      </c>
      <c r="E3555" t="str">
        <f t="shared" si="189"/>
        <v>016</v>
      </c>
      <c r="F3555" t="s">
        <v>3578</v>
      </c>
      <c r="G3555" t="str">
        <f>"0768"</f>
        <v>0768</v>
      </c>
      <c r="H3555" t="str">
        <f>"0000"</f>
        <v>0000</v>
      </c>
      <c r="I3555" t="s">
        <v>69</v>
      </c>
      <c r="J3555">
        <v>0</v>
      </c>
      <c r="K3555">
        <v>1</v>
      </c>
      <c r="L3555">
        <v>2</v>
      </c>
      <c r="M3555">
        <v>209</v>
      </c>
      <c r="N3555">
        <v>285</v>
      </c>
      <c r="O3555">
        <v>0</v>
      </c>
      <c r="P3555">
        <v>285</v>
      </c>
      <c r="Q3555">
        <v>9</v>
      </c>
      <c r="R3555">
        <v>53</v>
      </c>
      <c r="S3555">
        <v>4</v>
      </c>
      <c r="T3555">
        <v>20</v>
      </c>
      <c r="U3555">
        <v>36</v>
      </c>
      <c r="V3555">
        <v>3</v>
      </c>
      <c r="W3555">
        <v>2</v>
      </c>
      <c r="X3555">
        <v>114</v>
      </c>
      <c r="Y3555">
        <v>0</v>
      </c>
      <c r="Z3555">
        <v>4</v>
      </c>
      <c r="AA3555">
        <v>3</v>
      </c>
      <c r="AB3555">
        <v>22</v>
      </c>
      <c r="AD3555">
        <v>1</v>
      </c>
      <c r="AE3555">
        <v>1</v>
      </c>
      <c r="AF3555">
        <v>0</v>
      </c>
      <c r="AG3555">
        <v>1</v>
      </c>
      <c r="AI3555">
        <v>0</v>
      </c>
      <c r="AJ3555">
        <v>12</v>
      </c>
      <c r="AK3555">
        <v>285</v>
      </c>
      <c r="AL3555">
        <v>285</v>
      </c>
      <c r="AM3555">
        <v>450</v>
      </c>
      <c r="AN3555">
        <v>44</v>
      </c>
      <c r="AP3555">
        <v>1</v>
      </c>
      <c r="AR3555" t="s">
        <v>3652</v>
      </c>
      <c r="AS3555" s="1">
        <v>44353.91505787037</v>
      </c>
      <c r="AT3555" s="1">
        <v>44353.916319444441</v>
      </c>
      <c r="AU3555" s="1">
        <v>44353.916886574072</v>
      </c>
      <c r="AV3555" t="s">
        <v>269</v>
      </c>
      <c r="AW3555" t="s">
        <v>270</v>
      </c>
      <c r="AX3555" t="s">
        <v>73</v>
      </c>
    </row>
    <row r="3556" spans="1:50" x14ac:dyDescent="0.3">
      <c r="A3556" t="str">
        <f>"200768C0100"</f>
        <v>200768C0100</v>
      </c>
      <c r="B3556" t="str">
        <f>"200768C01002"</f>
        <v>200768C01002</v>
      </c>
      <c r="C3556" t="str">
        <f t="shared" si="186"/>
        <v>20</v>
      </c>
      <c r="D3556" t="s">
        <v>67</v>
      </c>
      <c r="E3556" t="str">
        <f t="shared" si="189"/>
        <v>016</v>
      </c>
      <c r="F3556" t="s">
        <v>3578</v>
      </c>
      <c r="G3556" t="str">
        <f>"0768"</f>
        <v>0768</v>
      </c>
      <c r="H3556" t="str">
        <f>"0001"</f>
        <v>0001</v>
      </c>
      <c r="I3556" t="s">
        <v>75</v>
      </c>
      <c r="J3556">
        <v>0</v>
      </c>
      <c r="K3556">
        <v>1</v>
      </c>
      <c r="L3556">
        <v>2</v>
      </c>
      <c r="M3556">
        <v>232</v>
      </c>
      <c r="N3556">
        <v>258</v>
      </c>
      <c r="O3556">
        <v>0</v>
      </c>
      <c r="P3556">
        <v>258</v>
      </c>
      <c r="Q3556">
        <v>5</v>
      </c>
      <c r="R3556">
        <v>49</v>
      </c>
      <c r="S3556">
        <v>4</v>
      </c>
      <c r="T3556">
        <v>12</v>
      </c>
      <c r="U3556">
        <v>33</v>
      </c>
      <c r="V3556">
        <v>4</v>
      </c>
      <c r="W3556">
        <v>2</v>
      </c>
      <c r="X3556">
        <v>115</v>
      </c>
      <c r="Y3556">
        <v>0</v>
      </c>
      <c r="Z3556">
        <v>2</v>
      </c>
      <c r="AA3556">
        <v>1</v>
      </c>
      <c r="AB3556">
        <v>19</v>
      </c>
      <c r="AD3556">
        <v>1</v>
      </c>
      <c r="AE3556">
        <v>0</v>
      </c>
      <c r="AF3556">
        <v>0</v>
      </c>
      <c r="AG3556">
        <v>0</v>
      </c>
      <c r="AI3556">
        <v>0</v>
      </c>
      <c r="AJ3556">
        <v>11</v>
      </c>
      <c r="AK3556">
        <v>258</v>
      </c>
      <c r="AL3556">
        <v>258</v>
      </c>
      <c r="AM3556">
        <v>449</v>
      </c>
      <c r="AN3556">
        <v>44</v>
      </c>
      <c r="AP3556">
        <v>1</v>
      </c>
      <c r="AR3556" t="s">
        <v>3653</v>
      </c>
      <c r="AS3556" s="1">
        <v>44353.934074074074</v>
      </c>
      <c r="AT3556" s="1">
        <v>44353.935856481483</v>
      </c>
      <c r="AU3556" s="1">
        <v>44353.936886574076</v>
      </c>
      <c r="AV3556" t="s">
        <v>269</v>
      </c>
      <c r="AW3556" t="s">
        <v>270</v>
      </c>
      <c r="AX3556" t="s">
        <v>73</v>
      </c>
    </row>
    <row r="3557" spans="1:50" x14ac:dyDescent="0.3">
      <c r="A3557" t="str">
        <f>"200769B0000"</f>
        <v>200769B0000</v>
      </c>
      <c r="B3557" t="str">
        <f>"200769B00002"</f>
        <v>200769B00002</v>
      </c>
      <c r="C3557" t="str">
        <f t="shared" si="186"/>
        <v>20</v>
      </c>
      <c r="D3557" t="s">
        <v>67</v>
      </c>
      <c r="E3557" t="str">
        <f t="shared" si="189"/>
        <v>016</v>
      </c>
      <c r="F3557" t="s">
        <v>3578</v>
      </c>
      <c r="G3557" t="str">
        <f>"0769"</f>
        <v>0769</v>
      </c>
      <c r="H3557" t="str">
        <f>"0000"</f>
        <v>0000</v>
      </c>
      <c r="I3557" t="s">
        <v>69</v>
      </c>
      <c r="J3557">
        <v>0</v>
      </c>
      <c r="K3557">
        <v>1</v>
      </c>
      <c r="L3557">
        <v>2</v>
      </c>
      <c r="M3557">
        <v>224</v>
      </c>
      <c r="N3557">
        <v>380</v>
      </c>
      <c r="O3557">
        <v>5</v>
      </c>
      <c r="P3557">
        <v>380</v>
      </c>
      <c r="Q3557">
        <v>8</v>
      </c>
      <c r="R3557">
        <v>81</v>
      </c>
      <c r="S3557">
        <v>5</v>
      </c>
      <c r="T3557">
        <v>38</v>
      </c>
      <c r="U3557">
        <v>57</v>
      </c>
      <c r="V3557">
        <v>2</v>
      </c>
      <c r="W3557">
        <v>3</v>
      </c>
      <c r="X3557">
        <v>142</v>
      </c>
      <c r="Y3557">
        <v>0</v>
      </c>
      <c r="Z3557">
        <v>2</v>
      </c>
      <c r="AA3557">
        <v>2</v>
      </c>
      <c r="AB3557">
        <v>20</v>
      </c>
      <c r="AD3557">
        <v>2</v>
      </c>
      <c r="AE3557">
        <v>1</v>
      </c>
      <c r="AF3557">
        <v>0</v>
      </c>
      <c r="AG3557">
        <v>0</v>
      </c>
      <c r="AI3557">
        <v>0</v>
      </c>
      <c r="AJ3557">
        <v>17</v>
      </c>
      <c r="AK3557">
        <v>380</v>
      </c>
      <c r="AL3557">
        <v>380</v>
      </c>
      <c r="AM3557">
        <v>561</v>
      </c>
      <c r="AN3557">
        <v>44</v>
      </c>
      <c r="AP3557">
        <v>1</v>
      </c>
      <c r="AR3557" t="s">
        <v>3654</v>
      </c>
      <c r="AS3557" s="1">
        <v>44354.063194444447</v>
      </c>
      <c r="AT3557" s="1">
        <v>44354.069016203706</v>
      </c>
      <c r="AU3557" s="1">
        <v>44354.069386574076</v>
      </c>
      <c r="AV3557" t="s">
        <v>71</v>
      </c>
      <c r="AW3557" t="s">
        <v>72</v>
      </c>
      <c r="AX3557" t="s">
        <v>73</v>
      </c>
    </row>
    <row r="3558" spans="1:50" x14ac:dyDescent="0.3">
      <c r="A3558" t="str">
        <f>"200769C0100"</f>
        <v>200769C0100</v>
      </c>
      <c r="B3558" t="str">
        <f>"200769C01002"</f>
        <v>200769C01002</v>
      </c>
      <c r="C3558" t="str">
        <f t="shared" si="186"/>
        <v>20</v>
      </c>
      <c r="D3558" t="s">
        <v>67</v>
      </c>
      <c r="E3558" t="str">
        <f t="shared" si="189"/>
        <v>016</v>
      </c>
      <c r="F3558" t="s">
        <v>3578</v>
      </c>
      <c r="G3558" t="str">
        <f>"0769"</f>
        <v>0769</v>
      </c>
      <c r="H3558" t="str">
        <f>"0001"</f>
        <v>0001</v>
      </c>
      <c r="I3558" t="s">
        <v>75</v>
      </c>
      <c r="J3558">
        <v>0</v>
      </c>
      <c r="K3558">
        <v>1</v>
      </c>
      <c r="L3558">
        <v>2</v>
      </c>
      <c r="M3558">
        <v>258</v>
      </c>
      <c r="N3558">
        <v>346</v>
      </c>
      <c r="O3558">
        <v>2</v>
      </c>
      <c r="P3558">
        <v>346</v>
      </c>
      <c r="Q3558">
        <v>12</v>
      </c>
      <c r="R3558">
        <v>82</v>
      </c>
      <c r="S3558">
        <v>2</v>
      </c>
      <c r="T3558">
        <v>36</v>
      </c>
      <c r="U3558">
        <v>54</v>
      </c>
      <c r="V3558">
        <v>2</v>
      </c>
      <c r="W3558">
        <v>3</v>
      </c>
      <c r="X3558">
        <v>116</v>
      </c>
      <c r="Y3558">
        <v>1</v>
      </c>
      <c r="Z3558">
        <v>2</v>
      </c>
      <c r="AA3558">
        <v>2</v>
      </c>
      <c r="AB3558">
        <v>24</v>
      </c>
      <c r="AD3558">
        <v>0</v>
      </c>
      <c r="AE3558">
        <v>0</v>
      </c>
      <c r="AF3558">
        <v>0</v>
      </c>
      <c r="AG3558">
        <v>0</v>
      </c>
      <c r="AI3558">
        <v>0</v>
      </c>
      <c r="AJ3558">
        <v>10</v>
      </c>
      <c r="AK3558">
        <v>346</v>
      </c>
      <c r="AL3558">
        <v>346</v>
      </c>
      <c r="AM3558">
        <v>560</v>
      </c>
      <c r="AN3558">
        <v>44</v>
      </c>
      <c r="AP3558">
        <v>1</v>
      </c>
      <c r="AR3558" t="s">
        <v>3655</v>
      </c>
      <c r="AS3558" s="1">
        <v>44353.746527777781</v>
      </c>
      <c r="AT3558" s="1">
        <v>44354.069803240738</v>
      </c>
      <c r="AU3558" s="1">
        <v>44354.070474537039</v>
      </c>
      <c r="AV3558" t="s">
        <v>71</v>
      </c>
      <c r="AW3558" t="s">
        <v>72</v>
      </c>
      <c r="AX3558" t="s">
        <v>73</v>
      </c>
    </row>
    <row r="3559" spans="1:50" x14ac:dyDescent="0.3">
      <c r="A3559" t="str">
        <f>"200770B0000"</f>
        <v>200770B0000</v>
      </c>
      <c r="B3559" t="str">
        <f>"200770B00002"</f>
        <v>200770B00002</v>
      </c>
      <c r="C3559" t="str">
        <f t="shared" si="186"/>
        <v>20</v>
      </c>
      <c r="D3559" t="s">
        <v>67</v>
      </c>
      <c r="E3559" t="str">
        <f t="shared" si="189"/>
        <v>016</v>
      </c>
      <c r="F3559" t="s">
        <v>3578</v>
      </c>
      <c r="G3559" t="str">
        <f>"0770"</f>
        <v>0770</v>
      </c>
      <c r="H3559" t="str">
        <f>"0000"</f>
        <v>0000</v>
      </c>
      <c r="I3559" t="s">
        <v>69</v>
      </c>
      <c r="J3559">
        <v>0</v>
      </c>
      <c r="K3559">
        <v>1</v>
      </c>
      <c r="L3559">
        <v>2</v>
      </c>
      <c r="M3559">
        <v>493</v>
      </c>
      <c r="N3559">
        <v>222</v>
      </c>
      <c r="O3559">
        <v>1</v>
      </c>
      <c r="P3559">
        <v>222</v>
      </c>
      <c r="Q3559">
        <v>8</v>
      </c>
      <c r="R3559">
        <v>30</v>
      </c>
      <c r="S3559">
        <v>4</v>
      </c>
      <c r="T3559">
        <v>14</v>
      </c>
      <c r="U3559">
        <v>14</v>
      </c>
      <c r="V3559">
        <v>3</v>
      </c>
      <c r="W3559">
        <v>3</v>
      </c>
      <c r="X3559">
        <v>124</v>
      </c>
      <c r="Y3559">
        <v>3</v>
      </c>
      <c r="Z3559">
        <v>3</v>
      </c>
      <c r="AA3559">
        <v>1</v>
      </c>
      <c r="AB3559">
        <v>2</v>
      </c>
      <c r="AD3559">
        <v>0</v>
      </c>
      <c r="AE3559">
        <v>0</v>
      </c>
      <c r="AF3559">
        <v>0</v>
      </c>
      <c r="AG3559">
        <v>0</v>
      </c>
      <c r="AI3559">
        <v>0</v>
      </c>
      <c r="AJ3559">
        <v>13</v>
      </c>
      <c r="AK3559">
        <v>222</v>
      </c>
      <c r="AL3559">
        <v>222</v>
      </c>
      <c r="AM3559">
        <v>671</v>
      </c>
      <c r="AN3559">
        <v>44</v>
      </c>
      <c r="AP3559">
        <v>1</v>
      </c>
      <c r="AR3559" t="s">
        <v>3656</v>
      </c>
      <c r="AS3559" s="1">
        <v>44354.179861111108</v>
      </c>
      <c r="AT3559" s="1">
        <v>44354.181516203702</v>
      </c>
      <c r="AU3559" s="1">
        <v>44354.182488425926</v>
      </c>
      <c r="AV3559" t="s">
        <v>71</v>
      </c>
      <c r="AW3559" t="s">
        <v>72</v>
      </c>
      <c r="AX3559" t="s">
        <v>73</v>
      </c>
    </row>
    <row r="3560" spans="1:50" x14ac:dyDescent="0.3">
      <c r="A3560" t="str">
        <f>"200770C0100"</f>
        <v>200770C0100</v>
      </c>
      <c r="B3560" t="str">
        <f>"200770C01002"</f>
        <v>200770C01002</v>
      </c>
      <c r="C3560" t="str">
        <f t="shared" si="186"/>
        <v>20</v>
      </c>
      <c r="D3560" t="s">
        <v>67</v>
      </c>
      <c r="E3560" t="str">
        <f t="shared" si="189"/>
        <v>016</v>
      </c>
      <c r="F3560" t="s">
        <v>3578</v>
      </c>
      <c r="G3560" t="str">
        <f>"0770"</f>
        <v>0770</v>
      </c>
      <c r="H3560" t="str">
        <f>"0001"</f>
        <v>0001</v>
      </c>
      <c r="I3560" t="s">
        <v>75</v>
      </c>
      <c r="J3560">
        <v>0</v>
      </c>
      <c r="K3560">
        <v>1</v>
      </c>
      <c r="L3560">
        <v>2</v>
      </c>
      <c r="M3560">
        <v>478</v>
      </c>
      <c r="N3560">
        <v>241</v>
      </c>
      <c r="O3560">
        <v>4</v>
      </c>
      <c r="P3560">
        <v>241</v>
      </c>
      <c r="Q3560">
        <v>9</v>
      </c>
      <c r="R3560">
        <v>36</v>
      </c>
      <c r="S3560">
        <v>7</v>
      </c>
      <c r="T3560">
        <v>25</v>
      </c>
      <c r="U3560">
        <v>4</v>
      </c>
      <c r="V3560">
        <v>7</v>
      </c>
      <c r="W3560">
        <v>4</v>
      </c>
      <c r="X3560">
        <v>129</v>
      </c>
      <c r="Y3560">
        <v>2</v>
      </c>
      <c r="Z3560">
        <v>4</v>
      </c>
      <c r="AA3560">
        <v>5</v>
      </c>
      <c r="AB3560">
        <v>2</v>
      </c>
      <c r="AD3560" t="s">
        <v>77</v>
      </c>
      <c r="AE3560" t="s">
        <v>77</v>
      </c>
      <c r="AF3560">
        <v>1</v>
      </c>
      <c r="AG3560" t="s">
        <v>77</v>
      </c>
      <c r="AI3560">
        <v>0</v>
      </c>
      <c r="AJ3560" t="s">
        <v>99</v>
      </c>
      <c r="AK3560">
        <v>241</v>
      </c>
      <c r="AL3560">
        <v>235</v>
      </c>
      <c r="AM3560">
        <v>671</v>
      </c>
      <c r="AN3560">
        <v>44</v>
      </c>
      <c r="AO3560" t="s">
        <v>78</v>
      </c>
      <c r="AP3560">
        <v>1</v>
      </c>
      <c r="AR3560" t="s">
        <v>3657</v>
      </c>
      <c r="AS3560" s="1">
        <v>44354.041666666664</v>
      </c>
      <c r="AT3560" s="1">
        <v>44354.178449074076</v>
      </c>
      <c r="AU3560" s="1">
        <v>44354.1796412037</v>
      </c>
      <c r="AV3560" t="s">
        <v>71</v>
      </c>
      <c r="AW3560" t="s">
        <v>72</v>
      </c>
      <c r="AX3560" t="s">
        <v>73</v>
      </c>
    </row>
    <row r="3561" spans="1:50" x14ac:dyDescent="0.3">
      <c r="A3561" t="str">
        <f>"200770E0100"</f>
        <v>200770E0100</v>
      </c>
      <c r="B3561" t="str">
        <f>"200770E01002"</f>
        <v>200770E01002</v>
      </c>
      <c r="C3561" t="str">
        <f t="shared" si="186"/>
        <v>20</v>
      </c>
      <c r="D3561" t="s">
        <v>67</v>
      </c>
      <c r="E3561" t="str">
        <f t="shared" si="189"/>
        <v>016</v>
      </c>
      <c r="F3561" t="s">
        <v>3578</v>
      </c>
      <c r="G3561" t="str">
        <f>"0770"</f>
        <v>0770</v>
      </c>
      <c r="H3561" t="str">
        <f>"0001"</f>
        <v>0001</v>
      </c>
      <c r="I3561" t="s">
        <v>109</v>
      </c>
      <c r="J3561">
        <v>0</v>
      </c>
      <c r="K3561">
        <v>1</v>
      </c>
      <c r="L3561">
        <v>2</v>
      </c>
      <c r="M3561">
        <v>137</v>
      </c>
      <c r="N3561">
        <v>189</v>
      </c>
      <c r="O3561">
        <v>11</v>
      </c>
      <c r="P3561">
        <v>189</v>
      </c>
      <c r="Q3561">
        <v>0</v>
      </c>
      <c r="R3561">
        <v>25</v>
      </c>
      <c r="S3561">
        <v>2</v>
      </c>
      <c r="T3561">
        <v>17</v>
      </c>
      <c r="U3561">
        <v>53</v>
      </c>
      <c r="V3561">
        <v>0</v>
      </c>
      <c r="W3561">
        <v>0</v>
      </c>
      <c r="X3561">
        <v>88</v>
      </c>
      <c r="Y3561">
        <v>0</v>
      </c>
      <c r="Z3561">
        <v>2</v>
      </c>
      <c r="AA3561">
        <v>0</v>
      </c>
      <c r="AB3561">
        <v>0</v>
      </c>
      <c r="AD3561" t="s">
        <v>77</v>
      </c>
      <c r="AE3561" t="s">
        <v>77</v>
      </c>
      <c r="AF3561" t="s">
        <v>77</v>
      </c>
      <c r="AG3561" t="s">
        <v>77</v>
      </c>
      <c r="AI3561">
        <v>0</v>
      </c>
      <c r="AJ3561">
        <v>2</v>
      </c>
      <c r="AK3561">
        <v>189</v>
      </c>
      <c r="AL3561">
        <v>189</v>
      </c>
      <c r="AM3561">
        <v>282</v>
      </c>
      <c r="AN3561">
        <v>44</v>
      </c>
      <c r="AO3561" t="s">
        <v>78</v>
      </c>
      <c r="AP3561">
        <v>1</v>
      </c>
      <c r="AR3561" t="s">
        <v>3658</v>
      </c>
      <c r="AS3561" s="1">
        <v>44353.965277777781</v>
      </c>
      <c r="AT3561" s="1">
        <v>44354.181805555556</v>
      </c>
      <c r="AU3561" s="1">
        <v>44354.183344907404</v>
      </c>
      <c r="AV3561" t="s">
        <v>71</v>
      </c>
      <c r="AW3561" t="s">
        <v>72</v>
      </c>
      <c r="AX3561" t="s">
        <v>73</v>
      </c>
    </row>
    <row r="3562" spans="1:50" x14ac:dyDescent="0.3">
      <c r="A3562" t="str">
        <f>"200771B0000"</f>
        <v>200771B0000</v>
      </c>
      <c r="B3562" t="str">
        <f>"200771B00002"</f>
        <v>200771B00002</v>
      </c>
      <c r="C3562" t="str">
        <f t="shared" si="186"/>
        <v>20</v>
      </c>
      <c r="D3562" t="s">
        <v>67</v>
      </c>
      <c r="E3562" t="str">
        <f t="shared" si="189"/>
        <v>016</v>
      </c>
      <c r="F3562" t="s">
        <v>3578</v>
      </c>
      <c r="G3562" t="str">
        <f>"0771"</f>
        <v>0771</v>
      </c>
      <c r="H3562" t="str">
        <f t="shared" ref="H3562:H3569" si="190">"0000"</f>
        <v>0000</v>
      </c>
      <c r="I3562" t="s">
        <v>69</v>
      </c>
      <c r="J3562">
        <v>0</v>
      </c>
      <c r="K3562">
        <v>1</v>
      </c>
      <c r="L3562">
        <v>2</v>
      </c>
      <c r="M3562">
        <v>144</v>
      </c>
      <c r="N3562">
        <v>130</v>
      </c>
      <c r="O3562">
        <v>0</v>
      </c>
      <c r="P3562">
        <v>130</v>
      </c>
      <c r="Q3562">
        <v>36</v>
      </c>
      <c r="R3562">
        <v>17</v>
      </c>
      <c r="S3562">
        <v>2</v>
      </c>
      <c r="T3562">
        <v>2</v>
      </c>
      <c r="U3562">
        <v>2</v>
      </c>
      <c r="V3562">
        <v>0</v>
      </c>
      <c r="W3562">
        <v>0</v>
      </c>
      <c r="X3562">
        <v>67</v>
      </c>
      <c r="Y3562">
        <v>0</v>
      </c>
      <c r="Z3562">
        <v>2</v>
      </c>
      <c r="AA3562">
        <v>1</v>
      </c>
      <c r="AB3562">
        <v>1</v>
      </c>
      <c r="AD3562">
        <v>1</v>
      </c>
      <c r="AE3562">
        <v>0</v>
      </c>
      <c r="AF3562">
        <v>0</v>
      </c>
      <c r="AG3562">
        <v>0</v>
      </c>
      <c r="AI3562">
        <v>0</v>
      </c>
      <c r="AJ3562">
        <v>0</v>
      </c>
      <c r="AK3562">
        <v>130</v>
      </c>
      <c r="AL3562">
        <v>131</v>
      </c>
      <c r="AM3562">
        <v>230</v>
      </c>
      <c r="AN3562">
        <v>44</v>
      </c>
      <c r="AP3562">
        <v>1</v>
      </c>
      <c r="AR3562" t="s">
        <v>3659</v>
      </c>
      <c r="AS3562" s="1">
        <v>44353.819444444445</v>
      </c>
      <c r="AT3562" s="1">
        <v>44354.178402777776</v>
      </c>
      <c r="AU3562" s="1">
        <v>44354.178969907407</v>
      </c>
      <c r="AV3562" t="s">
        <v>71</v>
      </c>
      <c r="AW3562" t="s">
        <v>72</v>
      </c>
      <c r="AX3562" t="s">
        <v>73</v>
      </c>
    </row>
    <row r="3563" spans="1:50" x14ac:dyDescent="0.3">
      <c r="A3563" t="str">
        <f>"200782B0000"</f>
        <v>200782B0000</v>
      </c>
      <c r="B3563" t="str">
        <f>"200782B00002"</f>
        <v>200782B00002</v>
      </c>
      <c r="C3563" t="str">
        <f t="shared" si="186"/>
        <v>20</v>
      </c>
      <c r="D3563" t="s">
        <v>67</v>
      </c>
      <c r="E3563" t="str">
        <f t="shared" si="189"/>
        <v>016</v>
      </c>
      <c r="F3563" t="s">
        <v>3578</v>
      </c>
      <c r="G3563" t="str">
        <f>"0782"</f>
        <v>0782</v>
      </c>
      <c r="H3563" t="str">
        <f t="shared" si="190"/>
        <v>0000</v>
      </c>
      <c r="I3563" t="s">
        <v>69</v>
      </c>
      <c r="J3563">
        <v>0</v>
      </c>
      <c r="K3563">
        <v>1</v>
      </c>
      <c r="L3563">
        <v>2</v>
      </c>
      <c r="M3563">
        <v>325</v>
      </c>
      <c r="N3563">
        <v>618</v>
      </c>
      <c r="O3563">
        <v>0</v>
      </c>
      <c r="P3563">
        <v>293</v>
      </c>
      <c r="Q3563">
        <v>20</v>
      </c>
      <c r="R3563">
        <v>7</v>
      </c>
      <c r="S3563">
        <v>10</v>
      </c>
      <c r="T3563">
        <v>59</v>
      </c>
      <c r="U3563">
        <v>14</v>
      </c>
      <c r="V3563">
        <v>3</v>
      </c>
      <c r="W3563">
        <v>2</v>
      </c>
      <c r="X3563">
        <v>156</v>
      </c>
      <c r="Y3563">
        <v>0</v>
      </c>
      <c r="Z3563">
        <v>8</v>
      </c>
      <c r="AA3563">
        <v>2</v>
      </c>
      <c r="AB3563">
        <v>1</v>
      </c>
      <c r="AD3563" t="s">
        <v>77</v>
      </c>
      <c r="AE3563" t="s">
        <v>77</v>
      </c>
      <c r="AF3563" t="s">
        <v>77</v>
      </c>
      <c r="AG3563" t="s">
        <v>77</v>
      </c>
      <c r="AI3563" t="s">
        <v>77</v>
      </c>
      <c r="AJ3563">
        <v>11</v>
      </c>
      <c r="AK3563">
        <v>293</v>
      </c>
      <c r="AL3563">
        <v>293</v>
      </c>
      <c r="AM3563">
        <v>574</v>
      </c>
      <c r="AN3563">
        <v>44</v>
      </c>
      <c r="AO3563" t="s">
        <v>78</v>
      </c>
      <c r="AP3563">
        <v>1</v>
      </c>
      <c r="AR3563" t="s">
        <v>3660</v>
      </c>
      <c r="AS3563" s="1">
        <v>44354.174305555556</v>
      </c>
      <c r="AT3563" s="1">
        <v>44354.177951388891</v>
      </c>
      <c r="AU3563" s="1">
        <v>44354.178402777776</v>
      </c>
      <c r="AV3563" t="s">
        <v>71</v>
      </c>
      <c r="AW3563" t="s">
        <v>72</v>
      </c>
      <c r="AX3563" t="s">
        <v>73</v>
      </c>
    </row>
    <row r="3564" spans="1:50" x14ac:dyDescent="0.3">
      <c r="A3564" t="str">
        <f>"200783B0000"</f>
        <v>200783B0000</v>
      </c>
      <c r="B3564" t="str">
        <f>"200783B00002"</f>
        <v>200783B00002</v>
      </c>
      <c r="C3564" t="str">
        <f t="shared" si="186"/>
        <v>20</v>
      </c>
      <c r="D3564" t="s">
        <v>67</v>
      </c>
      <c r="E3564" t="str">
        <f t="shared" si="189"/>
        <v>016</v>
      </c>
      <c r="F3564" t="s">
        <v>3578</v>
      </c>
      <c r="G3564" t="str">
        <f>"0783"</f>
        <v>0783</v>
      </c>
      <c r="H3564" t="str">
        <f t="shared" si="190"/>
        <v>0000</v>
      </c>
      <c r="I3564" t="s">
        <v>69</v>
      </c>
      <c r="J3564">
        <v>0</v>
      </c>
      <c r="K3564">
        <v>1</v>
      </c>
      <c r="L3564">
        <v>2</v>
      </c>
      <c r="M3564">
        <v>398</v>
      </c>
      <c r="N3564">
        <v>355</v>
      </c>
      <c r="O3564">
        <v>2</v>
      </c>
      <c r="P3564">
        <v>355</v>
      </c>
      <c r="Q3564">
        <v>35</v>
      </c>
      <c r="R3564">
        <v>9</v>
      </c>
      <c r="S3564">
        <v>14</v>
      </c>
      <c r="T3564">
        <v>68</v>
      </c>
      <c r="U3564">
        <v>24</v>
      </c>
      <c r="V3564">
        <v>1</v>
      </c>
      <c r="W3564">
        <v>16</v>
      </c>
      <c r="X3564">
        <v>164</v>
      </c>
      <c r="Y3564">
        <v>0</v>
      </c>
      <c r="Z3564">
        <v>5</v>
      </c>
      <c r="AA3564">
        <v>5</v>
      </c>
      <c r="AB3564">
        <v>2</v>
      </c>
      <c r="AD3564">
        <v>2</v>
      </c>
      <c r="AE3564" t="s">
        <v>77</v>
      </c>
      <c r="AF3564" t="s">
        <v>77</v>
      </c>
      <c r="AG3564" t="s">
        <v>77</v>
      </c>
      <c r="AI3564" t="s">
        <v>77</v>
      </c>
      <c r="AJ3564" t="s">
        <v>77</v>
      </c>
      <c r="AK3564" t="s">
        <v>77</v>
      </c>
      <c r="AL3564">
        <v>345</v>
      </c>
      <c r="AM3564">
        <v>709</v>
      </c>
      <c r="AN3564">
        <v>44</v>
      </c>
      <c r="AO3564" t="s">
        <v>78</v>
      </c>
      <c r="AP3564">
        <v>1</v>
      </c>
      <c r="AR3564" t="s">
        <v>3661</v>
      </c>
      <c r="AS3564" s="1">
        <v>44354.168055555558</v>
      </c>
      <c r="AT3564" s="1">
        <v>44354.170648148145</v>
      </c>
      <c r="AU3564" s="1">
        <v>44354.171099537038</v>
      </c>
      <c r="AV3564" t="s">
        <v>71</v>
      </c>
      <c r="AW3564" t="s">
        <v>72</v>
      </c>
      <c r="AX3564" t="s">
        <v>73</v>
      </c>
    </row>
    <row r="3565" spans="1:50" x14ac:dyDescent="0.3">
      <c r="A3565" t="str">
        <f>"200784B0000"</f>
        <v>200784B0000</v>
      </c>
      <c r="B3565" t="str">
        <f>"200784B00002"</f>
        <v>200784B00002</v>
      </c>
      <c r="C3565" t="str">
        <f t="shared" si="186"/>
        <v>20</v>
      </c>
      <c r="D3565" t="s">
        <v>67</v>
      </c>
      <c r="E3565" t="str">
        <f t="shared" si="189"/>
        <v>016</v>
      </c>
      <c r="F3565" t="s">
        <v>3578</v>
      </c>
      <c r="G3565" t="str">
        <f>"0784"</f>
        <v>0784</v>
      </c>
      <c r="H3565" t="str">
        <f t="shared" si="190"/>
        <v>0000</v>
      </c>
      <c r="I3565" t="s">
        <v>69</v>
      </c>
      <c r="J3565">
        <v>0</v>
      </c>
      <c r="K3565">
        <v>1</v>
      </c>
      <c r="L3565">
        <v>2</v>
      </c>
      <c r="M3565">
        <v>78</v>
      </c>
      <c r="N3565">
        <v>63</v>
      </c>
      <c r="O3565">
        <v>2</v>
      </c>
      <c r="P3565">
        <v>63</v>
      </c>
      <c r="Q3565">
        <v>7</v>
      </c>
      <c r="R3565">
        <v>1</v>
      </c>
      <c r="S3565">
        <v>2</v>
      </c>
      <c r="T3565">
        <v>4</v>
      </c>
      <c r="U3565">
        <v>5</v>
      </c>
      <c r="V3565">
        <v>0</v>
      </c>
      <c r="W3565">
        <v>0</v>
      </c>
      <c r="X3565">
        <v>36</v>
      </c>
      <c r="Y3565">
        <v>0</v>
      </c>
      <c r="Z3565">
        <v>0</v>
      </c>
      <c r="AA3565">
        <v>0</v>
      </c>
      <c r="AB3565">
        <v>0</v>
      </c>
      <c r="AD3565">
        <v>0</v>
      </c>
      <c r="AE3565">
        <v>0</v>
      </c>
      <c r="AF3565">
        <v>0</v>
      </c>
      <c r="AG3565">
        <v>0</v>
      </c>
      <c r="AI3565">
        <v>0</v>
      </c>
      <c r="AJ3565">
        <v>8</v>
      </c>
      <c r="AK3565">
        <v>63</v>
      </c>
      <c r="AL3565">
        <v>63</v>
      </c>
      <c r="AM3565">
        <v>97</v>
      </c>
      <c r="AN3565">
        <v>44</v>
      </c>
      <c r="AP3565">
        <v>1</v>
      </c>
      <c r="AR3565" t="s">
        <v>3662</v>
      </c>
      <c r="AS3565" s="1">
        <v>44354.17291666667</v>
      </c>
      <c r="AT3565" s="1">
        <v>44354.174641203703</v>
      </c>
      <c r="AU3565" s="1">
        <v>44354.175138888888</v>
      </c>
      <c r="AV3565" t="s">
        <v>71</v>
      </c>
      <c r="AW3565" t="s">
        <v>72</v>
      </c>
      <c r="AX3565" t="s">
        <v>73</v>
      </c>
    </row>
    <row r="3566" spans="1:50" x14ac:dyDescent="0.3">
      <c r="A3566" t="str">
        <f>"200785B0000"</f>
        <v>200785B0000</v>
      </c>
      <c r="B3566" t="str">
        <f>"200785B00002"</f>
        <v>200785B00002</v>
      </c>
      <c r="C3566" t="str">
        <f t="shared" si="186"/>
        <v>20</v>
      </c>
      <c r="D3566" t="s">
        <v>67</v>
      </c>
      <c r="E3566" t="str">
        <f t="shared" si="189"/>
        <v>016</v>
      </c>
      <c r="F3566" t="s">
        <v>3578</v>
      </c>
      <c r="G3566" t="str">
        <f>"0785"</f>
        <v>0785</v>
      </c>
      <c r="H3566" t="str">
        <f t="shared" si="190"/>
        <v>0000</v>
      </c>
      <c r="I3566" t="s">
        <v>69</v>
      </c>
      <c r="J3566">
        <v>0</v>
      </c>
      <c r="K3566">
        <v>1</v>
      </c>
      <c r="L3566">
        <v>2</v>
      </c>
      <c r="M3566">
        <v>84</v>
      </c>
      <c r="N3566">
        <v>181</v>
      </c>
      <c r="O3566">
        <v>2</v>
      </c>
      <c r="P3566">
        <v>181</v>
      </c>
      <c r="Q3566">
        <v>7</v>
      </c>
      <c r="R3566">
        <v>1</v>
      </c>
      <c r="S3566">
        <v>0</v>
      </c>
      <c r="T3566">
        <v>17</v>
      </c>
      <c r="U3566">
        <v>8</v>
      </c>
      <c r="V3566">
        <v>0</v>
      </c>
      <c r="W3566">
        <v>4</v>
      </c>
      <c r="X3566">
        <v>137</v>
      </c>
      <c r="Y3566">
        <v>0</v>
      </c>
      <c r="Z3566">
        <v>3</v>
      </c>
      <c r="AA3566">
        <v>1</v>
      </c>
      <c r="AB3566">
        <v>0</v>
      </c>
      <c r="AD3566">
        <v>0</v>
      </c>
      <c r="AE3566">
        <v>0</v>
      </c>
      <c r="AF3566">
        <v>0</v>
      </c>
      <c r="AG3566">
        <v>0</v>
      </c>
      <c r="AI3566">
        <v>1</v>
      </c>
      <c r="AJ3566">
        <v>2</v>
      </c>
      <c r="AK3566">
        <v>181</v>
      </c>
      <c r="AL3566">
        <v>181</v>
      </c>
      <c r="AM3566">
        <v>221</v>
      </c>
      <c r="AN3566">
        <v>44</v>
      </c>
      <c r="AP3566">
        <v>1</v>
      </c>
      <c r="AR3566" t="s">
        <v>3663</v>
      </c>
      <c r="AS3566" s="1">
        <v>44353.833333333336</v>
      </c>
      <c r="AT3566" s="1">
        <v>44354.239201388889</v>
      </c>
      <c r="AU3566" s="1">
        <v>44354.239675925928</v>
      </c>
      <c r="AV3566" t="s">
        <v>71</v>
      </c>
      <c r="AW3566" t="s">
        <v>72</v>
      </c>
      <c r="AX3566" t="s">
        <v>73</v>
      </c>
    </row>
    <row r="3567" spans="1:50" x14ac:dyDescent="0.3">
      <c r="A3567" t="str">
        <f>"200786B0000"</f>
        <v>200786B0000</v>
      </c>
      <c r="B3567" t="str">
        <f>"200786B00002"</f>
        <v>200786B00002</v>
      </c>
      <c r="C3567" t="str">
        <f t="shared" si="186"/>
        <v>20</v>
      </c>
      <c r="D3567" t="s">
        <v>67</v>
      </c>
      <c r="E3567" t="str">
        <f t="shared" si="189"/>
        <v>016</v>
      </c>
      <c r="F3567" t="s">
        <v>3578</v>
      </c>
      <c r="G3567" t="str">
        <f>"0786"</f>
        <v>0786</v>
      </c>
      <c r="H3567" t="str">
        <f t="shared" si="190"/>
        <v>0000</v>
      </c>
      <c r="I3567" t="s">
        <v>69</v>
      </c>
      <c r="J3567">
        <v>0</v>
      </c>
      <c r="K3567">
        <v>1</v>
      </c>
      <c r="L3567">
        <v>2</v>
      </c>
      <c r="M3567">
        <v>151</v>
      </c>
      <c r="N3567">
        <v>205</v>
      </c>
      <c r="O3567">
        <v>1</v>
      </c>
      <c r="P3567">
        <v>205</v>
      </c>
      <c r="Q3567">
        <v>0</v>
      </c>
      <c r="R3567">
        <v>0</v>
      </c>
      <c r="S3567">
        <v>1</v>
      </c>
      <c r="T3567">
        <v>2</v>
      </c>
      <c r="U3567">
        <v>13</v>
      </c>
      <c r="V3567">
        <v>3</v>
      </c>
      <c r="W3567">
        <v>3</v>
      </c>
      <c r="X3567">
        <v>172</v>
      </c>
      <c r="Y3567">
        <v>1</v>
      </c>
      <c r="Z3567">
        <v>4</v>
      </c>
      <c r="AA3567">
        <v>0</v>
      </c>
      <c r="AB3567">
        <v>0</v>
      </c>
      <c r="AD3567">
        <v>0</v>
      </c>
      <c r="AE3567">
        <v>0</v>
      </c>
      <c r="AF3567">
        <v>0</v>
      </c>
      <c r="AG3567">
        <v>0</v>
      </c>
      <c r="AI3567">
        <v>0</v>
      </c>
      <c r="AJ3567">
        <v>6</v>
      </c>
      <c r="AK3567">
        <v>205</v>
      </c>
      <c r="AL3567">
        <v>205</v>
      </c>
      <c r="AM3567">
        <v>312</v>
      </c>
      <c r="AN3567">
        <v>44</v>
      </c>
      <c r="AP3567">
        <v>1</v>
      </c>
      <c r="AR3567" t="s">
        <v>3664</v>
      </c>
      <c r="AS3567" s="1">
        <v>44354.231944444444</v>
      </c>
      <c r="AT3567" s="1">
        <v>44354.234398148146</v>
      </c>
      <c r="AU3567" s="1">
        <v>44354.234907407408</v>
      </c>
      <c r="AV3567" t="s">
        <v>71</v>
      </c>
      <c r="AW3567" t="s">
        <v>72</v>
      </c>
      <c r="AX3567" t="s">
        <v>73</v>
      </c>
    </row>
    <row r="3568" spans="1:50" x14ac:dyDescent="0.3">
      <c r="A3568" t="str">
        <f>"200787B0000"</f>
        <v>200787B0000</v>
      </c>
      <c r="B3568" t="str">
        <f>"200787B00002"</f>
        <v>200787B00002</v>
      </c>
      <c r="C3568" t="str">
        <f t="shared" si="186"/>
        <v>20</v>
      </c>
      <c r="D3568" t="s">
        <v>67</v>
      </c>
      <c r="E3568" t="str">
        <f t="shared" si="189"/>
        <v>016</v>
      </c>
      <c r="F3568" t="s">
        <v>3578</v>
      </c>
      <c r="G3568" t="str">
        <f>"0787"</f>
        <v>0787</v>
      </c>
      <c r="H3568" t="str">
        <f t="shared" si="190"/>
        <v>0000</v>
      </c>
      <c r="I3568" t="s">
        <v>69</v>
      </c>
      <c r="J3568">
        <v>0</v>
      </c>
      <c r="K3568">
        <v>1</v>
      </c>
      <c r="L3568">
        <v>2</v>
      </c>
      <c r="M3568">
        <v>122</v>
      </c>
      <c r="N3568">
        <v>156</v>
      </c>
      <c r="O3568">
        <v>1</v>
      </c>
      <c r="P3568">
        <v>156</v>
      </c>
      <c r="Q3568">
        <v>9</v>
      </c>
      <c r="R3568">
        <v>2</v>
      </c>
      <c r="S3568">
        <v>2</v>
      </c>
      <c r="T3568">
        <v>3</v>
      </c>
      <c r="U3568">
        <v>52</v>
      </c>
      <c r="V3568">
        <v>1</v>
      </c>
      <c r="W3568">
        <v>0</v>
      </c>
      <c r="X3568">
        <v>83</v>
      </c>
      <c r="Y3568">
        <v>0</v>
      </c>
      <c r="Z3568">
        <v>1</v>
      </c>
      <c r="AA3568">
        <v>0</v>
      </c>
      <c r="AB3568">
        <v>1</v>
      </c>
      <c r="AD3568">
        <v>0</v>
      </c>
      <c r="AE3568">
        <v>0</v>
      </c>
      <c r="AF3568">
        <v>0</v>
      </c>
      <c r="AG3568">
        <v>0</v>
      </c>
      <c r="AI3568">
        <v>0</v>
      </c>
      <c r="AJ3568">
        <v>2</v>
      </c>
      <c r="AK3568">
        <v>156</v>
      </c>
      <c r="AL3568">
        <v>156</v>
      </c>
      <c r="AM3568">
        <v>234</v>
      </c>
      <c r="AN3568">
        <v>44</v>
      </c>
      <c r="AP3568">
        <v>1</v>
      </c>
      <c r="AR3568" t="s">
        <v>3665</v>
      </c>
      <c r="AS3568" s="1">
        <v>44354.234027777777</v>
      </c>
      <c r="AT3568" s="1">
        <v>44354.237245370372</v>
      </c>
      <c r="AU3568" s="1">
        <v>44354.237800925926</v>
      </c>
      <c r="AV3568" t="s">
        <v>71</v>
      </c>
      <c r="AW3568" t="s">
        <v>72</v>
      </c>
      <c r="AX3568" t="s">
        <v>73</v>
      </c>
    </row>
    <row r="3569" spans="1:50" x14ac:dyDescent="0.3">
      <c r="A3569" t="str">
        <f>"200798B0000"</f>
        <v>200798B0000</v>
      </c>
      <c r="B3569" t="str">
        <f>"200798B00002"</f>
        <v>200798B00002</v>
      </c>
      <c r="C3569" t="str">
        <f t="shared" si="186"/>
        <v>20</v>
      </c>
      <c r="D3569" t="s">
        <v>67</v>
      </c>
      <c r="E3569" t="str">
        <f t="shared" si="189"/>
        <v>016</v>
      </c>
      <c r="F3569" t="s">
        <v>3578</v>
      </c>
      <c r="G3569" t="str">
        <f>"0798"</f>
        <v>0798</v>
      </c>
      <c r="H3569" t="str">
        <f t="shared" si="190"/>
        <v>0000</v>
      </c>
      <c r="I3569" t="s">
        <v>69</v>
      </c>
      <c r="J3569">
        <v>0</v>
      </c>
      <c r="K3569">
        <v>1</v>
      </c>
      <c r="L3569">
        <v>2</v>
      </c>
      <c r="M3569">
        <v>354</v>
      </c>
      <c r="N3569">
        <v>243</v>
      </c>
      <c r="O3569">
        <v>5</v>
      </c>
      <c r="P3569">
        <v>244</v>
      </c>
      <c r="Q3569">
        <v>11</v>
      </c>
      <c r="R3569">
        <v>38</v>
      </c>
      <c r="S3569">
        <v>3</v>
      </c>
      <c r="T3569">
        <v>14</v>
      </c>
      <c r="U3569">
        <v>7</v>
      </c>
      <c r="V3569">
        <v>3</v>
      </c>
      <c r="W3569">
        <v>1</v>
      </c>
      <c r="X3569">
        <v>150</v>
      </c>
      <c r="Y3569">
        <v>0</v>
      </c>
      <c r="Z3569">
        <v>4</v>
      </c>
      <c r="AA3569">
        <v>1</v>
      </c>
      <c r="AB3569">
        <v>1</v>
      </c>
      <c r="AD3569">
        <v>2</v>
      </c>
      <c r="AE3569">
        <v>3</v>
      </c>
      <c r="AF3569">
        <v>0</v>
      </c>
      <c r="AG3569">
        <v>0</v>
      </c>
      <c r="AI3569">
        <v>0</v>
      </c>
      <c r="AJ3569">
        <v>6</v>
      </c>
      <c r="AK3569">
        <v>244</v>
      </c>
      <c r="AL3569">
        <v>244</v>
      </c>
      <c r="AM3569">
        <v>553</v>
      </c>
      <c r="AN3569">
        <v>44</v>
      </c>
      <c r="AP3569">
        <v>1</v>
      </c>
      <c r="AR3569" t="s">
        <v>3666</v>
      </c>
      <c r="AS3569" s="1">
        <v>44353.994444444441</v>
      </c>
      <c r="AT3569" s="1">
        <v>44354.000520833331</v>
      </c>
      <c r="AU3569" s="1">
        <v>44354.001111111109</v>
      </c>
      <c r="AV3569" t="s">
        <v>71</v>
      </c>
      <c r="AW3569" t="s">
        <v>72</v>
      </c>
      <c r="AX3569" t="s">
        <v>73</v>
      </c>
    </row>
    <row r="3570" spans="1:50" x14ac:dyDescent="0.3">
      <c r="A3570" t="str">
        <f>"200798C0100"</f>
        <v>200798C0100</v>
      </c>
      <c r="B3570" t="str">
        <f>"200798C01002"</f>
        <v>200798C01002</v>
      </c>
      <c r="C3570" t="str">
        <f t="shared" si="186"/>
        <v>20</v>
      </c>
      <c r="D3570" t="s">
        <v>67</v>
      </c>
      <c r="E3570" t="str">
        <f t="shared" si="189"/>
        <v>016</v>
      </c>
      <c r="F3570" t="s">
        <v>3578</v>
      </c>
      <c r="G3570" t="str">
        <f>"0798"</f>
        <v>0798</v>
      </c>
      <c r="H3570" t="str">
        <f>"0001"</f>
        <v>0001</v>
      </c>
      <c r="I3570" t="s">
        <v>75</v>
      </c>
      <c r="J3570">
        <v>0</v>
      </c>
      <c r="K3570">
        <v>1</v>
      </c>
      <c r="L3570">
        <v>2</v>
      </c>
      <c r="M3570">
        <v>391</v>
      </c>
      <c r="N3570">
        <v>212</v>
      </c>
      <c r="O3570">
        <v>5</v>
      </c>
      <c r="P3570" t="s">
        <v>80</v>
      </c>
      <c r="Q3570">
        <v>14</v>
      </c>
      <c r="R3570">
        <v>28</v>
      </c>
      <c r="S3570">
        <v>3</v>
      </c>
      <c r="T3570">
        <v>24</v>
      </c>
      <c r="U3570">
        <v>7</v>
      </c>
      <c r="V3570">
        <v>5</v>
      </c>
      <c r="W3570">
        <v>1</v>
      </c>
      <c r="X3570">
        <v>113</v>
      </c>
      <c r="Y3570">
        <v>2</v>
      </c>
      <c r="Z3570">
        <v>1</v>
      </c>
      <c r="AA3570">
        <v>1</v>
      </c>
      <c r="AB3570">
        <v>2</v>
      </c>
      <c r="AD3570">
        <v>0</v>
      </c>
      <c r="AE3570">
        <v>2</v>
      </c>
      <c r="AF3570">
        <v>0</v>
      </c>
      <c r="AG3570">
        <v>2</v>
      </c>
      <c r="AI3570">
        <v>0</v>
      </c>
      <c r="AJ3570">
        <v>6</v>
      </c>
      <c r="AK3570">
        <v>211</v>
      </c>
      <c r="AL3570">
        <v>211</v>
      </c>
      <c r="AM3570">
        <v>553</v>
      </c>
      <c r="AN3570">
        <v>44</v>
      </c>
      <c r="AP3570">
        <v>1</v>
      </c>
      <c r="AR3570" t="s">
        <v>3667</v>
      </c>
      <c r="AS3570" s="1">
        <v>44353.972916666666</v>
      </c>
      <c r="AT3570" s="1">
        <v>44353.999143518522</v>
      </c>
      <c r="AU3570" s="1">
        <v>44353.999826388892</v>
      </c>
      <c r="AV3570" t="s">
        <v>71</v>
      </c>
      <c r="AW3570" t="s">
        <v>72</v>
      </c>
      <c r="AX3570" t="s">
        <v>73</v>
      </c>
    </row>
    <row r="3571" spans="1:50" x14ac:dyDescent="0.3">
      <c r="A3571" t="str">
        <f>"200798C0200"</f>
        <v>200798C0200</v>
      </c>
      <c r="B3571" t="str">
        <f>"200798C02002"</f>
        <v>200798C02002</v>
      </c>
      <c r="C3571" t="str">
        <f t="shared" si="186"/>
        <v>20</v>
      </c>
      <c r="D3571" t="s">
        <v>67</v>
      </c>
      <c r="E3571" t="str">
        <f t="shared" si="189"/>
        <v>016</v>
      </c>
      <c r="F3571" t="s">
        <v>3578</v>
      </c>
      <c r="G3571" t="str">
        <f>"0798"</f>
        <v>0798</v>
      </c>
      <c r="H3571" t="str">
        <f>"0002"</f>
        <v>0002</v>
      </c>
      <c r="I3571" t="s">
        <v>75</v>
      </c>
      <c r="J3571">
        <v>0</v>
      </c>
      <c r="K3571">
        <v>1</v>
      </c>
      <c r="L3571">
        <v>2</v>
      </c>
      <c r="M3571">
        <v>380</v>
      </c>
      <c r="N3571">
        <v>217</v>
      </c>
      <c r="O3571">
        <v>3</v>
      </c>
      <c r="P3571">
        <v>217</v>
      </c>
      <c r="Q3571">
        <v>18</v>
      </c>
      <c r="R3571">
        <v>20</v>
      </c>
      <c r="S3571">
        <v>2</v>
      </c>
      <c r="T3571">
        <v>16</v>
      </c>
      <c r="U3571">
        <v>4</v>
      </c>
      <c r="V3571">
        <v>3</v>
      </c>
      <c r="W3571">
        <v>7</v>
      </c>
      <c r="X3571">
        <v>127</v>
      </c>
      <c r="Y3571">
        <v>0</v>
      </c>
      <c r="Z3571">
        <v>4</v>
      </c>
      <c r="AA3571">
        <v>2</v>
      </c>
      <c r="AB3571">
        <v>3</v>
      </c>
      <c r="AD3571">
        <v>2</v>
      </c>
      <c r="AE3571">
        <v>5</v>
      </c>
      <c r="AF3571">
        <v>0</v>
      </c>
      <c r="AG3571">
        <v>0</v>
      </c>
      <c r="AI3571">
        <v>0</v>
      </c>
      <c r="AJ3571">
        <v>4</v>
      </c>
      <c r="AK3571">
        <v>217</v>
      </c>
      <c r="AL3571">
        <v>217</v>
      </c>
      <c r="AM3571">
        <v>553</v>
      </c>
      <c r="AN3571">
        <v>44</v>
      </c>
      <c r="AP3571">
        <v>1</v>
      </c>
      <c r="AR3571" t="s">
        <v>3668</v>
      </c>
      <c r="AS3571" s="1">
        <v>44353.884027777778</v>
      </c>
      <c r="AT3571" s="1">
        <v>44354.001099537039</v>
      </c>
      <c r="AU3571" s="1">
        <v>44354.001666666663</v>
      </c>
      <c r="AV3571" t="s">
        <v>71</v>
      </c>
      <c r="AW3571" t="s">
        <v>72</v>
      </c>
      <c r="AX3571" t="s">
        <v>73</v>
      </c>
    </row>
    <row r="3572" spans="1:50" x14ac:dyDescent="0.3">
      <c r="A3572" t="str">
        <f>"200798S0100"</f>
        <v>200798S0100</v>
      </c>
      <c r="B3572" t="str">
        <f>"200798S01002EMR"</f>
        <v>200798S01002EMR</v>
      </c>
      <c r="C3572" t="str">
        <f t="shared" si="186"/>
        <v>20</v>
      </c>
      <c r="D3572" t="s">
        <v>67</v>
      </c>
      <c r="E3572" t="str">
        <f t="shared" si="189"/>
        <v>016</v>
      </c>
      <c r="F3572" t="s">
        <v>3578</v>
      </c>
      <c r="G3572" t="str">
        <f>"0798"</f>
        <v>0798</v>
      </c>
      <c r="H3572" t="str">
        <f>"0001"</f>
        <v>0001</v>
      </c>
      <c r="I3572" t="s">
        <v>85</v>
      </c>
      <c r="J3572">
        <v>0</v>
      </c>
      <c r="K3572">
        <v>1</v>
      </c>
      <c r="L3572" t="s">
        <v>86</v>
      </c>
      <c r="M3572">
        <v>671</v>
      </c>
      <c r="N3572">
        <v>43</v>
      </c>
      <c r="O3572">
        <v>0</v>
      </c>
      <c r="P3572">
        <v>43</v>
      </c>
      <c r="Q3572">
        <v>3</v>
      </c>
      <c r="R3572">
        <v>4</v>
      </c>
      <c r="S3572">
        <v>0</v>
      </c>
      <c r="T3572">
        <v>6</v>
      </c>
      <c r="U3572">
        <v>3</v>
      </c>
      <c r="V3572">
        <v>0</v>
      </c>
      <c r="W3572">
        <v>0</v>
      </c>
      <c r="X3572">
        <v>21</v>
      </c>
      <c r="Y3572">
        <v>0</v>
      </c>
      <c r="Z3572">
        <v>2</v>
      </c>
      <c r="AA3572">
        <v>0</v>
      </c>
      <c r="AB3572">
        <v>3</v>
      </c>
      <c r="AD3572">
        <v>1</v>
      </c>
      <c r="AE3572">
        <v>0</v>
      </c>
      <c r="AF3572">
        <v>0</v>
      </c>
      <c r="AG3572">
        <v>0</v>
      </c>
      <c r="AI3572" t="s">
        <v>77</v>
      </c>
      <c r="AJ3572" t="s">
        <v>77</v>
      </c>
      <c r="AK3572">
        <v>43</v>
      </c>
      <c r="AL3572">
        <v>43</v>
      </c>
      <c r="AM3572">
        <v>0</v>
      </c>
      <c r="AN3572">
        <v>44</v>
      </c>
      <c r="AO3572" t="s">
        <v>78</v>
      </c>
      <c r="AP3572">
        <v>1</v>
      </c>
      <c r="AR3572" t="s">
        <v>3669</v>
      </c>
      <c r="AS3572" s="1">
        <v>44353.995138888888</v>
      </c>
      <c r="AT3572" s="1">
        <v>44354.464826388888</v>
      </c>
      <c r="AU3572" s="1">
        <v>44354.465300925927</v>
      </c>
      <c r="AV3572" t="s">
        <v>71</v>
      </c>
      <c r="AW3572" t="s">
        <v>72</v>
      </c>
      <c r="AX3572" t="s">
        <v>73</v>
      </c>
    </row>
    <row r="3573" spans="1:50" x14ac:dyDescent="0.3">
      <c r="A3573" t="str">
        <f>"200799B0000"</f>
        <v>200799B0000</v>
      </c>
      <c r="B3573" t="str">
        <f>"200799B00002"</f>
        <v>200799B00002</v>
      </c>
      <c r="C3573" t="str">
        <f t="shared" si="186"/>
        <v>20</v>
      </c>
      <c r="D3573" t="s">
        <v>67</v>
      </c>
      <c r="E3573" t="str">
        <f t="shared" si="189"/>
        <v>016</v>
      </c>
      <c r="F3573" t="s">
        <v>3578</v>
      </c>
      <c r="G3573" t="str">
        <f>"0799"</f>
        <v>0799</v>
      </c>
      <c r="H3573" t="str">
        <f>"0000"</f>
        <v>0000</v>
      </c>
      <c r="I3573" t="s">
        <v>69</v>
      </c>
      <c r="J3573">
        <v>0</v>
      </c>
      <c r="K3573">
        <v>1</v>
      </c>
      <c r="L3573">
        <v>2</v>
      </c>
      <c r="M3573">
        <v>472</v>
      </c>
      <c r="N3573">
        <v>206</v>
      </c>
      <c r="O3573">
        <v>10</v>
      </c>
      <c r="P3573">
        <v>206</v>
      </c>
      <c r="Q3573">
        <v>9</v>
      </c>
      <c r="R3573">
        <v>30</v>
      </c>
      <c r="S3573">
        <v>3</v>
      </c>
      <c r="T3573">
        <v>8</v>
      </c>
      <c r="U3573">
        <v>8</v>
      </c>
      <c r="V3573">
        <v>3</v>
      </c>
      <c r="W3573">
        <v>1</v>
      </c>
      <c r="X3573">
        <v>127</v>
      </c>
      <c r="Y3573">
        <v>2</v>
      </c>
      <c r="Z3573">
        <v>1</v>
      </c>
      <c r="AA3573">
        <v>1</v>
      </c>
      <c r="AB3573">
        <v>4</v>
      </c>
      <c r="AD3573">
        <v>0</v>
      </c>
      <c r="AE3573">
        <v>1</v>
      </c>
      <c r="AF3573">
        <v>0</v>
      </c>
      <c r="AG3573">
        <v>1</v>
      </c>
      <c r="AI3573">
        <v>0</v>
      </c>
      <c r="AJ3573">
        <v>7</v>
      </c>
      <c r="AK3573">
        <v>206</v>
      </c>
      <c r="AL3573">
        <v>206</v>
      </c>
      <c r="AM3573">
        <v>634</v>
      </c>
      <c r="AN3573">
        <v>44</v>
      </c>
      <c r="AP3573">
        <v>1</v>
      </c>
      <c r="AR3573" t="s">
        <v>3670</v>
      </c>
      <c r="AS3573" s="1">
        <v>44353.924305555556</v>
      </c>
      <c r="AT3573" s="1">
        <v>44353.927430555559</v>
      </c>
      <c r="AU3573" s="1">
        <v>44353.927858796298</v>
      </c>
      <c r="AV3573" t="s">
        <v>71</v>
      </c>
      <c r="AW3573" t="s">
        <v>72</v>
      </c>
      <c r="AX3573" t="s">
        <v>73</v>
      </c>
    </row>
    <row r="3574" spans="1:50" x14ac:dyDescent="0.3">
      <c r="A3574" t="str">
        <f>"200799C0100"</f>
        <v>200799C0100</v>
      </c>
      <c r="B3574" t="str">
        <f>"200799C01002"</f>
        <v>200799C01002</v>
      </c>
      <c r="C3574" t="str">
        <f t="shared" si="186"/>
        <v>20</v>
      </c>
      <c r="D3574" t="s">
        <v>67</v>
      </c>
      <c r="E3574" t="str">
        <f t="shared" si="189"/>
        <v>016</v>
      </c>
      <c r="F3574" t="s">
        <v>3578</v>
      </c>
      <c r="G3574" t="str">
        <f>"0799"</f>
        <v>0799</v>
      </c>
      <c r="H3574" t="str">
        <f>"0001"</f>
        <v>0001</v>
      </c>
      <c r="I3574" t="s">
        <v>75</v>
      </c>
      <c r="J3574">
        <v>0</v>
      </c>
      <c r="K3574">
        <v>1</v>
      </c>
      <c r="L3574">
        <v>2</v>
      </c>
      <c r="M3574">
        <v>459</v>
      </c>
      <c r="N3574">
        <v>219</v>
      </c>
      <c r="O3574">
        <v>9</v>
      </c>
      <c r="P3574">
        <v>219</v>
      </c>
      <c r="Q3574">
        <v>15</v>
      </c>
      <c r="R3574">
        <v>23</v>
      </c>
      <c r="S3574">
        <v>3</v>
      </c>
      <c r="T3574">
        <v>14</v>
      </c>
      <c r="U3574">
        <v>5</v>
      </c>
      <c r="V3574">
        <v>2</v>
      </c>
      <c r="W3574">
        <v>0</v>
      </c>
      <c r="X3574">
        <v>131</v>
      </c>
      <c r="Y3574">
        <v>2</v>
      </c>
      <c r="Z3574">
        <v>3</v>
      </c>
      <c r="AA3574">
        <v>1</v>
      </c>
      <c r="AB3574">
        <v>2</v>
      </c>
      <c r="AD3574">
        <v>1</v>
      </c>
      <c r="AE3574">
        <v>1</v>
      </c>
      <c r="AF3574">
        <v>0</v>
      </c>
      <c r="AG3574">
        <v>0</v>
      </c>
      <c r="AI3574">
        <v>0</v>
      </c>
      <c r="AJ3574">
        <v>16</v>
      </c>
      <c r="AK3574">
        <v>219</v>
      </c>
      <c r="AL3574">
        <v>219</v>
      </c>
      <c r="AM3574">
        <v>634</v>
      </c>
      <c r="AN3574">
        <v>44</v>
      </c>
      <c r="AP3574">
        <v>1</v>
      </c>
      <c r="AR3574" t="s">
        <v>3671</v>
      </c>
      <c r="AS3574" s="1">
        <v>44353.770833333336</v>
      </c>
      <c r="AT3574" s="1">
        <v>44353.929872685185</v>
      </c>
      <c r="AU3574" s="1">
        <v>44353.930706018517</v>
      </c>
      <c r="AV3574" t="s">
        <v>71</v>
      </c>
      <c r="AW3574" t="s">
        <v>72</v>
      </c>
      <c r="AX3574" t="s">
        <v>73</v>
      </c>
    </row>
    <row r="3575" spans="1:50" x14ac:dyDescent="0.3">
      <c r="A3575" t="str">
        <f>"200799C0200"</f>
        <v>200799C0200</v>
      </c>
      <c r="B3575" t="str">
        <f>"200799C02002"</f>
        <v>200799C02002</v>
      </c>
      <c r="C3575" t="str">
        <f t="shared" si="186"/>
        <v>20</v>
      </c>
      <c r="D3575" t="s">
        <v>67</v>
      </c>
      <c r="E3575" t="str">
        <f t="shared" si="189"/>
        <v>016</v>
      </c>
      <c r="F3575" t="s">
        <v>3578</v>
      </c>
      <c r="G3575" t="str">
        <f>"0799"</f>
        <v>0799</v>
      </c>
      <c r="H3575" t="str">
        <f>"0002"</f>
        <v>0002</v>
      </c>
      <c r="I3575" t="s">
        <v>75</v>
      </c>
      <c r="J3575">
        <v>0</v>
      </c>
      <c r="K3575">
        <v>1</v>
      </c>
      <c r="L3575">
        <v>2</v>
      </c>
      <c r="M3575">
        <v>441</v>
      </c>
      <c r="N3575">
        <v>237</v>
      </c>
      <c r="O3575">
        <v>8</v>
      </c>
      <c r="P3575">
        <v>237</v>
      </c>
      <c r="Q3575">
        <v>15</v>
      </c>
      <c r="R3575">
        <v>38</v>
      </c>
      <c r="S3575">
        <v>1</v>
      </c>
      <c r="T3575">
        <v>11</v>
      </c>
      <c r="U3575">
        <v>6</v>
      </c>
      <c r="V3575">
        <v>2</v>
      </c>
      <c r="W3575">
        <v>5</v>
      </c>
      <c r="X3575">
        <v>133</v>
      </c>
      <c r="Y3575">
        <v>0</v>
      </c>
      <c r="Z3575">
        <v>5</v>
      </c>
      <c r="AA3575">
        <v>0</v>
      </c>
      <c r="AB3575">
        <v>9</v>
      </c>
      <c r="AD3575">
        <v>4</v>
      </c>
      <c r="AE3575">
        <v>0</v>
      </c>
      <c r="AF3575">
        <v>0</v>
      </c>
      <c r="AG3575">
        <v>0</v>
      </c>
      <c r="AI3575">
        <v>0</v>
      </c>
      <c r="AJ3575">
        <v>8</v>
      </c>
      <c r="AK3575">
        <v>238</v>
      </c>
      <c r="AL3575">
        <v>237</v>
      </c>
      <c r="AM3575">
        <v>634</v>
      </c>
      <c r="AN3575">
        <v>44</v>
      </c>
      <c r="AP3575">
        <v>1</v>
      </c>
      <c r="AR3575" t="s">
        <v>3672</v>
      </c>
      <c r="AS3575" s="1">
        <v>44353.770833333336</v>
      </c>
      <c r="AT3575" s="1">
        <v>44354.006574074076</v>
      </c>
      <c r="AU3575" s="1">
        <v>44354.0231712963</v>
      </c>
      <c r="AV3575" t="s">
        <v>71</v>
      </c>
      <c r="AW3575" t="s">
        <v>72</v>
      </c>
      <c r="AX3575" t="s">
        <v>73</v>
      </c>
    </row>
    <row r="3576" spans="1:50" x14ac:dyDescent="0.3">
      <c r="A3576" t="str">
        <f>"200799C0300"</f>
        <v>200799C0300</v>
      </c>
      <c r="B3576" t="str">
        <f>"200799C03002"</f>
        <v>200799C03002</v>
      </c>
      <c r="C3576" t="str">
        <f t="shared" si="186"/>
        <v>20</v>
      </c>
      <c r="D3576" t="s">
        <v>67</v>
      </c>
      <c r="E3576" t="str">
        <f t="shared" si="189"/>
        <v>016</v>
      </c>
      <c r="F3576" t="s">
        <v>3578</v>
      </c>
      <c r="G3576" t="str">
        <f>"0799"</f>
        <v>0799</v>
      </c>
      <c r="H3576" t="str">
        <f>"0003"</f>
        <v>0003</v>
      </c>
      <c r="I3576" t="s">
        <v>75</v>
      </c>
      <c r="J3576">
        <v>0</v>
      </c>
      <c r="K3576">
        <v>1</v>
      </c>
      <c r="L3576">
        <v>2</v>
      </c>
      <c r="M3576">
        <v>438</v>
      </c>
      <c r="N3576">
        <v>239</v>
      </c>
      <c r="O3576">
        <v>8</v>
      </c>
      <c r="P3576">
        <v>239</v>
      </c>
      <c r="Q3576">
        <v>20</v>
      </c>
      <c r="R3576">
        <v>33</v>
      </c>
      <c r="S3576">
        <v>0</v>
      </c>
      <c r="T3576">
        <v>6</v>
      </c>
      <c r="U3576">
        <v>6</v>
      </c>
      <c r="V3576">
        <v>3</v>
      </c>
      <c r="W3576">
        <v>3</v>
      </c>
      <c r="X3576">
        <v>140</v>
      </c>
      <c r="Y3576">
        <v>1</v>
      </c>
      <c r="Z3576">
        <v>1</v>
      </c>
      <c r="AA3576">
        <v>2</v>
      </c>
      <c r="AB3576">
        <v>11</v>
      </c>
      <c r="AD3576">
        <v>4</v>
      </c>
      <c r="AE3576">
        <v>1</v>
      </c>
      <c r="AF3576">
        <v>0</v>
      </c>
      <c r="AG3576">
        <v>0</v>
      </c>
      <c r="AI3576">
        <v>0</v>
      </c>
      <c r="AJ3576">
        <v>8</v>
      </c>
      <c r="AK3576">
        <v>239</v>
      </c>
      <c r="AL3576">
        <v>239</v>
      </c>
      <c r="AM3576">
        <v>633</v>
      </c>
      <c r="AN3576">
        <v>44</v>
      </c>
      <c r="AP3576">
        <v>1</v>
      </c>
      <c r="AR3576" t="s">
        <v>3673</v>
      </c>
      <c r="AS3576" s="1">
        <v>44353.770833333336</v>
      </c>
      <c r="AT3576" s="1">
        <v>44353.930567129632</v>
      </c>
      <c r="AU3576" s="1">
        <v>44353.931481481479</v>
      </c>
      <c r="AV3576" t="s">
        <v>71</v>
      </c>
      <c r="AW3576" t="s">
        <v>72</v>
      </c>
      <c r="AX3576" t="s">
        <v>73</v>
      </c>
    </row>
    <row r="3577" spans="1:50" x14ac:dyDescent="0.3">
      <c r="A3577" t="str">
        <f>"200800B0000"</f>
        <v>200800B0000</v>
      </c>
      <c r="B3577" t="str">
        <f>"200800B00002"</f>
        <v>200800B00002</v>
      </c>
      <c r="C3577" t="str">
        <f t="shared" si="186"/>
        <v>20</v>
      </c>
      <c r="D3577" t="s">
        <v>67</v>
      </c>
      <c r="E3577" t="str">
        <f t="shared" si="189"/>
        <v>016</v>
      </c>
      <c r="F3577" t="s">
        <v>3578</v>
      </c>
      <c r="G3577" t="str">
        <f>"0800"</f>
        <v>0800</v>
      </c>
      <c r="H3577" t="str">
        <f>"0000"</f>
        <v>0000</v>
      </c>
      <c r="I3577" t="s">
        <v>69</v>
      </c>
      <c r="J3577">
        <v>0</v>
      </c>
      <c r="K3577">
        <v>1</v>
      </c>
      <c r="L3577">
        <v>2</v>
      </c>
      <c r="M3577">
        <v>383</v>
      </c>
      <c r="N3577">
        <v>275</v>
      </c>
      <c r="O3577">
        <v>1</v>
      </c>
      <c r="P3577">
        <v>275</v>
      </c>
      <c r="Q3577">
        <v>13</v>
      </c>
      <c r="R3577">
        <v>50</v>
      </c>
      <c r="S3577">
        <v>4</v>
      </c>
      <c r="T3577">
        <v>6</v>
      </c>
      <c r="U3577">
        <v>21</v>
      </c>
      <c r="V3577">
        <v>1</v>
      </c>
      <c r="W3577">
        <v>2</v>
      </c>
      <c r="X3577">
        <v>153</v>
      </c>
      <c r="Y3577">
        <v>3</v>
      </c>
      <c r="Z3577">
        <v>8</v>
      </c>
      <c r="AA3577">
        <v>1</v>
      </c>
      <c r="AB3577">
        <v>7</v>
      </c>
      <c r="AD3577">
        <v>2</v>
      </c>
      <c r="AE3577">
        <v>0</v>
      </c>
      <c r="AF3577">
        <v>0</v>
      </c>
      <c r="AG3577">
        <v>0</v>
      </c>
      <c r="AI3577">
        <v>0</v>
      </c>
      <c r="AJ3577">
        <v>4</v>
      </c>
      <c r="AK3577">
        <v>275</v>
      </c>
      <c r="AL3577">
        <v>275</v>
      </c>
      <c r="AM3577">
        <v>614</v>
      </c>
      <c r="AN3577">
        <v>44</v>
      </c>
      <c r="AP3577">
        <v>1</v>
      </c>
      <c r="AR3577" t="s">
        <v>3674</v>
      </c>
      <c r="AS3577" s="1">
        <v>44353.75</v>
      </c>
      <c r="AT3577" s="1">
        <v>44353.960162037038</v>
      </c>
      <c r="AU3577" s="1">
        <v>44353.961863425924</v>
      </c>
      <c r="AV3577" t="s">
        <v>71</v>
      </c>
      <c r="AW3577" t="s">
        <v>72</v>
      </c>
      <c r="AX3577" t="s">
        <v>73</v>
      </c>
    </row>
    <row r="3578" spans="1:50" x14ac:dyDescent="0.3">
      <c r="A3578" t="str">
        <f>"200800C0100"</f>
        <v>200800C0100</v>
      </c>
      <c r="B3578" t="str">
        <f>"200800C01002"</f>
        <v>200800C01002</v>
      </c>
      <c r="C3578" t="str">
        <f t="shared" si="186"/>
        <v>20</v>
      </c>
      <c r="D3578" t="s">
        <v>67</v>
      </c>
      <c r="E3578" t="str">
        <f t="shared" si="189"/>
        <v>016</v>
      </c>
      <c r="F3578" t="s">
        <v>3578</v>
      </c>
      <c r="G3578" t="str">
        <f>"0800"</f>
        <v>0800</v>
      </c>
      <c r="H3578" t="str">
        <f>"0001"</f>
        <v>0001</v>
      </c>
      <c r="I3578" t="s">
        <v>75</v>
      </c>
      <c r="J3578">
        <v>0</v>
      </c>
      <c r="K3578">
        <v>1</v>
      </c>
      <c r="L3578">
        <v>2</v>
      </c>
      <c r="M3578">
        <v>401</v>
      </c>
      <c r="N3578">
        <v>257</v>
      </c>
      <c r="O3578">
        <v>5</v>
      </c>
      <c r="P3578">
        <v>257</v>
      </c>
      <c r="Q3578">
        <v>6</v>
      </c>
      <c r="R3578">
        <v>53</v>
      </c>
      <c r="S3578">
        <v>4</v>
      </c>
      <c r="T3578">
        <v>7</v>
      </c>
      <c r="U3578">
        <v>15</v>
      </c>
      <c r="V3578">
        <v>5</v>
      </c>
      <c r="W3578">
        <v>3</v>
      </c>
      <c r="X3578">
        <v>136</v>
      </c>
      <c r="Y3578">
        <v>0</v>
      </c>
      <c r="Z3578">
        <v>5</v>
      </c>
      <c r="AA3578">
        <v>4</v>
      </c>
      <c r="AB3578">
        <v>5</v>
      </c>
      <c r="AD3578">
        <v>3</v>
      </c>
      <c r="AE3578">
        <v>2</v>
      </c>
      <c r="AF3578">
        <v>0</v>
      </c>
      <c r="AG3578">
        <v>0</v>
      </c>
      <c r="AI3578">
        <v>0</v>
      </c>
      <c r="AJ3578">
        <v>7</v>
      </c>
      <c r="AK3578">
        <v>257</v>
      </c>
      <c r="AL3578">
        <v>255</v>
      </c>
      <c r="AM3578">
        <v>614</v>
      </c>
      <c r="AN3578">
        <v>44</v>
      </c>
      <c r="AP3578">
        <v>1</v>
      </c>
      <c r="AR3578" s="2" t="s">
        <v>3675</v>
      </c>
      <c r="AS3578" s="1">
        <v>44353.75</v>
      </c>
      <c r="AT3578" s="1">
        <v>44353.958252314813</v>
      </c>
      <c r="AU3578" s="1">
        <v>44353.959108796298</v>
      </c>
      <c r="AV3578" t="s">
        <v>71</v>
      </c>
      <c r="AW3578" t="s">
        <v>72</v>
      </c>
      <c r="AX3578" t="s">
        <v>73</v>
      </c>
    </row>
    <row r="3579" spans="1:50" x14ac:dyDescent="0.3">
      <c r="A3579" t="str">
        <f>"200800C0200"</f>
        <v>200800C0200</v>
      </c>
      <c r="B3579" t="str">
        <f>"200800C02002"</f>
        <v>200800C02002</v>
      </c>
      <c r="C3579" t="str">
        <f t="shared" si="186"/>
        <v>20</v>
      </c>
      <c r="D3579" t="s">
        <v>67</v>
      </c>
      <c r="E3579" t="str">
        <f t="shared" si="189"/>
        <v>016</v>
      </c>
      <c r="F3579" t="s">
        <v>3578</v>
      </c>
      <c r="G3579" t="str">
        <f>"0800"</f>
        <v>0800</v>
      </c>
      <c r="H3579" t="str">
        <f>"0002"</f>
        <v>0002</v>
      </c>
      <c r="I3579" t="s">
        <v>75</v>
      </c>
      <c r="J3579">
        <v>0</v>
      </c>
      <c r="K3579">
        <v>1</v>
      </c>
      <c r="L3579">
        <v>2</v>
      </c>
      <c r="M3579">
        <v>411</v>
      </c>
      <c r="N3579">
        <v>247</v>
      </c>
      <c r="O3579">
        <v>4</v>
      </c>
      <c r="P3579">
        <v>247</v>
      </c>
      <c r="Q3579">
        <v>11</v>
      </c>
      <c r="R3579">
        <v>35</v>
      </c>
      <c r="S3579">
        <v>1</v>
      </c>
      <c r="T3579">
        <v>15</v>
      </c>
      <c r="U3579">
        <v>20</v>
      </c>
      <c r="V3579">
        <v>4</v>
      </c>
      <c r="W3579">
        <v>3</v>
      </c>
      <c r="X3579">
        <v>139</v>
      </c>
      <c r="Y3579">
        <v>1</v>
      </c>
      <c r="Z3579">
        <v>2</v>
      </c>
      <c r="AA3579">
        <v>3</v>
      </c>
      <c r="AB3579">
        <v>5</v>
      </c>
      <c r="AD3579">
        <v>1</v>
      </c>
      <c r="AE3579">
        <v>0</v>
      </c>
      <c r="AF3579">
        <v>0</v>
      </c>
      <c r="AG3579">
        <v>0</v>
      </c>
      <c r="AI3579">
        <v>0</v>
      </c>
      <c r="AJ3579">
        <v>7</v>
      </c>
      <c r="AK3579">
        <v>247</v>
      </c>
      <c r="AL3579">
        <v>247</v>
      </c>
      <c r="AM3579">
        <v>614</v>
      </c>
      <c r="AN3579">
        <v>44</v>
      </c>
      <c r="AP3579">
        <v>1</v>
      </c>
      <c r="AR3579" t="s">
        <v>3676</v>
      </c>
      <c r="AS3579" s="1">
        <v>44353.75</v>
      </c>
      <c r="AT3579" s="1">
        <v>44353.966203703705</v>
      </c>
      <c r="AU3579" s="1">
        <v>44353.966782407406</v>
      </c>
      <c r="AV3579" t="s">
        <v>71</v>
      </c>
      <c r="AW3579" t="s">
        <v>72</v>
      </c>
      <c r="AX3579" t="s">
        <v>73</v>
      </c>
    </row>
    <row r="3580" spans="1:50" x14ac:dyDescent="0.3">
      <c r="A3580" t="str">
        <f>"200800C0300"</f>
        <v>200800C0300</v>
      </c>
      <c r="B3580" t="str">
        <f>"200800C03002"</f>
        <v>200800C03002</v>
      </c>
      <c r="C3580" t="str">
        <f t="shared" si="186"/>
        <v>20</v>
      </c>
      <c r="D3580" t="s">
        <v>67</v>
      </c>
      <c r="E3580" t="str">
        <f t="shared" si="189"/>
        <v>016</v>
      </c>
      <c r="F3580" t="s">
        <v>3578</v>
      </c>
      <c r="G3580" t="str">
        <f>"0800"</f>
        <v>0800</v>
      </c>
      <c r="H3580" t="str">
        <f>"0003"</f>
        <v>0003</v>
      </c>
      <c r="I3580" t="s">
        <v>75</v>
      </c>
      <c r="J3580">
        <v>0</v>
      </c>
      <c r="K3580">
        <v>1</v>
      </c>
      <c r="L3580">
        <v>2</v>
      </c>
      <c r="M3580">
        <v>393</v>
      </c>
      <c r="N3580">
        <v>264</v>
      </c>
      <c r="O3580">
        <v>2</v>
      </c>
      <c r="P3580">
        <v>264</v>
      </c>
      <c r="Q3580">
        <v>7</v>
      </c>
      <c r="R3580">
        <v>36</v>
      </c>
      <c r="S3580">
        <v>3</v>
      </c>
      <c r="T3580">
        <v>16</v>
      </c>
      <c r="U3580">
        <v>9</v>
      </c>
      <c r="V3580">
        <v>5</v>
      </c>
      <c r="W3580">
        <v>3</v>
      </c>
      <c r="X3580">
        <v>154</v>
      </c>
      <c r="Y3580">
        <v>0</v>
      </c>
      <c r="Z3580">
        <v>5</v>
      </c>
      <c r="AA3580">
        <v>2</v>
      </c>
      <c r="AB3580">
        <v>12</v>
      </c>
      <c r="AD3580">
        <v>4</v>
      </c>
      <c r="AE3580">
        <v>0</v>
      </c>
      <c r="AF3580">
        <v>0</v>
      </c>
      <c r="AG3580">
        <v>0</v>
      </c>
      <c r="AI3580">
        <v>0</v>
      </c>
      <c r="AJ3580">
        <v>8</v>
      </c>
      <c r="AK3580">
        <v>264</v>
      </c>
      <c r="AL3580">
        <v>264</v>
      </c>
      <c r="AM3580">
        <v>613</v>
      </c>
      <c r="AN3580">
        <v>44</v>
      </c>
      <c r="AP3580">
        <v>1</v>
      </c>
      <c r="AR3580" t="s">
        <v>3677</v>
      </c>
      <c r="AS3580" s="1">
        <v>44353.984722222223</v>
      </c>
      <c r="AT3580" s="1">
        <v>44353.987175925926</v>
      </c>
      <c r="AU3580" s="1">
        <v>44353.987754629627</v>
      </c>
      <c r="AV3580" t="s">
        <v>71</v>
      </c>
      <c r="AW3580" t="s">
        <v>72</v>
      </c>
      <c r="AX3580" t="s">
        <v>73</v>
      </c>
    </row>
    <row r="3581" spans="1:50" x14ac:dyDescent="0.3">
      <c r="A3581" t="str">
        <f>"200800C0400"</f>
        <v>200800C0400</v>
      </c>
      <c r="B3581" t="str">
        <f>"200800C04002"</f>
        <v>200800C04002</v>
      </c>
      <c r="C3581" t="str">
        <f t="shared" si="186"/>
        <v>20</v>
      </c>
      <c r="D3581" t="s">
        <v>67</v>
      </c>
      <c r="E3581" t="str">
        <f t="shared" si="189"/>
        <v>016</v>
      </c>
      <c r="F3581" t="s">
        <v>3578</v>
      </c>
      <c r="G3581" t="str">
        <f>"0800"</f>
        <v>0800</v>
      </c>
      <c r="H3581" t="str">
        <f>"0004"</f>
        <v>0004</v>
      </c>
      <c r="I3581" t="s">
        <v>75</v>
      </c>
      <c r="J3581">
        <v>0</v>
      </c>
      <c r="K3581">
        <v>1</v>
      </c>
      <c r="L3581">
        <v>2</v>
      </c>
      <c r="M3581">
        <v>413</v>
      </c>
      <c r="N3581">
        <v>244</v>
      </c>
      <c r="O3581">
        <v>3</v>
      </c>
      <c r="P3581">
        <v>244</v>
      </c>
      <c r="Q3581">
        <v>18</v>
      </c>
      <c r="R3581">
        <v>46</v>
      </c>
      <c r="S3581">
        <v>3</v>
      </c>
      <c r="T3581">
        <v>4</v>
      </c>
      <c r="U3581">
        <v>16</v>
      </c>
      <c r="V3581">
        <v>2</v>
      </c>
      <c r="W3581">
        <v>2</v>
      </c>
      <c r="X3581">
        <v>133</v>
      </c>
      <c r="Y3581">
        <v>0</v>
      </c>
      <c r="Z3581">
        <v>1</v>
      </c>
      <c r="AA3581">
        <v>2</v>
      </c>
      <c r="AB3581">
        <v>8</v>
      </c>
      <c r="AD3581">
        <v>1</v>
      </c>
      <c r="AE3581">
        <v>0</v>
      </c>
      <c r="AF3581">
        <v>0</v>
      </c>
      <c r="AG3581">
        <v>0</v>
      </c>
      <c r="AI3581">
        <v>0</v>
      </c>
      <c r="AJ3581">
        <v>8</v>
      </c>
      <c r="AK3581">
        <v>244</v>
      </c>
      <c r="AL3581">
        <v>244</v>
      </c>
      <c r="AM3581">
        <v>613</v>
      </c>
      <c r="AN3581">
        <v>44</v>
      </c>
      <c r="AP3581">
        <v>1</v>
      </c>
      <c r="AR3581" t="s">
        <v>3678</v>
      </c>
      <c r="AS3581" s="1">
        <v>44353.75</v>
      </c>
      <c r="AT3581" s="1">
        <v>44353.964699074073</v>
      </c>
      <c r="AU3581" s="1">
        <v>44353.965567129628</v>
      </c>
      <c r="AV3581" t="s">
        <v>71</v>
      </c>
      <c r="AW3581" t="s">
        <v>72</v>
      </c>
      <c r="AX3581" t="s">
        <v>73</v>
      </c>
    </row>
    <row r="3582" spans="1:50" x14ac:dyDescent="0.3">
      <c r="A3582" t="str">
        <f>"200812B0000"</f>
        <v>200812B0000</v>
      </c>
      <c r="B3582" t="str">
        <f>"200812B00002"</f>
        <v>200812B00002</v>
      </c>
      <c r="C3582" t="str">
        <f t="shared" si="186"/>
        <v>20</v>
      </c>
      <c r="D3582" t="s">
        <v>67</v>
      </c>
      <c r="E3582" t="str">
        <f t="shared" si="189"/>
        <v>016</v>
      </c>
      <c r="F3582" t="s">
        <v>3578</v>
      </c>
      <c r="G3582" t="str">
        <f>"0812"</f>
        <v>0812</v>
      </c>
      <c r="H3582" t="str">
        <f>"0000"</f>
        <v>0000</v>
      </c>
      <c r="I3582" t="s">
        <v>69</v>
      </c>
      <c r="J3582">
        <v>0</v>
      </c>
      <c r="K3582">
        <v>1</v>
      </c>
      <c r="L3582">
        <v>2</v>
      </c>
      <c r="M3582">
        <v>290</v>
      </c>
      <c r="N3582">
        <v>170</v>
      </c>
      <c r="O3582">
        <v>0</v>
      </c>
      <c r="P3582">
        <v>170</v>
      </c>
      <c r="Q3582">
        <v>23</v>
      </c>
      <c r="R3582">
        <v>23</v>
      </c>
      <c r="S3582">
        <v>3</v>
      </c>
      <c r="T3582">
        <v>30</v>
      </c>
      <c r="U3582">
        <v>8</v>
      </c>
      <c r="V3582">
        <v>0</v>
      </c>
      <c r="W3582">
        <v>2</v>
      </c>
      <c r="X3582">
        <v>75</v>
      </c>
      <c r="Y3582">
        <v>0</v>
      </c>
      <c r="Z3582">
        <v>0</v>
      </c>
      <c r="AA3582">
        <v>2</v>
      </c>
      <c r="AB3582">
        <v>0</v>
      </c>
      <c r="AD3582">
        <v>0</v>
      </c>
      <c r="AE3582">
        <v>1</v>
      </c>
      <c r="AF3582">
        <v>0</v>
      </c>
      <c r="AG3582">
        <v>0</v>
      </c>
      <c r="AI3582">
        <v>0</v>
      </c>
      <c r="AJ3582">
        <v>3</v>
      </c>
      <c r="AK3582">
        <v>170</v>
      </c>
      <c r="AL3582">
        <v>170</v>
      </c>
      <c r="AM3582">
        <v>416</v>
      </c>
      <c r="AN3582">
        <v>44</v>
      </c>
      <c r="AP3582">
        <v>1</v>
      </c>
      <c r="AR3582" t="s">
        <v>3679</v>
      </c>
      <c r="AS3582" s="1">
        <v>44353.993055555555</v>
      </c>
      <c r="AT3582" s="1">
        <v>44353.998935185184</v>
      </c>
      <c r="AU3582" s="1">
        <v>44353.999502314815</v>
      </c>
      <c r="AV3582" t="s">
        <v>71</v>
      </c>
      <c r="AW3582" t="s">
        <v>72</v>
      </c>
      <c r="AX3582" t="s">
        <v>73</v>
      </c>
    </row>
    <row r="3583" spans="1:50" x14ac:dyDescent="0.3">
      <c r="A3583" t="str">
        <f>"200812E0100"</f>
        <v>200812E0100</v>
      </c>
      <c r="B3583" t="str">
        <f>"200812E01002"</f>
        <v>200812E01002</v>
      </c>
      <c r="C3583" t="str">
        <f t="shared" si="186"/>
        <v>20</v>
      </c>
      <c r="D3583" t="s">
        <v>67</v>
      </c>
      <c r="E3583" t="str">
        <f t="shared" si="189"/>
        <v>016</v>
      </c>
      <c r="F3583" t="s">
        <v>3578</v>
      </c>
      <c r="G3583" t="str">
        <f>"0812"</f>
        <v>0812</v>
      </c>
      <c r="H3583" t="str">
        <f>"0001"</f>
        <v>0001</v>
      </c>
      <c r="I3583" t="s">
        <v>109</v>
      </c>
      <c r="J3583">
        <v>0</v>
      </c>
      <c r="K3583">
        <v>1</v>
      </c>
      <c r="L3583">
        <v>2</v>
      </c>
      <c r="M3583">
        <v>252</v>
      </c>
      <c r="N3583">
        <v>200</v>
      </c>
      <c r="O3583">
        <v>1</v>
      </c>
      <c r="P3583">
        <v>200</v>
      </c>
      <c r="Q3583">
        <v>8</v>
      </c>
      <c r="R3583">
        <v>27</v>
      </c>
      <c r="S3583">
        <v>2</v>
      </c>
      <c r="T3583">
        <v>28</v>
      </c>
      <c r="U3583">
        <v>33</v>
      </c>
      <c r="V3583">
        <v>1</v>
      </c>
      <c r="W3583">
        <v>1</v>
      </c>
      <c r="X3583">
        <v>92</v>
      </c>
      <c r="Y3583">
        <v>1</v>
      </c>
      <c r="Z3583">
        <v>3</v>
      </c>
      <c r="AA3583">
        <v>0</v>
      </c>
      <c r="AB3583">
        <v>0</v>
      </c>
      <c r="AD3583">
        <v>0</v>
      </c>
      <c r="AE3583">
        <v>0</v>
      </c>
      <c r="AF3583">
        <v>0</v>
      </c>
      <c r="AG3583">
        <v>0</v>
      </c>
      <c r="AI3583">
        <v>0</v>
      </c>
      <c r="AJ3583">
        <v>4</v>
      </c>
      <c r="AK3583">
        <v>200</v>
      </c>
      <c r="AL3583">
        <v>200</v>
      </c>
      <c r="AM3583">
        <v>408</v>
      </c>
      <c r="AN3583">
        <v>44</v>
      </c>
      <c r="AP3583">
        <v>1</v>
      </c>
      <c r="AR3583" t="s">
        <v>3680</v>
      </c>
      <c r="AS3583" s="1">
        <v>44353.990277777775</v>
      </c>
      <c r="AT3583" s="1">
        <v>44353.994421296295</v>
      </c>
      <c r="AU3583" s="1">
        <v>44353.995358796295</v>
      </c>
      <c r="AV3583" t="s">
        <v>71</v>
      </c>
      <c r="AW3583" t="s">
        <v>72</v>
      </c>
      <c r="AX3583" t="s">
        <v>73</v>
      </c>
    </row>
    <row r="3584" spans="1:50" x14ac:dyDescent="0.3">
      <c r="A3584" t="str">
        <f>"200813B0000"</f>
        <v>200813B0000</v>
      </c>
      <c r="B3584" t="str">
        <f>"200813B00002"</f>
        <v>200813B00002</v>
      </c>
      <c r="C3584" t="str">
        <f t="shared" si="186"/>
        <v>20</v>
      </c>
      <c r="D3584" t="s">
        <v>67</v>
      </c>
      <c r="E3584" t="str">
        <f t="shared" si="189"/>
        <v>016</v>
      </c>
      <c r="F3584" t="s">
        <v>3578</v>
      </c>
      <c r="G3584" t="str">
        <f>"0813"</f>
        <v>0813</v>
      </c>
      <c r="H3584" t="str">
        <f>"0000"</f>
        <v>0000</v>
      </c>
      <c r="I3584" t="s">
        <v>69</v>
      </c>
      <c r="J3584">
        <v>0</v>
      </c>
      <c r="K3584">
        <v>1</v>
      </c>
      <c r="L3584">
        <v>2</v>
      </c>
      <c r="M3584">
        <v>346</v>
      </c>
      <c r="N3584">
        <v>260</v>
      </c>
      <c r="O3584">
        <v>0</v>
      </c>
      <c r="P3584" t="s">
        <v>80</v>
      </c>
      <c r="Q3584">
        <v>8</v>
      </c>
      <c r="R3584">
        <v>21</v>
      </c>
      <c r="S3584">
        <v>28</v>
      </c>
      <c r="T3584">
        <v>63</v>
      </c>
      <c r="U3584">
        <v>25</v>
      </c>
      <c r="V3584">
        <v>2</v>
      </c>
      <c r="W3584">
        <v>3</v>
      </c>
      <c r="X3584">
        <v>93</v>
      </c>
      <c r="Y3584">
        <v>0</v>
      </c>
      <c r="Z3584">
        <v>2</v>
      </c>
      <c r="AA3584">
        <v>4</v>
      </c>
      <c r="AB3584">
        <v>0</v>
      </c>
      <c r="AD3584">
        <v>0</v>
      </c>
      <c r="AE3584">
        <v>0</v>
      </c>
      <c r="AF3584">
        <v>0</v>
      </c>
      <c r="AG3584">
        <v>0</v>
      </c>
      <c r="AI3584" t="s">
        <v>77</v>
      </c>
      <c r="AJ3584" t="s">
        <v>77</v>
      </c>
      <c r="AK3584" t="s">
        <v>77</v>
      </c>
      <c r="AL3584">
        <v>249</v>
      </c>
      <c r="AM3584">
        <v>562</v>
      </c>
      <c r="AN3584">
        <v>44</v>
      </c>
      <c r="AO3584" t="s">
        <v>78</v>
      </c>
      <c r="AP3584">
        <v>1</v>
      </c>
      <c r="AR3584" t="s">
        <v>3681</v>
      </c>
      <c r="AS3584" s="1">
        <v>44353.993055555555</v>
      </c>
      <c r="AT3584" s="1">
        <v>44353.999328703707</v>
      </c>
      <c r="AU3584" s="1">
        <v>44354.000428240739</v>
      </c>
      <c r="AV3584" t="s">
        <v>71</v>
      </c>
      <c r="AW3584" t="s">
        <v>72</v>
      </c>
      <c r="AX3584" t="s">
        <v>73</v>
      </c>
    </row>
    <row r="3585" spans="1:50" x14ac:dyDescent="0.3">
      <c r="A3585" t="str">
        <f>"200813C0100"</f>
        <v>200813C0100</v>
      </c>
      <c r="B3585" t="str">
        <f>"200813C01002"</f>
        <v>200813C01002</v>
      </c>
      <c r="C3585" t="str">
        <f t="shared" si="186"/>
        <v>20</v>
      </c>
      <c r="D3585" t="s">
        <v>67</v>
      </c>
      <c r="E3585" t="str">
        <f t="shared" si="189"/>
        <v>016</v>
      </c>
      <c r="F3585" t="s">
        <v>3578</v>
      </c>
      <c r="G3585" t="str">
        <f>"0813"</f>
        <v>0813</v>
      </c>
      <c r="H3585" t="str">
        <f>"0001"</f>
        <v>0001</v>
      </c>
      <c r="I3585" t="s">
        <v>75</v>
      </c>
      <c r="J3585">
        <v>0</v>
      </c>
      <c r="K3585">
        <v>1</v>
      </c>
      <c r="L3585">
        <v>2</v>
      </c>
      <c r="M3585">
        <v>344</v>
      </c>
      <c r="N3585">
        <v>262</v>
      </c>
      <c r="O3585">
        <v>0</v>
      </c>
      <c r="P3585">
        <v>262</v>
      </c>
      <c r="Q3585">
        <v>30</v>
      </c>
      <c r="R3585">
        <v>18</v>
      </c>
      <c r="S3585">
        <v>5</v>
      </c>
      <c r="T3585">
        <v>55</v>
      </c>
      <c r="U3585">
        <v>28</v>
      </c>
      <c r="V3585">
        <v>1</v>
      </c>
      <c r="W3585">
        <v>1</v>
      </c>
      <c r="X3585">
        <v>108</v>
      </c>
      <c r="Y3585">
        <v>0</v>
      </c>
      <c r="Z3585">
        <v>6</v>
      </c>
      <c r="AA3585">
        <v>1</v>
      </c>
      <c r="AB3585">
        <v>0</v>
      </c>
      <c r="AD3585">
        <v>0</v>
      </c>
      <c r="AE3585">
        <v>2</v>
      </c>
      <c r="AF3585">
        <v>0</v>
      </c>
      <c r="AG3585">
        <v>1</v>
      </c>
      <c r="AI3585">
        <v>0</v>
      </c>
      <c r="AJ3585">
        <v>6</v>
      </c>
      <c r="AK3585">
        <v>262</v>
      </c>
      <c r="AL3585">
        <v>262</v>
      </c>
      <c r="AM3585">
        <v>562</v>
      </c>
      <c r="AN3585">
        <v>44</v>
      </c>
      <c r="AP3585">
        <v>1</v>
      </c>
      <c r="AR3585" t="s">
        <v>3682</v>
      </c>
      <c r="AS3585" s="1">
        <v>44353.992361111108</v>
      </c>
      <c r="AT3585" s="1">
        <v>44353.997696759259</v>
      </c>
      <c r="AU3585" s="1">
        <v>44353.998738425929</v>
      </c>
      <c r="AV3585" t="s">
        <v>71</v>
      </c>
      <c r="AW3585" t="s">
        <v>72</v>
      </c>
      <c r="AX3585" t="s">
        <v>73</v>
      </c>
    </row>
    <row r="3586" spans="1:50" x14ac:dyDescent="0.3">
      <c r="A3586" t="str">
        <f>"200813E0100"</f>
        <v>200813E0100</v>
      </c>
      <c r="B3586" t="str">
        <f>"200813E01002"</f>
        <v>200813E01002</v>
      </c>
      <c r="C3586" t="str">
        <f t="shared" si="186"/>
        <v>20</v>
      </c>
      <c r="D3586" t="s">
        <v>67</v>
      </c>
      <c r="E3586" t="str">
        <f t="shared" si="189"/>
        <v>016</v>
      </c>
      <c r="F3586" t="s">
        <v>3578</v>
      </c>
      <c r="G3586" t="str">
        <f>"0813"</f>
        <v>0813</v>
      </c>
      <c r="H3586" t="str">
        <f>"0001"</f>
        <v>0001</v>
      </c>
      <c r="I3586" t="s">
        <v>109</v>
      </c>
      <c r="J3586">
        <v>0</v>
      </c>
      <c r="K3586">
        <v>1</v>
      </c>
      <c r="L3586">
        <v>2</v>
      </c>
      <c r="M3586">
        <v>150</v>
      </c>
      <c r="N3586">
        <v>136</v>
      </c>
      <c r="O3586">
        <v>3</v>
      </c>
      <c r="P3586">
        <v>136</v>
      </c>
      <c r="Q3586">
        <v>6</v>
      </c>
      <c r="R3586">
        <v>1</v>
      </c>
      <c r="S3586">
        <v>0</v>
      </c>
      <c r="T3586">
        <v>58</v>
      </c>
      <c r="U3586">
        <v>3</v>
      </c>
      <c r="V3586">
        <v>0</v>
      </c>
      <c r="W3586">
        <v>3</v>
      </c>
      <c r="X3586">
        <v>52</v>
      </c>
      <c r="Y3586">
        <v>2</v>
      </c>
      <c r="Z3586">
        <v>3</v>
      </c>
      <c r="AA3586">
        <v>0</v>
      </c>
      <c r="AB3586">
        <v>0</v>
      </c>
      <c r="AD3586">
        <v>0</v>
      </c>
      <c r="AE3586">
        <v>0</v>
      </c>
      <c r="AF3586">
        <v>0</v>
      </c>
      <c r="AG3586">
        <v>0</v>
      </c>
      <c r="AI3586">
        <v>0</v>
      </c>
      <c r="AJ3586">
        <v>8</v>
      </c>
      <c r="AK3586">
        <v>136</v>
      </c>
      <c r="AL3586">
        <v>136</v>
      </c>
      <c r="AM3586">
        <v>242</v>
      </c>
      <c r="AN3586">
        <v>44</v>
      </c>
      <c r="AP3586">
        <v>1</v>
      </c>
      <c r="AR3586" t="s">
        <v>3683</v>
      </c>
      <c r="AS3586" s="1">
        <v>44353.908333333333</v>
      </c>
      <c r="AT3586" s="1">
        <v>44353.910787037035</v>
      </c>
      <c r="AU3586" s="1">
        <v>44353.912314814814</v>
      </c>
      <c r="AV3586" t="s">
        <v>71</v>
      </c>
      <c r="AW3586" t="s">
        <v>72</v>
      </c>
      <c r="AX3586" t="s">
        <v>73</v>
      </c>
    </row>
    <row r="3587" spans="1:50" x14ac:dyDescent="0.3">
      <c r="A3587" t="str">
        <f>"200846B0000"</f>
        <v>200846B0000</v>
      </c>
      <c r="B3587" t="str">
        <f>"200846B00002"</f>
        <v>200846B00002</v>
      </c>
      <c r="C3587" t="str">
        <f t="shared" si="186"/>
        <v>20</v>
      </c>
      <c r="D3587" t="s">
        <v>67</v>
      </c>
      <c r="E3587" t="str">
        <f t="shared" si="189"/>
        <v>016</v>
      </c>
      <c r="F3587" t="s">
        <v>3578</v>
      </c>
      <c r="G3587" t="str">
        <f>"0846"</f>
        <v>0846</v>
      </c>
      <c r="H3587" t="str">
        <f>"0000"</f>
        <v>0000</v>
      </c>
      <c r="I3587" t="s">
        <v>69</v>
      </c>
      <c r="J3587">
        <v>0</v>
      </c>
      <c r="K3587">
        <v>1</v>
      </c>
      <c r="L3587">
        <v>2</v>
      </c>
      <c r="M3587">
        <v>278</v>
      </c>
      <c r="N3587">
        <v>192</v>
      </c>
      <c r="O3587">
        <v>0</v>
      </c>
      <c r="P3587">
        <v>192</v>
      </c>
      <c r="Q3587">
        <v>14</v>
      </c>
      <c r="R3587">
        <v>20</v>
      </c>
      <c r="S3587">
        <v>3</v>
      </c>
      <c r="T3587">
        <v>60</v>
      </c>
      <c r="U3587">
        <v>9</v>
      </c>
      <c r="V3587">
        <v>5</v>
      </c>
      <c r="W3587">
        <v>3</v>
      </c>
      <c r="X3587">
        <v>66</v>
      </c>
      <c r="Y3587">
        <v>1</v>
      </c>
      <c r="Z3587">
        <v>3</v>
      </c>
      <c r="AA3587">
        <v>1</v>
      </c>
      <c r="AB3587">
        <v>1</v>
      </c>
      <c r="AD3587">
        <v>0</v>
      </c>
      <c r="AE3587">
        <v>0</v>
      </c>
      <c r="AF3587">
        <v>0</v>
      </c>
      <c r="AG3587">
        <v>0</v>
      </c>
      <c r="AI3587">
        <v>0</v>
      </c>
      <c r="AJ3587">
        <v>6</v>
      </c>
      <c r="AK3587">
        <v>192</v>
      </c>
      <c r="AL3587">
        <v>192</v>
      </c>
      <c r="AM3587">
        <v>426</v>
      </c>
      <c r="AN3587">
        <v>44</v>
      </c>
      <c r="AP3587">
        <v>1</v>
      </c>
      <c r="AR3587" t="s">
        <v>3684</v>
      </c>
      <c r="AS3587" s="1">
        <v>44354.089583333334</v>
      </c>
      <c r="AT3587" s="1">
        <v>44354.095891203702</v>
      </c>
      <c r="AU3587" s="1">
        <v>44354.096145833333</v>
      </c>
      <c r="AV3587" t="s">
        <v>71</v>
      </c>
      <c r="AW3587" t="s">
        <v>72</v>
      </c>
      <c r="AX3587" t="s">
        <v>73</v>
      </c>
    </row>
    <row r="3588" spans="1:50" x14ac:dyDescent="0.3">
      <c r="A3588" t="str">
        <f>"200846C0100"</f>
        <v>200846C0100</v>
      </c>
      <c r="B3588" t="str">
        <f>"200846C01002"</f>
        <v>200846C01002</v>
      </c>
      <c r="C3588" t="str">
        <f t="shared" si="186"/>
        <v>20</v>
      </c>
      <c r="D3588" t="s">
        <v>67</v>
      </c>
      <c r="E3588" t="str">
        <f t="shared" si="189"/>
        <v>016</v>
      </c>
      <c r="F3588" t="s">
        <v>3578</v>
      </c>
      <c r="G3588" t="str">
        <f>"0846"</f>
        <v>0846</v>
      </c>
      <c r="H3588" t="str">
        <f>"0001"</f>
        <v>0001</v>
      </c>
      <c r="I3588" t="s">
        <v>75</v>
      </c>
      <c r="J3588">
        <v>0</v>
      </c>
      <c r="K3588">
        <v>1</v>
      </c>
      <c r="L3588">
        <v>2</v>
      </c>
      <c r="M3588">
        <v>287</v>
      </c>
      <c r="N3588">
        <v>183</v>
      </c>
      <c r="O3588">
        <v>0</v>
      </c>
      <c r="P3588">
        <v>183</v>
      </c>
      <c r="Q3588">
        <v>20</v>
      </c>
      <c r="R3588">
        <v>16</v>
      </c>
      <c r="S3588">
        <v>0</v>
      </c>
      <c r="T3588">
        <v>56</v>
      </c>
      <c r="U3588">
        <v>14</v>
      </c>
      <c r="V3588">
        <v>2</v>
      </c>
      <c r="W3588">
        <v>0</v>
      </c>
      <c r="X3588">
        <v>69</v>
      </c>
      <c r="Y3588">
        <v>0</v>
      </c>
      <c r="Z3588">
        <v>0</v>
      </c>
      <c r="AA3588">
        <v>1</v>
      </c>
      <c r="AB3588">
        <v>2</v>
      </c>
      <c r="AD3588">
        <v>0</v>
      </c>
      <c r="AE3588">
        <v>1</v>
      </c>
      <c r="AF3588">
        <v>0</v>
      </c>
      <c r="AG3588">
        <v>0</v>
      </c>
      <c r="AI3588">
        <v>1</v>
      </c>
      <c r="AJ3588">
        <v>1</v>
      </c>
      <c r="AK3588">
        <v>183</v>
      </c>
      <c r="AL3588">
        <v>183</v>
      </c>
      <c r="AM3588">
        <v>426</v>
      </c>
      <c r="AN3588">
        <v>44</v>
      </c>
      <c r="AP3588">
        <v>1</v>
      </c>
      <c r="AR3588" t="s">
        <v>3685</v>
      </c>
      <c r="AS3588" s="1">
        <v>44353.791666666664</v>
      </c>
      <c r="AT3588" s="1">
        <v>44354.095358796294</v>
      </c>
      <c r="AU3588" s="1">
        <v>44354.095983796295</v>
      </c>
      <c r="AV3588" t="s">
        <v>71</v>
      </c>
      <c r="AW3588" t="s">
        <v>72</v>
      </c>
      <c r="AX3588" t="s">
        <v>73</v>
      </c>
    </row>
    <row r="3589" spans="1:50" x14ac:dyDescent="0.3">
      <c r="A3589" t="str">
        <f>"200846E0100"</f>
        <v>200846E0100</v>
      </c>
      <c r="B3589" t="str">
        <f>"200846E01002"</f>
        <v>200846E01002</v>
      </c>
      <c r="C3589" t="str">
        <f t="shared" si="186"/>
        <v>20</v>
      </c>
      <c r="D3589" t="s">
        <v>67</v>
      </c>
      <c r="E3589" t="str">
        <f t="shared" si="189"/>
        <v>016</v>
      </c>
      <c r="F3589" t="s">
        <v>3578</v>
      </c>
      <c r="G3589" t="str">
        <f>"0846"</f>
        <v>0846</v>
      </c>
      <c r="H3589" t="str">
        <f>"0001"</f>
        <v>0001</v>
      </c>
      <c r="I3589" t="s">
        <v>109</v>
      </c>
      <c r="J3589">
        <v>0</v>
      </c>
      <c r="K3589">
        <v>1</v>
      </c>
      <c r="L3589">
        <v>2</v>
      </c>
      <c r="M3589">
        <v>124</v>
      </c>
      <c r="N3589">
        <v>81</v>
      </c>
      <c r="O3589">
        <v>2</v>
      </c>
      <c r="P3589">
        <v>81</v>
      </c>
      <c r="Q3589">
        <v>5</v>
      </c>
      <c r="R3589">
        <v>8</v>
      </c>
      <c r="S3589">
        <v>1</v>
      </c>
      <c r="T3589">
        <v>25</v>
      </c>
      <c r="U3589">
        <v>2</v>
      </c>
      <c r="V3589">
        <v>0</v>
      </c>
      <c r="W3589">
        <v>1</v>
      </c>
      <c r="X3589">
        <v>35</v>
      </c>
      <c r="Y3589">
        <v>1</v>
      </c>
      <c r="Z3589">
        <v>0</v>
      </c>
      <c r="AA3589">
        <v>1</v>
      </c>
      <c r="AB3589">
        <v>1</v>
      </c>
      <c r="AD3589">
        <v>0</v>
      </c>
      <c r="AE3589">
        <v>0</v>
      </c>
      <c r="AF3589">
        <v>0</v>
      </c>
      <c r="AG3589">
        <v>0</v>
      </c>
      <c r="AI3589">
        <v>0</v>
      </c>
      <c r="AJ3589">
        <v>0</v>
      </c>
      <c r="AK3589">
        <v>81</v>
      </c>
      <c r="AL3589">
        <v>80</v>
      </c>
      <c r="AM3589">
        <v>161</v>
      </c>
      <c r="AN3589">
        <v>44</v>
      </c>
      <c r="AP3589">
        <v>1</v>
      </c>
      <c r="AR3589" t="s">
        <v>3686</v>
      </c>
      <c r="AS3589" s="1">
        <v>44354.088194444441</v>
      </c>
      <c r="AT3589" s="1">
        <v>44354.094895833332</v>
      </c>
      <c r="AU3589" s="1">
        <v>44354.095497685186</v>
      </c>
      <c r="AV3589" t="s">
        <v>71</v>
      </c>
      <c r="AW3589" t="s">
        <v>72</v>
      </c>
      <c r="AX3589" t="s">
        <v>73</v>
      </c>
    </row>
    <row r="3590" spans="1:50" x14ac:dyDescent="0.3">
      <c r="A3590" t="str">
        <f>"201107B0000"</f>
        <v>201107B0000</v>
      </c>
      <c r="B3590" t="str">
        <f>"201107B00002"</f>
        <v>201107B00002</v>
      </c>
      <c r="C3590" t="str">
        <f t="shared" si="186"/>
        <v>20</v>
      </c>
      <c r="D3590" t="s">
        <v>67</v>
      </c>
      <c r="E3590" t="str">
        <f t="shared" si="189"/>
        <v>016</v>
      </c>
      <c r="F3590" t="s">
        <v>3578</v>
      </c>
      <c r="G3590" t="str">
        <f>"1107"</f>
        <v>1107</v>
      </c>
      <c r="H3590" t="str">
        <f>"0000"</f>
        <v>0000</v>
      </c>
      <c r="I3590" t="s">
        <v>69</v>
      </c>
      <c r="J3590">
        <v>0</v>
      </c>
      <c r="K3590">
        <v>1</v>
      </c>
      <c r="L3590">
        <v>2</v>
      </c>
      <c r="M3590">
        <v>304</v>
      </c>
      <c r="N3590">
        <v>364</v>
      </c>
      <c r="O3590">
        <v>0</v>
      </c>
      <c r="P3590">
        <v>364</v>
      </c>
      <c r="Q3590">
        <v>8</v>
      </c>
      <c r="R3590">
        <v>25</v>
      </c>
      <c r="S3590">
        <v>2</v>
      </c>
      <c r="T3590">
        <v>178</v>
      </c>
      <c r="U3590">
        <v>6</v>
      </c>
      <c r="V3590">
        <v>1</v>
      </c>
      <c r="W3590">
        <v>0</v>
      </c>
      <c r="X3590">
        <v>120</v>
      </c>
      <c r="Y3590">
        <v>1</v>
      </c>
      <c r="Z3590">
        <v>1</v>
      </c>
      <c r="AA3590">
        <v>4</v>
      </c>
      <c r="AB3590">
        <v>6</v>
      </c>
      <c r="AD3590">
        <v>1</v>
      </c>
      <c r="AE3590">
        <v>3</v>
      </c>
      <c r="AF3590">
        <v>0</v>
      </c>
      <c r="AG3590">
        <v>0</v>
      </c>
      <c r="AI3590">
        <v>0</v>
      </c>
      <c r="AJ3590">
        <v>8</v>
      </c>
      <c r="AK3590">
        <v>364</v>
      </c>
      <c r="AL3590">
        <v>364</v>
      </c>
      <c r="AM3590">
        <v>624</v>
      </c>
      <c r="AN3590">
        <v>44</v>
      </c>
      <c r="AP3590">
        <v>1</v>
      </c>
      <c r="AR3590" t="s">
        <v>3687</v>
      </c>
      <c r="AS3590" s="1">
        <v>44354.067361111112</v>
      </c>
      <c r="AT3590" s="1">
        <v>44354.073981481481</v>
      </c>
      <c r="AU3590" s="1">
        <v>44354.074641203704</v>
      </c>
      <c r="AV3590" t="s">
        <v>71</v>
      </c>
      <c r="AW3590" t="s">
        <v>72</v>
      </c>
      <c r="AX3590" t="s">
        <v>73</v>
      </c>
    </row>
    <row r="3591" spans="1:50" x14ac:dyDescent="0.3">
      <c r="A3591" t="str">
        <f>"201107C0100"</f>
        <v>201107C0100</v>
      </c>
      <c r="B3591" t="str">
        <f>"201107C01002"</f>
        <v>201107C01002</v>
      </c>
      <c r="C3591" t="str">
        <f t="shared" ref="C3591:C3654" si="191">"20"</f>
        <v>20</v>
      </c>
      <c r="D3591" t="s">
        <v>67</v>
      </c>
      <c r="E3591" t="str">
        <f t="shared" si="189"/>
        <v>016</v>
      </c>
      <c r="F3591" t="s">
        <v>3578</v>
      </c>
      <c r="G3591" t="str">
        <f>"1107"</f>
        <v>1107</v>
      </c>
      <c r="H3591" t="str">
        <f>"0001"</f>
        <v>0001</v>
      </c>
      <c r="I3591" t="s">
        <v>75</v>
      </c>
      <c r="J3591">
        <v>0</v>
      </c>
      <c r="K3591">
        <v>1</v>
      </c>
      <c r="L3591">
        <v>2</v>
      </c>
      <c r="M3591">
        <v>282</v>
      </c>
      <c r="N3591">
        <v>385</v>
      </c>
      <c r="O3591">
        <v>4</v>
      </c>
      <c r="P3591">
        <v>385</v>
      </c>
      <c r="Q3591">
        <v>9</v>
      </c>
      <c r="R3591">
        <v>15</v>
      </c>
      <c r="S3591">
        <v>1</v>
      </c>
      <c r="T3591">
        <v>160</v>
      </c>
      <c r="U3591">
        <v>10</v>
      </c>
      <c r="V3591">
        <v>3</v>
      </c>
      <c r="W3591">
        <v>4</v>
      </c>
      <c r="X3591">
        <v>156</v>
      </c>
      <c r="Y3591">
        <v>0</v>
      </c>
      <c r="Z3591">
        <v>3</v>
      </c>
      <c r="AA3591">
        <v>3</v>
      </c>
      <c r="AB3591">
        <v>5</v>
      </c>
      <c r="AD3591">
        <v>0</v>
      </c>
      <c r="AE3591">
        <v>0</v>
      </c>
      <c r="AF3591">
        <v>0</v>
      </c>
      <c r="AG3591">
        <v>0</v>
      </c>
      <c r="AI3591">
        <v>0</v>
      </c>
      <c r="AJ3591">
        <v>16</v>
      </c>
      <c r="AK3591">
        <v>385</v>
      </c>
      <c r="AL3591">
        <v>385</v>
      </c>
      <c r="AM3591">
        <v>623</v>
      </c>
      <c r="AN3591">
        <v>44</v>
      </c>
      <c r="AP3591">
        <v>1</v>
      </c>
      <c r="AR3591" t="s">
        <v>3688</v>
      </c>
      <c r="AS3591" s="1">
        <v>44354.072916666664</v>
      </c>
      <c r="AT3591" s="1">
        <v>44354.08090277778</v>
      </c>
      <c r="AU3591" s="1">
        <v>44354.081400462965</v>
      </c>
      <c r="AV3591" t="s">
        <v>71</v>
      </c>
      <c r="AW3591" t="s">
        <v>72</v>
      </c>
      <c r="AX3591" t="s">
        <v>73</v>
      </c>
    </row>
    <row r="3592" spans="1:50" x14ac:dyDescent="0.3">
      <c r="A3592" t="str">
        <f>"201285B0000"</f>
        <v>201285B0000</v>
      </c>
      <c r="B3592" t="str">
        <f>"201285B00002"</f>
        <v>201285B00002</v>
      </c>
      <c r="C3592" t="str">
        <f t="shared" si="191"/>
        <v>20</v>
      </c>
      <c r="D3592" t="s">
        <v>67</v>
      </c>
      <c r="E3592" t="str">
        <f t="shared" si="189"/>
        <v>016</v>
      </c>
      <c r="F3592" t="s">
        <v>3578</v>
      </c>
      <c r="G3592" t="str">
        <f>"1285"</f>
        <v>1285</v>
      </c>
      <c r="H3592" t="str">
        <f>"0000"</f>
        <v>0000</v>
      </c>
      <c r="I3592" t="s">
        <v>69</v>
      </c>
      <c r="J3592">
        <v>0</v>
      </c>
      <c r="K3592">
        <v>1</v>
      </c>
      <c r="L3592">
        <v>2</v>
      </c>
      <c r="M3592">
        <v>246</v>
      </c>
      <c r="N3592">
        <v>242</v>
      </c>
      <c r="O3592">
        <v>0</v>
      </c>
      <c r="P3592">
        <v>242</v>
      </c>
      <c r="Q3592">
        <v>56</v>
      </c>
      <c r="R3592">
        <v>27</v>
      </c>
      <c r="S3592">
        <v>4</v>
      </c>
      <c r="T3592">
        <v>33</v>
      </c>
      <c r="U3592">
        <v>8</v>
      </c>
      <c r="V3592">
        <v>2</v>
      </c>
      <c r="W3592">
        <v>8</v>
      </c>
      <c r="X3592">
        <v>72</v>
      </c>
      <c r="Y3592">
        <v>0</v>
      </c>
      <c r="Z3592">
        <v>2</v>
      </c>
      <c r="AA3592">
        <v>5</v>
      </c>
      <c r="AB3592">
        <v>1</v>
      </c>
      <c r="AD3592">
        <v>2</v>
      </c>
      <c r="AE3592">
        <v>5</v>
      </c>
      <c r="AF3592">
        <v>0</v>
      </c>
      <c r="AG3592">
        <v>0</v>
      </c>
      <c r="AI3592">
        <v>0</v>
      </c>
      <c r="AJ3592">
        <v>17</v>
      </c>
      <c r="AK3592">
        <v>242</v>
      </c>
      <c r="AL3592">
        <v>242</v>
      </c>
      <c r="AM3592">
        <v>444</v>
      </c>
      <c r="AN3592">
        <v>44</v>
      </c>
      <c r="AP3592">
        <v>1</v>
      </c>
      <c r="AR3592" t="s">
        <v>3689</v>
      </c>
      <c r="AS3592" s="1">
        <v>44353.999305555553</v>
      </c>
      <c r="AT3592" s="1">
        <v>44354.00476851852</v>
      </c>
      <c r="AU3592" s="1">
        <v>44354.005324074074</v>
      </c>
      <c r="AV3592" t="s">
        <v>71</v>
      </c>
      <c r="AW3592" t="s">
        <v>72</v>
      </c>
      <c r="AX3592" t="s">
        <v>73</v>
      </c>
    </row>
    <row r="3593" spans="1:50" x14ac:dyDescent="0.3">
      <c r="A3593" t="str">
        <f>"201285C0100"</f>
        <v>201285C0100</v>
      </c>
      <c r="B3593" t="str">
        <f>"201285C01002"</f>
        <v>201285C01002</v>
      </c>
      <c r="C3593" t="str">
        <f t="shared" si="191"/>
        <v>20</v>
      </c>
      <c r="D3593" t="s">
        <v>67</v>
      </c>
      <c r="E3593" t="str">
        <f t="shared" si="189"/>
        <v>016</v>
      </c>
      <c r="F3593" t="s">
        <v>3578</v>
      </c>
      <c r="G3593" t="str">
        <f>"1285"</f>
        <v>1285</v>
      </c>
      <c r="H3593" t="str">
        <f>"0001"</f>
        <v>0001</v>
      </c>
      <c r="I3593" t="s">
        <v>75</v>
      </c>
      <c r="J3593">
        <v>0</v>
      </c>
      <c r="K3593">
        <v>1</v>
      </c>
      <c r="L3593">
        <v>2</v>
      </c>
      <c r="M3593">
        <v>274</v>
      </c>
      <c r="N3593">
        <v>214</v>
      </c>
      <c r="O3593">
        <v>0</v>
      </c>
      <c r="P3593">
        <v>214</v>
      </c>
      <c r="Q3593">
        <v>45</v>
      </c>
      <c r="R3593">
        <v>27</v>
      </c>
      <c r="S3593">
        <v>4</v>
      </c>
      <c r="T3593">
        <v>45</v>
      </c>
      <c r="U3593">
        <v>5</v>
      </c>
      <c r="V3593">
        <v>3</v>
      </c>
      <c r="W3593">
        <v>8</v>
      </c>
      <c r="X3593">
        <v>60</v>
      </c>
      <c r="Y3593">
        <v>0</v>
      </c>
      <c r="Z3593">
        <v>3</v>
      </c>
      <c r="AA3593">
        <v>5</v>
      </c>
      <c r="AB3593">
        <v>0</v>
      </c>
      <c r="AD3593">
        <v>0</v>
      </c>
      <c r="AE3593">
        <v>2</v>
      </c>
      <c r="AF3593">
        <v>1</v>
      </c>
      <c r="AG3593">
        <v>0</v>
      </c>
      <c r="AI3593">
        <v>0</v>
      </c>
      <c r="AJ3593">
        <v>6</v>
      </c>
      <c r="AK3593">
        <v>214</v>
      </c>
      <c r="AL3593">
        <v>214</v>
      </c>
      <c r="AM3593">
        <v>444</v>
      </c>
      <c r="AN3593">
        <v>44</v>
      </c>
      <c r="AP3593">
        <v>1</v>
      </c>
      <c r="AR3593" t="s">
        <v>3690</v>
      </c>
      <c r="AS3593" s="1">
        <v>44353.999305555553</v>
      </c>
      <c r="AT3593" s="1">
        <v>44354.007685185185</v>
      </c>
      <c r="AU3593" s="1">
        <v>44354.008298611108</v>
      </c>
      <c r="AV3593" t="s">
        <v>71</v>
      </c>
      <c r="AW3593" t="s">
        <v>72</v>
      </c>
      <c r="AX3593" t="s">
        <v>73</v>
      </c>
    </row>
    <row r="3594" spans="1:50" x14ac:dyDescent="0.3">
      <c r="A3594" t="str">
        <f>"201291B0000"</f>
        <v>201291B0000</v>
      </c>
      <c r="B3594" t="str">
        <f>"201291B00002"</f>
        <v>201291B00002</v>
      </c>
      <c r="C3594" t="str">
        <f t="shared" si="191"/>
        <v>20</v>
      </c>
      <c r="D3594" t="s">
        <v>67</v>
      </c>
      <c r="E3594" t="str">
        <f t="shared" si="189"/>
        <v>016</v>
      </c>
      <c r="F3594" t="s">
        <v>3578</v>
      </c>
      <c r="G3594" t="str">
        <f>"1291"</f>
        <v>1291</v>
      </c>
      <c r="H3594" t="str">
        <f>"0000"</f>
        <v>0000</v>
      </c>
      <c r="I3594" t="s">
        <v>69</v>
      </c>
      <c r="J3594">
        <v>0</v>
      </c>
      <c r="K3594">
        <v>1</v>
      </c>
      <c r="L3594">
        <v>2</v>
      </c>
      <c r="M3594">
        <v>455</v>
      </c>
      <c r="N3594">
        <v>324</v>
      </c>
      <c r="O3594">
        <v>5</v>
      </c>
      <c r="P3594">
        <v>328</v>
      </c>
      <c r="Q3594">
        <v>8</v>
      </c>
      <c r="R3594">
        <v>13</v>
      </c>
      <c r="S3594">
        <v>0</v>
      </c>
      <c r="T3594">
        <v>76</v>
      </c>
      <c r="U3594">
        <v>88</v>
      </c>
      <c r="V3594">
        <v>2</v>
      </c>
      <c r="W3594">
        <v>2</v>
      </c>
      <c r="X3594">
        <v>117</v>
      </c>
      <c r="Y3594">
        <v>2</v>
      </c>
      <c r="Z3594">
        <v>3</v>
      </c>
      <c r="AA3594">
        <v>0</v>
      </c>
      <c r="AB3594">
        <v>4</v>
      </c>
      <c r="AD3594">
        <v>1</v>
      </c>
      <c r="AE3594">
        <v>0</v>
      </c>
      <c r="AF3594">
        <v>0</v>
      </c>
      <c r="AG3594">
        <v>0</v>
      </c>
      <c r="AI3594">
        <v>1</v>
      </c>
      <c r="AJ3594">
        <v>11</v>
      </c>
      <c r="AK3594">
        <v>328</v>
      </c>
      <c r="AL3594">
        <v>328</v>
      </c>
      <c r="AM3594">
        <v>739</v>
      </c>
      <c r="AN3594">
        <v>44</v>
      </c>
      <c r="AP3594">
        <v>1</v>
      </c>
      <c r="AR3594" t="s">
        <v>3691</v>
      </c>
      <c r="AS3594" s="1">
        <v>44354.066666666666</v>
      </c>
      <c r="AT3594" s="1">
        <v>44354.072685185187</v>
      </c>
      <c r="AU3594" s="1">
        <v>44354.073275462964</v>
      </c>
      <c r="AV3594" t="s">
        <v>71</v>
      </c>
      <c r="AW3594" t="s">
        <v>72</v>
      </c>
      <c r="AX3594" t="s">
        <v>73</v>
      </c>
    </row>
    <row r="3595" spans="1:50" x14ac:dyDescent="0.3">
      <c r="A3595" t="str">
        <f>"201291C0100"</f>
        <v>201291C0100</v>
      </c>
      <c r="B3595" t="str">
        <f>"201291C01002"</f>
        <v>201291C01002</v>
      </c>
      <c r="C3595" t="str">
        <f t="shared" si="191"/>
        <v>20</v>
      </c>
      <c r="D3595" t="s">
        <v>67</v>
      </c>
      <c r="E3595" t="str">
        <f t="shared" si="189"/>
        <v>016</v>
      </c>
      <c r="F3595" t="s">
        <v>3578</v>
      </c>
      <c r="G3595" t="str">
        <f>"1291"</f>
        <v>1291</v>
      </c>
      <c r="H3595" t="str">
        <f>"0001"</f>
        <v>0001</v>
      </c>
      <c r="I3595" t="s">
        <v>75</v>
      </c>
      <c r="J3595">
        <v>0</v>
      </c>
      <c r="K3595">
        <v>1</v>
      </c>
      <c r="L3595">
        <v>2</v>
      </c>
      <c r="M3595">
        <v>468</v>
      </c>
      <c r="N3595">
        <v>315</v>
      </c>
      <c r="O3595">
        <v>6</v>
      </c>
      <c r="P3595">
        <v>315</v>
      </c>
      <c r="Q3595">
        <v>9</v>
      </c>
      <c r="R3595">
        <v>20</v>
      </c>
      <c r="S3595">
        <v>0</v>
      </c>
      <c r="T3595">
        <v>105</v>
      </c>
      <c r="U3595">
        <v>83</v>
      </c>
      <c r="V3595">
        <v>1</v>
      </c>
      <c r="W3595">
        <v>1</v>
      </c>
      <c r="X3595">
        <v>70</v>
      </c>
      <c r="Y3595">
        <v>0</v>
      </c>
      <c r="Z3595">
        <v>4</v>
      </c>
      <c r="AA3595">
        <v>1</v>
      </c>
      <c r="AB3595">
        <v>2</v>
      </c>
      <c r="AD3595">
        <v>1</v>
      </c>
      <c r="AE3595">
        <v>0</v>
      </c>
      <c r="AF3595">
        <v>0</v>
      </c>
      <c r="AG3595">
        <v>0</v>
      </c>
      <c r="AI3595">
        <v>0</v>
      </c>
      <c r="AJ3595">
        <v>18</v>
      </c>
      <c r="AK3595">
        <v>315</v>
      </c>
      <c r="AL3595">
        <v>315</v>
      </c>
      <c r="AM3595">
        <v>739</v>
      </c>
      <c r="AN3595">
        <v>44</v>
      </c>
      <c r="AP3595">
        <v>1</v>
      </c>
      <c r="AR3595" t="s">
        <v>3692</v>
      </c>
      <c r="AS3595" s="1">
        <v>44354.068055555559</v>
      </c>
      <c r="AT3595" s="1">
        <v>44354.075092592589</v>
      </c>
      <c r="AU3595" s="1">
        <v>44354.075868055559</v>
      </c>
      <c r="AV3595" t="s">
        <v>71</v>
      </c>
      <c r="AW3595" t="s">
        <v>72</v>
      </c>
      <c r="AX3595" t="s">
        <v>73</v>
      </c>
    </row>
    <row r="3596" spans="1:50" x14ac:dyDescent="0.3">
      <c r="A3596" t="str">
        <f>"201361B0000"</f>
        <v>201361B0000</v>
      </c>
      <c r="B3596" t="str">
        <f>"201361B00002"</f>
        <v>201361B00002</v>
      </c>
      <c r="C3596" t="str">
        <f t="shared" si="191"/>
        <v>20</v>
      </c>
      <c r="D3596" t="s">
        <v>67</v>
      </c>
      <c r="E3596" t="str">
        <f t="shared" si="189"/>
        <v>016</v>
      </c>
      <c r="F3596" t="s">
        <v>3578</v>
      </c>
      <c r="G3596" t="str">
        <f>"1361"</f>
        <v>1361</v>
      </c>
      <c r="H3596" t="str">
        <f>"0000"</f>
        <v>0000</v>
      </c>
      <c r="I3596" t="s">
        <v>69</v>
      </c>
      <c r="J3596">
        <v>0</v>
      </c>
      <c r="K3596">
        <v>1</v>
      </c>
      <c r="L3596">
        <v>2</v>
      </c>
      <c r="M3596">
        <v>228</v>
      </c>
      <c r="N3596">
        <v>273</v>
      </c>
      <c r="O3596">
        <v>5</v>
      </c>
      <c r="P3596">
        <v>273</v>
      </c>
      <c r="Q3596">
        <v>48</v>
      </c>
      <c r="R3596">
        <v>21</v>
      </c>
      <c r="S3596">
        <v>11</v>
      </c>
      <c r="T3596">
        <v>92</v>
      </c>
      <c r="U3596">
        <v>17</v>
      </c>
      <c r="V3596">
        <v>1</v>
      </c>
      <c r="W3596">
        <v>4</v>
      </c>
      <c r="X3596">
        <v>38</v>
      </c>
      <c r="Y3596">
        <v>1</v>
      </c>
      <c r="Z3596">
        <v>7</v>
      </c>
      <c r="AA3596">
        <v>4</v>
      </c>
      <c r="AB3596">
        <v>7</v>
      </c>
      <c r="AD3596">
        <v>0</v>
      </c>
      <c r="AE3596">
        <v>1</v>
      </c>
      <c r="AF3596">
        <v>0</v>
      </c>
      <c r="AG3596">
        <v>0</v>
      </c>
      <c r="AI3596">
        <v>0</v>
      </c>
      <c r="AJ3596">
        <v>26</v>
      </c>
      <c r="AK3596">
        <v>273</v>
      </c>
      <c r="AL3596">
        <v>278</v>
      </c>
      <c r="AM3596">
        <v>458</v>
      </c>
      <c r="AN3596">
        <v>44</v>
      </c>
      <c r="AP3596">
        <v>1</v>
      </c>
      <c r="AR3596" t="s">
        <v>3693</v>
      </c>
      <c r="AS3596" s="1">
        <v>44354.074999999997</v>
      </c>
      <c r="AT3596" s="1">
        <v>44354.082002314812</v>
      </c>
      <c r="AU3596" s="1">
        <v>44354.08252314815</v>
      </c>
      <c r="AV3596" t="s">
        <v>71</v>
      </c>
      <c r="AW3596" t="s">
        <v>72</v>
      </c>
      <c r="AX3596" t="s">
        <v>73</v>
      </c>
    </row>
    <row r="3597" spans="1:50" x14ac:dyDescent="0.3">
      <c r="A3597" t="str">
        <f>"201361C0100"</f>
        <v>201361C0100</v>
      </c>
      <c r="B3597" t="str">
        <f>"201361C01002"</f>
        <v>201361C01002</v>
      </c>
      <c r="C3597" t="str">
        <f t="shared" si="191"/>
        <v>20</v>
      </c>
      <c r="D3597" t="s">
        <v>67</v>
      </c>
      <c r="E3597" t="str">
        <f t="shared" si="189"/>
        <v>016</v>
      </c>
      <c r="F3597" t="s">
        <v>3578</v>
      </c>
      <c r="G3597" t="str">
        <f>"1361"</f>
        <v>1361</v>
      </c>
      <c r="H3597" t="str">
        <f>"0001"</f>
        <v>0001</v>
      </c>
      <c r="I3597" t="s">
        <v>75</v>
      </c>
      <c r="J3597">
        <v>0</v>
      </c>
      <c r="K3597">
        <v>1</v>
      </c>
      <c r="L3597">
        <v>2</v>
      </c>
      <c r="M3597">
        <v>224</v>
      </c>
      <c r="N3597">
        <v>278</v>
      </c>
      <c r="O3597">
        <v>3</v>
      </c>
      <c r="P3597">
        <v>278</v>
      </c>
      <c r="Q3597">
        <v>38</v>
      </c>
      <c r="R3597">
        <v>26</v>
      </c>
      <c r="S3597">
        <v>10</v>
      </c>
      <c r="T3597">
        <v>96</v>
      </c>
      <c r="U3597">
        <v>22</v>
      </c>
      <c r="V3597">
        <v>2</v>
      </c>
      <c r="W3597">
        <v>2</v>
      </c>
      <c r="X3597">
        <v>54</v>
      </c>
      <c r="Y3597">
        <v>1</v>
      </c>
      <c r="Z3597">
        <v>4</v>
      </c>
      <c r="AA3597">
        <v>7</v>
      </c>
      <c r="AB3597">
        <v>1</v>
      </c>
      <c r="AD3597">
        <v>0</v>
      </c>
      <c r="AE3597">
        <v>2</v>
      </c>
      <c r="AF3597">
        <v>0</v>
      </c>
      <c r="AG3597">
        <v>0</v>
      </c>
      <c r="AI3597">
        <v>0</v>
      </c>
      <c r="AJ3597">
        <v>13</v>
      </c>
      <c r="AK3597">
        <v>278</v>
      </c>
      <c r="AL3597">
        <v>278</v>
      </c>
      <c r="AM3597">
        <v>458</v>
      </c>
      <c r="AN3597">
        <v>44</v>
      </c>
      <c r="AP3597">
        <v>1</v>
      </c>
      <c r="AR3597" t="s">
        <v>3694</v>
      </c>
      <c r="AS3597" s="1">
        <v>44354.077777777777</v>
      </c>
      <c r="AT3597" s="1">
        <v>44354.084872685184</v>
      </c>
      <c r="AU3597" s="1">
        <v>44354.085451388892</v>
      </c>
      <c r="AV3597" t="s">
        <v>71</v>
      </c>
      <c r="AW3597" t="s">
        <v>72</v>
      </c>
      <c r="AX3597" t="s">
        <v>73</v>
      </c>
    </row>
    <row r="3598" spans="1:50" x14ac:dyDescent="0.3">
      <c r="A3598" t="str">
        <f>"201362B0000"</f>
        <v>201362B0000</v>
      </c>
      <c r="B3598" t="str">
        <f>"201362B00002"</f>
        <v>201362B00002</v>
      </c>
      <c r="C3598" t="str">
        <f t="shared" si="191"/>
        <v>20</v>
      </c>
      <c r="D3598" t="s">
        <v>67</v>
      </c>
      <c r="E3598" t="str">
        <f t="shared" si="189"/>
        <v>016</v>
      </c>
      <c r="F3598" t="s">
        <v>3578</v>
      </c>
      <c r="G3598" t="str">
        <f>"1362"</f>
        <v>1362</v>
      </c>
      <c r="H3598" t="str">
        <f>"0000"</f>
        <v>0000</v>
      </c>
      <c r="I3598" t="s">
        <v>69</v>
      </c>
      <c r="J3598">
        <v>0</v>
      </c>
      <c r="K3598">
        <v>1</v>
      </c>
      <c r="L3598">
        <v>2</v>
      </c>
      <c r="M3598">
        <v>342</v>
      </c>
      <c r="N3598">
        <v>409</v>
      </c>
      <c r="O3598">
        <v>4</v>
      </c>
      <c r="P3598">
        <v>409</v>
      </c>
      <c r="Q3598">
        <v>6</v>
      </c>
      <c r="R3598">
        <v>11</v>
      </c>
      <c r="S3598">
        <v>5</v>
      </c>
      <c r="T3598">
        <v>165</v>
      </c>
      <c r="U3598">
        <v>11</v>
      </c>
      <c r="V3598">
        <v>1</v>
      </c>
      <c r="W3598">
        <v>1</v>
      </c>
      <c r="X3598">
        <v>177</v>
      </c>
      <c r="Y3598">
        <v>3</v>
      </c>
      <c r="Z3598">
        <v>3</v>
      </c>
      <c r="AA3598">
        <v>5</v>
      </c>
      <c r="AB3598">
        <v>1</v>
      </c>
      <c r="AD3598">
        <v>0</v>
      </c>
      <c r="AE3598">
        <v>0</v>
      </c>
      <c r="AF3598">
        <v>0</v>
      </c>
      <c r="AG3598">
        <v>0</v>
      </c>
      <c r="AI3598">
        <v>0</v>
      </c>
      <c r="AJ3598">
        <v>20</v>
      </c>
      <c r="AK3598">
        <v>409</v>
      </c>
      <c r="AL3598">
        <v>409</v>
      </c>
      <c r="AM3598">
        <v>707</v>
      </c>
      <c r="AN3598">
        <v>44</v>
      </c>
      <c r="AP3598">
        <v>1</v>
      </c>
      <c r="AR3598" t="s">
        <v>3695</v>
      </c>
      <c r="AS3598" s="1">
        <v>44354.075694444444</v>
      </c>
      <c r="AT3598" s="1">
        <v>44354.08222222222</v>
      </c>
      <c r="AU3598" s="1">
        <v>44354.082743055558</v>
      </c>
      <c r="AV3598" t="s">
        <v>71</v>
      </c>
      <c r="AW3598" t="s">
        <v>72</v>
      </c>
      <c r="AX3598" t="s">
        <v>73</v>
      </c>
    </row>
    <row r="3599" spans="1:50" x14ac:dyDescent="0.3">
      <c r="A3599" t="str">
        <f>"201362E0100"</f>
        <v>201362E0100</v>
      </c>
      <c r="B3599" t="str">
        <f>"201362E01002"</f>
        <v>201362E01002</v>
      </c>
      <c r="C3599" t="str">
        <f t="shared" si="191"/>
        <v>20</v>
      </c>
      <c r="D3599" t="s">
        <v>67</v>
      </c>
      <c r="E3599" t="str">
        <f t="shared" si="189"/>
        <v>016</v>
      </c>
      <c r="F3599" t="s">
        <v>3578</v>
      </c>
      <c r="G3599" t="str">
        <f>"1362"</f>
        <v>1362</v>
      </c>
      <c r="H3599" t="str">
        <f>"0001"</f>
        <v>0001</v>
      </c>
      <c r="I3599" t="s">
        <v>109</v>
      </c>
      <c r="J3599">
        <v>0</v>
      </c>
      <c r="K3599">
        <v>1</v>
      </c>
      <c r="L3599">
        <v>2</v>
      </c>
      <c r="M3599">
        <v>240</v>
      </c>
      <c r="N3599">
        <v>294</v>
      </c>
      <c r="O3599">
        <v>0</v>
      </c>
      <c r="P3599">
        <v>294</v>
      </c>
      <c r="Q3599">
        <v>36</v>
      </c>
      <c r="R3599">
        <v>41</v>
      </c>
      <c r="S3599">
        <v>12</v>
      </c>
      <c r="T3599">
        <v>61</v>
      </c>
      <c r="U3599">
        <v>13</v>
      </c>
      <c r="V3599">
        <v>5</v>
      </c>
      <c r="W3599">
        <v>3</v>
      </c>
      <c r="X3599">
        <v>94</v>
      </c>
      <c r="Y3599">
        <v>2</v>
      </c>
      <c r="Z3599">
        <v>1</v>
      </c>
      <c r="AA3599">
        <v>1</v>
      </c>
      <c r="AB3599">
        <v>2</v>
      </c>
      <c r="AD3599">
        <v>0</v>
      </c>
      <c r="AE3599">
        <v>1</v>
      </c>
      <c r="AF3599">
        <v>0</v>
      </c>
      <c r="AG3599">
        <v>0</v>
      </c>
      <c r="AI3599">
        <v>0</v>
      </c>
      <c r="AJ3599">
        <v>22</v>
      </c>
      <c r="AK3599">
        <v>294</v>
      </c>
      <c r="AL3599">
        <v>294</v>
      </c>
      <c r="AM3599">
        <v>491</v>
      </c>
      <c r="AN3599">
        <v>44</v>
      </c>
      <c r="AP3599">
        <v>1</v>
      </c>
      <c r="AR3599" t="s">
        <v>3696</v>
      </c>
      <c r="AS3599" s="1">
        <v>44354.072222222225</v>
      </c>
      <c r="AT3599" s="1">
        <v>44354.08016203704</v>
      </c>
      <c r="AU3599" s="1">
        <v>44354.080740740741</v>
      </c>
      <c r="AV3599" t="s">
        <v>71</v>
      </c>
      <c r="AW3599" t="s">
        <v>72</v>
      </c>
      <c r="AX3599" t="s">
        <v>73</v>
      </c>
    </row>
    <row r="3600" spans="1:50" x14ac:dyDescent="0.3">
      <c r="A3600" t="str">
        <f>"201422B0000"</f>
        <v>201422B0000</v>
      </c>
      <c r="B3600" t="str">
        <f>"201422B00002"</f>
        <v>201422B00002</v>
      </c>
      <c r="C3600" t="str">
        <f t="shared" si="191"/>
        <v>20</v>
      </c>
      <c r="D3600" t="s">
        <v>67</v>
      </c>
      <c r="E3600" t="str">
        <f t="shared" si="189"/>
        <v>016</v>
      </c>
      <c r="F3600" t="s">
        <v>3578</v>
      </c>
      <c r="G3600" t="str">
        <f>"1422"</f>
        <v>1422</v>
      </c>
      <c r="H3600" t="str">
        <f>"0000"</f>
        <v>0000</v>
      </c>
      <c r="I3600" t="s">
        <v>69</v>
      </c>
      <c r="J3600">
        <v>0</v>
      </c>
      <c r="K3600">
        <v>1</v>
      </c>
      <c r="L3600">
        <v>2</v>
      </c>
      <c r="M3600">
        <v>400</v>
      </c>
      <c r="N3600">
        <v>367</v>
      </c>
      <c r="O3600">
        <v>2</v>
      </c>
      <c r="P3600">
        <v>367</v>
      </c>
      <c r="Q3600">
        <v>25</v>
      </c>
      <c r="R3600">
        <v>86</v>
      </c>
      <c r="S3600">
        <v>7</v>
      </c>
      <c r="T3600">
        <v>54</v>
      </c>
      <c r="U3600">
        <v>5</v>
      </c>
      <c r="V3600">
        <v>4</v>
      </c>
      <c r="W3600">
        <v>3</v>
      </c>
      <c r="X3600">
        <v>156</v>
      </c>
      <c r="Y3600">
        <v>1</v>
      </c>
      <c r="Z3600">
        <v>4</v>
      </c>
      <c r="AA3600">
        <v>5</v>
      </c>
      <c r="AB3600">
        <v>3</v>
      </c>
      <c r="AD3600" t="s">
        <v>77</v>
      </c>
      <c r="AE3600" t="s">
        <v>77</v>
      </c>
      <c r="AF3600" t="s">
        <v>77</v>
      </c>
      <c r="AG3600" t="s">
        <v>77</v>
      </c>
      <c r="AI3600" t="s">
        <v>77</v>
      </c>
      <c r="AJ3600" t="s">
        <v>77</v>
      </c>
      <c r="AK3600">
        <v>367</v>
      </c>
      <c r="AL3600">
        <v>353</v>
      </c>
      <c r="AM3600">
        <v>723</v>
      </c>
      <c r="AN3600">
        <v>44</v>
      </c>
      <c r="AO3600" t="s">
        <v>78</v>
      </c>
      <c r="AP3600">
        <v>1</v>
      </c>
      <c r="AR3600" t="s">
        <v>3697</v>
      </c>
      <c r="AS3600" s="1">
        <v>44354.076388888891</v>
      </c>
      <c r="AT3600" s="1">
        <v>44354.105428240742</v>
      </c>
      <c r="AU3600" s="1">
        <v>44354.10601851852</v>
      </c>
      <c r="AV3600" t="s">
        <v>71</v>
      </c>
      <c r="AW3600" t="s">
        <v>72</v>
      </c>
      <c r="AX3600" t="s">
        <v>73</v>
      </c>
    </row>
    <row r="3601" spans="1:50" x14ac:dyDescent="0.3">
      <c r="A3601" t="str">
        <f>"201422E0100"</f>
        <v>201422E0100</v>
      </c>
      <c r="B3601" t="str">
        <f>"201422E01002"</f>
        <v>201422E01002</v>
      </c>
      <c r="C3601" t="str">
        <f t="shared" si="191"/>
        <v>20</v>
      </c>
      <c r="D3601" t="s">
        <v>67</v>
      </c>
      <c r="E3601" t="str">
        <f t="shared" si="189"/>
        <v>016</v>
      </c>
      <c r="F3601" t="s">
        <v>3578</v>
      </c>
      <c r="G3601" t="str">
        <f>"1422"</f>
        <v>1422</v>
      </c>
      <c r="H3601" t="str">
        <f>"0001"</f>
        <v>0001</v>
      </c>
      <c r="I3601" t="s">
        <v>109</v>
      </c>
      <c r="J3601">
        <v>0</v>
      </c>
      <c r="K3601">
        <v>1</v>
      </c>
      <c r="L3601">
        <v>2</v>
      </c>
      <c r="M3601">
        <v>147</v>
      </c>
      <c r="N3601">
        <v>213</v>
      </c>
      <c r="O3601">
        <v>8</v>
      </c>
      <c r="P3601">
        <v>213</v>
      </c>
      <c r="Q3601">
        <v>4</v>
      </c>
      <c r="R3601">
        <v>8</v>
      </c>
      <c r="S3601">
        <v>1</v>
      </c>
      <c r="T3601">
        <v>9</v>
      </c>
      <c r="U3601">
        <v>5</v>
      </c>
      <c r="V3601">
        <v>2</v>
      </c>
      <c r="W3601">
        <v>1</v>
      </c>
      <c r="X3601">
        <v>165</v>
      </c>
      <c r="Y3601">
        <v>0</v>
      </c>
      <c r="Z3601">
        <v>3</v>
      </c>
      <c r="AA3601">
        <v>1</v>
      </c>
      <c r="AB3601">
        <v>1</v>
      </c>
      <c r="AD3601">
        <v>0</v>
      </c>
      <c r="AE3601">
        <v>0</v>
      </c>
      <c r="AF3601">
        <v>0</v>
      </c>
      <c r="AG3601">
        <v>0</v>
      </c>
      <c r="AI3601">
        <v>0</v>
      </c>
      <c r="AJ3601">
        <v>13</v>
      </c>
      <c r="AK3601">
        <v>213</v>
      </c>
      <c r="AL3601">
        <v>213</v>
      </c>
      <c r="AM3601">
        <v>316</v>
      </c>
      <c r="AN3601">
        <v>44</v>
      </c>
      <c r="AP3601">
        <v>1</v>
      </c>
      <c r="AR3601" t="s">
        <v>3698</v>
      </c>
      <c r="AS3601" s="1">
        <v>44354.079861111109</v>
      </c>
      <c r="AT3601" s="1">
        <v>44354.08766203704</v>
      </c>
      <c r="AU3601" s="1">
        <v>44354.088240740741</v>
      </c>
      <c r="AV3601" t="s">
        <v>71</v>
      </c>
      <c r="AW3601" t="s">
        <v>72</v>
      </c>
      <c r="AX3601" t="s">
        <v>73</v>
      </c>
    </row>
    <row r="3602" spans="1:50" x14ac:dyDescent="0.3">
      <c r="A3602" t="str">
        <f>"201431B0000"</f>
        <v>201431B0000</v>
      </c>
      <c r="B3602" t="str">
        <f>"201431B00002"</f>
        <v>201431B00002</v>
      </c>
      <c r="C3602" t="str">
        <f t="shared" si="191"/>
        <v>20</v>
      </c>
      <c r="D3602" t="s">
        <v>67</v>
      </c>
      <c r="E3602" t="str">
        <f t="shared" si="189"/>
        <v>016</v>
      </c>
      <c r="F3602" t="s">
        <v>3578</v>
      </c>
      <c r="G3602" t="str">
        <f>"1431"</f>
        <v>1431</v>
      </c>
      <c r="H3602" t="str">
        <f>"0000"</f>
        <v>0000</v>
      </c>
      <c r="I3602" t="s">
        <v>69</v>
      </c>
      <c r="J3602">
        <v>0</v>
      </c>
      <c r="K3602">
        <v>1</v>
      </c>
      <c r="L3602">
        <v>2</v>
      </c>
      <c r="M3602">
        <v>175</v>
      </c>
      <c r="N3602">
        <v>382</v>
      </c>
      <c r="O3602">
        <v>8</v>
      </c>
      <c r="P3602">
        <v>382</v>
      </c>
      <c r="Q3602">
        <v>72</v>
      </c>
      <c r="R3602">
        <v>56</v>
      </c>
      <c r="S3602">
        <v>6</v>
      </c>
      <c r="T3602">
        <v>59</v>
      </c>
      <c r="U3602">
        <v>35</v>
      </c>
      <c r="V3602">
        <v>2</v>
      </c>
      <c r="W3602">
        <v>10</v>
      </c>
      <c r="X3602">
        <v>118</v>
      </c>
      <c r="Y3602">
        <v>0</v>
      </c>
      <c r="Z3602">
        <v>0</v>
      </c>
      <c r="AA3602">
        <v>0</v>
      </c>
      <c r="AB3602">
        <v>4</v>
      </c>
      <c r="AD3602">
        <v>1</v>
      </c>
      <c r="AE3602">
        <v>0</v>
      </c>
      <c r="AF3602">
        <v>0</v>
      </c>
      <c r="AG3602">
        <v>0</v>
      </c>
      <c r="AI3602">
        <v>0</v>
      </c>
      <c r="AJ3602">
        <v>19</v>
      </c>
      <c r="AK3602">
        <v>382</v>
      </c>
      <c r="AL3602">
        <v>382</v>
      </c>
      <c r="AM3602">
        <v>511</v>
      </c>
      <c r="AN3602">
        <v>46</v>
      </c>
      <c r="AP3602">
        <v>1</v>
      </c>
      <c r="AR3602" t="s">
        <v>3699</v>
      </c>
      <c r="AS3602" s="1">
        <v>44354.138888888891</v>
      </c>
      <c r="AT3602" s="1">
        <v>44354.142199074071</v>
      </c>
      <c r="AU3602" s="1">
        <v>44354.143067129633</v>
      </c>
      <c r="AV3602" t="s">
        <v>71</v>
      </c>
      <c r="AW3602" t="s">
        <v>72</v>
      </c>
      <c r="AX3602" t="s">
        <v>73</v>
      </c>
    </row>
    <row r="3603" spans="1:50" x14ac:dyDescent="0.3">
      <c r="A3603" t="str">
        <f>"201431C0100"</f>
        <v>201431C0100</v>
      </c>
      <c r="B3603" t="str">
        <f>"201431C01002"</f>
        <v>201431C01002</v>
      </c>
      <c r="C3603" t="str">
        <f t="shared" si="191"/>
        <v>20</v>
      </c>
      <c r="D3603" t="s">
        <v>67</v>
      </c>
      <c r="E3603" t="str">
        <f t="shared" si="189"/>
        <v>016</v>
      </c>
      <c r="F3603" t="s">
        <v>3578</v>
      </c>
      <c r="G3603" t="str">
        <f>"1431"</f>
        <v>1431</v>
      </c>
      <c r="H3603" t="str">
        <f>"0001"</f>
        <v>0001</v>
      </c>
      <c r="I3603" t="s">
        <v>75</v>
      </c>
      <c r="J3603">
        <v>0</v>
      </c>
      <c r="K3603">
        <v>1</v>
      </c>
      <c r="L3603">
        <v>2</v>
      </c>
      <c r="M3603">
        <v>167</v>
      </c>
      <c r="N3603">
        <v>389</v>
      </c>
      <c r="O3603">
        <v>10</v>
      </c>
      <c r="P3603">
        <v>389</v>
      </c>
      <c r="Q3603">
        <v>67</v>
      </c>
      <c r="R3603">
        <v>33</v>
      </c>
      <c r="S3603">
        <v>4</v>
      </c>
      <c r="T3603">
        <v>82</v>
      </c>
      <c r="U3603">
        <v>41</v>
      </c>
      <c r="V3603">
        <v>5</v>
      </c>
      <c r="W3603">
        <v>12</v>
      </c>
      <c r="X3603">
        <v>126</v>
      </c>
      <c r="Y3603">
        <v>0</v>
      </c>
      <c r="Z3603">
        <v>1</v>
      </c>
      <c r="AA3603">
        <v>2</v>
      </c>
      <c r="AB3603">
        <v>4</v>
      </c>
      <c r="AD3603">
        <v>0</v>
      </c>
      <c r="AE3603">
        <v>0</v>
      </c>
      <c r="AF3603">
        <v>0</v>
      </c>
      <c r="AG3603">
        <v>0</v>
      </c>
      <c r="AI3603">
        <v>0</v>
      </c>
      <c r="AJ3603">
        <v>12</v>
      </c>
      <c r="AK3603">
        <v>389</v>
      </c>
      <c r="AL3603">
        <v>389</v>
      </c>
      <c r="AM3603">
        <v>510</v>
      </c>
      <c r="AN3603">
        <v>46</v>
      </c>
      <c r="AP3603">
        <v>1</v>
      </c>
      <c r="AR3603" t="s">
        <v>3700</v>
      </c>
      <c r="AS3603" s="1">
        <v>44353.916666666664</v>
      </c>
      <c r="AT3603" s="1">
        <v>44354.139618055553</v>
      </c>
      <c r="AU3603" s="1">
        <v>44354.139918981484</v>
      </c>
      <c r="AV3603" t="s">
        <v>71</v>
      </c>
      <c r="AW3603" t="s">
        <v>72</v>
      </c>
      <c r="AX3603" t="s">
        <v>73</v>
      </c>
    </row>
    <row r="3604" spans="1:50" x14ac:dyDescent="0.3">
      <c r="A3604" t="str">
        <f>"201431C0200"</f>
        <v>201431C0200</v>
      </c>
      <c r="B3604" t="str">
        <f>"201431C02002"</f>
        <v>201431C02002</v>
      </c>
      <c r="C3604" t="str">
        <f t="shared" si="191"/>
        <v>20</v>
      </c>
      <c r="D3604" t="s">
        <v>67</v>
      </c>
      <c r="E3604" t="str">
        <f t="shared" si="189"/>
        <v>016</v>
      </c>
      <c r="F3604" t="s">
        <v>3578</v>
      </c>
      <c r="G3604" t="str">
        <f>"1431"</f>
        <v>1431</v>
      </c>
      <c r="H3604" t="str">
        <f>"0002"</f>
        <v>0002</v>
      </c>
      <c r="I3604" t="s">
        <v>75</v>
      </c>
      <c r="J3604">
        <v>0</v>
      </c>
      <c r="K3604">
        <v>1</v>
      </c>
      <c r="L3604">
        <v>2</v>
      </c>
      <c r="M3604">
        <v>173</v>
      </c>
      <c r="N3604">
        <v>383</v>
      </c>
      <c r="O3604">
        <v>8</v>
      </c>
      <c r="P3604">
        <v>383</v>
      </c>
      <c r="Q3604">
        <v>68</v>
      </c>
      <c r="R3604">
        <v>50</v>
      </c>
      <c r="S3604">
        <v>9</v>
      </c>
      <c r="T3604">
        <v>61</v>
      </c>
      <c r="U3604">
        <v>35</v>
      </c>
      <c r="V3604">
        <v>4</v>
      </c>
      <c r="W3604">
        <v>14</v>
      </c>
      <c r="X3604">
        <v>123</v>
      </c>
      <c r="Y3604">
        <v>1</v>
      </c>
      <c r="Z3604">
        <v>0</v>
      </c>
      <c r="AA3604">
        <v>0</v>
      </c>
      <c r="AB3604">
        <v>6</v>
      </c>
      <c r="AD3604">
        <v>1</v>
      </c>
      <c r="AE3604">
        <v>0</v>
      </c>
      <c r="AF3604">
        <v>1</v>
      </c>
      <c r="AG3604">
        <v>0</v>
      </c>
      <c r="AI3604">
        <v>0</v>
      </c>
      <c r="AJ3604">
        <v>10</v>
      </c>
      <c r="AK3604">
        <v>383</v>
      </c>
      <c r="AL3604">
        <v>383</v>
      </c>
      <c r="AM3604">
        <v>510</v>
      </c>
      <c r="AN3604">
        <v>46</v>
      </c>
      <c r="AP3604">
        <v>1</v>
      </c>
      <c r="AR3604" t="s">
        <v>3701</v>
      </c>
      <c r="AS3604" s="1">
        <v>44354.142361111109</v>
      </c>
      <c r="AT3604" s="1">
        <v>44354.144085648149</v>
      </c>
      <c r="AU3604" s="1">
        <v>44354.145104166666</v>
      </c>
      <c r="AV3604" t="s">
        <v>71</v>
      </c>
      <c r="AW3604" t="s">
        <v>72</v>
      </c>
      <c r="AX3604" t="s">
        <v>73</v>
      </c>
    </row>
    <row r="3605" spans="1:50" x14ac:dyDescent="0.3">
      <c r="A3605" t="str">
        <f>"201432B0000"</f>
        <v>201432B0000</v>
      </c>
      <c r="B3605" t="str">
        <f>"201432B00002"</f>
        <v>201432B00002</v>
      </c>
      <c r="C3605" t="str">
        <f t="shared" si="191"/>
        <v>20</v>
      </c>
      <c r="D3605" t="s">
        <v>67</v>
      </c>
      <c r="E3605" t="str">
        <f t="shared" si="189"/>
        <v>016</v>
      </c>
      <c r="F3605" t="s">
        <v>3578</v>
      </c>
      <c r="G3605" t="str">
        <f>"1432"</f>
        <v>1432</v>
      </c>
      <c r="H3605" t="str">
        <f>"0000"</f>
        <v>0000</v>
      </c>
      <c r="I3605" t="s">
        <v>69</v>
      </c>
      <c r="J3605">
        <v>0</v>
      </c>
      <c r="K3605">
        <v>1</v>
      </c>
      <c r="L3605">
        <v>2</v>
      </c>
      <c r="M3605">
        <v>217</v>
      </c>
      <c r="N3605">
        <v>525</v>
      </c>
      <c r="O3605">
        <v>10</v>
      </c>
      <c r="P3605">
        <v>523</v>
      </c>
      <c r="Q3605">
        <v>110</v>
      </c>
      <c r="R3605">
        <v>52</v>
      </c>
      <c r="S3605">
        <v>7</v>
      </c>
      <c r="T3605">
        <v>95</v>
      </c>
      <c r="U3605">
        <v>54</v>
      </c>
      <c r="V3605">
        <v>3</v>
      </c>
      <c r="W3605">
        <v>21</v>
      </c>
      <c r="X3605">
        <v>147</v>
      </c>
      <c r="Y3605">
        <v>0</v>
      </c>
      <c r="Z3605">
        <v>5</v>
      </c>
      <c r="AA3605">
        <v>1</v>
      </c>
      <c r="AB3605">
        <v>4</v>
      </c>
      <c r="AD3605">
        <v>0</v>
      </c>
      <c r="AE3605">
        <v>0</v>
      </c>
      <c r="AF3605">
        <v>0</v>
      </c>
      <c r="AG3605">
        <v>0</v>
      </c>
      <c r="AI3605">
        <v>0</v>
      </c>
      <c r="AJ3605">
        <v>24</v>
      </c>
      <c r="AK3605">
        <v>523</v>
      </c>
      <c r="AL3605">
        <v>523</v>
      </c>
      <c r="AM3605">
        <v>696</v>
      </c>
      <c r="AN3605">
        <v>46</v>
      </c>
      <c r="AP3605">
        <v>1</v>
      </c>
      <c r="AR3605" t="s">
        <v>3702</v>
      </c>
      <c r="AS3605" s="1">
        <v>44354.138888888891</v>
      </c>
      <c r="AT3605" s="1">
        <v>44354.142129629632</v>
      </c>
      <c r="AU3605" s="1">
        <v>44354.142858796295</v>
      </c>
      <c r="AV3605" t="s">
        <v>71</v>
      </c>
      <c r="AW3605" t="s">
        <v>72</v>
      </c>
      <c r="AX3605" t="s">
        <v>73</v>
      </c>
    </row>
    <row r="3606" spans="1:50" x14ac:dyDescent="0.3">
      <c r="A3606" t="str">
        <f>"201432C0100"</f>
        <v>201432C0100</v>
      </c>
      <c r="B3606" t="str">
        <f>"201432C01002"</f>
        <v>201432C01002</v>
      </c>
      <c r="C3606" t="str">
        <f t="shared" si="191"/>
        <v>20</v>
      </c>
      <c r="D3606" t="s">
        <v>67</v>
      </c>
      <c r="E3606" t="str">
        <f t="shared" si="189"/>
        <v>016</v>
      </c>
      <c r="F3606" t="s">
        <v>3578</v>
      </c>
      <c r="G3606" t="str">
        <f>"1432"</f>
        <v>1432</v>
      </c>
      <c r="H3606" t="str">
        <f>"0001"</f>
        <v>0001</v>
      </c>
      <c r="I3606" t="s">
        <v>75</v>
      </c>
      <c r="J3606">
        <v>0</v>
      </c>
      <c r="K3606">
        <v>1</v>
      </c>
      <c r="L3606">
        <v>2</v>
      </c>
      <c r="M3606">
        <v>223</v>
      </c>
      <c r="N3606">
        <v>508</v>
      </c>
      <c r="O3606">
        <v>5</v>
      </c>
      <c r="P3606">
        <v>508</v>
      </c>
      <c r="Q3606">
        <v>100</v>
      </c>
      <c r="R3606">
        <v>65</v>
      </c>
      <c r="S3606">
        <v>7</v>
      </c>
      <c r="T3606">
        <v>86</v>
      </c>
      <c r="U3606">
        <v>76</v>
      </c>
      <c r="V3606">
        <v>7</v>
      </c>
      <c r="W3606">
        <v>21</v>
      </c>
      <c r="X3606">
        <v>118</v>
      </c>
      <c r="Y3606">
        <v>1</v>
      </c>
      <c r="Z3606">
        <v>5</v>
      </c>
      <c r="AA3606">
        <v>1</v>
      </c>
      <c r="AB3606">
        <v>6</v>
      </c>
      <c r="AD3606">
        <v>0</v>
      </c>
      <c r="AE3606">
        <v>0</v>
      </c>
      <c r="AF3606">
        <v>0</v>
      </c>
      <c r="AG3606">
        <v>0</v>
      </c>
      <c r="AI3606">
        <v>0</v>
      </c>
      <c r="AJ3606">
        <v>15</v>
      </c>
      <c r="AK3606">
        <v>508</v>
      </c>
      <c r="AL3606">
        <v>508</v>
      </c>
      <c r="AM3606">
        <v>695</v>
      </c>
      <c r="AN3606">
        <v>46</v>
      </c>
      <c r="AP3606">
        <v>1</v>
      </c>
      <c r="AR3606" t="s">
        <v>3703</v>
      </c>
      <c r="AS3606" s="1">
        <v>44354.069444444445</v>
      </c>
      <c r="AT3606" s="1">
        <v>44354.138807870368</v>
      </c>
      <c r="AU3606" s="1">
        <v>44354.139444444445</v>
      </c>
      <c r="AV3606" t="s">
        <v>71</v>
      </c>
      <c r="AW3606" t="s">
        <v>72</v>
      </c>
      <c r="AX3606" t="s">
        <v>73</v>
      </c>
    </row>
    <row r="3607" spans="1:50" x14ac:dyDescent="0.3">
      <c r="A3607" t="str">
        <f>"201433B0000"</f>
        <v>201433B0000</v>
      </c>
      <c r="B3607" t="str">
        <f>"201433B00002"</f>
        <v>201433B00002</v>
      </c>
      <c r="C3607" t="str">
        <f t="shared" si="191"/>
        <v>20</v>
      </c>
      <c r="D3607" t="s">
        <v>67</v>
      </c>
      <c r="E3607" t="str">
        <f t="shared" si="189"/>
        <v>016</v>
      </c>
      <c r="F3607" t="s">
        <v>3578</v>
      </c>
      <c r="G3607" t="str">
        <f>"1433"</f>
        <v>1433</v>
      </c>
      <c r="H3607" t="str">
        <f>"0000"</f>
        <v>0000</v>
      </c>
      <c r="I3607" t="s">
        <v>69</v>
      </c>
      <c r="J3607">
        <v>0</v>
      </c>
      <c r="K3607">
        <v>1</v>
      </c>
      <c r="L3607">
        <v>2</v>
      </c>
      <c r="M3607">
        <v>202</v>
      </c>
      <c r="N3607">
        <v>497</v>
      </c>
      <c r="O3607">
        <v>9</v>
      </c>
      <c r="P3607">
        <v>5</v>
      </c>
      <c r="Q3607">
        <v>80</v>
      </c>
      <c r="R3607">
        <v>57</v>
      </c>
      <c r="S3607">
        <v>10</v>
      </c>
      <c r="T3607">
        <v>59</v>
      </c>
      <c r="U3607">
        <v>66</v>
      </c>
      <c r="V3607">
        <v>5</v>
      </c>
      <c r="W3607">
        <v>13</v>
      </c>
      <c r="X3607">
        <v>173</v>
      </c>
      <c r="Y3607">
        <v>2</v>
      </c>
      <c r="Z3607">
        <v>0</v>
      </c>
      <c r="AA3607">
        <v>6</v>
      </c>
      <c r="AB3607">
        <v>5</v>
      </c>
      <c r="AD3607">
        <v>0</v>
      </c>
      <c r="AE3607">
        <v>2</v>
      </c>
      <c r="AF3607">
        <v>0</v>
      </c>
      <c r="AG3607">
        <v>0</v>
      </c>
      <c r="AI3607">
        <v>0</v>
      </c>
      <c r="AJ3607">
        <v>19</v>
      </c>
      <c r="AK3607">
        <v>497</v>
      </c>
      <c r="AL3607">
        <v>497</v>
      </c>
      <c r="AM3607">
        <v>653</v>
      </c>
      <c r="AN3607">
        <v>46</v>
      </c>
      <c r="AP3607">
        <v>1</v>
      </c>
      <c r="AR3607" t="s">
        <v>3704</v>
      </c>
      <c r="AS3607" s="1">
        <v>44354.056944444441</v>
      </c>
      <c r="AT3607" s="1">
        <v>44354.063136574077</v>
      </c>
      <c r="AU3607" s="1">
        <v>44354.063657407409</v>
      </c>
      <c r="AV3607" t="s">
        <v>71</v>
      </c>
      <c r="AW3607" t="s">
        <v>72</v>
      </c>
      <c r="AX3607" t="s">
        <v>73</v>
      </c>
    </row>
    <row r="3608" spans="1:50" x14ac:dyDescent="0.3">
      <c r="A3608" t="str">
        <f>"201433C0100"</f>
        <v>201433C0100</v>
      </c>
      <c r="B3608" t="str">
        <f>"201433C01002"</f>
        <v>201433C01002</v>
      </c>
      <c r="C3608" t="str">
        <f t="shared" si="191"/>
        <v>20</v>
      </c>
      <c r="D3608" t="s">
        <v>67</v>
      </c>
      <c r="E3608" t="str">
        <f t="shared" si="189"/>
        <v>016</v>
      </c>
      <c r="F3608" t="s">
        <v>3578</v>
      </c>
      <c r="G3608" t="str">
        <f>"1433"</f>
        <v>1433</v>
      </c>
      <c r="H3608" t="str">
        <f>"0001"</f>
        <v>0001</v>
      </c>
      <c r="I3608" t="s">
        <v>75</v>
      </c>
      <c r="J3608">
        <v>0</v>
      </c>
      <c r="K3608">
        <v>1</v>
      </c>
      <c r="L3608">
        <v>2</v>
      </c>
      <c r="M3608">
        <v>181</v>
      </c>
      <c r="N3608">
        <v>698</v>
      </c>
      <c r="O3608">
        <v>0</v>
      </c>
      <c r="P3608">
        <v>1</v>
      </c>
      <c r="Q3608">
        <v>103</v>
      </c>
      <c r="R3608">
        <v>57</v>
      </c>
      <c r="S3608">
        <v>5</v>
      </c>
      <c r="T3608">
        <v>70</v>
      </c>
      <c r="U3608">
        <v>73</v>
      </c>
      <c r="V3608">
        <v>10</v>
      </c>
      <c r="W3608">
        <v>8</v>
      </c>
      <c r="X3608">
        <v>154</v>
      </c>
      <c r="Y3608">
        <v>2</v>
      </c>
      <c r="Z3608">
        <v>4</v>
      </c>
      <c r="AA3608">
        <v>4</v>
      </c>
      <c r="AB3608">
        <v>6</v>
      </c>
      <c r="AD3608">
        <v>2</v>
      </c>
      <c r="AE3608" t="s">
        <v>77</v>
      </c>
      <c r="AF3608">
        <v>1</v>
      </c>
      <c r="AG3608" t="s">
        <v>77</v>
      </c>
      <c r="AI3608" t="s">
        <v>77</v>
      </c>
      <c r="AJ3608" t="s">
        <v>77</v>
      </c>
      <c r="AK3608" t="s">
        <v>77</v>
      </c>
      <c r="AL3608">
        <v>499</v>
      </c>
      <c r="AM3608">
        <v>652</v>
      </c>
      <c r="AN3608">
        <v>46</v>
      </c>
      <c r="AO3608" t="s">
        <v>78</v>
      </c>
      <c r="AP3608">
        <v>1</v>
      </c>
      <c r="AR3608" t="s">
        <v>3705</v>
      </c>
      <c r="AS3608" s="1">
        <v>44354.060416666667</v>
      </c>
      <c r="AT3608" s="1">
        <v>44354.067025462966</v>
      </c>
      <c r="AU3608" s="1">
        <v>44354.068449074075</v>
      </c>
      <c r="AV3608" t="s">
        <v>71</v>
      </c>
      <c r="AW3608" t="s">
        <v>72</v>
      </c>
      <c r="AX3608" t="s">
        <v>73</v>
      </c>
    </row>
    <row r="3609" spans="1:50" x14ac:dyDescent="0.3">
      <c r="A3609" t="str">
        <f>"201434B0000"</f>
        <v>201434B0000</v>
      </c>
      <c r="B3609" t="str">
        <f>"201434B00002"</f>
        <v>201434B00002</v>
      </c>
      <c r="C3609" t="str">
        <f t="shared" si="191"/>
        <v>20</v>
      </c>
      <c r="D3609" t="s">
        <v>67</v>
      </c>
      <c r="E3609" t="str">
        <f t="shared" si="189"/>
        <v>016</v>
      </c>
      <c r="F3609" t="s">
        <v>3578</v>
      </c>
      <c r="G3609" t="str">
        <f>"1434"</f>
        <v>1434</v>
      </c>
      <c r="H3609" t="str">
        <f>"0000"</f>
        <v>0000</v>
      </c>
      <c r="I3609" t="s">
        <v>69</v>
      </c>
      <c r="J3609">
        <v>0</v>
      </c>
      <c r="K3609">
        <v>1</v>
      </c>
      <c r="L3609">
        <v>2</v>
      </c>
      <c r="M3609">
        <v>187</v>
      </c>
      <c r="N3609">
        <v>453</v>
      </c>
      <c r="O3609">
        <v>7</v>
      </c>
      <c r="P3609">
        <v>453</v>
      </c>
      <c r="Q3609">
        <v>68</v>
      </c>
      <c r="R3609">
        <v>77</v>
      </c>
      <c r="S3609">
        <v>7</v>
      </c>
      <c r="T3609">
        <v>67</v>
      </c>
      <c r="U3609">
        <v>54</v>
      </c>
      <c r="V3609">
        <v>5</v>
      </c>
      <c r="W3609">
        <v>18</v>
      </c>
      <c r="X3609">
        <v>131</v>
      </c>
      <c r="Y3609">
        <v>0</v>
      </c>
      <c r="Z3609">
        <v>0</v>
      </c>
      <c r="AA3609">
        <v>1</v>
      </c>
      <c r="AB3609">
        <v>13</v>
      </c>
      <c r="AD3609">
        <v>0</v>
      </c>
      <c r="AE3609">
        <v>0</v>
      </c>
      <c r="AF3609">
        <v>0</v>
      </c>
      <c r="AG3609">
        <v>0</v>
      </c>
      <c r="AI3609">
        <v>0</v>
      </c>
      <c r="AJ3609">
        <v>12</v>
      </c>
      <c r="AK3609">
        <v>453</v>
      </c>
      <c r="AL3609">
        <v>453</v>
      </c>
      <c r="AM3609">
        <v>594</v>
      </c>
      <c r="AN3609">
        <v>46</v>
      </c>
      <c r="AP3609">
        <v>1</v>
      </c>
      <c r="AR3609" t="s">
        <v>3706</v>
      </c>
      <c r="AS3609" s="1">
        <v>44353.97152777778</v>
      </c>
      <c r="AT3609" s="1">
        <v>44354.068171296298</v>
      </c>
      <c r="AU3609" s="1">
        <v>44354.06890046296</v>
      </c>
      <c r="AV3609" t="s">
        <v>71</v>
      </c>
      <c r="AW3609" t="s">
        <v>72</v>
      </c>
      <c r="AX3609" t="s">
        <v>73</v>
      </c>
    </row>
    <row r="3610" spans="1:50" x14ac:dyDescent="0.3">
      <c r="A3610" t="str">
        <f>"201434C0100"</f>
        <v>201434C0100</v>
      </c>
      <c r="B3610" t="str">
        <f>"201434C01002"</f>
        <v>201434C01002</v>
      </c>
      <c r="C3610" t="str">
        <f t="shared" si="191"/>
        <v>20</v>
      </c>
      <c r="D3610" t="s">
        <v>67</v>
      </c>
      <c r="E3610" t="str">
        <f t="shared" ref="E3610:E3673" si="192">"016"</f>
        <v>016</v>
      </c>
      <c r="F3610" t="s">
        <v>3578</v>
      </c>
      <c r="G3610" t="str">
        <f>"1434"</f>
        <v>1434</v>
      </c>
      <c r="H3610" t="str">
        <f>"0001"</f>
        <v>0001</v>
      </c>
      <c r="I3610" t="s">
        <v>75</v>
      </c>
      <c r="J3610">
        <v>0</v>
      </c>
      <c r="K3610">
        <v>1</v>
      </c>
      <c r="L3610">
        <v>2</v>
      </c>
      <c r="M3610">
        <v>174</v>
      </c>
      <c r="N3610">
        <v>466</v>
      </c>
      <c r="O3610">
        <v>5</v>
      </c>
      <c r="P3610">
        <v>464</v>
      </c>
      <c r="Q3610">
        <v>70</v>
      </c>
      <c r="R3610">
        <v>85</v>
      </c>
      <c r="S3610">
        <v>3</v>
      </c>
      <c r="T3610">
        <v>74</v>
      </c>
      <c r="U3610">
        <v>72</v>
      </c>
      <c r="V3610">
        <v>5</v>
      </c>
      <c r="W3610">
        <v>17</v>
      </c>
      <c r="X3610">
        <v>104</v>
      </c>
      <c r="Y3610">
        <v>0</v>
      </c>
      <c r="Z3610">
        <v>1</v>
      </c>
      <c r="AA3610">
        <v>6</v>
      </c>
      <c r="AB3610">
        <v>8</v>
      </c>
      <c r="AD3610">
        <v>0</v>
      </c>
      <c r="AE3610">
        <v>2</v>
      </c>
      <c r="AF3610">
        <v>0</v>
      </c>
      <c r="AG3610">
        <v>0</v>
      </c>
      <c r="AI3610">
        <v>0</v>
      </c>
      <c r="AJ3610">
        <v>17</v>
      </c>
      <c r="AK3610">
        <v>464</v>
      </c>
      <c r="AL3610">
        <v>464</v>
      </c>
      <c r="AM3610">
        <v>594</v>
      </c>
      <c r="AN3610">
        <v>46</v>
      </c>
      <c r="AP3610">
        <v>1</v>
      </c>
      <c r="AR3610" t="s">
        <v>3707</v>
      </c>
      <c r="AS3610" s="1">
        <v>44354.056944444441</v>
      </c>
      <c r="AT3610" s="1">
        <v>44354.063321759262</v>
      </c>
      <c r="AU3610" s="1">
        <v>44354.063842592594</v>
      </c>
      <c r="AV3610" t="s">
        <v>71</v>
      </c>
      <c r="AW3610" t="s">
        <v>72</v>
      </c>
      <c r="AX3610" t="s">
        <v>73</v>
      </c>
    </row>
    <row r="3611" spans="1:50" x14ac:dyDescent="0.3">
      <c r="A3611" t="str">
        <f>"201435B0000"</f>
        <v>201435B0000</v>
      </c>
      <c r="B3611" t="str">
        <f>"201435B00002"</f>
        <v>201435B00002</v>
      </c>
      <c r="C3611" t="str">
        <f t="shared" si="191"/>
        <v>20</v>
      </c>
      <c r="D3611" t="s">
        <v>67</v>
      </c>
      <c r="E3611" t="str">
        <f t="shared" si="192"/>
        <v>016</v>
      </c>
      <c r="F3611" t="s">
        <v>3578</v>
      </c>
      <c r="G3611" t="str">
        <f>"1435"</f>
        <v>1435</v>
      </c>
      <c r="H3611" t="str">
        <f>"0000"</f>
        <v>0000</v>
      </c>
      <c r="I3611" t="s">
        <v>69</v>
      </c>
      <c r="J3611">
        <v>0</v>
      </c>
      <c r="K3611">
        <v>1</v>
      </c>
      <c r="L3611">
        <v>2</v>
      </c>
      <c r="M3611" t="s">
        <v>80</v>
      </c>
      <c r="N3611" t="s">
        <v>80</v>
      </c>
      <c r="O3611" t="s">
        <v>80</v>
      </c>
      <c r="P3611">
        <v>392</v>
      </c>
      <c r="Q3611">
        <v>59</v>
      </c>
      <c r="R3611">
        <v>61</v>
      </c>
      <c r="S3611">
        <v>8</v>
      </c>
      <c r="T3611">
        <v>57</v>
      </c>
      <c r="U3611">
        <v>49</v>
      </c>
      <c r="V3611">
        <v>3</v>
      </c>
      <c r="W3611">
        <v>9</v>
      </c>
      <c r="X3611">
        <v>108</v>
      </c>
      <c r="Y3611">
        <v>0</v>
      </c>
      <c r="Z3611">
        <v>3</v>
      </c>
      <c r="AA3611">
        <v>2</v>
      </c>
      <c r="AB3611">
        <v>5</v>
      </c>
      <c r="AD3611">
        <v>2</v>
      </c>
      <c r="AE3611">
        <v>0</v>
      </c>
      <c r="AF3611">
        <v>0</v>
      </c>
      <c r="AG3611">
        <v>0</v>
      </c>
      <c r="AI3611">
        <v>0</v>
      </c>
      <c r="AJ3611">
        <v>26</v>
      </c>
      <c r="AK3611">
        <v>392</v>
      </c>
      <c r="AL3611">
        <v>392</v>
      </c>
      <c r="AM3611">
        <v>511</v>
      </c>
      <c r="AN3611">
        <v>46</v>
      </c>
      <c r="AP3611">
        <v>1</v>
      </c>
      <c r="AR3611" t="s">
        <v>3708</v>
      </c>
      <c r="AS3611" s="1">
        <v>44354.070138888892</v>
      </c>
      <c r="AT3611" s="1">
        <v>44354.076828703706</v>
      </c>
      <c r="AU3611" s="1">
        <v>44354.077187499999</v>
      </c>
      <c r="AV3611" t="s">
        <v>71</v>
      </c>
      <c r="AW3611" t="s">
        <v>72</v>
      </c>
      <c r="AX3611" t="s">
        <v>73</v>
      </c>
    </row>
    <row r="3612" spans="1:50" x14ac:dyDescent="0.3">
      <c r="A3612" t="str">
        <f>"201435C0100"</f>
        <v>201435C0100</v>
      </c>
      <c r="B3612" t="str">
        <f>"201435C01002"</f>
        <v>201435C01002</v>
      </c>
      <c r="C3612" t="str">
        <f t="shared" si="191"/>
        <v>20</v>
      </c>
      <c r="D3612" t="s">
        <v>67</v>
      </c>
      <c r="E3612" t="str">
        <f t="shared" si="192"/>
        <v>016</v>
      </c>
      <c r="F3612" t="s">
        <v>3578</v>
      </c>
      <c r="G3612" t="str">
        <f>"1435"</f>
        <v>1435</v>
      </c>
      <c r="H3612" t="str">
        <f>"0001"</f>
        <v>0001</v>
      </c>
      <c r="I3612" t="s">
        <v>75</v>
      </c>
      <c r="J3612">
        <v>0</v>
      </c>
      <c r="K3612">
        <v>1</v>
      </c>
      <c r="L3612">
        <v>2</v>
      </c>
      <c r="M3612">
        <v>168</v>
      </c>
      <c r="N3612">
        <v>388</v>
      </c>
      <c r="O3612">
        <v>7</v>
      </c>
      <c r="P3612">
        <v>372</v>
      </c>
      <c r="Q3612">
        <v>56</v>
      </c>
      <c r="R3612">
        <v>69</v>
      </c>
      <c r="S3612">
        <v>6</v>
      </c>
      <c r="T3612">
        <v>68</v>
      </c>
      <c r="U3612">
        <v>43</v>
      </c>
      <c r="V3612">
        <v>2</v>
      </c>
      <c r="W3612">
        <v>14</v>
      </c>
      <c r="X3612">
        <v>95</v>
      </c>
      <c r="Y3612">
        <v>3</v>
      </c>
      <c r="Z3612">
        <v>0</v>
      </c>
      <c r="AA3612">
        <v>1</v>
      </c>
      <c r="AB3612">
        <v>12</v>
      </c>
      <c r="AD3612">
        <v>1</v>
      </c>
      <c r="AE3612">
        <v>1</v>
      </c>
      <c r="AF3612">
        <v>1</v>
      </c>
      <c r="AG3612">
        <v>0</v>
      </c>
      <c r="AI3612">
        <v>0</v>
      </c>
      <c r="AJ3612">
        <v>16</v>
      </c>
      <c r="AK3612">
        <v>388</v>
      </c>
      <c r="AL3612">
        <v>388</v>
      </c>
      <c r="AM3612">
        <v>510</v>
      </c>
      <c r="AN3612">
        <v>46</v>
      </c>
      <c r="AP3612">
        <v>1</v>
      </c>
      <c r="AR3612" t="s">
        <v>3709</v>
      </c>
      <c r="AS3612" s="1">
        <v>44354.069444444445</v>
      </c>
      <c r="AT3612" s="1">
        <v>44354.076307870368</v>
      </c>
      <c r="AU3612" s="1">
        <v>44354.076990740738</v>
      </c>
      <c r="AV3612" t="s">
        <v>71</v>
      </c>
      <c r="AW3612" t="s">
        <v>72</v>
      </c>
      <c r="AX3612" t="s">
        <v>73</v>
      </c>
    </row>
    <row r="3613" spans="1:50" x14ac:dyDescent="0.3">
      <c r="A3613" t="str">
        <f>"201436B0000"</f>
        <v>201436B0000</v>
      </c>
      <c r="B3613" t="str">
        <f>"201436B00002"</f>
        <v>201436B00002</v>
      </c>
      <c r="C3613" t="str">
        <f t="shared" si="191"/>
        <v>20</v>
      </c>
      <c r="D3613" t="s">
        <v>67</v>
      </c>
      <c r="E3613" t="str">
        <f t="shared" si="192"/>
        <v>016</v>
      </c>
      <c r="F3613" t="s">
        <v>3578</v>
      </c>
      <c r="G3613" t="str">
        <f>"1436"</f>
        <v>1436</v>
      </c>
      <c r="H3613" t="str">
        <f>"0000"</f>
        <v>0000</v>
      </c>
      <c r="I3613" t="s">
        <v>69</v>
      </c>
      <c r="J3613">
        <v>0</v>
      </c>
      <c r="K3613">
        <v>1</v>
      </c>
      <c r="L3613">
        <v>2</v>
      </c>
      <c r="M3613">
        <v>219</v>
      </c>
      <c r="N3613">
        <v>474</v>
      </c>
      <c r="O3613">
        <v>6</v>
      </c>
      <c r="P3613">
        <v>474</v>
      </c>
      <c r="Q3613">
        <v>72</v>
      </c>
      <c r="R3613">
        <v>96</v>
      </c>
      <c r="S3613">
        <v>9</v>
      </c>
      <c r="T3613">
        <v>106</v>
      </c>
      <c r="U3613">
        <v>50</v>
      </c>
      <c r="V3613">
        <v>6</v>
      </c>
      <c r="W3613">
        <v>22</v>
      </c>
      <c r="X3613">
        <v>64</v>
      </c>
      <c r="Y3613">
        <v>1</v>
      </c>
      <c r="Z3613">
        <v>1</v>
      </c>
      <c r="AA3613">
        <v>1</v>
      </c>
      <c r="AB3613">
        <v>6</v>
      </c>
      <c r="AD3613">
        <v>2</v>
      </c>
      <c r="AE3613">
        <v>3</v>
      </c>
      <c r="AF3613">
        <v>0</v>
      </c>
      <c r="AG3613">
        <v>0</v>
      </c>
      <c r="AI3613">
        <v>0</v>
      </c>
      <c r="AJ3613">
        <v>35</v>
      </c>
      <c r="AK3613">
        <v>474</v>
      </c>
      <c r="AL3613">
        <v>474</v>
      </c>
      <c r="AM3613">
        <v>647</v>
      </c>
      <c r="AN3613">
        <v>46</v>
      </c>
      <c r="AP3613">
        <v>1</v>
      </c>
      <c r="AR3613" t="s">
        <v>3710</v>
      </c>
      <c r="AS3613" s="1">
        <v>44354.071527777778</v>
      </c>
      <c r="AT3613" s="1">
        <v>44354.079525462963</v>
      </c>
      <c r="AU3613" s="1">
        <v>44354.080127314817</v>
      </c>
      <c r="AV3613" t="s">
        <v>71</v>
      </c>
      <c r="AW3613" t="s">
        <v>72</v>
      </c>
      <c r="AX3613" t="s">
        <v>73</v>
      </c>
    </row>
    <row r="3614" spans="1:50" x14ac:dyDescent="0.3">
      <c r="A3614" t="str">
        <f>"201436C0100"</f>
        <v>201436C0100</v>
      </c>
      <c r="B3614" t="str">
        <f>"201436C01002"</f>
        <v>201436C01002</v>
      </c>
      <c r="C3614" t="str">
        <f t="shared" si="191"/>
        <v>20</v>
      </c>
      <c r="D3614" t="s">
        <v>67</v>
      </c>
      <c r="E3614" t="str">
        <f t="shared" si="192"/>
        <v>016</v>
      </c>
      <c r="F3614" t="s">
        <v>3578</v>
      </c>
      <c r="G3614" t="str">
        <f>"1436"</f>
        <v>1436</v>
      </c>
      <c r="H3614" t="str">
        <f>"0001"</f>
        <v>0001</v>
      </c>
      <c r="I3614" t="s">
        <v>75</v>
      </c>
      <c r="J3614">
        <v>0</v>
      </c>
      <c r="K3614">
        <v>1</v>
      </c>
      <c r="L3614">
        <v>2</v>
      </c>
      <c r="M3614">
        <v>226</v>
      </c>
      <c r="N3614">
        <v>466</v>
      </c>
      <c r="O3614">
        <v>4</v>
      </c>
      <c r="P3614">
        <v>466</v>
      </c>
      <c r="Q3614">
        <v>60</v>
      </c>
      <c r="R3614">
        <v>80</v>
      </c>
      <c r="S3614">
        <v>9</v>
      </c>
      <c r="T3614">
        <v>85</v>
      </c>
      <c r="U3614">
        <v>62</v>
      </c>
      <c r="V3614">
        <v>3</v>
      </c>
      <c r="W3614">
        <v>28</v>
      </c>
      <c r="X3614">
        <v>96</v>
      </c>
      <c r="Y3614">
        <v>2</v>
      </c>
      <c r="Z3614">
        <v>2</v>
      </c>
      <c r="AA3614">
        <v>3</v>
      </c>
      <c r="AB3614">
        <v>9</v>
      </c>
      <c r="AD3614">
        <v>0</v>
      </c>
      <c r="AE3614">
        <v>2</v>
      </c>
      <c r="AF3614">
        <v>0</v>
      </c>
      <c r="AG3614">
        <v>0</v>
      </c>
      <c r="AI3614">
        <v>0</v>
      </c>
      <c r="AJ3614">
        <v>25</v>
      </c>
      <c r="AK3614">
        <v>466</v>
      </c>
      <c r="AL3614">
        <v>466</v>
      </c>
      <c r="AM3614">
        <v>646</v>
      </c>
      <c r="AN3614">
        <v>46</v>
      </c>
      <c r="AP3614">
        <v>1</v>
      </c>
      <c r="AR3614" t="s">
        <v>3711</v>
      </c>
      <c r="AS3614" s="1">
        <v>44354.071527777778</v>
      </c>
      <c r="AT3614" s="1">
        <v>44354.080138888887</v>
      </c>
      <c r="AU3614" s="1">
        <v>44354.081400462965</v>
      </c>
      <c r="AV3614" t="s">
        <v>71</v>
      </c>
      <c r="AW3614" t="s">
        <v>72</v>
      </c>
      <c r="AX3614" t="s">
        <v>73</v>
      </c>
    </row>
    <row r="3615" spans="1:50" x14ac:dyDescent="0.3">
      <c r="A3615" t="str">
        <f>"201452B0000"</f>
        <v>201452B0000</v>
      </c>
      <c r="B3615" t="str">
        <f>"201452B00002"</f>
        <v>201452B00002</v>
      </c>
      <c r="C3615" t="str">
        <f t="shared" si="191"/>
        <v>20</v>
      </c>
      <c r="D3615" t="s">
        <v>67</v>
      </c>
      <c r="E3615" t="str">
        <f t="shared" si="192"/>
        <v>016</v>
      </c>
      <c r="F3615" t="s">
        <v>3578</v>
      </c>
      <c r="G3615" t="str">
        <f>"1452"</f>
        <v>1452</v>
      </c>
      <c r="H3615" t="str">
        <f>"0000"</f>
        <v>0000</v>
      </c>
      <c r="I3615" t="s">
        <v>69</v>
      </c>
      <c r="J3615">
        <v>0</v>
      </c>
      <c r="K3615">
        <v>1</v>
      </c>
      <c r="L3615">
        <v>2</v>
      </c>
      <c r="M3615">
        <v>352</v>
      </c>
      <c r="N3615">
        <v>215</v>
      </c>
      <c r="O3615">
        <v>0</v>
      </c>
      <c r="P3615">
        <v>215</v>
      </c>
      <c r="Q3615">
        <v>9</v>
      </c>
      <c r="R3615">
        <v>15</v>
      </c>
      <c r="S3615">
        <v>2</v>
      </c>
      <c r="T3615">
        <v>83</v>
      </c>
      <c r="U3615">
        <v>13</v>
      </c>
      <c r="V3615">
        <v>3</v>
      </c>
      <c r="W3615">
        <v>1</v>
      </c>
      <c r="X3615">
        <v>70</v>
      </c>
      <c r="Y3615">
        <v>1</v>
      </c>
      <c r="Z3615">
        <v>3</v>
      </c>
      <c r="AA3615">
        <v>0</v>
      </c>
      <c r="AB3615">
        <v>1</v>
      </c>
      <c r="AD3615">
        <v>2</v>
      </c>
      <c r="AE3615">
        <v>1</v>
      </c>
      <c r="AF3615">
        <v>0</v>
      </c>
      <c r="AG3615">
        <v>0</v>
      </c>
      <c r="AI3615">
        <v>0</v>
      </c>
      <c r="AJ3615">
        <v>11</v>
      </c>
      <c r="AK3615">
        <v>215</v>
      </c>
      <c r="AL3615">
        <v>215</v>
      </c>
      <c r="AM3615">
        <v>523</v>
      </c>
      <c r="AN3615">
        <v>44</v>
      </c>
      <c r="AP3615">
        <v>1</v>
      </c>
      <c r="AR3615" t="s">
        <v>3712</v>
      </c>
      <c r="AS3615" s="1">
        <v>44353.981944444444</v>
      </c>
      <c r="AT3615" s="1">
        <v>44353.984907407408</v>
      </c>
      <c r="AU3615" s="1">
        <v>44353.985555555555</v>
      </c>
      <c r="AV3615" t="s">
        <v>71</v>
      </c>
      <c r="AW3615" t="s">
        <v>72</v>
      </c>
      <c r="AX3615" t="s">
        <v>73</v>
      </c>
    </row>
    <row r="3616" spans="1:50" x14ac:dyDescent="0.3">
      <c r="A3616" t="str">
        <f>"201453B0000"</f>
        <v>201453B0000</v>
      </c>
      <c r="B3616" t="str">
        <f>"201453B00002"</f>
        <v>201453B00002</v>
      </c>
      <c r="C3616" t="str">
        <f t="shared" si="191"/>
        <v>20</v>
      </c>
      <c r="D3616" t="s">
        <v>67</v>
      </c>
      <c r="E3616" t="str">
        <f t="shared" si="192"/>
        <v>016</v>
      </c>
      <c r="F3616" t="s">
        <v>3578</v>
      </c>
      <c r="G3616" t="str">
        <f>"1453"</f>
        <v>1453</v>
      </c>
      <c r="H3616" t="str">
        <f>"0000"</f>
        <v>0000</v>
      </c>
      <c r="I3616" t="s">
        <v>69</v>
      </c>
      <c r="J3616">
        <v>0</v>
      </c>
      <c r="K3616">
        <v>1</v>
      </c>
      <c r="L3616">
        <v>2</v>
      </c>
      <c r="M3616">
        <v>259</v>
      </c>
      <c r="N3616">
        <v>175</v>
      </c>
      <c r="O3616">
        <v>0</v>
      </c>
      <c r="P3616">
        <v>175</v>
      </c>
      <c r="Q3616">
        <v>13</v>
      </c>
      <c r="R3616">
        <v>15</v>
      </c>
      <c r="S3616">
        <v>2</v>
      </c>
      <c r="T3616">
        <v>69</v>
      </c>
      <c r="U3616">
        <v>1</v>
      </c>
      <c r="V3616">
        <v>2</v>
      </c>
      <c r="W3616">
        <v>0</v>
      </c>
      <c r="X3616">
        <v>58</v>
      </c>
      <c r="Y3616">
        <v>0</v>
      </c>
      <c r="Z3616">
        <v>4</v>
      </c>
      <c r="AA3616">
        <v>0</v>
      </c>
      <c r="AB3616">
        <v>2</v>
      </c>
      <c r="AD3616">
        <v>1</v>
      </c>
      <c r="AE3616">
        <v>0</v>
      </c>
      <c r="AF3616">
        <v>0</v>
      </c>
      <c r="AG3616">
        <v>0</v>
      </c>
      <c r="AI3616">
        <v>0</v>
      </c>
      <c r="AJ3616">
        <v>8</v>
      </c>
      <c r="AK3616">
        <v>175</v>
      </c>
      <c r="AL3616">
        <v>175</v>
      </c>
      <c r="AM3616">
        <v>390</v>
      </c>
      <c r="AN3616">
        <v>44</v>
      </c>
      <c r="AP3616">
        <v>1</v>
      </c>
      <c r="AR3616" t="s">
        <v>3713</v>
      </c>
      <c r="AS3616" s="1">
        <v>44353.981249999997</v>
      </c>
      <c r="AT3616" s="1">
        <v>44353.984409722223</v>
      </c>
      <c r="AU3616" s="1">
        <v>44353.985208333332</v>
      </c>
      <c r="AV3616" t="s">
        <v>71</v>
      </c>
      <c r="AW3616" t="s">
        <v>72</v>
      </c>
      <c r="AX3616" t="s">
        <v>73</v>
      </c>
    </row>
    <row r="3617" spans="1:50" x14ac:dyDescent="0.3">
      <c r="A3617" t="str">
        <f>"201453C0100"</f>
        <v>201453C0100</v>
      </c>
      <c r="B3617" t="str">
        <f>"201453C01002"</f>
        <v>201453C01002</v>
      </c>
      <c r="C3617" t="str">
        <f t="shared" si="191"/>
        <v>20</v>
      </c>
      <c r="D3617" t="s">
        <v>67</v>
      </c>
      <c r="E3617" t="str">
        <f t="shared" si="192"/>
        <v>016</v>
      </c>
      <c r="F3617" t="s">
        <v>3578</v>
      </c>
      <c r="G3617" t="str">
        <f>"1453"</f>
        <v>1453</v>
      </c>
      <c r="H3617" t="str">
        <f>"0001"</f>
        <v>0001</v>
      </c>
      <c r="I3617" t="s">
        <v>75</v>
      </c>
      <c r="J3617">
        <v>0</v>
      </c>
      <c r="K3617">
        <v>1</v>
      </c>
      <c r="L3617">
        <v>2</v>
      </c>
      <c r="M3617">
        <v>274</v>
      </c>
      <c r="N3617">
        <v>159</v>
      </c>
      <c r="O3617">
        <v>0</v>
      </c>
      <c r="P3617">
        <v>159</v>
      </c>
      <c r="Q3617">
        <v>7</v>
      </c>
      <c r="R3617">
        <v>7</v>
      </c>
      <c r="S3617">
        <v>2</v>
      </c>
      <c r="T3617">
        <v>57</v>
      </c>
      <c r="U3617">
        <v>8</v>
      </c>
      <c r="V3617">
        <v>3</v>
      </c>
      <c r="W3617">
        <v>1</v>
      </c>
      <c r="X3617">
        <v>63</v>
      </c>
      <c r="Y3617">
        <v>0</v>
      </c>
      <c r="Z3617">
        <v>1</v>
      </c>
      <c r="AA3617">
        <v>1</v>
      </c>
      <c r="AB3617">
        <v>2</v>
      </c>
      <c r="AD3617">
        <v>0</v>
      </c>
      <c r="AE3617">
        <v>0</v>
      </c>
      <c r="AF3617">
        <v>0</v>
      </c>
      <c r="AG3617">
        <v>0</v>
      </c>
      <c r="AI3617">
        <v>0</v>
      </c>
      <c r="AJ3617">
        <v>7</v>
      </c>
      <c r="AK3617">
        <v>159</v>
      </c>
      <c r="AL3617">
        <v>159</v>
      </c>
      <c r="AM3617">
        <v>389</v>
      </c>
      <c r="AN3617">
        <v>44</v>
      </c>
      <c r="AP3617">
        <v>1</v>
      </c>
      <c r="AR3617" t="s">
        <v>3714</v>
      </c>
      <c r="AS3617" s="1">
        <v>44353.982638888891</v>
      </c>
      <c r="AT3617" s="1">
        <v>44353.985335648147</v>
      </c>
      <c r="AU3617" s="1">
        <v>44353.985983796294</v>
      </c>
      <c r="AV3617" t="s">
        <v>71</v>
      </c>
      <c r="AW3617" t="s">
        <v>72</v>
      </c>
      <c r="AX3617" t="s">
        <v>73</v>
      </c>
    </row>
    <row r="3618" spans="1:50" x14ac:dyDescent="0.3">
      <c r="A3618" t="str">
        <f>"201494B0000"</f>
        <v>201494B0000</v>
      </c>
      <c r="B3618" t="str">
        <f>"201494B00002"</f>
        <v>201494B00002</v>
      </c>
      <c r="C3618" t="str">
        <f t="shared" si="191"/>
        <v>20</v>
      </c>
      <c r="D3618" t="s">
        <v>67</v>
      </c>
      <c r="E3618" t="str">
        <f t="shared" si="192"/>
        <v>016</v>
      </c>
      <c r="F3618" t="s">
        <v>3578</v>
      </c>
      <c r="G3618" t="str">
        <f>"1494"</f>
        <v>1494</v>
      </c>
      <c r="H3618" t="str">
        <f>"0000"</f>
        <v>0000</v>
      </c>
      <c r="I3618" t="s">
        <v>69</v>
      </c>
      <c r="J3618">
        <v>0</v>
      </c>
      <c r="K3618">
        <v>1</v>
      </c>
      <c r="L3618">
        <v>2</v>
      </c>
      <c r="M3618">
        <v>528</v>
      </c>
      <c r="N3618">
        <v>241</v>
      </c>
      <c r="O3618">
        <v>0</v>
      </c>
      <c r="P3618">
        <v>241</v>
      </c>
      <c r="Q3618">
        <v>35</v>
      </c>
      <c r="R3618">
        <v>51</v>
      </c>
      <c r="S3618">
        <v>4</v>
      </c>
      <c r="T3618">
        <v>29</v>
      </c>
      <c r="U3618">
        <v>5</v>
      </c>
      <c r="V3618">
        <v>4</v>
      </c>
      <c r="W3618">
        <v>4</v>
      </c>
      <c r="X3618">
        <v>86</v>
      </c>
      <c r="Y3618">
        <v>1</v>
      </c>
      <c r="Z3618">
        <v>2</v>
      </c>
      <c r="AA3618">
        <v>4</v>
      </c>
      <c r="AB3618">
        <v>3</v>
      </c>
      <c r="AD3618">
        <v>0</v>
      </c>
      <c r="AE3618">
        <v>0</v>
      </c>
      <c r="AF3618">
        <v>0</v>
      </c>
      <c r="AG3618">
        <v>0</v>
      </c>
      <c r="AI3618">
        <v>0</v>
      </c>
      <c r="AJ3618">
        <v>13</v>
      </c>
      <c r="AK3618">
        <v>241</v>
      </c>
      <c r="AL3618">
        <v>241</v>
      </c>
      <c r="AM3618">
        <v>725</v>
      </c>
      <c r="AN3618">
        <v>44</v>
      </c>
      <c r="AP3618">
        <v>1</v>
      </c>
      <c r="AR3618" t="s">
        <v>3715</v>
      </c>
      <c r="AS3618" s="1">
        <v>44353.840277777781</v>
      </c>
      <c r="AT3618" s="1">
        <v>44354.254282407404</v>
      </c>
      <c r="AU3618" s="1">
        <v>44354.255219907405</v>
      </c>
      <c r="AV3618" t="s">
        <v>71</v>
      </c>
      <c r="AW3618" t="s">
        <v>72</v>
      </c>
      <c r="AX3618" t="s">
        <v>73</v>
      </c>
    </row>
    <row r="3619" spans="1:50" x14ac:dyDescent="0.3">
      <c r="A3619" t="str">
        <f>"201494C0100"</f>
        <v>201494C0100</v>
      </c>
      <c r="B3619" t="str">
        <f>"201494C01002"</f>
        <v>201494C01002</v>
      </c>
      <c r="C3619" t="str">
        <f t="shared" si="191"/>
        <v>20</v>
      </c>
      <c r="D3619" t="s">
        <v>67</v>
      </c>
      <c r="E3619" t="str">
        <f t="shared" si="192"/>
        <v>016</v>
      </c>
      <c r="F3619" t="s">
        <v>3578</v>
      </c>
      <c r="G3619" t="str">
        <f>"1494"</f>
        <v>1494</v>
      </c>
      <c r="H3619" t="str">
        <f>"0001"</f>
        <v>0001</v>
      </c>
      <c r="I3619" t="s">
        <v>75</v>
      </c>
      <c r="J3619">
        <v>0</v>
      </c>
      <c r="K3619">
        <v>1</v>
      </c>
      <c r="L3619">
        <v>2</v>
      </c>
      <c r="M3619">
        <v>548</v>
      </c>
      <c r="N3619">
        <v>220</v>
      </c>
      <c r="O3619">
        <v>3</v>
      </c>
      <c r="P3619">
        <v>220</v>
      </c>
      <c r="Q3619">
        <v>34</v>
      </c>
      <c r="R3619">
        <v>49</v>
      </c>
      <c r="S3619">
        <v>3</v>
      </c>
      <c r="T3619">
        <v>34</v>
      </c>
      <c r="U3619">
        <v>8</v>
      </c>
      <c r="V3619">
        <v>5</v>
      </c>
      <c r="W3619">
        <v>3</v>
      </c>
      <c r="X3619">
        <v>68</v>
      </c>
      <c r="Y3619">
        <v>2</v>
      </c>
      <c r="Z3619">
        <v>3</v>
      </c>
      <c r="AA3619">
        <v>0</v>
      </c>
      <c r="AB3619">
        <v>3</v>
      </c>
      <c r="AD3619">
        <v>2</v>
      </c>
      <c r="AE3619">
        <v>2</v>
      </c>
      <c r="AF3619">
        <v>0</v>
      </c>
      <c r="AG3619">
        <v>0</v>
      </c>
      <c r="AI3619">
        <v>0</v>
      </c>
      <c r="AJ3619">
        <v>4</v>
      </c>
      <c r="AK3619">
        <v>220</v>
      </c>
      <c r="AL3619">
        <v>220</v>
      </c>
      <c r="AM3619">
        <v>724</v>
      </c>
      <c r="AN3619">
        <v>44</v>
      </c>
      <c r="AP3619">
        <v>1</v>
      </c>
      <c r="AR3619" t="s">
        <v>3716</v>
      </c>
      <c r="AS3619" s="1">
        <v>44353.840277777781</v>
      </c>
      <c r="AT3619" s="1">
        <v>44354.253321759257</v>
      </c>
      <c r="AU3619" s="1">
        <v>44354.254201388889</v>
      </c>
      <c r="AV3619" t="s">
        <v>71</v>
      </c>
      <c r="AW3619" t="s">
        <v>72</v>
      </c>
      <c r="AX3619" t="s">
        <v>73</v>
      </c>
    </row>
    <row r="3620" spans="1:50" x14ac:dyDescent="0.3">
      <c r="A3620" t="str">
        <f>"201639B0000"</f>
        <v>201639B0000</v>
      </c>
      <c r="B3620" t="str">
        <f>"201639B00002"</f>
        <v>201639B00002</v>
      </c>
      <c r="C3620" t="str">
        <f t="shared" si="191"/>
        <v>20</v>
      </c>
      <c r="D3620" t="s">
        <v>67</v>
      </c>
      <c r="E3620" t="str">
        <f t="shared" si="192"/>
        <v>016</v>
      </c>
      <c r="F3620" t="s">
        <v>3578</v>
      </c>
      <c r="G3620" t="str">
        <f>"1639"</f>
        <v>1639</v>
      </c>
      <c r="H3620" t="str">
        <f>"0000"</f>
        <v>0000</v>
      </c>
      <c r="I3620" t="s">
        <v>69</v>
      </c>
      <c r="J3620">
        <v>0</v>
      </c>
      <c r="K3620">
        <v>1</v>
      </c>
      <c r="L3620">
        <v>2</v>
      </c>
      <c r="M3620">
        <v>348</v>
      </c>
      <c r="N3620">
        <v>229</v>
      </c>
      <c r="O3620">
        <v>0</v>
      </c>
      <c r="P3620">
        <v>229</v>
      </c>
      <c r="Q3620">
        <v>10</v>
      </c>
      <c r="R3620">
        <v>14</v>
      </c>
      <c r="S3620">
        <v>4</v>
      </c>
      <c r="T3620">
        <v>89</v>
      </c>
      <c r="U3620">
        <v>20</v>
      </c>
      <c r="V3620">
        <v>0</v>
      </c>
      <c r="W3620">
        <v>0</v>
      </c>
      <c r="X3620">
        <v>76</v>
      </c>
      <c r="Y3620">
        <v>1</v>
      </c>
      <c r="Z3620">
        <v>4</v>
      </c>
      <c r="AA3620">
        <v>0</v>
      </c>
      <c r="AB3620">
        <v>1</v>
      </c>
      <c r="AD3620">
        <v>0</v>
      </c>
      <c r="AE3620">
        <v>0</v>
      </c>
      <c r="AF3620">
        <v>1</v>
      </c>
      <c r="AG3620">
        <v>0</v>
      </c>
      <c r="AI3620">
        <v>0</v>
      </c>
      <c r="AJ3620">
        <v>9</v>
      </c>
      <c r="AK3620">
        <v>229</v>
      </c>
      <c r="AL3620">
        <v>229</v>
      </c>
      <c r="AM3620">
        <v>533</v>
      </c>
      <c r="AN3620">
        <v>44</v>
      </c>
      <c r="AP3620">
        <v>1</v>
      </c>
      <c r="AR3620" t="s">
        <v>3717</v>
      </c>
      <c r="AS3620" s="1">
        <v>44354.201388888891</v>
      </c>
      <c r="AT3620" s="1">
        <v>44354.204236111109</v>
      </c>
      <c r="AU3620" s="1">
        <v>44354.204884259256</v>
      </c>
      <c r="AV3620" t="s">
        <v>71</v>
      </c>
      <c r="AW3620" t="s">
        <v>72</v>
      </c>
      <c r="AX3620" t="s">
        <v>73</v>
      </c>
    </row>
    <row r="3621" spans="1:50" x14ac:dyDescent="0.3">
      <c r="A3621" t="str">
        <f>"201639C0100"</f>
        <v>201639C0100</v>
      </c>
      <c r="B3621" t="str">
        <f>"201639C01002"</f>
        <v>201639C01002</v>
      </c>
      <c r="C3621" t="str">
        <f t="shared" si="191"/>
        <v>20</v>
      </c>
      <c r="D3621" t="s">
        <v>67</v>
      </c>
      <c r="E3621" t="str">
        <f t="shared" si="192"/>
        <v>016</v>
      </c>
      <c r="F3621" t="s">
        <v>3578</v>
      </c>
      <c r="G3621" t="str">
        <f>"1639"</f>
        <v>1639</v>
      </c>
      <c r="H3621" t="str">
        <f>"0001"</f>
        <v>0001</v>
      </c>
      <c r="I3621" t="s">
        <v>75</v>
      </c>
      <c r="J3621">
        <v>0</v>
      </c>
      <c r="K3621">
        <v>1</v>
      </c>
      <c r="L3621">
        <v>2</v>
      </c>
      <c r="M3621">
        <v>349</v>
      </c>
      <c r="N3621">
        <v>227</v>
      </c>
      <c r="O3621">
        <v>0</v>
      </c>
      <c r="P3621">
        <v>227</v>
      </c>
      <c r="Q3621">
        <v>5</v>
      </c>
      <c r="R3621">
        <v>25</v>
      </c>
      <c r="S3621">
        <v>2</v>
      </c>
      <c r="T3621">
        <v>90</v>
      </c>
      <c r="U3621">
        <v>15</v>
      </c>
      <c r="V3621">
        <v>0</v>
      </c>
      <c r="W3621">
        <v>1</v>
      </c>
      <c r="X3621">
        <v>71</v>
      </c>
      <c r="Y3621">
        <v>0</v>
      </c>
      <c r="Z3621">
        <v>3</v>
      </c>
      <c r="AA3621">
        <v>2</v>
      </c>
      <c r="AB3621">
        <v>1</v>
      </c>
      <c r="AD3621">
        <v>0</v>
      </c>
      <c r="AE3621">
        <v>0</v>
      </c>
      <c r="AF3621">
        <v>0</v>
      </c>
      <c r="AG3621">
        <v>0</v>
      </c>
      <c r="AI3621">
        <v>0</v>
      </c>
      <c r="AJ3621">
        <v>12</v>
      </c>
      <c r="AK3621">
        <v>227</v>
      </c>
      <c r="AL3621">
        <v>227</v>
      </c>
      <c r="AM3621">
        <v>532</v>
      </c>
      <c r="AN3621">
        <v>44</v>
      </c>
      <c r="AP3621">
        <v>1</v>
      </c>
      <c r="AR3621" t="s">
        <v>3718</v>
      </c>
      <c r="AS3621" s="1">
        <v>44354.201388888891</v>
      </c>
      <c r="AT3621" s="1">
        <v>44354.204027777778</v>
      </c>
      <c r="AU3621" s="1">
        <v>44354.204513888886</v>
      </c>
      <c r="AV3621" t="s">
        <v>71</v>
      </c>
      <c r="AW3621" t="s">
        <v>72</v>
      </c>
      <c r="AX3621" t="s">
        <v>73</v>
      </c>
    </row>
    <row r="3622" spans="1:50" x14ac:dyDescent="0.3">
      <c r="A3622" t="str">
        <f>"201639E0100"</f>
        <v>201639E0100</v>
      </c>
      <c r="B3622" t="str">
        <f>"201639E01002"</f>
        <v>201639E01002</v>
      </c>
      <c r="C3622" t="str">
        <f t="shared" si="191"/>
        <v>20</v>
      </c>
      <c r="D3622" t="s">
        <v>67</v>
      </c>
      <c r="E3622" t="str">
        <f t="shared" si="192"/>
        <v>016</v>
      </c>
      <c r="F3622" t="s">
        <v>3578</v>
      </c>
      <c r="G3622" t="str">
        <f>"1639"</f>
        <v>1639</v>
      </c>
      <c r="H3622" t="str">
        <f>"0001"</f>
        <v>0001</v>
      </c>
      <c r="I3622" t="s">
        <v>109</v>
      </c>
      <c r="J3622">
        <v>0</v>
      </c>
      <c r="K3622">
        <v>1</v>
      </c>
      <c r="L3622">
        <v>2</v>
      </c>
      <c r="M3622">
        <v>357</v>
      </c>
      <c r="N3622">
        <v>227</v>
      </c>
      <c r="O3622">
        <v>7</v>
      </c>
      <c r="P3622">
        <v>227</v>
      </c>
      <c r="Q3622">
        <v>3</v>
      </c>
      <c r="R3622">
        <v>28</v>
      </c>
      <c r="S3622">
        <v>4</v>
      </c>
      <c r="T3622">
        <v>130</v>
      </c>
      <c r="U3622">
        <v>19</v>
      </c>
      <c r="V3622">
        <v>3</v>
      </c>
      <c r="W3622">
        <v>3</v>
      </c>
      <c r="X3622">
        <v>21</v>
      </c>
      <c r="Y3622">
        <v>1</v>
      </c>
      <c r="Z3622">
        <v>1</v>
      </c>
      <c r="AA3622">
        <v>1</v>
      </c>
      <c r="AB3622">
        <v>1</v>
      </c>
      <c r="AD3622">
        <v>0</v>
      </c>
      <c r="AE3622">
        <v>0</v>
      </c>
      <c r="AF3622">
        <v>0</v>
      </c>
      <c r="AG3622">
        <v>0</v>
      </c>
      <c r="AI3622">
        <v>0</v>
      </c>
      <c r="AJ3622">
        <v>5</v>
      </c>
      <c r="AK3622">
        <v>227</v>
      </c>
      <c r="AL3622">
        <v>220</v>
      </c>
      <c r="AM3622">
        <v>540</v>
      </c>
      <c r="AN3622">
        <v>44</v>
      </c>
      <c r="AP3622">
        <v>1</v>
      </c>
      <c r="AR3622" t="s">
        <v>3719</v>
      </c>
      <c r="AS3622" s="1">
        <v>44354.202777777777</v>
      </c>
      <c r="AT3622" s="1">
        <v>44354.204652777778</v>
      </c>
      <c r="AU3622" s="1">
        <v>44354.205925925926</v>
      </c>
      <c r="AV3622" t="s">
        <v>71</v>
      </c>
      <c r="AW3622" t="s">
        <v>72</v>
      </c>
      <c r="AX3622" t="s">
        <v>73</v>
      </c>
    </row>
    <row r="3623" spans="1:50" x14ac:dyDescent="0.3">
      <c r="A3623" t="str">
        <f>"201639E0101"</f>
        <v>201639E0101</v>
      </c>
      <c r="B3623" t="str">
        <f>"201639E01012"</f>
        <v>201639E01012</v>
      </c>
      <c r="C3623" t="str">
        <f t="shared" si="191"/>
        <v>20</v>
      </c>
      <c r="D3623" t="s">
        <v>67</v>
      </c>
      <c r="E3623" t="str">
        <f t="shared" si="192"/>
        <v>016</v>
      </c>
      <c r="F3623" t="s">
        <v>3578</v>
      </c>
      <c r="G3623" t="str">
        <f>"1639"</f>
        <v>1639</v>
      </c>
      <c r="H3623" t="str">
        <f>"0001"</f>
        <v>0001</v>
      </c>
      <c r="I3623" t="s">
        <v>109</v>
      </c>
      <c r="J3623">
        <v>1</v>
      </c>
      <c r="K3623">
        <v>1</v>
      </c>
      <c r="L3623">
        <v>2</v>
      </c>
      <c r="M3623">
        <v>373</v>
      </c>
      <c r="N3623">
        <v>211</v>
      </c>
      <c r="O3623">
        <v>4</v>
      </c>
      <c r="P3623">
        <v>211</v>
      </c>
      <c r="Q3623">
        <v>1</v>
      </c>
      <c r="R3623">
        <v>18</v>
      </c>
      <c r="S3623">
        <v>2</v>
      </c>
      <c r="T3623">
        <v>143</v>
      </c>
      <c r="U3623">
        <v>13</v>
      </c>
      <c r="V3623">
        <v>1</v>
      </c>
      <c r="W3623">
        <v>2</v>
      </c>
      <c r="X3623">
        <v>23</v>
      </c>
      <c r="Y3623">
        <v>1</v>
      </c>
      <c r="Z3623">
        <v>2</v>
      </c>
      <c r="AA3623">
        <v>1</v>
      </c>
      <c r="AB3623">
        <v>1</v>
      </c>
      <c r="AD3623">
        <v>0</v>
      </c>
      <c r="AE3623">
        <v>0</v>
      </c>
      <c r="AF3623">
        <v>0</v>
      </c>
      <c r="AG3623">
        <v>0</v>
      </c>
      <c r="AI3623">
        <v>0</v>
      </c>
      <c r="AJ3623">
        <v>3</v>
      </c>
      <c r="AK3623">
        <v>211</v>
      </c>
      <c r="AL3623">
        <v>211</v>
      </c>
      <c r="AM3623">
        <v>540</v>
      </c>
      <c r="AN3623">
        <v>44</v>
      </c>
      <c r="AP3623">
        <v>1</v>
      </c>
      <c r="AR3623" t="s">
        <v>3720</v>
      </c>
      <c r="AS3623" s="1">
        <v>44354.202777777777</v>
      </c>
      <c r="AT3623" s="1">
        <v>44354.205775462964</v>
      </c>
      <c r="AU3623" s="1">
        <v>44354.206365740742</v>
      </c>
      <c r="AV3623" t="s">
        <v>71</v>
      </c>
      <c r="AW3623" t="s">
        <v>72</v>
      </c>
      <c r="AX3623" t="s">
        <v>73</v>
      </c>
    </row>
    <row r="3624" spans="1:50" x14ac:dyDescent="0.3">
      <c r="A3624" t="str">
        <f>"201647B0000"</f>
        <v>201647B0000</v>
      </c>
      <c r="B3624" t="str">
        <f>"201647B00002"</f>
        <v>201647B00002</v>
      </c>
      <c r="C3624" t="str">
        <f t="shared" si="191"/>
        <v>20</v>
      </c>
      <c r="D3624" t="s">
        <v>67</v>
      </c>
      <c r="E3624" t="str">
        <f t="shared" si="192"/>
        <v>016</v>
      </c>
      <c r="F3624" t="s">
        <v>3578</v>
      </c>
      <c r="G3624" t="str">
        <f>"1647"</f>
        <v>1647</v>
      </c>
      <c r="H3624" t="str">
        <f>"0000"</f>
        <v>0000</v>
      </c>
      <c r="I3624" t="s">
        <v>69</v>
      </c>
      <c r="J3624">
        <v>0</v>
      </c>
      <c r="K3624">
        <v>1</v>
      </c>
      <c r="L3624">
        <v>2</v>
      </c>
      <c r="M3624">
        <v>244</v>
      </c>
      <c r="N3624">
        <v>284</v>
      </c>
      <c r="O3624">
        <v>0</v>
      </c>
      <c r="P3624">
        <v>284</v>
      </c>
      <c r="Q3624">
        <v>36</v>
      </c>
      <c r="R3624">
        <v>49</v>
      </c>
      <c r="S3624">
        <v>5</v>
      </c>
      <c r="T3624">
        <v>37</v>
      </c>
      <c r="U3624">
        <v>18</v>
      </c>
      <c r="V3624">
        <v>4</v>
      </c>
      <c r="W3624">
        <v>3</v>
      </c>
      <c r="X3624">
        <v>108</v>
      </c>
      <c r="Y3624" t="s">
        <v>77</v>
      </c>
      <c r="Z3624">
        <v>3</v>
      </c>
      <c r="AA3624">
        <v>3</v>
      </c>
      <c r="AB3624">
        <v>1</v>
      </c>
      <c r="AD3624">
        <v>1</v>
      </c>
      <c r="AE3624">
        <v>1</v>
      </c>
      <c r="AF3624">
        <v>0</v>
      </c>
      <c r="AG3624">
        <v>1</v>
      </c>
      <c r="AI3624" t="s">
        <v>77</v>
      </c>
      <c r="AJ3624">
        <v>14</v>
      </c>
      <c r="AK3624">
        <v>284</v>
      </c>
      <c r="AL3624">
        <v>284</v>
      </c>
      <c r="AM3624">
        <v>484</v>
      </c>
      <c r="AN3624">
        <v>44</v>
      </c>
      <c r="AO3624" t="s">
        <v>78</v>
      </c>
      <c r="AP3624">
        <v>1</v>
      </c>
      <c r="AR3624" t="s">
        <v>3721</v>
      </c>
      <c r="AS3624" s="1">
        <v>44354.023611111108</v>
      </c>
      <c r="AT3624" s="1">
        <v>44354.031365740739</v>
      </c>
      <c r="AU3624" s="1">
        <v>44354.031990740739</v>
      </c>
      <c r="AV3624" t="s">
        <v>71</v>
      </c>
      <c r="AW3624" t="s">
        <v>72</v>
      </c>
      <c r="AX3624" t="s">
        <v>73</v>
      </c>
    </row>
    <row r="3625" spans="1:50" x14ac:dyDescent="0.3">
      <c r="A3625" t="str">
        <f>"201647C0100"</f>
        <v>201647C0100</v>
      </c>
      <c r="B3625" t="str">
        <f>"201647C01002"</f>
        <v>201647C01002</v>
      </c>
      <c r="C3625" t="str">
        <f t="shared" si="191"/>
        <v>20</v>
      </c>
      <c r="D3625" t="s">
        <v>67</v>
      </c>
      <c r="E3625" t="str">
        <f t="shared" si="192"/>
        <v>016</v>
      </c>
      <c r="F3625" t="s">
        <v>3578</v>
      </c>
      <c r="G3625" t="str">
        <f>"1647"</f>
        <v>1647</v>
      </c>
      <c r="H3625" t="str">
        <f>"0001"</f>
        <v>0001</v>
      </c>
      <c r="I3625" t="s">
        <v>75</v>
      </c>
      <c r="J3625">
        <v>0</v>
      </c>
      <c r="K3625">
        <v>1</v>
      </c>
      <c r="L3625">
        <v>2</v>
      </c>
      <c r="M3625">
        <v>275</v>
      </c>
      <c r="N3625">
        <v>253</v>
      </c>
      <c r="O3625">
        <v>0</v>
      </c>
      <c r="P3625">
        <v>253</v>
      </c>
      <c r="Q3625">
        <v>37</v>
      </c>
      <c r="R3625">
        <v>40</v>
      </c>
      <c r="S3625">
        <v>0</v>
      </c>
      <c r="T3625">
        <v>33</v>
      </c>
      <c r="U3625">
        <v>8</v>
      </c>
      <c r="V3625">
        <v>0</v>
      </c>
      <c r="W3625">
        <v>0</v>
      </c>
      <c r="X3625">
        <v>123</v>
      </c>
      <c r="Y3625">
        <v>0</v>
      </c>
      <c r="Z3625">
        <v>1</v>
      </c>
      <c r="AA3625">
        <v>0</v>
      </c>
      <c r="AB3625">
        <v>3</v>
      </c>
      <c r="AD3625">
        <v>0</v>
      </c>
      <c r="AE3625">
        <v>0</v>
      </c>
      <c r="AF3625">
        <v>0</v>
      </c>
      <c r="AG3625">
        <v>0</v>
      </c>
      <c r="AI3625">
        <v>0</v>
      </c>
      <c r="AJ3625">
        <v>8</v>
      </c>
      <c r="AK3625">
        <v>275</v>
      </c>
      <c r="AL3625">
        <v>253</v>
      </c>
      <c r="AM3625">
        <v>484</v>
      </c>
      <c r="AN3625">
        <v>44</v>
      </c>
      <c r="AP3625">
        <v>1</v>
      </c>
      <c r="AR3625" t="s">
        <v>3722</v>
      </c>
      <c r="AS3625" s="1">
        <v>44354.023611111108</v>
      </c>
      <c r="AT3625" s="1">
        <v>44354.031354166669</v>
      </c>
      <c r="AU3625" s="1">
        <v>44354.031828703701</v>
      </c>
      <c r="AV3625" t="s">
        <v>71</v>
      </c>
      <c r="AW3625" t="s">
        <v>72</v>
      </c>
      <c r="AX3625" t="s">
        <v>73</v>
      </c>
    </row>
    <row r="3626" spans="1:50" x14ac:dyDescent="0.3">
      <c r="A3626" t="str">
        <f>"201648B0000"</f>
        <v>201648B0000</v>
      </c>
      <c r="B3626" t="str">
        <f>"201648B00002"</f>
        <v>201648B00002</v>
      </c>
      <c r="C3626" t="str">
        <f t="shared" si="191"/>
        <v>20</v>
      </c>
      <c r="D3626" t="s">
        <v>67</v>
      </c>
      <c r="E3626" t="str">
        <f t="shared" si="192"/>
        <v>016</v>
      </c>
      <c r="F3626" t="s">
        <v>3578</v>
      </c>
      <c r="G3626" t="str">
        <f>"1648"</f>
        <v>1648</v>
      </c>
      <c r="H3626" t="str">
        <f>"0000"</f>
        <v>0000</v>
      </c>
      <c r="I3626" t="s">
        <v>69</v>
      </c>
      <c r="J3626">
        <v>0</v>
      </c>
      <c r="K3626">
        <v>1</v>
      </c>
      <c r="L3626">
        <v>2</v>
      </c>
      <c r="M3626">
        <v>468</v>
      </c>
      <c r="N3626">
        <v>289</v>
      </c>
      <c r="O3626">
        <v>0</v>
      </c>
      <c r="P3626">
        <v>289</v>
      </c>
      <c r="Q3626">
        <v>29</v>
      </c>
      <c r="R3626">
        <v>22</v>
      </c>
      <c r="S3626">
        <v>9</v>
      </c>
      <c r="T3626">
        <v>65</v>
      </c>
      <c r="U3626">
        <v>5</v>
      </c>
      <c r="V3626">
        <v>4</v>
      </c>
      <c r="W3626">
        <v>0</v>
      </c>
      <c r="X3626">
        <v>118</v>
      </c>
      <c r="Y3626">
        <v>2</v>
      </c>
      <c r="Z3626">
        <v>7</v>
      </c>
      <c r="AA3626">
        <v>2</v>
      </c>
      <c r="AB3626">
        <v>2</v>
      </c>
      <c r="AD3626">
        <v>0</v>
      </c>
      <c r="AE3626">
        <v>2</v>
      </c>
      <c r="AF3626">
        <v>0</v>
      </c>
      <c r="AG3626">
        <v>0</v>
      </c>
      <c r="AI3626">
        <v>0</v>
      </c>
      <c r="AJ3626">
        <v>22</v>
      </c>
      <c r="AK3626">
        <v>289</v>
      </c>
      <c r="AL3626">
        <v>289</v>
      </c>
      <c r="AM3626">
        <v>713</v>
      </c>
      <c r="AN3626">
        <v>44</v>
      </c>
      <c r="AP3626">
        <v>1</v>
      </c>
      <c r="AR3626" t="s">
        <v>3723</v>
      </c>
      <c r="AS3626" s="1">
        <v>44354.024305555555</v>
      </c>
      <c r="AT3626" s="1">
        <v>44354.031701388885</v>
      </c>
      <c r="AU3626" s="1">
        <v>44354.032349537039</v>
      </c>
      <c r="AV3626" t="s">
        <v>71</v>
      </c>
      <c r="AW3626" t="s">
        <v>72</v>
      </c>
      <c r="AX3626" t="s">
        <v>73</v>
      </c>
    </row>
    <row r="3627" spans="1:50" x14ac:dyDescent="0.3">
      <c r="A3627" t="str">
        <f>"201650B0000"</f>
        <v>201650B0000</v>
      </c>
      <c r="B3627" t="str">
        <f>"201650B00002"</f>
        <v>201650B00002</v>
      </c>
      <c r="C3627" t="str">
        <f t="shared" si="191"/>
        <v>20</v>
      </c>
      <c r="D3627" t="s">
        <v>67</v>
      </c>
      <c r="E3627" t="str">
        <f t="shared" si="192"/>
        <v>016</v>
      </c>
      <c r="F3627" t="s">
        <v>3578</v>
      </c>
      <c r="G3627" t="str">
        <f>"1650"</f>
        <v>1650</v>
      </c>
      <c r="H3627" t="str">
        <f>"0000"</f>
        <v>0000</v>
      </c>
      <c r="I3627" t="s">
        <v>69</v>
      </c>
      <c r="J3627">
        <v>0</v>
      </c>
      <c r="K3627">
        <v>1</v>
      </c>
      <c r="L3627">
        <v>2</v>
      </c>
      <c r="M3627">
        <v>280</v>
      </c>
      <c r="N3627">
        <v>489</v>
      </c>
      <c r="O3627">
        <v>5</v>
      </c>
      <c r="P3627">
        <v>489</v>
      </c>
      <c r="Q3627">
        <v>58</v>
      </c>
      <c r="R3627">
        <v>14</v>
      </c>
      <c r="S3627">
        <v>8</v>
      </c>
      <c r="T3627">
        <v>159</v>
      </c>
      <c r="U3627">
        <v>115</v>
      </c>
      <c r="V3627">
        <v>2</v>
      </c>
      <c r="W3627">
        <v>1</v>
      </c>
      <c r="X3627">
        <v>76</v>
      </c>
      <c r="Y3627">
        <v>2</v>
      </c>
      <c r="Z3627">
        <v>4</v>
      </c>
      <c r="AA3627">
        <v>0</v>
      </c>
      <c r="AB3627">
        <v>3</v>
      </c>
      <c r="AD3627">
        <v>0</v>
      </c>
      <c r="AE3627">
        <v>1</v>
      </c>
      <c r="AF3627">
        <v>0</v>
      </c>
      <c r="AG3627">
        <v>0</v>
      </c>
      <c r="AI3627">
        <v>1</v>
      </c>
      <c r="AJ3627">
        <v>49</v>
      </c>
      <c r="AK3627">
        <v>489</v>
      </c>
      <c r="AL3627">
        <v>493</v>
      </c>
      <c r="AM3627">
        <v>725</v>
      </c>
      <c r="AN3627">
        <v>44</v>
      </c>
      <c r="AP3627">
        <v>1</v>
      </c>
      <c r="AR3627" t="s">
        <v>3724</v>
      </c>
      <c r="AS3627" s="1">
        <v>44354.020949074074</v>
      </c>
      <c r="AT3627" s="1">
        <v>44354.028506944444</v>
      </c>
      <c r="AU3627" s="1">
        <v>44354.029120370367</v>
      </c>
      <c r="AV3627" t="s">
        <v>269</v>
      </c>
      <c r="AW3627" t="s">
        <v>270</v>
      </c>
      <c r="AX3627" t="s">
        <v>73</v>
      </c>
    </row>
    <row r="3628" spans="1:50" x14ac:dyDescent="0.3">
      <c r="A3628" t="str">
        <f>"201650C0100"</f>
        <v>201650C0100</v>
      </c>
      <c r="B3628" t="str">
        <f>"201650C01002"</f>
        <v>201650C01002</v>
      </c>
      <c r="C3628" t="str">
        <f t="shared" si="191"/>
        <v>20</v>
      </c>
      <c r="D3628" t="s">
        <v>67</v>
      </c>
      <c r="E3628" t="str">
        <f t="shared" si="192"/>
        <v>016</v>
      </c>
      <c r="F3628" t="s">
        <v>3578</v>
      </c>
      <c r="G3628" t="str">
        <f>"1650"</f>
        <v>1650</v>
      </c>
      <c r="H3628" t="str">
        <f>"0001"</f>
        <v>0001</v>
      </c>
      <c r="I3628" t="s">
        <v>75</v>
      </c>
      <c r="J3628">
        <v>0</v>
      </c>
      <c r="K3628">
        <v>1</v>
      </c>
      <c r="L3628">
        <v>2</v>
      </c>
      <c r="M3628">
        <v>279</v>
      </c>
      <c r="N3628">
        <v>490</v>
      </c>
      <c r="O3628">
        <v>5</v>
      </c>
      <c r="P3628">
        <v>490</v>
      </c>
      <c r="Q3628">
        <v>63</v>
      </c>
      <c r="R3628">
        <v>14</v>
      </c>
      <c r="S3628">
        <v>5</v>
      </c>
      <c r="T3628">
        <v>170</v>
      </c>
      <c r="U3628">
        <v>109</v>
      </c>
      <c r="V3628">
        <v>5</v>
      </c>
      <c r="W3628">
        <v>3</v>
      </c>
      <c r="X3628">
        <v>74</v>
      </c>
      <c r="Y3628">
        <v>1</v>
      </c>
      <c r="Z3628">
        <v>4</v>
      </c>
      <c r="AA3628">
        <v>3</v>
      </c>
      <c r="AB3628">
        <v>3</v>
      </c>
      <c r="AD3628">
        <v>0</v>
      </c>
      <c r="AE3628">
        <v>1</v>
      </c>
      <c r="AF3628">
        <v>0</v>
      </c>
      <c r="AG3628">
        <v>0</v>
      </c>
      <c r="AI3628">
        <v>0</v>
      </c>
      <c r="AJ3628">
        <v>35</v>
      </c>
      <c r="AK3628">
        <v>490</v>
      </c>
      <c r="AL3628">
        <v>490</v>
      </c>
      <c r="AM3628">
        <v>725</v>
      </c>
      <c r="AN3628">
        <v>44</v>
      </c>
      <c r="AP3628">
        <v>1</v>
      </c>
      <c r="AR3628" t="s">
        <v>3725</v>
      </c>
      <c r="AS3628" s="1">
        <v>44354.099305555559</v>
      </c>
      <c r="AT3628" s="1">
        <v>44354.1012962963</v>
      </c>
      <c r="AU3628" s="1">
        <v>44354.10224537037</v>
      </c>
      <c r="AV3628" t="s">
        <v>71</v>
      </c>
      <c r="AW3628" t="s">
        <v>72</v>
      </c>
      <c r="AX3628" t="s">
        <v>73</v>
      </c>
    </row>
    <row r="3629" spans="1:50" x14ac:dyDescent="0.3">
      <c r="A3629" t="str">
        <f>"201650E0100"</f>
        <v>201650E0100</v>
      </c>
      <c r="B3629" t="str">
        <f>"201650E01002"</f>
        <v>201650E01002</v>
      </c>
      <c r="C3629" t="str">
        <f t="shared" si="191"/>
        <v>20</v>
      </c>
      <c r="D3629" t="s">
        <v>67</v>
      </c>
      <c r="E3629" t="str">
        <f t="shared" si="192"/>
        <v>016</v>
      </c>
      <c r="F3629" t="s">
        <v>3578</v>
      </c>
      <c r="G3629" t="str">
        <f>"1650"</f>
        <v>1650</v>
      </c>
      <c r="H3629" t="str">
        <f>"0001"</f>
        <v>0001</v>
      </c>
      <c r="I3629" t="s">
        <v>109</v>
      </c>
      <c r="J3629">
        <v>0</v>
      </c>
      <c r="K3629">
        <v>1</v>
      </c>
      <c r="L3629">
        <v>2</v>
      </c>
      <c r="M3629">
        <v>128</v>
      </c>
      <c r="N3629">
        <v>219</v>
      </c>
      <c r="O3629">
        <v>8</v>
      </c>
      <c r="P3629">
        <v>219</v>
      </c>
      <c r="Q3629">
        <v>39</v>
      </c>
      <c r="R3629">
        <v>2</v>
      </c>
      <c r="S3629">
        <v>2</v>
      </c>
      <c r="T3629">
        <v>75</v>
      </c>
      <c r="U3629">
        <v>23</v>
      </c>
      <c r="V3629">
        <v>0</v>
      </c>
      <c r="W3629">
        <v>1</v>
      </c>
      <c r="X3629">
        <v>67</v>
      </c>
      <c r="Y3629">
        <v>0</v>
      </c>
      <c r="Z3629">
        <v>2</v>
      </c>
      <c r="AA3629">
        <v>0</v>
      </c>
      <c r="AB3629">
        <v>0</v>
      </c>
      <c r="AD3629">
        <v>0</v>
      </c>
      <c r="AE3629">
        <v>0</v>
      </c>
      <c r="AF3629">
        <v>0</v>
      </c>
      <c r="AG3629">
        <v>0</v>
      </c>
      <c r="AI3629">
        <v>0</v>
      </c>
      <c r="AJ3629">
        <v>8</v>
      </c>
      <c r="AK3629">
        <v>219</v>
      </c>
      <c r="AL3629">
        <v>219</v>
      </c>
      <c r="AM3629">
        <v>303</v>
      </c>
      <c r="AN3629">
        <v>44</v>
      </c>
      <c r="AP3629">
        <v>1</v>
      </c>
      <c r="AR3629" t="s">
        <v>3726</v>
      </c>
      <c r="AS3629" s="1">
        <v>44354.100694444445</v>
      </c>
      <c r="AT3629" s="1">
        <v>44354.103680555556</v>
      </c>
      <c r="AU3629" s="1">
        <v>44354.10527777778</v>
      </c>
      <c r="AV3629" t="s">
        <v>71</v>
      </c>
      <c r="AW3629" t="s">
        <v>72</v>
      </c>
      <c r="AX3629" t="s">
        <v>73</v>
      </c>
    </row>
    <row r="3630" spans="1:50" x14ac:dyDescent="0.3">
      <c r="A3630" t="str">
        <f>"201651B0000"</f>
        <v>201651B0000</v>
      </c>
      <c r="B3630" t="str">
        <f>"201651B00002"</f>
        <v>201651B00002</v>
      </c>
      <c r="C3630" t="str">
        <f t="shared" si="191"/>
        <v>20</v>
      </c>
      <c r="D3630" t="s">
        <v>67</v>
      </c>
      <c r="E3630" t="str">
        <f t="shared" si="192"/>
        <v>016</v>
      </c>
      <c r="F3630" t="s">
        <v>3578</v>
      </c>
      <c r="G3630" t="str">
        <f>"1651"</f>
        <v>1651</v>
      </c>
      <c r="H3630" t="str">
        <f>"0000"</f>
        <v>0000</v>
      </c>
      <c r="I3630" t="s">
        <v>69</v>
      </c>
      <c r="J3630">
        <v>0</v>
      </c>
      <c r="K3630">
        <v>1</v>
      </c>
      <c r="L3630">
        <v>2</v>
      </c>
      <c r="M3630">
        <v>232</v>
      </c>
      <c r="N3630">
        <v>451</v>
      </c>
      <c r="O3630">
        <v>5</v>
      </c>
      <c r="P3630" t="s">
        <v>80</v>
      </c>
      <c r="Q3630">
        <v>71</v>
      </c>
      <c r="R3630">
        <v>16</v>
      </c>
      <c r="S3630">
        <v>5</v>
      </c>
      <c r="T3630">
        <v>150</v>
      </c>
      <c r="U3630">
        <v>106</v>
      </c>
      <c r="V3630">
        <v>5</v>
      </c>
      <c r="W3630">
        <v>0</v>
      </c>
      <c r="X3630">
        <v>69</v>
      </c>
      <c r="Y3630">
        <v>2</v>
      </c>
      <c r="Z3630">
        <v>4</v>
      </c>
      <c r="AA3630">
        <v>4</v>
      </c>
      <c r="AB3630">
        <v>3</v>
      </c>
      <c r="AD3630">
        <v>1</v>
      </c>
      <c r="AE3630">
        <v>0</v>
      </c>
      <c r="AF3630">
        <v>0</v>
      </c>
      <c r="AG3630">
        <v>0</v>
      </c>
      <c r="AI3630">
        <v>0</v>
      </c>
      <c r="AJ3630">
        <v>15</v>
      </c>
      <c r="AK3630">
        <v>451</v>
      </c>
      <c r="AL3630">
        <v>451</v>
      </c>
      <c r="AM3630">
        <v>639</v>
      </c>
      <c r="AN3630">
        <v>44</v>
      </c>
      <c r="AP3630">
        <v>1</v>
      </c>
      <c r="AR3630" t="s">
        <v>3727</v>
      </c>
      <c r="AS3630" s="1">
        <v>44354.101388888892</v>
      </c>
      <c r="AT3630" s="1">
        <v>44354.104745370372</v>
      </c>
      <c r="AU3630" s="1">
        <v>44354.105173611111</v>
      </c>
      <c r="AV3630" t="s">
        <v>71</v>
      </c>
      <c r="AW3630" t="s">
        <v>72</v>
      </c>
      <c r="AX3630" t="s">
        <v>73</v>
      </c>
    </row>
    <row r="3631" spans="1:50" x14ac:dyDescent="0.3">
      <c r="A3631" t="str">
        <f>"201651C0100"</f>
        <v>201651C0100</v>
      </c>
      <c r="B3631" t="str">
        <f>"201651C01002"</f>
        <v>201651C01002</v>
      </c>
      <c r="C3631" t="str">
        <f t="shared" si="191"/>
        <v>20</v>
      </c>
      <c r="D3631" t="s">
        <v>67</v>
      </c>
      <c r="E3631" t="str">
        <f t="shared" si="192"/>
        <v>016</v>
      </c>
      <c r="F3631" t="s">
        <v>3578</v>
      </c>
      <c r="G3631" t="str">
        <f>"1651"</f>
        <v>1651</v>
      </c>
      <c r="H3631" t="str">
        <f>"0001"</f>
        <v>0001</v>
      </c>
      <c r="I3631" t="s">
        <v>75</v>
      </c>
      <c r="J3631">
        <v>0</v>
      </c>
      <c r="K3631">
        <v>1</v>
      </c>
      <c r="L3631">
        <v>2</v>
      </c>
      <c r="M3631">
        <v>227</v>
      </c>
      <c r="N3631">
        <v>455</v>
      </c>
      <c r="O3631">
        <v>5</v>
      </c>
      <c r="P3631">
        <v>455</v>
      </c>
      <c r="Q3631">
        <v>72</v>
      </c>
      <c r="R3631">
        <v>15</v>
      </c>
      <c r="S3631">
        <v>4</v>
      </c>
      <c r="T3631">
        <v>129</v>
      </c>
      <c r="U3631">
        <v>106</v>
      </c>
      <c r="V3631">
        <v>3</v>
      </c>
      <c r="W3631">
        <v>2</v>
      </c>
      <c r="X3631">
        <v>86</v>
      </c>
      <c r="Y3631">
        <v>3</v>
      </c>
      <c r="Z3631">
        <v>5</v>
      </c>
      <c r="AA3631">
        <v>2</v>
      </c>
      <c r="AB3631">
        <v>3</v>
      </c>
      <c r="AD3631">
        <v>0</v>
      </c>
      <c r="AE3631">
        <v>0</v>
      </c>
      <c r="AF3631">
        <v>0</v>
      </c>
      <c r="AG3631">
        <v>0</v>
      </c>
      <c r="AI3631">
        <v>0</v>
      </c>
      <c r="AJ3631">
        <v>25</v>
      </c>
      <c r="AK3631">
        <v>455</v>
      </c>
      <c r="AL3631">
        <v>455</v>
      </c>
      <c r="AM3631">
        <v>638</v>
      </c>
      <c r="AN3631">
        <v>44</v>
      </c>
      <c r="AP3631">
        <v>1</v>
      </c>
      <c r="AR3631" s="2" t="s">
        <v>3728</v>
      </c>
      <c r="AS3631" s="1">
        <v>44353.997476851851</v>
      </c>
      <c r="AT3631" s="1">
        <v>44354.002245370371</v>
      </c>
      <c r="AU3631" s="1">
        <v>44354.002800925926</v>
      </c>
      <c r="AV3631" t="s">
        <v>269</v>
      </c>
      <c r="AW3631" t="s">
        <v>270</v>
      </c>
      <c r="AX3631" t="s">
        <v>73</v>
      </c>
    </row>
    <row r="3632" spans="1:50" x14ac:dyDescent="0.3">
      <c r="A3632" t="str">
        <f>"201675B0000"</f>
        <v>201675B0000</v>
      </c>
      <c r="B3632" t="str">
        <f>"201675B00002"</f>
        <v>201675B00002</v>
      </c>
      <c r="C3632" t="str">
        <f t="shared" si="191"/>
        <v>20</v>
      </c>
      <c r="D3632" t="s">
        <v>67</v>
      </c>
      <c r="E3632" t="str">
        <f t="shared" si="192"/>
        <v>016</v>
      </c>
      <c r="F3632" t="s">
        <v>3578</v>
      </c>
      <c r="G3632" t="str">
        <f>"1675"</f>
        <v>1675</v>
      </c>
      <c r="H3632" t="str">
        <f>"0000"</f>
        <v>0000</v>
      </c>
      <c r="I3632" t="s">
        <v>69</v>
      </c>
      <c r="J3632">
        <v>0</v>
      </c>
      <c r="K3632">
        <v>1</v>
      </c>
      <c r="L3632">
        <v>2</v>
      </c>
      <c r="M3632">
        <v>316</v>
      </c>
      <c r="N3632">
        <v>268</v>
      </c>
      <c r="O3632">
        <v>0</v>
      </c>
      <c r="P3632">
        <v>268</v>
      </c>
      <c r="Q3632">
        <v>7</v>
      </c>
      <c r="R3632">
        <v>27</v>
      </c>
      <c r="S3632">
        <v>3</v>
      </c>
      <c r="T3632">
        <v>60</v>
      </c>
      <c r="U3632">
        <v>18</v>
      </c>
      <c r="V3632">
        <v>5</v>
      </c>
      <c r="W3632">
        <v>1</v>
      </c>
      <c r="X3632">
        <v>112</v>
      </c>
      <c r="Y3632">
        <v>1</v>
      </c>
      <c r="Z3632">
        <v>5</v>
      </c>
      <c r="AA3632">
        <v>4</v>
      </c>
      <c r="AB3632">
        <v>4</v>
      </c>
      <c r="AD3632" t="s">
        <v>77</v>
      </c>
      <c r="AE3632">
        <v>1</v>
      </c>
      <c r="AF3632" t="s">
        <v>77</v>
      </c>
      <c r="AG3632" t="s">
        <v>77</v>
      </c>
      <c r="AI3632" t="s">
        <v>77</v>
      </c>
      <c r="AJ3632">
        <v>20</v>
      </c>
      <c r="AK3632">
        <v>268</v>
      </c>
      <c r="AL3632">
        <v>268</v>
      </c>
      <c r="AM3632">
        <v>540</v>
      </c>
      <c r="AN3632">
        <v>44</v>
      </c>
      <c r="AO3632" t="s">
        <v>78</v>
      </c>
      <c r="AP3632">
        <v>1</v>
      </c>
      <c r="AR3632" t="s">
        <v>3729</v>
      </c>
      <c r="AS3632" s="1">
        <v>44353.978472222225</v>
      </c>
      <c r="AT3632" s="1">
        <v>44354.12709490741</v>
      </c>
      <c r="AU3632" s="1">
        <v>44354.128159722219</v>
      </c>
      <c r="AV3632" t="s">
        <v>71</v>
      </c>
      <c r="AW3632" t="s">
        <v>72</v>
      </c>
      <c r="AX3632" t="s">
        <v>73</v>
      </c>
    </row>
    <row r="3633" spans="1:50" x14ac:dyDescent="0.3">
      <c r="A3633" t="str">
        <f>"201675C0100"</f>
        <v>201675C0100</v>
      </c>
      <c r="B3633" t="str">
        <f>"201675C01002"</f>
        <v>201675C01002</v>
      </c>
      <c r="C3633" t="str">
        <f t="shared" si="191"/>
        <v>20</v>
      </c>
      <c r="D3633" t="s">
        <v>67</v>
      </c>
      <c r="E3633" t="str">
        <f t="shared" si="192"/>
        <v>016</v>
      </c>
      <c r="F3633" t="s">
        <v>3578</v>
      </c>
      <c r="G3633" t="str">
        <f>"1675"</f>
        <v>1675</v>
      </c>
      <c r="H3633" t="str">
        <f>"0001"</f>
        <v>0001</v>
      </c>
      <c r="I3633" t="s">
        <v>75</v>
      </c>
      <c r="J3633">
        <v>0</v>
      </c>
      <c r="K3633">
        <v>1</v>
      </c>
      <c r="L3633">
        <v>2</v>
      </c>
      <c r="M3633">
        <v>326</v>
      </c>
      <c r="N3633">
        <v>258</v>
      </c>
      <c r="O3633">
        <v>0</v>
      </c>
      <c r="P3633">
        <v>258</v>
      </c>
      <c r="Q3633">
        <v>29</v>
      </c>
      <c r="R3633">
        <v>10</v>
      </c>
      <c r="S3633">
        <v>3</v>
      </c>
      <c r="T3633">
        <v>48</v>
      </c>
      <c r="U3633">
        <v>22</v>
      </c>
      <c r="V3633">
        <v>5</v>
      </c>
      <c r="W3633">
        <v>0</v>
      </c>
      <c r="X3633">
        <v>111</v>
      </c>
      <c r="Y3633">
        <v>2</v>
      </c>
      <c r="Z3633">
        <v>6</v>
      </c>
      <c r="AA3633">
        <v>4</v>
      </c>
      <c r="AB3633">
        <v>6</v>
      </c>
      <c r="AD3633">
        <v>3</v>
      </c>
      <c r="AE3633">
        <v>1</v>
      </c>
      <c r="AF3633">
        <v>0</v>
      </c>
      <c r="AG3633">
        <v>0</v>
      </c>
      <c r="AI3633">
        <v>0</v>
      </c>
      <c r="AJ3633">
        <v>8</v>
      </c>
      <c r="AK3633">
        <v>258</v>
      </c>
      <c r="AL3633">
        <v>258</v>
      </c>
      <c r="AM3633">
        <v>540</v>
      </c>
      <c r="AN3633">
        <v>44</v>
      </c>
      <c r="AP3633">
        <v>1</v>
      </c>
      <c r="AR3633" t="s">
        <v>3730</v>
      </c>
      <c r="AS3633" s="1">
        <v>44354.127083333333</v>
      </c>
      <c r="AT3633" s="1">
        <v>44354.128831018519</v>
      </c>
      <c r="AU3633" s="1">
        <v>44354.129467592589</v>
      </c>
      <c r="AV3633" t="s">
        <v>71</v>
      </c>
      <c r="AW3633" t="s">
        <v>72</v>
      </c>
      <c r="AX3633" t="s">
        <v>73</v>
      </c>
    </row>
    <row r="3634" spans="1:50" x14ac:dyDescent="0.3">
      <c r="A3634" t="str">
        <f>"201675C0200"</f>
        <v>201675C0200</v>
      </c>
      <c r="B3634" t="str">
        <f>"201675C02002"</f>
        <v>201675C02002</v>
      </c>
      <c r="C3634" t="str">
        <f t="shared" si="191"/>
        <v>20</v>
      </c>
      <c r="D3634" t="s">
        <v>67</v>
      </c>
      <c r="E3634" t="str">
        <f t="shared" si="192"/>
        <v>016</v>
      </c>
      <c r="F3634" t="s">
        <v>3578</v>
      </c>
      <c r="G3634" t="str">
        <f>"1675"</f>
        <v>1675</v>
      </c>
      <c r="H3634" t="str">
        <f>"0002"</f>
        <v>0002</v>
      </c>
      <c r="I3634" t="s">
        <v>75</v>
      </c>
      <c r="J3634">
        <v>0</v>
      </c>
      <c r="K3634">
        <v>1</v>
      </c>
      <c r="L3634">
        <v>2</v>
      </c>
      <c r="M3634">
        <v>371</v>
      </c>
      <c r="N3634">
        <v>213</v>
      </c>
      <c r="O3634">
        <v>0</v>
      </c>
      <c r="P3634">
        <v>213</v>
      </c>
      <c r="Q3634">
        <v>11</v>
      </c>
      <c r="R3634">
        <v>23</v>
      </c>
      <c r="S3634">
        <v>4</v>
      </c>
      <c r="T3634">
        <v>31</v>
      </c>
      <c r="U3634">
        <v>15</v>
      </c>
      <c r="V3634">
        <v>0</v>
      </c>
      <c r="W3634">
        <v>1</v>
      </c>
      <c r="X3634">
        <v>110</v>
      </c>
      <c r="Y3634">
        <v>1</v>
      </c>
      <c r="Z3634">
        <v>2</v>
      </c>
      <c r="AA3634">
        <v>3</v>
      </c>
      <c r="AB3634">
        <v>1</v>
      </c>
      <c r="AD3634">
        <v>1</v>
      </c>
      <c r="AE3634">
        <v>0</v>
      </c>
      <c r="AF3634">
        <v>0</v>
      </c>
      <c r="AG3634">
        <v>0</v>
      </c>
      <c r="AI3634">
        <v>0</v>
      </c>
      <c r="AJ3634">
        <v>10</v>
      </c>
      <c r="AK3634">
        <v>213</v>
      </c>
      <c r="AL3634">
        <v>213</v>
      </c>
      <c r="AM3634">
        <v>540</v>
      </c>
      <c r="AN3634">
        <v>44</v>
      </c>
      <c r="AP3634">
        <v>1</v>
      </c>
      <c r="AR3634" t="s">
        <v>3731</v>
      </c>
      <c r="AS3634" s="1">
        <v>44353.919444444444</v>
      </c>
      <c r="AT3634" s="1">
        <v>44354.126319444447</v>
      </c>
      <c r="AU3634" s="1">
        <v>44354.130416666667</v>
      </c>
      <c r="AV3634" t="s">
        <v>71</v>
      </c>
      <c r="AW3634" t="s">
        <v>72</v>
      </c>
      <c r="AX3634" t="s">
        <v>73</v>
      </c>
    </row>
    <row r="3635" spans="1:50" x14ac:dyDescent="0.3">
      <c r="A3635" t="str">
        <f>"201699B0000"</f>
        <v>201699B0000</v>
      </c>
      <c r="B3635" t="str">
        <f>"201699B00002"</f>
        <v>201699B00002</v>
      </c>
      <c r="C3635" t="str">
        <f t="shared" si="191"/>
        <v>20</v>
      </c>
      <c r="D3635" t="s">
        <v>67</v>
      </c>
      <c r="E3635" t="str">
        <f t="shared" si="192"/>
        <v>016</v>
      </c>
      <c r="F3635" t="s">
        <v>3578</v>
      </c>
      <c r="G3635" t="str">
        <f>"1699"</f>
        <v>1699</v>
      </c>
      <c r="H3635" t="str">
        <f>"0000"</f>
        <v>0000</v>
      </c>
      <c r="I3635" t="s">
        <v>69</v>
      </c>
      <c r="J3635">
        <v>0</v>
      </c>
      <c r="K3635">
        <v>1</v>
      </c>
      <c r="L3635">
        <v>2</v>
      </c>
      <c r="M3635">
        <v>318</v>
      </c>
      <c r="N3635">
        <v>300</v>
      </c>
      <c r="O3635">
        <v>0</v>
      </c>
      <c r="P3635">
        <v>300</v>
      </c>
      <c r="Q3635">
        <v>25</v>
      </c>
      <c r="R3635">
        <v>37</v>
      </c>
      <c r="S3635">
        <v>4</v>
      </c>
      <c r="T3635">
        <v>75</v>
      </c>
      <c r="U3635">
        <v>15</v>
      </c>
      <c r="V3635">
        <v>3</v>
      </c>
      <c r="W3635">
        <v>1</v>
      </c>
      <c r="X3635">
        <v>123</v>
      </c>
      <c r="Y3635">
        <v>0</v>
      </c>
      <c r="Z3635">
        <v>6</v>
      </c>
      <c r="AA3635">
        <v>0</v>
      </c>
      <c r="AB3635">
        <v>1</v>
      </c>
      <c r="AD3635">
        <v>1</v>
      </c>
      <c r="AE3635">
        <v>0</v>
      </c>
      <c r="AF3635">
        <v>0</v>
      </c>
      <c r="AG3635">
        <v>0</v>
      </c>
      <c r="AI3635">
        <v>0</v>
      </c>
      <c r="AJ3635">
        <v>9</v>
      </c>
      <c r="AK3635">
        <v>300</v>
      </c>
      <c r="AL3635">
        <v>300</v>
      </c>
      <c r="AM3635">
        <v>574</v>
      </c>
      <c r="AN3635">
        <v>44</v>
      </c>
      <c r="AP3635">
        <v>1</v>
      </c>
      <c r="AR3635" t="s">
        <v>3732</v>
      </c>
      <c r="AS3635" s="1">
        <v>44353.892361111109</v>
      </c>
      <c r="AT3635" s="1">
        <v>44354.032384259262</v>
      </c>
      <c r="AU3635" s="1">
        <v>44354.032962962963</v>
      </c>
      <c r="AV3635" t="s">
        <v>71</v>
      </c>
      <c r="AW3635" t="s">
        <v>72</v>
      </c>
      <c r="AX3635" t="s">
        <v>73</v>
      </c>
    </row>
    <row r="3636" spans="1:50" x14ac:dyDescent="0.3">
      <c r="A3636" t="str">
        <f>"201699C0100"</f>
        <v>201699C0100</v>
      </c>
      <c r="B3636" t="str">
        <f>"201699C01002"</f>
        <v>201699C01002</v>
      </c>
      <c r="C3636" t="str">
        <f t="shared" si="191"/>
        <v>20</v>
      </c>
      <c r="D3636" t="s">
        <v>67</v>
      </c>
      <c r="E3636" t="str">
        <f t="shared" si="192"/>
        <v>016</v>
      </c>
      <c r="F3636" t="s">
        <v>3578</v>
      </c>
      <c r="G3636" t="str">
        <f>"1699"</f>
        <v>1699</v>
      </c>
      <c r="H3636" t="str">
        <f>"0001"</f>
        <v>0001</v>
      </c>
      <c r="I3636" t="s">
        <v>75</v>
      </c>
      <c r="J3636">
        <v>0</v>
      </c>
      <c r="K3636">
        <v>1</v>
      </c>
      <c r="L3636">
        <v>2</v>
      </c>
      <c r="M3636">
        <v>323</v>
      </c>
      <c r="N3636">
        <v>294</v>
      </c>
      <c r="O3636">
        <v>1</v>
      </c>
      <c r="P3636">
        <v>294</v>
      </c>
      <c r="Q3636">
        <v>30</v>
      </c>
      <c r="R3636">
        <v>40</v>
      </c>
      <c r="S3636">
        <v>8</v>
      </c>
      <c r="T3636">
        <v>58</v>
      </c>
      <c r="U3636">
        <v>9</v>
      </c>
      <c r="V3636">
        <v>2</v>
      </c>
      <c r="W3636">
        <v>2</v>
      </c>
      <c r="X3636">
        <v>127</v>
      </c>
      <c r="Y3636">
        <v>0</v>
      </c>
      <c r="Z3636">
        <v>1</v>
      </c>
      <c r="AA3636">
        <v>2</v>
      </c>
      <c r="AB3636">
        <v>1</v>
      </c>
      <c r="AD3636">
        <v>2</v>
      </c>
      <c r="AE3636">
        <v>2</v>
      </c>
      <c r="AF3636">
        <v>1</v>
      </c>
      <c r="AG3636">
        <v>0</v>
      </c>
      <c r="AI3636">
        <v>0</v>
      </c>
      <c r="AJ3636">
        <v>9</v>
      </c>
      <c r="AK3636">
        <v>294</v>
      </c>
      <c r="AL3636">
        <v>294</v>
      </c>
      <c r="AM3636">
        <v>573</v>
      </c>
      <c r="AN3636">
        <v>44</v>
      </c>
      <c r="AP3636">
        <v>1</v>
      </c>
      <c r="AR3636" t="s">
        <v>3733</v>
      </c>
      <c r="AS3636" s="1">
        <v>44353.892361111109</v>
      </c>
      <c r="AT3636" s="1">
        <v>44354.031990740739</v>
      </c>
      <c r="AU3636" s="1">
        <v>44354.03261574074</v>
      </c>
      <c r="AV3636" t="s">
        <v>71</v>
      </c>
      <c r="AW3636" t="s">
        <v>72</v>
      </c>
      <c r="AX3636" t="s">
        <v>73</v>
      </c>
    </row>
    <row r="3637" spans="1:50" x14ac:dyDescent="0.3">
      <c r="A3637" t="str">
        <f>"201700B0000"</f>
        <v>201700B0000</v>
      </c>
      <c r="B3637" t="str">
        <f>"201700B00002"</f>
        <v>201700B00002</v>
      </c>
      <c r="C3637" t="str">
        <f t="shared" si="191"/>
        <v>20</v>
      </c>
      <c r="D3637" t="s">
        <v>67</v>
      </c>
      <c r="E3637" t="str">
        <f t="shared" si="192"/>
        <v>016</v>
      </c>
      <c r="F3637" t="s">
        <v>3578</v>
      </c>
      <c r="G3637" t="str">
        <f>"1700"</f>
        <v>1700</v>
      </c>
      <c r="H3637" t="str">
        <f>"0000"</f>
        <v>0000</v>
      </c>
      <c r="I3637" t="s">
        <v>69</v>
      </c>
      <c r="J3637">
        <v>0</v>
      </c>
      <c r="K3637">
        <v>1</v>
      </c>
      <c r="L3637">
        <v>2</v>
      </c>
      <c r="M3637">
        <v>304</v>
      </c>
      <c r="N3637">
        <v>0</v>
      </c>
      <c r="O3637">
        <v>0</v>
      </c>
      <c r="P3637">
        <v>272</v>
      </c>
      <c r="Q3637">
        <v>7</v>
      </c>
      <c r="R3637">
        <v>20</v>
      </c>
      <c r="S3637">
        <v>5</v>
      </c>
      <c r="T3637">
        <v>36</v>
      </c>
      <c r="U3637">
        <v>8</v>
      </c>
      <c r="V3637">
        <v>7</v>
      </c>
      <c r="W3637">
        <v>1</v>
      </c>
      <c r="X3637">
        <v>155</v>
      </c>
      <c r="Y3637">
        <v>0</v>
      </c>
      <c r="Z3637">
        <v>8</v>
      </c>
      <c r="AA3637">
        <v>12</v>
      </c>
      <c r="AB3637">
        <v>2</v>
      </c>
      <c r="AD3637">
        <v>0</v>
      </c>
      <c r="AE3637">
        <v>0</v>
      </c>
      <c r="AF3637">
        <v>0</v>
      </c>
      <c r="AG3637">
        <v>0</v>
      </c>
      <c r="AI3637">
        <v>0</v>
      </c>
      <c r="AJ3637">
        <v>11</v>
      </c>
      <c r="AK3637">
        <v>272</v>
      </c>
      <c r="AL3637">
        <v>272</v>
      </c>
      <c r="AM3637">
        <v>532</v>
      </c>
      <c r="AN3637">
        <v>44</v>
      </c>
      <c r="AP3637">
        <v>1</v>
      </c>
      <c r="AR3637" t="s">
        <v>3734</v>
      </c>
      <c r="AS3637" s="1">
        <v>44354.080555555556</v>
      </c>
      <c r="AT3637" s="1">
        <v>44354.088460648149</v>
      </c>
      <c r="AU3637" s="1">
        <v>44354.089317129627</v>
      </c>
      <c r="AV3637" t="s">
        <v>71</v>
      </c>
      <c r="AW3637" t="s">
        <v>72</v>
      </c>
      <c r="AX3637" t="s">
        <v>73</v>
      </c>
    </row>
    <row r="3638" spans="1:50" x14ac:dyDescent="0.3">
      <c r="A3638" t="str">
        <f>"201701B0000"</f>
        <v>201701B0000</v>
      </c>
      <c r="B3638" t="str">
        <f>"201701B00002"</f>
        <v>201701B00002</v>
      </c>
      <c r="C3638" t="str">
        <f t="shared" si="191"/>
        <v>20</v>
      </c>
      <c r="D3638" t="s">
        <v>67</v>
      </c>
      <c r="E3638" t="str">
        <f t="shared" si="192"/>
        <v>016</v>
      </c>
      <c r="F3638" t="s">
        <v>3578</v>
      </c>
      <c r="G3638" t="str">
        <f>"1701"</f>
        <v>1701</v>
      </c>
      <c r="H3638" t="str">
        <f>"0000"</f>
        <v>0000</v>
      </c>
      <c r="I3638" t="s">
        <v>69</v>
      </c>
      <c r="J3638">
        <v>0</v>
      </c>
      <c r="K3638">
        <v>1</v>
      </c>
      <c r="L3638">
        <v>2</v>
      </c>
      <c r="M3638">
        <v>350</v>
      </c>
      <c r="N3638">
        <v>222</v>
      </c>
      <c r="O3638" t="s">
        <v>80</v>
      </c>
      <c r="P3638">
        <v>222</v>
      </c>
      <c r="Q3638">
        <v>8</v>
      </c>
      <c r="R3638">
        <v>28</v>
      </c>
      <c r="S3638">
        <v>2</v>
      </c>
      <c r="T3638">
        <v>28</v>
      </c>
      <c r="U3638">
        <v>10</v>
      </c>
      <c r="V3638">
        <v>2</v>
      </c>
      <c r="W3638">
        <v>4</v>
      </c>
      <c r="X3638">
        <v>131</v>
      </c>
      <c r="Y3638">
        <v>0</v>
      </c>
      <c r="Z3638">
        <v>2</v>
      </c>
      <c r="AA3638" t="s">
        <v>77</v>
      </c>
      <c r="AB3638" t="s">
        <v>77</v>
      </c>
      <c r="AD3638" t="s">
        <v>77</v>
      </c>
      <c r="AE3638">
        <v>2</v>
      </c>
      <c r="AF3638" t="s">
        <v>77</v>
      </c>
      <c r="AG3638" t="s">
        <v>77</v>
      </c>
      <c r="AI3638" t="s">
        <v>77</v>
      </c>
      <c r="AJ3638">
        <v>5</v>
      </c>
      <c r="AK3638">
        <v>222</v>
      </c>
      <c r="AL3638">
        <v>222</v>
      </c>
      <c r="AM3638">
        <v>528</v>
      </c>
      <c r="AN3638">
        <v>44</v>
      </c>
      <c r="AO3638" t="s">
        <v>78</v>
      </c>
      <c r="AP3638">
        <v>1</v>
      </c>
      <c r="AR3638" t="s">
        <v>3735</v>
      </c>
      <c r="AS3638" s="1">
        <v>44353.791666666664</v>
      </c>
      <c r="AT3638" s="1">
        <v>44354.032893518517</v>
      </c>
      <c r="AU3638" s="1">
        <v>44354.033391203702</v>
      </c>
      <c r="AV3638" t="s">
        <v>71</v>
      </c>
      <c r="AW3638" t="s">
        <v>72</v>
      </c>
      <c r="AX3638" t="s">
        <v>73</v>
      </c>
    </row>
    <row r="3639" spans="1:50" x14ac:dyDescent="0.3">
      <c r="A3639" t="str">
        <f>"201701C0100"</f>
        <v>201701C0100</v>
      </c>
      <c r="B3639" t="str">
        <f>"201701C01002"</f>
        <v>201701C01002</v>
      </c>
      <c r="C3639" t="str">
        <f t="shared" si="191"/>
        <v>20</v>
      </c>
      <c r="D3639" t="s">
        <v>67</v>
      </c>
      <c r="E3639" t="str">
        <f t="shared" si="192"/>
        <v>016</v>
      </c>
      <c r="F3639" t="s">
        <v>3578</v>
      </c>
      <c r="G3639" t="str">
        <f>"1701"</f>
        <v>1701</v>
      </c>
      <c r="H3639" t="str">
        <f>"0001"</f>
        <v>0001</v>
      </c>
      <c r="I3639" t="s">
        <v>75</v>
      </c>
      <c r="J3639">
        <v>0</v>
      </c>
      <c r="K3639">
        <v>1</v>
      </c>
      <c r="L3639">
        <v>2</v>
      </c>
      <c r="M3639">
        <v>336</v>
      </c>
      <c r="N3639">
        <v>235</v>
      </c>
      <c r="O3639">
        <v>1</v>
      </c>
      <c r="P3639">
        <v>235</v>
      </c>
      <c r="Q3639">
        <v>15</v>
      </c>
      <c r="R3639">
        <v>22</v>
      </c>
      <c r="S3639">
        <v>2</v>
      </c>
      <c r="T3639">
        <v>25</v>
      </c>
      <c r="U3639">
        <v>24</v>
      </c>
      <c r="V3639">
        <v>0</v>
      </c>
      <c r="W3639">
        <v>2</v>
      </c>
      <c r="X3639">
        <v>119</v>
      </c>
      <c r="Y3639">
        <v>2</v>
      </c>
      <c r="Z3639">
        <v>3</v>
      </c>
      <c r="AA3639">
        <v>1</v>
      </c>
      <c r="AB3639">
        <v>4</v>
      </c>
      <c r="AD3639">
        <v>1</v>
      </c>
      <c r="AE3639">
        <v>3</v>
      </c>
      <c r="AF3639">
        <v>0</v>
      </c>
      <c r="AG3639">
        <v>1</v>
      </c>
      <c r="AI3639">
        <v>0</v>
      </c>
      <c r="AJ3639">
        <v>11</v>
      </c>
      <c r="AK3639">
        <v>235</v>
      </c>
      <c r="AL3639">
        <v>235</v>
      </c>
      <c r="AM3639">
        <v>527</v>
      </c>
      <c r="AN3639">
        <v>44</v>
      </c>
      <c r="AP3639">
        <v>1</v>
      </c>
      <c r="AR3639" t="s">
        <v>3736</v>
      </c>
      <c r="AS3639" s="1">
        <v>44353.75</v>
      </c>
      <c r="AT3639" s="1">
        <v>44354.028310185182</v>
      </c>
      <c r="AU3639" s="1">
        <v>44354.029108796298</v>
      </c>
      <c r="AV3639" t="s">
        <v>71</v>
      </c>
      <c r="AW3639" t="s">
        <v>72</v>
      </c>
      <c r="AX3639" t="s">
        <v>73</v>
      </c>
    </row>
    <row r="3640" spans="1:50" x14ac:dyDescent="0.3">
      <c r="A3640" t="str">
        <f>"201738B0000"</f>
        <v>201738B0000</v>
      </c>
      <c r="B3640" t="str">
        <f>"201738B00002"</f>
        <v>201738B00002</v>
      </c>
      <c r="C3640" t="str">
        <f t="shared" si="191"/>
        <v>20</v>
      </c>
      <c r="D3640" t="s">
        <v>67</v>
      </c>
      <c r="E3640" t="str">
        <f t="shared" si="192"/>
        <v>016</v>
      </c>
      <c r="F3640" t="s">
        <v>3578</v>
      </c>
      <c r="G3640" t="str">
        <f>"1738"</f>
        <v>1738</v>
      </c>
      <c r="H3640" t="str">
        <f>"0000"</f>
        <v>0000</v>
      </c>
      <c r="I3640" t="s">
        <v>69</v>
      </c>
      <c r="J3640">
        <v>0</v>
      </c>
      <c r="K3640">
        <v>1</v>
      </c>
      <c r="L3640">
        <v>2</v>
      </c>
      <c r="M3640">
        <v>192</v>
      </c>
      <c r="N3640">
        <v>416</v>
      </c>
      <c r="O3640">
        <v>5</v>
      </c>
      <c r="P3640">
        <v>416</v>
      </c>
      <c r="Q3640">
        <v>28</v>
      </c>
      <c r="R3640">
        <v>112</v>
      </c>
      <c r="S3640">
        <v>4</v>
      </c>
      <c r="T3640">
        <v>16</v>
      </c>
      <c r="U3640">
        <v>80</v>
      </c>
      <c r="V3640">
        <v>0</v>
      </c>
      <c r="W3640">
        <v>0</v>
      </c>
      <c r="X3640">
        <v>139</v>
      </c>
      <c r="Y3640">
        <v>0</v>
      </c>
      <c r="Z3640">
        <v>3</v>
      </c>
      <c r="AA3640">
        <v>4</v>
      </c>
      <c r="AB3640">
        <v>3</v>
      </c>
      <c r="AD3640">
        <v>4</v>
      </c>
      <c r="AE3640">
        <v>1</v>
      </c>
      <c r="AF3640">
        <v>0</v>
      </c>
      <c r="AG3640">
        <v>3</v>
      </c>
      <c r="AI3640" t="s">
        <v>77</v>
      </c>
      <c r="AJ3640">
        <v>19</v>
      </c>
      <c r="AK3640">
        <v>416</v>
      </c>
      <c r="AL3640">
        <v>416</v>
      </c>
      <c r="AM3640">
        <v>564</v>
      </c>
      <c r="AN3640">
        <v>44</v>
      </c>
      <c r="AO3640" t="s">
        <v>78</v>
      </c>
      <c r="AP3640">
        <v>1</v>
      </c>
      <c r="AR3640" t="s">
        <v>3737</v>
      </c>
      <c r="AS3640" s="1">
        <v>44353.874247685184</v>
      </c>
      <c r="AT3640" s="1">
        <v>44353.87604166667</v>
      </c>
      <c r="AU3640" s="1">
        <v>44353.876875000002</v>
      </c>
      <c r="AV3640" t="s">
        <v>269</v>
      </c>
      <c r="AW3640" t="s">
        <v>270</v>
      </c>
      <c r="AX3640" t="s">
        <v>73</v>
      </c>
    </row>
    <row r="3641" spans="1:50" x14ac:dyDescent="0.3">
      <c r="A3641" t="str">
        <f>"201738C0100"</f>
        <v>201738C0100</v>
      </c>
      <c r="B3641" t="str">
        <f>"201738C01002"</f>
        <v>201738C01002</v>
      </c>
      <c r="C3641" t="str">
        <f t="shared" si="191"/>
        <v>20</v>
      </c>
      <c r="D3641" t="s">
        <v>67</v>
      </c>
      <c r="E3641" t="str">
        <f t="shared" si="192"/>
        <v>016</v>
      </c>
      <c r="F3641" t="s">
        <v>3578</v>
      </c>
      <c r="G3641" t="str">
        <f>"1738"</f>
        <v>1738</v>
      </c>
      <c r="H3641" t="str">
        <f>"0001"</f>
        <v>0001</v>
      </c>
      <c r="I3641" t="s">
        <v>75</v>
      </c>
      <c r="J3641">
        <v>0</v>
      </c>
      <c r="K3641">
        <v>1</v>
      </c>
      <c r="L3641">
        <v>2</v>
      </c>
      <c r="M3641">
        <v>171</v>
      </c>
      <c r="N3641">
        <v>437</v>
      </c>
      <c r="O3641">
        <v>10</v>
      </c>
      <c r="P3641">
        <v>437</v>
      </c>
      <c r="Q3641">
        <v>24</v>
      </c>
      <c r="R3641">
        <v>102</v>
      </c>
      <c r="S3641">
        <v>5</v>
      </c>
      <c r="T3641">
        <v>30</v>
      </c>
      <c r="U3641">
        <v>83</v>
      </c>
      <c r="V3641">
        <v>3</v>
      </c>
      <c r="W3641">
        <v>0</v>
      </c>
      <c r="X3641">
        <v>166</v>
      </c>
      <c r="Y3641">
        <v>3</v>
      </c>
      <c r="Z3641">
        <v>0</v>
      </c>
      <c r="AA3641">
        <v>3</v>
      </c>
      <c r="AB3641">
        <v>2</v>
      </c>
      <c r="AD3641">
        <v>2</v>
      </c>
      <c r="AE3641">
        <v>1</v>
      </c>
      <c r="AF3641">
        <v>0</v>
      </c>
      <c r="AG3641">
        <v>2</v>
      </c>
      <c r="AI3641">
        <v>0</v>
      </c>
      <c r="AJ3641">
        <v>11</v>
      </c>
      <c r="AK3641">
        <v>437</v>
      </c>
      <c r="AL3641">
        <v>437</v>
      </c>
      <c r="AM3641">
        <v>564</v>
      </c>
      <c r="AN3641">
        <v>44</v>
      </c>
      <c r="AP3641">
        <v>1</v>
      </c>
      <c r="AR3641" t="s">
        <v>3738</v>
      </c>
      <c r="AS3641" s="1">
        <v>44353.871377314812</v>
      </c>
      <c r="AT3641" s="1">
        <v>44353.873854166668</v>
      </c>
      <c r="AU3641" s="1">
        <v>44353.874502314815</v>
      </c>
      <c r="AV3641" t="s">
        <v>269</v>
      </c>
      <c r="AW3641" t="s">
        <v>270</v>
      </c>
      <c r="AX3641" t="s">
        <v>73</v>
      </c>
    </row>
    <row r="3642" spans="1:50" x14ac:dyDescent="0.3">
      <c r="A3642" t="str">
        <f>"201739B0000"</f>
        <v>201739B0000</v>
      </c>
      <c r="B3642" t="str">
        <f>"201739B00002"</f>
        <v>201739B00002</v>
      </c>
      <c r="C3642" t="str">
        <f t="shared" si="191"/>
        <v>20</v>
      </c>
      <c r="D3642" t="s">
        <v>67</v>
      </c>
      <c r="E3642" t="str">
        <f t="shared" si="192"/>
        <v>016</v>
      </c>
      <c r="F3642" t="s">
        <v>3578</v>
      </c>
      <c r="G3642" t="str">
        <f>"1739"</f>
        <v>1739</v>
      </c>
      <c r="H3642" t="str">
        <f>"0000"</f>
        <v>0000</v>
      </c>
      <c r="I3642" t="s">
        <v>69</v>
      </c>
      <c r="J3642">
        <v>0</v>
      </c>
      <c r="K3642">
        <v>1</v>
      </c>
      <c r="L3642">
        <v>2</v>
      </c>
      <c r="M3642">
        <v>210</v>
      </c>
      <c r="N3642">
        <v>358</v>
      </c>
      <c r="O3642">
        <v>5</v>
      </c>
      <c r="P3642">
        <v>358</v>
      </c>
      <c r="Q3642">
        <v>22</v>
      </c>
      <c r="R3642">
        <v>104</v>
      </c>
      <c r="S3642">
        <v>5</v>
      </c>
      <c r="T3642">
        <v>7</v>
      </c>
      <c r="U3642">
        <v>44</v>
      </c>
      <c r="V3642">
        <v>0</v>
      </c>
      <c r="W3642">
        <v>1</v>
      </c>
      <c r="X3642">
        <v>152</v>
      </c>
      <c r="Y3642">
        <v>0</v>
      </c>
      <c r="Z3642">
        <v>4</v>
      </c>
      <c r="AA3642">
        <v>6</v>
      </c>
      <c r="AB3642">
        <v>1</v>
      </c>
      <c r="AD3642">
        <v>2</v>
      </c>
      <c r="AE3642">
        <v>0</v>
      </c>
      <c r="AF3642">
        <v>0</v>
      </c>
      <c r="AG3642">
        <v>0</v>
      </c>
      <c r="AI3642">
        <v>0</v>
      </c>
      <c r="AJ3642">
        <v>10</v>
      </c>
      <c r="AK3642">
        <v>358</v>
      </c>
      <c r="AL3642">
        <v>358</v>
      </c>
      <c r="AM3642">
        <v>524</v>
      </c>
      <c r="AN3642">
        <v>44</v>
      </c>
      <c r="AP3642">
        <v>1</v>
      </c>
      <c r="AR3642" t="s">
        <v>3739</v>
      </c>
      <c r="AS3642" s="1">
        <v>44353.993587962963</v>
      </c>
      <c r="AT3642" s="1">
        <v>44353.997939814813</v>
      </c>
      <c r="AU3642" s="1">
        <v>44353.998564814814</v>
      </c>
      <c r="AV3642" t="s">
        <v>269</v>
      </c>
      <c r="AW3642" t="s">
        <v>270</v>
      </c>
      <c r="AX3642" t="s">
        <v>73</v>
      </c>
    </row>
    <row r="3643" spans="1:50" x14ac:dyDescent="0.3">
      <c r="A3643" t="str">
        <f>"201739C0100"</f>
        <v>201739C0100</v>
      </c>
      <c r="B3643" t="str">
        <f>"201739C01002"</f>
        <v>201739C01002</v>
      </c>
      <c r="C3643" t="str">
        <f t="shared" si="191"/>
        <v>20</v>
      </c>
      <c r="D3643" t="s">
        <v>67</v>
      </c>
      <c r="E3643" t="str">
        <f t="shared" si="192"/>
        <v>016</v>
      </c>
      <c r="F3643" t="s">
        <v>3578</v>
      </c>
      <c r="G3643" t="str">
        <f>"1739"</f>
        <v>1739</v>
      </c>
      <c r="H3643" t="str">
        <f>"0001"</f>
        <v>0001</v>
      </c>
      <c r="I3643" t="s">
        <v>75</v>
      </c>
      <c r="J3643">
        <v>0</v>
      </c>
      <c r="K3643">
        <v>1</v>
      </c>
      <c r="L3643">
        <v>2</v>
      </c>
      <c r="M3643">
        <v>187</v>
      </c>
      <c r="N3643">
        <v>380</v>
      </c>
      <c r="O3643">
        <v>4</v>
      </c>
      <c r="P3643" t="s">
        <v>80</v>
      </c>
      <c r="Q3643">
        <v>26</v>
      </c>
      <c r="R3643">
        <v>102</v>
      </c>
      <c r="S3643">
        <v>6</v>
      </c>
      <c r="T3643">
        <v>22</v>
      </c>
      <c r="U3643">
        <v>43</v>
      </c>
      <c r="V3643">
        <v>0</v>
      </c>
      <c r="W3643">
        <v>0</v>
      </c>
      <c r="X3643">
        <v>154</v>
      </c>
      <c r="Y3643">
        <v>0</v>
      </c>
      <c r="Z3643">
        <v>1</v>
      </c>
      <c r="AA3643">
        <v>9</v>
      </c>
      <c r="AB3643">
        <v>3</v>
      </c>
      <c r="AD3643">
        <v>0</v>
      </c>
      <c r="AE3643">
        <v>1</v>
      </c>
      <c r="AF3643">
        <v>1</v>
      </c>
      <c r="AG3643">
        <v>1</v>
      </c>
      <c r="AI3643">
        <v>0</v>
      </c>
      <c r="AJ3643">
        <v>11</v>
      </c>
      <c r="AK3643">
        <v>380</v>
      </c>
      <c r="AL3643">
        <v>380</v>
      </c>
      <c r="AM3643">
        <v>523</v>
      </c>
      <c r="AN3643">
        <v>44</v>
      </c>
      <c r="AP3643">
        <v>1</v>
      </c>
      <c r="AR3643" t="s">
        <v>3740</v>
      </c>
      <c r="AS3643" s="1">
        <v>44353.965196759258</v>
      </c>
      <c r="AT3643" s="1">
        <v>44353.967835648145</v>
      </c>
      <c r="AU3643" s="1">
        <v>44353.968402777777</v>
      </c>
      <c r="AV3643" t="s">
        <v>269</v>
      </c>
      <c r="AW3643" t="s">
        <v>270</v>
      </c>
      <c r="AX3643" t="s">
        <v>73</v>
      </c>
    </row>
    <row r="3644" spans="1:50" x14ac:dyDescent="0.3">
      <c r="A3644" t="str">
        <f>"201740B0000"</f>
        <v>201740B0000</v>
      </c>
      <c r="B3644" t="str">
        <f>"201740B00002"</f>
        <v>201740B00002</v>
      </c>
      <c r="C3644" t="str">
        <f t="shared" si="191"/>
        <v>20</v>
      </c>
      <c r="D3644" t="s">
        <v>67</v>
      </c>
      <c r="E3644" t="str">
        <f t="shared" si="192"/>
        <v>016</v>
      </c>
      <c r="F3644" t="s">
        <v>3578</v>
      </c>
      <c r="G3644" t="str">
        <f>"1740"</f>
        <v>1740</v>
      </c>
      <c r="H3644" t="str">
        <f>"0000"</f>
        <v>0000</v>
      </c>
      <c r="I3644" t="s">
        <v>69</v>
      </c>
      <c r="J3644">
        <v>0</v>
      </c>
      <c r="K3644">
        <v>1</v>
      </c>
      <c r="L3644">
        <v>2</v>
      </c>
      <c r="M3644">
        <v>120</v>
      </c>
      <c r="N3644">
        <v>232</v>
      </c>
      <c r="O3644">
        <v>3</v>
      </c>
      <c r="P3644">
        <v>232</v>
      </c>
      <c r="Q3644">
        <v>8</v>
      </c>
      <c r="R3644">
        <v>56</v>
      </c>
      <c r="S3644">
        <v>1</v>
      </c>
      <c r="T3644">
        <v>36</v>
      </c>
      <c r="U3644">
        <v>29</v>
      </c>
      <c r="V3644">
        <v>1</v>
      </c>
      <c r="W3644">
        <v>1</v>
      </c>
      <c r="X3644">
        <v>93</v>
      </c>
      <c r="Y3644">
        <v>0</v>
      </c>
      <c r="Z3644">
        <v>2</v>
      </c>
      <c r="AA3644">
        <v>0</v>
      </c>
      <c r="AB3644">
        <v>0</v>
      </c>
      <c r="AD3644">
        <v>0</v>
      </c>
      <c r="AE3644">
        <v>1</v>
      </c>
      <c r="AF3644">
        <v>0</v>
      </c>
      <c r="AG3644">
        <v>1</v>
      </c>
      <c r="AI3644">
        <v>0</v>
      </c>
      <c r="AJ3644">
        <v>3</v>
      </c>
      <c r="AK3644">
        <v>232</v>
      </c>
      <c r="AL3644">
        <v>232</v>
      </c>
      <c r="AM3644">
        <v>309</v>
      </c>
      <c r="AN3644">
        <v>44</v>
      </c>
      <c r="AP3644">
        <v>1</v>
      </c>
      <c r="AR3644" t="s">
        <v>3741</v>
      </c>
      <c r="AS3644" s="1">
        <v>44353.878425925926</v>
      </c>
      <c r="AT3644" s="1">
        <v>44353.880196759259</v>
      </c>
      <c r="AU3644" s="1">
        <v>44353.880810185183</v>
      </c>
      <c r="AV3644" t="s">
        <v>269</v>
      </c>
      <c r="AW3644" t="s">
        <v>270</v>
      </c>
      <c r="AX3644" t="s">
        <v>73</v>
      </c>
    </row>
    <row r="3645" spans="1:50" x14ac:dyDescent="0.3">
      <c r="A3645" t="str">
        <f>"201741B0000"</f>
        <v>201741B0000</v>
      </c>
      <c r="B3645" t="str">
        <f>"201741B00002"</f>
        <v>201741B00002</v>
      </c>
      <c r="C3645" t="str">
        <f t="shared" si="191"/>
        <v>20</v>
      </c>
      <c r="D3645" t="s">
        <v>67</v>
      </c>
      <c r="E3645" t="str">
        <f t="shared" si="192"/>
        <v>016</v>
      </c>
      <c r="F3645" t="s">
        <v>3578</v>
      </c>
      <c r="G3645" t="str">
        <f>"1741"</f>
        <v>1741</v>
      </c>
      <c r="H3645" t="str">
        <f>"0000"</f>
        <v>0000</v>
      </c>
      <c r="I3645" t="s">
        <v>69</v>
      </c>
      <c r="J3645">
        <v>0</v>
      </c>
      <c r="K3645">
        <v>1</v>
      </c>
      <c r="L3645">
        <v>2</v>
      </c>
      <c r="M3645">
        <v>459</v>
      </c>
      <c r="N3645">
        <v>306</v>
      </c>
      <c r="O3645">
        <v>7</v>
      </c>
      <c r="P3645">
        <v>306</v>
      </c>
      <c r="Q3645">
        <v>23</v>
      </c>
      <c r="R3645">
        <v>73</v>
      </c>
      <c r="S3645">
        <v>5</v>
      </c>
      <c r="T3645">
        <v>65</v>
      </c>
      <c r="U3645">
        <v>4</v>
      </c>
      <c r="V3645">
        <v>2</v>
      </c>
      <c r="W3645">
        <v>3</v>
      </c>
      <c r="X3645">
        <v>107</v>
      </c>
      <c r="Y3645">
        <v>0</v>
      </c>
      <c r="Z3645">
        <v>6</v>
      </c>
      <c r="AA3645">
        <v>2</v>
      </c>
      <c r="AB3645">
        <v>1</v>
      </c>
      <c r="AD3645">
        <v>3</v>
      </c>
      <c r="AE3645">
        <v>3</v>
      </c>
      <c r="AF3645">
        <v>0</v>
      </c>
      <c r="AG3645">
        <v>0</v>
      </c>
      <c r="AI3645">
        <v>0</v>
      </c>
      <c r="AJ3645">
        <v>9</v>
      </c>
      <c r="AK3645">
        <v>306</v>
      </c>
      <c r="AL3645">
        <v>306</v>
      </c>
      <c r="AM3645">
        <v>715</v>
      </c>
      <c r="AN3645">
        <v>44</v>
      </c>
      <c r="AP3645">
        <v>1</v>
      </c>
      <c r="AR3645" t="s">
        <v>3742</v>
      </c>
      <c r="AS3645" s="1">
        <v>44354.07708333333</v>
      </c>
      <c r="AT3645" s="1">
        <v>44354.084965277776</v>
      </c>
      <c r="AU3645" s="1">
        <v>44354.0859375</v>
      </c>
      <c r="AV3645" t="s">
        <v>71</v>
      </c>
      <c r="AW3645" t="s">
        <v>72</v>
      </c>
      <c r="AX3645" t="s">
        <v>73</v>
      </c>
    </row>
    <row r="3646" spans="1:50" x14ac:dyDescent="0.3">
      <c r="A3646" t="str">
        <f>"201741E0100"</f>
        <v>201741E0100</v>
      </c>
      <c r="B3646" t="str">
        <f>"201741E01002"</f>
        <v>201741E01002</v>
      </c>
      <c r="C3646" t="str">
        <f t="shared" si="191"/>
        <v>20</v>
      </c>
      <c r="D3646" t="s">
        <v>67</v>
      </c>
      <c r="E3646" t="str">
        <f t="shared" si="192"/>
        <v>016</v>
      </c>
      <c r="F3646" t="s">
        <v>3578</v>
      </c>
      <c r="G3646" t="str">
        <f>"1741"</f>
        <v>1741</v>
      </c>
      <c r="H3646" t="str">
        <f>"0001"</f>
        <v>0001</v>
      </c>
      <c r="I3646" t="s">
        <v>109</v>
      </c>
      <c r="J3646">
        <v>0</v>
      </c>
      <c r="K3646">
        <v>1</v>
      </c>
      <c r="L3646">
        <v>2</v>
      </c>
      <c r="M3646">
        <v>255</v>
      </c>
      <c r="N3646">
        <v>221</v>
      </c>
      <c r="O3646">
        <v>0</v>
      </c>
      <c r="P3646">
        <v>221</v>
      </c>
      <c r="Q3646">
        <v>22</v>
      </c>
      <c r="R3646">
        <v>45</v>
      </c>
      <c r="S3646">
        <v>31</v>
      </c>
      <c r="T3646">
        <v>9</v>
      </c>
      <c r="U3646">
        <v>0</v>
      </c>
      <c r="V3646">
        <v>0</v>
      </c>
      <c r="W3646">
        <v>3</v>
      </c>
      <c r="X3646">
        <v>89</v>
      </c>
      <c r="Y3646">
        <v>2</v>
      </c>
      <c r="Z3646">
        <v>4</v>
      </c>
      <c r="AA3646">
        <v>0</v>
      </c>
      <c r="AB3646">
        <v>1</v>
      </c>
      <c r="AD3646">
        <v>1</v>
      </c>
      <c r="AE3646">
        <v>0</v>
      </c>
      <c r="AF3646">
        <v>0</v>
      </c>
      <c r="AG3646">
        <v>0</v>
      </c>
      <c r="AI3646">
        <v>0</v>
      </c>
      <c r="AJ3646">
        <v>8</v>
      </c>
      <c r="AK3646">
        <v>221</v>
      </c>
      <c r="AL3646">
        <v>215</v>
      </c>
      <c r="AM3646">
        <v>452</v>
      </c>
      <c r="AN3646">
        <v>44</v>
      </c>
      <c r="AP3646">
        <v>1</v>
      </c>
      <c r="AR3646" t="s">
        <v>3743</v>
      </c>
      <c r="AS3646" s="1">
        <v>44354.076388888891</v>
      </c>
      <c r="AT3646" s="1">
        <v>44354.083495370367</v>
      </c>
      <c r="AU3646" s="1">
        <v>44354.085162037038</v>
      </c>
      <c r="AV3646" t="s">
        <v>71</v>
      </c>
      <c r="AW3646" t="s">
        <v>72</v>
      </c>
      <c r="AX3646" t="s">
        <v>73</v>
      </c>
    </row>
    <row r="3647" spans="1:50" x14ac:dyDescent="0.3">
      <c r="A3647" t="str">
        <f>"201741E0200"</f>
        <v>201741E0200</v>
      </c>
      <c r="B3647" t="str">
        <f>"201741E02002"</f>
        <v>201741E02002</v>
      </c>
      <c r="C3647" t="str">
        <f t="shared" si="191"/>
        <v>20</v>
      </c>
      <c r="D3647" t="s">
        <v>67</v>
      </c>
      <c r="E3647" t="str">
        <f t="shared" si="192"/>
        <v>016</v>
      </c>
      <c r="F3647" t="s">
        <v>3578</v>
      </c>
      <c r="G3647" t="str">
        <f>"1741"</f>
        <v>1741</v>
      </c>
      <c r="H3647" t="str">
        <f>"0002"</f>
        <v>0002</v>
      </c>
      <c r="I3647" t="s">
        <v>109</v>
      </c>
      <c r="J3647">
        <v>0</v>
      </c>
      <c r="K3647">
        <v>1</v>
      </c>
      <c r="L3647">
        <v>2</v>
      </c>
      <c r="M3647">
        <v>299</v>
      </c>
      <c r="N3647">
        <v>232</v>
      </c>
      <c r="O3647">
        <v>0</v>
      </c>
      <c r="P3647" t="s">
        <v>80</v>
      </c>
      <c r="Q3647">
        <v>45</v>
      </c>
      <c r="R3647">
        <v>31</v>
      </c>
      <c r="S3647">
        <v>9</v>
      </c>
      <c r="T3647">
        <v>54</v>
      </c>
      <c r="U3647">
        <v>10</v>
      </c>
      <c r="V3647">
        <v>3</v>
      </c>
      <c r="W3647">
        <v>0</v>
      </c>
      <c r="X3647">
        <v>53</v>
      </c>
      <c r="Y3647">
        <v>1</v>
      </c>
      <c r="Z3647">
        <v>7</v>
      </c>
      <c r="AA3647">
        <v>2</v>
      </c>
      <c r="AB3647">
        <v>0</v>
      </c>
      <c r="AD3647">
        <v>1</v>
      </c>
      <c r="AE3647">
        <v>0</v>
      </c>
      <c r="AF3647">
        <v>0</v>
      </c>
      <c r="AG3647">
        <v>1</v>
      </c>
      <c r="AI3647">
        <v>0</v>
      </c>
      <c r="AJ3647">
        <v>15</v>
      </c>
      <c r="AK3647">
        <v>232</v>
      </c>
      <c r="AL3647">
        <v>232</v>
      </c>
      <c r="AM3647">
        <v>487</v>
      </c>
      <c r="AN3647">
        <v>44</v>
      </c>
      <c r="AP3647">
        <v>1</v>
      </c>
      <c r="AR3647" t="s">
        <v>3744</v>
      </c>
      <c r="AS3647" s="1">
        <v>44354.084722222222</v>
      </c>
      <c r="AT3647" s="1">
        <v>44354.092361111114</v>
      </c>
      <c r="AU3647" s="1">
        <v>44354.092766203707</v>
      </c>
      <c r="AV3647" t="s">
        <v>71</v>
      </c>
      <c r="AW3647" t="s">
        <v>72</v>
      </c>
      <c r="AX3647" t="s">
        <v>73</v>
      </c>
    </row>
    <row r="3648" spans="1:50" x14ac:dyDescent="0.3">
      <c r="A3648" t="str">
        <f>"201741E0300"</f>
        <v>201741E0300</v>
      </c>
      <c r="B3648" t="str">
        <f>"201741E03002"</f>
        <v>201741E03002</v>
      </c>
      <c r="C3648" t="str">
        <f t="shared" si="191"/>
        <v>20</v>
      </c>
      <c r="D3648" t="s">
        <v>67</v>
      </c>
      <c r="E3648" t="str">
        <f t="shared" si="192"/>
        <v>016</v>
      </c>
      <c r="F3648" t="s">
        <v>3578</v>
      </c>
      <c r="G3648" t="str">
        <f>"1741"</f>
        <v>1741</v>
      </c>
      <c r="H3648" t="str">
        <f>"0003"</f>
        <v>0003</v>
      </c>
      <c r="I3648" t="s">
        <v>109</v>
      </c>
      <c r="J3648">
        <v>0</v>
      </c>
      <c r="K3648">
        <v>1</v>
      </c>
      <c r="L3648">
        <v>2</v>
      </c>
      <c r="M3648">
        <v>127</v>
      </c>
      <c r="N3648">
        <v>87</v>
      </c>
      <c r="O3648">
        <v>0</v>
      </c>
      <c r="P3648">
        <v>87</v>
      </c>
      <c r="Q3648">
        <v>3</v>
      </c>
      <c r="R3648">
        <v>7</v>
      </c>
      <c r="S3648">
        <v>0</v>
      </c>
      <c r="T3648">
        <v>25</v>
      </c>
      <c r="U3648">
        <v>4</v>
      </c>
      <c r="V3648">
        <v>2</v>
      </c>
      <c r="W3648">
        <v>0</v>
      </c>
      <c r="X3648">
        <v>38</v>
      </c>
      <c r="Y3648">
        <v>0</v>
      </c>
      <c r="Z3648">
        <v>2</v>
      </c>
      <c r="AA3648">
        <v>0</v>
      </c>
      <c r="AB3648">
        <v>2</v>
      </c>
      <c r="AD3648">
        <v>0</v>
      </c>
      <c r="AE3648">
        <v>0</v>
      </c>
      <c r="AF3648">
        <v>0</v>
      </c>
      <c r="AG3648">
        <v>0</v>
      </c>
      <c r="AI3648">
        <v>1</v>
      </c>
      <c r="AJ3648">
        <v>3</v>
      </c>
      <c r="AK3648">
        <v>87</v>
      </c>
      <c r="AL3648">
        <v>87</v>
      </c>
      <c r="AM3648">
        <v>170</v>
      </c>
      <c r="AN3648">
        <v>44</v>
      </c>
      <c r="AP3648">
        <v>1</v>
      </c>
      <c r="AR3648" t="s">
        <v>3745</v>
      </c>
      <c r="AS3648" s="1">
        <v>44354.07916666667</v>
      </c>
      <c r="AT3648" s="1">
        <v>44354.086331018516</v>
      </c>
      <c r="AU3648" s="1">
        <v>44354.086851851855</v>
      </c>
      <c r="AV3648" t="s">
        <v>71</v>
      </c>
      <c r="AW3648" t="s">
        <v>72</v>
      </c>
      <c r="AX3648" t="s">
        <v>73</v>
      </c>
    </row>
    <row r="3649" spans="1:50" x14ac:dyDescent="0.3">
      <c r="A3649" t="str">
        <f>"201742B0000"</f>
        <v>201742B0000</v>
      </c>
      <c r="B3649" t="str">
        <f>"201742B00002"</f>
        <v>201742B00002</v>
      </c>
      <c r="C3649" t="str">
        <f t="shared" si="191"/>
        <v>20</v>
      </c>
      <c r="D3649" t="s">
        <v>67</v>
      </c>
      <c r="E3649" t="str">
        <f t="shared" si="192"/>
        <v>016</v>
      </c>
      <c r="F3649" t="s">
        <v>3578</v>
      </c>
      <c r="G3649" t="str">
        <f>"1742"</f>
        <v>1742</v>
      </c>
      <c r="H3649" t="str">
        <f>"0000"</f>
        <v>0000</v>
      </c>
      <c r="I3649" t="s">
        <v>69</v>
      </c>
      <c r="J3649">
        <v>0</v>
      </c>
      <c r="K3649">
        <v>1</v>
      </c>
      <c r="L3649">
        <v>2</v>
      </c>
      <c r="M3649">
        <v>338</v>
      </c>
      <c r="N3649">
        <v>113</v>
      </c>
      <c r="O3649">
        <v>0</v>
      </c>
      <c r="P3649">
        <v>114</v>
      </c>
      <c r="Q3649">
        <v>8</v>
      </c>
      <c r="R3649">
        <v>44</v>
      </c>
      <c r="S3649">
        <v>2</v>
      </c>
      <c r="T3649">
        <v>9</v>
      </c>
      <c r="U3649">
        <v>13</v>
      </c>
      <c r="V3649">
        <v>1</v>
      </c>
      <c r="W3649">
        <v>0</v>
      </c>
      <c r="X3649">
        <v>26</v>
      </c>
      <c r="Y3649">
        <v>2</v>
      </c>
      <c r="Z3649">
        <v>3</v>
      </c>
      <c r="AA3649">
        <v>1</v>
      </c>
      <c r="AB3649">
        <v>0</v>
      </c>
      <c r="AD3649">
        <v>0</v>
      </c>
      <c r="AE3649">
        <v>0</v>
      </c>
      <c r="AF3649">
        <v>0</v>
      </c>
      <c r="AG3649">
        <v>0</v>
      </c>
      <c r="AI3649">
        <v>0</v>
      </c>
      <c r="AJ3649">
        <v>5</v>
      </c>
      <c r="AK3649">
        <v>114</v>
      </c>
      <c r="AL3649">
        <v>114</v>
      </c>
      <c r="AM3649">
        <v>408</v>
      </c>
      <c r="AN3649">
        <v>44</v>
      </c>
      <c r="AP3649">
        <v>1</v>
      </c>
      <c r="AR3649" t="s">
        <v>3746</v>
      </c>
      <c r="AS3649" s="1">
        <v>44353.984722222223</v>
      </c>
      <c r="AT3649" s="1">
        <v>44353.987245370372</v>
      </c>
      <c r="AU3649" s="1">
        <v>44353.987824074073</v>
      </c>
      <c r="AV3649" t="s">
        <v>71</v>
      </c>
      <c r="AW3649" t="s">
        <v>72</v>
      </c>
      <c r="AX3649" t="s">
        <v>73</v>
      </c>
    </row>
    <row r="3650" spans="1:50" x14ac:dyDescent="0.3">
      <c r="A3650" t="str">
        <f>"201742C0100"</f>
        <v>201742C0100</v>
      </c>
      <c r="B3650" t="str">
        <f>"201742C01002"</f>
        <v>201742C01002</v>
      </c>
      <c r="C3650" t="str">
        <f t="shared" si="191"/>
        <v>20</v>
      </c>
      <c r="D3650" t="s">
        <v>67</v>
      </c>
      <c r="E3650" t="str">
        <f t="shared" si="192"/>
        <v>016</v>
      </c>
      <c r="F3650" t="s">
        <v>3578</v>
      </c>
      <c r="G3650" t="str">
        <f>"1742"</f>
        <v>1742</v>
      </c>
      <c r="H3650" t="str">
        <f>"0001"</f>
        <v>0001</v>
      </c>
      <c r="I3650" t="s">
        <v>75</v>
      </c>
      <c r="J3650">
        <v>0</v>
      </c>
      <c r="K3650">
        <v>1</v>
      </c>
      <c r="L3650">
        <v>2</v>
      </c>
      <c r="M3650">
        <v>339</v>
      </c>
      <c r="N3650">
        <v>112</v>
      </c>
      <c r="O3650">
        <v>0</v>
      </c>
      <c r="P3650">
        <v>112</v>
      </c>
      <c r="Q3650">
        <v>15</v>
      </c>
      <c r="R3650">
        <v>52</v>
      </c>
      <c r="S3650">
        <v>2</v>
      </c>
      <c r="T3650">
        <v>10</v>
      </c>
      <c r="U3650">
        <v>4</v>
      </c>
      <c r="V3650">
        <v>3</v>
      </c>
      <c r="W3650">
        <v>2</v>
      </c>
      <c r="X3650">
        <v>20</v>
      </c>
      <c r="Y3650">
        <v>0</v>
      </c>
      <c r="Z3650">
        <v>2</v>
      </c>
      <c r="AA3650">
        <v>0</v>
      </c>
      <c r="AB3650">
        <v>0</v>
      </c>
      <c r="AD3650">
        <v>0</v>
      </c>
      <c r="AE3650">
        <v>0</v>
      </c>
      <c r="AF3650">
        <v>0</v>
      </c>
      <c r="AG3650">
        <v>0</v>
      </c>
      <c r="AI3650">
        <v>0</v>
      </c>
      <c r="AJ3650">
        <v>2</v>
      </c>
      <c r="AK3650">
        <v>112</v>
      </c>
      <c r="AL3650">
        <v>112</v>
      </c>
      <c r="AM3650">
        <v>407</v>
      </c>
      <c r="AN3650">
        <v>44</v>
      </c>
      <c r="AP3650">
        <v>1</v>
      </c>
      <c r="AR3650" t="s">
        <v>3747</v>
      </c>
      <c r="AS3650" s="1">
        <v>44353.965277777781</v>
      </c>
      <c r="AT3650" s="1">
        <v>44353.968518518515</v>
      </c>
      <c r="AU3650" s="1">
        <v>44353.969652777778</v>
      </c>
      <c r="AV3650" t="s">
        <v>71</v>
      </c>
      <c r="AW3650" t="s">
        <v>72</v>
      </c>
      <c r="AX3650" t="s">
        <v>73</v>
      </c>
    </row>
    <row r="3651" spans="1:50" x14ac:dyDescent="0.3">
      <c r="A3651" t="str">
        <f>"201776B0000"</f>
        <v>201776B0000</v>
      </c>
      <c r="B3651" t="str">
        <f>"201776B00002"</f>
        <v>201776B00002</v>
      </c>
      <c r="C3651" t="str">
        <f t="shared" si="191"/>
        <v>20</v>
      </c>
      <c r="D3651" t="s">
        <v>67</v>
      </c>
      <c r="E3651" t="str">
        <f t="shared" si="192"/>
        <v>016</v>
      </c>
      <c r="F3651" t="s">
        <v>3578</v>
      </c>
      <c r="G3651" t="str">
        <f>"1776"</f>
        <v>1776</v>
      </c>
      <c r="H3651" t="str">
        <f>"0000"</f>
        <v>0000</v>
      </c>
      <c r="I3651" t="s">
        <v>69</v>
      </c>
      <c r="J3651">
        <v>0</v>
      </c>
      <c r="K3651">
        <v>1</v>
      </c>
      <c r="L3651">
        <v>2</v>
      </c>
      <c r="M3651">
        <v>534</v>
      </c>
      <c r="N3651">
        <v>228</v>
      </c>
      <c r="O3651">
        <v>0</v>
      </c>
      <c r="P3651">
        <v>228</v>
      </c>
      <c r="Q3651">
        <v>8</v>
      </c>
      <c r="R3651">
        <v>43</v>
      </c>
      <c r="S3651">
        <v>2</v>
      </c>
      <c r="T3651">
        <v>86</v>
      </c>
      <c r="U3651">
        <v>7</v>
      </c>
      <c r="V3651">
        <v>2</v>
      </c>
      <c r="W3651">
        <v>1</v>
      </c>
      <c r="X3651">
        <v>62</v>
      </c>
      <c r="Y3651">
        <v>1</v>
      </c>
      <c r="Z3651">
        <v>0</v>
      </c>
      <c r="AA3651">
        <v>2</v>
      </c>
      <c r="AB3651">
        <v>1</v>
      </c>
      <c r="AD3651">
        <v>0</v>
      </c>
      <c r="AE3651">
        <v>0</v>
      </c>
      <c r="AF3651">
        <v>0</v>
      </c>
      <c r="AG3651">
        <v>0</v>
      </c>
      <c r="AI3651">
        <v>0</v>
      </c>
      <c r="AJ3651">
        <v>13</v>
      </c>
      <c r="AK3651">
        <v>228</v>
      </c>
      <c r="AL3651">
        <v>228</v>
      </c>
      <c r="AM3651">
        <v>718</v>
      </c>
      <c r="AN3651">
        <v>44</v>
      </c>
      <c r="AP3651">
        <v>1</v>
      </c>
      <c r="AR3651" t="s">
        <v>3748</v>
      </c>
      <c r="AS3651" s="1">
        <v>44354.063194444447</v>
      </c>
      <c r="AT3651" s="1">
        <v>44354.069918981484</v>
      </c>
      <c r="AU3651" s="1">
        <v>44354.070567129631</v>
      </c>
      <c r="AV3651" t="s">
        <v>71</v>
      </c>
      <c r="AW3651" t="s">
        <v>72</v>
      </c>
      <c r="AX3651" t="s">
        <v>73</v>
      </c>
    </row>
    <row r="3652" spans="1:50" x14ac:dyDescent="0.3">
      <c r="A3652" t="str">
        <f>"201776C0100"</f>
        <v>201776C0100</v>
      </c>
      <c r="B3652" t="str">
        <f>"201776C01002"</f>
        <v>201776C01002</v>
      </c>
      <c r="C3652" t="str">
        <f t="shared" si="191"/>
        <v>20</v>
      </c>
      <c r="D3652" t="s">
        <v>67</v>
      </c>
      <c r="E3652" t="str">
        <f t="shared" si="192"/>
        <v>016</v>
      </c>
      <c r="F3652" t="s">
        <v>3578</v>
      </c>
      <c r="G3652" t="str">
        <f>"1776"</f>
        <v>1776</v>
      </c>
      <c r="H3652" t="str">
        <f>"0001"</f>
        <v>0001</v>
      </c>
      <c r="I3652" t="s">
        <v>75</v>
      </c>
      <c r="J3652">
        <v>0</v>
      </c>
      <c r="K3652">
        <v>1</v>
      </c>
      <c r="L3652">
        <v>2</v>
      </c>
      <c r="M3652">
        <v>518</v>
      </c>
      <c r="N3652">
        <v>243</v>
      </c>
      <c r="O3652">
        <v>2</v>
      </c>
      <c r="P3652">
        <v>243</v>
      </c>
      <c r="Q3652">
        <v>23</v>
      </c>
      <c r="R3652">
        <v>38</v>
      </c>
      <c r="S3652">
        <v>2</v>
      </c>
      <c r="T3652">
        <v>104</v>
      </c>
      <c r="U3652">
        <v>4</v>
      </c>
      <c r="V3652">
        <v>1</v>
      </c>
      <c r="W3652">
        <v>2</v>
      </c>
      <c r="X3652">
        <v>53</v>
      </c>
      <c r="Y3652">
        <v>1</v>
      </c>
      <c r="Z3652">
        <v>4</v>
      </c>
      <c r="AA3652">
        <v>4</v>
      </c>
      <c r="AB3652">
        <v>1</v>
      </c>
      <c r="AD3652">
        <v>1</v>
      </c>
      <c r="AE3652">
        <v>0</v>
      </c>
      <c r="AF3652">
        <v>0</v>
      </c>
      <c r="AG3652">
        <v>0</v>
      </c>
      <c r="AI3652">
        <v>0</v>
      </c>
      <c r="AJ3652">
        <v>5</v>
      </c>
      <c r="AK3652">
        <v>243</v>
      </c>
      <c r="AL3652">
        <v>243</v>
      </c>
      <c r="AM3652">
        <v>717</v>
      </c>
      <c r="AN3652">
        <v>44</v>
      </c>
      <c r="AP3652">
        <v>1</v>
      </c>
      <c r="AR3652" t="s">
        <v>3749</v>
      </c>
      <c r="AS3652" s="1">
        <v>44354.06527777778</v>
      </c>
      <c r="AT3652" s="1">
        <v>44354.070428240739</v>
      </c>
      <c r="AU3652" s="1">
        <v>44354.070949074077</v>
      </c>
      <c r="AV3652" t="s">
        <v>71</v>
      </c>
      <c r="AW3652" t="s">
        <v>72</v>
      </c>
      <c r="AX3652" t="s">
        <v>73</v>
      </c>
    </row>
    <row r="3653" spans="1:50" x14ac:dyDescent="0.3">
      <c r="A3653" t="str">
        <f>"201776C0200"</f>
        <v>201776C0200</v>
      </c>
      <c r="B3653" t="str">
        <f>"201776C02002"</f>
        <v>201776C02002</v>
      </c>
      <c r="C3653" t="str">
        <f t="shared" si="191"/>
        <v>20</v>
      </c>
      <c r="D3653" t="s">
        <v>67</v>
      </c>
      <c r="E3653" t="str">
        <f t="shared" si="192"/>
        <v>016</v>
      </c>
      <c r="F3653" t="s">
        <v>3578</v>
      </c>
      <c r="G3653" t="str">
        <f>"1776"</f>
        <v>1776</v>
      </c>
      <c r="H3653" t="str">
        <f>"0002"</f>
        <v>0002</v>
      </c>
      <c r="I3653" t="s">
        <v>75</v>
      </c>
      <c r="J3653">
        <v>0</v>
      </c>
      <c r="K3653">
        <v>1</v>
      </c>
      <c r="L3653">
        <v>2</v>
      </c>
      <c r="M3653">
        <v>515</v>
      </c>
      <c r="N3653">
        <v>246</v>
      </c>
      <c r="O3653">
        <v>0</v>
      </c>
      <c r="P3653">
        <v>246</v>
      </c>
      <c r="Q3653">
        <v>14</v>
      </c>
      <c r="R3653">
        <v>47</v>
      </c>
      <c r="S3653">
        <v>0</v>
      </c>
      <c r="T3653">
        <v>101</v>
      </c>
      <c r="U3653">
        <v>5</v>
      </c>
      <c r="V3653">
        <v>4</v>
      </c>
      <c r="W3653">
        <v>1</v>
      </c>
      <c r="X3653">
        <v>57</v>
      </c>
      <c r="Y3653">
        <v>1</v>
      </c>
      <c r="Z3653">
        <v>2</v>
      </c>
      <c r="AA3653">
        <v>4</v>
      </c>
      <c r="AB3653">
        <v>5</v>
      </c>
      <c r="AD3653">
        <v>0</v>
      </c>
      <c r="AE3653">
        <v>1</v>
      </c>
      <c r="AF3653">
        <v>0</v>
      </c>
      <c r="AG3653">
        <v>0</v>
      </c>
      <c r="AI3653">
        <v>0</v>
      </c>
      <c r="AJ3653">
        <v>4</v>
      </c>
      <c r="AK3653">
        <v>246</v>
      </c>
      <c r="AL3653">
        <v>246</v>
      </c>
      <c r="AM3653">
        <v>717</v>
      </c>
      <c r="AN3653">
        <v>44</v>
      </c>
      <c r="AP3653">
        <v>1</v>
      </c>
      <c r="AR3653" t="s">
        <v>3750</v>
      </c>
      <c r="AS3653" s="1">
        <v>44353.809027777781</v>
      </c>
      <c r="AT3653" s="1">
        <v>44354.081921296296</v>
      </c>
      <c r="AU3653" s="1">
        <v>44354.082476851851</v>
      </c>
      <c r="AV3653" t="s">
        <v>71</v>
      </c>
      <c r="AW3653" t="s">
        <v>72</v>
      </c>
      <c r="AX3653" t="s">
        <v>73</v>
      </c>
    </row>
    <row r="3654" spans="1:50" x14ac:dyDescent="0.3">
      <c r="A3654" t="str">
        <f>"201776C0300"</f>
        <v>201776C0300</v>
      </c>
      <c r="B3654" t="str">
        <f>"201776C03002"</f>
        <v>201776C03002</v>
      </c>
      <c r="C3654" t="str">
        <f t="shared" si="191"/>
        <v>20</v>
      </c>
      <c r="D3654" t="s">
        <v>67</v>
      </c>
      <c r="E3654" t="str">
        <f t="shared" si="192"/>
        <v>016</v>
      </c>
      <c r="F3654" t="s">
        <v>3578</v>
      </c>
      <c r="G3654" t="str">
        <f>"1776"</f>
        <v>1776</v>
      </c>
      <c r="H3654" t="str">
        <f>"0003"</f>
        <v>0003</v>
      </c>
      <c r="I3654" t="s">
        <v>75</v>
      </c>
      <c r="J3654">
        <v>0</v>
      </c>
      <c r="K3654">
        <v>1</v>
      </c>
      <c r="L3654">
        <v>2</v>
      </c>
      <c r="M3654">
        <v>553</v>
      </c>
      <c r="N3654">
        <v>208</v>
      </c>
      <c r="O3654">
        <v>2</v>
      </c>
      <c r="P3654">
        <v>208</v>
      </c>
      <c r="Q3654">
        <v>12</v>
      </c>
      <c r="R3654">
        <v>54</v>
      </c>
      <c r="S3654">
        <v>4</v>
      </c>
      <c r="T3654">
        <v>63</v>
      </c>
      <c r="U3654">
        <v>4</v>
      </c>
      <c r="V3654">
        <v>0</v>
      </c>
      <c r="W3654">
        <v>2</v>
      </c>
      <c r="X3654">
        <v>45</v>
      </c>
      <c r="Y3654">
        <v>1</v>
      </c>
      <c r="Z3654">
        <v>1</v>
      </c>
      <c r="AA3654">
        <v>3</v>
      </c>
      <c r="AB3654">
        <v>5</v>
      </c>
      <c r="AD3654">
        <v>0</v>
      </c>
      <c r="AE3654">
        <v>1</v>
      </c>
      <c r="AF3654">
        <v>0</v>
      </c>
      <c r="AG3654">
        <v>0</v>
      </c>
      <c r="AI3654">
        <v>1</v>
      </c>
      <c r="AJ3654">
        <v>12</v>
      </c>
      <c r="AK3654">
        <v>208</v>
      </c>
      <c r="AL3654">
        <v>208</v>
      </c>
      <c r="AM3654">
        <v>717</v>
      </c>
      <c r="AN3654">
        <v>44</v>
      </c>
      <c r="AP3654">
        <v>1</v>
      </c>
      <c r="AR3654" t="s">
        <v>3751</v>
      </c>
      <c r="AS3654" s="1">
        <v>44354.065972222219</v>
      </c>
      <c r="AT3654" s="1">
        <v>44354.071539351855</v>
      </c>
      <c r="AU3654" s="1">
        <v>44354.072615740741</v>
      </c>
      <c r="AV3654" t="s">
        <v>71</v>
      </c>
      <c r="AW3654" t="s">
        <v>72</v>
      </c>
      <c r="AX3654" t="s">
        <v>73</v>
      </c>
    </row>
    <row r="3655" spans="1:50" x14ac:dyDescent="0.3">
      <c r="A3655" t="str">
        <f>"201827B0000"</f>
        <v>201827B0000</v>
      </c>
      <c r="B3655" t="str">
        <f>"201827B00002"</f>
        <v>201827B00002</v>
      </c>
      <c r="C3655" t="str">
        <f t="shared" ref="C3655:C3718" si="193">"20"</f>
        <v>20</v>
      </c>
      <c r="D3655" t="s">
        <v>67</v>
      </c>
      <c r="E3655" t="str">
        <f t="shared" si="192"/>
        <v>016</v>
      </c>
      <c r="F3655" t="s">
        <v>3578</v>
      </c>
      <c r="G3655" t="str">
        <f>"1827"</f>
        <v>1827</v>
      </c>
      <c r="H3655" t="str">
        <f>"0000"</f>
        <v>0000</v>
      </c>
      <c r="I3655" t="s">
        <v>69</v>
      </c>
      <c r="J3655">
        <v>0</v>
      </c>
      <c r="K3655">
        <v>1</v>
      </c>
      <c r="L3655">
        <v>2</v>
      </c>
      <c r="M3655">
        <v>376</v>
      </c>
      <c r="N3655">
        <v>268</v>
      </c>
      <c r="O3655">
        <v>1</v>
      </c>
      <c r="P3655">
        <v>268</v>
      </c>
      <c r="Q3655">
        <v>11</v>
      </c>
      <c r="R3655">
        <v>50</v>
      </c>
      <c r="S3655">
        <v>1</v>
      </c>
      <c r="T3655">
        <v>24</v>
      </c>
      <c r="U3655">
        <v>5</v>
      </c>
      <c r="V3655">
        <v>8</v>
      </c>
      <c r="W3655">
        <v>3</v>
      </c>
      <c r="X3655">
        <v>133</v>
      </c>
      <c r="Y3655">
        <v>3</v>
      </c>
      <c r="Z3655">
        <v>9</v>
      </c>
      <c r="AA3655">
        <v>2</v>
      </c>
      <c r="AB3655">
        <v>3</v>
      </c>
      <c r="AD3655">
        <v>0</v>
      </c>
      <c r="AE3655">
        <v>2</v>
      </c>
      <c r="AF3655">
        <v>0</v>
      </c>
      <c r="AG3655">
        <v>0</v>
      </c>
      <c r="AI3655">
        <v>0</v>
      </c>
      <c r="AJ3655">
        <v>14</v>
      </c>
      <c r="AK3655">
        <v>268</v>
      </c>
      <c r="AL3655">
        <v>268</v>
      </c>
      <c r="AM3655">
        <v>600</v>
      </c>
      <c r="AN3655">
        <v>44</v>
      </c>
      <c r="AP3655">
        <v>1</v>
      </c>
      <c r="AR3655" t="s">
        <v>3752</v>
      </c>
      <c r="AS3655" s="1">
        <v>44353.938888888886</v>
      </c>
      <c r="AT3655" s="1">
        <v>44353.941122685188</v>
      </c>
      <c r="AU3655" s="1">
        <v>44353.942083333335</v>
      </c>
      <c r="AV3655" t="s">
        <v>71</v>
      </c>
      <c r="AW3655" t="s">
        <v>72</v>
      </c>
      <c r="AX3655" t="s">
        <v>73</v>
      </c>
    </row>
    <row r="3656" spans="1:50" x14ac:dyDescent="0.3">
      <c r="A3656" t="str">
        <f>"201827C0100"</f>
        <v>201827C0100</v>
      </c>
      <c r="B3656" t="str">
        <f>"201827C01002"</f>
        <v>201827C01002</v>
      </c>
      <c r="C3656" t="str">
        <f t="shared" si="193"/>
        <v>20</v>
      </c>
      <c r="D3656" t="s">
        <v>67</v>
      </c>
      <c r="E3656" t="str">
        <f t="shared" si="192"/>
        <v>016</v>
      </c>
      <c r="F3656" t="s">
        <v>3578</v>
      </c>
      <c r="G3656" t="str">
        <f>"1827"</f>
        <v>1827</v>
      </c>
      <c r="H3656" t="str">
        <f>"0001"</f>
        <v>0001</v>
      </c>
      <c r="I3656" t="s">
        <v>75</v>
      </c>
      <c r="J3656">
        <v>0</v>
      </c>
      <c r="K3656">
        <v>1</v>
      </c>
      <c r="L3656">
        <v>2</v>
      </c>
      <c r="M3656">
        <v>401</v>
      </c>
      <c r="N3656">
        <v>4</v>
      </c>
      <c r="O3656">
        <v>4</v>
      </c>
      <c r="P3656">
        <v>243</v>
      </c>
      <c r="Q3656">
        <v>4</v>
      </c>
      <c r="R3656">
        <v>50</v>
      </c>
      <c r="S3656">
        <v>7</v>
      </c>
      <c r="T3656">
        <v>39</v>
      </c>
      <c r="U3656">
        <v>4</v>
      </c>
      <c r="V3656">
        <v>8</v>
      </c>
      <c r="W3656">
        <v>1</v>
      </c>
      <c r="X3656">
        <v>112</v>
      </c>
      <c r="Y3656">
        <v>2</v>
      </c>
      <c r="Z3656">
        <v>1</v>
      </c>
      <c r="AA3656">
        <v>0</v>
      </c>
      <c r="AB3656">
        <v>5</v>
      </c>
      <c r="AD3656">
        <v>0</v>
      </c>
      <c r="AE3656">
        <v>1</v>
      </c>
      <c r="AF3656">
        <v>0</v>
      </c>
      <c r="AG3656">
        <v>1</v>
      </c>
      <c r="AI3656">
        <v>0</v>
      </c>
      <c r="AJ3656">
        <v>8</v>
      </c>
      <c r="AK3656">
        <v>243</v>
      </c>
      <c r="AL3656">
        <v>243</v>
      </c>
      <c r="AM3656">
        <v>600</v>
      </c>
      <c r="AN3656">
        <v>44</v>
      </c>
      <c r="AP3656">
        <v>1</v>
      </c>
      <c r="AR3656" t="s">
        <v>3753</v>
      </c>
      <c r="AS3656" s="1">
        <v>44353.938194444447</v>
      </c>
      <c r="AT3656" s="1">
        <v>44353.940358796295</v>
      </c>
      <c r="AU3656" s="1">
        <v>44353.941087962965</v>
      </c>
      <c r="AV3656" t="s">
        <v>71</v>
      </c>
      <c r="AW3656" t="s">
        <v>72</v>
      </c>
      <c r="AX3656" t="s">
        <v>73</v>
      </c>
    </row>
    <row r="3657" spans="1:50" x14ac:dyDescent="0.3">
      <c r="A3657" t="str">
        <f>"201827C0200"</f>
        <v>201827C0200</v>
      </c>
      <c r="B3657" t="str">
        <f>"201827C02002"</f>
        <v>201827C02002</v>
      </c>
      <c r="C3657" t="str">
        <f t="shared" si="193"/>
        <v>20</v>
      </c>
      <c r="D3657" t="s">
        <v>67</v>
      </c>
      <c r="E3657" t="str">
        <f t="shared" si="192"/>
        <v>016</v>
      </c>
      <c r="F3657" t="s">
        <v>3578</v>
      </c>
      <c r="G3657" t="str">
        <f>"1827"</f>
        <v>1827</v>
      </c>
      <c r="H3657" t="str">
        <f>"0002"</f>
        <v>0002</v>
      </c>
      <c r="I3657" t="s">
        <v>75</v>
      </c>
      <c r="J3657">
        <v>0</v>
      </c>
      <c r="K3657">
        <v>1</v>
      </c>
      <c r="L3657">
        <v>2</v>
      </c>
      <c r="M3657">
        <v>375</v>
      </c>
      <c r="N3657">
        <v>269</v>
      </c>
      <c r="O3657">
        <v>2</v>
      </c>
      <c r="P3657">
        <v>269</v>
      </c>
      <c r="Q3657">
        <v>15</v>
      </c>
      <c r="R3657">
        <v>58</v>
      </c>
      <c r="S3657">
        <v>4</v>
      </c>
      <c r="T3657">
        <v>21</v>
      </c>
      <c r="U3657">
        <v>8</v>
      </c>
      <c r="V3657">
        <v>7</v>
      </c>
      <c r="W3657">
        <v>7</v>
      </c>
      <c r="X3657">
        <v>125</v>
      </c>
      <c r="Y3657">
        <v>0</v>
      </c>
      <c r="Z3657">
        <v>6</v>
      </c>
      <c r="AA3657">
        <v>0</v>
      </c>
      <c r="AB3657">
        <v>2</v>
      </c>
      <c r="AD3657">
        <v>3</v>
      </c>
      <c r="AE3657">
        <v>1</v>
      </c>
      <c r="AF3657">
        <v>0</v>
      </c>
      <c r="AG3657">
        <v>0</v>
      </c>
      <c r="AI3657">
        <v>0</v>
      </c>
      <c r="AJ3657">
        <v>12</v>
      </c>
      <c r="AK3657">
        <v>269</v>
      </c>
      <c r="AL3657">
        <v>269</v>
      </c>
      <c r="AM3657">
        <v>600</v>
      </c>
      <c r="AN3657">
        <v>44</v>
      </c>
      <c r="AP3657">
        <v>1</v>
      </c>
      <c r="AR3657" t="s">
        <v>3754</v>
      </c>
      <c r="AS3657" s="1">
        <v>44353.939583333333</v>
      </c>
      <c r="AT3657" s="1">
        <v>44353.945081018515</v>
      </c>
      <c r="AU3657" s="1">
        <v>44353.945694444446</v>
      </c>
      <c r="AV3657" t="s">
        <v>71</v>
      </c>
      <c r="AW3657" t="s">
        <v>72</v>
      </c>
      <c r="AX3657" t="s">
        <v>73</v>
      </c>
    </row>
    <row r="3658" spans="1:50" x14ac:dyDescent="0.3">
      <c r="A3658" t="str">
        <f>"201827C0300"</f>
        <v>201827C0300</v>
      </c>
      <c r="B3658" t="str">
        <f>"201827C03002"</f>
        <v>201827C03002</v>
      </c>
      <c r="C3658" t="str">
        <f t="shared" si="193"/>
        <v>20</v>
      </c>
      <c r="D3658" t="s">
        <v>67</v>
      </c>
      <c r="E3658" t="str">
        <f t="shared" si="192"/>
        <v>016</v>
      </c>
      <c r="F3658" t="s">
        <v>3578</v>
      </c>
      <c r="G3658" t="str">
        <f>"1827"</f>
        <v>1827</v>
      </c>
      <c r="H3658" t="str">
        <f>"0003"</f>
        <v>0003</v>
      </c>
      <c r="I3658" t="s">
        <v>75</v>
      </c>
      <c r="J3658">
        <v>0</v>
      </c>
      <c r="K3658">
        <v>1</v>
      </c>
      <c r="L3658">
        <v>2</v>
      </c>
      <c r="M3658">
        <v>388</v>
      </c>
      <c r="N3658">
        <v>256</v>
      </c>
      <c r="O3658">
        <v>6</v>
      </c>
      <c r="P3658">
        <v>256</v>
      </c>
      <c r="Q3658">
        <v>16</v>
      </c>
      <c r="R3658">
        <v>55</v>
      </c>
      <c r="S3658">
        <v>1</v>
      </c>
      <c r="T3658">
        <v>35</v>
      </c>
      <c r="U3658">
        <v>3</v>
      </c>
      <c r="V3658">
        <v>2</v>
      </c>
      <c r="W3658">
        <v>2</v>
      </c>
      <c r="X3658">
        <v>110</v>
      </c>
      <c r="Y3658">
        <v>0</v>
      </c>
      <c r="Z3658">
        <v>3</v>
      </c>
      <c r="AA3658">
        <v>4</v>
      </c>
      <c r="AB3658">
        <v>7</v>
      </c>
      <c r="AD3658">
        <v>0</v>
      </c>
      <c r="AE3658">
        <v>0</v>
      </c>
      <c r="AF3658">
        <v>0</v>
      </c>
      <c r="AG3658">
        <v>0</v>
      </c>
      <c r="AI3658">
        <v>0</v>
      </c>
      <c r="AJ3658">
        <v>18</v>
      </c>
      <c r="AK3658">
        <v>256</v>
      </c>
      <c r="AL3658">
        <v>256</v>
      </c>
      <c r="AM3658">
        <v>600</v>
      </c>
      <c r="AN3658">
        <v>44</v>
      </c>
      <c r="AP3658">
        <v>1</v>
      </c>
      <c r="AR3658" t="s">
        <v>3755</v>
      </c>
      <c r="AS3658" s="1">
        <v>44353.939583333333</v>
      </c>
      <c r="AT3658" s="1">
        <v>44353.941527777781</v>
      </c>
      <c r="AU3658" s="1">
        <v>44353.94190972222</v>
      </c>
      <c r="AV3658" t="s">
        <v>71</v>
      </c>
      <c r="AW3658" t="s">
        <v>72</v>
      </c>
      <c r="AX3658" t="s">
        <v>73</v>
      </c>
    </row>
    <row r="3659" spans="1:50" x14ac:dyDescent="0.3">
      <c r="A3659" t="str">
        <f>"201874B0000"</f>
        <v>201874B0000</v>
      </c>
      <c r="B3659" t="str">
        <f>"201874B00002"</f>
        <v>201874B00002</v>
      </c>
      <c r="C3659" t="str">
        <f t="shared" si="193"/>
        <v>20</v>
      </c>
      <c r="D3659" t="s">
        <v>67</v>
      </c>
      <c r="E3659" t="str">
        <f t="shared" si="192"/>
        <v>016</v>
      </c>
      <c r="F3659" t="s">
        <v>3578</v>
      </c>
      <c r="G3659" t="str">
        <f>"1874"</f>
        <v>1874</v>
      </c>
      <c r="H3659" t="str">
        <f>"0000"</f>
        <v>0000</v>
      </c>
      <c r="I3659" t="s">
        <v>69</v>
      </c>
      <c r="J3659">
        <v>0</v>
      </c>
      <c r="K3659">
        <v>1</v>
      </c>
      <c r="L3659">
        <v>2</v>
      </c>
      <c r="M3659">
        <v>230</v>
      </c>
      <c r="N3659">
        <v>266</v>
      </c>
      <c r="O3659">
        <v>0</v>
      </c>
      <c r="P3659">
        <v>266</v>
      </c>
      <c r="Q3659">
        <v>11</v>
      </c>
      <c r="R3659">
        <v>20</v>
      </c>
      <c r="S3659">
        <v>5</v>
      </c>
      <c r="T3659">
        <v>136</v>
      </c>
      <c r="U3659">
        <v>15</v>
      </c>
      <c r="V3659">
        <v>2</v>
      </c>
      <c r="W3659">
        <v>3</v>
      </c>
      <c r="X3659">
        <v>51</v>
      </c>
      <c r="Y3659">
        <v>1</v>
      </c>
      <c r="Z3659">
        <v>5</v>
      </c>
      <c r="AA3659">
        <v>1</v>
      </c>
      <c r="AB3659">
        <v>1</v>
      </c>
      <c r="AD3659">
        <v>0</v>
      </c>
      <c r="AE3659">
        <v>0</v>
      </c>
      <c r="AF3659">
        <v>2</v>
      </c>
      <c r="AG3659">
        <v>0</v>
      </c>
      <c r="AI3659">
        <v>0</v>
      </c>
      <c r="AJ3659">
        <v>13</v>
      </c>
      <c r="AK3659">
        <v>266</v>
      </c>
      <c r="AL3659">
        <v>266</v>
      </c>
      <c r="AM3659">
        <v>452</v>
      </c>
      <c r="AN3659">
        <v>44</v>
      </c>
      <c r="AP3659">
        <v>1</v>
      </c>
      <c r="AR3659" t="s">
        <v>3756</v>
      </c>
      <c r="AS3659" s="1">
        <v>44354.205555555556</v>
      </c>
      <c r="AT3659" s="1">
        <v>44354.207696759258</v>
      </c>
      <c r="AU3659" s="1">
        <v>44354.208831018521</v>
      </c>
      <c r="AV3659" t="s">
        <v>71</v>
      </c>
      <c r="AW3659" t="s">
        <v>72</v>
      </c>
      <c r="AX3659" t="s">
        <v>73</v>
      </c>
    </row>
    <row r="3660" spans="1:50" x14ac:dyDescent="0.3">
      <c r="A3660" t="str">
        <f>"201874C0100"</f>
        <v>201874C0100</v>
      </c>
      <c r="B3660" t="str">
        <f>"201874C01002"</f>
        <v>201874C01002</v>
      </c>
      <c r="C3660" t="str">
        <f t="shared" si="193"/>
        <v>20</v>
      </c>
      <c r="D3660" t="s">
        <v>67</v>
      </c>
      <c r="E3660" t="str">
        <f t="shared" si="192"/>
        <v>016</v>
      </c>
      <c r="F3660" t="s">
        <v>3578</v>
      </c>
      <c r="G3660" t="str">
        <f>"1874"</f>
        <v>1874</v>
      </c>
      <c r="H3660" t="str">
        <f>"0001"</f>
        <v>0001</v>
      </c>
      <c r="I3660" t="s">
        <v>75</v>
      </c>
      <c r="J3660">
        <v>0</v>
      </c>
      <c r="K3660">
        <v>1</v>
      </c>
      <c r="L3660">
        <v>2</v>
      </c>
      <c r="M3660">
        <v>243</v>
      </c>
      <c r="N3660">
        <v>253</v>
      </c>
      <c r="O3660">
        <v>0</v>
      </c>
      <c r="P3660">
        <v>253</v>
      </c>
      <c r="Q3660">
        <v>15</v>
      </c>
      <c r="R3660">
        <v>17</v>
      </c>
      <c r="S3660">
        <v>2</v>
      </c>
      <c r="T3660">
        <v>24</v>
      </c>
      <c r="U3660">
        <v>10</v>
      </c>
      <c r="V3660">
        <v>1</v>
      </c>
      <c r="W3660">
        <v>2</v>
      </c>
      <c r="X3660">
        <v>60</v>
      </c>
      <c r="Y3660">
        <v>2</v>
      </c>
      <c r="Z3660">
        <v>4</v>
      </c>
      <c r="AA3660">
        <v>1</v>
      </c>
      <c r="AB3660">
        <v>1</v>
      </c>
      <c r="AD3660">
        <v>0</v>
      </c>
      <c r="AE3660">
        <v>0</v>
      </c>
      <c r="AF3660">
        <v>0</v>
      </c>
      <c r="AG3660">
        <v>0</v>
      </c>
      <c r="AI3660">
        <v>0</v>
      </c>
      <c r="AJ3660">
        <v>0</v>
      </c>
      <c r="AK3660">
        <v>0</v>
      </c>
      <c r="AL3660">
        <v>139</v>
      </c>
      <c r="AM3660">
        <v>452</v>
      </c>
      <c r="AN3660">
        <v>44</v>
      </c>
      <c r="AP3660">
        <v>1</v>
      </c>
      <c r="AR3660" t="s">
        <v>3757</v>
      </c>
      <c r="AS3660" s="1">
        <v>44354.205555555556</v>
      </c>
      <c r="AT3660" s="1">
        <v>44354.20853009259</v>
      </c>
      <c r="AU3660" s="1">
        <v>44354.208958333336</v>
      </c>
      <c r="AV3660" t="s">
        <v>71</v>
      </c>
      <c r="AW3660" t="s">
        <v>72</v>
      </c>
      <c r="AX3660" t="s">
        <v>73</v>
      </c>
    </row>
    <row r="3661" spans="1:50" x14ac:dyDescent="0.3">
      <c r="A3661" t="str">
        <f>"201874E0100"</f>
        <v>201874E0100</v>
      </c>
      <c r="B3661" t="str">
        <f>"201874E01002"</f>
        <v>201874E01002</v>
      </c>
      <c r="C3661" t="str">
        <f t="shared" si="193"/>
        <v>20</v>
      </c>
      <c r="D3661" t="s">
        <v>67</v>
      </c>
      <c r="E3661" t="str">
        <f t="shared" si="192"/>
        <v>016</v>
      </c>
      <c r="F3661" t="s">
        <v>3578</v>
      </c>
      <c r="G3661" t="str">
        <f>"1874"</f>
        <v>1874</v>
      </c>
      <c r="H3661" t="str">
        <f>"0001"</f>
        <v>0001</v>
      </c>
      <c r="I3661" t="s">
        <v>109</v>
      </c>
      <c r="J3661">
        <v>0</v>
      </c>
      <c r="K3661">
        <v>1</v>
      </c>
      <c r="L3661">
        <v>2</v>
      </c>
      <c r="M3661">
        <v>172</v>
      </c>
      <c r="N3661">
        <v>136</v>
      </c>
      <c r="O3661">
        <v>0</v>
      </c>
      <c r="P3661" t="s">
        <v>80</v>
      </c>
      <c r="Q3661">
        <v>12</v>
      </c>
      <c r="R3661">
        <v>2</v>
      </c>
      <c r="S3661">
        <v>0</v>
      </c>
      <c r="T3661">
        <v>90</v>
      </c>
      <c r="U3661">
        <v>2</v>
      </c>
      <c r="V3661">
        <v>0</v>
      </c>
      <c r="W3661">
        <v>0</v>
      </c>
      <c r="X3661">
        <v>25</v>
      </c>
      <c r="Y3661">
        <v>0</v>
      </c>
      <c r="Z3661">
        <v>0</v>
      </c>
      <c r="AA3661">
        <v>2</v>
      </c>
      <c r="AB3661">
        <v>0</v>
      </c>
      <c r="AD3661">
        <v>0</v>
      </c>
      <c r="AE3661">
        <v>0</v>
      </c>
      <c r="AF3661">
        <v>0</v>
      </c>
      <c r="AG3661">
        <v>0</v>
      </c>
      <c r="AI3661">
        <v>0</v>
      </c>
      <c r="AJ3661">
        <v>3</v>
      </c>
      <c r="AK3661">
        <v>136</v>
      </c>
      <c r="AL3661">
        <v>136</v>
      </c>
      <c r="AM3661">
        <v>264</v>
      </c>
      <c r="AN3661">
        <v>44</v>
      </c>
      <c r="AP3661">
        <v>1</v>
      </c>
      <c r="AR3661" t="s">
        <v>3758</v>
      </c>
      <c r="AS3661" s="1">
        <v>44354.226388888892</v>
      </c>
      <c r="AT3661" s="1">
        <v>44354.230011574073</v>
      </c>
      <c r="AU3661" s="1">
        <v>44354.230393518519</v>
      </c>
      <c r="AV3661" t="s">
        <v>71</v>
      </c>
      <c r="AW3661" t="s">
        <v>72</v>
      </c>
      <c r="AX3661" t="s">
        <v>73</v>
      </c>
    </row>
    <row r="3662" spans="1:50" x14ac:dyDescent="0.3">
      <c r="A3662" t="str">
        <f>"201904B0000"</f>
        <v>201904B0000</v>
      </c>
      <c r="B3662" t="str">
        <f>"201904B00002"</f>
        <v>201904B00002</v>
      </c>
      <c r="C3662" t="str">
        <f t="shared" si="193"/>
        <v>20</v>
      </c>
      <c r="D3662" t="s">
        <v>67</v>
      </c>
      <c r="E3662" t="str">
        <f t="shared" si="192"/>
        <v>016</v>
      </c>
      <c r="F3662" t="s">
        <v>3578</v>
      </c>
      <c r="G3662" t="str">
        <f>"1904"</f>
        <v>1904</v>
      </c>
      <c r="H3662" t="str">
        <f>"0000"</f>
        <v>0000</v>
      </c>
      <c r="I3662" t="s">
        <v>69</v>
      </c>
      <c r="J3662">
        <v>0</v>
      </c>
      <c r="K3662">
        <v>1</v>
      </c>
      <c r="L3662">
        <v>2</v>
      </c>
      <c r="M3662">
        <v>408</v>
      </c>
      <c r="N3662">
        <v>270</v>
      </c>
      <c r="O3662">
        <v>0</v>
      </c>
      <c r="P3662">
        <v>270</v>
      </c>
      <c r="Q3662">
        <v>16</v>
      </c>
      <c r="R3662">
        <v>16</v>
      </c>
      <c r="S3662">
        <v>14</v>
      </c>
      <c r="T3662">
        <v>47</v>
      </c>
      <c r="U3662">
        <v>20</v>
      </c>
      <c r="V3662">
        <v>3</v>
      </c>
      <c r="W3662">
        <v>4</v>
      </c>
      <c r="X3662">
        <v>127</v>
      </c>
      <c r="Y3662">
        <v>3</v>
      </c>
      <c r="Z3662">
        <v>3</v>
      </c>
      <c r="AA3662">
        <v>5</v>
      </c>
      <c r="AB3662">
        <v>4</v>
      </c>
      <c r="AD3662">
        <v>0</v>
      </c>
      <c r="AE3662">
        <v>0</v>
      </c>
      <c r="AF3662">
        <v>0</v>
      </c>
      <c r="AG3662">
        <v>0</v>
      </c>
      <c r="AI3662">
        <v>0</v>
      </c>
      <c r="AJ3662">
        <v>8</v>
      </c>
      <c r="AK3662">
        <v>270</v>
      </c>
      <c r="AL3662">
        <v>270</v>
      </c>
      <c r="AM3662">
        <v>634</v>
      </c>
      <c r="AN3662">
        <v>44</v>
      </c>
      <c r="AP3662">
        <v>1</v>
      </c>
      <c r="AR3662" s="2" t="s">
        <v>3759</v>
      </c>
      <c r="AS3662" s="1">
        <v>44354.225694444445</v>
      </c>
      <c r="AT3662" s="1">
        <v>44354.230914351851</v>
      </c>
      <c r="AU3662" s="1">
        <v>44354.232766203706</v>
      </c>
      <c r="AV3662" t="s">
        <v>71</v>
      </c>
      <c r="AW3662" t="s">
        <v>72</v>
      </c>
      <c r="AX3662" t="s">
        <v>73</v>
      </c>
    </row>
    <row r="3663" spans="1:50" x14ac:dyDescent="0.3">
      <c r="A3663" t="str">
        <f>"201904E0100"</f>
        <v>201904E0100</v>
      </c>
      <c r="B3663" t="str">
        <f>"201904E01002"</f>
        <v>201904E01002</v>
      </c>
      <c r="C3663" t="str">
        <f t="shared" si="193"/>
        <v>20</v>
      </c>
      <c r="D3663" t="s">
        <v>67</v>
      </c>
      <c r="E3663" t="str">
        <f t="shared" si="192"/>
        <v>016</v>
      </c>
      <c r="F3663" t="s">
        <v>3578</v>
      </c>
      <c r="G3663" t="str">
        <f>"1904"</f>
        <v>1904</v>
      </c>
      <c r="H3663" t="str">
        <f>"0001"</f>
        <v>0001</v>
      </c>
      <c r="I3663" t="s">
        <v>109</v>
      </c>
      <c r="J3663">
        <v>0</v>
      </c>
      <c r="K3663">
        <v>1</v>
      </c>
      <c r="L3663">
        <v>2</v>
      </c>
      <c r="M3663">
        <v>208</v>
      </c>
      <c r="N3663">
        <v>346</v>
      </c>
      <c r="O3663">
        <v>1</v>
      </c>
      <c r="P3663">
        <v>346</v>
      </c>
      <c r="Q3663">
        <v>3</v>
      </c>
      <c r="R3663">
        <v>20</v>
      </c>
      <c r="S3663">
        <v>7</v>
      </c>
      <c r="T3663">
        <v>130</v>
      </c>
      <c r="U3663">
        <v>19</v>
      </c>
      <c r="V3663">
        <v>4</v>
      </c>
      <c r="W3663">
        <v>3</v>
      </c>
      <c r="X3663">
        <v>125</v>
      </c>
      <c r="Y3663">
        <v>2</v>
      </c>
      <c r="Z3663">
        <v>11</v>
      </c>
      <c r="AA3663">
        <v>1</v>
      </c>
      <c r="AB3663">
        <v>2</v>
      </c>
      <c r="AD3663">
        <v>0</v>
      </c>
      <c r="AE3663">
        <v>1</v>
      </c>
      <c r="AF3663">
        <v>0</v>
      </c>
      <c r="AG3663">
        <v>0</v>
      </c>
      <c r="AI3663">
        <v>0</v>
      </c>
      <c r="AJ3663">
        <v>18</v>
      </c>
      <c r="AK3663">
        <v>346</v>
      </c>
      <c r="AL3663">
        <v>346</v>
      </c>
      <c r="AM3663">
        <v>510</v>
      </c>
      <c r="AN3663">
        <v>44</v>
      </c>
      <c r="AP3663">
        <v>1</v>
      </c>
      <c r="AR3663" t="s">
        <v>3760</v>
      </c>
      <c r="AS3663" s="1">
        <v>44354.227777777778</v>
      </c>
      <c r="AT3663" s="1">
        <v>44354.232245370367</v>
      </c>
      <c r="AU3663" s="1">
        <v>44354.232835648145</v>
      </c>
      <c r="AV3663" t="s">
        <v>71</v>
      </c>
      <c r="AW3663" t="s">
        <v>72</v>
      </c>
      <c r="AX3663" t="s">
        <v>73</v>
      </c>
    </row>
    <row r="3664" spans="1:50" x14ac:dyDescent="0.3">
      <c r="A3664" t="str">
        <f>"201962B0000"</f>
        <v>201962B0000</v>
      </c>
      <c r="B3664" t="str">
        <f>"201962B00002"</f>
        <v>201962B00002</v>
      </c>
      <c r="C3664" t="str">
        <f t="shared" si="193"/>
        <v>20</v>
      </c>
      <c r="D3664" t="s">
        <v>67</v>
      </c>
      <c r="E3664" t="str">
        <f t="shared" si="192"/>
        <v>016</v>
      </c>
      <c r="F3664" t="s">
        <v>3578</v>
      </c>
      <c r="G3664" t="str">
        <f>"1962"</f>
        <v>1962</v>
      </c>
      <c r="H3664" t="str">
        <f>"0000"</f>
        <v>0000</v>
      </c>
      <c r="I3664" t="s">
        <v>69</v>
      </c>
      <c r="J3664">
        <v>0</v>
      </c>
      <c r="K3664">
        <v>1</v>
      </c>
      <c r="L3664">
        <v>2</v>
      </c>
      <c r="M3664">
        <v>385</v>
      </c>
      <c r="N3664">
        <v>140</v>
      </c>
      <c r="O3664">
        <v>4</v>
      </c>
      <c r="P3664">
        <v>140</v>
      </c>
      <c r="Q3664">
        <v>8</v>
      </c>
      <c r="R3664">
        <v>19</v>
      </c>
      <c r="S3664">
        <v>3</v>
      </c>
      <c r="T3664">
        <v>17</v>
      </c>
      <c r="U3664">
        <v>14</v>
      </c>
      <c r="V3664">
        <v>5</v>
      </c>
      <c r="W3664">
        <v>2</v>
      </c>
      <c r="X3664">
        <v>59</v>
      </c>
      <c r="Y3664">
        <v>1</v>
      </c>
      <c r="Z3664">
        <v>2</v>
      </c>
      <c r="AA3664">
        <v>3</v>
      </c>
      <c r="AB3664">
        <v>5</v>
      </c>
      <c r="AD3664">
        <v>0</v>
      </c>
      <c r="AE3664">
        <v>0</v>
      </c>
      <c r="AF3664">
        <v>0</v>
      </c>
      <c r="AG3664">
        <v>0</v>
      </c>
      <c r="AI3664">
        <v>0</v>
      </c>
      <c r="AJ3664">
        <v>2</v>
      </c>
      <c r="AK3664">
        <v>140</v>
      </c>
      <c r="AL3664">
        <v>140</v>
      </c>
      <c r="AM3664">
        <v>481</v>
      </c>
      <c r="AN3664">
        <v>44</v>
      </c>
      <c r="AP3664">
        <v>1</v>
      </c>
      <c r="AR3664" t="s">
        <v>3761</v>
      </c>
      <c r="AS3664" s="1">
        <v>44353.790277777778</v>
      </c>
      <c r="AT3664" s="1">
        <v>44353.969675925924</v>
      </c>
      <c r="AU3664" s="1">
        <v>44353.97016203704</v>
      </c>
      <c r="AV3664" t="s">
        <v>71</v>
      </c>
      <c r="AW3664" t="s">
        <v>72</v>
      </c>
      <c r="AX3664" t="s">
        <v>73</v>
      </c>
    </row>
    <row r="3665" spans="1:50" x14ac:dyDescent="0.3">
      <c r="A3665" t="str">
        <f>"201962C0100"</f>
        <v>201962C0100</v>
      </c>
      <c r="B3665" t="str">
        <f>"201962C01002"</f>
        <v>201962C01002</v>
      </c>
      <c r="C3665" t="str">
        <f t="shared" si="193"/>
        <v>20</v>
      </c>
      <c r="D3665" t="s">
        <v>67</v>
      </c>
      <c r="E3665" t="str">
        <f t="shared" si="192"/>
        <v>016</v>
      </c>
      <c r="F3665" t="s">
        <v>3578</v>
      </c>
      <c r="G3665" t="str">
        <f>"1962"</f>
        <v>1962</v>
      </c>
      <c r="H3665" t="str">
        <f>"0001"</f>
        <v>0001</v>
      </c>
      <c r="I3665" t="s">
        <v>75</v>
      </c>
      <c r="J3665">
        <v>0</v>
      </c>
      <c r="K3665">
        <v>1</v>
      </c>
      <c r="L3665">
        <v>2</v>
      </c>
      <c r="M3665">
        <v>402</v>
      </c>
      <c r="N3665">
        <v>123</v>
      </c>
      <c r="O3665">
        <v>6</v>
      </c>
      <c r="P3665">
        <v>123</v>
      </c>
      <c r="Q3665">
        <v>11</v>
      </c>
      <c r="R3665">
        <v>10</v>
      </c>
      <c r="S3665">
        <v>1</v>
      </c>
      <c r="T3665">
        <v>10</v>
      </c>
      <c r="U3665">
        <v>11</v>
      </c>
      <c r="V3665">
        <v>4</v>
      </c>
      <c r="W3665">
        <v>1</v>
      </c>
      <c r="X3665">
        <v>59</v>
      </c>
      <c r="Y3665">
        <v>0</v>
      </c>
      <c r="Z3665">
        <v>2</v>
      </c>
      <c r="AA3665">
        <v>5</v>
      </c>
      <c r="AB3665">
        <v>4</v>
      </c>
      <c r="AD3665">
        <v>0</v>
      </c>
      <c r="AE3665">
        <v>0</v>
      </c>
      <c r="AF3665">
        <v>0</v>
      </c>
      <c r="AG3665">
        <v>0</v>
      </c>
      <c r="AI3665">
        <v>0</v>
      </c>
      <c r="AJ3665">
        <v>5</v>
      </c>
      <c r="AK3665">
        <v>123</v>
      </c>
      <c r="AL3665">
        <v>123</v>
      </c>
      <c r="AM3665">
        <v>481</v>
      </c>
      <c r="AN3665">
        <v>44</v>
      </c>
      <c r="AP3665">
        <v>1</v>
      </c>
      <c r="AR3665" t="s">
        <v>3762</v>
      </c>
      <c r="AS3665" s="1">
        <v>44353.791666666664</v>
      </c>
      <c r="AT3665" s="1">
        <v>44353.96943287037</v>
      </c>
      <c r="AU3665" s="1">
        <v>44353.970196759263</v>
      </c>
      <c r="AV3665" t="s">
        <v>71</v>
      </c>
      <c r="AW3665" t="s">
        <v>72</v>
      </c>
      <c r="AX3665" t="s">
        <v>73</v>
      </c>
    </row>
    <row r="3666" spans="1:50" x14ac:dyDescent="0.3">
      <c r="A3666" t="str">
        <f>"201963B0000"</f>
        <v>201963B0000</v>
      </c>
      <c r="B3666" t="str">
        <f>"201963B00002"</f>
        <v>201963B00002</v>
      </c>
      <c r="C3666" t="str">
        <f t="shared" si="193"/>
        <v>20</v>
      </c>
      <c r="D3666" t="s">
        <v>67</v>
      </c>
      <c r="E3666" t="str">
        <f t="shared" si="192"/>
        <v>016</v>
      </c>
      <c r="F3666" t="s">
        <v>3578</v>
      </c>
      <c r="G3666" t="str">
        <f>"1963"</f>
        <v>1963</v>
      </c>
      <c r="H3666" t="str">
        <f>"0000"</f>
        <v>0000</v>
      </c>
      <c r="I3666" t="s">
        <v>69</v>
      </c>
      <c r="J3666">
        <v>0</v>
      </c>
      <c r="K3666">
        <v>1</v>
      </c>
      <c r="L3666">
        <v>2</v>
      </c>
      <c r="M3666">
        <v>534</v>
      </c>
      <c r="N3666">
        <v>208</v>
      </c>
      <c r="O3666">
        <v>1</v>
      </c>
      <c r="P3666">
        <v>208</v>
      </c>
      <c r="Q3666">
        <v>5</v>
      </c>
      <c r="R3666">
        <v>19</v>
      </c>
      <c r="S3666">
        <v>8</v>
      </c>
      <c r="T3666">
        <v>26</v>
      </c>
      <c r="U3666">
        <v>12</v>
      </c>
      <c r="V3666">
        <v>5</v>
      </c>
      <c r="W3666">
        <v>0</v>
      </c>
      <c r="X3666">
        <v>114</v>
      </c>
      <c r="Y3666">
        <v>0</v>
      </c>
      <c r="Z3666">
        <v>4</v>
      </c>
      <c r="AA3666">
        <v>3</v>
      </c>
      <c r="AB3666">
        <v>2</v>
      </c>
      <c r="AD3666">
        <v>0</v>
      </c>
      <c r="AE3666">
        <v>0</v>
      </c>
      <c r="AF3666">
        <v>0</v>
      </c>
      <c r="AG3666">
        <v>0</v>
      </c>
      <c r="AI3666">
        <v>0</v>
      </c>
      <c r="AJ3666">
        <v>10</v>
      </c>
      <c r="AK3666">
        <v>208</v>
      </c>
      <c r="AL3666">
        <v>208</v>
      </c>
      <c r="AM3666">
        <v>699</v>
      </c>
      <c r="AN3666">
        <v>44</v>
      </c>
      <c r="AP3666">
        <v>1</v>
      </c>
      <c r="AR3666" t="s">
        <v>3763</v>
      </c>
      <c r="AS3666" s="1">
        <v>44353.861111111109</v>
      </c>
      <c r="AT3666" s="1">
        <v>44354.039155092592</v>
      </c>
      <c r="AU3666" s="1">
        <v>44354.03974537037</v>
      </c>
      <c r="AV3666" t="s">
        <v>71</v>
      </c>
      <c r="AW3666" t="s">
        <v>72</v>
      </c>
      <c r="AX3666" t="s">
        <v>73</v>
      </c>
    </row>
    <row r="3667" spans="1:50" x14ac:dyDescent="0.3">
      <c r="A3667" t="str">
        <f>"201963C0100"</f>
        <v>201963C0100</v>
      </c>
      <c r="B3667" t="str">
        <f>"201963C01002"</f>
        <v>201963C01002</v>
      </c>
      <c r="C3667" t="str">
        <f t="shared" si="193"/>
        <v>20</v>
      </c>
      <c r="D3667" t="s">
        <v>67</v>
      </c>
      <c r="E3667" t="str">
        <f t="shared" si="192"/>
        <v>016</v>
      </c>
      <c r="F3667" t="s">
        <v>3578</v>
      </c>
      <c r="G3667" t="str">
        <f>"1963"</f>
        <v>1963</v>
      </c>
      <c r="H3667" t="str">
        <f>"0001"</f>
        <v>0001</v>
      </c>
      <c r="I3667" t="s">
        <v>75</v>
      </c>
      <c r="J3667">
        <v>0</v>
      </c>
      <c r="K3667">
        <v>1</v>
      </c>
      <c r="L3667">
        <v>2</v>
      </c>
      <c r="M3667">
        <v>488</v>
      </c>
      <c r="N3667">
        <v>255</v>
      </c>
      <c r="O3667">
        <v>0</v>
      </c>
      <c r="P3667" t="s">
        <v>80</v>
      </c>
      <c r="Q3667">
        <v>15</v>
      </c>
      <c r="R3667">
        <v>21</v>
      </c>
      <c r="S3667">
        <v>7</v>
      </c>
      <c r="T3667">
        <v>24</v>
      </c>
      <c r="U3667">
        <v>19</v>
      </c>
      <c r="V3667">
        <v>2</v>
      </c>
      <c r="W3667">
        <v>2</v>
      </c>
      <c r="X3667">
        <v>128</v>
      </c>
      <c r="Y3667">
        <v>3</v>
      </c>
      <c r="Z3667">
        <v>4</v>
      </c>
      <c r="AA3667">
        <v>3</v>
      </c>
      <c r="AB3667">
        <v>11</v>
      </c>
      <c r="AD3667">
        <v>1</v>
      </c>
      <c r="AE3667">
        <v>0</v>
      </c>
      <c r="AF3667">
        <v>0</v>
      </c>
      <c r="AG3667">
        <v>0</v>
      </c>
      <c r="AI3667">
        <v>0</v>
      </c>
      <c r="AJ3667">
        <v>15</v>
      </c>
      <c r="AK3667">
        <v>255</v>
      </c>
      <c r="AL3667">
        <v>255</v>
      </c>
      <c r="AM3667">
        <v>699</v>
      </c>
      <c r="AN3667">
        <v>44</v>
      </c>
      <c r="AP3667">
        <v>1</v>
      </c>
      <c r="AR3667" t="s">
        <v>3764</v>
      </c>
      <c r="AS3667" s="1">
        <v>44353.85</v>
      </c>
      <c r="AT3667" s="1">
        <v>44354.039571759262</v>
      </c>
      <c r="AU3667" s="1">
        <v>44354.040196759262</v>
      </c>
      <c r="AV3667" t="s">
        <v>71</v>
      </c>
      <c r="AW3667" t="s">
        <v>72</v>
      </c>
      <c r="AX3667" t="s">
        <v>73</v>
      </c>
    </row>
    <row r="3668" spans="1:50" x14ac:dyDescent="0.3">
      <c r="A3668" t="str">
        <f>"201964B0000"</f>
        <v>201964B0000</v>
      </c>
      <c r="B3668" t="str">
        <f>"201964B00002"</f>
        <v>201964B00002</v>
      </c>
      <c r="C3668" t="str">
        <f t="shared" si="193"/>
        <v>20</v>
      </c>
      <c r="D3668" t="s">
        <v>67</v>
      </c>
      <c r="E3668" t="str">
        <f t="shared" si="192"/>
        <v>016</v>
      </c>
      <c r="F3668" t="s">
        <v>3578</v>
      </c>
      <c r="G3668" t="str">
        <f>"1964"</f>
        <v>1964</v>
      </c>
      <c r="H3668" t="str">
        <f>"0000"</f>
        <v>0000</v>
      </c>
      <c r="I3668" t="s">
        <v>69</v>
      </c>
      <c r="J3668">
        <v>0</v>
      </c>
      <c r="K3668">
        <v>1</v>
      </c>
      <c r="L3668">
        <v>2</v>
      </c>
      <c r="M3668">
        <v>374</v>
      </c>
      <c r="N3668">
        <v>182</v>
      </c>
      <c r="O3668">
        <v>2</v>
      </c>
      <c r="P3668">
        <v>182</v>
      </c>
      <c r="Q3668">
        <v>8</v>
      </c>
      <c r="R3668">
        <v>11</v>
      </c>
      <c r="S3668">
        <v>5</v>
      </c>
      <c r="T3668">
        <v>20</v>
      </c>
      <c r="U3668">
        <v>15</v>
      </c>
      <c r="V3668">
        <v>2</v>
      </c>
      <c r="W3668">
        <v>3</v>
      </c>
      <c r="X3668">
        <v>89</v>
      </c>
      <c r="Y3668">
        <v>0</v>
      </c>
      <c r="Z3668">
        <v>2</v>
      </c>
      <c r="AA3668">
        <v>6</v>
      </c>
      <c r="AB3668">
        <v>8</v>
      </c>
      <c r="AD3668">
        <v>0</v>
      </c>
      <c r="AE3668">
        <v>0</v>
      </c>
      <c r="AF3668">
        <v>0</v>
      </c>
      <c r="AG3668">
        <v>0</v>
      </c>
      <c r="AI3668">
        <v>0</v>
      </c>
      <c r="AJ3668">
        <v>13</v>
      </c>
      <c r="AK3668">
        <v>182</v>
      </c>
      <c r="AL3668">
        <v>182</v>
      </c>
      <c r="AM3668">
        <v>513</v>
      </c>
      <c r="AN3668">
        <v>44</v>
      </c>
      <c r="AP3668">
        <v>1</v>
      </c>
      <c r="AR3668" t="s">
        <v>3765</v>
      </c>
      <c r="AS3668" s="1">
        <v>44354.029861111114</v>
      </c>
      <c r="AT3668" s="1">
        <v>44354.038645833331</v>
      </c>
      <c r="AU3668" s="1">
        <v>44354.039155092592</v>
      </c>
      <c r="AV3668" t="s">
        <v>71</v>
      </c>
      <c r="AW3668" t="s">
        <v>72</v>
      </c>
      <c r="AX3668" t="s">
        <v>73</v>
      </c>
    </row>
    <row r="3669" spans="1:50" x14ac:dyDescent="0.3">
      <c r="A3669" t="str">
        <f>"201964C0100"</f>
        <v>201964C0100</v>
      </c>
      <c r="B3669" t="str">
        <f>"201964C01002"</f>
        <v>201964C01002</v>
      </c>
      <c r="C3669" t="str">
        <f t="shared" si="193"/>
        <v>20</v>
      </c>
      <c r="D3669" t="s">
        <v>67</v>
      </c>
      <c r="E3669" t="str">
        <f t="shared" si="192"/>
        <v>016</v>
      </c>
      <c r="F3669" t="s">
        <v>3578</v>
      </c>
      <c r="G3669" t="str">
        <f>"1964"</f>
        <v>1964</v>
      </c>
      <c r="H3669" t="str">
        <f>"0001"</f>
        <v>0001</v>
      </c>
      <c r="I3669" t="s">
        <v>75</v>
      </c>
      <c r="J3669">
        <v>0</v>
      </c>
      <c r="K3669">
        <v>1</v>
      </c>
      <c r="L3669">
        <v>2</v>
      </c>
      <c r="M3669">
        <v>388</v>
      </c>
      <c r="N3669">
        <v>169</v>
      </c>
      <c r="O3669">
        <v>6</v>
      </c>
      <c r="P3669">
        <v>169</v>
      </c>
      <c r="Q3669">
        <v>5</v>
      </c>
      <c r="R3669">
        <v>14</v>
      </c>
      <c r="S3669">
        <v>5</v>
      </c>
      <c r="T3669">
        <v>27</v>
      </c>
      <c r="U3669">
        <v>15</v>
      </c>
      <c r="V3669">
        <v>2</v>
      </c>
      <c r="W3669">
        <v>4</v>
      </c>
      <c r="X3669">
        <v>76</v>
      </c>
      <c r="Y3669">
        <v>0</v>
      </c>
      <c r="Z3669">
        <v>3</v>
      </c>
      <c r="AA3669">
        <v>2</v>
      </c>
      <c r="AB3669">
        <v>4</v>
      </c>
      <c r="AD3669">
        <v>0</v>
      </c>
      <c r="AE3669">
        <v>0</v>
      </c>
      <c r="AF3669">
        <v>1</v>
      </c>
      <c r="AG3669">
        <v>0</v>
      </c>
      <c r="AI3669">
        <v>0</v>
      </c>
      <c r="AJ3669">
        <v>11</v>
      </c>
      <c r="AK3669">
        <v>169</v>
      </c>
      <c r="AL3669">
        <v>169</v>
      </c>
      <c r="AM3669">
        <v>513</v>
      </c>
      <c r="AN3669">
        <v>44</v>
      </c>
      <c r="AP3669">
        <v>1</v>
      </c>
      <c r="AR3669" t="s">
        <v>3766</v>
      </c>
      <c r="AS3669" s="1">
        <v>44354.029861111114</v>
      </c>
      <c r="AT3669" s="1">
        <v>44354.039247685185</v>
      </c>
      <c r="AU3669" s="1">
        <v>44354.039780092593</v>
      </c>
      <c r="AV3669" t="s">
        <v>71</v>
      </c>
      <c r="AW3669" t="s">
        <v>72</v>
      </c>
      <c r="AX3669" t="s">
        <v>73</v>
      </c>
    </row>
    <row r="3670" spans="1:50" x14ac:dyDescent="0.3">
      <c r="A3670" t="str">
        <f>"202258B0000"</f>
        <v>202258B0000</v>
      </c>
      <c r="B3670" t="str">
        <f>"202258B00002"</f>
        <v>202258B00002</v>
      </c>
      <c r="C3670" t="str">
        <f t="shared" si="193"/>
        <v>20</v>
      </c>
      <c r="D3670" t="s">
        <v>67</v>
      </c>
      <c r="E3670" t="str">
        <f t="shared" si="192"/>
        <v>016</v>
      </c>
      <c r="F3670" t="s">
        <v>3578</v>
      </c>
      <c r="G3670" t="str">
        <f>"2258"</f>
        <v>2258</v>
      </c>
      <c r="H3670" t="str">
        <f>"0000"</f>
        <v>0000</v>
      </c>
      <c r="I3670" t="s">
        <v>69</v>
      </c>
      <c r="J3670">
        <v>0</v>
      </c>
      <c r="K3670">
        <v>1</v>
      </c>
      <c r="L3670">
        <v>2</v>
      </c>
      <c r="M3670">
        <v>265</v>
      </c>
      <c r="N3670">
        <v>286</v>
      </c>
      <c r="O3670">
        <v>8</v>
      </c>
      <c r="P3670">
        <v>286</v>
      </c>
      <c r="Q3670">
        <v>28</v>
      </c>
      <c r="R3670">
        <v>43</v>
      </c>
      <c r="S3670">
        <v>0</v>
      </c>
      <c r="T3670">
        <v>85</v>
      </c>
      <c r="U3670">
        <v>16</v>
      </c>
      <c r="V3670">
        <v>2</v>
      </c>
      <c r="W3670">
        <v>1</v>
      </c>
      <c r="X3670">
        <v>82</v>
      </c>
      <c r="Y3670">
        <v>0</v>
      </c>
      <c r="Z3670">
        <v>1</v>
      </c>
      <c r="AA3670">
        <v>2</v>
      </c>
      <c r="AB3670">
        <v>4</v>
      </c>
      <c r="AD3670">
        <v>3</v>
      </c>
      <c r="AE3670">
        <v>1</v>
      </c>
      <c r="AF3670">
        <v>0</v>
      </c>
      <c r="AG3670">
        <v>0</v>
      </c>
      <c r="AI3670">
        <v>0</v>
      </c>
      <c r="AJ3670">
        <v>18</v>
      </c>
      <c r="AK3670">
        <v>286</v>
      </c>
      <c r="AL3670">
        <v>286</v>
      </c>
      <c r="AM3670">
        <v>507</v>
      </c>
      <c r="AN3670">
        <v>44</v>
      </c>
      <c r="AP3670">
        <v>1</v>
      </c>
      <c r="AR3670" t="s">
        <v>3767</v>
      </c>
      <c r="AS3670" s="1">
        <v>44354.072916666664</v>
      </c>
      <c r="AT3670" s="1">
        <v>44354.081076388888</v>
      </c>
      <c r="AU3670" s="1">
        <v>44354.082060185188</v>
      </c>
      <c r="AV3670" t="s">
        <v>71</v>
      </c>
      <c r="AW3670" t="s">
        <v>72</v>
      </c>
      <c r="AX3670" t="s">
        <v>73</v>
      </c>
    </row>
    <row r="3671" spans="1:50" x14ac:dyDescent="0.3">
      <c r="A3671" t="str">
        <f>"202259B0000"</f>
        <v>202259B0000</v>
      </c>
      <c r="B3671" t="str">
        <f>"202259B00002"</f>
        <v>202259B00002</v>
      </c>
      <c r="C3671" t="str">
        <f t="shared" si="193"/>
        <v>20</v>
      </c>
      <c r="D3671" t="s">
        <v>67</v>
      </c>
      <c r="E3671" t="str">
        <f t="shared" si="192"/>
        <v>016</v>
      </c>
      <c r="F3671" t="s">
        <v>3578</v>
      </c>
      <c r="G3671" t="str">
        <f>"2259"</f>
        <v>2259</v>
      </c>
      <c r="H3671" t="str">
        <f>"0000"</f>
        <v>0000</v>
      </c>
      <c r="I3671" t="s">
        <v>69</v>
      </c>
      <c r="J3671">
        <v>0</v>
      </c>
      <c r="K3671">
        <v>1</v>
      </c>
      <c r="L3671">
        <v>2</v>
      </c>
      <c r="M3671">
        <v>194</v>
      </c>
      <c r="N3671">
        <v>298</v>
      </c>
      <c r="O3671">
        <v>7</v>
      </c>
      <c r="P3671">
        <v>298</v>
      </c>
      <c r="Q3671">
        <v>28</v>
      </c>
      <c r="R3671">
        <v>38</v>
      </c>
      <c r="S3671">
        <v>0</v>
      </c>
      <c r="T3671">
        <v>124</v>
      </c>
      <c r="U3671">
        <v>19</v>
      </c>
      <c r="V3671">
        <v>1</v>
      </c>
      <c r="W3671">
        <v>0</v>
      </c>
      <c r="X3671">
        <v>71</v>
      </c>
      <c r="Y3671">
        <v>0</v>
      </c>
      <c r="Z3671">
        <v>4</v>
      </c>
      <c r="AA3671">
        <v>1</v>
      </c>
      <c r="AB3671">
        <v>3</v>
      </c>
      <c r="AD3671">
        <v>3</v>
      </c>
      <c r="AE3671">
        <v>0</v>
      </c>
      <c r="AF3671">
        <v>0</v>
      </c>
      <c r="AG3671">
        <v>0</v>
      </c>
      <c r="AI3671">
        <v>0</v>
      </c>
      <c r="AJ3671">
        <v>6</v>
      </c>
      <c r="AK3671">
        <v>298</v>
      </c>
      <c r="AL3671">
        <v>298</v>
      </c>
      <c r="AM3671">
        <v>448</v>
      </c>
      <c r="AN3671">
        <v>44</v>
      </c>
      <c r="AP3671">
        <v>1</v>
      </c>
      <c r="AR3671" t="s">
        <v>3768</v>
      </c>
      <c r="AS3671" s="1">
        <v>44354.066666666666</v>
      </c>
      <c r="AT3671" s="1">
        <v>44354.072465277779</v>
      </c>
      <c r="AU3671" s="1">
        <v>44354.072870370372</v>
      </c>
      <c r="AV3671" t="s">
        <v>71</v>
      </c>
      <c r="AW3671" t="s">
        <v>72</v>
      </c>
      <c r="AX3671" t="s">
        <v>73</v>
      </c>
    </row>
    <row r="3672" spans="1:50" x14ac:dyDescent="0.3">
      <c r="A3672" t="str">
        <f>"202260B0000"</f>
        <v>202260B0000</v>
      </c>
      <c r="B3672" t="str">
        <f>"202260B00002"</f>
        <v>202260B00002</v>
      </c>
      <c r="C3672" t="str">
        <f t="shared" si="193"/>
        <v>20</v>
      </c>
      <c r="D3672" t="s">
        <v>67</v>
      </c>
      <c r="E3672" t="str">
        <f t="shared" si="192"/>
        <v>016</v>
      </c>
      <c r="F3672" t="s">
        <v>3578</v>
      </c>
      <c r="G3672" t="str">
        <f>"2260"</f>
        <v>2260</v>
      </c>
      <c r="H3672" t="str">
        <f>"0000"</f>
        <v>0000</v>
      </c>
      <c r="I3672" t="s">
        <v>69</v>
      </c>
      <c r="J3672">
        <v>0</v>
      </c>
      <c r="K3672">
        <v>1</v>
      </c>
      <c r="L3672">
        <v>2</v>
      </c>
      <c r="M3672">
        <v>294</v>
      </c>
      <c r="N3672">
        <v>245</v>
      </c>
      <c r="O3672">
        <v>1</v>
      </c>
      <c r="P3672">
        <v>245</v>
      </c>
      <c r="Q3672">
        <v>6</v>
      </c>
      <c r="R3672">
        <v>82</v>
      </c>
      <c r="S3672">
        <v>0</v>
      </c>
      <c r="T3672">
        <v>83</v>
      </c>
      <c r="U3672">
        <v>7</v>
      </c>
      <c r="V3672">
        <v>1</v>
      </c>
      <c r="W3672">
        <v>2</v>
      </c>
      <c r="X3672">
        <v>40</v>
      </c>
      <c r="Y3672">
        <v>0</v>
      </c>
      <c r="Z3672">
        <v>2</v>
      </c>
      <c r="AA3672">
        <v>1</v>
      </c>
      <c r="AB3672">
        <v>2</v>
      </c>
      <c r="AD3672">
        <v>2</v>
      </c>
      <c r="AE3672">
        <v>1</v>
      </c>
      <c r="AF3672">
        <v>0</v>
      </c>
      <c r="AG3672">
        <v>0</v>
      </c>
      <c r="AI3672">
        <v>0</v>
      </c>
      <c r="AJ3672">
        <v>19</v>
      </c>
      <c r="AK3672">
        <v>248</v>
      </c>
      <c r="AL3672">
        <v>248</v>
      </c>
      <c r="AM3672">
        <v>499</v>
      </c>
      <c r="AN3672">
        <v>44</v>
      </c>
      <c r="AP3672">
        <v>1</v>
      </c>
      <c r="AR3672" t="s">
        <v>3769</v>
      </c>
      <c r="AS3672" s="1">
        <v>44354.129861111112</v>
      </c>
      <c r="AT3672" s="1">
        <v>44354.132719907408</v>
      </c>
      <c r="AU3672" s="1">
        <v>44354.133657407408</v>
      </c>
      <c r="AV3672" t="s">
        <v>71</v>
      </c>
      <c r="AW3672" t="s">
        <v>72</v>
      </c>
      <c r="AX3672" t="s">
        <v>73</v>
      </c>
    </row>
    <row r="3673" spans="1:50" x14ac:dyDescent="0.3">
      <c r="A3673" t="str">
        <f>"202260C0100"</f>
        <v>202260C0100</v>
      </c>
      <c r="B3673" t="str">
        <f>"202260C01002"</f>
        <v>202260C01002</v>
      </c>
      <c r="C3673" t="str">
        <f t="shared" si="193"/>
        <v>20</v>
      </c>
      <c r="D3673" t="s">
        <v>67</v>
      </c>
      <c r="E3673" t="str">
        <f t="shared" si="192"/>
        <v>016</v>
      </c>
      <c r="F3673" t="s">
        <v>3578</v>
      </c>
      <c r="G3673" t="str">
        <f>"2260"</f>
        <v>2260</v>
      </c>
      <c r="H3673" t="str">
        <f>"0001"</f>
        <v>0001</v>
      </c>
      <c r="I3673" t="s">
        <v>75</v>
      </c>
      <c r="J3673">
        <v>0</v>
      </c>
      <c r="K3673">
        <v>1</v>
      </c>
      <c r="L3673">
        <v>2</v>
      </c>
      <c r="M3673">
        <v>283</v>
      </c>
      <c r="N3673">
        <v>258</v>
      </c>
      <c r="O3673">
        <v>2</v>
      </c>
      <c r="P3673">
        <v>258</v>
      </c>
      <c r="Q3673">
        <v>16</v>
      </c>
      <c r="R3673">
        <v>75</v>
      </c>
      <c r="S3673">
        <v>1</v>
      </c>
      <c r="T3673">
        <v>87</v>
      </c>
      <c r="U3673">
        <v>18</v>
      </c>
      <c r="V3673">
        <v>0</v>
      </c>
      <c r="W3673">
        <v>4</v>
      </c>
      <c r="X3673">
        <v>38</v>
      </c>
      <c r="Y3673">
        <v>0</v>
      </c>
      <c r="Z3673">
        <v>1</v>
      </c>
      <c r="AA3673">
        <v>0</v>
      </c>
      <c r="AB3673">
        <v>4</v>
      </c>
      <c r="AD3673">
        <v>0</v>
      </c>
      <c r="AE3673">
        <v>2</v>
      </c>
      <c r="AF3673">
        <v>0</v>
      </c>
      <c r="AG3673">
        <v>0</v>
      </c>
      <c r="AI3673">
        <v>0</v>
      </c>
      <c r="AJ3673">
        <v>12</v>
      </c>
      <c r="AK3673">
        <v>258</v>
      </c>
      <c r="AL3673">
        <v>258</v>
      </c>
      <c r="AM3673">
        <v>496</v>
      </c>
      <c r="AN3673">
        <v>44</v>
      </c>
      <c r="AP3673">
        <v>1</v>
      </c>
      <c r="AR3673" t="s">
        <v>3770</v>
      </c>
      <c r="AS3673" s="1">
        <v>44353.888888888891</v>
      </c>
      <c r="AT3673" s="1">
        <v>44354.131724537037</v>
      </c>
      <c r="AU3673" s="1">
        <v>44354.132974537039</v>
      </c>
      <c r="AV3673" t="s">
        <v>71</v>
      </c>
      <c r="AW3673" t="s">
        <v>72</v>
      </c>
      <c r="AX3673" t="s">
        <v>73</v>
      </c>
    </row>
    <row r="3674" spans="1:50" x14ac:dyDescent="0.3">
      <c r="A3674" t="str">
        <f>"202260E0100"</f>
        <v>202260E0100</v>
      </c>
      <c r="B3674" t="str">
        <f>"202260E01002"</f>
        <v>202260E01002</v>
      </c>
      <c r="C3674" t="str">
        <f t="shared" si="193"/>
        <v>20</v>
      </c>
      <c r="D3674" t="s">
        <v>67</v>
      </c>
      <c r="E3674" t="str">
        <f t="shared" ref="E3674:E3710" si="194">"016"</f>
        <v>016</v>
      </c>
      <c r="F3674" t="s">
        <v>3578</v>
      </c>
      <c r="G3674" t="str">
        <f>"2260"</f>
        <v>2260</v>
      </c>
      <c r="H3674" t="str">
        <f>"0001"</f>
        <v>0001</v>
      </c>
      <c r="I3674" t="s">
        <v>109</v>
      </c>
      <c r="J3674">
        <v>0</v>
      </c>
      <c r="K3674">
        <v>1</v>
      </c>
      <c r="L3674">
        <v>2</v>
      </c>
      <c r="M3674">
        <v>448</v>
      </c>
      <c r="N3674">
        <v>341</v>
      </c>
      <c r="O3674">
        <v>7</v>
      </c>
      <c r="P3674">
        <v>341</v>
      </c>
      <c r="Q3674">
        <v>7</v>
      </c>
      <c r="R3674">
        <v>22</v>
      </c>
      <c r="S3674">
        <v>1</v>
      </c>
      <c r="T3674">
        <v>209</v>
      </c>
      <c r="U3674">
        <v>14</v>
      </c>
      <c r="V3674">
        <v>2</v>
      </c>
      <c r="W3674">
        <v>1</v>
      </c>
      <c r="X3674">
        <v>60</v>
      </c>
      <c r="Y3674">
        <v>1</v>
      </c>
      <c r="Z3674">
        <v>1</v>
      </c>
      <c r="AA3674">
        <v>2</v>
      </c>
      <c r="AB3674">
        <v>0</v>
      </c>
      <c r="AD3674">
        <v>0</v>
      </c>
      <c r="AE3674">
        <v>0</v>
      </c>
      <c r="AF3674">
        <v>0</v>
      </c>
      <c r="AG3674">
        <v>1</v>
      </c>
      <c r="AI3674">
        <v>0</v>
      </c>
      <c r="AJ3674">
        <v>20</v>
      </c>
      <c r="AK3674">
        <v>341</v>
      </c>
      <c r="AL3674">
        <v>341</v>
      </c>
      <c r="AM3674">
        <v>745</v>
      </c>
      <c r="AN3674">
        <v>44</v>
      </c>
      <c r="AP3674">
        <v>1</v>
      </c>
      <c r="AR3674" t="s">
        <v>3771</v>
      </c>
      <c r="AS3674" s="1">
        <v>44354.131944444445</v>
      </c>
      <c r="AT3674" s="1">
        <v>44354.133715277778</v>
      </c>
      <c r="AU3674" s="1">
        <v>44354.134641203702</v>
      </c>
      <c r="AV3674" t="s">
        <v>71</v>
      </c>
      <c r="AW3674" t="s">
        <v>72</v>
      </c>
      <c r="AX3674" t="s">
        <v>73</v>
      </c>
    </row>
    <row r="3675" spans="1:50" x14ac:dyDescent="0.3">
      <c r="A3675" t="str">
        <f>"202391B0000"</f>
        <v>202391B0000</v>
      </c>
      <c r="B3675" t="str">
        <f>"202391B00002"</f>
        <v>202391B00002</v>
      </c>
      <c r="C3675" t="str">
        <f t="shared" si="193"/>
        <v>20</v>
      </c>
      <c r="D3675" t="s">
        <v>67</v>
      </c>
      <c r="E3675" t="str">
        <f t="shared" si="194"/>
        <v>016</v>
      </c>
      <c r="F3675" t="s">
        <v>3578</v>
      </c>
      <c r="G3675" t="str">
        <f>"2391"</f>
        <v>2391</v>
      </c>
      <c r="H3675" t="str">
        <f>"0000"</f>
        <v>0000</v>
      </c>
      <c r="I3675" t="s">
        <v>69</v>
      </c>
      <c r="J3675">
        <v>0</v>
      </c>
      <c r="K3675">
        <v>1</v>
      </c>
      <c r="L3675">
        <v>2</v>
      </c>
      <c r="M3675">
        <v>185</v>
      </c>
      <c r="N3675">
        <v>307</v>
      </c>
      <c r="O3675">
        <v>10</v>
      </c>
      <c r="P3675">
        <v>307</v>
      </c>
      <c r="Q3675">
        <v>4</v>
      </c>
      <c r="R3675">
        <v>24</v>
      </c>
      <c r="S3675">
        <v>34</v>
      </c>
      <c r="T3675">
        <v>102</v>
      </c>
      <c r="U3675">
        <v>25</v>
      </c>
      <c r="V3675">
        <v>2</v>
      </c>
      <c r="W3675">
        <v>0</v>
      </c>
      <c r="X3675">
        <v>92</v>
      </c>
      <c r="Y3675">
        <v>0</v>
      </c>
      <c r="Z3675">
        <v>0</v>
      </c>
      <c r="AA3675">
        <v>1</v>
      </c>
      <c r="AB3675">
        <v>3</v>
      </c>
      <c r="AD3675" t="s">
        <v>77</v>
      </c>
      <c r="AE3675" t="s">
        <v>77</v>
      </c>
      <c r="AF3675" t="s">
        <v>77</v>
      </c>
      <c r="AG3675" t="s">
        <v>77</v>
      </c>
      <c r="AI3675" t="s">
        <v>77</v>
      </c>
      <c r="AJ3675">
        <v>20</v>
      </c>
      <c r="AK3675">
        <v>307</v>
      </c>
      <c r="AL3675">
        <v>307</v>
      </c>
      <c r="AM3675">
        <v>448</v>
      </c>
      <c r="AN3675">
        <v>44</v>
      </c>
      <c r="AO3675" t="s">
        <v>78</v>
      </c>
      <c r="AP3675">
        <v>1</v>
      </c>
      <c r="AR3675" t="s">
        <v>3772</v>
      </c>
      <c r="AS3675" s="1">
        <v>44354.083333333336</v>
      </c>
      <c r="AT3675" s="1">
        <v>44354.15587962963</v>
      </c>
      <c r="AU3675" s="1">
        <v>44354.156365740739</v>
      </c>
      <c r="AV3675" t="s">
        <v>71</v>
      </c>
      <c r="AW3675" t="s">
        <v>72</v>
      </c>
      <c r="AX3675" t="s">
        <v>73</v>
      </c>
    </row>
    <row r="3676" spans="1:50" x14ac:dyDescent="0.3">
      <c r="A3676" t="str">
        <f>"202391C0100"</f>
        <v>202391C0100</v>
      </c>
      <c r="B3676" t="str">
        <f>"202391C01002"</f>
        <v>202391C01002</v>
      </c>
      <c r="C3676" t="str">
        <f t="shared" si="193"/>
        <v>20</v>
      </c>
      <c r="D3676" t="s">
        <v>67</v>
      </c>
      <c r="E3676" t="str">
        <f t="shared" si="194"/>
        <v>016</v>
      </c>
      <c r="F3676" t="s">
        <v>3578</v>
      </c>
      <c r="G3676" t="str">
        <f>"2391"</f>
        <v>2391</v>
      </c>
      <c r="H3676" t="str">
        <f>"0001"</f>
        <v>0001</v>
      </c>
      <c r="I3676" t="s">
        <v>75</v>
      </c>
      <c r="J3676">
        <v>0</v>
      </c>
      <c r="K3676">
        <v>1</v>
      </c>
      <c r="L3676">
        <v>2</v>
      </c>
      <c r="M3676">
        <v>164</v>
      </c>
      <c r="N3676">
        <v>327</v>
      </c>
      <c r="O3676">
        <v>4</v>
      </c>
      <c r="P3676">
        <v>327</v>
      </c>
      <c r="Q3676">
        <v>4</v>
      </c>
      <c r="R3676">
        <v>14</v>
      </c>
      <c r="S3676">
        <v>36</v>
      </c>
      <c r="T3676">
        <v>111</v>
      </c>
      <c r="U3676">
        <v>41</v>
      </c>
      <c r="V3676">
        <v>3</v>
      </c>
      <c r="W3676">
        <v>6</v>
      </c>
      <c r="X3676">
        <v>77</v>
      </c>
      <c r="Y3676">
        <v>0</v>
      </c>
      <c r="Z3676">
        <v>5</v>
      </c>
      <c r="AA3676">
        <v>1</v>
      </c>
      <c r="AB3676">
        <v>5</v>
      </c>
      <c r="AD3676">
        <v>2</v>
      </c>
      <c r="AE3676" t="s">
        <v>77</v>
      </c>
      <c r="AF3676" t="s">
        <v>77</v>
      </c>
      <c r="AG3676" t="s">
        <v>77</v>
      </c>
      <c r="AI3676" t="s">
        <v>77</v>
      </c>
      <c r="AJ3676">
        <v>22</v>
      </c>
      <c r="AK3676">
        <v>327</v>
      </c>
      <c r="AL3676">
        <v>327</v>
      </c>
      <c r="AM3676">
        <v>447</v>
      </c>
      <c r="AN3676">
        <v>44</v>
      </c>
      <c r="AO3676" t="s">
        <v>78</v>
      </c>
      <c r="AP3676">
        <v>1</v>
      </c>
      <c r="AR3676" t="s">
        <v>3773</v>
      </c>
      <c r="AS3676" s="1">
        <v>44354.062407407408</v>
      </c>
      <c r="AT3676" s="1">
        <v>44354.067754629628</v>
      </c>
      <c r="AU3676" s="1">
        <v>44354.068449074075</v>
      </c>
      <c r="AV3676" t="s">
        <v>269</v>
      </c>
      <c r="AW3676" t="s">
        <v>270</v>
      </c>
      <c r="AX3676" t="s">
        <v>73</v>
      </c>
    </row>
    <row r="3677" spans="1:50" x14ac:dyDescent="0.3">
      <c r="A3677" t="str">
        <f>"202391E0100"</f>
        <v>202391E0100</v>
      </c>
      <c r="B3677" t="str">
        <f>"202391E01002"</f>
        <v>202391E01002</v>
      </c>
      <c r="C3677" t="str">
        <f t="shared" si="193"/>
        <v>20</v>
      </c>
      <c r="D3677" t="s">
        <v>67</v>
      </c>
      <c r="E3677" t="str">
        <f t="shared" si="194"/>
        <v>016</v>
      </c>
      <c r="F3677" t="s">
        <v>3578</v>
      </c>
      <c r="G3677" t="str">
        <f>"2391"</f>
        <v>2391</v>
      </c>
      <c r="H3677" t="str">
        <f>"0001"</f>
        <v>0001</v>
      </c>
      <c r="I3677" t="s">
        <v>109</v>
      </c>
      <c r="J3677">
        <v>0</v>
      </c>
      <c r="K3677">
        <v>1</v>
      </c>
      <c r="L3677">
        <v>2</v>
      </c>
      <c r="M3677">
        <v>186</v>
      </c>
      <c r="N3677">
        <v>427</v>
      </c>
      <c r="O3677">
        <v>0</v>
      </c>
      <c r="P3677">
        <v>0</v>
      </c>
      <c r="Q3677">
        <v>11</v>
      </c>
      <c r="R3677">
        <v>32</v>
      </c>
      <c r="S3677">
        <v>162</v>
      </c>
      <c r="T3677">
        <v>86</v>
      </c>
      <c r="U3677">
        <v>21</v>
      </c>
      <c r="V3677">
        <v>0</v>
      </c>
      <c r="W3677">
        <v>1</v>
      </c>
      <c r="X3677">
        <v>92</v>
      </c>
      <c r="Y3677">
        <v>1</v>
      </c>
      <c r="Z3677">
        <v>1</v>
      </c>
      <c r="AA3677">
        <v>3</v>
      </c>
      <c r="AB3677">
        <v>2</v>
      </c>
      <c r="AD3677">
        <v>3</v>
      </c>
      <c r="AE3677">
        <v>0</v>
      </c>
      <c r="AF3677">
        <v>0</v>
      </c>
      <c r="AG3677">
        <v>0</v>
      </c>
      <c r="AI3677">
        <v>0</v>
      </c>
      <c r="AJ3677">
        <v>12</v>
      </c>
      <c r="AK3677">
        <v>427</v>
      </c>
      <c r="AL3677">
        <v>427</v>
      </c>
      <c r="AM3677">
        <v>569</v>
      </c>
      <c r="AN3677">
        <v>44</v>
      </c>
      <c r="AP3677">
        <v>1</v>
      </c>
      <c r="AR3677" t="s">
        <v>3774</v>
      </c>
      <c r="AS3677" s="1">
        <v>44354.049479166664</v>
      </c>
      <c r="AT3677" s="1">
        <v>44354.055312500001</v>
      </c>
      <c r="AU3677" s="1">
        <v>44354.055787037039</v>
      </c>
      <c r="AV3677" t="s">
        <v>269</v>
      </c>
      <c r="AW3677" t="s">
        <v>270</v>
      </c>
      <c r="AX3677" t="s">
        <v>73</v>
      </c>
    </row>
    <row r="3678" spans="1:50" x14ac:dyDescent="0.3">
      <c r="A3678" t="str">
        <f>"202392B0000"</f>
        <v>202392B0000</v>
      </c>
      <c r="B3678" t="str">
        <f>"202392B00002"</f>
        <v>202392B00002</v>
      </c>
      <c r="C3678" t="str">
        <f t="shared" si="193"/>
        <v>20</v>
      </c>
      <c r="D3678" t="s">
        <v>67</v>
      </c>
      <c r="E3678" t="str">
        <f t="shared" si="194"/>
        <v>016</v>
      </c>
      <c r="F3678" t="s">
        <v>3578</v>
      </c>
      <c r="G3678" t="str">
        <f>"2392"</f>
        <v>2392</v>
      </c>
      <c r="H3678" t="str">
        <f>"0000"</f>
        <v>0000</v>
      </c>
      <c r="I3678" t="s">
        <v>69</v>
      </c>
      <c r="J3678">
        <v>0</v>
      </c>
      <c r="K3678">
        <v>1</v>
      </c>
      <c r="L3678">
        <v>2</v>
      </c>
      <c r="M3678">
        <v>238</v>
      </c>
      <c r="N3678">
        <v>285</v>
      </c>
      <c r="O3678">
        <v>3</v>
      </c>
      <c r="P3678">
        <v>285</v>
      </c>
      <c r="Q3678">
        <v>13</v>
      </c>
      <c r="R3678">
        <v>18</v>
      </c>
      <c r="S3678">
        <v>106</v>
      </c>
      <c r="T3678">
        <v>19</v>
      </c>
      <c r="U3678">
        <v>14</v>
      </c>
      <c r="V3678">
        <v>6</v>
      </c>
      <c r="W3678">
        <v>4</v>
      </c>
      <c r="X3678">
        <v>87</v>
      </c>
      <c r="Y3678">
        <v>0</v>
      </c>
      <c r="Z3678">
        <v>3</v>
      </c>
      <c r="AA3678">
        <v>2</v>
      </c>
      <c r="AB3678">
        <v>3</v>
      </c>
      <c r="AD3678">
        <v>3</v>
      </c>
      <c r="AE3678">
        <v>0</v>
      </c>
      <c r="AF3678">
        <v>0</v>
      </c>
      <c r="AG3678">
        <v>3</v>
      </c>
      <c r="AI3678">
        <v>0</v>
      </c>
      <c r="AJ3678">
        <v>7</v>
      </c>
      <c r="AK3678">
        <v>285</v>
      </c>
      <c r="AL3678">
        <v>288</v>
      </c>
      <c r="AM3678">
        <v>479</v>
      </c>
      <c r="AN3678">
        <v>44</v>
      </c>
      <c r="AP3678">
        <v>1</v>
      </c>
      <c r="AR3678" t="s">
        <v>3775</v>
      </c>
      <c r="AS3678" s="1">
        <v>44353.892361111109</v>
      </c>
      <c r="AT3678" s="1">
        <v>44354.158483796295</v>
      </c>
      <c r="AU3678" s="1">
        <v>44354.15896990741</v>
      </c>
      <c r="AV3678" t="s">
        <v>71</v>
      </c>
      <c r="AW3678" t="s">
        <v>72</v>
      </c>
      <c r="AX3678" t="s">
        <v>73</v>
      </c>
    </row>
    <row r="3679" spans="1:50" x14ac:dyDescent="0.3">
      <c r="A3679" t="str">
        <f>"202392E0100"</f>
        <v>202392E0100</v>
      </c>
      <c r="B3679" t="str">
        <f>"202392E01002"</f>
        <v>202392E01002</v>
      </c>
      <c r="C3679" t="str">
        <f t="shared" si="193"/>
        <v>20</v>
      </c>
      <c r="D3679" t="s">
        <v>67</v>
      </c>
      <c r="E3679" t="str">
        <f t="shared" si="194"/>
        <v>016</v>
      </c>
      <c r="F3679" t="s">
        <v>3578</v>
      </c>
      <c r="G3679" t="str">
        <f>"2392"</f>
        <v>2392</v>
      </c>
      <c r="H3679" t="str">
        <f>"0001"</f>
        <v>0001</v>
      </c>
      <c r="I3679" t="s">
        <v>109</v>
      </c>
      <c r="J3679">
        <v>0</v>
      </c>
      <c r="K3679">
        <v>1</v>
      </c>
      <c r="L3679">
        <v>2</v>
      </c>
      <c r="M3679">
        <v>243</v>
      </c>
      <c r="N3679">
        <v>365</v>
      </c>
      <c r="O3679">
        <v>1</v>
      </c>
      <c r="P3679" t="s">
        <v>80</v>
      </c>
      <c r="Q3679">
        <v>19</v>
      </c>
      <c r="R3679">
        <v>24</v>
      </c>
      <c r="S3679">
        <v>166</v>
      </c>
      <c r="T3679">
        <v>32</v>
      </c>
      <c r="U3679">
        <v>20</v>
      </c>
      <c r="V3679">
        <v>2</v>
      </c>
      <c r="W3679">
        <v>0</v>
      </c>
      <c r="X3679">
        <v>63</v>
      </c>
      <c r="Y3679">
        <v>2</v>
      </c>
      <c r="Z3679">
        <v>6</v>
      </c>
      <c r="AA3679">
        <v>2</v>
      </c>
      <c r="AB3679">
        <v>9</v>
      </c>
      <c r="AD3679">
        <v>1</v>
      </c>
      <c r="AE3679">
        <v>3</v>
      </c>
      <c r="AF3679">
        <v>0</v>
      </c>
      <c r="AG3679">
        <v>4</v>
      </c>
      <c r="AI3679">
        <v>1</v>
      </c>
      <c r="AJ3679">
        <v>11</v>
      </c>
      <c r="AK3679">
        <v>365</v>
      </c>
      <c r="AL3679">
        <v>365</v>
      </c>
      <c r="AM3679">
        <v>564</v>
      </c>
      <c r="AN3679">
        <v>44</v>
      </c>
      <c r="AP3679">
        <v>1</v>
      </c>
      <c r="AR3679" t="s">
        <v>3776</v>
      </c>
      <c r="AS3679" s="1">
        <v>44353.98128472222</v>
      </c>
      <c r="AT3679" s="1">
        <v>44353.98296296296</v>
      </c>
      <c r="AU3679" s="1">
        <v>44353.983425925922</v>
      </c>
      <c r="AV3679" t="s">
        <v>269</v>
      </c>
      <c r="AW3679" t="s">
        <v>270</v>
      </c>
      <c r="AX3679" t="s">
        <v>73</v>
      </c>
    </row>
    <row r="3680" spans="1:50" x14ac:dyDescent="0.3">
      <c r="A3680" t="str">
        <f>"202436B0000"</f>
        <v>202436B0000</v>
      </c>
      <c r="B3680" t="str">
        <f>"202436B00002"</f>
        <v>202436B00002</v>
      </c>
      <c r="C3680" t="str">
        <f t="shared" si="193"/>
        <v>20</v>
      </c>
      <c r="D3680" t="s">
        <v>67</v>
      </c>
      <c r="E3680" t="str">
        <f t="shared" si="194"/>
        <v>016</v>
      </c>
      <c r="F3680" t="s">
        <v>3578</v>
      </c>
      <c r="G3680" t="str">
        <f>"2436"</f>
        <v>2436</v>
      </c>
      <c r="H3680" t="str">
        <f>"0000"</f>
        <v>0000</v>
      </c>
      <c r="I3680" t="s">
        <v>69</v>
      </c>
      <c r="J3680">
        <v>0</v>
      </c>
      <c r="K3680">
        <v>1</v>
      </c>
      <c r="L3680">
        <v>2</v>
      </c>
      <c r="M3680">
        <v>212</v>
      </c>
      <c r="N3680">
        <v>519</v>
      </c>
      <c r="O3680">
        <v>5</v>
      </c>
      <c r="P3680" t="s">
        <v>80</v>
      </c>
      <c r="Q3680">
        <v>72</v>
      </c>
      <c r="R3680">
        <v>24</v>
      </c>
      <c r="S3680">
        <v>8</v>
      </c>
      <c r="T3680">
        <v>113</v>
      </c>
      <c r="U3680">
        <v>75</v>
      </c>
      <c r="V3680">
        <v>14</v>
      </c>
      <c r="W3680">
        <v>3</v>
      </c>
      <c r="X3680">
        <v>149</v>
      </c>
      <c r="Y3680">
        <v>3</v>
      </c>
      <c r="Z3680">
        <v>14</v>
      </c>
      <c r="AA3680">
        <v>3</v>
      </c>
      <c r="AB3680">
        <v>19</v>
      </c>
      <c r="AD3680">
        <v>1</v>
      </c>
      <c r="AE3680">
        <v>0</v>
      </c>
      <c r="AF3680">
        <v>0</v>
      </c>
      <c r="AG3680">
        <v>0</v>
      </c>
      <c r="AI3680">
        <v>0</v>
      </c>
      <c r="AJ3680">
        <v>21</v>
      </c>
      <c r="AK3680">
        <v>519</v>
      </c>
      <c r="AL3680">
        <v>519</v>
      </c>
      <c r="AM3680">
        <v>687</v>
      </c>
      <c r="AN3680">
        <v>44</v>
      </c>
      <c r="AP3680">
        <v>1</v>
      </c>
      <c r="AR3680" t="s">
        <v>3777</v>
      </c>
      <c r="AS3680" s="1">
        <v>44353.960173611114</v>
      </c>
      <c r="AT3680" s="1">
        <v>44353.961481481485</v>
      </c>
      <c r="AU3680" s="1">
        <v>44353.96230324074</v>
      </c>
      <c r="AV3680" t="s">
        <v>269</v>
      </c>
      <c r="AW3680" t="s">
        <v>270</v>
      </c>
      <c r="AX3680" t="s">
        <v>73</v>
      </c>
    </row>
    <row r="3681" spans="1:50" x14ac:dyDescent="0.3">
      <c r="A3681" t="str">
        <f>"202436C0100"</f>
        <v>202436C0100</v>
      </c>
      <c r="B3681" t="str">
        <f>"202436C01002"</f>
        <v>202436C01002</v>
      </c>
      <c r="C3681" t="str">
        <f t="shared" si="193"/>
        <v>20</v>
      </c>
      <c r="D3681" t="s">
        <v>67</v>
      </c>
      <c r="E3681" t="str">
        <f t="shared" si="194"/>
        <v>016</v>
      </c>
      <c r="F3681" t="s">
        <v>3578</v>
      </c>
      <c r="G3681" t="str">
        <f>"2436"</f>
        <v>2436</v>
      </c>
      <c r="H3681" t="str">
        <f>"0001"</f>
        <v>0001</v>
      </c>
      <c r="I3681" t="s">
        <v>75</v>
      </c>
      <c r="J3681">
        <v>0</v>
      </c>
      <c r="K3681">
        <v>1</v>
      </c>
      <c r="L3681">
        <v>2</v>
      </c>
      <c r="M3681">
        <v>270</v>
      </c>
      <c r="N3681">
        <v>460</v>
      </c>
      <c r="O3681">
        <v>5</v>
      </c>
      <c r="P3681" t="s">
        <v>80</v>
      </c>
      <c r="Q3681">
        <v>79</v>
      </c>
      <c r="R3681">
        <v>26</v>
      </c>
      <c r="S3681">
        <v>9</v>
      </c>
      <c r="T3681">
        <v>117</v>
      </c>
      <c r="U3681">
        <v>37</v>
      </c>
      <c r="V3681">
        <v>6</v>
      </c>
      <c r="W3681">
        <v>6</v>
      </c>
      <c r="X3681">
        <v>126</v>
      </c>
      <c r="Y3681">
        <v>4</v>
      </c>
      <c r="Z3681">
        <v>11</v>
      </c>
      <c r="AA3681">
        <v>1</v>
      </c>
      <c r="AB3681">
        <v>13</v>
      </c>
      <c r="AD3681">
        <v>2</v>
      </c>
      <c r="AE3681">
        <v>1</v>
      </c>
      <c r="AF3681">
        <v>2</v>
      </c>
      <c r="AG3681">
        <v>0</v>
      </c>
      <c r="AI3681">
        <v>0</v>
      </c>
      <c r="AJ3681">
        <v>21</v>
      </c>
      <c r="AK3681">
        <v>461</v>
      </c>
      <c r="AL3681">
        <v>461</v>
      </c>
      <c r="AM3681">
        <v>687</v>
      </c>
      <c r="AN3681">
        <v>44</v>
      </c>
      <c r="AP3681">
        <v>1</v>
      </c>
      <c r="AR3681" t="s">
        <v>3778</v>
      </c>
      <c r="AS3681" s="1">
        <v>44354.012499999997</v>
      </c>
      <c r="AT3681" s="1">
        <v>44354.019687499997</v>
      </c>
      <c r="AU3681" s="1">
        <v>44354.020462962966</v>
      </c>
      <c r="AV3681" t="s">
        <v>71</v>
      </c>
      <c r="AW3681" t="s">
        <v>72</v>
      </c>
      <c r="AX3681" t="s">
        <v>73</v>
      </c>
    </row>
    <row r="3682" spans="1:50" x14ac:dyDescent="0.3">
      <c r="A3682" t="str">
        <f>"202437B0000"</f>
        <v>202437B0000</v>
      </c>
      <c r="B3682" t="str">
        <f>"202437B00002"</f>
        <v>202437B00002</v>
      </c>
      <c r="C3682" t="str">
        <f t="shared" si="193"/>
        <v>20</v>
      </c>
      <c r="D3682" t="s">
        <v>67</v>
      </c>
      <c r="E3682" t="str">
        <f t="shared" si="194"/>
        <v>016</v>
      </c>
      <c r="F3682" t="s">
        <v>3578</v>
      </c>
      <c r="G3682" t="str">
        <f>"2437"</f>
        <v>2437</v>
      </c>
      <c r="H3682" t="str">
        <f>"0000"</f>
        <v>0000</v>
      </c>
      <c r="I3682" t="s">
        <v>69</v>
      </c>
      <c r="J3682">
        <v>0</v>
      </c>
      <c r="K3682">
        <v>1</v>
      </c>
      <c r="L3682">
        <v>2</v>
      </c>
      <c r="M3682">
        <v>265</v>
      </c>
      <c r="N3682">
        <v>487</v>
      </c>
      <c r="O3682">
        <v>3</v>
      </c>
      <c r="P3682">
        <v>487</v>
      </c>
      <c r="Q3682">
        <v>87</v>
      </c>
      <c r="R3682">
        <v>21</v>
      </c>
      <c r="S3682">
        <v>11</v>
      </c>
      <c r="T3682">
        <v>89</v>
      </c>
      <c r="U3682">
        <v>60</v>
      </c>
      <c r="V3682">
        <v>4</v>
      </c>
      <c r="W3682">
        <v>3</v>
      </c>
      <c r="X3682">
        <v>148</v>
      </c>
      <c r="Y3682">
        <v>0</v>
      </c>
      <c r="Z3682">
        <v>14</v>
      </c>
      <c r="AA3682">
        <v>2</v>
      </c>
      <c r="AB3682">
        <v>27</v>
      </c>
      <c r="AD3682">
        <v>2</v>
      </c>
      <c r="AE3682">
        <v>1</v>
      </c>
      <c r="AF3682">
        <v>0</v>
      </c>
      <c r="AG3682">
        <v>0</v>
      </c>
      <c r="AI3682">
        <v>0</v>
      </c>
      <c r="AJ3682">
        <v>18</v>
      </c>
      <c r="AK3682">
        <v>487</v>
      </c>
      <c r="AL3682">
        <v>487</v>
      </c>
      <c r="AM3682">
        <v>708</v>
      </c>
      <c r="AN3682">
        <v>44</v>
      </c>
      <c r="AP3682">
        <v>1</v>
      </c>
      <c r="AR3682" t="s">
        <v>3779</v>
      </c>
      <c r="AS3682" s="1">
        <v>44354.018055555556</v>
      </c>
      <c r="AT3682" s="1">
        <v>44354.026770833334</v>
      </c>
      <c r="AU3682" s="1">
        <v>44354.02721064815</v>
      </c>
      <c r="AV3682" t="s">
        <v>71</v>
      </c>
      <c r="AW3682" t="s">
        <v>72</v>
      </c>
      <c r="AX3682" t="s">
        <v>73</v>
      </c>
    </row>
    <row r="3683" spans="1:50" x14ac:dyDescent="0.3">
      <c r="A3683" t="str">
        <f>"202437C0100"</f>
        <v>202437C0100</v>
      </c>
      <c r="B3683" t="str">
        <f>"202437C01002"</f>
        <v>202437C01002</v>
      </c>
      <c r="C3683" t="str">
        <f t="shared" si="193"/>
        <v>20</v>
      </c>
      <c r="D3683" t="s">
        <v>67</v>
      </c>
      <c r="E3683" t="str">
        <f t="shared" si="194"/>
        <v>016</v>
      </c>
      <c r="F3683" t="s">
        <v>3578</v>
      </c>
      <c r="G3683" t="str">
        <f>"2437"</f>
        <v>2437</v>
      </c>
      <c r="H3683" t="str">
        <f>"0001"</f>
        <v>0001</v>
      </c>
      <c r="I3683" t="s">
        <v>75</v>
      </c>
      <c r="J3683">
        <v>0</v>
      </c>
      <c r="K3683">
        <v>1</v>
      </c>
      <c r="L3683">
        <v>2</v>
      </c>
      <c r="M3683">
        <v>255</v>
      </c>
      <c r="N3683">
        <v>497</v>
      </c>
      <c r="O3683">
        <v>9</v>
      </c>
      <c r="P3683">
        <v>497</v>
      </c>
      <c r="Q3683">
        <v>83</v>
      </c>
      <c r="R3683">
        <v>21</v>
      </c>
      <c r="S3683">
        <v>11</v>
      </c>
      <c r="T3683">
        <v>109</v>
      </c>
      <c r="U3683">
        <v>54</v>
      </c>
      <c r="V3683">
        <v>2</v>
      </c>
      <c r="W3683">
        <v>4</v>
      </c>
      <c r="X3683">
        <v>143</v>
      </c>
      <c r="Y3683">
        <v>0</v>
      </c>
      <c r="Z3683">
        <v>14</v>
      </c>
      <c r="AA3683">
        <v>5</v>
      </c>
      <c r="AB3683">
        <v>21</v>
      </c>
      <c r="AD3683">
        <v>3</v>
      </c>
      <c r="AE3683">
        <v>3</v>
      </c>
      <c r="AF3683">
        <v>0</v>
      </c>
      <c r="AG3683">
        <v>0</v>
      </c>
      <c r="AI3683">
        <v>0</v>
      </c>
      <c r="AJ3683">
        <v>24</v>
      </c>
      <c r="AK3683">
        <v>497</v>
      </c>
      <c r="AL3683">
        <v>497</v>
      </c>
      <c r="AM3683">
        <v>708</v>
      </c>
      <c r="AN3683">
        <v>44</v>
      </c>
      <c r="AP3683">
        <v>1</v>
      </c>
      <c r="AR3683" t="s">
        <v>3780</v>
      </c>
      <c r="AS3683" s="1">
        <v>44353.97556712963</v>
      </c>
      <c r="AT3683" s="1">
        <v>44353.977048611108</v>
      </c>
      <c r="AU3683" s="1">
        <v>44353.97761574074</v>
      </c>
      <c r="AV3683" t="s">
        <v>269</v>
      </c>
      <c r="AW3683" t="s">
        <v>270</v>
      </c>
      <c r="AX3683" t="s">
        <v>73</v>
      </c>
    </row>
    <row r="3684" spans="1:50" x14ac:dyDescent="0.3">
      <c r="A3684" t="str">
        <f>"202437C0200"</f>
        <v>202437C0200</v>
      </c>
      <c r="B3684" t="str">
        <f>"202437C02002"</f>
        <v>202437C02002</v>
      </c>
      <c r="C3684" t="str">
        <f t="shared" si="193"/>
        <v>20</v>
      </c>
      <c r="D3684" t="s">
        <v>67</v>
      </c>
      <c r="E3684" t="str">
        <f t="shared" si="194"/>
        <v>016</v>
      </c>
      <c r="F3684" t="s">
        <v>3578</v>
      </c>
      <c r="G3684" t="str">
        <f>"2437"</f>
        <v>2437</v>
      </c>
      <c r="H3684" t="str">
        <f>"0002"</f>
        <v>0002</v>
      </c>
      <c r="I3684" t="s">
        <v>75</v>
      </c>
      <c r="J3684">
        <v>0</v>
      </c>
      <c r="K3684">
        <v>1</v>
      </c>
      <c r="L3684">
        <v>2</v>
      </c>
      <c r="M3684">
        <v>289</v>
      </c>
      <c r="N3684">
        <v>462</v>
      </c>
      <c r="O3684">
        <v>5</v>
      </c>
      <c r="P3684">
        <v>462</v>
      </c>
      <c r="Q3684">
        <v>57</v>
      </c>
      <c r="R3684">
        <v>15</v>
      </c>
      <c r="S3684">
        <v>9</v>
      </c>
      <c r="T3684">
        <v>112</v>
      </c>
      <c r="U3684">
        <v>60</v>
      </c>
      <c r="V3684">
        <v>5</v>
      </c>
      <c r="W3684">
        <v>4</v>
      </c>
      <c r="X3684">
        <v>141</v>
      </c>
      <c r="Y3684">
        <v>1</v>
      </c>
      <c r="Z3684">
        <v>11</v>
      </c>
      <c r="AA3684">
        <v>4</v>
      </c>
      <c r="AB3684">
        <v>21</v>
      </c>
      <c r="AD3684">
        <v>3</v>
      </c>
      <c r="AE3684" t="s">
        <v>77</v>
      </c>
      <c r="AF3684" t="s">
        <v>77</v>
      </c>
      <c r="AG3684" t="s">
        <v>77</v>
      </c>
      <c r="AI3684" t="s">
        <v>77</v>
      </c>
      <c r="AJ3684">
        <v>19</v>
      </c>
      <c r="AK3684">
        <v>462</v>
      </c>
      <c r="AL3684">
        <v>462</v>
      </c>
      <c r="AM3684">
        <v>708</v>
      </c>
      <c r="AN3684">
        <v>44</v>
      </c>
      <c r="AO3684" t="s">
        <v>78</v>
      </c>
      <c r="AP3684">
        <v>1</v>
      </c>
      <c r="AR3684" t="s">
        <v>3781</v>
      </c>
      <c r="AS3684" s="1">
        <v>44353.965358796297</v>
      </c>
      <c r="AT3684" s="1">
        <v>44353.966921296298</v>
      </c>
      <c r="AU3684" s="1">
        <v>44353.967905092592</v>
      </c>
      <c r="AV3684" t="s">
        <v>269</v>
      </c>
      <c r="AW3684" t="s">
        <v>270</v>
      </c>
      <c r="AX3684" t="s">
        <v>73</v>
      </c>
    </row>
    <row r="3685" spans="1:50" x14ac:dyDescent="0.3">
      <c r="A3685" t="str">
        <f>"202438B0000"</f>
        <v>202438B0000</v>
      </c>
      <c r="B3685" t="str">
        <f>"202438B00002"</f>
        <v>202438B00002</v>
      </c>
      <c r="C3685" t="str">
        <f t="shared" si="193"/>
        <v>20</v>
      </c>
      <c r="D3685" t="s">
        <v>67</v>
      </c>
      <c r="E3685" t="str">
        <f t="shared" si="194"/>
        <v>016</v>
      </c>
      <c r="F3685" t="s">
        <v>3578</v>
      </c>
      <c r="G3685" t="str">
        <f>"2438"</f>
        <v>2438</v>
      </c>
      <c r="H3685" t="str">
        <f>"0000"</f>
        <v>0000</v>
      </c>
      <c r="I3685" t="s">
        <v>69</v>
      </c>
      <c r="J3685">
        <v>0</v>
      </c>
      <c r="K3685">
        <v>1</v>
      </c>
      <c r="L3685">
        <v>2</v>
      </c>
      <c r="M3685">
        <v>242</v>
      </c>
      <c r="N3685">
        <v>378</v>
      </c>
      <c r="O3685">
        <v>7</v>
      </c>
      <c r="P3685">
        <v>386</v>
      </c>
      <c r="Q3685">
        <v>52</v>
      </c>
      <c r="R3685">
        <v>14</v>
      </c>
      <c r="S3685">
        <v>2</v>
      </c>
      <c r="T3685">
        <v>75</v>
      </c>
      <c r="U3685">
        <v>63</v>
      </c>
      <c r="V3685">
        <v>8</v>
      </c>
      <c r="W3685">
        <v>2</v>
      </c>
      <c r="X3685">
        <v>121</v>
      </c>
      <c r="Y3685">
        <v>3</v>
      </c>
      <c r="Z3685">
        <v>18</v>
      </c>
      <c r="AA3685" t="s">
        <v>77</v>
      </c>
      <c r="AB3685">
        <v>7</v>
      </c>
      <c r="AD3685">
        <v>1</v>
      </c>
      <c r="AE3685">
        <v>2</v>
      </c>
      <c r="AF3685" t="s">
        <v>77</v>
      </c>
      <c r="AG3685">
        <v>1</v>
      </c>
      <c r="AI3685">
        <v>17</v>
      </c>
      <c r="AJ3685">
        <v>17</v>
      </c>
      <c r="AK3685">
        <v>386</v>
      </c>
      <c r="AL3685">
        <v>403</v>
      </c>
      <c r="AM3685">
        <v>584</v>
      </c>
      <c r="AN3685">
        <v>44</v>
      </c>
      <c r="AO3685" t="s">
        <v>78</v>
      </c>
      <c r="AP3685">
        <v>1</v>
      </c>
      <c r="AR3685" t="s">
        <v>3782</v>
      </c>
      <c r="AS3685" s="1">
        <v>44353.927523148152</v>
      </c>
      <c r="AT3685" s="1">
        <v>44353.930034722223</v>
      </c>
      <c r="AU3685" s="1">
        <v>44353.932233796295</v>
      </c>
      <c r="AV3685" t="s">
        <v>269</v>
      </c>
      <c r="AW3685" t="s">
        <v>270</v>
      </c>
      <c r="AX3685" t="s">
        <v>73</v>
      </c>
    </row>
    <row r="3686" spans="1:50" x14ac:dyDescent="0.3">
      <c r="A3686" t="str">
        <f>"202438C0100"</f>
        <v>202438C0100</v>
      </c>
      <c r="B3686" t="str">
        <f>"202438C01002"</f>
        <v>202438C01002</v>
      </c>
      <c r="C3686" t="str">
        <f t="shared" si="193"/>
        <v>20</v>
      </c>
      <c r="D3686" t="s">
        <v>67</v>
      </c>
      <c r="E3686" t="str">
        <f t="shared" si="194"/>
        <v>016</v>
      </c>
      <c r="F3686" t="s">
        <v>3578</v>
      </c>
      <c r="G3686" t="str">
        <f>"2438"</f>
        <v>2438</v>
      </c>
      <c r="H3686" t="str">
        <f>"0001"</f>
        <v>0001</v>
      </c>
      <c r="I3686" t="s">
        <v>75</v>
      </c>
      <c r="J3686">
        <v>0</v>
      </c>
      <c r="K3686">
        <v>1</v>
      </c>
      <c r="L3686">
        <v>2</v>
      </c>
      <c r="M3686">
        <v>265</v>
      </c>
      <c r="N3686">
        <v>363</v>
      </c>
      <c r="O3686">
        <v>6</v>
      </c>
      <c r="P3686">
        <v>362</v>
      </c>
      <c r="Q3686">
        <v>48</v>
      </c>
      <c r="R3686">
        <v>8</v>
      </c>
      <c r="S3686">
        <v>5</v>
      </c>
      <c r="T3686">
        <v>82</v>
      </c>
      <c r="U3686">
        <v>68</v>
      </c>
      <c r="V3686">
        <v>5</v>
      </c>
      <c r="W3686">
        <v>0</v>
      </c>
      <c r="X3686">
        <v>106</v>
      </c>
      <c r="Y3686">
        <v>3</v>
      </c>
      <c r="Z3686">
        <v>11</v>
      </c>
      <c r="AA3686">
        <v>3</v>
      </c>
      <c r="AB3686">
        <v>6</v>
      </c>
      <c r="AD3686">
        <v>2</v>
      </c>
      <c r="AE3686">
        <v>0</v>
      </c>
      <c r="AF3686">
        <v>0</v>
      </c>
      <c r="AG3686">
        <v>0</v>
      </c>
      <c r="AI3686">
        <v>0</v>
      </c>
      <c r="AJ3686">
        <v>15</v>
      </c>
      <c r="AK3686">
        <v>362</v>
      </c>
      <c r="AL3686">
        <v>362</v>
      </c>
      <c r="AM3686">
        <v>584</v>
      </c>
      <c r="AN3686">
        <v>44</v>
      </c>
      <c r="AP3686">
        <v>1</v>
      </c>
      <c r="AR3686" t="s">
        <v>3783</v>
      </c>
      <c r="AS3686" s="1">
        <v>44353.941944444443</v>
      </c>
      <c r="AT3686" s="1">
        <v>44353.943483796298</v>
      </c>
      <c r="AU3686" s="1">
        <v>44353.944155092591</v>
      </c>
      <c r="AV3686" t="s">
        <v>269</v>
      </c>
      <c r="AW3686" t="s">
        <v>270</v>
      </c>
      <c r="AX3686" t="s">
        <v>73</v>
      </c>
    </row>
    <row r="3687" spans="1:50" x14ac:dyDescent="0.3">
      <c r="A3687" t="str">
        <f>"202439B0000"</f>
        <v>202439B0000</v>
      </c>
      <c r="B3687" t="str">
        <f>"202439B00002"</f>
        <v>202439B00002</v>
      </c>
      <c r="C3687" t="str">
        <f t="shared" si="193"/>
        <v>20</v>
      </c>
      <c r="D3687" t="s">
        <v>67</v>
      </c>
      <c r="E3687" t="str">
        <f t="shared" si="194"/>
        <v>016</v>
      </c>
      <c r="F3687" t="s">
        <v>3578</v>
      </c>
      <c r="G3687" t="str">
        <f>"2439"</f>
        <v>2439</v>
      </c>
      <c r="H3687" t="str">
        <f>"0000"</f>
        <v>0000</v>
      </c>
      <c r="I3687" t="s">
        <v>69</v>
      </c>
      <c r="J3687">
        <v>0</v>
      </c>
      <c r="K3687">
        <v>1</v>
      </c>
      <c r="L3687">
        <v>2</v>
      </c>
      <c r="M3687">
        <v>219</v>
      </c>
      <c r="N3687">
        <v>480</v>
      </c>
      <c r="O3687">
        <v>9</v>
      </c>
      <c r="P3687">
        <v>480</v>
      </c>
      <c r="Q3687">
        <v>73</v>
      </c>
      <c r="R3687">
        <v>18</v>
      </c>
      <c r="S3687">
        <v>8</v>
      </c>
      <c r="T3687">
        <v>71</v>
      </c>
      <c r="U3687">
        <v>83</v>
      </c>
      <c r="V3687">
        <v>0</v>
      </c>
      <c r="W3687">
        <v>1</v>
      </c>
      <c r="X3687">
        <v>179</v>
      </c>
      <c r="Y3687">
        <v>0</v>
      </c>
      <c r="Z3687">
        <v>7</v>
      </c>
      <c r="AA3687">
        <v>2</v>
      </c>
      <c r="AB3687">
        <v>4</v>
      </c>
      <c r="AD3687">
        <v>1</v>
      </c>
      <c r="AE3687">
        <v>0</v>
      </c>
      <c r="AF3687">
        <v>1</v>
      </c>
      <c r="AG3687">
        <v>2</v>
      </c>
      <c r="AI3687">
        <v>0</v>
      </c>
      <c r="AJ3687">
        <v>30</v>
      </c>
      <c r="AK3687">
        <v>480</v>
      </c>
      <c r="AL3687">
        <v>480</v>
      </c>
      <c r="AM3687">
        <v>656</v>
      </c>
      <c r="AN3687">
        <v>44</v>
      </c>
      <c r="AP3687">
        <v>1</v>
      </c>
      <c r="AR3687" t="s">
        <v>3784</v>
      </c>
      <c r="AS3687" s="1">
        <v>44353.995497685188</v>
      </c>
      <c r="AT3687" s="1">
        <v>44354.000104166669</v>
      </c>
      <c r="AU3687" s="1">
        <v>44354.000752314816</v>
      </c>
      <c r="AV3687" t="s">
        <v>269</v>
      </c>
      <c r="AW3687" t="s">
        <v>270</v>
      </c>
      <c r="AX3687" t="s">
        <v>73</v>
      </c>
    </row>
    <row r="3688" spans="1:50" x14ac:dyDescent="0.3">
      <c r="A3688" t="str">
        <f>"202439C0100"</f>
        <v>202439C0100</v>
      </c>
      <c r="B3688" t="str">
        <f>"202439C01002"</f>
        <v>202439C01002</v>
      </c>
      <c r="C3688" t="str">
        <f t="shared" si="193"/>
        <v>20</v>
      </c>
      <c r="D3688" t="s">
        <v>67</v>
      </c>
      <c r="E3688" t="str">
        <f t="shared" si="194"/>
        <v>016</v>
      </c>
      <c r="F3688" t="s">
        <v>3578</v>
      </c>
      <c r="G3688" t="str">
        <f>"2439"</f>
        <v>2439</v>
      </c>
      <c r="H3688" t="str">
        <f>"0001"</f>
        <v>0001</v>
      </c>
      <c r="I3688" t="s">
        <v>75</v>
      </c>
      <c r="J3688">
        <v>0</v>
      </c>
      <c r="K3688">
        <v>1</v>
      </c>
      <c r="L3688">
        <v>2</v>
      </c>
      <c r="M3688">
        <v>220</v>
      </c>
      <c r="N3688" t="s">
        <v>80</v>
      </c>
      <c r="O3688" t="s">
        <v>80</v>
      </c>
      <c r="P3688">
        <v>479</v>
      </c>
      <c r="Q3688">
        <v>70</v>
      </c>
      <c r="R3688">
        <v>19</v>
      </c>
      <c r="S3688">
        <v>3</v>
      </c>
      <c r="T3688">
        <v>93</v>
      </c>
      <c r="U3688">
        <v>92</v>
      </c>
      <c r="V3688">
        <v>13</v>
      </c>
      <c r="W3688">
        <v>3</v>
      </c>
      <c r="X3688">
        <v>131</v>
      </c>
      <c r="Y3688">
        <v>0</v>
      </c>
      <c r="Z3688">
        <v>12</v>
      </c>
      <c r="AA3688">
        <v>4</v>
      </c>
      <c r="AB3688">
        <v>14</v>
      </c>
      <c r="AD3688">
        <v>3</v>
      </c>
      <c r="AE3688">
        <v>0</v>
      </c>
      <c r="AF3688">
        <v>0</v>
      </c>
      <c r="AG3688">
        <v>0</v>
      </c>
      <c r="AI3688">
        <v>0</v>
      </c>
      <c r="AJ3688">
        <v>22</v>
      </c>
      <c r="AK3688">
        <v>479</v>
      </c>
      <c r="AL3688">
        <v>479</v>
      </c>
      <c r="AM3688">
        <v>655</v>
      </c>
      <c r="AN3688">
        <v>44</v>
      </c>
      <c r="AP3688">
        <v>1</v>
      </c>
      <c r="AR3688" t="s">
        <v>3785</v>
      </c>
      <c r="AS3688" s="1">
        <v>44354.081944444442</v>
      </c>
      <c r="AT3688" s="1">
        <v>44354.089571759258</v>
      </c>
      <c r="AU3688" s="1">
        <v>44354.090497685182</v>
      </c>
      <c r="AV3688" t="s">
        <v>71</v>
      </c>
      <c r="AW3688" t="s">
        <v>72</v>
      </c>
      <c r="AX3688" t="s">
        <v>73</v>
      </c>
    </row>
    <row r="3689" spans="1:50" x14ac:dyDescent="0.3">
      <c r="A3689" t="str">
        <f>"202439S0100"</f>
        <v>202439S0100</v>
      </c>
      <c r="B3689" t="str">
        <f>"202439S01002EMR"</f>
        <v>202439S01002EMR</v>
      </c>
      <c r="C3689" t="str">
        <f t="shared" si="193"/>
        <v>20</v>
      </c>
      <c r="D3689" t="s">
        <v>67</v>
      </c>
      <c r="E3689" t="str">
        <f t="shared" si="194"/>
        <v>016</v>
      </c>
      <c r="F3689" t="s">
        <v>3578</v>
      </c>
      <c r="G3689" t="str">
        <f>"2439"</f>
        <v>2439</v>
      </c>
      <c r="H3689" t="str">
        <f>"0001"</f>
        <v>0001</v>
      </c>
      <c r="I3689" t="s">
        <v>85</v>
      </c>
      <c r="J3689">
        <v>0</v>
      </c>
      <c r="K3689">
        <v>1</v>
      </c>
      <c r="L3689" t="s">
        <v>86</v>
      </c>
      <c r="M3689">
        <v>653</v>
      </c>
      <c r="N3689">
        <v>108</v>
      </c>
      <c r="O3689">
        <v>0</v>
      </c>
      <c r="P3689">
        <v>108</v>
      </c>
      <c r="Q3689">
        <v>20</v>
      </c>
      <c r="R3689">
        <v>10</v>
      </c>
      <c r="S3689">
        <v>0</v>
      </c>
      <c r="T3689">
        <v>15</v>
      </c>
      <c r="U3689">
        <v>10</v>
      </c>
      <c r="V3689">
        <v>1</v>
      </c>
      <c r="W3689">
        <v>1</v>
      </c>
      <c r="X3689">
        <v>40</v>
      </c>
      <c r="Y3689">
        <v>0</v>
      </c>
      <c r="Z3689">
        <v>2</v>
      </c>
      <c r="AA3689">
        <v>2</v>
      </c>
      <c r="AB3689">
        <v>0</v>
      </c>
      <c r="AD3689">
        <v>2</v>
      </c>
      <c r="AE3689">
        <v>0</v>
      </c>
      <c r="AF3689">
        <v>0</v>
      </c>
      <c r="AG3689">
        <v>0</v>
      </c>
      <c r="AI3689">
        <v>0</v>
      </c>
      <c r="AJ3689">
        <v>2</v>
      </c>
      <c r="AK3689">
        <v>108</v>
      </c>
      <c r="AL3689">
        <v>105</v>
      </c>
      <c r="AM3689">
        <v>0</v>
      </c>
      <c r="AN3689">
        <v>44</v>
      </c>
      <c r="AP3689">
        <v>1</v>
      </c>
      <c r="AR3689" t="s">
        <v>3786</v>
      </c>
      <c r="AS3689" s="1">
        <v>44354.024409722224</v>
      </c>
      <c r="AT3689" s="1">
        <v>44354.039004629631</v>
      </c>
      <c r="AU3689" s="1">
        <v>44354.052870370368</v>
      </c>
      <c r="AV3689" t="s">
        <v>269</v>
      </c>
      <c r="AW3689" t="s">
        <v>270</v>
      </c>
      <c r="AX3689" t="s">
        <v>73</v>
      </c>
    </row>
    <row r="3690" spans="1:50" x14ac:dyDescent="0.3">
      <c r="A3690" t="str">
        <f>"202440B0000"</f>
        <v>202440B0000</v>
      </c>
      <c r="B3690" t="str">
        <f>"202440B00002"</f>
        <v>202440B00002</v>
      </c>
      <c r="C3690" t="str">
        <f t="shared" si="193"/>
        <v>20</v>
      </c>
      <c r="D3690" t="s">
        <v>67</v>
      </c>
      <c r="E3690" t="str">
        <f t="shared" si="194"/>
        <v>016</v>
      </c>
      <c r="F3690" t="s">
        <v>3578</v>
      </c>
      <c r="G3690" t="str">
        <f>"2440"</f>
        <v>2440</v>
      </c>
      <c r="H3690" t="str">
        <f>"0000"</f>
        <v>0000</v>
      </c>
      <c r="I3690" t="s">
        <v>69</v>
      </c>
      <c r="J3690">
        <v>0</v>
      </c>
      <c r="K3690">
        <v>1</v>
      </c>
      <c r="L3690">
        <v>2</v>
      </c>
      <c r="M3690">
        <v>193</v>
      </c>
      <c r="N3690">
        <v>362</v>
      </c>
      <c r="O3690">
        <v>9</v>
      </c>
      <c r="P3690">
        <v>362</v>
      </c>
      <c r="Q3690">
        <v>76</v>
      </c>
      <c r="R3690">
        <v>22</v>
      </c>
      <c r="S3690">
        <v>1</v>
      </c>
      <c r="T3690">
        <v>52</v>
      </c>
      <c r="U3690">
        <v>52</v>
      </c>
      <c r="V3690">
        <v>6</v>
      </c>
      <c r="W3690">
        <v>4</v>
      </c>
      <c r="X3690">
        <v>113</v>
      </c>
      <c r="Y3690">
        <v>2</v>
      </c>
      <c r="Z3690">
        <v>5</v>
      </c>
      <c r="AA3690">
        <v>3</v>
      </c>
      <c r="AB3690">
        <v>13</v>
      </c>
      <c r="AD3690">
        <v>4</v>
      </c>
      <c r="AE3690">
        <v>0</v>
      </c>
      <c r="AF3690">
        <v>0</v>
      </c>
      <c r="AG3690">
        <v>0</v>
      </c>
      <c r="AI3690">
        <v>1</v>
      </c>
      <c r="AJ3690">
        <v>8</v>
      </c>
      <c r="AK3690">
        <v>362</v>
      </c>
      <c r="AL3690">
        <v>362</v>
      </c>
      <c r="AM3690">
        <v>511</v>
      </c>
      <c r="AN3690">
        <v>44</v>
      </c>
      <c r="AP3690">
        <v>1</v>
      </c>
      <c r="AR3690" t="s">
        <v>3787</v>
      </c>
      <c r="AS3690" s="1">
        <v>44353.870613425926</v>
      </c>
      <c r="AT3690" s="1">
        <v>44353.872974537036</v>
      </c>
      <c r="AU3690" s="1">
        <v>44353.874120370368</v>
      </c>
      <c r="AV3690" t="s">
        <v>269</v>
      </c>
      <c r="AW3690" t="s">
        <v>270</v>
      </c>
      <c r="AX3690" t="s">
        <v>73</v>
      </c>
    </row>
    <row r="3691" spans="1:50" x14ac:dyDescent="0.3">
      <c r="A3691" t="str">
        <f>"202440C0100"</f>
        <v>202440C0100</v>
      </c>
      <c r="B3691" t="str">
        <f>"202440C01002"</f>
        <v>202440C01002</v>
      </c>
      <c r="C3691" t="str">
        <f t="shared" si="193"/>
        <v>20</v>
      </c>
      <c r="D3691" t="s">
        <v>67</v>
      </c>
      <c r="E3691" t="str">
        <f t="shared" si="194"/>
        <v>016</v>
      </c>
      <c r="F3691" t="s">
        <v>3578</v>
      </c>
      <c r="G3691" t="str">
        <f>"2440"</f>
        <v>2440</v>
      </c>
      <c r="H3691" t="str">
        <f>"0001"</f>
        <v>0001</v>
      </c>
      <c r="I3691" t="s">
        <v>75</v>
      </c>
      <c r="J3691">
        <v>0</v>
      </c>
      <c r="K3691">
        <v>1</v>
      </c>
      <c r="L3691">
        <v>2</v>
      </c>
      <c r="M3691">
        <v>185</v>
      </c>
      <c r="N3691">
        <v>370</v>
      </c>
      <c r="O3691">
        <v>7</v>
      </c>
      <c r="P3691">
        <v>370</v>
      </c>
      <c r="Q3691">
        <v>87</v>
      </c>
      <c r="R3691">
        <v>24</v>
      </c>
      <c r="S3691">
        <v>0</v>
      </c>
      <c r="T3691">
        <v>54</v>
      </c>
      <c r="U3691">
        <v>39</v>
      </c>
      <c r="V3691">
        <v>4</v>
      </c>
      <c r="W3691">
        <v>1</v>
      </c>
      <c r="X3691">
        <v>125</v>
      </c>
      <c r="Y3691">
        <v>1</v>
      </c>
      <c r="Z3691">
        <v>11</v>
      </c>
      <c r="AA3691">
        <v>1</v>
      </c>
      <c r="AB3691">
        <v>7</v>
      </c>
      <c r="AD3691">
        <v>3</v>
      </c>
      <c r="AE3691">
        <v>1</v>
      </c>
      <c r="AF3691">
        <v>0</v>
      </c>
      <c r="AG3691">
        <v>0</v>
      </c>
      <c r="AI3691">
        <v>0</v>
      </c>
      <c r="AJ3691">
        <v>12</v>
      </c>
      <c r="AK3691">
        <v>370</v>
      </c>
      <c r="AL3691">
        <v>370</v>
      </c>
      <c r="AM3691">
        <v>511</v>
      </c>
      <c r="AN3691">
        <v>44</v>
      </c>
      <c r="AP3691">
        <v>1</v>
      </c>
      <c r="AR3691" t="s">
        <v>3788</v>
      </c>
      <c r="AS3691" s="1">
        <v>44353.977777777778</v>
      </c>
      <c r="AT3691" s="1">
        <v>44353.98028935185</v>
      </c>
      <c r="AU3691" s="1">
        <v>44353.980844907404</v>
      </c>
      <c r="AV3691" t="s">
        <v>71</v>
      </c>
      <c r="AW3691" t="s">
        <v>72</v>
      </c>
      <c r="AX3691" t="s">
        <v>73</v>
      </c>
    </row>
    <row r="3692" spans="1:50" x14ac:dyDescent="0.3">
      <c r="A3692" t="str">
        <f>"202440C0200"</f>
        <v>202440C0200</v>
      </c>
      <c r="B3692" t="str">
        <f>"202440C02002"</f>
        <v>202440C02002</v>
      </c>
      <c r="C3692" t="str">
        <f t="shared" si="193"/>
        <v>20</v>
      </c>
      <c r="D3692" t="s">
        <v>67</v>
      </c>
      <c r="E3692" t="str">
        <f t="shared" si="194"/>
        <v>016</v>
      </c>
      <c r="F3692" t="s">
        <v>3578</v>
      </c>
      <c r="G3692" t="str">
        <f>"2440"</f>
        <v>2440</v>
      </c>
      <c r="H3692" t="str">
        <f>"0002"</f>
        <v>0002</v>
      </c>
      <c r="I3692" t="s">
        <v>75</v>
      </c>
      <c r="J3692">
        <v>0</v>
      </c>
      <c r="K3692">
        <v>1</v>
      </c>
      <c r="L3692">
        <v>2</v>
      </c>
      <c r="M3692">
        <v>205</v>
      </c>
      <c r="N3692">
        <v>349</v>
      </c>
      <c r="O3692">
        <v>2</v>
      </c>
      <c r="P3692">
        <v>349</v>
      </c>
      <c r="Q3692">
        <v>66</v>
      </c>
      <c r="R3692">
        <v>22</v>
      </c>
      <c r="S3692">
        <v>2</v>
      </c>
      <c r="T3692">
        <v>66</v>
      </c>
      <c r="U3692">
        <v>40</v>
      </c>
      <c r="V3692">
        <v>6</v>
      </c>
      <c r="W3692">
        <v>0</v>
      </c>
      <c r="X3692">
        <v>116</v>
      </c>
      <c r="Y3692">
        <v>0</v>
      </c>
      <c r="Z3692">
        <v>5</v>
      </c>
      <c r="AA3692">
        <v>0</v>
      </c>
      <c r="AB3692">
        <v>8</v>
      </c>
      <c r="AD3692">
        <v>3</v>
      </c>
      <c r="AE3692">
        <v>3</v>
      </c>
      <c r="AF3692">
        <v>0</v>
      </c>
      <c r="AG3692">
        <v>0</v>
      </c>
      <c r="AI3692">
        <v>0</v>
      </c>
      <c r="AJ3692">
        <v>12</v>
      </c>
      <c r="AK3692">
        <v>349</v>
      </c>
      <c r="AL3692">
        <v>349</v>
      </c>
      <c r="AM3692">
        <v>510</v>
      </c>
      <c r="AN3692">
        <v>44</v>
      </c>
      <c r="AP3692">
        <v>1</v>
      </c>
      <c r="AR3692" t="s">
        <v>3789</v>
      </c>
      <c r="AS3692" s="1">
        <v>44353.858113425929</v>
      </c>
      <c r="AT3692" s="1">
        <v>44353.862673611111</v>
      </c>
      <c r="AU3692" s="1">
        <v>44353.863240740742</v>
      </c>
      <c r="AV3692" t="s">
        <v>269</v>
      </c>
      <c r="AW3692" t="s">
        <v>270</v>
      </c>
      <c r="AX3692" t="s">
        <v>73</v>
      </c>
    </row>
    <row r="3693" spans="1:50" x14ac:dyDescent="0.3">
      <c r="A3693" t="str">
        <f>"202441B0000"</f>
        <v>202441B0000</v>
      </c>
      <c r="B3693" t="str">
        <f>"202441B00002"</f>
        <v>202441B00002</v>
      </c>
      <c r="C3693" t="str">
        <f t="shared" si="193"/>
        <v>20</v>
      </c>
      <c r="D3693" t="s">
        <v>67</v>
      </c>
      <c r="E3693" t="str">
        <f t="shared" si="194"/>
        <v>016</v>
      </c>
      <c r="F3693" t="s">
        <v>3578</v>
      </c>
      <c r="G3693" t="str">
        <f>"2441"</f>
        <v>2441</v>
      </c>
      <c r="H3693" t="str">
        <f>"0000"</f>
        <v>0000</v>
      </c>
      <c r="I3693" t="s">
        <v>69</v>
      </c>
      <c r="J3693">
        <v>0</v>
      </c>
      <c r="K3693">
        <v>1</v>
      </c>
      <c r="L3693">
        <v>2</v>
      </c>
      <c r="M3693">
        <v>248</v>
      </c>
      <c r="N3693">
        <v>527</v>
      </c>
      <c r="O3693">
        <v>3</v>
      </c>
      <c r="P3693">
        <v>527</v>
      </c>
      <c r="Q3693">
        <v>187</v>
      </c>
      <c r="R3693">
        <v>14</v>
      </c>
      <c r="S3693">
        <v>5</v>
      </c>
      <c r="T3693">
        <v>78</v>
      </c>
      <c r="U3693">
        <v>38</v>
      </c>
      <c r="V3693">
        <v>5</v>
      </c>
      <c r="W3693">
        <v>0</v>
      </c>
      <c r="X3693">
        <v>148</v>
      </c>
      <c r="Y3693">
        <v>2</v>
      </c>
      <c r="Z3693">
        <v>14</v>
      </c>
      <c r="AA3693">
        <v>2</v>
      </c>
      <c r="AB3693">
        <v>12</v>
      </c>
      <c r="AD3693">
        <v>2</v>
      </c>
      <c r="AE3693">
        <v>1</v>
      </c>
      <c r="AF3693">
        <v>1</v>
      </c>
      <c r="AG3693">
        <v>0</v>
      </c>
      <c r="AI3693">
        <v>0</v>
      </c>
      <c r="AJ3693">
        <v>18</v>
      </c>
      <c r="AK3693">
        <v>527</v>
      </c>
      <c r="AL3693">
        <v>527</v>
      </c>
      <c r="AM3693">
        <v>731</v>
      </c>
      <c r="AN3693">
        <v>44</v>
      </c>
      <c r="AP3693">
        <v>1</v>
      </c>
      <c r="AR3693" t="s">
        <v>3790</v>
      </c>
      <c r="AS3693" s="1">
        <v>44354.018750000003</v>
      </c>
      <c r="AT3693" s="1">
        <v>44354.027268518519</v>
      </c>
      <c r="AU3693" s="1">
        <v>44354.027962962966</v>
      </c>
      <c r="AV3693" t="s">
        <v>71</v>
      </c>
      <c r="AW3693" t="s">
        <v>72</v>
      </c>
      <c r="AX3693" t="s">
        <v>73</v>
      </c>
    </row>
    <row r="3694" spans="1:50" x14ac:dyDescent="0.3">
      <c r="A3694" t="str">
        <f>"202441C0100"</f>
        <v>202441C0100</v>
      </c>
      <c r="B3694" t="str">
        <f>"202441C01002"</f>
        <v>202441C01002</v>
      </c>
      <c r="C3694" t="str">
        <f t="shared" si="193"/>
        <v>20</v>
      </c>
      <c r="D3694" t="s">
        <v>67</v>
      </c>
      <c r="E3694" t="str">
        <f t="shared" si="194"/>
        <v>016</v>
      </c>
      <c r="F3694" t="s">
        <v>3578</v>
      </c>
      <c r="G3694" t="str">
        <f>"2441"</f>
        <v>2441</v>
      </c>
      <c r="H3694" t="str">
        <f>"0001"</f>
        <v>0001</v>
      </c>
      <c r="I3694" t="s">
        <v>75</v>
      </c>
      <c r="J3694">
        <v>0</v>
      </c>
      <c r="K3694">
        <v>1</v>
      </c>
      <c r="L3694">
        <v>2</v>
      </c>
      <c r="M3694">
        <v>265</v>
      </c>
      <c r="N3694">
        <v>510</v>
      </c>
      <c r="O3694">
        <v>3</v>
      </c>
      <c r="P3694">
        <v>510</v>
      </c>
      <c r="Q3694">
        <v>151</v>
      </c>
      <c r="R3694">
        <v>25</v>
      </c>
      <c r="S3694">
        <v>5</v>
      </c>
      <c r="T3694">
        <v>87</v>
      </c>
      <c r="U3694">
        <v>44</v>
      </c>
      <c r="V3694">
        <v>3</v>
      </c>
      <c r="W3694">
        <v>1</v>
      </c>
      <c r="X3694">
        <v>141</v>
      </c>
      <c r="Y3694">
        <v>2</v>
      </c>
      <c r="Z3694">
        <v>12</v>
      </c>
      <c r="AA3694">
        <v>0</v>
      </c>
      <c r="AB3694">
        <v>20</v>
      </c>
      <c r="AD3694">
        <v>3</v>
      </c>
      <c r="AE3694">
        <v>1</v>
      </c>
      <c r="AF3694">
        <v>0</v>
      </c>
      <c r="AG3694">
        <v>0</v>
      </c>
      <c r="AI3694">
        <v>0</v>
      </c>
      <c r="AJ3694">
        <v>15</v>
      </c>
      <c r="AK3694">
        <v>510</v>
      </c>
      <c r="AL3694">
        <v>510</v>
      </c>
      <c r="AM3694">
        <v>731</v>
      </c>
      <c r="AN3694">
        <v>44</v>
      </c>
      <c r="AP3694">
        <v>1</v>
      </c>
      <c r="AR3694" t="s">
        <v>3791</v>
      </c>
      <c r="AS3694" s="1">
        <v>44354.015277777777</v>
      </c>
      <c r="AT3694" s="1">
        <v>44354.024467592593</v>
      </c>
      <c r="AU3694" s="1">
        <v>44354.025104166663</v>
      </c>
      <c r="AV3694" t="s">
        <v>71</v>
      </c>
      <c r="AW3694" t="s">
        <v>72</v>
      </c>
      <c r="AX3694" t="s">
        <v>73</v>
      </c>
    </row>
    <row r="3695" spans="1:50" x14ac:dyDescent="0.3">
      <c r="A3695" t="str">
        <f>"202441C0200"</f>
        <v>202441C0200</v>
      </c>
      <c r="B3695" t="str">
        <f>"202441C02002"</f>
        <v>202441C02002</v>
      </c>
      <c r="C3695" t="str">
        <f t="shared" si="193"/>
        <v>20</v>
      </c>
      <c r="D3695" t="s">
        <v>67</v>
      </c>
      <c r="E3695" t="str">
        <f t="shared" si="194"/>
        <v>016</v>
      </c>
      <c r="F3695" t="s">
        <v>3578</v>
      </c>
      <c r="G3695" t="str">
        <f>"2441"</f>
        <v>2441</v>
      </c>
      <c r="H3695" t="str">
        <f>"0002"</f>
        <v>0002</v>
      </c>
      <c r="I3695" t="s">
        <v>75</v>
      </c>
      <c r="J3695">
        <v>0</v>
      </c>
      <c r="K3695">
        <v>1</v>
      </c>
      <c r="L3695">
        <v>2</v>
      </c>
      <c r="M3695">
        <v>257</v>
      </c>
      <c r="N3695">
        <v>518</v>
      </c>
      <c r="O3695">
        <v>8</v>
      </c>
      <c r="P3695">
        <v>518</v>
      </c>
      <c r="Q3695">
        <v>179</v>
      </c>
      <c r="R3695">
        <v>25</v>
      </c>
      <c r="S3695">
        <v>7</v>
      </c>
      <c r="T3695">
        <v>74</v>
      </c>
      <c r="U3695">
        <v>31</v>
      </c>
      <c r="V3695">
        <v>7</v>
      </c>
      <c r="W3695">
        <v>3</v>
      </c>
      <c r="X3695">
        <v>133</v>
      </c>
      <c r="Y3695">
        <v>4</v>
      </c>
      <c r="Z3695">
        <v>19</v>
      </c>
      <c r="AA3695">
        <v>4</v>
      </c>
      <c r="AB3695">
        <v>19</v>
      </c>
      <c r="AD3695">
        <v>4</v>
      </c>
      <c r="AE3695">
        <v>1</v>
      </c>
      <c r="AF3695">
        <v>1</v>
      </c>
      <c r="AG3695">
        <v>0</v>
      </c>
      <c r="AI3695">
        <v>0</v>
      </c>
      <c r="AJ3695">
        <v>7</v>
      </c>
      <c r="AK3695">
        <v>518</v>
      </c>
      <c r="AL3695">
        <v>518</v>
      </c>
      <c r="AM3695">
        <v>731</v>
      </c>
      <c r="AN3695">
        <v>44</v>
      </c>
      <c r="AP3695">
        <v>1</v>
      </c>
      <c r="AR3695" t="s">
        <v>3792</v>
      </c>
      <c r="AS3695" s="1">
        <v>44354.015972222223</v>
      </c>
      <c r="AT3695" s="1">
        <v>44354.024375000001</v>
      </c>
      <c r="AU3695" s="1">
        <v>44354.025023148148</v>
      </c>
      <c r="AV3695" t="s">
        <v>71</v>
      </c>
      <c r="AW3695" t="s">
        <v>72</v>
      </c>
      <c r="AX3695" t="s">
        <v>73</v>
      </c>
    </row>
    <row r="3696" spans="1:50" x14ac:dyDescent="0.3">
      <c r="A3696" t="str">
        <f>"202442B0000"</f>
        <v>202442B0000</v>
      </c>
      <c r="B3696" t="str">
        <f>"202442B00002"</f>
        <v>202442B00002</v>
      </c>
      <c r="C3696" t="str">
        <f t="shared" si="193"/>
        <v>20</v>
      </c>
      <c r="D3696" t="s">
        <v>67</v>
      </c>
      <c r="E3696" t="str">
        <f t="shared" si="194"/>
        <v>016</v>
      </c>
      <c r="F3696" t="s">
        <v>3578</v>
      </c>
      <c r="G3696" t="str">
        <f>"2442"</f>
        <v>2442</v>
      </c>
      <c r="H3696" t="str">
        <f>"0000"</f>
        <v>0000</v>
      </c>
      <c r="I3696" t="s">
        <v>69</v>
      </c>
      <c r="J3696">
        <v>0</v>
      </c>
      <c r="K3696">
        <v>1</v>
      </c>
      <c r="L3696">
        <v>2</v>
      </c>
      <c r="M3696">
        <v>300</v>
      </c>
      <c r="N3696">
        <v>734</v>
      </c>
      <c r="O3696">
        <v>0</v>
      </c>
      <c r="P3696">
        <v>433</v>
      </c>
      <c r="Q3696">
        <v>107</v>
      </c>
      <c r="R3696">
        <v>27</v>
      </c>
      <c r="S3696">
        <v>5</v>
      </c>
      <c r="T3696">
        <v>68</v>
      </c>
      <c r="U3696">
        <v>58</v>
      </c>
      <c r="V3696">
        <v>2</v>
      </c>
      <c r="W3696">
        <v>3</v>
      </c>
      <c r="X3696">
        <v>122</v>
      </c>
      <c r="Y3696">
        <v>2</v>
      </c>
      <c r="Z3696">
        <v>12</v>
      </c>
      <c r="AA3696">
        <v>1</v>
      </c>
      <c r="AB3696">
        <v>7</v>
      </c>
      <c r="AD3696">
        <v>2</v>
      </c>
      <c r="AE3696">
        <v>0</v>
      </c>
      <c r="AF3696">
        <v>0</v>
      </c>
      <c r="AG3696">
        <v>0</v>
      </c>
      <c r="AI3696">
        <v>0</v>
      </c>
      <c r="AJ3696">
        <v>17</v>
      </c>
      <c r="AK3696">
        <v>433</v>
      </c>
      <c r="AL3696">
        <v>433</v>
      </c>
      <c r="AM3696">
        <v>690</v>
      </c>
      <c r="AN3696">
        <v>44</v>
      </c>
      <c r="AP3696">
        <v>1</v>
      </c>
      <c r="AR3696" t="s">
        <v>3793</v>
      </c>
      <c r="AS3696" s="1">
        <v>44354.0625</v>
      </c>
      <c r="AT3696" s="1">
        <v>44354.068437499998</v>
      </c>
      <c r="AU3696" s="1">
        <v>44354.069456018522</v>
      </c>
      <c r="AV3696" t="s">
        <v>71</v>
      </c>
      <c r="AW3696" t="s">
        <v>72</v>
      </c>
      <c r="AX3696" t="s">
        <v>73</v>
      </c>
    </row>
    <row r="3697" spans="1:50" x14ac:dyDescent="0.3">
      <c r="A3697" t="str">
        <f>"202442C0100"</f>
        <v>202442C0100</v>
      </c>
      <c r="B3697" t="str">
        <f>"202442C01002"</f>
        <v>202442C01002</v>
      </c>
      <c r="C3697" t="str">
        <f t="shared" si="193"/>
        <v>20</v>
      </c>
      <c r="D3697" t="s">
        <v>67</v>
      </c>
      <c r="E3697" t="str">
        <f t="shared" si="194"/>
        <v>016</v>
      </c>
      <c r="F3697" t="s">
        <v>3578</v>
      </c>
      <c r="G3697" t="str">
        <f>"2442"</f>
        <v>2442</v>
      </c>
      <c r="H3697" t="str">
        <f>"0001"</f>
        <v>0001</v>
      </c>
      <c r="I3697" t="s">
        <v>75</v>
      </c>
      <c r="J3697">
        <v>0</v>
      </c>
      <c r="K3697">
        <v>1</v>
      </c>
      <c r="L3697">
        <v>2</v>
      </c>
      <c r="M3697">
        <v>355</v>
      </c>
      <c r="N3697">
        <v>379</v>
      </c>
      <c r="O3697">
        <v>0</v>
      </c>
      <c r="P3697">
        <v>379</v>
      </c>
      <c r="Q3697">
        <v>97</v>
      </c>
      <c r="R3697">
        <v>20</v>
      </c>
      <c r="S3697">
        <v>2</v>
      </c>
      <c r="T3697">
        <v>49</v>
      </c>
      <c r="U3697">
        <v>50</v>
      </c>
      <c r="V3697">
        <v>9</v>
      </c>
      <c r="W3697">
        <v>1</v>
      </c>
      <c r="X3697">
        <v>86</v>
      </c>
      <c r="Y3697">
        <v>2</v>
      </c>
      <c r="Z3697">
        <v>8</v>
      </c>
      <c r="AA3697">
        <v>2</v>
      </c>
      <c r="AB3697">
        <v>22</v>
      </c>
      <c r="AD3697">
        <v>6</v>
      </c>
      <c r="AE3697">
        <v>1</v>
      </c>
      <c r="AF3697">
        <v>0</v>
      </c>
      <c r="AG3697">
        <v>0</v>
      </c>
      <c r="AI3697">
        <v>0</v>
      </c>
      <c r="AJ3697">
        <v>24</v>
      </c>
      <c r="AK3697">
        <v>379</v>
      </c>
      <c r="AL3697">
        <v>379</v>
      </c>
      <c r="AM3697">
        <v>690</v>
      </c>
      <c r="AN3697">
        <v>44</v>
      </c>
      <c r="AP3697">
        <v>1</v>
      </c>
      <c r="AR3697" t="s">
        <v>3794</v>
      </c>
      <c r="AS3697" s="1">
        <v>44353.928055555552</v>
      </c>
      <c r="AT3697" s="1">
        <v>44353.929803240739</v>
      </c>
      <c r="AU3697" s="1">
        <v>44353.93037037037</v>
      </c>
      <c r="AV3697" t="s">
        <v>269</v>
      </c>
      <c r="AW3697" t="s">
        <v>270</v>
      </c>
      <c r="AX3697" t="s">
        <v>73</v>
      </c>
    </row>
    <row r="3698" spans="1:50" x14ac:dyDescent="0.3">
      <c r="A3698" t="str">
        <f>"202442C0200"</f>
        <v>202442C0200</v>
      </c>
      <c r="B3698" t="str">
        <f>"202442C02002"</f>
        <v>202442C02002</v>
      </c>
      <c r="C3698" t="str">
        <f t="shared" si="193"/>
        <v>20</v>
      </c>
      <c r="D3698" t="s">
        <v>67</v>
      </c>
      <c r="E3698" t="str">
        <f t="shared" si="194"/>
        <v>016</v>
      </c>
      <c r="F3698" t="s">
        <v>3578</v>
      </c>
      <c r="G3698" t="str">
        <f>"2442"</f>
        <v>2442</v>
      </c>
      <c r="H3698" t="str">
        <f>"0002"</f>
        <v>0002</v>
      </c>
      <c r="I3698" t="s">
        <v>75</v>
      </c>
      <c r="J3698">
        <v>0</v>
      </c>
      <c r="K3698">
        <v>1</v>
      </c>
      <c r="L3698">
        <v>2</v>
      </c>
      <c r="M3698">
        <v>322</v>
      </c>
      <c r="N3698">
        <v>412</v>
      </c>
      <c r="O3698">
        <v>0</v>
      </c>
      <c r="P3698">
        <v>412</v>
      </c>
      <c r="Q3698">
        <v>77</v>
      </c>
      <c r="R3698">
        <v>16</v>
      </c>
      <c r="S3698">
        <v>6</v>
      </c>
      <c r="T3698">
        <v>77</v>
      </c>
      <c r="U3698">
        <v>65</v>
      </c>
      <c r="V3698">
        <v>2</v>
      </c>
      <c r="W3698">
        <v>2</v>
      </c>
      <c r="X3698">
        <v>116</v>
      </c>
      <c r="Y3698">
        <v>3</v>
      </c>
      <c r="Z3698">
        <v>14</v>
      </c>
      <c r="AA3698">
        <v>1</v>
      </c>
      <c r="AB3698">
        <v>5</v>
      </c>
      <c r="AD3698">
        <v>2</v>
      </c>
      <c r="AE3698">
        <v>0</v>
      </c>
      <c r="AF3698">
        <v>0</v>
      </c>
      <c r="AG3698">
        <v>0</v>
      </c>
      <c r="AI3698">
        <v>0</v>
      </c>
      <c r="AJ3698">
        <v>32</v>
      </c>
      <c r="AK3698">
        <v>32</v>
      </c>
      <c r="AL3698">
        <v>418</v>
      </c>
      <c r="AM3698">
        <v>690</v>
      </c>
      <c r="AN3698">
        <v>44</v>
      </c>
      <c r="AP3698">
        <v>1</v>
      </c>
      <c r="AR3698" t="s">
        <v>3795</v>
      </c>
      <c r="AS3698" s="1">
        <v>44353.915625000001</v>
      </c>
      <c r="AT3698" s="1">
        <v>44353.91988425926</v>
      </c>
      <c r="AU3698" s="1">
        <v>44353.922893518517</v>
      </c>
      <c r="AV3698" t="s">
        <v>269</v>
      </c>
      <c r="AW3698" t="s">
        <v>270</v>
      </c>
      <c r="AX3698" t="s">
        <v>73</v>
      </c>
    </row>
    <row r="3699" spans="1:50" x14ac:dyDescent="0.3">
      <c r="A3699" t="str">
        <f>"202442C0300"</f>
        <v>202442C0300</v>
      </c>
      <c r="B3699" t="str">
        <f>"202442C03002"</f>
        <v>202442C03002</v>
      </c>
      <c r="C3699" t="str">
        <f t="shared" si="193"/>
        <v>20</v>
      </c>
      <c r="D3699" t="s">
        <v>67</v>
      </c>
      <c r="E3699" t="str">
        <f t="shared" si="194"/>
        <v>016</v>
      </c>
      <c r="F3699" t="s">
        <v>3578</v>
      </c>
      <c r="G3699" t="str">
        <f>"2442"</f>
        <v>2442</v>
      </c>
      <c r="H3699" t="str">
        <f>"0003"</f>
        <v>0003</v>
      </c>
      <c r="I3699" t="s">
        <v>75</v>
      </c>
      <c r="J3699">
        <v>0</v>
      </c>
      <c r="K3699">
        <v>1</v>
      </c>
      <c r="L3699">
        <v>2</v>
      </c>
      <c r="M3699">
        <v>306</v>
      </c>
      <c r="N3699">
        <v>428</v>
      </c>
      <c r="O3699">
        <v>0</v>
      </c>
      <c r="P3699">
        <v>428</v>
      </c>
      <c r="Q3699">
        <v>76</v>
      </c>
      <c r="R3699">
        <v>14</v>
      </c>
      <c r="S3699">
        <v>6</v>
      </c>
      <c r="T3699">
        <v>76</v>
      </c>
      <c r="U3699">
        <v>41</v>
      </c>
      <c r="V3699">
        <v>6</v>
      </c>
      <c r="W3699">
        <v>2</v>
      </c>
      <c r="X3699">
        <v>119</v>
      </c>
      <c r="Y3699">
        <v>2</v>
      </c>
      <c r="Z3699">
        <v>14</v>
      </c>
      <c r="AA3699">
        <v>4</v>
      </c>
      <c r="AB3699">
        <v>12</v>
      </c>
      <c r="AD3699">
        <v>0</v>
      </c>
      <c r="AE3699">
        <v>1</v>
      </c>
      <c r="AF3699">
        <v>0</v>
      </c>
      <c r="AG3699">
        <v>0</v>
      </c>
      <c r="AI3699">
        <v>0</v>
      </c>
      <c r="AJ3699">
        <v>52</v>
      </c>
      <c r="AK3699">
        <v>428</v>
      </c>
      <c r="AL3699">
        <v>425</v>
      </c>
      <c r="AM3699">
        <v>690</v>
      </c>
      <c r="AN3699">
        <v>44</v>
      </c>
      <c r="AP3699">
        <v>1</v>
      </c>
      <c r="AR3699" t="s">
        <v>3796</v>
      </c>
      <c r="AS3699" s="1">
        <v>44354.061805555553</v>
      </c>
      <c r="AT3699" s="1">
        <v>44354.070138888892</v>
      </c>
      <c r="AU3699" s="1">
        <v>44354.070844907408</v>
      </c>
      <c r="AV3699" t="s">
        <v>71</v>
      </c>
      <c r="AW3699" t="s">
        <v>72</v>
      </c>
      <c r="AX3699" t="s">
        <v>73</v>
      </c>
    </row>
    <row r="3700" spans="1:50" x14ac:dyDescent="0.3">
      <c r="A3700" t="str">
        <f>"202443B0000"</f>
        <v>202443B0000</v>
      </c>
      <c r="B3700" t="str">
        <f>"202443B00002"</f>
        <v>202443B00002</v>
      </c>
      <c r="C3700" t="str">
        <f t="shared" si="193"/>
        <v>20</v>
      </c>
      <c r="D3700" t="s">
        <v>67</v>
      </c>
      <c r="E3700" t="str">
        <f t="shared" si="194"/>
        <v>016</v>
      </c>
      <c r="F3700" t="s">
        <v>3578</v>
      </c>
      <c r="G3700" t="str">
        <f>"2443"</f>
        <v>2443</v>
      </c>
      <c r="H3700" t="str">
        <f>"0000"</f>
        <v>0000</v>
      </c>
      <c r="I3700" t="s">
        <v>69</v>
      </c>
      <c r="J3700">
        <v>0</v>
      </c>
      <c r="K3700">
        <v>1</v>
      </c>
      <c r="L3700">
        <v>2</v>
      </c>
      <c r="M3700">
        <v>296</v>
      </c>
      <c r="N3700">
        <v>340</v>
      </c>
      <c r="O3700">
        <v>6</v>
      </c>
      <c r="P3700">
        <v>340</v>
      </c>
      <c r="Q3700">
        <v>71</v>
      </c>
      <c r="R3700">
        <v>40</v>
      </c>
      <c r="S3700">
        <v>7</v>
      </c>
      <c r="T3700">
        <v>31</v>
      </c>
      <c r="U3700">
        <v>28</v>
      </c>
      <c r="V3700">
        <v>1</v>
      </c>
      <c r="W3700">
        <v>2</v>
      </c>
      <c r="X3700">
        <v>101</v>
      </c>
      <c r="Y3700">
        <v>3</v>
      </c>
      <c r="Z3700">
        <v>10</v>
      </c>
      <c r="AA3700">
        <v>4</v>
      </c>
      <c r="AB3700">
        <v>9</v>
      </c>
      <c r="AD3700">
        <v>2</v>
      </c>
      <c r="AE3700">
        <v>1</v>
      </c>
      <c r="AF3700">
        <v>1</v>
      </c>
      <c r="AG3700">
        <v>0</v>
      </c>
      <c r="AI3700">
        <v>0</v>
      </c>
      <c r="AJ3700">
        <v>29</v>
      </c>
      <c r="AK3700">
        <v>340</v>
      </c>
      <c r="AL3700">
        <v>340</v>
      </c>
      <c r="AM3700">
        <v>592</v>
      </c>
      <c r="AN3700">
        <v>44</v>
      </c>
      <c r="AP3700">
        <v>1</v>
      </c>
      <c r="AR3700" t="s">
        <v>3797</v>
      </c>
      <c r="AS3700" s="1">
        <v>44354.09097222222</v>
      </c>
      <c r="AT3700" s="1">
        <v>44354.096365740741</v>
      </c>
      <c r="AU3700" s="1">
        <v>44354.097060185188</v>
      </c>
      <c r="AV3700" t="s">
        <v>71</v>
      </c>
      <c r="AW3700" t="s">
        <v>72</v>
      </c>
      <c r="AX3700" t="s">
        <v>73</v>
      </c>
    </row>
    <row r="3701" spans="1:50" x14ac:dyDescent="0.3">
      <c r="A3701" t="str">
        <f>"202444B0000"</f>
        <v>202444B0000</v>
      </c>
      <c r="B3701" t="str">
        <f>"202444B00002"</f>
        <v>202444B00002</v>
      </c>
      <c r="C3701" t="str">
        <f t="shared" si="193"/>
        <v>20</v>
      </c>
      <c r="D3701" t="s">
        <v>67</v>
      </c>
      <c r="E3701" t="str">
        <f t="shared" si="194"/>
        <v>016</v>
      </c>
      <c r="F3701" t="s">
        <v>3578</v>
      </c>
      <c r="G3701" t="str">
        <f>"2444"</f>
        <v>2444</v>
      </c>
      <c r="H3701" t="str">
        <f>"0000"</f>
        <v>0000</v>
      </c>
      <c r="I3701" t="s">
        <v>69</v>
      </c>
      <c r="J3701">
        <v>0</v>
      </c>
      <c r="K3701">
        <v>1</v>
      </c>
      <c r="L3701">
        <v>2</v>
      </c>
      <c r="M3701">
        <v>190</v>
      </c>
      <c r="N3701">
        <v>389</v>
      </c>
      <c r="O3701">
        <v>3</v>
      </c>
      <c r="P3701">
        <v>199</v>
      </c>
      <c r="Q3701">
        <v>20</v>
      </c>
      <c r="R3701">
        <v>2</v>
      </c>
      <c r="S3701">
        <v>7</v>
      </c>
      <c r="T3701">
        <v>21</v>
      </c>
      <c r="U3701">
        <v>28</v>
      </c>
      <c r="V3701">
        <v>2</v>
      </c>
      <c r="W3701">
        <v>1</v>
      </c>
      <c r="X3701">
        <v>99</v>
      </c>
      <c r="Y3701">
        <v>0</v>
      </c>
      <c r="Z3701">
        <v>3</v>
      </c>
      <c r="AA3701">
        <v>2</v>
      </c>
      <c r="AB3701">
        <v>6</v>
      </c>
      <c r="AD3701">
        <v>0</v>
      </c>
      <c r="AE3701">
        <v>0</v>
      </c>
      <c r="AF3701">
        <v>0</v>
      </c>
      <c r="AG3701">
        <v>0</v>
      </c>
      <c r="AI3701">
        <v>0</v>
      </c>
      <c r="AJ3701">
        <v>0</v>
      </c>
      <c r="AK3701">
        <v>199</v>
      </c>
      <c r="AL3701">
        <v>191</v>
      </c>
      <c r="AM3701">
        <v>345</v>
      </c>
      <c r="AN3701">
        <v>44</v>
      </c>
      <c r="AP3701">
        <v>1</v>
      </c>
      <c r="AR3701" t="s">
        <v>3798</v>
      </c>
      <c r="AS3701" s="1">
        <v>44353.864583333336</v>
      </c>
      <c r="AT3701" s="1">
        <v>44354.100243055553</v>
      </c>
      <c r="AU3701" s="1">
        <v>44354.100532407407</v>
      </c>
      <c r="AV3701" t="s">
        <v>71</v>
      </c>
      <c r="AW3701" t="s">
        <v>72</v>
      </c>
      <c r="AX3701" t="s">
        <v>73</v>
      </c>
    </row>
    <row r="3702" spans="1:50" x14ac:dyDescent="0.3">
      <c r="A3702" t="str">
        <f>"202445B0000"</f>
        <v>202445B0000</v>
      </c>
      <c r="B3702" t="str">
        <f>"202445B00002"</f>
        <v>202445B00002</v>
      </c>
      <c r="C3702" t="str">
        <f t="shared" si="193"/>
        <v>20</v>
      </c>
      <c r="D3702" t="s">
        <v>67</v>
      </c>
      <c r="E3702" t="str">
        <f t="shared" si="194"/>
        <v>016</v>
      </c>
      <c r="F3702" t="s">
        <v>3578</v>
      </c>
      <c r="G3702" t="str">
        <f>"2445"</f>
        <v>2445</v>
      </c>
      <c r="H3702" t="str">
        <f>"0000"</f>
        <v>0000</v>
      </c>
      <c r="I3702" t="s">
        <v>69</v>
      </c>
      <c r="J3702">
        <v>0</v>
      </c>
      <c r="K3702">
        <v>1</v>
      </c>
      <c r="L3702">
        <v>2</v>
      </c>
      <c r="M3702">
        <v>339</v>
      </c>
      <c r="N3702">
        <v>403</v>
      </c>
      <c r="O3702">
        <v>4</v>
      </c>
      <c r="P3702">
        <v>403</v>
      </c>
      <c r="Q3702">
        <v>237</v>
      </c>
      <c r="R3702">
        <v>4</v>
      </c>
      <c r="S3702">
        <v>12</v>
      </c>
      <c r="T3702">
        <v>7</v>
      </c>
      <c r="U3702">
        <v>15</v>
      </c>
      <c r="V3702">
        <v>3</v>
      </c>
      <c r="W3702">
        <v>2</v>
      </c>
      <c r="X3702">
        <v>103</v>
      </c>
      <c r="Y3702">
        <v>1</v>
      </c>
      <c r="Z3702">
        <v>2</v>
      </c>
      <c r="AA3702">
        <v>1</v>
      </c>
      <c r="AB3702">
        <v>5</v>
      </c>
      <c r="AD3702">
        <v>0</v>
      </c>
      <c r="AE3702">
        <v>2</v>
      </c>
      <c r="AF3702">
        <v>0</v>
      </c>
      <c r="AG3702">
        <v>0</v>
      </c>
      <c r="AI3702">
        <v>0</v>
      </c>
      <c r="AJ3702">
        <v>8</v>
      </c>
      <c r="AK3702">
        <v>403</v>
      </c>
      <c r="AL3702">
        <v>402</v>
      </c>
      <c r="AM3702">
        <v>698</v>
      </c>
      <c r="AN3702">
        <v>44</v>
      </c>
      <c r="AP3702">
        <v>1</v>
      </c>
      <c r="AR3702" t="s">
        <v>3799</v>
      </c>
      <c r="AS3702" s="1">
        <v>44354.127083333333</v>
      </c>
      <c r="AT3702" s="1">
        <v>44354.133020833331</v>
      </c>
      <c r="AU3702" s="1">
        <v>44354.134016203701</v>
      </c>
      <c r="AV3702" t="s">
        <v>71</v>
      </c>
      <c r="AW3702" t="s">
        <v>72</v>
      </c>
      <c r="AX3702" t="s">
        <v>73</v>
      </c>
    </row>
    <row r="3703" spans="1:50" x14ac:dyDescent="0.3">
      <c r="A3703" t="str">
        <f>"202446B0000"</f>
        <v>202446B0000</v>
      </c>
      <c r="B3703" t="str">
        <f>"202446B00002"</f>
        <v>202446B00002</v>
      </c>
      <c r="C3703" t="str">
        <f t="shared" si="193"/>
        <v>20</v>
      </c>
      <c r="D3703" t="s">
        <v>67</v>
      </c>
      <c r="E3703" t="str">
        <f t="shared" si="194"/>
        <v>016</v>
      </c>
      <c r="F3703" t="s">
        <v>3578</v>
      </c>
      <c r="G3703" t="str">
        <f>"2446"</f>
        <v>2446</v>
      </c>
      <c r="H3703" t="str">
        <f>"0000"</f>
        <v>0000</v>
      </c>
      <c r="I3703" t="s">
        <v>69</v>
      </c>
      <c r="J3703">
        <v>0</v>
      </c>
      <c r="K3703">
        <v>1</v>
      </c>
      <c r="L3703">
        <v>2</v>
      </c>
      <c r="M3703">
        <v>142</v>
      </c>
      <c r="N3703">
        <v>171</v>
      </c>
      <c r="O3703">
        <v>3</v>
      </c>
      <c r="P3703">
        <v>171</v>
      </c>
      <c r="Q3703">
        <v>14</v>
      </c>
      <c r="R3703">
        <v>12</v>
      </c>
      <c r="S3703">
        <v>2</v>
      </c>
      <c r="T3703">
        <v>39</v>
      </c>
      <c r="U3703">
        <v>19</v>
      </c>
      <c r="V3703">
        <v>2</v>
      </c>
      <c r="W3703">
        <v>2</v>
      </c>
      <c r="X3703">
        <v>56</v>
      </c>
      <c r="Y3703">
        <v>1</v>
      </c>
      <c r="Z3703">
        <v>1</v>
      </c>
      <c r="AA3703">
        <v>1</v>
      </c>
      <c r="AB3703">
        <v>11</v>
      </c>
      <c r="AD3703">
        <v>0</v>
      </c>
      <c r="AE3703">
        <v>1</v>
      </c>
      <c r="AF3703">
        <v>0</v>
      </c>
      <c r="AG3703">
        <v>0</v>
      </c>
      <c r="AI3703">
        <v>0</v>
      </c>
      <c r="AJ3703">
        <v>10</v>
      </c>
      <c r="AK3703">
        <v>171</v>
      </c>
      <c r="AL3703">
        <v>171</v>
      </c>
      <c r="AM3703">
        <v>269</v>
      </c>
      <c r="AN3703">
        <v>44</v>
      </c>
      <c r="AP3703">
        <v>1</v>
      </c>
      <c r="AR3703" t="s">
        <v>3800</v>
      </c>
      <c r="AS3703" s="1">
        <v>44354.125694444447</v>
      </c>
      <c r="AT3703" s="1">
        <v>44354.127881944441</v>
      </c>
      <c r="AU3703" s="1">
        <v>44354.128611111111</v>
      </c>
      <c r="AV3703" t="s">
        <v>71</v>
      </c>
      <c r="AW3703" t="s">
        <v>72</v>
      </c>
      <c r="AX3703" t="s">
        <v>73</v>
      </c>
    </row>
    <row r="3704" spans="1:50" x14ac:dyDescent="0.3">
      <c r="A3704" t="str">
        <f>"202446E0100"</f>
        <v>202446E0100</v>
      </c>
      <c r="B3704" t="str">
        <f>"202446E01002"</f>
        <v>202446E01002</v>
      </c>
      <c r="C3704" t="str">
        <f t="shared" si="193"/>
        <v>20</v>
      </c>
      <c r="D3704" t="s">
        <v>67</v>
      </c>
      <c r="E3704" t="str">
        <f t="shared" si="194"/>
        <v>016</v>
      </c>
      <c r="F3704" t="s">
        <v>3578</v>
      </c>
      <c r="G3704" t="str">
        <f>"2446"</f>
        <v>2446</v>
      </c>
      <c r="H3704" t="str">
        <f>"0001"</f>
        <v>0001</v>
      </c>
      <c r="I3704" t="s">
        <v>109</v>
      </c>
      <c r="J3704">
        <v>0</v>
      </c>
      <c r="K3704">
        <v>1</v>
      </c>
      <c r="L3704">
        <v>2</v>
      </c>
      <c r="M3704">
        <v>171</v>
      </c>
      <c r="N3704">
        <v>121</v>
      </c>
      <c r="O3704">
        <v>1</v>
      </c>
      <c r="P3704">
        <v>121</v>
      </c>
      <c r="Q3704">
        <v>80</v>
      </c>
      <c r="R3704">
        <v>1</v>
      </c>
      <c r="S3704">
        <v>3</v>
      </c>
      <c r="T3704">
        <v>2</v>
      </c>
      <c r="U3704">
        <v>3</v>
      </c>
      <c r="V3704">
        <v>0</v>
      </c>
      <c r="W3704">
        <v>0</v>
      </c>
      <c r="X3704">
        <v>29</v>
      </c>
      <c r="Y3704">
        <v>0</v>
      </c>
      <c r="Z3704">
        <v>1</v>
      </c>
      <c r="AA3704">
        <v>0</v>
      </c>
      <c r="AB3704">
        <v>1</v>
      </c>
      <c r="AD3704">
        <v>0</v>
      </c>
      <c r="AE3704">
        <v>0</v>
      </c>
      <c r="AF3704">
        <v>0</v>
      </c>
      <c r="AG3704">
        <v>0</v>
      </c>
      <c r="AI3704">
        <v>0</v>
      </c>
      <c r="AJ3704">
        <v>1</v>
      </c>
      <c r="AK3704">
        <v>121</v>
      </c>
      <c r="AL3704">
        <v>121</v>
      </c>
      <c r="AM3704">
        <v>248</v>
      </c>
      <c r="AN3704">
        <v>44</v>
      </c>
      <c r="AP3704">
        <v>1</v>
      </c>
      <c r="AR3704" t="s">
        <v>3801</v>
      </c>
      <c r="AS3704" s="1">
        <v>44354.123611111114</v>
      </c>
      <c r="AT3704" s="1">
        <v>44354.126388888886</v>
      </c>
      <c r="AU3704" s="1">
        <v>44354.126979166664</v>
      </c>
      <c r="AV3704" t="s">
        <v>71</v>
      </c>
      <c r="AW3704" t="s">
        <v>72</v>
      </c>
      <c r="AX3704" t="s">
        <v>73</v>
      </c>
    </row>
    <row r="3705" spans="1:50" x14ac:dyDescent="0.3">
      <c r="A3705" t="str">
        <f>"202447B0000"</f>
        <v>202447B0000</v>
      </c>
      <c r="B3705" t="str">
        <f>"202447B00002"</f>
        <v>202447B00002</v>
      </c>
      <c r="C3705" t="str">
        <f t="shared" si="193"/>
        <v>20</v>
      </c>
      <c r="D3705" t="s">
        <v>67</v>
      </c>
      <c r="E3705" t="str">
        <f t="shared" si="194"/>
        <v>016</v>
      </c>
      <c r="F3705" t="s">
        <v>3578</v>
      </c>
      <c r="G3705" t="str">
        <f>"2447"</f>
        <v>2447</v>
      </c>
      <c r="H3705" t="str">
        <f>"0000"</f>
        <v>0000</v>
      </c>
      <c r="I3705" t="s">
        <v>69</v>
      </c>
      <c r="J3705">
        <v>0</v>
      </c>
      <c r="K3705">
        <v>1</v>
      </c>
      <c r="L3705">
        <v>2</v>
      </c>
      <c r="M3705">
        <v>253</v>
      </c>
      <c r="N3705">
        <v>343</v>
      </c>
      <c r="O3705">
        <v>7</v>
      </c>
      <c r="P3705">
        <v>343</v>
      </c>
      <c r="Q3705">
        <v>142</v>
      </c>
      <c r="R3705">
        <v>14</v>
      </c>
      <c r="S3705">
        <v>6</v>
      </c>
      <c r="T3705">
        <v>13</v>
      </c>
      <c r="U3705">
        <v>26</v>
      </c>
      <c r="V3705">
        <v>3</v>
      </c>
      <c r="W3705">
        <v>3</v>
      </c>
      <c r="X3705">
        <v>87</v>
      </c>
      <c r="Y3705">
        <v>1</v>
      </c>
      <c r="Z3705">
        <v>6</v>
      </c>
      <c r="AA3705">
        <v>1</v>
      </c>
      <c r="AB3705">
        <v>21</v>
      </c>
      <c r="AD3705">
        <v>3</v>
      </c>
      <c r="AE3705">
        <v>0</v>
      </c>
      <c r="AF3705">
        <v>0</v>
      </c>
      <c r="AG3705">
        <v>1</v>
      </c>
      <c r="AI3705">
        <v>0</v>
      </c>
      <c r="AJ3705">
        <v>16</v>
      </c>
      <c r="AK3705">
        <v>343</v>
      </c>
      <c r="AL3705">
        <v>343</v>
      </c>
      <c r="AM3705">
        <v>552</v>
      </c>
      <c r="AN3705">
        <v>44</v>
      </c>
      <c r="AP3705">
        <v>1</v>
      </c>
      <c r="AR3705" t="s">
        <v>3802</v>
      </c>
      <c r="AS3705" s="1">
        <v>44353.904675925929</v>
      </c>
      <c r="AT3705" s="1">
        <v>44353.906875000001</v>
      </c>
      <c r="AU3705" s="1">
        <v>44353.907488425924</v>
      </c>
      <c r="AV3705" t="s">
        <v>269</v>
      </c>
      <c r="AW3705" t="s">
        <v>270</v>
      </c>
      <c r="AX3705" t="s">
        <v>73</v>
      </c>
    </row>
    <row r="3706" spans="1:50" x14ac:dyDescent="0.3">
      <c r="A3706" t="str">
        <f>"202447C0100"</f>
        <v>202447C0100</v>
      </c>
      <c r="B3706" t="str">
        <f>"202447C01002"</f>
        <v>202447C01002</v>
      </c>
      <c r="C3706" t="str">
        <f t="shared" si="193"/>
        <v>20</v>
      </c>
      <c r="D3706" t="s">
        <v>67</v>
      </c>
      <c r="E3706" t="str">
        <f t="shared" si="194"/>
        <v>016</v>
      </c>
      <c r="F3706" t="s">
        <v>3578</v>
      </c>
      <c r="G3706" t="str">
        <f>"2447"</f>
        <v>2447</v>
      </c>
      <c r="H3706" t="str">
        <f>"0001"</f>
        <v>0001</v>
      </c>
      <c r="I3706" t="s">
        <v>75</v>
      </c>
      <c r="J3706">
        <v>0</v>
      </c>
      <c r="K3706">
        <v>1</v>
      </c>
      <c r="L3706">
        <v>2</v>
      </c>
      <c r="M3706">
        <v>243</v>
      </c>
      <c r="N3706">
        <v>353</v>
      </c>
      <c r="O3706">
        <v>5</v>
      </c>
      <c r="P3706">
        <v>348</v>
      </c>
      <c r="Q3706">
        <v>131</v>
      </c>
      <c r="R3706">
        <v>16</v>
      </c>
      <c r="S3706">
        <v>5</v>
      </c>
      <c r="T3706">
        <v>14</v>
      </c>
      <c r="U3706">
        <v>26</v>
      </c>
      <c r="V3706">
        <v>6</v>
      </c>
      <c r="W3706">
        <v>1</v>
      </c>
      <c r="X3706">
        <v>107</v>
      </c>
      <c r="Y3706">
        <v>0</v>
      </c>
      <c r="Z3706">
        <v>3</v>
      </c>
      <c r="AA3706">
        <v>2</v>
      </c>
      <c r="AB3706">
        <v>22</v>
      </c>
      <c r="AD3706">
        <v>6</v>
      </c>
      <c r="AE3706">
        <v>1</v>
      </c>
      <c r="AF3706">
        <v>1</v>
      </c>
      <c r="AG3706">
        <v>0</v>
      </c>
      <c r="AI3706">
        <v>0</v>
      </c>
      <c r="AJ3706">
        <v>12</v>
      </c>
      <c r="AK3706">
        <v>353</v>
      </c>
      <c r="AL3706">
        <v>353</v>
      </c>
      <c r="AM3706">
        <v>552</v>
      </c>
      <c r="AN3706">
        <v>44</v>
      </c>
      <c r="AP3706">
        <v>1</v>
      </c>
      <c r="AR3706" t="s">
        <v>3803</v>
      </c>
      <c r="AS3706" s="1">
        <v>44353.896284722221</v>
      </c>
      <c r="AT3706" s="1">
        <v>44353.898888888885</v>
      </c>
      <c r="AU3706" s="1">
        <v>44353.899907407409</v>
      </c>
      <c r="AV3706" t="s">
        <v>269</v>
      </c>
      <c r="AW3706" t="s">
        <v>270</v>
      </c>
      <c r="AX3706" t="s">
        <v>73</v>
      </c>
    </row>
    <row r="3707" spans="1:50" x14ac:dyDescent="0.3">
      <c r="A3707" t="str">
        <f>"202448B0000"</f>
        <v>202448B0000</v>
      </c>
      <c r="B3707" t="str">
        <f>"202448B00002"</f>
        <v>202448B00002</v>
      </c>
      <c r="C3707" t="str">
        <f t="shared" si="193"/>
        <v>20</v>
      </c>
      <c r="D3707" t="s">
        <v>67</v>
      </c>
      <c r="E3707" t="str">
        <f t="shared" si="194"/>
        <v>016</v>
      </c>
      <c r="F3707" t="s">
        <v>3578</v>
      </c>
      <c r="G3707" t="str">
        <f>"2448"</f>
        <v>2448</v>
      </c>
      <c r="H3707" t="str">
        <f>"0000"</f>
        <v>0000</v>
      </c>
      <c r="I3707" t="s">
        <v>69</v>
      </c>
      <c r="J3707">
        <v>0</v>
      </c>
      <c r="K3707">
        <v>1</v>
      </c>
      <c r="L3707">
        <v>2</v>
      </c>
      <c r="M3707">
        <v>205</v>
      </c>
      <c r="N3707">
        <v>270</v>
      </c>
      <c r="O3707">
        <v>10</v>
      </c>
      <c r="P3707">
        <v>270</v>
      </c>
      <c r="Q3707">
        <v>95</v>
      </c>
      <c r="R3707">
        <v>22</v>
      </c>
      <c r="S3707">
        <v>4</v>
      </c>
      <c r="T3707">
        <v>13</v>
      </c>
      <c r="U3707">
        <v>47</v>
      </c>
      <c r="V3707">
        <v>1</v>
      </c>
      <c r="W3707">
        <v>1</v>
      </c>
      <c r="X3707">
        <v>61</v>
      </c>
      <c r="Y3707">
        <v>2</v>
      </c>
      <c r="Z3707">
        <v>0</v>
      </c>
      <c r="AA3707">
        <v>2</v>
      </c>
      <c r="AB3707">
        <v>5</v>
      </c>
      <c r="AD3707">
        <v>2</v>
      </c>
      <c r="AE3707" t="s">
        <v>77</v>
      </c>
      <c r="AF3707" t="s">
        <v>77</v>
      </c>
      <c r="AG3707" t="s">
        <v>77</v>
      </c>
      <c r="AI3707" t="s">
        <v>77</v>
      </c>
      <c r="AJ3707">
        <v>15</v>
      </c>
      <c r="AK3707">
        <v>270</v>
      </c>
      <c r="AL3707">
        <v>270</v>
      </c>
      <c r="AM3707">
        <v>432</v>
      </c>
      <c r="AN3707">
        <v>44</v>
      </c>
      <c r="AO3707" t="s">
        <v>78</v>
      </c>
      <c r="AP3707">
        <v>1</v>
      </c>
      <c r="AR3707" t="s">
        <v>3804</v>
      </c>
      <c r="AS3707" s="1">
        <v>44353.823287037034</v>
      </c>
      <c r="AT3707" s="1">
        <v>44353.838379629633</v>
      </c>
      <c r="AU3707" s="1">
        <v>44353.839467592596</v>
      </c>
      <c r="AV3707" t="s">
        <v>269</v>
      </c>
      <c r="AW3707" t="s">
        <v>270</v>
      </c>
      <c r="AX3707" t="s">
        <v>73</v>
      </c>
    </row>
    <row r="3708" spans="1:50" x14ac:dyDescent="0.3">
      <c r="A3708" t="str">
        <f>"202449B0000"</f>
        <v>202449B0000</v>
      </c>
      <c r="B3708" t="str">
        <f>"202449B00002"</f>
        <v>202449B00002</v>
      </c>
      <c r="C3708" t="str">
        <f t="shared" si="193"/>
        <v>20</v>
      </c>
      <c r="D3708" t="s">
        <v>67</v>
      </c>
      <c r="E3708" t="str">
        <f t="shared" si="194"/>
        <v>016</v>
      </c>
      <c r="F3708" t="s">
        <v>3578</v>
      </c>
      <c r="G3708" t="str">
        <f>"2449"</f>
        <v>2449</v>
      </c>
      <c r="H3708" t="str">
        <f>"0000"</f>
        <v>0000</v>
      </c>
      <c r="I3708" t="s">
        <v>69</v>
      </c>
      <c r="J3708">
        <v>0</v>
      </c>
      <c r="K3708">
        <v>1</v>
      </c>
      <c r="L3708">
        <v>2</v>
      </c>
      <c r="M3708">
        <v>90</v>
      </c>
      <c r="N3708">
        <v>60</v>
      </c>
      <c r="O3708">
        <v>2</v>
      </c>
      <c r="P3708">
        <v>60</v>
      </c>
      <c r="Q3708">
        <v>32</v>
      </c>
      <c r="R3708">
        <v>1</v>
      </c>
      <c r="S3708" t="s">
        <v>77</v>
      </c>
      <c r="T3708" t="s">
        <v>77</v>
      </c>
      <c r="U3708">
        <v>2</v>
      </c>
      <c r="V3708" t="s">
        <v>77</v>
      </c>
      <c r="W3708" t="s">
        <v>77</v>
      </c>
      <c r="X3708">
        <v>23</v>
      </c>
      <c r="Y3708">
        <v>1</v>
      </c>
      <c r="Z3708" t="s">
        <v>77</v>
      </c>
      <c r="AA3708" t="s">
        <v>77</v>
      </c>
      <c r="AB3708" t="s">
        <v>77</v>
      </c>
      <c r="AD3708" t="s">
        <v>77</v>
      </c>
      <c r="AE3708" t="s">
        <v>77</v>
      </c>
      <c r="AF3708" t="s">
        <v>77</v>
      </c>
      <c r="AG3708" t="s">
        <v>77</v>
      </c>
      <c r="AI3708" t="s">
        <v>77</v>
      </c>
      <c r="AJ3708">
        <v>1</v>
      </c>
      <c r="AK3708">
        <v>60</v>
      </c>
      <c r="AL3708">
        <v>60</v>
      </c>
      <c r="AM3708">
        <v>106</v>
      </c>
      <c r="AN3708">
        <v>44</v>
      </c>
      <c r="AO3708" t="s">
        <v>78</v>
      </c>
      <c r="AP3708">
        <v>1</v>
      </c>
      <c r="AR3708" t="s">
        <v>3805</v>
      </c>
      <c r="AS3708" s="1">
        <v>44354.123611111114</v>
      </c>
      <c r="AT3708" s="1">
        <v>44354.128877314812</v>
      </c>
      <c r="AU3708" s="1">
        <v>44354.129444444443</v>
      </c>
      <c r="AV3708" t="s">
        <v>71</v>
      </c>
      <c r="AW3708" t="s">
        <v>72</v>
      </c>
      <c r="AX3708" t="s">
        <v>73</v>
      </c>
    </row>
    <row r="3709" spans="1:50" x14ac:dyDescent="0.3">
      <c r="A3709" t="str">
        <f>"202456B0000"</f>
        <v>202456B0000</v>
      </c>
      <c r="B3709" t="str">
        <f>"202456B00002"</f>
        <v>202456B00002</v>
      </c>
      <c r="C3709" t="str">
        <f t="shared" si="193"/>
        <v>20</v>
      </c>
      <c r="D3709" t="s">
        <v>67</v>
      </c>
      <c r="E3709" t="str">
        <f t="shared" si="194"/>
        <v>016</v>
      </c>
      <c r="F3709" t="s">
        <v>3578</v>
      </c>
      <c r="G3709" t="str">
        <f>"2456"</f>
        <v>2456</v>
      </c>
      <c r="H3709" t="str">
        <f>"0000"</f>
        <v>0000</v>
      </c>
      <c r="I3709" t="s">
        <v>69</v>
      </c>
      <c r="J3709">
        <v>0</v>
      </c>
      <c r="K3709">
        <v>1</v>
      </c>
      <c r="L3709">
        <v>2</v>
      </c>
      <c r="M3709">
        <v>313</v>
      </c>
      <c r="N3709">
        <v>241</v>
      </c>
      <c r="O3709">
        <v>0</v>
      </c>
      <c r="P3709">
        <v>241</v>
      </c>
      <c r="Q3709">
        <v>29</v>
      </c>
      <c r="R3709">
        <v>17</v>
      </c>
      <c r="S3709">
        <v>3</v>
      </c>
      <c r="T3709">
        <v>0</v>
      </c>
      <c r="U3709">
        <v>6</v>
      </c>
      <c r="V3709">
        <v>2</v>
      </c>
      <c r="W3709">
        <v>3</v>
      </c>
      <c r="X3709">
        <v>161</v>
      </c>
      <c r="Y3709">
        <v>3</v>
      </c>
      <c r="Z3709">
        <v>1</v>
      </c>
      <c r="AA3709">
        <v>2</v>
      </c>
      <c r="AB3709">
        <v>1</v>
      </c>
      <c r="AD3709">
        <v>0</v>
      </c>
      <c r="AE3709">
        <v>0</v>
      </c>
      <c r="AF3709">
        <v>0</v>
      </c>
      <c r="AG3709">
        <v>0</v>
      </c>
      <c r="AI3709">
        <v>0</v>
      </c>
      <c r="AJ3709">
        <v>13</v>
      </c>
      <c r="AK3709">
        <v>241</v>
      </c>
      <c r="AL3709">
        <v>241</v>
      </c>
      <c r="AM3709">
        <v>510</v>
      </c>
      <c r="AN3709">
        <v>44</v>
      </c>
      <c r="AP3709">
        <v>1</v>
      </c>
      <c r="AR3709" t="s">
        <v>3806</v>
      </c>
      <c r="AS3709" s="1">
        <v>44354.04791666667</v>
      </c>
      <c r="AT3709" s="1">
        <v>44354.054490740738</v>
      </c>
      <c r="AU3709" s="1">
        <v>44354.055</v>
      </c>
      <c r="AV3709" t="s">
        <v>71</v>
      </c>
      <c r="AW3709" t="s">
        <v>72</v>
      </c>
      <c r="AX3709" t="s">
        <v>73</v>
      </c>
    </row>
    <row r="3710" spans="1:50" x14ac:dyDescent="0.3">
      <c r="A3710" t="str">
        <f>"202456C0100"</f>
        <v>202456C0100</v>
      </c>
      <c r="B3710" t="str">
        <f>"202456C01002"</f>
        <v>202456C01002</v>
      </c>
      <c r="C3710" t="str">
        <f t="shared" si="193"/>
        <v>20</v>
      </c>
      <c r="D3710" t="s">
        <v>67</v>
      </c>
      <c r="E3710" t="str">
        <f t="shared" si="194"/>
        <v>016</v>
      </c>
      <c r="F3710" t="s">
        <v>3578</v>
      </c>
      <c r="G3710" t="str">
        <f>"2456"</f>
        <v>2456</v>
      </c>
      <c r="H3710" t="str">
        <f>"0001"</f>
        <v>0001</v>
      </c>
      <c r="I3710" t="s">
        <v>75</v>
      </c>
      <c r="J3710">
        <v>0</v>
      </c>
      <c r="K3710">
        <v>1</v>
      </c>
      <c r="L3710">
        <v>2</v>
      </c>
      <c r="M3710">
        <v>320</v>
      </c>
      <c r="N3710">
        <v>233</v>
      </c>
      <c r="O3710">
        <v>2</v>
      </c>
      <c r="P3710">
        <v>233</v>
      </c>
      <c r="Q3710">
        <v>22</v>
      </c>
      <c r="R3710">
        <v>10</v>
      </c>
      <c r="S3710">
        <v>10</v>
      </c>
      <c r="T3710">
        <v>3</v>
      </c>
      <c r="U3710">
        <v>10</v>
      </c>
      <c r="V3710">
        <v>3</v>
      </c>
      <c r="W3710">
        <v>4</v>
      </c>
      <c r="X3710">
        <v>164</v>
      </c>
      <c r="Y3710">
        <v>0</v>
      </c>
      <c r="Z3710">
        <v>2</v>
      </c>
      <c r="AA3710">
        <v>1</v>
      </c>
      <c r="AB3710">
        <v>2</v>
      </c>
      <c r="AD3710">
        <v>0</v>
      </c>
      <c r="AE3710">
        <v>0</v>
      </c>
      <c r="AF3710">
        <v>0</v>
      </c>
      <c r="AG3710">
        <v>0</v>
      </c>
      <c r="AI3710">
        <v>0</v>
      </c>
      <c r="AJ3710">
        <v>2</v>
      </c>
      <c r="AK3710">
        <v>233</v>
      </c>
      <c r="AL3710">
        <v>233</v>
      </c>
      <c r="AM3710">
        <v>509</v>
      </c>
      <c r="AN3710">
        <v>44</v>
      </c>
      <c r="AP3710">
        <v>1</v>
      </c>
      <c r="AR3710" t="s">
        <v>3807</v>
      </c>
      <c r="AS3710" s="1">
        <v>44354.047222222223</v>
      </c>
      <c r="AT3710" s="1">
        <v>44354.053981481484</v>
      </c>
      <c r="AU3710" s="1">
        <v>44354.054305555554</v>
      </c>
      <c r="AV3710" t="s">
        <v>71</v>
      </c>
      <c r="AW3710" t="s">
        <v>72</v>
      </c>
      <c r="AX3710" t="s">
        <v>73</v>
      </c>
    </row>
    <row r="3711" spans="1:50" x14ac:dyDescent="0.3">
      <c r="A3711" t="str">
        <f>"200378B0000"</f>
        <v>200378B0000</v>
      </c>
      <c r="B3711" t="str">
        <f>"200378B00002"</f>
        <v>200378B00002</v>
      </c>
      <c r="C3711" t="str">
        <f t="shared" si="193"/>
        <v>20</v>
      </c>
      <c r="D3711" t="s">
        <v>67</v>
      </c>
      <c r="E3711" t="str">
        <f t="shared" ref="E3711:E3774" si="195">"017"</f>
        <v>017</v>
      </c>
      <c r="F3711" t="s">
        <v>3808</v>
      </c>
      <c r="G3711" t="str">
        <f>"0378"</f>
        <v>0378</v>
      </c>
      <c r="H3711" t="str">
        <f>"0000"</f>
        <v>0000</v>
      </c>
      <c r="I3711" t="s">
        <v>69</v>
      </c>
      <c r="J3711">
        <v>0</v>
      </c>
      <c r="K3711">
        <v>1</v>
      </c>
      <c r="L3711">
        <v>2</v>
      </c>
      <c r="M3711">
        <v>631</v>
      </c>
      <c r="N3711">
        <v>124</v>
      </c>
      <c r="O3711">
        <v>0</v>
      </c>
      <c r="P3711">
        <v>124</v>
      </c>
      <c r="Q3711" t="s">
        <v>77</v>
      </c>
      <c r="R3711">
        <v>4</v>
      </c>
      <c r="S3711">
        <v>3</v>
      </c>
      <c r="T3711">
        <v>7</v>
      </c>
      <c r="U3711">
        <v>5</v>
      </c>
      <c r="V3711" t="s">
        <v>77</v>
      </c>
      <c r="W3711">
        <v>2</v>
      </c>
      <c r="X3711">
        <v>88</v>
      </c>
      <c r="Y3711" t="s">
        <v>77</v>
      </c>
      <c r="Z3711">
        <v>3</v>
      </c>
      <c r="AA3711">
        <v>2</v>
      </c>
      <c r="AB3711" t="s">
        <v>77</v>
      </c>
      <c r="AD3711">
        <v>1</v>
      </c>
      <c r="AE3711">
        <v>1</v>
      </c>
      <c r="AF3711" t="s">
        <v>77</v>
      </c>
      <c r="AG3711" t="s">
        <v>77</v>
      </c>
      <c r="AH3711">
        <v>1</v>
      </c>
      <c r="AI3711" t="s">
        <v>77</v>
      </c>
      <c r="AJ3711">
        <v>7</v>
      </c>
      <c r="AK3711">
        <v>124</v>
      </c>
      <c r="AL3711">
        <v>124</v>
      </c>
      <c r="AM3711">
        <v>712</v>
      </c>
      <c r="AN3711">
        <v>44</v>
      </c>
      <c r="AO3711" t="s">
        <v>78</v>
      </c>
      <c r="AP3711">
        <v>1</v>
      </c>
      <c r="AR3711" t="s">
        <v>3809</v>
      </c>
      <c r="AS3711" s="1">
        <v>44353.913888888892</v>
      </c>
      <c r="AT3711" s="1">
        <v>44354.046469907407</v>
      </c>
      <c r="AU3711" s="1">
        <v>44354.046932870369</v>
      </c>
      <c r="AV3711" t="s">
        <v>71</v>
      </c>
      <c r="AW3711" t="s">
        <v>72</v>
      </c>
      <c r="AX3711" t="s">
        <v>73</v>
      </c>
    </row>
    <row r="3712" spans="1:50" x14ac:dyDescent="0.3">
      <c r="A3712" t="str">
        <f>"200378C0100"</f>
        <v>200378C0100</v>
      </c>
      <c r="B3712" t="str">
        <f>"200378C01002"</f>
        <v>200378C01002</v>
      </c>
      <c r="C3712" t="str">
        <f t="shared" si="193"/>
        <v>20</v>
      </c>
      <c r="D3712" t="s">
        <v>67</v>
      </c>
      <c r="E3712" t="str">
        <f t="shared" si="195"/>
        <v>017</v>
      </c>
      <c r="F3712" t="s">
        <v>3808</v>
      </c>
      <c r="G3712" t="str">
        <f>"0378"</f>
        <v>0378</v>
      </c>
      <c r="H3712" t="str">
        <f>"0001"</f>
        <v>0001</v>
      </c>
      <c r="I3712" t="s">
        <v>75</v>
      </c>
      <c r="J3712">
        <v>0</v>
      </c>
      <c r="K3712">
        <v>1</v>
      </c>
      <c r="L3712">
        <v>2</v>
      </c>
      <c r="M3712">
        <v>613</v>
      </c>
      <c r="N3712">
        <v>143</v>
      </c>
      <c r="O3712">
        <v>2</v>
      </c>
      <c r="P3712">
        <v>143</v>
      </c>
      <c r="Q3712">
        <v>5</v>
      </c>
      <c r="R3712">
        <v>17</v>
      </c>
      <c r="S3712">
        <v>1</v>
      </c>
      <c r="T3712">
        <v>2</v>
      </c>
      <c r="U3712">
        <v>9</v>
      </c>
      <c r="V3712">
        <v>1</v>
      </c>
      <c r="W3712">
        <v>1</v>
      </c>
      <c r="X3712">
        <v>93</v>
      </c>
      <c r="Y3712">
        <v>0</v>
      </c>
      <c r="Z3712">
        <v>7</v>
      </c>
      <c r="AA3712">
        <v>3</v>
      </c>
      <c r="AB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139</v>
      </c>
      <c r="AM3712">
        <v>712</v>
      </c>
      <c r="AN3712">
        <v>44</v>
      </c>
      <c r="AP3712">
        <v>1</v>
      </c>
      <c r="AR3712" t="s">
        <v>3810</v>
      </c>
      <c r="AS3712" s="1">
        <v>44353.868055555555</v>
      </c>
      <c r="AT3712" s="1">
        <v>44354.047106481485</v>
      </c>
      <c r="AU3712" s="1">
        <v>44354.047627314816</v>
      </c>
      <c r="AV3712" t="s">
        <v>71</v>
      </c>
      <c r="AW3712" t="s">
        <v>72</v>
      </c>
      <c r="AX3712" t="s">
        <v>73</v>
      </c>
    </row>
    <row r="3713" spans="1:50" x14ac:dyDescent="0.3">
      <c r="A3713" t="str">
        <f>"200379B0000"</f>
        <v>200379B0000</v>
      </c>
      <c r="B3713" t="str">
        <f>"200379B00002"</f>
        <v>200379B00002</v>
      </c>
      <c r="C3713" t="str">
        <f t="shared" si="193"/>
        <v>20</v>
      </c>
      <c r="D3713" t="s">
        <v>67</v>
      </c>
      <c r="E3713" t="str">
        <f t="shared" si="195"/>
        <v>017</v>
      </c>
      <c r="F3713" t="s">
        <v>3808</v>
      </c>
      <c r="G3713" t="str">
        <f>"0379"</f>
        <v>0379</v>
      </c>
      <c r="H3713" t="str">
        <f>"0000"</f>
        <v>0000</v>
      </c>
      <c r="I3713" t="s">
        <v>69</v>
      </c>
      <c r="J3713">
        <v>0</v>
      </c>
      <c r="K3713">
        <v>1</v>
      </c>
      <c r="L3713">
        <v>2</v>
      </c>
      <c r="M3713">
        <v>483</v>
      </c>
      <c r="N3713">
        <v>123</v>
      </c>
      <c r="O3713">
        <v>1</v>
      </c>
      <c r="P3713">
        <v>122</v>
      </c>
      <c r="Q3713">
        <v>1</v>
      </c>
      <c r="R3713">
        <v>10</v>
      </c>
      <c r="S3713">
        <v>2</v>
      </c>
      <c r="T3713">
        <v>3</v>
      </c>
      <c r="U3713">
        <v>6</v>
      </c>
      <c r="V3713">
        <v>0</v>
      </c>
      <c r="W3713">
        <v>2</v>
      </c>
      <c r="X3713">
        <v>86</v>
      </c>
      <c r="Y3713">
        <v>1</v>
      </c>
      <c r="Z3713">
        <v>1</v>
      </c>
      <c r="AA3713">
        <v>4</v>
      </c>
      <c r="AB3713">
        <v>1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5</v>
      </c>
      <c r="AK3713">
        <v>122</v>
      </c>
      <c r="AL3713">
        <v>122</v>
      </c>
      <c r="AM3713">
        <v>561</v>
      </c>
      <c r="AN3713">
        <v>44</v>
      </c>
      <c r="AP3713">
        <v>1</v>
      </c>
      <c r="AR3713" t="s">
        <v>3811</v>
      </c>
      <c r="AS3713" s="1">
        <v>44353.902777777781</v>
      </c>
      <c r="AT3713" s="1">
        <v>44354.037488425929</v>
      </c>
      <c r="AU3713" s="1">
        <v>44354.037962962961</v>
      </c>
      <c r="AV3713" t="s">
        <v>71</v>
      </c>
      <c r="AW3713" t="s">
        <v>72</v>
      </c>
      <c r="AX3713" t="s">
        <v>73</v>
      </c>
    </row>
    <row r="3714" spans="1:50" x14ac:dyDescent="0.3">
      <c r="A3714" t="str">
        <f>"200379C0100"</f>
        <v>200379C0100</v>
      </c>
      <c r="B3714" t="str">
        <f>"200379C01002"</f>
        <v>200379C01002</v>
      </c>
      <c r="C3714" t="str">
        <f t="shared" si="193"/>
        <v>20</v>
      </c>
      <c r="D3714" t="s">
        <v>67</v>
      </c>
      <c r="E3714" t="str">
        <f t="shared" si="195"/>
        <v>017</v>
      </c>
      <c r="F3714" t="s">
        <v>3808</v>
      </c>
      <c r="G3714" t="str">
        <f>"0379"</f>
        <v>0379</v>
      </c>
      <c r="H3714" t="str">
        <f>"0001"</f>
        <v>0001</v>
      </c>
      <c r="I3714" t="s">
        <v>75</v>
      </c>
      <c r="J3714">
        <v>0</v>
      </c>
      <c r="K3714">
        <v>1</v>
      </c>
      <c r="L3714">
        <v>2</v>
      </c>
      <c r="M3714">
        <v>494</v>
      </c>
      <c r="N3714">
        <v>111</v>
      </c>
      <c r="O3714">
        <v>0</v>
      </c>
      <c r="P3714">
        <v>111</v>
      </c>
      <c r="Q3714">
        <v>1</v>
      </c>
      <c r="R3714">
        <v>13</v>
      </c>
      <c r="S3714">
        <v>1</v>
      </c>
      <c r="T3714">
        <v>1</v>
      </c>
      <c r="U3714">
        <v>8</v>
      </c>
      <c r="V3714">
        <v>1</v>
      </c>
      <c r="W3714">
        <v>0</v>
      </c>
      <c r="X3714">
        <v>81</v>
      </c>
      <c r="Y3714">
        <v>0</v>
      </c>
      <c r="Z3714">
        <v>0</v>
      </c>
      <c r="AA3714">
        <v>0</v>
      </c>
      <c r="AB3714">
        <v>1</v>
      </c>
      <c r="AD3714">
        <v>0</v>
      </c>
      <c r="AE3714">
        <v>1</v>
      </c>
      <c r="AF3714">
        <v>0</v>
      </c>
      <c r="AG3714">
        <v>0</v>
      </c>
      <c r="AH3714">
        <v>0</v>
      </c>
      <c r="AI3714">
        <v>0</v>
      </c>
      <c r="AJ3714">
        <v>3</v>
      </c>
      <c r="AK3714">
        <v>111</v>
      </c>
      <c r="AL3714">
        <v>111</v>
      </c>
      <c r="AM3714">
        <v>561</v>
      </c>
      <c r="AN3714">
        <v>44</v>
      </c>
      <c r="AP3714">
        <v>1</v>
      </c>
      <c r="AR3714" t="s">
        <v>3812</v>
      </c>
      <c r="AS3714" s="1">
        <v>44354.033333333333</v>
      </c>
      <c r="AT3714" s="1">
        <v>44354.041875000003</v>
      </c>
      <c r="AU3714" s="1">
        <v>44354.042546296296</v>
      </c>
      <c r="AV3714" t="s">
        <v>71</v>
      </c>
      <c r="AW3714" t="s">
        <v>72</v>
      </c>
      <c r="AX3714" t="s">
        <v>73</v>
      </c>
    </row>
    <row r="3715" spans="1:50" x14ac:dyDescent="0.3">
      <c r="A3715" t="str">
        <f>"200379C0200"</f>
        <v>200379C0200</v>
      </c>
      <c r="B3715" t="str">
        <f>"200379C02002"</f>
        <v>200379C02002</v>
      </c>
      <c r="C3715" t="str">
        <f t="shared" si="193"/>
        <v>20</v>
      </c>
      <c r="D3715" t="s">
        <v>67</v>
      </c>
      <c r="E3715" t="str">
        <f t="shared" si="195"/>
        <v>017</v>
      </c>
      <c r="F3715" t="s">
        <v>3808</v>
      </c>
      <c r="G3715" t="str">
        <f>"0379"</f>
        <v>0379</v>
      </c>
      <c r="H3715" t="str">
        <f>"0002"</f>
        <v>0002</v>
      </c>
      <c r="I3715" t="s">
        <v>75</v>
      </c>
      <c r="J3715">
        <v>0</v>
      </c>
      <c r="K3715">
        <v>1</v>
      </c>
      <c r="L3715">
        <v>2</v>
      </c>
      <c r="M3715">
        <v>507</v>
      </c>
      <c r="N3715">
        <v>98</v>
      </c>
      <c r="O3715">
        <v>0</v>
      </c>
      <c r="P3715">
        <v>98</v>
      </c>
      <c r="Q3715">
        <v>1</v>
      </c>
      <c r="R3715">
        <v>9</v>
      </c>
      <c r="S3715">
        <v>3</v>
      </c>
      <c r="T3715">
        <v>2</v>
      </c>
      <c r="U3715">
        <v>5</v>
      </c>
      <c r="V3715">
        <v>2</v>
      </c>
      <c r="W3715">
        <v>0</v>
      </c>
      <c r="X3715">
        <v>66</v>
      </c>
      <c r="Y3715">
        <v>0</v>
      </c>
      <c r="Z3715">
        <v>2</v>
      </c>
      <c r="AA3715">
        <v>0</v>
      </c>
      <c r="AB3715">
        <v>1</v>
      </c>
      <c r="AD3715" t="s">
        <v>77</v>
      </c>
      <c r="AE3715" t="s">
        <v>77</v>
      </c>
      <c r="AF3715" t="s">
        <v>77</v>
      </c>
      <c r="AG3715" t="s">
        <v>77</v>
      </c>
      <c r="AH3715" t="s">
        <v>77</v>
      </c>
      <c r="AI3715" t="s">
        <v>77</v>
      </c>
      <c r="AJ3715">
        <v>5</v>
      </c>
      <c r="AK3715">
        <v>98</v>
      </c>
      <c r="AL3715">
        <v>96</v>
      </c>
      <c r="AM3715">
        <v>561</v>
      </c>
      <c r="AN3715">
        <v>44</v>
      </c>
      <c r="AO3715" t="s">
        <v>78</v>
      </c>
      <c r="AP3715">
        <v>1</v>
      </c>
      <c r="AR3715" t="s">
        <v>3813</v>
      </c>
      <c r="AS3715" s="1">
        <v>44353.854166666664</v>
      </c>
      <c r="AT3715" s="1">
        <v>44354.040729166663</v>
      </c>
      <c r="AU3715" s="1">
        <v>44354.041076388887</v>
      </c>
      <c r="AV3715" t="s">
        <v>71</v>
      </c>
      <c r="AW3715" t="s">
        <v>72</v>
      </c>
      <c r="AX3715" t="s">
        <v>73</v>
      </c>
    </row>
    <row r="3716" spans="1:50" x14ac:dyDescent="0.3">
      <c r="A3716" t="str">
        <f>"200461B0000"</f>
        <v>200461B0000</v>
      </c>
      <c r="B3716" t="str">
        <f>"200461B00002"</f>
        <v>200461B00002</v>
      </c>
      <c r="C3716" t="str">
        <f t="shared" si="193"/>
        <v>20</v>
      </c>
      <c r="D3716" t="s">
        <v>67</v>
      </c>
      <c r="E3716" t="str">
        <f t="shared" si="195"/>
        <v>017</v>
      </c>
      <c r="F3716" t="s">
        <v>3808</v>
      </c>
      <c r="G3716" t="str">
        <f>"0461"</f>
        <v>0461</v>
      </c>
      <c r="H3716" t="str">
        <f>"0000"</f>
        <v>0000</v>
      </c>
      <c r="I3716" t="s">
        <v>69</v>
      </c>
      <c r="J3716">
        <v>0</v>
      </c>
      <c r="K3716">
        <v>1</v>
      </c>
      <c r="L3716">
        <v>2</v>
      </c>
      <c r="M3716">
        <v>277</v>
      </c>
      <c r="N3716">
        <v>231</v>
      </c>
      <c r="O3716">
        <v>0</v>
      </c>
      <c r="P3716">
        <v>232</v>
      </c>
      <c r="Q3716">
        <v>4</v>
      </c>
      <c r="R3716">
        <v>59</v>
      </c>
      <c r="S3716">
        <v>4</v>
      </c>
      <c r="T3716">
        <v>2</v>
      </c>
      <c r="U3716">
        <v>45</v>
      </c>
      <c r="V3716">
        <v>2</v>
      </c>
      <c r="W3716">
        <v>0</v>
      </c>
      <c r="X3716">
        <v>105</v>
      </c>
      <c r="Y3716">
        <v>0</v>
      </c>
      <c r="Z3716">
        <v>0</v>
      </c>
      <c r="AA3716">
        <v>0</v>
      </c>
      <c r="AB3716">
        <v>1</v>
      </c>
      <c r="AD3716">
        <v>0</v>
      </c>
      <c r="AE3716">
        <v>1</v>
      </c>
      <c r="AF3716">
        <v>0</v>
      </c>
      <c r="AG3716">
        <v>0</v>
      </c>
      <c r="AH3716">
        <v>0</v>
      </c>
      <c r="AI3716">
        <v>0</v>
      </c>
      <c r="AJ3716">
        <v>9</v>
      </c>
      <c r="AK3716">
        <v>232</v>
      </c>
      <c r="AL3716">
        <v>232</v>
      </c>
      <c r="AM3716">
        <v>465</v>
      </c>
      <c r="AN3716">
        <v>44</v>
      </c>
      <c r="AP3716">
        <v>1</v>
      </c>
      <c r="AR3716" t="s">
        <v>3814</v>
      </c>
      <c r="AS3716" s="1">
        <v>44354.32708333333</v>
      </c>
      <c r="AT3716" s="1">
        <v>44354.329560185186</v>
      </c>
      <c r="AU3716" s="1">
        <v>44354.330057870371</v>
      </c>
      <c r="AV3716" t="s">
        <v>71</v>
      </c>
      <c r="AW3716" t="s">
        <v>72</v>
      </c>
      <c r="AX3716" t="s">
        <v>73</v>
      </c>
    </row>
    <row r="3717" spans="1:50" x14ac:dyDescent="0.3">
      <c r="A3717" t="str">
        <f>"200461E0100"</f>
        <v>200461E0100</v>
      </c>
      <c r="B3717" t="str">
        <f>"200461E01002"</f>
        <v>200461E01002</v>
      </c>
      <c r="C3717" t="str">
        <f t="shared" si="193"/>
        <v>20</v>
      </c>
      <c r="D3717" t="s">
        <v>67</v>
      </c>
      <c r="E3717" t="str">
        <f t="shared" si="195"/>
        <v>017</v>
      </c>
      <c r="F3717" t="s">
        <v>3808</v>
      </c>
      <c r="G3717" t="str">
        <f>"0461"</f>
        <v>0461</v>
      </c>
      <c r="H3717" t="str">
        <f>"0001"</f>
        <v>0001</v>
      </c>
      <c r="I3717" t="s">
        <v>109</v>
      </c>
      <c r="J3717">
        <v>0</v>
      </c>
      <c r="K3717">
        <v>1</v>
      </c>
      <c r="L3717">
        <v>2</v>
      </c>
      <c r="M3717">
        <v>156</v>
      </c>
      <c r="N3717">
        <v>121</v>
      </c>
      <c r="O3717">
        <v>0</v>
      </c>
      <c r="P3717">
        <v>121</v>
      </c>
      <c r="Q3717">
        <v>1</v>
      </c>
      <c r="R3717">
        <v>25</v>
      </c>
      <c r="S3717">
        <v>0</v>
      </c>
      <c r="T3717">
        <v>1</v>
      </c>
      <c r="U3717">
        <v>41</v>
      </c>
      <c r="V3717">
        <v>3</v>
      </c>
      <c r="W3717">
        <v>1</v>
      </c>
      <c r="X3717">
        <v>43</v>
      </c>
      <c r="Y3717">
        <v>0</v>
      </c>
      <c r="Z3717">
        <v>0</v>
      </c>
      <c r="AA3717">
        <v>0</v>
      </c>
      <c r="AB3717">
        <v>1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5</v>
      </c>
      <c r="AK3717">
        <v>121</v>
      </c>
      <c r="AL3717">
        <v>121</v>
      </c>
      <c r="AM3717">
        <v>233</v>
      </c>
      <c r="AN3717">
        <v>44</v>
      </c>
      <c r="AP3717">
        <v>1</v>
      </c>
      <c r="AR3717" t="s">
        <v>3815</v>
      </c>
      <c r="AS3717" s="1">
        <v>44353.811111111114</v>
      </c>
      <c r="AT3717" s="1">
        <v>44354.330069444448</v>
      </c>
      <c r="AU3717" s="1">
        <v>44354.330509259256</v>
      </c>
      <c r="AV3717" t="s">
        <v>71</v>
      </c>
      <c r="AW3717" t="s">
        <v>72</v>
      </c>
      <c r="AX3717" t="s">
        <v>73</v>
      </c>
    </row>
    <row r="3718" spans="1:50" x14ac:dyDescent="0.3">
      <c r="A3718" t="str">
        <f>"200462B0000"</f>
        <v>200462B0000</v>
      </c>
      <c r="B3718" t="str">
        <f>"200462B00002"</f>
        <v>200462B00002</v>
      </c>
      <c r="C3718" t="str">
        <f t="shared" si="193"/>
        <v>20</v>
      </c>
      <c r="D3718" t="s">
        <v>67</v>
      </c>
      <c r="E3718" t="str">
        <f t="shared" si="195"/>
        <v>017</v>
      </c>
      <c r="F3718" t="s">
        <v>3808</v>
      </c>
      <c r="G3718" t="str">
        <f>"0462"</f>
        <v>0462</v>
      </c>
      <c r="H3718" t="str">
        <f>"0000"</f>
        <v>0000</v>
      </c>
      <c r="I3718" t="s">
        <v>69</v>
      </c>
      <c r="J3718">
        <v>0</v>
      </c>
      <c r="K3718">
        <v>1</v>
      </c>
      <c r="L3718">
        <v>2</v>
      </c>
      <c r="M3718">
        <v>352</v>
      </c>
      <c r="N3718">
        <v>226</v>
      </c>
      <c r="O3718">
        <v>0</v>
      </c>
      <c r="P3718">
        <v>225</v>
      </c>
      <c r="Q3718">
        <v>7</v>
      </c>
      <c r="R3718">
        <v>54</v>
      </c>
      <c r="S3718">
        <v>2</v>
      </c>
      <c r="T3718">
        <v>2</v>
      </c>
      <c r="U3718">
        <v>45</v>
      </c>
      <c r="V3718">
        <v>3</v>
      </c>
      <c r="W3718">
        <v>1</v>
      </c>
      <c r="X3718">
        <v>102</v>
      </c>
      <c r="Y3718">
        <v>0</v>
      </c>
      <c r="Z3718">
        <v>0</v>
      </c>
      <c r="AA3718">
        <v>1</v>
      </c>
      <c r="AB3718">
        <v>2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6</v>
      </c>
      <c r="AK3718">
        <v>225</v>
      </c>
      <c r="AL3718">
        <v>225</v>
      </c>
      <c r="AM3718">
        <v>533</v>
      </c>
      <c r="AN3718">
        <v>44</v>
      </c>
      <c r="AP3718">
        <v>1</v>
      </c>
      <c r="AR3718" t="s">
        <v>3816</v>
      </c>
      <c r="AS3718" s="1">
        <v>44354.328472222223</v>
      </c>
      <c r="AT3718" s="1">
        <v>44354.331030092595</v>
      </c>
      <c r="AU3718" s="1">
        <v>44354.33216435185</v>
      </c>
      <c r="AV3718" t="s">
        <v>71</v>
      </c>
      <c r="AW3718" t="s">
        <v>72</v>
      </c>
      <c r="AX3718" t="s">
        <v>73</v>
      </c>
    </row>
    <row r="3719" spans="1:50" x14ac:dyDescent="0.3">
      <c r="A3719" t="str">
        <f>"200462C0100"</f>
        <v>200462C0100</v>
      </c>
      <c r="B3719" t="str">
        <f>"200462C01002"</f>
        <v>200462C01002</v>
      </c>
      <c r="C3719" t="str">
        <f t="shared" ref="C3719:C3782" si="196">"20"</f>
        <v>20</v>
      </c>
      <c r="D3719" t="s">
        <v>67</v>
      </c>
      <c r="E3719" t="str">
        <f t="shared" si="195"/>
        <v>017</v>
      </c>
      <c r="F3719" t="s">
        <v>3808</v>
      </c>
      <c r="G3719" t="str">
        <f>"0462"</f>
        <v>0462</v>
      </c>
      <c r="H3719" t="str">
        <f>"0001"</f>
        <v>0001</v>
      </c>
      <c r="I3719" t="s">
        <v>75</v>
      </c>
      <c r="J3719">
        <v>0</v>
      </c>
      <c r="K3719">
        <v>1</v>
      </c>
      <c r="L3719">
        <v>2</v>
      </c>
      <c r="M3719">
        <v>352</v>
      </c>
      <c r="N3719">
        <v>223</v>
      </c>
      <c r="O3719">
        <v>0</v>
      </c>
      <c r="P3719">
        <v>224</v>
      </c>
      <c r="Q3719">
        <v>7</v>
      </c>
      <c r="R3719">
        <v>49</v>
      </c>
      <c r="S3719">
        <v>2</v>
      </c>
      <c r="T3719">
        <v>4</v>
      </c>
      <c r="U3719">
        <v>34</v>
      </c>
      <c r="V3719">
        <v>1</v>
      </c>
      <c r="W3719">
        <v>4</v>
      </c>
      <c r="X3719">
        <v>113</v>
      </c>
      <c r="Y3719">
        <v>0</v>
      </c>
      <c r="Z3719">
        <v>2</v>
      </c>
      <c r="AA3719">
        <v>1</v>
      </c>
      <c r="AB3719">
        <v>0</v>
      </c>
      <c r="AD3719">
        <v>0</v>
      </c>
      <c r="AE3719">
        <v>0</v>
      </c>
      <c r="AF3719">
        <v>0</v>
      </c>
      <c r="AG3719">
        <v>0</v>
      </c>
      <c r="AH3719">
        <v>1</v>
      </c>
      <c r="AI3719">
        <v>0</v>
      </c>
      <c r="AJ3719">
        <v>6</v>
      </c>
      <c r="AK3719">
        <v>224</v>
      </c>
      <c r="AL3719">
        <v>224</v>
      </c>
      <c r="AM3719">
        <v>532</v>
      </c>
      <c r="AN3719">
        <v>44</v>
      </c>
      <c r="AP3719">
        <v>1</v>
      </c>
      <c r="AR3719" t="s">
        <v>3817</v>
      </c>
      <c r="AS3719" s="1">
        <v>44354.329861111109</v>
      </c>
      <c r="AT3719" s="1">
        <v>44354.335798611108</v>
      </c>
      <c r="AU3719" s="1">
        <v>44354.337245370371</v>
      </c>
      <c r="AV3719" t="s">
        <v>71</v>
      </c>
      <c r="AW3719" t="s">
        <v>72</v>
      </c>
      <c r="AX3719" t="s">
        <v>73</v>
      </c>
    </row>
    <row r="3720" spans="1:50" x14ac:dyDescent="0.3">
      <c r="A3720" t="str">
        <f>"200463B0000"</f>
        <v>200463B0000</v>
      </c>
      <c r="B3720" t="str">
        <f>"200463B00002"</f>
        <v>200463B00002</v>
      </c>
      <c r="C3720" t="str">
        <f t="shared" si="196"/>
        <v>20</v>
      </c>
      <c r="D3720" t="s">
        <v>67</v>
      </c>
      <c r="E3720" t="str">
        <f t="shared" si="195"/>
        <v>017</v>
      </c>
      <c r="F3720" t="s">
        <v>3808</v>
      </c>
      <c r="G3720" t="str">
        <f>"0463"</f>
        <v>0463</v>
      </c>
      <c r="H3720" t="str">
        <f>"0000"</f>
        <v>0000</v>
      </c>
      <c r="I3720" t="s">
        <v>69</v>
      </c>
      <c r="J3720">
        <v>0</v>
      </c>
      <c r="K3720">
        <v>1</v>
      </c>
      <c r="L3720">
        <v>2</v>
      </c>
      <c r="M3720">
        <v>293</v>
      </c>
      <c r="N3720">
        <v>236</v>
      </c>
      <c r="O3720">
        <v>0</v>
      </c>
      <c r="P3720">
        <v>236</v>
      </c>
      <c r="Q3720">
        <v>6</v>
      </c>
      <c r="R3720">
        <v>34</v>
      </c>
      <c r="S3720">
        <v>2</v>
      </c>
      <c r="T3720">
        <v>2</v>
      </c>
      <c r="U3720">
        <v>53</v>
      </c>
      <c r="V3720">
        <v>1</v>
      </c>
      <c r="W3720">
        <v>4</v>
      </c>
      <c r="X3720">
        <v>119</v>
      </c>
      <c r="Y3720">
        <v>0</v>
      </c>
      <c r="Z3720">
        <v>1</v>
      </c>
      <c r="AA3720">
        <v>2</v>
      </c>
      <c r="AB3720">
        <v>2</v>
      </c>
      <c r="AD3720">
        <v>0</v>
      </c>
      <c r="AE3720">
        <v>1</v>
      </c>
      <c r="AF3720">
        <v>1</v>
      </c>
      <c r="AG3720">
        <v>0</v>
      </c>
      <c r="AH3720">
        <v>0</v>
      </c>
      <c r="AI3720">
        <v>0</v>
      </c>
      <c r="AJ3720">
        <v>8</v>
      </c>
      <c r="AK3720">
        <v>236</v>
      </c>
      <c r="AL3720">
        <v>236</v>
      </c>
      <c r="AM3720">
        <v>485</v>
      </c>
      <c r="AN3720">
        <v>44</v>
      </c>
      <c r="AP3720">
        <v>1</v>
      </c>
      <c r="AR3720" t="s">
        <v>3818</v>
      </c>
      <c r="AS3720" s="1">
        <v>44353.8125</v>
      </c>
      <c r="AT3720" s="1">
        <v>44354.331932870373</v>
      </c>
      <c r="AU3720" s="1">
        <v>44354.332615740743</v>
      </c>
      <c r="AV3720" t="s">
        <v>71</v>
      </c>
      <c r="AW3720" t="s">
        <v>72</v>
      </c>
      <c r="AX3720" t="s">
        <v>73</v>
      </c>
    </row>
    <row r="3721" spans="1:50" x14ac:dyDescent="0.3">
      <c r="A3721" t="str">
        <f>"200463C0100"</f>
        <v>200463C0100</v>
      </c>
      <c r="B3721" t="str">
        <f>"200463C01002"</f>
        <v>200463C01002</v>
      </c>
      <c r="C3721" t="str">
        <f t="shared" si="196"/>
        <v>20</v>
      </c>
      <c r="D3721" t="s">
        <v>67</v>
      </c>
      <c r="E3721" t="str">
        <f t="shared" si="195"/>
        <v>017</v>
      </c>
      <c r="F3721" t="s">
        <v>3808</v>
      </c>
      <c r="G3721" t="str">
        <f>"0463"</f>
        <v>0463</v>
      </c>
      <c r="H3721" t="str">
        <f>"0001"</f>
        <v>0001</v>
      </c>
      <c r="I3721" t="s">
        <v>75</v>
      </c>
      <c r="J3721">
        <v>0</v>
      </c>
      <c r="K3721">
        <v>1</v>
      </c>
      <c r="L3721">
        <v>2</v>
      </c>
      <c r="M3721">
        <v>278</v>
      </c>
      <c r="N3721">
        <v>250</v>
      </c>
      <c r="O3721">
        <v>0</v>
      </c>
      <c r="P3721">
        <v>250</v>
      </c>
      <c r="Q3721">
        <v>10</v>
      </c>
      <c r="R3721">
        <v>55</v>
      </c>
      <c r="S3721">
        <v>5</v>
      </c>
      <c r="T3721">
        <v>3</v>
      </c>
      <c r="U3721">
        <v>46</v>
      </c>
      <c r="V3721">
        <v>1</v>
      </c>
      <c r="W3721">
        <v>4</v>
      </c>
      <c r="X3721">
        <v>116</v>
      </c>
      <c r="Y3721">
        <v>2</v>
      </c>
      <c r="Z3721">
        <v>3</v>
      </c>
      <c r="AA3721">
        <v>0</v>
      </c>
      <c r="AB3721">
        <v>0</v>
      </c>
      <c r="AD3721">
        <v>2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3</v>
      </c>
      <c r="AK3721">
        <v>250</v>
      </c>
      <c r="AL3721">
        <v>250</v>
      </c>
      <c r="AM3721">
        <v>484</v>
      </c>
      <c r="AN3721">
        <v>44</v>
      </c>
      <c r="AP3721">
        <v>1</v>
      </c>
      <c r="AR3721" t="s">
        <v>3819</v>
      </c>
      <c r="AS3721" s="1">
        <v>44354.329861111109</v>
      </c>
      <c r="AT3721" s="1">
        <v>44354.33425925926</v>
      </c>
      <c r="AU3721" s="1">
        <v>44354.336111111108</v>
      </c>
      <c r="AV3721" t="s">
        <v>71</v>
      </c>
      <c r="AW3721" t="s">
        <v>72</v>
      </c>
      <c r="AX3721" t="s">
        <v>73</v>
      </c>
    </row>
    <row r="3722" spans="1:50" x14ac:dyDescent="0.3">
      <c r="A3722" t="str">
        <f>"200463S0100"</f>
        <v>200463S0100</v>
      </c>
      <c r="B3722" t="str">
        <f>"200463S01002EMR"</f>
        <v>200463S01002EMR</v>
      </c>
      <c r="C3722" t="str">
        <f t="shared" si="196"/>
        <v>20</v>
      </c>
      <c r="D3722" t="s">
        <v>67</v>
      </c>
      <c r="E3722" t="str">
        <f t="shared" si="195"/>
        <v>017</v>
      </c>
      <c r="F3722" t="s">
        <v>3808</v>
      </c>
      <c r="G3722" t="str">
        <f>"0463"</f>
        <v>0463</v>
      </c>
      <c r="H3722" t="str">
        <f>"0001"</f>
        <v>0001</v>
      </c>
      <c r="I3722" t="s">
        <v>85</v>
      </c>
      <c r="J3722">
        <v>0</v>
      </c>
      <c r="K3722">
        <v>1</v>
      </c>
      <c r="L3722" t="s">
        <v>86</v>
      </c>
      <c r="M3722">
        <v>842</v>
      </c>
      <c r="N3722">
        <v>158</v>
      </c>
      <c r="O3722">
        <v>0</v>
      </c>
      <c r="P3722">
        <v>66</v>
      </c>
      <c r="Q3722">
        <v>1</v>
      </c>
      <c r="R3722">
        <v>10</v>
      </c>
      <c r="S3722">
        <v>0</v>
      </c>
      <c r="T3722">
        <v>1</v>
      </c>
      <c r="U3722">
        <v>17</v>
      </c>
      <c r="V3722">
        <v>1</v>
      </c>
      <c r="W3722">
        <v>0</v>
      </c>
      <c r="X3722">
        <v>33</v>
      </c>
      <c r="Y3722">
        <v>0</v>
      </c>
      <c r="Z3722">
        <v>0</v>
      </c>
      <c r="AA3722">
        <v>0</v>
      </c>
      <c r="AB3722">
        <v>1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2</v>
      </c>
      <c r="AK3722">
        <v>66</v>
      </c>
      <c r="AL3722">
        <v>66</v>
      </c>
      <c r="AM3722">
        <v>0</v>
      </c>
      <c r="AN3722">
        <v>44</v>
      </c>
      <c r="AP3722">
        <v>1</v>
      </c>
      <c r="AR3722" t="s">
        <v>3820</v>
      </c>
      <c r="AS3722" s="1">
        <v>44354.329861111109</v>
      </c>
      <c r="AT3722" s="1">
        <v>44354.682812500003</v>
      </c>
      <c r="AU3722" s="1">
        <v>44354.683668981481</v>
      </c>
      <c r="AV3722" t="s">
        <v>71</v>
      </c>
      <c r="AW3722" t="s">
        <v>72</v>
      </c>
      <c r="AX3722" t="s">
        <v>73</v>
      </c>
    </row>
    <row r="3723" spans="1:50" x14ac:dyDescent="0.3">
      <c r="A3723" t="str">
        <f>"200464B0000"</f>
        <v>200464B0000</v>
      </c>
      <c r="B3723" t="str">
        <f>"200464B00002"</f>
        <v>200464B00002</v>
      </c>
      <c r="C3723" t="str">
        <f t="shared" si="196"/>
        <v>20</v>
      </c>
      <c r="D3723" t="s">
        <v>67</v>
      </c>
      <c r="E3723" t="str">
        <f t="shared" si="195"/>
        <v>017</v>
      </c>
      <c r="F3723" t="s">
        <v>3808</v>
      </c>
      <c r="G3723" t="str">
        <f>"0464"</f>
        <v>0464</v>
      </c>
      <c r="H3723" t="str">
        <f>"0000"</f>
        <v>0000</v>
      </c>
      <c r="I3723" t="s">
        <v>69</v>
      </c>
      <c r="J3723">
        <v>0</v>
      </c>
      <c r="K3723">
        <v>1</v>
      </c>
      <c r="L3723">
        <v>2</v>
      </c>
      <c r="M3723">
        <v>236</v>
      </c>
      <c r="N3723">
        <v>210</v>
      </c>
      <c r="O3723">
        <v>1</v>
      </c>
      <c r="P3723">
        <v>210</v>
      </c>
      <c r="Q3723">
        <v>5</v>
      </c>
      <c r="R3723">
        <v>47</v>
      </c>
      <c r="S3723">
        <v>4</v>
      </c>
      <c r="T3723">
        <v>4</v>
      </c>
      <c r="U3723">
        <v>33</v>
      </c>
      <c r="V3723">
        <v>0</v>
      </c>
      <c r="W3723">
        <v>3</v>
      </c>
      <c r="X3723">
        <v>107</v>
      </c>
      <c r="Y3723">
        <v>1</v>
      </c>
      <c r="Z3723">
        <v>0</v>
      </c>
      <c r="AA3723">
        <v>0</v>
      </c>
      <c r="AB3723">
        <v>1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5</v>
      </c>
      <c r="AK3723">
        <v>210</v>
      </c>
      <c r="AL3723">
        <v>210</v>
      </c>
      <c r="AM3723">
        <v>402</v>
      </c>
      <c r="AN3723">
        <v>44</v>
      </c>
      <c r="AP3723">
        <v>1</v>
      </c>
      <c r="AR3723" t="s">
        <v>3821</v>
      </c>
      <c r="AS3723" s="1">
        <v>44354.313888888886</v>
      </c>
      <c r="AT3723" s="1">
        <v>44354.317719907405</v>
      </c>
      <c r="AU3723" s="1">
        <v>44354.318344907406</v>
      </c>
      <c r="AV3723" t="s">
        <v>71</v>
      </c>
      <c r="AW3723" t="s">
        <v>72</v>
      </c>
      <c r="AX3723" t="s">
        <v>73</v>
      </c>
    </row>
    <row r="3724" spans="1:50" x14ac:dyDescent="0.3">
      <c r="A3724" t="str">
        <f>"200464C0100"</f>
        <v>200464C0100</v>
      </c>
      <c r="B3724" t="str">
        <f>"200464C01002"</f>
        <v>200464C01002</v>
      </c>
      <c r="C3724" t="str">
        <f t="shared" si="196"/>
        <v>20</v>
      </c>
      <c r="D3724" t="s">
        <v>67</v>
      </c>
      <c r="E3724" t="str">
        <f t="shared" si="195"/>
        <v>017</v>
      </c>
      <c r="F3724" t="s">
        <v>3808</v>
      </c>
      <c r="G3724" t="str">
        <f>"0464"</f>
        <v>0464</v>
      </c>
      <c r="H3724" t="str">
        <f>"0001"</f>
        <v>0001</v>
      </c>
      <c r="I3724" t="s">
        <v>75</v>
      </c>
      <c r="J3724">
        <v>0</v>
      </c>
      <c r="K3724">
        <v>1</v>
      </c>
      <c r="L3724">
        <v>2</v>
      </c>
      <c r="M3724">
        <v>284</v>
      </c>
      <c r="N3724">
        <v>162</v>
      </c>
      <c r="O3724">
        <v>2</v>
      </c>
      <c r="P3724">
        <v>162</v>
      </c>
      <c r="Q3724">
        <v>1</v>
      </c>
      <c r="R3724">
        <v>28</v>
      </c>
      <c r="S3724">
        <v>3</v>
      </c>
      <c r="T3724">
        <v>1</v>
      </c>
      <c r="U3724">
        <v>29</v>
      </c>
      <c r="V3724">
        <v>1</v>
      </c>
      <c r="W3724">
        <v>2</v>
      </c>
      <c r="X3724">
        <v>91</v>
      </c>
      <c r="Y3724">
        <v>0</v>
      </c>
      <c r="Z3724">
        <v>0</v>
      </c>
      <c r="AA3724">
        <v>0</v>
      </c>
      <c r="AB3724">
        <v>0</v>
      </c>
      <c r="AD3724">
        <v>1</v>
      </c>
      <c r="AE3724">
        <v>1</v>
      </c>
      <c r="AF3724">
        <v>0</v>
      </c>
      <c r="AG3724">
        <v>0</v>
      </c>
      <c r="AH3724">
        <v>0</v>
      </c>
      <c r="AI3724">
        <v>0</v>
      </c>
      <c r="AJ3724">
        <v>4</v>
      </c>
      <c r="AK3724">
        <v>162</v>
      </c>
      <c r="AL3724">
        <v>162</v>
      </c>
      <c r="AM3724">
        <v>402</v>
      </c>
      <c r="AN3724">
        <v>44</v>
      </c>
      <c r="AP3724">
        <v>1</v>
      </c>
      <c r="AR3724" t="s">
        <v>3822</v>
      </c>
      <c r="AS3724" s="1">
        <v>44354.314583333333</v>
      </c>
      <c r="AT3724" s="1">
        <v>44354.317812499998</v>
      </c>
      <c r="AU3724" s="1">
        <v>44354.318252314813</v>
      </c>
      <c r="AV3724" t="s">
        <v>71</v>
      </c>
      <c r="AW3724" t="s">
        <v>72</v>
      </c>
      <c r="AX3724" t="s">
        <v>73</v>
      </c>
    </row>
    <row r="3725" spans="1:50" x14ac:dyDescent="0.3">
      <c r="A3725" t="str">
        <f>"200465B0000"</f>
        <v>200465B0000</v>
      </c>
      <c r="B3725" t="str">
        <f>"200465B00002"</f>
        <v>200465B00002</v>
      </c>
      <c r="C3725" t="str">
        <f t="shared" si="196"/>
        <v>20</v>
      </c>
      <c r="D3725" t="s">
        <v>67</v>
      </c>
      <c r="E3725" t="str">
        <f t="shared" si="195"/>
        <v>017</v>
      </c>
      <c r="F3725" t="s">
        <v>3808</v>
      </c>
      <c r="G3725" t="str">
        <f>"0465"</f>
        <v>0465</v>
      </c>
      <c r="H3725" t="str">
        <f>"0000"</f>
        <v>0000</v>
      </c>
      <c r="I3725" t="s">
        <v>69</v>
      </c>
      <c r="J3725">
        <v>0</v>
      </c>
      <c r="K3725">
        <v>1</v>
      </c>
      <c r="L3725">
        <v>2</v>
      </c>
      <c r="M3725">
        <v>492</v>
      </c>
      <c r="N3725">
        <v>223</v>
      </c>
      <c r="O3725">
        <v>0</v>
      </c>
      <c r="P3725">
        <v>223</v>
      </c>
      <c r="Q3725">
        <v>8</v>
      </c>
      <c r="R3725">
        <v>77</v>
      </c>
      <c r="S3725">
        <v>1</v>
      </c>
      <c r="T3725">
        <v>0</v>
      </c>
      <c r="U3725">
        <v>74</v>
      </c>
      <c r="V3725">
        <v>4</v>
      </c>
      <c r="W3725">
        <v>1</v>
      </c>
      <c r="X3725">
        <v>46</v>
      </c>
      <c r="Y3725">
        <v>0</v>
      </c>
      <c r="Z3725">
        <v>1</v>
      </c>
      <c r="AA3725">
        <v>0</v>
      </c>
      <c r="AB3725">
        <v>0</v>
      </c>
      <c r="AD3725">
        <v>0</v>
      </c>
      <c r="AE3725">
        <v>0</v>
      </c>
      <c r="AF3725">
        <v>0</v>
      </c>
      <c r="AG3725">
        <v>0</v>
      </c>
      <c r="AH3725">
        <v>4</v>
      </c>
      <c r="AI3725">
        <v>0</v>
      </c>
      <c r="AJ3725">
        <v>7</v>
      </c>
      <c r="AK3725">
        <v>223</v>
      </c>
      <c r="AL3725">
        <v>223</v>
      </c>
      <c r="AM3725">
        <v>671</v>
      </c>
      <c r="AN3725">
        <v>44</v>
      </c>
      <c r="AP3725">
        <v>1</v>
      </c>
      <c r="AR3725" t="s">
        <v>3823</v>
      </c>
      <c r="AS3725" s="1">
        <v>44354.515972222223</v>
      </c>
      <c r="AT3725" s="1">
        <v>44354.519062500003</v>
      </c>
      <c r="AU3725" s="1">
        <v>44354.519884259258</v>
      </c>
      <c r="AV3725" t="s">
        <v>71</v>
      </c>
      <c r="AW3725" t="s">
        <v>72</v>
      </c>
      <c r="AX3725" t="s">
        <v>73</v>
      </c>
    </row>
    <row r="3726" spans="1:50" x14ac:dyDescent="0.3">
      <c r="A3726" t="str">
        <f>"200465E0100"</f>
        <v>200465E0100</v>
      </c>
      <c r="B3726" t="str">
        <f>"200465E01002"</f>
        <v>200465E01002</v>
      </c>
      <c r="C3726" t="str">
        <f t="shared" si="196"/>
        <v>20</v>
      </c>
      <c r="D3726" t="s">
        <v>67</v>
      </c>
      <c r="E3726" t="str">
        <f t="shared" si="195"/>
        <v>017</v>
      </c>
      <c r="F3726" t="s">
        <v>3808</v>
      </c>
      <c r="G3726" t="str">
        <f>"0465"</f>
        <v>0465</v>
      </c>
      <c r="H3726" t="str">
        <f>"0001"</f>
        <v>0001</v>
      </c>
      <c r="I3726" t="s">
        <v>109</v>
      </c>
      <c r="J3726">
        <v>0</v>
      </c>
      <c r="K3726">
        <v>1</v>
      </c>
      <c r="L3726">
        <v>2</v>
      </c>
      <c r="M3726" t="s">
        <v>80</v>
      </c>
      <c r="N3726" t="s">
        <v>80</v>
      </c>
      <c r="O3726" t="s">
        <v>80</v>
      </c>
      <c r="P3726">
        <v>87</v>
      </c>
      <c r="Q3726">
        <v>3</v>
      </c>
      <c r="R3726">
        <v>44</v>
      </c>
      <c r="S3726">
        <v>1</v>
      </c>
      <c r="T3726">
        <v>1</v>
      </c>
      <c r="U3726">
        <v>4</v>
      </c>
      <c r="V3726">
        <v>1</v>
      </c>
      <c r="W3726">
        <v>0</v>
      </c>
      <c r="X3726">
        <v>24</v>
      </c>
      <c r="Y3726">
        <v>0</v>
      </c>
      <c r="Z3726">
        <v>1</v>
      </c>
      <c r="AA3726">
        <v>1</v>
      </c>
      <c r="AB3726">
        <v>0</v>
      </c>
      <c r="AD3726">
        <v>0</v>
      </c>
      <c r="AE3726">
        <v>1</v>
      </c>
      <c r="AF3726">
        <v>0</v>
      </c>
      <c r="AG3726">
        <v>1</v>
      </c>
      <c r="AH3726">
        <v>1</v>
      </c>
      <c r="AI3726">
        <v>0</v>
      </c>
      <c r="AJ3726">
        <v>4</v>
      </c>
      <c r="AK3726">
        <v>87</v>
      </c>
      <c r="AL3726">
        <v>87</v>
      </c>
      <c r="AM3726">
        <v>175</v>
      </c>
      <c r="AN3726">
        <v>44</v>
      </c>
      <c r="AP3726">
        <v>1</v>
      </c>
      <c r="AR3726" t="s">
        <v>3824</v>
      </c>
      <c r="AS3726" s="1">
        <v>44354.517361111109</v>
      </c>
      <c r="AT3726" s="1">
        <v>44354.520821759259</v>
      </c>
      <c r="AU3726" s="1">
        <v>44354.521249999998</v>
      </c>
      <c r="AV3726" t="s">
        <v>71</v>
      </c>
      <c r="AW3726" t="s">
        <v>72</v>
      </c>
      <c r="AX3726" t="s">
        <v>73</v>
      </c>
    </row>
    <row r="3727" spans="1:50" x14ac:dyDescent="0.3">
      <c r="A3727" t="str">
        <f>"200466B0000"</f>
        <v>200466B0000</v>
      </c>
      <c r="B3727" t="str">
        <f>"200466B00002"</f>
        <v>200466B00002</v>
      </c>
      <c r="C3727" t="str">
        <f t="shared" si="196"/>
        <v>20</v>
      </c>
      <c r="D3727" t="s">
        <v>67</v>
      </c>
      <c r="E3727" t="str">
        <f t="shared" si="195"/>
        <v>017</v>
      </c>
      <c r="F3727" t="s">
        <v>3808</v>
      </c>
      <c r="G3727" t="str">
        <f>"0466"</f>
        <v>0466</v>
      </c>
      <c r="H3727" t="str">
        <f>"0000"</f>
        <v>0000</v>
      </c>
      <c r="I3727" t="s">
        <v>69</v>
      </c>
      <c r="J3727">
        <v>0</v>
      </c>
      <c r="K3727">
        <v>1</v>
      </c>
      <c r="L3727">
        <v>2</v>
      </c>
      <c r="M3727">
        <v>451</v>
      </c>
      <c r="N3727">
        <v>342</v>
      </c>
      <c r="O3727">
        <v>0</v>
      </c>
      <c r="P3727">
        <v>342</v>
      </c>
      <c r="Q3727">
        <v>2</v>
      </c>
      <c r="R3727">
        <v>31</v>
      </c>
      <c r="S3727">
        <v>6</v>
      </c>
      <c r="T3727">
        <v>4</v>
      </c>
      <c r="U3727">
        <v>61</v>
      </c>
      <c r="V3727">
        <v>7</v>
      </c>
      <c r="W3727">
        <v>3</v>
      </c>
      <c r="X3727">
        <v>214</v>
      </c>
      <c r="Y3727">
        <v>1</v>
      </c>
      <c r="Z3727">
        <v>1</v>
      </c>
      <c r="AA3727">
        <v>4</v>
      </c>
      <c r="AB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8</v>
      </c>
      <c r="AK3727">
        <v>342</v>
      </c>
      <c r="AL3727">
        <v>342</v>
      </c>
      <c r="AM3727">
        <v>749</v>
      </c>
      <c r="AN3727">
        <v>44</v>
      </c>
      <c r="AP3727">
        <v>1</v>
      </c>
      <c r="AR3727" t="s">
        <v>3825</v>
      </c>
      <c r="AS3727" s="1">
        <v>44354.332638888889</v>
      </c>
      <c r="AT3727" s="1">
        <v>44354.336956018517</v>
      </c>
      <c r="AU3727" s="1">
        <v>44354.338518518518</v>
      </c>
      <c r="AV3727" t="s">
        <v>71</v>
      </c>
      <c r="AW3727" t="s">
        <v>72</v>
      </c>
      <c r="AX3727" t="s">
        <v>73</v>
      </c>
    </row>
    <row r="3728" spans="1:50" x14ac:dyDescent="0.3">
      <c r="A3728" t="str">
        <f>"200467B0000"</f>
        <v>200467B0000</v>
      </c>
      <c r="B3728" t="str">
        <f>"200467B00002"</f>
        <v>200467B00002</v>
      </c>
      <c r="C3728" t="str">
        <f t="shared" si="196"/>
        <v>20</v>
      </c>
      <c r="D3728" t="s">
        <v>67</v>
      </c>
      <c r="E3728" t="str">
        <f t="shared" si="195"/>
        <v>017</v>
      </c>
      <c r="F3728" t="s">
        <v>3808</v>
      </c>
      <c r="G3728" t="str">
        <f>"0467"</f>
        <v>0467</v>
      </c>
      <c r="H3728" t="str">
        <f>"0000"</f>
        <v>0000</v>
      </c>
      <c r="I3728" t="s">
        <v>69</v>
      </c>
      <c r="J3728">
        <v>0</v>
      </c>
      <c r="K3728">
        <v>1</v>
      </c>
      <c r="L3728">
        <v>2</v>
      </c>
      <c r="M3728">
        <v>127</v>
      </c>
      <c r="N3728">
        <v>158</v>
      </c>
      <c r="O3728">
        <v>7</v>
      </c>
      <c r="P3728">
        <v>158</v>
      </c>
      <c r="Q3728">
        <v>4</v>
      </c>
      <c r="R3728">
        <v>18</v>
      </c>
      <c r="S3728">
        <v>2</v>
      </c>
      <c r="T3728">
        <v>5</v>
      </c>
      <c r="U3728">
        <v>100</v>
      </c>
      <c r="V3728">
        <v>0</v>
      </c>
      <c r="W3728">
        <v>1</v>
      </c>
      <c r="X3728">
        <v>15</v>
      </c>
      <c r="Y3728">
        <v>0</v>
      </c>
      <c r="Z3728">
        <v>0</v>
      </c>
      <c r="AA3728">
        <v>0</v>
      </c>
      <c r="AB3728">
        <v>0</v>
      </c>
      <c r="AD3728">
        <v>1</v>
      </c>
      <c r="AE3728">
        <v>0</v>
      </c>
      <c r="AF3728">
        <v>0</v>
      </c>
      <c r="AG3728">
        <v>0</v>
      </c>
      <c r="AH3728">
        <v>4</v>
      </c>
      <c r="AI3728">
        <v>0</v>
      </c>
      <c r="AJ3728">
        <v>8</v>
      </c>
      <c r="AK3728">
        <v>158</v>
      </c>
      <c r="AL3728">
        <v>158</v>
      </c>
      <c r="AM3728">
        <v>241</v>
      </c>
      <c r="AN3728">
        <v>44</v>
      </c>
      <c r="AP3728">
        <v>1</v>
      </c>
      <c r="AR3728" t="s">
        <v>3826</v>
      </c>
      <c r="AS3728" s="1">
        <v>44354.222222222219</v>
      </c>
      <c r="AT3728" s="1">
        <v>44354.226469907408</v>
      </c>
      <c r="AU3728" s="1">
        <v>44354.227013888885</v>
      </c>
      <c r="AV3728" t="s">
        <v>71</v>
      </c>
      <c r="AW3728" t="s">
        <v>72</v>
      </c>
      <c r="AX3728" t="s">
        <v>73</v>
      </c>
    </row>
    <row r="3729" spans="1:50" x14ac:dyDescent="0.3">
      <c r="A3729" t="str">
        <f>"200468B0000"</f>
        <v>200468B0000</v>
      </c>
      <c r="B3729" t="str">
        <f>"200468B00002"</f>
        <v>200468B00002</v>
      </c>
      <c r="C3729" t="str">
        <f t="shared" si="196"/>
        <v>20</v>
      </c>
      <c r="D3729" t="s">
        <v>67</v>
      </c>
      <c r="E3729" t="str">
        <f t="shared" si="195"/>
        <v>017</v>
      </c>
      <c r="F3729" t="s">
        <v>3808</v>
      </c>
      <c r="G3729" t="str">
        <f>"0468"</f>
        <v>0468</v>
      </c>
      <c r="H3729" t="str">
        <f>"0000"</f>
        <v>0000</v>
      </c>
      <c r="I3729" t="s">
        <v>69</v>
      </c>
      <c r="J3729">
        <v>0</v>
      </c>
      <c r="K3729">
        <v>1</v>
      </c>
      <c r="L3729">
        <v>2</v>
      </c>
      <c r="M3729">
        <v>222</v>
      </c>
      <c r="N3729">
        <v>265</v>
      </c>
      <c r="O3729">
        <v>0</v>
      </c>
      <c r="P3729">
        <v>265</v>
      </c>
      <c r="Q3729">
        <v>13</v>
      </c>
      <c r="R3729">
        <v>162</v>
      </c>
      <c r="S3729">
        <v>3</v>
      </c>
      <c r="T3729">
        <v>1</v>
      </c>
      <c r="U3729">
        <v>28</v>
      </c>
      <c r="V3729">
        <v>1</v>
      </c>
      <c r="W3729">
        <v>1</v>
      </c>
      <c r="X3729">
        <v>51</v>
      </c>
      <c r="Y3729">
        <v>0</v>
      </c>
      <c r="Z3729">
        <v>1</v>
      </c>
      <c r="AA3729">
        <v>0</v>
      </c>
      <c r="AB3729">
        <v>1</v>
      </c>
      <c r="AD3729">
        <v>0</v>
      </c>
      <c r="AE3729">
        <v>1</v>
      </c>
      <c r="AF3729">
        <v>0</v>
      </c>
      <c r="AG3729">
        <v>1</v>
      </c>
      <c r="AH3729">
        <v>0</v>
      </c>
      <c r="AI3729">
        <v>0</v>
      </c>
      <c r="AJ3729">
        <v>1</v>
      </c>
      <c r="AK3729">
        <v>265</v>
      </c>
      <c r="AL3729">
        <v>265</v>
      </c>
      <c r="AM3729">
        <v>443</v>
      </c>
      <c r="AN3729">
        <v>44</v>
      </c>
      <c r="AP3729">
        <v>1</v>
      </c>
      <c r="AR3729" t="s">
        <v>3827</v>
      </c>
      <c r="AS3729" s="1">
        <v>44354.272222222222</v>
      </c>
      <c r="AT3729" s="1">
        <v>44354.274409722224</v>
      </c>
      <c r="AU3729" s="1">
        <v>44354.27484953704</v>
      </c>
      <c r="AV3729" t="s">
        <v>71</v>
      </c>
      <c r="AW3729" t="s">
        <v>72</v>
      </c>
      <c r="AX3729" t="s">
        <v>73</v>
      </c>
    </row>
    <row r="3730" spans="1:50" x14ac:dyDescent="0.3">
      <c r="A3730" t="str">
        <f>"200668B0000"</f>
        <v>200668B0000</v>
      </c>
      <c r="B3730" t="str">
        <f>"200668B00002"</f>
        <v>200668B00002</v>
      </c>
      <c r="C3730" t="str">
        <f t="shared" si="196"/>
        <v>20</v>
      </c>
      <c r="D3730" t="s">
        <v>67</v>
      </c>
      <c r="E3730" t="str">
        <f t="shared" si="195"/>
        <v>017</v>
      </c>
      <c r="F3730" t="s">
        <v>3808</v>
      </c>
      <c r="G3730" t="str">
        <f>"0668"</f>
        <v>0668</v>
      </c>
      <c r="H3730" t="str">
        <f>"0000"</f>
        <v>0000</v>
      </c>
      <c r="I3730" t="s">
        <v>69</v>
      </c>
      <c r="J3730">
        <v>0</v>
      </c>
      <c r="K3730">
        <v>1</v>
      </c>
      <c r="L3730">
        <v>2</v>
      </c>
      <c r="M3730">
        <v>293</v>
      </c>
      <c r="N3730">
        <v>221</v>
      </c>
      <c r="O3730">
        <v>0</v>
      </c>
      <c r="P3730">
        <v>221</v>
      </c>
      <c r="Q3730">
        <v>0</v>
      </c>
      <c r="R3730">
        <v>55</v>
      </c>
      <c r="S3730">
        <v>2</v>
      </c>
      <c r="T3730">
        <v>5</v>
      </c>
      <c r="U3730">
        <v>54</v>
      </c>
      <c r="V3730">
        <v>3</v>
      </c>
      <c r="W3730">
        <v>0</v>
      </c>
      <c r="X3730">
        <v>86</v>
      </c>
      <c r="Y3730">
        <v>1</v>
      </c>
      <c r="Z3730">
        <v>0</v>
      </c>
      <c r="AA3730">
        <v>0</v>
      </c>
      <c r="AB3730">
        <v>1</v>
      </c>
      <c r="AD3730">
        <v>1</v>
      </c>
      <c r="AE3730">
        <v>0</v>
      </c>
      <c r="AF3730">
        <v>0</v>
      </c>
      <c r="AG3730">
        <v>1</v>
      </c>
      <c r="AH3730">
        <v>0</v>
      </c>
      <c r="AI3730">
        <v>0</v>
      </c>
      <c r="AJ3730">
        <v>12</v>
      </c>
      <c r="AK3730">
        <v>221</v>
      </c>
      <c r="AL3730">
        <v>221</v>
      </c>
      <c r="AM3730">
        <v>470</v>
      </c>
      <c r="AN3730">
        <v>44</v>
      </c>
      <c r="AP3730">
        <v>1</v>
      </c>
      <c r="AR3730" t="s">
        <v>3828</v>
      </c>
      <c r="AS3730" s="1">
        <v>44353.820138888892</v>
      </c>
      <c r="AT3730" s="1">
        <v>44353.964861111112</v>
      </c>
      <c r="AU3730" s="1">
        <v>44353.965682870374</v>
      </c>
      <c r="AV3730" t="s">
        <v>71</v>
      </c>
      <c r="AW3730" t="s">
        <v>72</v>
      </c>
      <c r="AX3730" t="s">
        <v>73</v>
      </c>
    </row>
    <row r="3731" spans="1:50" x14ac:dyDescent="0.3">
      <c r="A3731" t="str">
        <f>"200668C0100"</f>
        <v>200668C0100</v>
      </c>
      <c r="B3731" t="str">
        <f>"200668C01002"</f>
        <v>200668C01002</v>
      </c>
      <c r="C3731" t="str">
        <f t="shared" si="196"/>
        <v>20</v>
      </c>
      <c r="D3731" t="s">
        <v>67</v>
      </c>
      <c r="E3731" t="str">
        <f t="shared" si="195"/>
        <v>017</v>
      </c>
      <c r="F3731" t="s">
        <v>3808</v>
      </c>
      <c r="G3731" t="str">
        <f>"0668"</f>
        <v>0668</v>
      </c>
      <c r="H3731" t="str">
        <f>"0001"</f>
        <v>0001</v>
      </c>
      <c r="I3731" t="s">
        <v>75</v>
      </c>
      <c r="J3731">
        <v>0</v>
      </c>
      <c r="K3731">
        <v>1</v>
      </c>
      <c r="L3731">
        <v>2</v>
      </c>
      <c r="M3731">
        <v>287</v>
      </c>
      <c r="N3731">
        <v>226</v>
      </c>
      <c r="O3731">
        <v>2</v>
      </c>
      <c r="P3731">
        <v>226</v>
      </c>
      <c r="Q3731">
        <v>7</v>
      </c>
      <c r="R3731">
        <v>44</v>
      </c>
      <c r="S3731">
        <v>7</v>
      </c>
      <c r="T3731">
        <v>4</v>
      </c>
      <c r="U3731">
        <v>53</v>
      </c>
      <c r="V3731">
        <v>5</v>
      </c>
      <c r="W3731">
        <v>0</v>
      </c>
      <c r="X3731">
        <v>89</v>
      </c>
      <c r="Y3731">
        <v>0</v>
      </c>
      <c r="Z3731">
        <v>4</v>
      </c>
      <c r="AA3731">
        <v>1</v>
      </c>
      <c r="AB3731">
        <v>1</v>
      </c>
      <c r="AD3731">
        <v>1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10</v>
      </c>
      <c r="AK3731">
        <v>226</v>
      </c>
      <c r="AL3731">
        <v>226</v>
      </c>
      <c r="AM3731">
        <v>469</v>
      </c>
      <c r="AN3731">
        <v>44</v>
      </c>
      <c r="AP3731">
        <v>1</v>
      </c>
      <c r="AR3731" t="s">
        <v>3829</v>
      </c>
      <c r="AS3731" s="1">
        <v>44353.98541666667</v>
      </c>
      <c r="AT3731" s="1">
        <v>44353.987592592595</v>
      </c>
      <c r="AU3731" s="1">
        <v>44353.988310185188</v>
      </c>
      <c r="AV3731" t="s">
        <v>71</v>
      </c>
      <c r="AW3731" t="s">
        <v>72</v>
      </c>
      <c r="AX3731" t="s">
        <v>347</v>
      </c>
    </row>
    <row r="3732" spans="1:50" x14ac:dyDescent="0.3">
      <c r="A3732" t="str">
        <f>"200792B0000"</f>
        <v>200792B0000</v>
      </c>
      <c r="B3732" t="str">
        <f>"200792B00002"</f>
        <v>200792B00002</v>
      </c>
      <c r="C3732" t="str">
        <f t="shared" si="196"/>
        <v>20</v>
      </c>
      <c r="D3732" t="s">
        <v>67</v>
      </c>
      <c r="E3732" t="str">
        <f t="shared" si="195"/>
        <v>017</v>
      </c>
      <c r="F3732" t="s">
        <v>3808</v>
      </c>
      <c r="G3732" t="str">
        <f>"0792"</f>
        <v>0792</v>
      </c>
      <c r="H3732" t="str">
        <f>"0000"</f>
        <v>0000</v>
      </c>
      <c r="I3732" t="s">
        <v>69</v>
      </c>
      <c r="J3732">
        <v>0</v>
      </c>
      <c r="K3732">
        <v>1</v>
      </c>
      <c r="L3732">
        <v>2</v>
      </c>
      <c r="M3732">
        <v>166</v>
      </c>
      <c r="N3732">
        <v>454</v>
      </c>
      <c r="O3732">
        <v>0</v>
      </c>
      <c r="P3732">
        <v>454</v>
      </c>
      <c r="Q3732">
        <v>1</v>
      </c>
      <c r="R3732">
        <v>91</v>
      </c>
      <c r="S3732">
        <v>2</v>
      </c>
      <c r="T3732">
        <v>5</v>
      </c>
      <c r="U3732">
        <v>260</v>
      </c>
      <c r="V3732">
        <v>1</v>
      </c>
      <c r="W3732">
        <v>4</v>
      </c>
      <c r="X3732">
        <v>58</v>
      </c>
      <c r="Y3732">
        <v>0</v>
      </c>
      <c r="Z3732">
        <v>7</v>
      </c>
      <c r="AA3732">
        <v>2</v>
      </c>
      <c r="AB3732">
        <v>2</v>
      </c>
      <c r="AD3732">
        <v>0</v>
      </c>
      <c r="AE3732">
        <v>1</v>
      </c>
      <c r="AF3732">
        <v>0</v>
      </c>
      <c r="AG3732">
        <v>0</v>
      </c>
      <c r="AH3732">
        <v>0</v>
      </c>
      <c r="AI3732">
        <v>5</v>
      </c>
      <c r="AJ3732">
        <v>15</v>
      </c>
      <c r="AK3732">
        <v>454</v>
      </c>
      <c r="AL3732">
        <v>454</v>
      </c>
      <c r="AM3732">
        <v>576</v>
      </c>
      <c r="AN3732">
        <v>44</v>
      </c>
      <c r="AP3732">
        <v>1</v>
      </c>
      <c r="AR3732" t="s">
        <v>3830</v>
      </c>
      <c r="AS3732" s="1">
        <v>44354.052777777775</v>
      </c>
      <c r="AT3732" s="1">
        <v>44354.060497685183</v>
      </c>
      <c r="AU3732" s="1">
        <v>44354.061076388891</v>
      </c>
      <c r="AV3732" t="s">
        <v>71</v>
      </c>
      <c r="AW3732" t="s">
        <v>72</v>
      </c>
      <c r="AX3732" t="s">
        <v>73</v>
      </c>
    </row>
    <row r="3733" spans="1:50" x14ac:dyDescent="0.3">
      <c r="A3733" t="str">
        <f>"200792C0100"</f>
        <v>200792C0100</v>
      </c>
      <c r="B3733" t="str">
        <f>"200792C01002"</f>
        <v>200792C01002</v>
      </c>
      <c r="C3733" t="str">
        <f t="shared" si="196"/>
        <v>20</v>
      </c>
      <c r="D3733" t="s">
        <v>67</v>
      </c>
      <c r="E3733" t="str">
        <f t="shared" si="195"/>
        <v>017</v>
      </c>
      <c r="F3733" t="s">
        <v>3808</v>
      </c>
      <c r="G3733" t="str">
        <f>"0792"</f>
        <v>0792</v>
      </c>
      <c r="H3733" t="str">
        <f>"0001"</f>
        <v>0001</v>
      </c>
      <c r="I3733" t="s">
        <v>75</v>
      </c>
      <c r="J3733">
        <v>0</v>
      </c>
      <c r="K3733">
        <v>1</v>
      </c>
      <c r="L3733">
        <v>2</v>
      </c>
      <c r="M3733" t="s">
        <v>80</v>
      </c>
      <c r="N3733" t="s">
        <v>80</v>
      </c>
      <c r="O3733" t="s">
        <v>80</v>
      </c>
      <c r="P3733" t="s">
        <v>80</v>
      </c>
      <c r="Q3733">
        <v>2</v>
      </c>
      <c r="R3733">
        <v>106</v>
      </c>
      <c r="S3733">
        <v>6</v>
      </c>
      <c r="T3733">
        <v>7</v>
      </c>
      <c r="U3733">
        <v>256</v>
      </c>
      <c r="V3733">
        <v>1</v>
      </c>
      <c r="W3733">
        <v>4</v>
      </c>
      <c r="X3733">
        <v>72</v>
      </c>
      <c r="Y3733">
        <v>0</v>
      </c>
      <c r="Z3733">
        <v>3</v>
      </c>
      <c r="AA3733">
        <v>5</v>
      </c>
      <c r="AB3733">
        <v>3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14</v>
      </c>
      <c r="AK3733">
        <v>479</v>
      </c>
      <c r="AL3733">
        <v>479</v>
      </c>
      <c r="AM3733">
        <v>576</v>
      </c>
      <c r="AN3733">
        <v>44</v>
      </c>
      <c r="AP3733">
        <v>1</v>
      </c>
      <c r="AR3733" t="s">
        <v>3831</v>
      </c>
      <c r="AS3733" s="1">
        <v>44354.260416666664</v>
      </c>
      <c r="AT3733" s="1">
        <v>44354.262314814812</v>
      </c>
      <c r="AU3733" s="1">
        <v>44354.263009259259</v>
      </c>
      <c r="AV3733" t="s">
        <v>71</v>
      </c>
      <c r="AW3733" t="s">
        <v>72</v>
      </c>
      <c r="AX3733" t="s">
        <v>347</v>
      </c>
    </row>
    <row r="3734" spans="1:50" x14ac:dyDescent="0.3">
      <c r="A3734" t="str">
        <f>"200793B0000"</f>
        <v>200793B0000</v>
      </c>
      <c r="B3734" t="str">
        <f>"200793B00002"</f>
        <v>200793B00002</v>
      </c>
      <c r="C3734" t="str">
        <f t="shared" si="196"/>
        <v>20</v>
      </c>
      <c r="D3734" t="s">
        <v>67</v>
      </c>
      <c r="E3734" t="str">
        <f t="shared" si="195"/>
        <v>017</v>
      </c>
      <c r="F3734" t="s">
        <v>3808</v>
      </c>
      <c r="G3734" t="str">
        <f>"0793"</f>
        <v>0793</v>
      </c>
      <c r="H3734" t="str">
        <f>"0000"</f>
        <v>0000</v>
      </c>
      <c r="I3734" t="s">
        <v>69</v>
      </c>
      <c r="J3734">
        <v>0</v>
      </c>
      <c r="K3734">
        <v>1</v>
      </c>
      <c r="L3734">
        <v>2</v>
      </c>
      <c r="M3734">
        <v>156</v>
      </c>
      <c r="N3734">
        <v>442</v>
      </c>
      <c r="O3734">
        <v>0</v>
      </c>
      <c r="P3734">
        <v>442</v>
      </c>
      <c r="Q3734">
        <v>3</v>
      </c>
      <c r="R3734">
        <v>91</v>
      </c>
      <c r="S3734">
        <v>4</v>
      </c>
      <c r="T3734">
        <v>21</v>
      </c>
      <c r="U3734">
        <v>217</v>
      </c>
      <c r="V3734">
        <v>2</v>
      </c>
      <c r="W3734">
        <v>2</v>
      </c>
      <c r="X3734">
        <v>62</v>
      </c>
      <c r="Y3734">
        <v>0</v>
      </c>
      <c r="Z3734">
        <v>2</v>
      </c>
      <c r="AA3734">
        <v>4</v>
      </c>
      <c r="AB3734">
        <v>2</v>
      </c>
      <c r="AD3734">
        <v>0</v>
      </c>
      <c r="AE3734">
        <v>0</v>
      </c>
      <c r="AF3734">
        <v>0</v>
      </c>
      <c r="AG3734">
        <v>0</v>
      </c>
      <c r="AH3734">
        <v>3</v>
      </c>
      <c r="AI3734">
        <v>0</v>
      </c>
      <c r="AJ3734">
        <v>28</v>
      </c>
      <c r="AK3734">
        <v>442</v>
      </c>
      <c r="AL3734">
        <v>441</v>
      </c>
      <c r="AM3734">
        <v>554</v>
      </c>
      <c r="AN3734">
        <v>44</v>
      </c>
      <c r="AP3734">
        <v>1</v>
      </c>
      <c r="AR3734" t="s">
        <v>3832</v>
      </c>
      <c r="AS3734" s="1">
        <v>44354.046527777777</v>
      </c>
      <c r="AT3734" s="1">
        <v>44354.053773148145</v>
      </c>
      <c r="AU3734" s="1">
        <v>44354.054525462961</v>
      </c>
      <c r="AV3734" t="s">
        <v>71</v>
      </c>
      <c r="AW3734" t="s">
        <v>72</v>
      </c>
      <c r="AX3734" t="s">
        <v>73</v>
      </c>
    </row>
    <row r="3735" spans="1:50" x14ac:dyDescent="0.3">
      <c r="A3735" t="str">
        <f>"200793C0100"</f>
        <v>200793C0100</v>
      </c>
      <c r="B3735" t="str">
        <f>"200793C01002"</f>
        <v>200793C01002</v>
      </c>
      <c r="C3735" t="str">
        <f t="shared" si="196"/>
        <v>20</v>
      </c>
      <c r="D3735" t="s">
        <v>67</v>
      </c>
      <c r="E3735" t="str">
        <f t="shared" si="195"/>
        <v>017</v>
      </c>
      <c r="F3735" t="s">
        <v>3808</v>
      </c>
      <c r="G3735" t="str">
        <f>"0793"</f>
        <v>0793</v>
      </c>
      <c r="H3735" t="str">
        <f>"0001"</f>
        <v>0001</v>
      </c>
      <c r="I3735" t="s">
        <v>75</v>
      </c>
      <c r="J3735">
        <v>0</v>
      </c>
      <c r="K3735">
        <v>1</v>
      </c>
      <c r="L3735">
        <v>2</v>
      </c>
      <c r="M3735">
        <v>146</v>
      </c>
      <c r="N3735" t="s">
        <v>99</v>
      </c>
      <c r="O3735">
        <v>0</v>
      </c>
      <c r="P3735">
        <v>454</v>
      </c>
      <c r="Q3735">
        <v>3</v>
      </c>
      <c r="R3735">
        <v>81</v>
      </c>
      <c r="S3735">
        <v>7</v>
      </c>
      <c r="T3735">
        <v>15</v>
      </c>
      <c r="U3735">
        <v>250</v>
      </c>
      <c r="V3735">
        <v>4</v>
      </c>
      <c r="W3735">
        <v>3</v>
      </c>
      <c r="X3735">
        <v>64</v>
      </c>
      <c r="Y3735">
        <v>1</v>
      </c>
      <c r="Z3735">
        <v>4</v>
      </c>
      <c r="AA3735">
        <v>4</v>
      </c>
      <c r="AB3735">
        <v>2</v>
      </c>
      <c r="AD3735">
        <v>91</v>
      </c>
      <c r="AE3735">
        <v>84</v>
      </c>
      <c r="AF3735">
        <v>10</v>
      </c>
      <c r="AG3735">
        <v>88</v>
      </c>
      <c r="AH3735">
        <v>265</v>
      </c>
      <c r="AI3735" t="s">
        <v>77</v>
      </c>
      <c r="AJ3735">
        <v>16</v>
      </c>
      <c r="AK3735">
        <v>454</v>
      </c>
      <c r="AL3735">
        <v>992</v>
      </c>
      <c r="AM3735">
        <v>553</v>
      </c>
      <c r="AN3735">
        <v>44</v>
      </c>
      <c r="AO3735" t="s">
        <v>245</v>
      </c>
      <c r="AP3735">
        <v>0</v>
      </c>
      <c r="AR3735" t="s">
        <v>3833</v>
      </c>
      <c r="AS3735" s="1">
        <v>44354.048611111109</v>
      </c>
      <c r="AT3735" s="1">
        <v>44354.057384259257</v>
      </c>
      <c r="AU3735" s="1">
        <v>44354.058576388888</v>
      </c>
      <c r="AV3735" t="s">
        <v>71</v>
      </c>
      <c r="AW3735" t="s">
        <v>72</v>
      </c>
      <c r="AX3735" t="s">
        <v>73</v>
      </c>
    </row>
    <row r="3736" spans="1:50" x14ac:dyDescent="0.3">
      <c r="A3736" t="str">
        <f>"200803B0000"</f>
        <v>200803B0000</v>
      </c>
      <c r="B3736" t="str">
        <f>"200803B00002"</f>
        <v>200803B00002</v>
      </c>
      <c r="C3736" t="str">
        <f t="shared" si="196"/>
        <v>20</v>
      </c>
      <c r="D3736" t="s">
        <v>67</v>
      </c>
      <c r="E3736" t="str">
        <f t="shared" si="195"/>
        <v>017</v>
      </c>
      <c r="F3736" t="s">
        <v>3808</v>
      </c>
      <c r="G3736" t="str">
        <f>"0803"</f>
        <v>0803</v>
      </c>
      <c r="H3736" t="str">
        <f>"0000"</f>
        <v>0000</v>
      </c>
      <c r="I3736" t="s">
        <v>69</v>
      </c>
      <c r="J3736">
        <v>0</v>
      </c>
      <c r="K3736">
        <v>1</v>
      </c>
      <c r="L3736">
        <v>2</v>
      </c>
      <c r="M3736">
        <v>222</v>
      </c>
      <c r="N3736">
        <v>329</v>
      </c>
      <c r="O3736">
        <v>0</v>
      </c>
      <c r="P3736">
        <v>329</v>
      </c>
      <c r="Q3736">
        <v>6</v>
      </c>
      <c r="R3736">
        <v>91</v>
      </c>
      <c r="S3736">
        <v>4</v>
      </c>
      <c r="T3736">
        <v>2</v>
      </c>
      <c r="U3736">
        <v>21</v>
      </c>
      <c r="V3736">
        <v>3</v>
      </c>
      <c r="W3736">
        <v>5</v>
      </c>
      <c r="X3736">
        <v>182</v>
      </c>
      <c r="Y3736">
        <v>0</v>
      </c>
      <c r="Z3736">
        <v>2</v>
      </c>
      <c r="AA3736">
        <v>1</v>
      </c>
      <c r="AB3736">
        <v>1</v>
      </c>
      <c r="AD3736">
        <v>2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9</v>
      </c>
      <c r="AK3736">
        <v>329</v>
      </c>
      <c r="AL3736">
        <v>329</v>
      </c>
      <c r="AM3736">
        <v>507</v>
      </c>
      <c r="AN3736">
        <v>44</v>
      </c>
      <c r="AP3736">
        <v>1</v>
      </c>
      <c r="AR3736" t="s">
        <v>3834</v>
      </c>
      <c r="AS3736" s="1">
        <v>44354.238888888889</v>
      </c>
      <c r="AT3736" s="1">
        <v>44354.244699074072</v>
      </c>
      <c r="AU3736" s="1">
        <v>44354.245243055557</v>
      </c>
      <c r="AV3736" t="s">
        <v>71</v>
      </c>
      <c r="AW3736" t="s">
        <v>72</v>
      </c>
      <c r="AX3736" t="s">
        <v>73</v>
      </c>
    </row>
    <row r="3737" spans="1:50" x14ac:dyDescent="0.3">
      <c r="A3737" t="str">
        <f>"200809B0000"</f>
        <v>200809B0000</v>
      </c>
      <c r="B3737" t="str">
        <f>"200809B00002"</f>
        <v>200809B00002</v>
      </c>
      <c r="C3737" t="str">
        <f t="shared" si="196"/>
        <v>20</v>
      </c>
      <c r="D3737" t="s">
        <v>67</v>
      </c>
      <c r="E3737" t="str">
        <f t="shared" si="195"/>
        <v>017</v>
      </c>
      <c r="F3737" t="s">
        <v>3808</v>
      </c>
      <c r="G3737" t="str">
        <f>"0809"</f>
        <v>0809</v>
      </c>
      <c r="H3737" t="str">
        <f>"0000"</f>
        <v>0000</v>
      </c>
      <c r="I3737" t="s">
        <v>69</v>
      </c>
      <c r="J3737">
        <v>0</v>
      </c>
      <c r="K3737">
        <v>1</v>
      </c>
      <c r="L3737">
        <v>2</v>
      </c>
      <c r="M3737">
        <v>578</v>
      </c>
      <c r="N3737">
        <v>200</v>
      </c>
      <c r="O3737">
        <v>0</v>
      </c>
      <c r="P3737">
        <v>200</v>
      </c>
      <c r="Q3737">
        <v>13</v>
      </c>
      <c r="R3737">
        <v>37</v>
      </c>
      <c r="S3737">
        <v>4</v>
      </c>
      <c r="T3737">
        <v>7</v>
      </c>
      <c r="U3737">
        <v>12</v>
      </c>
      <c r="V3737">
        <v>14</v>
      </c>
      <c r="W3737">
        <v>4</v>
      </c>
      <c r="X3737">
        <v>89</v>
      </c>
      <c r="Y3737">
        <v>2</v>
      </c>
      <c r="Z3737">
        <v>2</v>
      </c>
      <c r="AA3737">
        <v>0</v>
      </c>
      <c r="AB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16</v>
      </c>
      <c r="AK3737">
        <v>200</v>
      </c>
      <c r="AL3737">
        <v>200</v>
      </c>
      <c r="AM3737">
        <v>734</v>
      </c>
      <c r="AN3737">
        <v>44</v>
      </c>
      <c r="AP3737">
        <v>1</v>
      </c>
      <c r="AR3737" t="s">
        <v>3835</v>
      </c>
      <c r="AS3737" s="1">
        <v>44353.819444444445</v>
      </c>
      <c r="AT3737" s="1">
        <v>44353.947013888886</v>
      </c>
      <c r="AU3737" s="1">
        <v>44353.947569444441</v>
      </c>
      <c r="AV3737" t="s">
        <v>71</v>
      </c>
      <c r="AW3737" t="s">
        <v>72</v>
      </c>
      <c r="AX3737" t="s">
        <v>73</v>
      </c>
    </row>
    <row r="3738" spans="1:50" x14ac:dyDescent="0.3">
      <c r="A3738" t="str">
        <f>"200809C0100"</f>
        <v>200809C0100</v>
      </c>
      <c r="B3738" t="str">
        <f>"200809C01002"</f>
        <v>200809C01002</v>
      </c>
      <c r="C3738" t="str">
        <f t="shared" si="196"/>
        <v>20</v>
      </c>
      <c r="D3738" t="s">
        <v>67</v>
      </c>
      <c r="E3738" t="str">
        <f t="shared" si="195"/>
        <v>017</v>
      </c>
      <c r="F3738" t="s">
        <v>3808</v>
      </c>
      <c r="G3738" t="str">
        <f>"0809"</f>
        <v>0809</v>
      </c>
      <c r="H3738" t="str">
        <f>"0001"</f>
        <v>0001</v>
      </c>
      <c r="I3738" t="s">
        <v>75</v>
      </c>
      <c r="J3738">
        <v>0</v>
      </c>
      <c r="K3738">
        <v>1</v>
      </c>
      <c r="L3738">
        <v>2</v>
      </c>
      <c r="M3738">
        <v>582</v>
      </c>
      <c r="N3738">
        <v>196</v>
      </c>
      <c r="O3738">
        <v>0</v>
      </c>
      <c r="P3738">
        <v>196</v>
      </c>
      <c r="Q3738">
        <v>10</v>
      </c>
      <c r="R3738">
        <v>47</v>
      </c>
      <c r="S3738">
        <v>3</v>
      </c>
      <c r="T3738">
        <v>6</v>
      </c>
      <c r="U3738">
        <v>14</v>
      </c>
      <c r="V3738">
        <v>13</v>
      </c>
      <c r="W3738">
        <v>2</v>
      </c>
      <c r="X3738">
        <v>72</v>
      </c>
      <c r="Y3738">
        <v>4</v>
      </c>
      <c r="Z3738">
        <v>7</v>
      </c>
      <c r="AA3738">
        <v>2</v>
      </c>
      <c r="AB3738">
        <v>2</v>
      </c>
      <c r="AD3738">
        <v>1</v>
      </c>
      <c r="AE3738">
        <v>2</v>
      </c>
      <c r="AF3738">
        <v>0</v>
      </c>
      <c r="AG3738">
        <v>0</v>
      </c>
      <c r="AH3738">
        <v>0</v>
      </c>
      <c r="AI3738">
        <v>0</v>
      </c>
      <c r="AJ3738">
        <v>11</v>
      </c>
      <c r="AK3738">
        <v>196</v>
      </c>
      <c r="AL3738">
        <v>196</v>
      </c>
      <c r="AM3738">
        <v>734</v>
      </c>
      <c r="AN3738">
        <v>44</v>
      </c>
      <c r="AP3738">
        <v>1</v>
      </c>
      <c r="AR3738" t="s">
        <v>3836</v>
      </c>
      <c r="AS3738" s="1">
        <v>44353.943749999999</v>
      </c>
      <c r="AT3738" s="1">
        <v>44353.945937500001</v>
      </c>
      <c r="AU3738" s="1">
        <v>44353.947233796294</v>
      </c>
      <c r="AV3738" t="s">
        <v>71</v>
      </c>
      <c r="AW3738" t="s">
        <v>72</v>
      </c>
      <c r="AX3738" t="s">
        <v>73</v>
      </c>
    </row>
    <row r="3739" spans="1:50" x14ac:dyDescent="0.3">
      <c r="A3739" t="str">
        <f>"200809C0200"</f>
        <v>200809C0200</v>
      </c>
      <c r="B3739" t="str">
        <f>"200809C02002"</f>
        <v>200809C02002</v>
      </c>
      <c r="C3739" t="str">
        <f t="shared" si="196"/>
        <v>20</v>
      </c>
      <c r="D3739" t="s">
        <v>67</v>
      </c>
      <c r="E3739" t="str">
        <f t="shared" si="195"/>
        <v>017</v>
      </c>
      <c r="F3739" t="s">
        <v>3808</v>
      </c>
      <c r="G3739" t="str">
        <f>"0809"</f>
        <v>0809</v>
      </c>
      <c r="H3739" t="str">
        <f>"0002"</f>
        <v>0002</v>
      </c>
      <c r="I3739" t="s">
        <v>75</v>
      </c>
      <c r="J3739">
        <v>0</v>
      </c>
      <c r="K3739">
        <v>1</v>
      </c>
      <c r="L3739">
        <v>2</v>
      </c>
      <c r="M3739">
        <v>595</v>
      </c>
      <c r="N3739">
        <v>183</v>
      </c>
      <c r="O3739">
        <v>0</v>
      </c>
      <c r="P3739">
        <v>183</v>
      </c>
      <c r="Q3739">
        <v>14</v>
      </c>
      <c r="R3739">
        <v>39</v>
      </c>
      <c r="S3739">
        <v>1</v>
      </c>
      <c r="T3739">
        <v>3</v>
      </c>
      <c r="U3739">
        <v>15</v>
      </c>
      <c r="V3739">
        <v>13</v>
      </c>
      <c r="W3739">
        <v>2</v>
      </c>
      <c r="X3739">
        <v>70</v>
      </c>
      <c r="Y3739">
        <v>4</v>
      </c>
      <c r="Z3739">
        <v>3</v>
      </c>
      <c r="AA3739">
        <v>0</v>
      </c>
      <c r="AB3739">
        <v>2</v>
      </c>
      <c r="AD3739" t="s">
        <v>77</v>
      </c>
      <c r="AE3739" t="s">
        <v>77</v>
      </c>
      <c r="AF3739" t="s">
        <v>77</v>
      </c>
      <c r="AG3739" t="s">
        <v>77</v>
      </c>
      <c r="AH3739" t="s">
        <v>77</v>
      </c>
      <c r="AI3739" t="s">
        <v>77</v>
      </c>
      <c r="AJ3739">
        <v>17</v>
      </c>
      <c r="AK3739">
        <v>183</v>
      </c>
      <c r="AL3739">
        <v>183</v>
      </c>
      <c r="AM3739">
        <v>734</v>
      </c>
      <c r="AN3739">
        <v>44</v>
      </c>
      <c r="AO3739" t="s">
        <v>78</v>
      </c>
      <c r="AP3739">
        <v>1</v>
      </c>
      <c r="AR3739" t="s">
        <v>3837</v>
      </c>
      <c r="AS3739" s="1">
        <v>44353.943749999999</v>
      </c>
      <c r="AT3739" s="1">
        <v>44353.946585648147</v>
      </c>
      <c r="AU3739" s="1">
        <v>44353.947465277779</v>
      </c>
      <c r="AV3739" t="s">
        <v>71</v>
      </c>
      <c r="AW3739" t="s">
        <v>72</v>
      </c>
      <c r="AX3739" t="s">
        <v>73</v>
      </c>
    </row>
    <row r="3740" spans="1:50" x14ac:dyDescent="0.3">
      <c r="A3740" t="str">
        <f>"200820B0000"</f>
        <v>200820B0000</v>
      </c>
      <c r="B3740" t="str">
        <f>"200820B00002"</f>
        <v>200820B00002</v>
      </c>
      <c r="C3740" t="str">
        <f t="shared" si="196"/>
        <v>20</v>
      </c>
      <c r="D3740" t="s">
        <v>67</v>
      </c>
      <c r="E3740" t="str">
        <f t="shared" si="195"/>
        <v>017</v>
      </c>
      <c r="F3740" t="s">
        <v>3808</v>
      </c>
      <c r="G3740" t="str">
        <f>"0820"</f>
        <v>0820</v>
      </c>
      <c r="H3740" t="str">
        <f>"0000"</f>
        <v>0000</v>
      </c>
      <c r="I3740" t="s">
        <v>69</v>
      </c>
      <c r="J3740">
        <v>0</v>
      </c>
      <c r="K3740">
        <v>1</v>
      </c>
      <c r="L3740">
        <v>2</v>
      </c>
      <c r="M3740">
        <v>224</v>
      </c>
      <c r="N3740">
        <v>199</v>
      </c>
      <c r="O3740">
        <v>3</v>
      </c>
      <c r="P3740">
        <v>199</v>
      </c>
      <c r="Q3740">
        <v>4</v>
      </c>
      <c r="R3740">
        <v>110</v>
      </c>
      <c r="S3740">
        <v>1</v>
      </c>
      <c r="T3740">
        <v>5</v>
      </c>
      <c r="U3740">
        <v>18</v>
      </c>
      <c r="V3740">
        <v>2</v>
      </c>
      <c r="W3740">
        <v>1</v>
      </c>
      <c r="X3740">
        <v>51</v>
      </c>
      <c r="Y3740" t="s">
        <v>77</v>
      </c>
      <c r="Z3740" t="s">
        <v>77</v>
      </c>
      <c r="AA3740" t="s">
        <v>77</v>
      </c>
      <c r="AB3740" t="s">
        <v>77</v>
      </c>
      <c r="AD3740" t="s">
        <v>77</v>
      </c>
      <c r="AE3740" t="s">
        <v>77</v>
      </c>
      <c r="AF3740" t="s">
        <v>77</v>
      </c>
      <c r="AG3740" t="s">
        <v>77</v>
      </c>
      <c r="AH3740" t="s">
        <v>77</v>
      </c>
      <c r="AI3740" t="s">
        <v>77</v>
      </c>
      <c r="AJ3740">
        <v>7</v>
      </c>
      <c r="AK3740">
        <v>199</v>
      </c>
      <c r="AL3740">
        <v>199</v>
      </c>
      <c r="AM3740">
        <v>376</v>
      </c>
      <c r="AN3740">
        <v>44</v>
      </c>
      <c r="AO3740" t="s">
        <v>78</v>
      </c>
      <c r="AP3740">
        <v>1</v>
      </c>
      <c r="AR3740" t="s">
        <v>3838</v>
      </c>
      <c r="AS3740" s="1">
        <v>44354.269444444442</v>
      </c>
      <c r="AT3740" s="1">
        <v>44354.272048611114</v>
      </c>
      <c r="AU3740" s="1">
        <v>44354.272847222222</v>
      </c>
      <c r="AV3740" t="s">
        <v>71</v>
      </c>
      <c r="AW3740" t="s">
        <v>72</v>
      </c>
      <c r="AX3740" t="s">
        <v>73</v>
      </c>
    </row>
    <row r="3741" spans="1:50" x14ac:dyDescent="0.3">
      <c r="A3741" t="str">
        <f>"200820C0100"</f>
        <v>200820C0100</v>
      </c>
      <c r="B3741" t="str">
        <f>"200820C01002"</f>
        <v>200820C01002</v>
      </c>
      <c r="C3741" t="str">
        <f t="shared" si="196"/>
        <v>20</v>
      </c>
      <c r="D3741" t="s">
        <v>67</v>
      </c>
      <c r="E3741" t="str">
        <f t="shared" si="195"/>
        <v>017</v>
      </c>
      <c r="F3741" t="s">
        <v>3808</v>
      </c>
      <c r="G3741" t="str">
        <f>"0820"</f>
        <v>0820</v>
      </c>
      <c r="H3741" t="str">
        <f>"0001"</f>
        <v>0001</v>
      </c>
      <c r="I3741" t="s">
        <v>75</v>
      </c>
      <c r="J3741">
        <v>0</v>
      </c>
      <c r="K3741">
        <v>1</v>
      </c>
      <c r="L3741">
        <v>2</v>
      </c>
      <c r="M3741">
        <v>256</v>
      </c>
      <c r="N3741">
        <v>163</v>
      </c>
      <c r="O3741">
        <v>1</v>
      </c>
      <c r="P3741">
        <v>163</v>
      </c>
      <c r="Q3741">
        <v>4</v>
      </c>
      <c r="R3741">
        <v>60</v>
      </c>
      <c r="S3741">
        <v>2</v>
      </c>
      <c r="T3741">
        <v>3</v>
      </c>
      <c r="U3741">
        <v>35</v>
      </c>
      <c r="V3741">
        <v>1</v>
      </c>
      <c r="W3741">
        <v>1</v>
      </c>
      <c r="X3741">
        <v>49</v>
      </c>
      <c r="Y3741">
        <v>0</v>
      </c>
      <c r="Z3741">
        <v>1</v>
      </c>
      <c r="AA3741">
        <v>0</v>
      </c>
      <c r="AB3741">
        <v>0</v>
      </c>
      <c r="AD3741">
        <v>0</v>
      </c>
      <c r="AE3741">
        <v>0</v>
      </c>
      <c r="AF3741">
        <v>0</v>
      </c>
      <c r="AG3741">
        <v>0</v>
      </c>
      <c r="AH3741">
        <v>3</v>
      </c>
      <c r="AI3741">
        <v>0</v>
      </c>
      <c r="AJ3741">
        <v>4</v>
      </c>
      <c r="AK3741">
        <v>163</v>
      </c>
      <c r="AL3741">
        <v>163</v>
      </c>
      <c r="AM3741">
        <v>375</v>
      </c>
      <c r="AN3741">
        <v>44</v>
      </c>
      <c r="AP3741">
        <v>1</v>
      </c>
      <c r="AR3741" t="s">
        <v>3839</v>
      </c>
      <c r="AS3741" s="1">
        <v>44354.269444444442</v>
      </c>
      <c r="AT3741" s="1">
        <v>44354.27138888889</v>
      </c>
      <c r="AU3741" s="1">
        <v>44354.271956018521</v>
      </c>
      <c r="AV3741" t="s">
        <v>71</v>
      </c>
      <c r="AW3741" t="s">
        <v>72</v>
      </c>
      <c r="AX3741" t="s">
        <v>73</v>
      </c>
    </row>
    <row r="3742" spans="1:50" x14ac:dyDescent="0.3">
      <c r="A3742" t="str">
        <f>"200821B0000"</f>
        <v>200821B0000</v>
      </c>
      <c r="B3742" t="str">
        <f>"200821B00002"</f>
        <v>200821B00002</v>
      </c>
      <c r="C3742" t="str">
        <f t="shared" si="196"/>
        <v>20</v>
      </c>
      <c r="D3742" t="s">
        <v>67</v>
      </c>
      <c r="E3742" t="str">
        <f t="shared" si="195"/>
        <v>017</v>
      </c>
      <c r="F3742" t="s">
        <v>3808</v>
      </c>
      <c r="G3742" t="str">
        <f>"0821"</f>
        <v>0821</v>
      </c>
      <c r="H3742" t="str">
        <f>"0000"</f>
        <v>0000</v>
      </c>
      <c r="I3742" t="s">
        <v>69</v>
      </c>
      <c r="J3742">
        <v>0</v>
      </c>
      <c r="K3742">
        <v>1</v>
      </c>
      <c r="L3742">
        <v>2</v>
      </c>
      <c r="M3742">
        <v>435</v>
      </c>
      <c r="N3742">
        <v>137</v>
      </c>
      <c r="O3742">
        <v>0</v>
      </c>
      <c r="P3742">
        <v>137</v>
      </c>
      <c r="Q3742">
        <v>9</v>
      </c>
      <c r="R3742">
        <v>68</v>
      </c>
      <c r="S3742">
        <v>3</v>
      </c>
      <c r="T3742">
        <v>3</v>
      </c>
      <c r="U3742">
        <v>6</v>
      </c>
      <c r="V3742">
        <v>1</v>
      </c>
      <c r="W3742">
        <v>2</v>
      </c>
      <c r="X3742">
        <v>23</v>
      </c>
      <c r="Y3742">
        <v>1</v>
      </c>
      <c r="Z3742">
        <v>2</v>
      </c>
      <c r="AA3742">
        <v>1</v>
      </c>
      <c r="AB3742">
        <v>1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17</v>
      </c>
      <c r="AK3742">
        <v>137</v>
      </c>
      <c r="AL3742">
        <v>137</v>
      </c>
      <c r="AM3742">
        <v>528</v>
      </c>
      <c r="AN3742">
        <v>44</v>
      </c>
      <c r="AP3742">
        <v>1</v>
      </c>
      <c r="AR3742" t="s">
        <v>3840</v>
      </c>
      <c r="AS3742" s="1">
        <v>44354.511111111111</v>
      </c>
      <c r="AT3742" s="1">
        <v>44354.515844907408</v>
      </c>
      <c r="AU3742" s="1">
        <v>44354.516793981478</v>
      </c>
      <c r="AV3742" t="s">
        <v>71</v>
      </c>
      <c r="AW3742" t="s">
        <v>72</v>
      </c>
      <c r="AX3742" t="s">
        <v>73</v>
      </c>
    </row>
    <row r="3743" spans="1:50" x14ac:dyDescent="0.3">
      <c r="A3743" t="str">
        <f>"200821C0100"</f>
        <v>200821C0100</v>
      </c>
      <c r="B3743" t="str">
        <f>"200821C01002"</f>
        <v>200821C01002</v>
      </c>
      <c r="C3743" t="str">
        <f t="shared" si="196"/>
        <v>20</v>
      </c>
      <c r="D3743" t="s">
        <v>67</v>
      </c>
      <c r="E3743" t="str">
        <f t="shared" si="195"/>
        <v>017</v>
      </c>
      <c r="F3743" t="s">
        <v>3808</v>
      </c>
      <c r="G3743" t="str">
        <f>"0821"</f>
        <v>0821</v>
      </c>
      <c r="H3743" t="str">
        <f>"0001"</f>
        <v>0001</v>
      </c>
      <c r="I3743" t="s">
        <v>75</v>
      </c>
      <c r="J3743">
        <v>0</v>
      </c>
      <c r="K3743">
        <v>1</v>
      </c>
      <c r="L3743">
        <v>2</v>
      </c>
      <c r="M3743">
        <v>427</v>
      </c>
      <c r="N3743">
        <v>144</v>
      </c>
      <c r="O3743">
        <v>0</v>
      </c>
      <c r="P3743">
        <v>144</v>
      </c>
      <c r="Q3743">
        <v>3</v>
      </c>
      <c r="R3743">
        <v>85</v>
      </c>
      <c r="S3743">
        <v>4</v>
      </c>
      <c r="T3743">
        <v>3</v>
      </c>
      <c r="U3743">
        <v>12</v>
      </c>
      <c r="V3743">
        <v>1</v>
      </c>
      <c r="W3743">
        <v>2</v>
      </c>
      <c r="X3743">
        <v>26</v>
      </c>
      <c r="Y3743">
        <v>1</v>
      </c>
      <c r="Z3743">
        <v>1</v>
      </c>
      <c r="AA3743">
        <v>0</v>
      </c>
      <c r="AB3743">
        <v>1</v>
      </c>
      <c r="AD3743">
        <v>1</v>
      </c>
      <c r="AE3743">
        <v>0</v>
      </c>
      <c r="AF3743">
        <v>0</v>
      </c>
      <c r="AG3743">
        <v>1</v>
      </c>
      <c r="AH3743">
        <v>0</v>
      </c>
      <c r="AI3743">
        <v>0</v>
      </c>
      <c r="AJ3743">
        <v>3</v>
      </c>
      <c r="AK3743">
        <v>144</v>
      </c>
      <c r="AL3743">
        <v>144</v>
      </c>
      <c r="AM3743">
        <v>527</v>
      </c>
      <c r="AN3743">
        <v>44</v>
      </c>
      <c r="AP3743">
        <v>1</v>
      </c>
      <c r="AR3743" t="s">
        <v>3841</v>
      </c>
      <c r="AS3743" s="1">
        <v>44354.513194444444</v>
      </c>
      <c r="AT3743" s="1">
        <v>44354.51630787037</v>
      </c>
      <c r="AU3743" s="1">
        <v>44354.517592592594</v>
      </c>
      <c r="AV3743" t="s">
        <v>71</v>
      </c>
      <c r="AW3743" t="s">
        <v>72</v>
      </c>
      <c r="AX3743" t="s">
        <v>73</v>
      </c>
    </row>
    <row r="3744" spans="1:50" x14ac:dyDescent="0.3">
      <c r="A3744" t="str">
        <f>"200822B0000"</f>
        <v>200822B0000</v>
      </c>
      <c r="B3744" t="str">
        <f>"200822B00002"</f>
        <v>200822B00002</v>
      </c>
      <c r="C3744" t="str">
        <f t="shared" si="196"/>
        <v>20</v>
      </c>
      <c r="D3744" t="s">
        <v>67</v>
      </c>
      <c r="E3744" t="str">
        <f t="shared" si="195"/>
        <v>017</v>
      </c>
      <c r="F3744" t="s">
        <v>3808</v>
      </c>
      <c r="G3744" t="str">
        <f>"0822"</f>
        <v>0822</v>
      </c>
      <c r="H3744" t="str">
        <f>"0000"</f>
        <v>0000</v>
      </c>
      <c r="I3744" t="s">
        <v>69</v>
      </c>
      <c r="J3744">
        <v>0</v>
      </c>
      <c r="K3744">
        <v>1</v>
      </c>
      <c r="L3744">
        <v>2</v>
      </c>
      <c r="M3744">
        <v>105</v>
      </c>
      <c r="N3744">
        <v>96</v>
      </c>
      <c r="O3744">
        <v>4</v>
      </c>
      <c r="P3744">
        <v>96</v>
      </c>
      <c r="Q3744">
        <v>2</v>
      </c>
      <c r="R3744">
        <v>27</v>
      </c>
      <c r="S3744">
        <v>2</v>
      </c>
      <c r="T3744">
        <v>5</v>
      </c>
      <c r="U3744">
        <v>32</v>
      </c>
      <c r="V3744">
        <v>0</v>
      </c>
      <c r="W3744">
        <v>1</v>
      </c>
      <c r="X3744">
        <v>11</v>
      </c>
      <c r="Y3744">
        <v>2</v>
      </c>
      <c r="Z3744">
        <v>2</v>
      </c>
      <c r="AA3744">
        <v>0</v>
      </c>
      <c r="AB3744">
        <v>1</v>
      </c>
      <c r="AD3744" t="s">
        <v>77</v>
      </c>
      <c r="AE3744" t="s">
        <v>77</v>
      </c>
      <c r="AF3744" t="s">
        <v>77</v>
      </c>
      <c r="AG3744">
        <v>1</v>
      </c>
      <c r="AH3744">
        <v>7</v>
      </c>
      <c r="AI3744" t="s">
        <v>77</v>
      </c>
      <c r="AJ3744">
        <v>3</v>
      </c>
      <c r="AK3744">
        <v>96</v>
      </c>
      <c r="AL3744">
        <v>96</v>
      </c>
      <c r="AM3744">
        <v>157</v>
      </c>
      <c r="AN3744">
        <v>44</v>
      </c>
      <c r="AO3744" t="s">
        <v>78</v>
      </c>
      <c r="AP3744">
        <v>1</v>
      </c>
      <c r="AR3744" t="s">
        <v>3842</v>
      </c>
      <c r="AS3744" s="1">
        <v>44354.222916666666</v>
      </c>
      <c r="AT3744" s="1">
        <v>44354.226990740739</v>
      </c>
      <c r="AU3744" s="1">
        <v>44354.227731481478</v>
      </c>
      <c r="AV3744" t="s">
        <v>71</v>
      </c>
      <c r="AW3744" t="s">
        <v>72</v>
      </c>
      <c r="AX3744" t="s">
        <v>73</v>
      </c>
    </row>
    <row r="3745" spans="1:50" x14ac:dyDescent="0.3">
      <c r="A3745" t="str">
        <f>"200822E0100"</f>
        <v>200822E0100</v>
      </c>
      <c r="B3745" t="str">
        <f>"200822E01002"</f>
        <v>200822E01002</v>
      </c>
      <c r="C3745" t="str">
        <f t="shared" si="196"/>
        <v>20</v>
      </c>
      <c r="D3745" t="s">
        <v>67</v>
      </c>
      <c r="E3745" t="str">
        <f t="shared" si="195"/>
        <v>017</v>
      </c>
      <c r="F3745" t="s">
        <v>3808</v>
      </c>
      <c r="G3745" t="str">
        <f>"0822"</f>
        <v>0822</v>
      </c>
      <c r="H3745" t="str">
        <f>"0001"</f>
        <v>0001</v>
      </c>
      <c r="I3745" t="s">
        <v>109</v>
      </c>
      <c r="J3745">
        <v>0</v>
      </c>
      <c r="K3745">
        <v>1</v>
      </c>
      <c r="L3745">
        <v>2</v>
      </c>
      <c r="M3745">
        <v>98</v>
      </c>
      <c r="N3745">
        <v>91</v>
      </c>
      <c r="O3745">
        <v>4</v>
      </c>
      <c r="P3745">
        <v>91</v>
      </c>
      <c r="Q3745">
        <v>1</v>
      </c>
      <c r="R3745">
        <v>25</v>
      </c>
      <c r="S3745">
        <v>0</v>
      </c>
      <c r="T3745">
        <v>3</v>
      </c>
      <c r="U3745">
        <v>32</v>
      </c>
      <c r="V3745">
        <v>1</v>
      </c>
      <c r="W3745">
        <v>0</v>
      </c>
      <c r="X3745">
        <v>24</v>
      </c>
      <c r="Y3745">
        <v>0</v>
      </c>
      <c r="Z3745">
        <v>0</v>
      </c>
      <c r="AA3745">
        <v>0</v>
      </c>
      <c r="AB3745">
        <v>0</v>
      </c>
      <c r="AD3745">
        <v>0</v>
      </c>
      <c r="AE3745">
        <v>0</v>
      </c>
      <c r="AF3745">
        <v>1</v>
      </c>
      <c r="AG3745">
        <v>0</v>
      </c>
      <c r="AH3745">
        <v>0</v>
      </c>
      <c r="AI3745">
        <v>0</v>
      </c>
      <c r="AJ3745">
        <v>4</v>
      </c>
      <c r="AK3745">
        <v>91</v>
      </c>
      <c r="AL3745">
        <v>91</v>
      </c>
      <c r="AM3745">
        <v>145</v>
      </c>
      <c r="AN3745">
        <v>44</v>
      </c>
      <c r="AP3745">
        <v>1</v>
      </c>
      <c r="AR3745" t="s">
        <v>3843</v>
      </c>
      <c r="AS3745" s="1">
        <v>44354.222222222219</v>
      </c>
      <c r="AT3745" s="1">
        <v>44354.225682870368</v>
      </c>
      <c r="AU3745" s="1">
        <v>44354.226215277777</v>
      </c>
      <c r="AV3745" t="s">
        <v>71</v>
      </c>
      <c r="AW3745" t="s">
        <v>72</v>
      </c>
      <c r="AX3745" t="s">
        <v>73</v>
      </c>
    </row>
    <row r="3746" spans="1:50" x14ac:dyDescent="0.3">
      <c r="A3746" t="str">
        <f>"200823B0000"</f>
        <v>200823B0000</v>
      </c>
      <c r="B3746" t="str">
        <f>"200823B00002"</f>
        <v>200823B00002</v>
      </c>
      <c r="C3746" t="str">
        <f t="shared" si="196"/>
        <v>20</v>
      </c>
      <c r="D3746" t="s">
        <v>67</v>
      </c>
      <c r="E3746" t="str">
        <f t="shared" si="195"/>
        <v>017</v>
      </c>
      <c r="F3746" t="s">
        <v>3808</v>
      </c>
      <c r="G3746" t="str">
        <f>"0823"</f>
        <v>0823</v>
      </c>
      <c r="H3746" t="str">
        <f>"0000"</f>
        <v>0000</v>
      </c>
      <c r="I3746" t="s">
        <v>69</v>
      </c>
      <c r="J3746">
        <v>0</v>
      </c>
      <c r="K3746">
        <v>1</v>
      </c>
      <c r="L3746">
        <v>2</v>
      </c>
      <c r="M3746">
        <v>479</v>
      </c>
      <c r="N3746">
        <v>210</v>
      </c>
      <c r="O3746">
        <v>4</v>
      </c>
      <c r="P3746">
        <v>210</v>
      </c>
      <c r="Q3746">
        <v>3</v>
      </c>
      <c r="R3746">
        <v>16</v>
      </c>
      <c r="S3746">
        <v>7</v>
      </c>
      <c r="T3746">
        <v>1</v>
      </c>
      <c r="U3746">
        <v>62</v>
      </c>
      <c r="V3746">
        <v>2</v>
      </c>
      <c r="W3746">
        <v>8</v>
      </c>
      <c r="X3746">
        <v>92</v>
      </c>
      <c r="Y3746">
        <v>0</v>
      </c>
      <c r="Z3746">
        <v>7</v>
      </c>
      <c r="AA3746">
        <v>1</v>
      </c>
      <c r="AB3746">
        <v>2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9</v>
      </c>
      <c r="AK3746">
        <v>210</v>
      </c>
      <c r="AL3746">
        <v>210</v>
      </c>
      <c r="AM3746">
        <v>645</v>
      </c>
      <c r="AN3746">
        <v>44</v>
      </c>
      <c r="AP3746">
        <v>1</v>
      </c>
      <c r="AR3746" t="s">
        <v>3844</v>
      </c>
      <c r="AS3746" s="1">
        <v>44354.016574074078</v>
      </c>
      <c r="AT3746" s="1">
        <v>44354.024375000001</v>
      </c>
      <c r="AU3746" s="1">
        <v>44354.025138888886</v>
      </c>
      <c r="AV3746" t="s">
        <v>269</v>
      </c>
      <c r="AW3746" t="s">
        <v>270</v>
      </c>
      <c r="AX3746" t="s">
        <v>73</v>
      </c>
    </row>
    <row r="3747" spans="1:50" x14ac:dyDescent="0.3">
      <c r="A3747" t="str">
        <f>"200823E0100"</f>
        <v>200823E0100</v>
      </c>
      <c r="B3747" t="str">
        <f>"200823E01002"</f>
        <v>200823E01002</v>
      </c>
      <c r="C3747" t="str">
        <f t="shared" si="196"/>
        <v>20</v>
      </c>
      <c r="D3747" t="s">
        <v>67</v>
      </c>
      <c r="E3747" t="str">
        <f t="shared" si="195"/>
        <v>017</v>
      </c>
      <c r="F3747" t="s">
        <v>3808</v>
      </c>
      <c r="G3747" t="str">
        <f>"0823"</f>
        <v>0823</v>
      </c>
      <c r="H3747" t="str">
        <f>"0001"</f>
        <v>0001</v>
      </c>
      <c r="I3747" t="s">
        <v>109</v>
      </c>
      <c r="J3747">
        <v>0</v>
      </c>
      <c r="K3747">
        <v>1</v>
      </c>
      <c r="L3747">
        <v>2</v>
      </c>
      <c r="M3747">
        <v>165</v>
      </c>
      <c r="N3747">
        <v>174</v>
      </c>
      <c r="O3747">
        <v>4</v>
      </c>
      <c r="P3747">
        <v>174</v>
      </c>
      <c r="Q3747">
        <v>5</v>
      </c>
      <c r="R3747">
        <v>18</v>
      </c>
      <c r="S3747">
        <v>6</v>
      </c>
      <c r="T3747">
        <v>0</v>
      </c>
      <c r="U3747">
        <v>45</v>
      </c>
      <c r="V3747">
        <v>0</v>
      </c>
      <c r="W3747">
        <v>3</v>
      </c>
      <c r="X3747">
        <v>87</v>
      </c>
      <c r="Y3747">
        <v>0</v>
      </c>
      <c r="Z3747">
        <v>2</v>
      </c>
      <c r="AA3747">
        <v>3</v>
      </c>
      <c r="AB3747">
        <v>1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174</v>
      </c>
      <c r="AL3747">
        <v>170</v>
      </c>
      <c r="AM3747">
        <v>295</v>
      </c>
      <c r="AN3747">
        <v>44</v>
      </c>
      <c r="AP3747">
        <v>1</v>
      </c>
      <c r="AR3747" t="s">
        <v>3845</v>
      </c>
      <c r="AS3747" s="1">
        <v>44354.018217592595</v>
      </c>
      <c r="AT3747" s="1">
        <v>44354.025902777779</v>
      </c>
      <c r="AU3747" s="1">
        <v>44354.026504629626</v>
      </c>
      <c r="AV3747" t="s">
        <v>269</v>
      </c>
      <c r="AW3747" t="s">
        <v>270</v>
      </c>
      <c r="AX3747" t="s">
        <v>73</v>
      </c>
    </row>
    <row r="3748" spans="1:50" x14ac:dyDescent="0.3">
      <c r="A3748" t="str">
        <f>"200824B0000"</f>
        <v>200824B0000</v>
      </c>
      <c r="B3748" t="str">
        <f>"200824B00002"</f>
        <v>200824B00002</v>
      </c>
      <c r="C3748" t="str">
        <f t="shared" si="196"/>
        <v>20</v>
      </c>
      <c r="D3748" t="s">
        <v>67</v>
      </c>
      <c r="E3748" t="str">
        <f t="shared" si="195"/>
        <v>017</v>
      </c>
      <c r="F3748" t="s">
        <v>3808</v>
      </c>
      <c r="G3748" t="str">
        <f>"0824"</f>
        <v>0824</v>
      </c>
      <c r="H3748" t="str">
        <f>"0000"</f>
        <v>0000</v>
      </c>
      <c r="I3748" t="s">
        <v>69</v>
      </c>
      <c r="J3748">
        <v>0</v>
      </c>
      <c r="K3748">
        <v>1</v>
      </c>
      <c r="L3748">
        <v>2</v>
      </c>
      <c r="M3748">
        <v>212</v>
      </c>
      <c r="N3748">
        <v>210</v>
      </c>
      <c r="O3748">
        <v>6</v>
      </c>
      <c r="P3748" t="s">
        <v>80</v>
      </c>
      <c r="Q3748">
        <v>4</v>
      </c>
      <c r="R3748">
        <v>28</v>
      </c>
      <c r="S3748">
        <v>10</v>
      </c>
      <c r="T3748">
        <v>13</v>
      </c>
      <c r="U3748">
        <v>43</v>
      </c>
      <c r="V3748">
        <v>3</v>
      </c>
      <c r="W3748">
        <v>3</v>
      </c>
      <c r="X3748">
        <v>84</v>
      </c>
      <c r="Y3748">
        <v>0</v>
      </c>
      <c r="Z3748">
        <v>3</v>
      </c>
      <c r="AA3748">
        <v>1</v>
      </c>
      <c r="AB3748">
        <v>1</v>
      </c>
      <c r="AD3748">
        <v>0</v>
      </c>
      <c r="AE3748">
        <v>0</v>
      </c>
      <c r="AF3748">
        <v>1</v>
      </c>
      <c r="AG3748">
        <v>1</v>
      </c>
      <c r="AH3748">
        <v>7</v>
      </c>
      <c r="AI3748">
        <v>0</v>
      </c>
      <c r="AJ3748">
        <v>8</v>
      </c>
      <c r="AK3748">
        <v>210</v>
      </c>
      <c r="AL3748">
        <v>210</v>
      </c>
      <c r="AM3748">
        <v>378</v>
      </c>
      <c r="AN3748">
        <v>44</v>
      </c>
      <c r="AP3748">
        <v>1</v>
      </c>
      <c r="AR3748" s="2" t="s">
        <v>3846</v>
      </c>
      <c r="AS3748" s="1">
        <v>44354.420138888891</v>
      </c>
      <c r="AT3748" s="1">
        <v>44354.422997685186</v>
      </c>
      <c r="AU3748" s="1">
        <v>44354.424004629633</v>
      </c>
      <c r="AV3748" t="s">
        <v>71</v>
      </c>
      <c r="AW3748" t="s">
        <v>72</v>
      </c>
      <c r="AX3748" t="s">
        <v>73</v>
      </c>
    </row>
    <row r="3749" spans="1:50" x14ac:dyDescent="0.3">
      <c r="A3749" t="str">
        <f>"200824E0100"</f>
        <v>200824E0100</v>
      </c>
      <c r="B3749" t="str">
        <f>"200824E01002"</f>
        <v>200824E01002</v>
      </c>
      <c r="C3749" t="str">
        <f t="shared" si="196"/>
        <v>20</v>
      </c>
      <c r="D3749" t="s">
        <v>67</v>
      </c>
      <c r="E3749" t="str">
        <f t="shared" si="195"/>
        <v>017</v>
      </c>
      <c r="F3749" t="s">
        <v>3808</v>
      </c>
      <c r="G3749" t="str">
        <f>"0824"</f>
        <v>0824</v>
      </c>
      <c r="H3749" t="str">
        <f>"0001"</f>
        <v>0001</v>
      </c>
      <c r="I3749" t="s">
        <v>109</v>
      </c>
      <c r="J3749">
        <v>0</v>
      </c>
      <c r="K3749">
        <v>1</v>
      </c>
      <c r="L3749">
        <v>2</v>
      </c>
      <c r="M3749">
        <v>232</v>
      </c>
      <c r="N3749">
        <v>254</v>
      </c>
      <c r="O3749">
        <v>6</v>
      </c>
      <c r="P3749">
        <v>254</v>
      </c>
      <c r="Q3749">
        <v>7</v>
      </c>
      <c r="R3749">
        <v>137</v>
      </c>
      <c r="S3749">
        <v>5</v>
      </c>
      <c r="T3749">
        <v>8</v>
      </c>
      <c r="U3749">
        <v>45</v>
      </c>
      <c r="V3749">
        <v>2</v>
      </c>
      <c r="W3749">
        <v>0</v>
      </c>
      <c r="X3749">
        <v>25</v>
      </c>
      <c r="Y3749">
        <v>0</v>
      </c>
      <c r="Z3749">
        <v>5</v>
      </c>
      <c r="AA3749">
        <v>0</v>
      </c>
      <c r="AB3749">
        <v>0</v>
      </c>
      <c r="AD3749">
        <v>2</v>
      </c>
      <c r="AE3749">
        <v>2</v>
      </c>
      <c r="AF3749">
        <v>0</v>
      </c>
      <c r="AG3749">
        <v>0</v>
      </c>
      <c r="AH3749">
        <v>1</v>
      </c>
      <c r="AI3749">
        <v>3</v>
      </c>
      <c r="AJ3749">
        <v>12</v>
      </c>
      <c r="AK3749">
        <v>254</v>
      </c>
      <c r="AL3749">
        <v>254</v>
      </c>
      <c r="AM3749">
        <v>442</v>
      </c>
      <c r="AN3749">
        <v>44</v>
      </c>
      <c r="AP3749">
        <v>1</v>
      </c>
      <c r="AR3749" t="s">
        <v>3847</v>
      </c>
      <c r="AS3749" s="1">
        <v>44354.418749999997</v>
      </c>
      <c r="AT3749" s="1">
        <v>44354.423888888887</v>
      </c>
      <c r="AU3749" s="1">
        <v>44354.42454861111</v>
      </c>
      <c r="AV3749" t="s">
        <v>71</v>
      </c>
      <c r="AW3749" t="s">
        <v>72</v>
      </c>
      <c r="AX3749" t="s">
        <v>73</v>
      </c>
    </row>
    <row r="3750" spans="1:50" x14ac:dyDescent="0.3">
      <c r="A3750" t="str">
        <f>"200824E0200"</f>
        <v>200824E0200</v>
      </c>
      <c r="B3750" t="str">
        <f>"200824E02002"</f>
        <v>200824E02002</v>
      </c>
      <c r="C3750" t="str">
        <f t="shared" si="196"/>
        <v>20</v>
      </c>
      <c r="D3750" t="s">
        <v>67</v>
      </c>
      <c r="E3750" t="str">
        <f t="shared" si="195"/>
        <v>017</v>
      </c>
      <c r="F3750" t="s">
        <v>3808</v>
      </c>
      <c r="G3750" t="str">
        <f>"0824"</f>
        <v>0824</v>
      </c>
      <c r="H3750" t="str">
        <f>"0002"</f>
        <v>0002</v>
      </c>
      <c r="I3750" t="s">
        <v>109</v>
      </c>
      <c r="J3750">
        <v>0</v>
      </c>
      <c r="K3750">
        <v>1</v>
      </c>
      <c r="L3750">
        <v>2</v>
      </c>
      <c r="M3750">
        <v>147</v>
      </c>
      <c r="N3750">
        <v>144</v>
      </c>
      <c r="O3750">
        <v>6</v>
      </c>
      <c r="P3750">
        <v>144</v>
      </c>
      <c r="Q3750">
        <v>2</v>
      </c>
      <c r="R3750">
        <v>46</v>
      </c>
      <c r="S3750">
        <v>15</v>
      </c>
      <c r="T3750">
        <v>4</v>
      </c>
      <c r="U3750">
        <v>3</v>
      </c>
      <c r="V3750">
        <v>1</v>
      </c>
      <c r="W3750">
        <v>2</v>
      </c>
      <c r="X3750">
        <v>59</v>
      </c>
      <c r="Y3750">
        <v>1</v>
      </c>
      <c r="Z3750">
        <v>4</v>
      </c>
      <c r="AA3750">
        <v>3</v>
      </c>
      <c r="AB3750">
        <v>1</v>
      </c>
      <c r="AD3750">
        <v>1</v>
      </c>
      <c r="AE3750" t="s">
        <v>77</v>
      </c>
      <c r="AF3750" t="s">
        <v>77</v>
      </c>
      <c r="AG3750" t="s">
        <v>77</v>
      </c>
      <c r="AH3750" t="s">
        <v>77</v>
      </c>
      <c r="AI3750" t="s">
        <v>77</v>
      </c>
      <c r="AJ3750">
        <v>3</v>
      </c>
      <c r="AK3750">
        <v>144</v>
      </c>
      <c r="AL3750">
        <v>145</v>
      </c>
      <c r="AM3750">
        <v>247</v>
      </c>
      <c r="AN3750">
        <v>44</v>
      </c>
      <c r="AO3750" t="s">
        <v>78</v>
      </c>
      <c r="AP3750">
        <v>1</v>
      </c>
      <c r="AR3750" t="s">
        <v>3848</v>
      </c>
      <c r="AS3750" s="1">
        <v>44354.418749999997</v>
      </c>
      <c r="AT3750" s="1">
        <v>44354.422164351854</v>
      </c>
      <c r="AU3750" s="1">
        <v>44354.422696759262</v>
      </c>
      <c r="AV3750" t="s">
        <v>71</v>
      </c>
      <c r="AW3750" t="s">
        <v>72</v>
      </c>
      <c r="AX3750" t="s">
        <v>73</v>
      </c>
    </row>
    <row r="3751" spans="1:50" x14ac:dyDescent="0.3">
      <c r="A3751" t="str">
        <f>"200824E0300"</f>
        <v>200824E0300</v>
      </c>
      <c r="B3751" t="str">
        <f>"200824E03002"</f>
        <v>200824E03002</v>
      </c>
      <c r="C3751" t="str">
        <f t="shared" si="196"/>
        <v>20</v>
      </c>
      <c r="D3751" t="s">
        <v>67</v>
      </c>
      <c r="E3751" t="str">
        <f t="shared" si="195"/>
        <v>017</v>
      </c>
      <c r="F3751" t="s">
        <v>3808</v>
      </c>
      <c r="G3751" t="str">
        <f>"0824"</f>
        <v>0824</v>
      </c>
      <c r="H3751" t="str">
        <f>"0003"</f>
        <v>0003</v>
      </c>
      <c r="I3751" t="s">
        <v>109</v>
      </c>
      <c r="J3751">
        <v>0</v>
      </c>
      <c r="K3751">
        <v>1</v>
      </c>
      <c r="L3751">
        <v>2</v>
      </c>
      <c r="M3751">
        <v>99</v>
      </c>
      <c r="N3751">
        <v>92</v>
      </c>
      <c r="O3751">
        <v>5</v>
      </c>
      <c r="P3751">
        <v>92</v>
      </c>
      <c r="Q3751">
        <v>6</v>
      </c>
      <c r="R3751">
        <v>17</v>
      </c>
      <c r="S3751">
        <v>1</v>
      </c>
      <c r="T3751">
        <v>4</v>
      </c>
      <c r="U3751">
        <v>41</v>
      </c>
      <c r="V3751">
        <v>0</v>
      </c>
      <c r="W3751">
        <v>0</v>
      </c>
      <c r="X3751">
        <v>16</v>
      </c>
      <c r="Y3751">
        <v>0</v>
      </c>
      <c r="Z3751">
        <v>1</v>
      </c>
      <c r="AA3751">
        <v>2</v>
      </c>
      <c r="AB3751">
        <v>0</v>
      </c>
      <c r="AD3751">
        <v>1</v>
      </c>
      <c r="AE3751">
        <v>0</v>
      </c>
      <c r="AF3751">
        <v>0</v>
      </c>
      <c r="AG3751">
        <v>0</v>
      </c>
      <c r="AH3751">
        <v>1</v>
      </c>
      <c r="AI3751">
        <v>0</v>
      </c>
      <c r="AJ3751">
        <v>2</v>
      </c>
      <c r="AK3751">
        <v>92</v>
      </c>
      <c r="AL3751">
        <v>92</v>
      </c>
      <c r="AM3751">
        <v>147</v>
      </c>
      <c r="AN3751">
        <v>44</v>
      </c>
      <c r="AP3751">
        <v>1</v>
      </c>
      <c r="AR3751" t="s">
        <v>3849</v>
      </c>
      <c r="AS3751" s="1">
        <v>44354.419444444444</v>
      </c>
      <c r="AT3751" s="1">
        <v>44354.425162037034</v>
      </c>
      <c r="AU3751" s="1">
        <v>44354.42560185185</v>
      </c>
      <c r="AV3751" t="s">
        <v>71</v>
      </c>
      <c r="AW3751" t="s">
        <v>72</v>
      </c>
      <c r="AX3751" t="s">
        <v>73</v>
      </c>
    </row>
    <row r="3752" spans="1:50" x14ac:dyDescent="0.3">
      <c r="A3752" t="str">
        <f>"200825B0000"</f>
        <v>200825B0000</v>
      </c>
      <c r="B3752" t="str">
        <f>"200825B00002"</f>
        <v>200825B00002</v>
      </c>
      <c r="C3752" t="str">
        <f t="shared" si="196"/>
        <v>20</v>
      </c>
      <c r="D3752" t="s">
        <v>67</v>
      </c>
      <c r="E3752" t="str">
        <f t="shared" si="195"/>
        <v>017</v>
      </c>
      <c r="F3752" t="s">
        <v>3808</v>
      </c>
      <c r="G3752" t="str">
        <f>"0825"</f>
        <v>0825</v>
      </c>
      <c r="H3752" t="str">
        <f>"0000"</f>
        <v>0000</v>
      </c>
      <c r="I3752" t="s">
        <v>69</v>
      </c>
      <c r="J3752">
        <v>0</v>
      </c>
      <c r="K3752">
        <v>1</v>
      </c>
      <c r="L3752">
        <v>2</v>
      </c>
      <c r="M3752">
        <v>160</v>
      </c>
      <c r="N3752">
        <v>192</v>
      </c>
      <c r="O3752">
        <v>0</v>
      </c>
      <c r="P3752">
        <v>192</v>
      </c>
      <c r="Q3752">
        <v>12</v>
      </c>
      <c r="R3752">
        <v>46</v>
      </c>
      <c r="S3752">
        <v>1</v>
      </c>
      <c r="T3752">
        <v>1</v>
      </c>
      <c r="U3752">
        <v>53</v>
      </c>
      <c r="V3752">
        <v>1</v>
      </c>
      <c r="W3752">
        <v>2</v>
      </c>
      <c r="X3752">
        <v>68</v>
      </c>
      <c r="Y3752">
        <v>0</v>
      </c>
      <c r="Z3752">
        <v>2</v>
      </c>
      <c r="AA3752">
        <v>1</v>
      </c>
      <c r="AB3752">
        <v>1</v>
      </c>
      <c r="AD3752">
        <v>1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3</v>
      </c>
      <c r="AK3752">
        <v>192</v>
      </c>
      <c r="AL3752">
        <v>192</v>
      </c>
      <c r="AM3752">
        <v>308</v>
      </c>
      <c r="AN3752">
        <v>44</v>
      </c>
      <c r="AP3752">
        <v>1</v>
      </c>
      <c r="AR3752" t="s">
        <v>3850</v>
      </c>
      <c r="AS3752" s="1">
        <v>44354.340277777781</v>
      </c>
      <c r="AT3752" s="1">
        <v>44354.34337962963</v>
      </c>
      <c r="AU3752" s="1">
        <v>44354.343923611108</v>
      </c>
      <c r="AV3752" t="s">
        <v>71</v>
      </c>
      <c r="AW3752" t="s">
        <v>72</v>
      </c>
      <c r="AX3752" t="s">
        <v>73</v>
      </c>
    </row>
    <row r="3753" spans="1:50" x14ac:dyDescent="0.3">
      <c r="A3753" t="str">
        <f>"200825E0100"</f>
        <v>200825E0100</v>
      </c>
      <c r="B3753" t="str">
        <f>"200825E01002"</f>
        <v>200825E01002</v>
      </c>
      <c r="C3753" t="str">
        <f t="shared" si="196"/>
        <v>20</v>
      </c>
      <c r="D3753" t="s">
        <v>67</v>
      </c>
      <c r="E3753" t="str">
        <f t="shared" si="195"/>
        <v>017</v>
      </c>
      <c r="F3753" t="s">
        <v>3808</v>
      </c>
      <c r="G3753" t="str">
        <f>"0825"</f>
        <v>0825</v>
      </c>
      <c r="H3753" t="str">
        <f>"0001"</f>
        <v>0001</v>
      </c>
      <c r="I3753" t="s">
        <v>109</v>
      </c>
      <c r="J3753">
        <v>0</v>
      </c>
      <c r="K3753">
        <v>1</v>
      </c>
      <c r="L3753">
        <v>2</v>
      </c>
      <c r="M3753">
        <v>72</v>
      </c>
      <c r="N3753">
        <v>82</v>
      </c>
      <c r="O3753" t="s">
        <v>80</v>
      </c>
      <c r="P3753" t="s">
        <v>80</v>
      </c>
      <c r="Q3753">
        <v>3</v>
      </c>
      <c r="R3753">
        <v>25</v>
      </c>
      <c r="S3753">
        <v>5</v>
      </c>
      <c r="T3753">
        <v>9</v>
      </c>
      <c r="U3753">
        <v>7</v>
      </c>
      <c r="V3753" t="s">
        <v>77</v>
      </c>
      <c r="W3753" t="s">
        <v>77</v>
      </c>
      <c r="X3753">
        <v>26</v>
      </c>
      <c r="Y3753" t="s">
        <v>77</v>
      </c>
      <c r="Z3753">
        <v>1</v>
      </c>
      <c r="AA3753" t="s">
        <v>77</v>
      </c>
      <c r="AB3753" t="s">
        <v>77</v>
      </c>
      <c r="AD3753" t="s">
        <v>77</v>
      </c>
      <c r="AE3753" t="s">
        <v>77</v>
      </c>
      <c r="AF3753" t="s">
        <v>77</v>
      </c>
      <c r="AG3753" t="s">
        <v>77</v>
      </c>
      <c r="AH3753" t="s">
        <v>77</v>
      </c>
      <c r="AI3753" t="s">
        <v>77</v>
      </c>
      <c r="AJ3753">
        <v>6</v>
      </c>
      <c r="AK3753">
        <v>82</v>
      </c>
      <c r="AL3753">
        <v>82</v>
      </c>
      <c r="AM3753">
        <v>110</v>
      </c>
      <c r="AN3753">
        <v>44</v>
      </c>
      <c r="AO3753" t="s">
        <v>78</v>
      </c>
      <c r="AP3753">
        <v>1</v>
      </c>
      <c r="AR3753" t="s">
        <v>3851</v>
      </c>
      <c r="AS3753" s="1">
        <v>44354.340277777781</v>
      </c>
      <c r="AT3753" s="1">
        <v>44354.343657407408</v>
      </c>
      <c r="AU3753" s="1">
        <v>44354.344942129632</v>
      </c>
      <c r="AV3753" t="s">
        <v>71</v>
      </c>
      <c r="AW3753" t="s">
        <v>72</v>
      </c>
      <c r="AX3753" t="s">
        <v>73</v>
      </c>
    </row>
    <row r="3754" spans="1:50" x14ac:dyDescent="0.3">
      <c r="A3754" t="str">
        <f>"200826B0000"</f>
        <v>200826B0000</v>
      </c>
      <c r="B3754" t="str">
        <f>"200826B00002"</f>
        <v>200826B00002</v>
      </c>
      <c r="C3754" t="str">
        <f t="shared" si="196"/>
        <v>20</v>
      </c>
      <c r="D3754" t="s">
        <v>67</v>
      </c>
      <c r="E3754" t="str">
        <f t="shared" si="195"/>
        <v>017</v>
      </c>
      <c r="F3754" t="s">
        <v>3808</v>
      </c>
      <c r="G3754" t="str">
        <f>"0826"</f>
        <v>0826</v>
      </c>
      <c r="H3754" t="str">
        <f>"0000"</f>
        <v>0000</v>
      </c>
      <c r="I3754" t="s">
        <v>69</v>
      </c>
      <c r="J3754">
        <v>0</v>
      </c>
      <c r="K3754">
        <v>1</v>
      </c>
      <c r="L3754">
        <v>2</v>
      </c>
      <c r="M3754">
        <v>152</v>
      </c>
      <c r="N3754">
        <v>131</v>
      </c>
      <c r="O3754">
        <v>0</v>
      </c>
      <c r="P3754">
        <v>131</v>
      </c>
      <c r="Q3754">
        <v>11</v>
      </c>
      <c r="R3754">
        <v>38</v>
      </c>
      <c r="S3754">
        <v>0</v>
      </c>
      <c r="T3754">
        <v>0</v>
      </c>
      <c r="U3754">
        <v>37</v>
      </c>
      <c r="V3754">
        <v>1</v>
      </c>
      <c r="W3754">
        <v>2</v>
      </c>
      <c r="X3754">
        <v>29</v>
      </c>
      <c r="Y3754">
        <v>0</v>
      </c>
      <c r="Z3754">
        <v>2</v>
      </c>
      <c r="AA3754">
        <v>0</v>
      </c>
      <c r="AB3754">
        <v>0</v>
      </c>
      <c r="AD3754">
        <v>0</v>
      </c>
      <c r="AE3754">
        <v>1</v>
      </c>
      <c r="AF3754">
        <v>0</v>
      </c>
      <c r="AG3754">
        <v>0</v>
      </c>
      <c r="AH3754">
        <v>0</v>
      </c>
      <c r="AI3754">
        <v>0</v>
      </c>
      <c r="AJ3754">
        <v>10</v>
      </c>
      <c r="AK3754">
        <v>131</v>
      </c>
      <c r="AL3754">
        <v>131</v>
      </c>
      <c r="AM3754">
        <v>239</v>
      </c>
      <c r="AN3754">
        <v>44</v>
      </c>
      <c r="AP3754">
        <v>1</v>
      </c>
      <c r="AR3754" t="s">
        <v>3852</v>
      </c>
      <c r="AS3754" s="1">
        <v>44354.334027777775</v>
      </c>
      <c r="AT3754" s="1">
        <v>44354.336504629631</v>
      </c>
      <c r="AU3754" s="1">
        <v>44354.336886574078</v>
      </c>
      <c r="AV3754" t="s">
        <v>71</v>
      </c>
      <c r="AW3754" t="s">
        <v>72</v>
      </c>
      <c r="AX3754" t="s">
        <v>73</v>
      </c>
    </row>
    <row r="3755" spans="1:50" x14ac:dyDescent="0.3">
      <c r="A3755" t="str">
        <f>"200826E0100"</f>
        <v>200826E0100</v>
      </c>
      <c r="B3755" t="str">
        <f>"200826E01002"</f>
        <v>200826E01002</v>
      </c>
      <c r="C3755" t="str">
        <f t="shared" si="196"/>
        <v>20</v>
      </c>
      <c r="D3755" t="s">
        <v>67</v>
      </c>
      <c r="E3755" t="str">
        <f t="shared" si="195"/>
        <v>017</v>
      </c>
      <c r="F3755" t="s">
        <v>3808</v>
      </c>
      <c r="G3755" t="str">
        <f>"0826"</f>
        <v>0826</v>
      </c>
      <c r="H3755" t="str">
        <f>"0001"</f>
        <v>0001</v>
      </c>
      <c r="I3755" t="s">
        <v>109</v>
      </c>
      <c r="J3755">
        <v>0</v>
      </c>
      <c r="K3755">
        <v>1</v>
      </c>
      <c r="L3755">
        <v>2</v>
      </c>
      <c r="M3755">
        <v>206</v>
      </c>
      <c r="N3755">
        <v>173</v>
      </c>
      <c r="O3755">
        <v>0</v>
      </c>
      <c r="P3755">
        <v>173</v>
      </c>
      <c r="Q3755">
        <v>3</v>
      </c>
      <c r="R3755">
        <v>16</v>
      </c>
      <c r="S3755">
        <v>6</v>
      </c>
      <c r="T3755">
        <v>1</v>
      </c>
      <c r="U3755">
        <v>51</v>
      </c>
      <c r="V3755">
        <v>1</v>
      </c>
      <c r="W3755">
        <v>2</v>
      </c>
      <c r="X3755">
        <v>88</v>
      </c>
      <c r="Y3755">
        <v>1</v>
      </c>
      <c r="Z3755">
        <v>1</v>
      </c>
      <c r="AA3755">
        <v>0</v>
      </c>
      <c r="AB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3</v>
      </c>
      <c r="AK3755">
        <v>173</v>
      </c>
      <c r="AL3755">
        <v>173</v>
      </c>
      <c r="AM3755">
        <v>335</v>
      </c>
      <c r="AN3755">
        <v>44</v>
      </c>
      <c r="AP3755">
        <v>1</v>
      </c>
      <c r="AR3755" t="s">
        <v>3853</v>
      </c>
      <c r="AS3755" s="1">
        <v>44354.34097222222</v>
      </c>
      <c r="AT3755" s="1">
        <v>44354.343194444446</v>
      </c>
      <c r="AU3755" s="1">
        <v>44354.343634259261</v>
      </c>
      <c r="AV3755" t="s">
        <v>71</v>
      </c>
      <c r="AW3755" t="s">
        <v>72</v>
      </c>
      <c r="AX3755" t="s">
        <v>73</v>
      </c>
    </row>
    <row r="3756" spans="1:50" x14ac:dyDescent="0.3">
      <c r="A3756" t="str">
        <f>"200827B0000"</f>
        <v>200827B0000</v>
      </c>
      <c r="B3756" t="str">
        <f>"200827B00002"</f>
        <v>200827B00002</v>
      </c>
      <c r="C3756" t="str">
        <f t="shared" si="196"/>
        <v>20</v>
      </c>
      <c r="D3756" t="s">
        <v>67</v>
      </c>
      <c r="E3756" t="str">
        <f t="shared" si="195"/>
        <v>017</v>
      </c>
      <c r="F3756" t="s">
        <v>3808</v>
      </c>
      <c r="G3756" t="str">
        <f>"0827"</f>
        <v>0827</v>
      </c>
      <c r="H3756" t="str">
        <f>"0000"</f>
        <v>0000</v>
      </c>
      <c r="I3756" t="s">
        <v>69</v>
      </c>
      <c r="J3756">
        <v>0</v>
      </c>
      <c r="K3756">
        <v>1</v>
      </c>
      <c r="L3756">
        <v>2</v>
      </c>
      <c r="M3756">
        <v>186</v>
      </c>
      <c r="N3756">
        <v>212</v>
      </c>
      <c r="O3756">
        <v>2</v>
      </c>
      <c r="P3756">
        <v>212</v>
      </c>
      <c r="Q3756">
        <v>9</v>
      </c>
      <c r="R3756">
        <v>64</v>
      </c>
      <c r="S3756">
        <v>2</v>
      </c>
      <c r="T3756">
        <v>3</v>
      </c>
      <c r="U3756">
        <v>51</v>
      </c>
      <c r="V3756">
        <v>1</v>
      </c>
      <c r="W3756">
        <v>1</v>
      </c>
      <c r="X3756">
        <v>65</v>
      </c>
      <c r="Y3756">
        <v>0</v>
      </c>
      <c r="Z3756">
        <v>0</v>
      </c>
      <c r="AA3756">
        <v>1</v>
      </c>
      <c r="AB3756">
        <v>3</v>
      </c>
      <c r="AD3756">
        <v>1</v>
      </c>
      <c r="AE3756">
        <v>1</v>
      </c>
      <c r="AF3756">
        <v>0</v>
      </c>
      <c r="AG3756">
        <v>0</v>
      </c>
      <c r="AH3756">
        <v>0</v>
      </c>
      <c r="AI3756">
        <v>0</v>
      </c>
      <c r="AJ3756">
        <v>10</v>
      </c>
      <c r="AK3756">
        <v>212</v>
      </c>
      <c r="AL3756">
        <v>212</v>
      </c>
      <c r="AM3756">
        <v>354</v>
      </c>
      <c r="AN3756">
        <v>44</v>
      </c>
      <c r="AP3756">
        <v>1</v>
      </c>
      <c r="AR3756" t="s">
        <v>3854</v>
      </c>
      <c r="AS3756" s="1">
        <v>44354.270833333336</v>
      </c>
      <c r="AT3756" s="1">
        <v>44354.272731481484</v>
      </c>
      <c r="AU3756" s="1">
        <v>44354.273541666669</v>
      </c>
      <c r="AV3756" t="s">
        <v>71</v>
      </c>
      <c r="AW3756" t="s">
        <v>72</v>
      </c>
      <c r="AX3756" t="s">
        <v>73</v>
      </c>
    </row>
    <row r="3757" spans="1:50" x14ac:dyDescent="0.3">
      <c r="A3757" t="str">
        <f>"200827E0100"</f>
        <v>200827E0100</v>
      </c>
      <c r="B3757" t="str">
        <f>"200827E01002"</f>
        <v>200827E01002</v>
      </c>
      <c r="C3757" t="str">
        <f t="shared" si="196"/>
        <v>20</v>
      </c>
      <c r="D3757" t="s">
        <v>67</v>
      </c>
      <c r="E3757" t="str">
        <f t="shared" si="195"/>
        <v>017</v>
      </c>
      <c r="F3757" t="s">
        <v>3808</v>
      </c>
      <c r="G3757" t="str">
        <f>"0827"</f>
        <v>0827</v>
      </c>
      <c r="H3757" t="str">
        <f>"0001"</f>
        <v>0001</v>
      </c>
      <c r="I3757" t="s">
        <v>109</v>
      </c>
      <c r="J3757">
        <v>0</v>
      </c>
      <c r="K3757">
        <v>1</v>
      </c>
      <c r="L3757">
        <v>2</v>
      </c>
      <c r="M3757">
        <v>117</v>
      </c>
      <c r="N3757">
        <v>120</v>
      </c>
      <c r="O3757">
        <v>1</v>
      </c>
      <c r="P3757" t="s">
        <v>80</v>
      </c>
      <c r="Q3757">
        <v>3</v>
      </c>
      <c r="R3757">
        <v>48</v>
      </c>
      <c r="S3757">
        <v>0</v>
      </c>
      <c r="T3757">
        <v>1</v>
      </c>
      <c r="U3757">
        <v>16</v>
      </c>
      <c r="V3757">
        <v>0</v>
      </c>
      <c r="W3757">
        <v>0</v>
      </c>
      <c r="X3757">
        <v>40</v>
      </c>
      <c r="Y3757">
        <v>0</v>
      </c>
      <c r="Z3757">
        <v>1</v>
      </c>
      <c r="AA3757">
        <v>1</v>
      </c>
      <c r="AB3757">
        <v>1</v>
      </c>
      <c r="AD3757">
        <v>1</v>
      </c>
      <c r="AE3757">
        <v>3</v>
      </c>
      <c r="AF3757">
        <v>0</v>
      </c>
      <c r="AG3757">
        <v>0</v>
      </c>
      <c r="AH3757">
        <v>0</v>
      </c>
      <c r="AI3757">
        <v>0</v>
      </c>
      <c r="AJ3757">
        <v>5</v>
      </c>
      <c r="AK3757">
        <v>120</v>
      </c>
      <c r="AL3757">
        <v>120</v>
      </c>
      <c r="AM3757">
        <v>193</v>
      </c>
      <c r="AN3757">
        <v>44</v>
      </c>
      <c r="AP3757">
        <v>1</v>
      </c>
      <c r="AR3757" t="s">
        <v>3855</v>
      </c>
      <c r="AS3757" s="1">
        <v>44354.272222222222</v>
      </c>
      <c r="AT3757" s="1">
        <v>44354.274930555555</v>
      </c>
      <c r="AU3757" s="1">
        <v>44354.275439814817</v>
      </c>
      <c r="AV3757" t="s">
        <v>71</v>
      </c>
      <c r="AW3757" t="s">
        <v>72</v>
      </c>
      <c r="AX3757" t="s">
        <v>73</v>
      </c>
    </row>
    <row r="3758" spans="1:50" x14ac:dyDescent="0.3">
      <c r="A3758" t="str">
        <f>"200828B0000"</f>
        <v>200828B0000</v>
      </c>
      <c r="B3758" t="str">
        <f>"200828B00002"</f>
        <v>200828B00002</v>
      </c>
      <c r="C3758" t="str">
        <f t="shared" si="196"/>
        <v>20</v>
      </c>
      <c r="D3758" t="s">
        <v>67</v>
      </c>
      <c r="E3758" t="str">
        <f t="shared" si="195"/>
        <v>017</v>
      </c>
      <c r="F3758" t="s">
        <v>3808</v>
      </c>
      <c r="G3758" t="str">
        <f>"0828"</f>
        <v>0828</v>
      </c>
      <c r="H3758" t="str">
        <f>"0000"</f>
        <v>0000</v>
      </c>
      <c r="I3758" t="s">
        <v>69</v>
      </c>
      <c r="J3758">
        <v>0</v>
      </c>
      <c r="K3758">
        <v>1</v>
      </c>
      <c r="L3758">
        <v>2</v>
      </c>
      <c r="M3758">
        <v>304</v>
      </c>
      <c r="N3758">
        <v>251</v>
      </c>
      <c r="O3758">
        <v>7</v>
      </c>
      <c r="P3758">
        <v>246</v>
      </c>
      <c r="Q3758">
        <v>25</v>
      </c>
      <c r="R3758">
        <v>35</v>
      </c>
      <c r="S3758">
        <v>5</v>
      </c>
      <c r="T3758">
        <v>1</v>
      </c>
      <c r="U3758">
        <v>46</v>
      </c>
      <c r="V3758">
        <v>6</v>
      </c>
      <c r="W3758">
        <v>3</v>
      </c>
      <c r="X3758">
        <v>127</v>
      </c>
      <c r="Y3758">
        <v>1</v>
      </c>
      <c r="Z3758">
        <v>4</v>
      </c>
      <c r="AA3758">
        <v>0</v>
      </c>
      <c r="AB3758">
        <v>1</v>
      </c>
      <c r="AD3758">
        <v>1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310</v>
      </c>
      <c r="AK3758">
        <v>565</v>
      </c>
      <c r="AL3758">
        <v>565</v>
      </c>
      <c r="AM3758">
        <v>521</v>
      </c>
      <c r="AN3758">
        <v>44</v>
      </c>
      <c r="AP3758">
        <v>1</v>
      </c>
      <c r="AR3758" t="s">
        <v>3856</v>
      </c>
      <c r="AS3758" s="1">
        <v>44354.255555555559</v>
      </c>
      <c r="AT3758" s="1">
        <v>44354.262800925928</v>
      </c>
      <c r="AU3758" s="1">
        <v>44354.263564814813</v>
      </c>
      <c r="AV3758" t="s">
        <v>71</v>
      </c>
      <c r="AW3758" t="s">
        <v>72</v>
      </c>
      <c r="AX3758" t="s">
        <v>73</v>
      </c>
    </row>
    <row r="3759" spans="1:50" x14ac:dyDescent="0.3">
      <c r="A3759" t="str">
        <f>"200829B0000"</f>
        <v>200829B0000</v>
      </c>
      <c r="B3759" t="str">
        <f>"200829B00002"</f>
        <v>200829B00002</v>
      </c>
      <c r="C3759" t="str">
        <f t="shared" si="196"/>
        <v>20</v>
      </c>
      <c r="D3759" t="s">
        <v>67</v>
      </c>
      <c r="E3759" t="str">
        <f t="shared" si="195"/>
        <v>017</v>
      </c>
      <c r="F3759" t="s">
        <v>3808</v>
      </c>
      <c r="G3759" t="str">
        <f>"0829"</f>
        <v>0829</v>
      </c>
      <c r="H3759" t="str">
        <f>"0000"</f>
        <v>0000</v>
      </c>
      <c r="I3759" t="s">
        <v>69</v>
      </c>
      <c r="J3759">
        <v>0</v>
      </c>
      <c r="K3759">
        <v>1</v>
      </c>
      <c r="L3759">
        <v>2</v>
      </c>
      <c r="M3759" t="s">
        <v>99</v>
      </c>
      <c r="N3759">
        <v>317</v>
      </c>
      <c r="O3759">
        <v>6</v>
      </c>
      <c r="P3759">
        <v>318</v>
      </c>
      <c r="Q3759">
        <v>24</v>
      </c>
      <c r="R3759">
        <v>211</v>
      </c>
      <c r="S3759">
        <v>2</v>
      </c>
      <c r="T3759">
        <v>2</v>
      </c>
      <c r="U3759">
        <v>51</v>
      </c>
      <c r="V3759">
        <v>5</v>
      </c>
      <c r="W3759">
        <v>0</v>
      </c>
      <c r="X3759">
        <v>14</v>
      </c>
      <c r="Y3759">
        <v>2</v>
      </c>
      <c r="Z3759">
        <v>3</v>
      </c>
      <c r="AA3759">
        <v>0</v>
      </c>
      <c r="AB3759">
        <v>0</v>
      </c>
      <c r="AD3759">
        <v>0</v>
      </c>
      <c r="AE3759">
        <v>4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318</v>
      </c>
      <c r="AL3759">
        <v>318</v>
      </c>
      <c r="AM3759">
        <v>558</v>
      </c>
      <c r="AN3759">
        <v>44</v>
      </c>
      <c r="AP3759">
        <v>1</v>
      </c>
      <c r="AR3759" t="s">
        <v>3857</v>
      </c>
      <c r="AS3759" s="1">
        <v>44354.263888888891</v>
      </c>
      <c r="AT3759" s="1">
        <v>44354.266284722224</v>
      </c>
      <c r="AU3759" s="1">
        <v>44354.268043981479</v>
      </c>
      <c r="AV3759" t="s">
        <v>71</v>
      </c>
      <c r="AW3759" t="s">
        <v>72</v>
      </c>
      <c r="AX3759" t="s">
        <v>73</v>
      </c>
    </row>
    <row r="3760" spans="1:50" x14ac:dyDescent="0.3">
      <c r="A3760" t="str">
        <f>"200829E0100"</f>
        <v>200829E0100</v>
      </c>
      <c r="B3760" t="str">
        <f>"200829E01002"</f>
        <v>200829E01002</v>
      </c>
      <c r="C3760" t="str">
        <f t="shared" si="196"/>
        <v>20</v>
      </c>
      <c r="D3760" t="s">
        <v>67</v>
      </c>
      <c r="E3760" t="str">
        <f t="shared" si="195"/>
        <v>017</v>
      </c>
      <c r="F3760" t="s">
        <v>3808</v>
      </c>
      <c r="G3760" t="str">
        <f>"0829"</f>
        <v>0829</v>
      </c>
      <c r="H3760" t="str">
        <f>"0001"</f>
        <v>0001</v>
      </c>
      <c r="I3760" t="s">
        <v>109</v>
      </c>
      <c r="J3760">
        <v>0</v>
      </c>
      <c r="K3760">
        <v>1</v>
      </c>
      <c r="L3760">
        <v>2</v>
      </c>
      <c r="M3760">
        <v>258</v>
      </c>
      <c r="N3760">
        <v>305</v>
      </c>
      <c r="O3760">
        <v>0</v>
      </c>
      <c r="P3760">
        <v>305</v>
      </c>
      <c r="Q3760">
        <v>16</v>
      </c>
      <c r="R3760">
        <v>42</v>
      </c>
      <c r="S3760">
        <v>2</v>
      </c>
      <c r="T3760">
        <v>1</v>
      </c>
      <c r="U3760">
        <v>45</v>
      </c>
      <c r="V3760">
        <v>1</v>
      </c>
      <c r="W3760">
        <v>5</v>
      </c>
      <c r="X3760">
        <v>178</v>
      </c>
      <c r="Y3760">
        <v>0</v>
      </c>
      <c r="Z3760">
        <v>5</v>
      </c>
      <c r="AA3760">
        <v>3</v>
      </c>
      <c r="AB3760">
        <v>0</v>
      </c>
      <c r="AD3760">
        <v>2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5</v>
      </c>
      <c r="AK3760">
        <v>305</v>
      </c>
      <c r="AL3760">
        <v>305</v>
      </c>
      <c r="AM3760">
        <v>519</v>
      </c>
      <c r="AN3760">
        <v>44</v>
      </c>
      <c r="AP3760">
        <v>1</v>
      </c>
      <c r="AR3760" t="s">
        <v>3858</v>
      </c>
      <c r="AS3760" s="1">
        <v>44354.262499999997</v>
      </c>
      <c r="AT3760" s="1">
        <v>44354.266400462962</v>
      </c>
      <c r="AU3760" s="1">
        <v>44354.267141203702</v>
      </c>
      <c r="AV3760" t="s">
        <v>71</v>
      </c>
      <c r="AW3760" t="s">
        <v>72</v>
      </c>
      <c r="AX3760" t="s">
        <v>73</v>
      </c>
    </row>
    <row r="3761" spans="1:50" x14ac:dyDescent="0.3">
      <c r="A3761" t="str">
        <f>"200829E0200"</f>
        <v>200829E0200</v>
      </c>
      <c r="B3761" t="str">
        <f>"200829E02002"</f>
        <v>200829E02002</v>
      </c>
      <c r="C3761" t="str">
        <f t="shared" si="196"/>
        <v>20</v>
      </c>
      <c r="D3761" t="s">
        <v>67</v>
      </c>
      <c r="E3761" t="str">
        <f t="shared" si="195"/>
        <v>017</v>
      </c>
      <c r="F3761" t="s">
        <v>3808</v>
      </c>
      <c r="G3761" t="str">
        <f>"0829"</f>
        <v>0829</v>
      </c>
      <c r="H3761" t="str">
        <f>"0002"</f>
        <v>0002</v>
      </c>
      <c r="I3761" t="s">
        <v>109</v>
      </c>
      <c r="J3761">
        <v>0</v>
      </c>
      <c r="K3761">
        <v>1</v>
      </c>
      <c r="L3761">
        <v>2</v>
      </c>
      <c r="M3761">
        <v>156</v>
      </c>
      <c r="N3761">
        <v>228</v>
      </c>
      <c r="O3761">
        <v>0</v>
      </c>
      <c r="P3761">
        <v>228</v>
      </c>
      <c r="Q3761">
        <v>23</v>
      </c>
      <c r="R3761">
        <v>44</v>
      </c>
      <c r="S3761">
        <v>3</v>
      </c>
      <c r="T3761">
        <v>3</v>
      </c>
      <c r="U3761">
        <v>37</v>
      </c>
      <c r="V3761">
        <v>0</v>
      </c>
      <c r="W3761">
        <v>2</v>
      </c>
      <c r="X3761">
        <v>102</v>
      </c>
      <c r="Y3761">
        <v>2</v>
      </c>
      <c r="Z3761">
        <v>2</v>
      </c>
      <c r="AA3761">
        <v>1</v>
      </c>
      <c r="AB3761">
        <v>3</v>
      </c>
      <c r="AD3761">
        <v>1</v>
      </c>
      <c r="AE3761">
        <v>0</v>
      </c>
      <c r="AF3761">
        <v>0</v>
      </c>
      <c r="AG3761">
        <v>1</v>
      </c>
      <c r="AH3761">
        <v>0</v>
      </c>
      <c r="AI3761">
        <v>0</v>
      </c>
      <c r="AJ3761">
        <v>4</v>
      </c>
      <c r="AK3761">
        <v>228</v>
      </c>
      <c r="AL3761">
        <v>228</v>
      </c>
      <c r="AM3761">
        <v>340</v>
      </c>
      <c r="AN3761">
        <v>44</v>
      </c>
      <c r="AP3761">
        <v>1</v>
      </c>
      <c r="AR3761" t="s">
        <v>3859</v>
      </c>
      <c r="AS3761" s="1">
        <v>44354.262499999997</v>
      </c>
      <c r="AT3761" s="1">
        <v>44354.265277777777</v>
      </c>
      <c r="AU3761" s="1">
        <v>44354.265567129631</v>
      </c>
      <c r="AV3761" t="s">
        <v>71</v>
      </c>
      <c r="AW3761" t="s">
        <v>72</v>
      </c>
      <c r="AX3761" t="s">
        <v>73</v>
      </c>
    </row>
    <row r="3762" spans="1:50" x14ac:dyDescent="0.3">
      <c r="A3762" t="str">
        <f>"200841B0000"</f>
        <v>200841B0000</v>
      </c>
      <c r="B3762" t="str">
        <f>"200841B00002"</f>
        <v>200841B00002</v>
      </c>
      <c r="C3762" t="str">
        <f t="shared" si="196"/>
        <v>20</v>
      </c>
      <c r="D3762" t="s">
        <v>67</v>
      </c>
      <c r="E3762" t="str">
        <f t="shared" si="195"/>
        <v>017</v>
      </c>
      <c r="F3762" t="s">
        <v>3808</v>
      </c>
      <c r="G3762" t="str">
        <f>"0841"</f>
        <v>0841</v>
      </c>
      <c r="H3762" t="str">
        <f>"0000"</f>
        <v>0000</v>
      </c>
      <c r="I3762" t="s">
        <v>69</v>
      </c>
      <c r="J3762">
        <v>0</v>
      </c>
      <c r="K3762">
        <v>1</v>
      </c>
      <c r="L3762">
        <v>2</v>
      </c>
      <c r="M3762">
        <v>457</v>
      </c>
      <c r="N3762">
        <v>222</v>
      </c>
      <c r="O3762">
        <v>1</v>
      </c>
      <c r="P3762">
        <v>222</v>
      </c>
      <c r="Q3762">
        <v>4</v>
      </c>
      <c r="R3762">
        <v>48</v>
      </c>
      <c r="S3762">
        <v>5</v>
      </c>
      <c r="T3762">
        <v>3</v>
      </c>
      <c r="U3762">
        <v>13</v>
      </c>
      <c r="V3762">
        <v>1</v>
      </c>
      <c r="W3762">
        <v>9</v>
      </c>
      <c r="X3762">
        <v>118</v>
      </c>
      <c r="Y3762">
        <v>0</v>
      </c>
      <c r="Z3762">
        <v>5</v>
      </c>
      <c r="AA3762">
        <v>1</v>
      </c>
      <c r="AB3762">
        <v>3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12</v>
      </c>
      <c r="AK3762">
        <v>222</v>
      </c>
      <c r="AL3762">
        <v>222</v>
      </c>
      <c r="AM3762">
        <v>635</v>
      </c>
      <c r="AN3762">
        <v>44</v>
      </c>
      <c r="AP3762">
        <v>1</v>
      </c>
      <c r="AR3762" t="s">
        <v>3860</v>
      </c>
      <c r="AS3762" s="1">
        <v>44354.011805555558</v>
      </c>
      <c r="AT3762" s="1">
        <v>44354.019004629627</v>
      </c>
      <c r="AU3762" s="1">
        <v>44354.019479166665</v>
      </c>
      <c r="AV3762" t="s">
        <v>71</v>
      </c>
      <c r="AW3762" t="s">
        <v>72</v>
      </c>
      <c r="AX3762" t="s">
        <v>73</v>
      </c>
    </row>
    <row r="3763" spans="1:50" x14ac:dyDescent="0.3">
      <c r="A3763" t="str">
        <f>"200841C0100"</f>
        <v>200841C0100</v>
      </c>
      <c r="B3763" t="str">
        <f>"200841C01002"</f>
        <v>200841C01002</v>
      </c>
      <c r="C3763" t="str">
        <f t="shared" si="196"/>
        <v>20</v>
      </c>
      <c r="D3763" t="s">
        <v>67</v>
      </c>
      <c r="E3763" t="str">
        <f t="shared" si="195"/>
        <v>017</v>
      </c>
      <c r="F3763" t="s">
        <v>3808</v>
      </c>
      <c r="G3763" t="str">
        <f>"0841"</f>
        <v>0841</v>
      </c>
      <c r="H3763" t="str">
        <f>"0001"</f>
        <v>0001</v>
      </c>
      <c r="I3763" t="s">
        <v>75</v>
      </c>
      <c r="J3763">
        <v>0</v>
      </c>
      <c r="K3763">
        <v>1</v>
      </c>
      <c r="L3763">
        <v>2</v>
      </c>
      <c r="M3763">
        <v>493</v>
      </c>
      <c r="N3763">
        <v>186</v>
      </c>
      <c r="O3763">
        <v>4</v>
      </c>
      <c r="P3763">
        <v>186</v>
      </c>
      <c r="Q3763">
        <v>12</v>
      </c>
      <c r="R3763">
        <v>33</v>
      </c>
      <c r="S3763">
        <v>8</v>
      </c>
      <c r="T3763">
        <v>1</v>
      </c>
      <c r="U3763">
        <v>13</v>
      </c>
      <c r="V3763">
        <v>2</v>
      </c>
      <c r="W3763">
        <v>13</v>
      </c>
      <c r="X3763">
        <v>86</v>
      </c>
      <c r="Y3763">
        <v>1</v>
      </c>
      <c r="Z3763">
        <v>0</v>
      </c>
      <c r="AA3763">
        <v>4</v>
      </c>
      <c r="AB3763">
        <v>2</v>
      </c>
      <c r="AD3763">
        <v>1</v>
      </c>
      <c r="AE3763">
        <v>1</v>
      </c>
      <c r="AF3763">
        <v>0</v>
      </c>
      <c r="AG3763">
        <v>0</v>
      </c>
      <c r="AH3763">
        <v>0</v>
      </c>
      <c r="AI3763">
        <v>0</v>
      </c>
      <c r="AJ3763">
        <v>9</v>
      </c>
      <c r="AK3763">
        <v>186</v>
      </c>
      <c r="AL3763">
        <v>186</v>
      </c>
      <c r="AM3763">
        <v>635</v>
      </c>
      <c r="AN3763">
        <v>44</v>
      </c>
      <c r="AP3763">
        <v>1</v>
      </c>
      <c r="AR3763" t="s">
        <v>3861</v>
      </c>
      <c r="AS3763" s="1">
        <v>44354.013888888891</v>
      </c>
      <c r="AT3763" s="1">
        <v>44354.023587962962</v>
      </c>
      <c r="AU3763" s="1">
        <v>44354.024050925924</v>
      </c>
      <c r="AV3763" t="s">
        <v>71</v>
      </c>
      <c r="AW3763" t="s">
        <v>72</v>
      </c>
      <c r="AX3763" t="s">
        <v>73</v>
      </c>
    </row>
    <row r="3764" spans="1:50" x14ac:dyDescent="0.3">
      <c r="A3764" t="str">
        <f>"200841C0200"</f>
        <v>200841C0200</v>
      </c>
      <c r="B3764" t="str">
        <f>"200841C02002"</f>
        <v>200841C02002</v>
      </c>
      <c r="C3764" t="str">
        <f t="shared" si="196"/>
        <v>20</v>
      </c>
      <c r="D3764" t="s">
        <v>67</v>
      </c>
      <c r="E3764" t="str">
        <f t="shared" si="195"/>
        <v>017</v>
      </c>
      <c r="F3764" t="s">
        <v>3808</v>
      </c>
      <c r="G3764" t="str">
        <f>"0841"</f>
        <v>0841</v>
      </c>
      <c r="H3764" t="str">
        <f>"0002"</f>
        <v>0002</v>
      </c>
      <c r="I3764" t="s">
        <v>75</v>
      </c>
      <c r="J3764">
        <v>0</v>
      </c>
      <c r="K3764">
        <v>1</v>
      </c>
      <c r="L3764">
        <v>2</v>
      </c>
      <c r="M3764">
        <v>483</v>
      </c>
      <c r="N3764">
        <v>195</v>
      </c>
      <c r="O3764">
        <v>3</v>
      </c>
      <c r="P3764">
        <v>195</v>
      </c>
      <c r="Q3764">
        <v>14</v>
      </c>
      <c r="R3764">
        <v>42</v>
      </c>
      <c r="S3764">
        <v>9</v>
      </c>
      <c r="T3764">
        <v>2</v>
      </c>
      <c r="U3764">
        <v>12</v>
      </c>
      <c r="V3764">
        <v>6</v>
      </c>
      <c r="W3764">
        <v>18</v>
      </c>
      <c r="X3764">
        <v>71</v>
      </c>
      <c r="Y3764">
        <v>1</v>
      </c>
      <c r="Z3764">
        <v>5</v>
      </c>
      <c r="AA3764">
        <v>2</v>
      </c>
      <c r="AB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13</v>
      </c>
      <c r="AK3764">
        <v>195</v>
      </c>
      <c r="AL3764">
        <v>195</v>
      </c>
      <c r="AM3764">
        <v>634</v>
      </c>
      <c r="AN3764">
        <v>44</v>
      </c>
      <c r="AP3764">
        <v>1</v>
      </c>
      <c r="AR3764" t="s">
        <v>3862</v>
      </c>
      <c r="AS3764" s="1">
        <v>44354.018055555556</v>
      </c>
      <c r="AT3764" s="1">
        <v>44354.026932870373</v>
      </c>
      <c r="AU3764" s="1">
        <v>44354.027442129627</v>
      </c>
      <c r="AV3764" t="s">
        <v>71</v>
      </c>
      <c r="AW3764" t="s">
        <v>72</v>
      </c>
      <c r="AX3764" t="s">
        <v>73</v>
      </c>
    </row>
    <row r="3765" spans="1:50" x14ac:dyDescent="0.3">
      <c r="A3765" t="str">
        <f>"200841E0100"</f>
        <v>200841E0100</v>
      </c>
      <c r="B3765" t="str">
        <f>"200841E01002"</f>
        <v>200841E01002</v>
      </c>
      <c r="C3765" t="str">
        <f t="shared" si="196"/>
        <v>20</v>
      </c>
      <c r="D3765" t="s">
        <v>67</v>
      </c>
      <c r="E3765" t="str">
        <f t="shared" si="195"/>
        <v>017</v>
      </c>
      <c r="F3765" t="s">
        <v>3808</v>
      </c>
      <c r="G3765" t="str">
        <f>"0841"</f>
        <v>0841</v>
      </c>
      <c r="H3765" t="str">
        <f>"0001"</f>
        <v>0001</v>
      </c>
      <c r="I3765" t="s">
        <v>109</v>
      </c>
      <c r="J3765">
        <v>0</v>
      </c>
      <c r="K3765">
        <v>1</v>
      </c>
      <c r="L3765">
        <v>2</v>
      </c>
      <c r="M3765">
        <v>149</v>
      </c>
      <c r="N3765">
        <v>64</v>
      </c>
      <c r="O3765">
        <v>3</v>
      </c>
      <c r="P3765">
        <v>64</v>
      </c>
      <c r="Q3765">
        <v>2</v>
      </c>
      <c r="R3765">
        <v>12</v>
      </c>
      <c r="S3765">
        <v>1</v>
      </c>
      <c r="T3765">
        <v>2</v>
      </c>
      <c r="U3765">
        <v>26</v>
      </c>
      <c r="V3765">
        <v>0</v>
      </c>
      <c r="W3765">
        <v>1</v>
      </c>
      <c r="X3765">
        <v>15</v>
      </c>
      <c r="Y3765">
        <v>0</v>
      </c>
      <c r="Z3765">
        <v>1</v>
      </c>
      <c r="AA3765">
        <v>2</v>
      </c>
      <c r="AB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2</v>
      </c>
      <c r="AK3765">
        <v>64</v>
      </c>
      <c r="AL3765">
        <v>64</v>
      </c>
      <c r="AM3765">
        <v>169</v>
      </c>
      <c r="AN3765">
        <v>44</v>
      </c>
      <c r="AP3765">
        <v>1</v>
      </c>
      <c r="AR3765" t="s">
        <v>3863</v>
      </c>
      <c r="AS3765" s="1">
        <v>44353.75</v>
      </c>
      <c r="AT3765" s="1">
        <v>44354.029247685183</v>
      </c>
      <c r="AU3765" s="1">
        <v>44354.030057870368</v>
      </c>
      <c r="AV3765" t="s">
        <v>71</v>
      </c>
      <c r="AW3765" t="s">
        <v>72</v>
      </c>
      <c r="AX3765" t="s">
        <v>73</v>
      </c>
    </row>
    <row r="3766" spans="1:50" x14ac:dyDescent="0.3">
      <c r="A3766" t="str">
        <f>"200842B0000"</f>
        <v>200842B0000</v>
      </c>
      <c r="B3766" t="str">
        <f>"200842B00002"</f>
        <v>200842B00002</v>
      </c>
      <c r="C3766" t="str">
        <f t="shared" si="196"/>
        <v>20</v>
      </c>
      <c r="D3766" t="s">
        <v>67</v>
      </c>
      <c r="E3766" t="str">
        <f t="shared" si="195"/>
        <v>017</v>
      </c>
      <c r="F3766" t="s">
        <v>3808</v>
      </c>
      <c r="G3766" t="str">
        <f>"0842"</f>
        <v>0842</v>
      </c>
      <c r="H3766" t="str">
        <f>"0000"</f>
        <v>0000</v>
      </c>
      <c r="I3766" t="s">
        <v>69</v>
      </c>
      <c r="J3766">
        <v>0</v>
      </c>
      <c r="K3766">
        <v>1</v>
      </c>
      <c r="L3766">
        <v>2</v>
      </c>
      <c r="M3766">
        <v>462</v>
      </c>
      <c r="N3766">
        <v>200</v>
      </c>
      <c r="O3766">
        <v>0</v>
      </c>
      <c r="P3766">
        <v>200</v>
      </c>
      <c r="Q3766">
        <v>11</v>
      </c>
      <c r="R3766">
        <v>49</v>
      </c>
      <c r="S3766">
        <v>11</v>
      </c>
      <c r="T3766">
        <v>6</v>
      </c>
      <c r="U3766">
        <v>11</v>
      </c>
      <c r="V3766">
        <v>4</v>
      </c>
      <c r="W3766">
        <v>14</v>
      </c>
      <c r="X3766">
        <v>78</v>
      </c>
      <c r="Y3766">
        <v>2</v>
      </c>
      <c r="Z3766">
        <v>2</v>
      </c>
      <c r="AA3766">
        <v>2</v>
      </c>
      <c r="AB3766">
        <v>1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9</v>
      </c>
      <c r="AK3766">
        <v>200</v>
      </c>
      <c r="AL3766">
        <v>200</v>
      </c>
      <c r="AM3766">
        <v>618</v>
      </c>
      <c r="AN3766">
        <v>44</v>
      </c>
      <c r="AP3766">
        <v>1</v>
      </c>
      <c r="AR3766" t="s">
        <v>3864</v>
      </c>
      <c r="AS3766" s="1">
        <v>44353.95</v>
      </c>
      <c r="AT3766" s="1">
        <v>44353.952048611114</v>
      </c>
      <c r="AU3766" s="1">
        <v>44353.953067129631</v>
      </c>
      <c r="AV3766" t="s">
        <v>71</v>
      </c>
      <c r="AW3766" t="s">
        <v>72</v>
      </c>
      <c r="AX3766" t="s">
        <v>73</v>
      </c>
    </row>
    <row r="3767" spans="1:50" x14ac:dyDescent="0.3">
      <c r="A3767" t="str">
        <f>"200842C0100"</f>
        <v>200842C0100</v>
      </c>
      <c r="B3767" t="str">
        <f>"200842C01002"</f>
        <v>200842C01002</v>
      </c>
      <c r="C3767" t="str">
        <f t="shared" si="196"/>
        <v>20</v>
      </c>
      <c r="D3767" t="s">
        <v>67</v>
      </c>
      <c r="E3767" t="str">
        <f t="shared" si="195"/>
        <v>017</v>
      </c>
      <c r="F3767" t="s">
        <v>3808</v>
      </c>
      <c r="G3767" t="str">
        <f>"0842"</f>
        <v>0842</v>
      </c>
      <c r="H3767" t="str">
        <f>"0001"</f>
        <v>0001</v>
      </c>
      <c r="I3767" t="s">
        <v>75</v>
      </c>
      <c r="J3767">
        <v>0</v>
      </c>
      <c r="K3767">
        <v>1</v>
      </c>
      <c r="L3767">
        <v>2</v>
      </c>
      <c r="M3767">
        <v>465</v>
      </c>
      <c r="N3767">
        <v>197</v>
      </c>
      <c r="O3767">
        <v>3</v>
      </c>
      <c r="P3767">
        <v>197</v>
      </c>
      <c r="Q3767">
        <v>14</v>
      </c>
      <c r="R3767">
        <v>37</v>
      </c>
      <c r="S3767">
        <v>7</v>
      </c>
      <c r="T3767">
        <v>3</v>
      </c>
      <c r="U3767">
        <v>16</v>
      </c>
      <c r="V3767">
        <v>1</v>
      </c>
      <c r="W3767">
        <v>24</v>
      </c>
      <c r="X3767">
        <v>78</v>
      </c>
      <c r="Y3767">
        <v>1</v>
      </c>
      <c r="Z3767">
        <v>3</v>
      </c>
      <c r="AA3767">
        <v>2</v>
      </c>
      <c r="AB3767">
        <v>0</v>
      </c>
      <c r="AD3767">
        <v>0</v>
      </c>
      <c r="AE3767">
        <v>1</v>
      </c>
      <c r="AF3767">
        <v>0</v>
      </c>
      <c r="AG3767">
        <v>0</v>
      </c>
      <c r="AH3767">
        <v>0</v>
      </c>
      <c r="AI3767">
        <v>0</v>
      </c>
      <c r="AJ3767">
        <v>10</v>
      </c>
      <c r="AK3767">
        <v>197</v>
      </c>
      <c r="AL3767">
        <v>197</v>
      </c>
      <c r="AM3767">
        <v>618</v>
      </c>
      <c r="AN3767">
        <v>44</v>
      </c>
      <c r="AP3767">
        <v>1</v>
      </c>
      <c r="AR3767" t="s">
        <v>3865</v>
      </c>
      <c r="AS3767" s="1">
        <v>44353.95208333333</v>
      </c>
      <c r="AT3767" s="1">
        <v>44353.95511574074</v>
      </c>
      <c r="AU3767" s="1">
        <v>44353.955578703702</v>
      </c>
      <c r="AV3767" t="s">
        <v>71</v>
      </c>
      <c r="AW3767" t="s">
        <v>72</v>
      </c>
      <c r="AX3767" t="s">
        <v>73</v>
      </c>
    </row>
    <row r="3768" spans="1:50" x14ac:dyDescent="0.3">
      <c r="A3768" t="str">
        <f>"200842C0200"</f>
        <v>200842C0200</v>
      </c>
      <c r="B3768" t="str">
        <f>"200842C02002"</f>
        <v>200842C02002</v>
      </c>
      <c r="C3768" t="str">
        <f t="shared" si="196"/>
        <v>20</v>
      </c>
      <c r="D3768" t="s">
        <v>67</v>
      </c>
      <c r="E3768" t="str">
        <f t="shared" si="195"/>
        <v>017</v>
      </c>
      <c r="F3768" t="s">
        <v>3808</v>
      </c>
      <c r="G3768" t="str">
        <f>"0842"</f>
        <v>0842</v>
      </c>
      <c r="H3768" t="str">
        <f>"0002"</f>
        <v>0002</v>
      </c>
      <c r="I3768" t="s">
        <v>75</v>
      </c>
      <c r="J3768">
        <v>0</v>
      </c>
      <c r="K3768">
        <v>1</v>
      </c>
      <c r="L3768">
        <v>2</v>
      </c>
      <c r="M3768">
        <v>447</v>
      </c>
      <c r="N3768">
        <v>215</v>
      </c>
      <c r="O3768">
        <v>0</v>
      </c>
      <c r="P3768">
        <v>215</v>
      </c>
      <c r="Q3768">
        <v>19</v>
      </c>
      <c r="R3768">
        <v>43</v>
      </c>
      <c r="S3768">
        <v>11</v>
      </c>
      <c r="T3768">
        <v>3</v>
      </c>
      <c r="U3768">
        <v>14</v>
      </c>
      <c r="V3768">
        <v>0</v>
      </c>
      <c r="W3768">
        <v>12</v>
      </c>
      <c r="X3768">
        <v>89</v>
      </c>
      <c r="Y3768">
        <v>3</v>
      </c>
      <c r="Z3768">
        <v>1</v>
      </c>
      <c r="AA3768">
        <v>5</v>
      </c>
      <c r="AB3768">
        <v>1</v>
      </c>
      <c r="AD3768">
        <v>0</v>
      </c>
      <c r="AE3768">
        <v>1</v>
      </c>
      <c r="AF3768">
        <v>0</v>
      </c>
      <c r="AG3768">
        <v>0</v>
      </c>
      <c r="AH3768">
        <v>0</v>
      </c>
      <c r="AI3768">
        <v>1</v>
      </c>
      <c r="AJ3768">
        <v>12</v>
      </c>
      <c r="AK3768">
        <v>215</v>
      </c>
      <c r="AL3768">
        <v>215</v>
      </c>
      <c r="AM3768">
        <v>618</v>
      </c>
      <c r="AN3768">
        <v>44</v>
      </c>
      <c r="AP3768">
        <v>1</v>
      </c>
      <c r="AR3768" t="s">
        <v>3866</v>
      </c>
      <c r="AS3768" s="1">
        <v>44353.954861111109</v>
      </c>
      <c r="AT3768" s="1">
        <v>44353.957187499997</v>
      </c>
      <c r="AU3768" s="1">
        <v>44353.957997685182</v>
      </c>
      <c r="AV3768" t="s">
        <v>71</v>
      </c>
      <c r="AW3768" t="s">
        <v>72</v>
      </c>
      <c r="AX3768" t="s">
        <v>73</v>
      </c>
    </row>
    <row r="3769" spans="1:50" x14ac:dyDescent="0.3">
      <c r="A3769" t="str">
        <f>"200842C0300"</f>
        <v>200842C0300</v>
      </c>
      <c r="B3769" t="str">
        <f>"200842C03002"</f>
        <v>200842C03002</v>
      </c>
      <c r="C3769" t="str">
        <f t="shared" si="196"/>
        <v>20</v>
      </c>
      <c r="D3769" t="s">
        <v>67</v>
      </c>
      <c r="E3769" t="str">
        <f t="shared" si="195"/>
        <v>017</v>
      </c>
      <c r="F3769" t="s">
        <v>3808</v>
      </c>
      <c r="G3769" t="str">
        <f>"0842"</f>
        <v>0842</v>
      </c>
      <c r="H3769" t="str">
        <f>"0003"</f>
        <v>0003</v>
      </c>
      <c r="I3769" t="s">
        <v>75</v>
      </c>
      <c r="J3769">
        <v>0</v>
      </c>
      <c r="K3769">
        <v>1</v>
      </c>
      <c r="L3769">
        <v>2</v>
      </c>
      <c r="M3769">
        <v>469</v>
      </c>
      <c r="N3769">
        <v>193</v>
      </c>
      <c r="O3769">
        <v>1</v>
      </c>
      <c r="P3769">
        <v>193</v>
      </c>
      <c r="Q3769">
        <v>15</v>
      </c>
      <c r="R3769">
        <v>44</v>
      </c>
      <c r="S3769">
        <v>13</v>
      </c>
      <c r="T3769">
        <v>3</v>
      </c>
      <c r="U3769">
        <v>12</v>
      </c>
      <c r="V3769">
        <v>2</v>
      </c>
      <c r="W3769">
        <v>9</v>
      </c>
      <c r="X3769">
        <v>70</v>
      </c>
      <c r="Y3769">
        <v>0</v>
      </c>
      <c r="Z3769">
        <v>1</v>
      </c>
      <c r="AA3769">
        <v>4</v>
      </c>
      <c r="AB3769">
        <v>0</v>
      </c>
      <c r="AD3769">
        <v>0</v>
      </c>
      <c r="AE3769">
        <v>1</v>
      </c>
      <c r="AF3769">
        <v>1</v>
      </c>
      <c r="AG3769">
        <v>0</v>
      </c>
      <c r="AH3769">
        <v>0</v>
      </c>
      <c r="AI3769">
        <v>0</v>
      </c>
      <c r="AJ3769">
        <v>18</v>
      </c>
      <c r="AK3769">
        <v>193</v>
      </c>
      <c r="AL3769">
        <v>193</v>
      </c>
      <c r="AM3769">
        <v>618</v>
      </c>
      <c r="AN3769">
        <v>44</v>
      </c>
      <c r="AP3769">
        <v>1</v>
      </c>
      <c r="AR3769" t="s">
        <v>3867</v>
      </c>
      <c r="AS3769" s="1">
        <v>44353.958333333336</v>
      </c>
      <c r="AT3769" s="1">
        <v>44353.961134259262</v>
      </c>
      <c r="AU3769" s="1">
        <v>44353.961539351854</v>
      </c>
      <c r="AV3769" t="s">
        <v>71</v>
      </c>
      <c r="AW3769" t="s">
        <v>72</v>
      </c>
      <c r="AX3769" t="s">
        <v>73</v>
      </c>
    </row>
    <row r="3770" spans="1:50" x14ac:dyDescent="0.3">
      <c r="A3770" t="str">
        <f>"200842C0400"</f>
        <v>200842C0400</v>
      </c>
      <c r="B3770" t="str">
        <f>"200842C04002"</f>
        <v>200842C04002</v>
      </c>
      <c r="C3770" t="str">
        <f t="shared" si="196"/>
        <v>20</v>
      </c>
      <c r="D3770" t="s">
        <v>67</v>
      </c>
      <c r="E3770" t="str">
        <f t="shared" si="195"/>
        <v>017</v>
      </c>
      <c r="F3770" t="s">
        <v>3808</v>
      </c>
      <c r="G3770" t="str">
        <f>"0842"</f>
        <v>0842</v>
      </c>
      <c r="H3770" t="str">
        <f>"0004"</f>
        <v>0004</v>
      </c>
      <c r="I3770" t="s">
        <v>75</v>
      </c>
      <c r="J3770">
        <v>0</v>
      </c>
      <c r="K3770">
        <v>1</v>
      </c>
      <c r="L3770">
        <v>2</v>
      </c>
      <c r="M3770">
        <v>434</v>
      </c>
      <c r="N3770">
        <v>227</v>
      </c>
      <c r="O3770">
        <v>0</v>
      </c>
      <c r="P3770">
        <v>227</v>
      </c>
      <c r="Q3770">
        <v>18</v>
      </c>
      <c r="R3770">
        <v>63</v>
      </c>
      <c r="S3770">
        <v>12</v>
      </c>
      <c r="T3770">
        <v>6</v>
      </c>
      <c r="U3770">
        <v>12</v>
      </c>
      <c r="V3770">
        <v>2</v>
      </c>
      <c r="W3770">
        <v>12</v>
      </c>
      <c r="X3770">
        <v>88</v>
      </c>
      <c r="Y3770">
        <v>0</v>
      </c>
      <c r="Z3770">
        <v>2</v>
      </c>
      <c r="AA3770">
        <v>2</v>
      </c>
      <c r="AB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10</v>
      </c>
      <c r="AK3770">
        <v>227</v>
      </c>
      <c r="AL3770">
        <v>227</v>
      </c>
      <c r="AM3770">
        <v>617</v>
      </c>
      <c r="AN3770">
        <v>44</v>
      </c>
      <c r="AP3770">
        <v>1</v>
      </c>
      <c r="AR3770" t="s">
        <v>3868</v>
      </c>
      <c r="AS3770" s="1">
        <v>44353.959722222222</v>
      </c>
      <c r="AT3770" s="1">
        <v>44353.961782407408</v>
      </c>
      <c r="AU3770" s="1">
        <v>44353.962337962963</v>
      </c>
      <c r="AV3770" t="s">
        <v>71</v>
      </c>
      <c r="AW3770" t="s">
        <v>72</v>
      </c>
      <c r="AX3770" t="s">
        <v>73</v>
      </c>
    </row>
    <row r="3771" spans="1:50" x14ac:dyDescent="0.3">
      <c r="A3771" t="str">
        <f>"200843B0000"</f>
        <v>200843B0000</v>
      </c>
      <c r="B3771" t="str">
        <f>"200843B00002"</f>
        <v>200843B00002</v>
      </c>
      <c r="C3771" t="str">
        <f t="shared" si="196"/>
        <v>20</v>
      </c>
      <c r="D3771" t="s">
        <v>67</v>
      </c>
      <c r="E3771" t="str">
        <f t="shared" si="195"/>
        <v>017</v>
      </c>
      <c r="F3771" t="s">
        <v>3808</v>
      </c>
      <c r="G3771" t="str">
        <f>"0843"</f>
        <v>0843</v>
      </c>
      <c r="H3771" t="str">
        <f>"0000"</f>
        <v>0000</v>
      </c>
      <c r="I3771" t="s">
        <v>69</v>
      </c>
      <c r="J3771">
        <v>0</v>
      </c>
      <c r="K3771">
        <v>1</v>
      </c>
      <c r="L3771">
        <v>2</v>
      </c>
      <c r="M3771">
        <v>361</v>
      </c>
      <c r="N3771">
        <v>233</v>
      </c>
      <c r="O3771">
        <v>0</v>
      </c>
      <c r="P3771">
        <v>233</v>
      </c>
      <c r="Q3771">
        <v>7</v>
      </c>
      <c r="R3771">
        <v>111</v>
      </c>
      <c r="S3771">
        <v>1</v>
      </c>
      <c r="T3771">
        <v>7</v>
      </c>
      <c r="U3771">
        <v>32</v>
      </c>
      <c r="V3771">
        <v>1</v>
      </c>
      <c r="W3771">
        <v>0</v>
      </c>
      <c r="X3771">
        <v>54</v>
      </c>
      <c r="Y3771">
        <v>1</v>
      </c>
      <c r="Z3771">
        <v>1</v>
      </c>
      <c r="AA3771">
        <v>2</v>
      </c>
      <c r="AB3771">
        <v>1</v>
      </c>
      <c r="AD3771">
        <v>2</v>
      </c>
      <c r="AE3771">
        <v>1</v>
      </c>
      <c r="AF3771">
        <v>0</v>
      </c>
      <c r="AG3771">
        <v>0</v>
      </c>
      <c r="AH3771">
        <v>1</v>
      </c>
      <c r="AI3771">
        <v>0</v>
      </c>
      <c r="AJ3771">
        <v>11</v>
      </c>
      <c r="AK3771">
        <v>233</v>
      </c>
      <c r="AL3771">
        <v>233</v>
      </c>
      <c r="AM3771">
        <v>550</v>
      </c>
      <c r="AN3771">
        <v>44</v>
      </c>
      <c r="AP3771">
        <v>1</v>
      </c>
      <c r="AR3771" t="s">
        <v>3869</v>
      </c>
      <c r="AS3771" s="1">
        <v>44354.04583333333</v>
      </c>
      <c r="AT3771" s="1">
        <v>44354.053518518522</v>
      </c>
      <c r="AU3771" s="1">
        <v>44354.054062499999</v>
      </c>
      <c r="AV3771" t="s">
        <v>71</v>
      </c>
      <c r="AW3771" t="s">
        <v>72</v>
      </c>
      <c r="AX3771" t="s">
        <v>73</v>
      </c>
    </row>
    <row r="3772" spans="1:50" x14ac:dyDescent="0.3">
      <c r="A3772" t="str">
        <f>"200843C0100"</f>
        <v>200843C0100</v>
      </c>
      <c r="B3772" t="str">
        <f>"200843C01002"</f>
        <v>200843C01002</v>
      </c>
      <c r="C3772" t="str">
        <f t="shared" si="196"/>
        <v>20</v>
      </c>
      <c r="D3772" t="s">
        <v>67</v>
      </c>
      <c r="E3772" t="str">
        <f t="shared" si="195"/>
        <v>017</v>
      </c>
      <c r="F3772" t="s">
        <v>3808</v>
      </c>
      <c r="G3772" t="str">
        <f>"0843"</f>
        <v>0843</v>
      </c>
      <c r="H3772" t="str">
        <f>"0001"</f>
        <v>0001</v>
      </c>
      <c r="I3772" t="s">
        <v>75</v>
      </c>
      <c r="J3772">
        <v>0</v>
      </c>
      <c r="K3772">
        <v>1</v>
      </c>
      <c r="L3772">
        <v>2</v>
      </c>
      <c r="M3772">
        <v>370</v>
      </c>
      <c r="N3772">
        <v>224</v>
      </c>
      <c r="O3772">
        <v>0</v>
      </c>
      <c r="P3772">
        <v>224</v>
      </c>
      <c r="Q3772">
        <v>11</v>
      </c>
      <c r="R3772">
        <v>124</v>
      </c>
      <c r="S3772">
        <v>3</v>
      </c>
      <c r="T3772">
        <v>3</v>
      </c>
      <c r="U3772">
        <v>27</v>
      </c>
      <c r="V3772">
        <v>1</v>
      </c>
      <c r="W3772">
        <v>1</v>
      </c>
      <c r="X3772">
        <v>37</v>
      </c>
      <c r="Y3772">
        <v>0</v>
      </c>
      <c r="Z3772">
        <v>3</v>
      </c>
      <c r="AA3772">
        <v>1</v>
      </c>
      <c r="AB3772">
        <v>0</v>
      </c>
      <c r="AD3772">
        <v>1</v>
      </c>
      <c r="AE3772">
        <v>1</v>
      </c>
      <c r="AF3772">
        <v>0</v>
      </c>
      <c r="AG3772">
        <v>0</v>
      </c>
      <c r="AH3772">
        <v>0</v>
      </c>
      <c r="AI3772">
        <v>0</v>
      </c>
      <c r="AJ3772">
        <v>11</v>
      </c>
      <c r="AK3772">
        <v>224</v>
      </c>
      <c r="AL3772">
        <v>224</v>
      </c>
      <c r="AM3772">
        <v>550</v>
      </c>
      <c r="AN3772">
        <v>44</v>
      </c>
      <c r="AP3772">
        <v>1</v>
      </c>
      <c r="AR3772" t="s">
        <v>3870</v>
      </c>
      <c r="AS3772" s="1">
        <v>44354.049305555556</v>
      </c>
      <c r="AT3772" s="1">
        <v>44354.057037037041</v>
      </c>
      <c r="AU3772" s="1">
        <v>44354.057754629626</v>
      </c>
      <c r="AV3772" t="s">
        <v>71</v>
      </c>
      <c r="AW3772" t="s">
        <v>72</v>
      </c>
      <c r="AX3772" t="s">
        <v>73</v>
      </c>
    </row>
    <row r="3773" spans="1:50" x14ac:dyDescent="0.3">
      <c r="A3773" t="str">
        <f>"200843C0200"</f>
        <v>200843C0200</v>
      </c>
      <c r="B3773" t="str">
        <f>"200843C02002"</f>
        <v>200843C02002</v>
      </c>
      <c r="C3773" t="str">
        <f t="shared" si="196"/>
        <v>20</v>
      </c>
      <c r="D3773" t="s">
        <v>67</v>
      </c>
      <c r="E3773" t="str">
        <f t="shared" si="195"/>
        <v>017</v>
      </c>
      <c r="F3773" t="s">
        <v>3808</v>
      </c>
      <c r="G3773" t="str">
        <f>"0843"</f>
        <v>0843</v>
      </c>
      <c r="H3773" t="str">
        <f>"0002"</f>
        <v>0002</v>
      </c>
      <c r="I3773" t="s">
        <v>75</v>
      </c>
      <c r="J3773">
        <v>0</v>
      </c>
      <c r="K3773">
        <v>1</v>
      </c>
      <c r="L3773">
        <v>2</v>
      </c>
      <c r="M3773">
        <v>386</v>
      </c>
      <c r="N3773">
        <v>206</v>
      </c>
      <c r="O3773">
        <v>0</v>
      </c>
      <c r="P3773">
        <v>207</v>
      </c>
      <c r="Q3773">
        <v>12</v>
      </c>
      <c r="R3773">
        <v>112</v>
      </c>
      <c r="S3773">
        <v>2</v>
      </c>
      <c r="T3773">
        <v>2</v>
      </c>
      <c r="U3773">
        <v>18</v>
      </c>
      <c r="V3773">
        <v>5</v>
      </c>
      <c r="W3773">
        <v>1</v>
      </c>
      <c r="X3773">
        <v>40</v>
      </c>
      <c r="Y3773">
        <v>2</v>
      </c>
      <c r="Z3773">
        <v>3</v>
      </c>
      <c r="AA3773">
        <v>0</v>
      </c>
      <c r="AB3773">
        <v>3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7</v>
      </c>
      <c r="AK3773">
        <v>207</v>
      </c>
      <c r="AL3773">
        <v>207</v>
      </c>
      <c r="AM3773">
        <v>549</v>
      </c>
      <c r="AN3773">
        <v>44</v>
      </c>
      <c r="AP3773">
        <v>1</v>
      </c>
      <c r="AR3773" t="s">
        <v>3871</v>
      </c>
      <c r="AS3773" s="1">
        <v>44354.050694444442</v>
      </c>
      <c r="AT3773" s="1">
        <v>44354.057997685188</v>
      </c>
      <c r="AU3773" s="1">
        <v>44354.058576388888</v>
      </c>
      <c r="AV3773" t="s">
        <v>71</v>
      </c>
      <c r="AW3773" t="s">
        <v>72</v>
      </c>
      <c r="AX3773" t="s">
        <v>73</v>
      </c>
    </row>
    <row r="3774" spans="1:50" x14ac:dyDescent="0.3">
      <c r="A3774" t="str">
        <f>"200844B0000"</f>
        <v>200844B0000</v>
      </c>
      <c r="B3774" t="str">
        <f>"200844B00002"</f>
        <v>200844B00002</v>
      </c>
      <c r="C3774" t="str">
        <f t="shared" si="196"/>
        <v>20</v>
      </c>
      <c r="D3774" t="s">
        <v>67</v>
      </c>
      <c r="E3774" t="str">
        <f t="shared" si="195"/>
        <v>017</v>
      </c>
      <c r="F3774" t="s">
        <v>3808</v>
      </c>
      <c r="G3774" t="str">
        <f>"0844"</f>
        <v>0844</v>
      </c>
      <c r="H3774" t="str">
        <f>"0000"</f>
        <v>0000</v>
      </c>
      <c r="I3774" t="s">
        <v>69</v>
      </c>
      <c r="J3774">
        <v>0</v>
      </c>
      <c r="K3774">
        <v>1</v>
      </c>
      <c r="L3774">
        <v>2</v>
      </c>
      <c r="M3774">
        <v>252</v>
      </c>
      <c r="N3774">
        <v>260</v>
      </c>
      <c r="O3774">
        <v>1</v>
      </c>
      <c r="P3774">
        <v>260</v>
      </c>
      <c r="Q3774">
        <v>13</v>
      </c>
      <c r="R3774">
        <v>66</v>
      </c>
      <c r="S3774">
        <v>3</v>
      </c>
      <c r="T3774">
        <v>1</v>
      </c>
      <c r="U3774">
        <v>59</v>
      </c>
      <c r="V3774">
        <v>1</v>
      </c>
      <c r="W3774">
        <v>2</v>
      </c>
      <c r="X3774">
        <v>98</v>
      </c>
      <c r="Y3774">
        <v>1</v>
      </c>
      <c r="Z3774">
        <v>6</v>
      </c>
      <c r="AA3774">
        <v>5</v>
      </c>
      <c r="AB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5</v>
      </c>
      <c r="AK3774">
        <v>260</v>
      </c>
      <c r="AL3774">
        <v>260</v>
      </c>
      <c r="AM3774">
        <v>468</v>
      </c>
      <c r="AN3774">
        <v>44</v>
      </c>
      <c r="AP3774">
        <v>1</v>
      </c>
      <c r="AR3774" t="s">
        <v>3872</v>
      </c>
      <c r="AS3774" s="1">
        <v>44353.984027777777</v>
      </c>
      <c r="AT3774" s="1">
        <v>44353.988379629627</v>
      </c>
      <c r="AU3774" s="1">
        <v>44353.989108796297</v>
      </c>
      <c r="AV3774" t="s">
        <v>71</v>
      </c>
      <c r="AW3774" t="s">
        <v>72</v>
      </c>
      <c r="AX3774" t="s">
        <v>73</v>
      </c>
    </row>
    <row r="3775" spans="1:50" x14ac:dyDescent="0.3">
      <c r="A3775" t="str">
        <f>"200845B0000"</f>
        <v>200845B0000</v>
      </c>
      <c r="B3775" t="str">
        <f>"200845B00002"</f>
        <v>200845B00002</v>
      </c>
      <c r="C3775" t="str">
        <f t="shared" si="196"/>
        <v>20</v>
      </c>
      <c r="D3775" t="s">
        <v>67</v>
      </c>
      <c r="E3775" t="str">
        <f t="shared" ref="E3775:E3838" si="197">"017"</f>
        <v>017</v>
      </c>
      <c r="F3775" t="s">
        <v>3808</v>
      </c>
      <c r="G3775" t="str">
        <f>"0845"</f>
        <v>0845</v>
      </c>
      <c r="H3775" t="str">
        <f>"0000"</f>
        <v>0000</v>
      </c>
      <c r="I3775" t="s">
        <v>69</v>
      </c>
      <c r="J3775">
        <v>0</v>
      </c>
      <c r="K3775">
        <v>1</v>
      </c>
      <c r="L3775">
        <v>2</v>
      </c>
      <c r="M3775">
        <v>356</v>
      </c>
      <c r="N3775">
        <v>245</v>
      </c>
      <c r="O3775">
        <v>1</v>
      </c>
      <c r="P3775">
        <v>0</v>
      </c>
      <c r="Q3775">
        <v>9</v>
      </c>
      <c r="R3775">
        <v>122</v>
      </c>
      <c r="S3775">
        <v>2</v>
      </c>
      <c r="T3775">
        <v>1</v>
      </c>
      <c r="U3775">
        <v>20</v>
      </c>
      <c r="V3775">
        <v>5</v>
      </c>
      <c r="W3775">
        <v>1</v>
      </c>
      <c r="X3775">
        <v>54</v>
      </c>
      <c r="Y3775">
        <v>1</v>
      </c>
      <c r="Z3775">
        <v>1</v>
      </c>
      <c r="AA3775">
        <v>2</v>
      </c>
      <c r="AB3775">
        <v>5</v>
      </c>
      <c r="AD3775">
        <v>0</v>
      </c>
      <c r="AE3775">
        <v>1</v>
      </c>
      <c r="AF3775">
        <v>0</v>
      </c>
      <c r="AG3775">
        <v>0</v>
      </c>
      <c r="AH3775">
        <v>0</v>
      </c>
      <c r="AI3775">
        <v>0</v>
      </c>
      <c r="AJ3775">
        <v>21</v>
      </c>
      <c r="AK3775">
        <v>245</v>
      </c>
      <c r="AL3775">
        <v>245</v>
      </c>
      <c r="AM3775">
        <v>557</v>
      </c>
      <c r="AN3775">
        <v>44</v>
      </c>
      <c r="AP3775">
        <v>1</v>
      </c>
      <c r="AR3775" t="s">
        <v>3873</v>
      </c>
      <c r="AS3775" s="1">
        <v>44353.979166666664</v>
      </c>
      <c r="AT3775" s="1">
        <v>44353.981064814812</v>
      </c>
      <c r="AU3775" s="1">
        <v>44353.981666666667</v>
      </c>
      <c r="AV3775" t="s">
        <v>71</v>
      </c>
      <c r="AW3775" t="s">
        <v>72</v>
      </c>
      <c r="AX3775" t="s">
        <v>73</v>
      </c>
    </row>
    <row r="3776" spans="1:50" x14ac:dyDescent="0.3">
      <c r="A3776" t="str">
        <f>"200845C0100"</f>
        <v>200845C0100</v>
      </c>
      <c r="B3776" t="str">
        <f>"200845C01002"</f>
        <v>200845C01002</v>
      </c>
      <c r="C3776" t="str">
        <f t="shared" si="196"/>
        <v>20</v>
      </c>
      <c r="D3776" t="s">
        <v>67</v>
      </c>
      <c r="E3776" t="str">
        <f t="shared" si="197"/>
        <v>017</v>
      </c>
      <c r="F3776" t="s">
        <v>3808</v>
      </c>
      <c r="G3776" t="str">
        <f>"0845"</f>
        <v>0845</v>
      </c>
      <c r="H3776" t="str">
        <f>"0001"</f>
        <v>0001</v>
      </c>
      <c r="I3776" t="s">
        <v>75</v>
      </c>
      <c r="J3776">
        <v>0</v>
      </c>
      <c r="K3776">
        <v>1</v>
      </c>
      <c r="L3776">
        <v>2</v>
      </c>
      <c r="M3776">
        <v>354</v>
      </c>
      <c r="N3776">
        <v>245</v>
      </c>
      <c r="O3776">
        <v>2</v>
      </c>
      <c r="P3776">
        <v>245</v>
      </c>
      <c r="Q3776">
        <v>8</v>
      </c>
      <c r="R3776">
        <v>131</v>
      </c>
      <c r="S3776">
        <v>2</v>
      </c>
      <c r="T3776">
        <v>1</v>
      </c>
      <c r="U3776">
        <v>24</v>
      </c>
      <c r="V3776">
        <v>2</v>
      </c>
      <c r="W3776">
        <v>1</v>
      </c>
      <c r="X3776">
        <v>55</v>
      </c>
      <c r="Y3776">
        <v>1</v>
      </c>
      <c r="Z3776">
        <v>1</v>
      </c>
      <c r="AA3776">
        <v>1</v>
      </c>
      <c r="AB3776">
        <v>3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15</v>
      </c>
      <c r="AK3776">
        <v>245</v>
      </c>
      <c r="AL3776">
        <v>245</v>
      </c>
      <c r="AM3776">
        <v>556</v>
      </c>
      <c r="AN3776">
        <v>44</v>
      </c>
      <c r="AP3776">
        <v>1</v>
      </c>
      <c r="AR3776" t="s">
        <v>3874</v>
      </c>
      <c r="AS3776" s="1">
        <v>44353.984027777777</v>
      </c>
      <c r="AT3776" s="1">
        <v>44353.986655092594</v>
      </c>
      <c r="AU3776" s="1">
        <v>44353.987210648149</v>
      </c>
      <c r="AV3776" t="s">
        <v>71</v>
      </c>
      <c r="AW3776" t="s">
        <v>72</v>
      </c>
      <c r="AX3776" t="s">
        <v>73</v>
      </c>
    </row>
    <row r="3777" spans="1:50" x14ac:dyDescent="0.3">
      <c r="A3777" t="str">
        <f>"200894B0000"</f>
        <v>200894B0000</v>
      </c>
      <c r="B3777" t="str">
        <f>"200894B00002"</f>
        <v>200894B00002</v>
      </c>
      <c r="C3777" t="str">
        <f t="shared" si="196"/>
        <v>20</v>
      </c>
      <c r="D3777" t="s">
        <v>67</v>
      </c>
      <c r="E3777" t="str">
        <f t="shared" si="197"/>
        <v>017</v>
      </c>
      <c r="F3777" t="s">
        <v>3808</v>
      </c>
      <c r="G3777" t="str">
        <f>"0894"</f>
        <v>0894</v>
      </c>
      <c r="H3777" t="str">
        <f>"0000"</f>
        <v>0000</v>
      </c>
      <c r="I3777" t="s">
        <v>69</v>
      </c>
      <c r="J3777">
        <v>0</v>
      </c>
      <c r="K3777">
        <v>1</v>
      </c>
      <c r="L3777">
        <v>2</v>
      </c>
      <c r="M3777">
        <v>365</v>
      </c>
      <c r="N3777">
        <v>217</v>
      </c>
      <c r="O3777">
        <v>0</v>
      </c>
      <c r="P3777">
        <v>217</v>
      </c>
      <c r="Q3777">
        <v>11</v>
      </c>
      <c r="R3777">
        <v>95</v>
      </c>
      <c r="S3777">
        <v>5</v>
      </c>
      <c r="T3777">
        <v>5</v>
      </c>
      <c r="U3777">
        <v>50</v>
      </c>
      <c r="V3777">
        <v>3</v>
      </c>
      <c r="W3777">
        <v>1</v>
      </c>
      <c r="X3777">
        <v>23</v>
      </c>
      <c r="Y3777">
        <v>8</v>
      </c>
      <c r="Z3777">
        <v>1</v>
      </c>
      <c r="AA3777">
        <v>2</v>
      </c>
      <c r="AB3777">
        <v>1</v>
      </c>
      <c r="AD3777">
        <v>0</v>
      </c>
      <c r="AE3777">
        <v>3</v>
      </c>
      <c r="AF3777">
        <v>0</v>
      </c>
      <c r="AG3777">
        <v>1</v>
      </c>
      <c r="AH3777">
        <v>0</v>
      </c>
      <c r="AI3777">
        <v>0</v>
      </c>
      <c r="AJ3777">
        <v>8</v>
      </c>
      <c r="AK3777">
        <v>217</v>
      </c>
      <c r="AL3777">
        <v>217</v>
      </c>
      <c r="AM3777">
        <v>538</v>
      </c>
      <c r="AN3777">
        <v>44</v>
      </c>
      <c r="AP3777">
        <v>1</v>
      </c>
      <c r="AR3777" t="s">
        <v>3875</v>
      </c>
      <c r="AS3777" s="1">
        <v>44354.558333333334</v>
      </c>
      <c r="AT3777" s="1">
        <v>44354.561168981483</v>
      </c>
      <c r="AU3777" s="1">
        <v>44354.561516203707</v>
      </c>
      <c r="AV3777" t="s">
        <v>71</v>
      </c>
      <c r="AW3777" t="s">
        <v>72</v>
      </c>
      <c r="AX3777" t="s">
        <v>73</v>
      </c>
    </row>
    <row r="3778" spans="1:50" x14ac:dyDescent="0.3">
      <c r="A3778" t="str">
        <f>"200894C0100"</f>
        <v>200894C0100</v>
      </c>
      <c r="B3778" t="str">
        <f>"200894C01002"</f>
        <v>200894C01002</v>
      </c>
      <c r="C3778" t="str">
        <f t="shared" si="196"/>
        <v>20</v>
      </c>
      <c r="D3778" t="s">
        <v>67</v>
      </c>
      <c r="E3778" t="str">
        <f t="shared" si="197"/>
        <v>017</v>
      </c>
      <c r="F3778" t="s">
        <v>3808</v>
      </c>
      <c r="G3778" t="str">
        <f>"0894"</f>
        <v>0894</v>
      </c>
      <c r="H3778" t="str">
        <f>"0001"</f>
        <v>0001</v>
      </c>
      <c r="I3778" t="s">
        <v>75</v>
      </c>
      <c r="J3778">
        <v>0</v>
      </c>
      <c r="K3778">
        <v>1</v>
      </c>
      <c r="L3778">
        <v>2</v>
      </c>
      <c r="M3778">
        <v>362</v>
      </c>
      <c r="N3778">
        <v>219</v>
      </c>
      <c r="O3778">
        <v>0</v>
      </c>
      <c r="P3778">
        <v>219</v>
      </c>
      <c r="Q3778">
        <v>16</v>
      </c>
      <c r="R3778">
        <v>89</v>
      </c>
      <c r="S3778">
        <v>6</v>
      </c>
      <c r="T3778">
        <v>4</v>
      </c>
      <c r="U3778">
        <v>39</v>
      </c>
      <c r="V3778">
        <v>5</v>
      </c>
      <c r="W3778">
        <v>0</v>
      </c>
      <c r="X3778">
        <v>37</v>
      </c>
      <c r="Y3778">
        <v>2</v>
      </c>
      <c r="Z3778">
        <v>1</v>
      </c>
      <c r="AA3778">
        <v>2</v>
      </c>
      <c r="AB3778">
        <v>3</v>
      </c>
      <c r="AD3778">
        <v>1</v>
      </c>
      <c r="AE3778">
        <v>0</v>
      </c>
      <c r="AF3778">
        <v>0</v>
      </c>
      <c r="AG3778">
        <v>1</v>
      </c>
      <c r="AH3778">
        <v>0</v>
      </c>
      <c r="AI3778">
        <v>0</v>
      </c>
      <c r="AJ3778">
        <v>13</v>
      </c>
      <c r="AK3778">
        <v>219</v>
      </c>
      <c r="AL3778">
        <v>219</v>
      </c>
      <c r="AM3778">
        <v>537</v>
      </c>
      <c r="AN3778">
        <v>44</v>
      </c>
      <c r="AP3778">
        <v>1</v>
      </c>
      <c r="AR3778" t="s">
        <v>3876</v>
      </c>
      <c r="AS3778" s="1">
        <v>44354.560416666667</v>
      </c>
      <c r="AT3778" s="1">
        <v>44354.563657407409</v>
      </c>
      <c r="AU3778" s="1">
        <v>44354.564432870371</v>
      </c>
      <c r="AV3778" t="s">
        <v>71</v>
      </c>
      <c r="AW3778" t="s">
        <v>72</v>
      </c>
      <c r="AX3778" t="s">
        <v>73</v>
      </c>
    </row>
    <row r="3779" spans="1:50" x14ac:dyDescent="0.3">
      <c r="A3779" t="str">
        <f>"200895B0000"</f>
        <v>200895B0000</v>
      </c>
      <c r="B3779" t="str">
        <f>"200895B00002"</f>
        <v>200895B00002</v>
      </c>
      <c r="C3779" t="str">
        <f t="shared" si="196"/>
        <v>20</v>
      </c>
      <c r="D3779" t="s">
        <v>67</v>
      </c>
      <c r="E3779" t="str">
        <f t="shared" si="197"/>
        <v>017</v>
      </c>
      <c r="F3779" t="s">
        <v>3808</v>
      </c>
      <c r="G3779" t="str">
        <f>"0895"</f>
        <v>0895</v>
      </c>
      <c r="H3779" t="str">
        <f>"0000"</f>
        <v>0000</v>
      </c>
      <c r="I3779" t="s">
        <v>69</v>
      </c>
      <c r="J3779">
        <v>0</v>
      </c>
      <c r="K3779">
        <v>1</v>
      </c>
      <c r="L3779">
        <v>2</v>
      </c>
      <c r="M3779">
        <v>290</v>
      </c>
      <c r="N3779">
        <v>188</v>
      </c>
      <c r="O3779">
        <v>1</v>
      </c>
      <c r="P3779">
        <v>188</v>
      </c>
      <c r="Q3779">
        <v>11</v>
      </c>
      <c r="R3779">
        <v>47</v>
      </c>
      <c r="S3779">
        <v>4</v>
      </c>
      <c r="T3779">
        <v>8</v>
      </c>
      <c r="U3779">
        <v>41</v>
      </c>
      <c r="V3779">
        <v>3</v>
      </c>
      <c r="W3779">
        <v>0</v>
      </c>
      <c r="X3779">
        <v>54</v>
      </c>
      <c r="Y3779">
        <v>4</v>
      </c>
      <c r="Z3779">
        <v>4</v>
      </c>
      <c r="AA3779">
        <v>4</v>
      </c>
      <c r="AB3779">
        <v>1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7</v>
      </c>
      <c r="AK3779">
        <v>188</v>
      </c>
      <c r="AL3779">
        <v>188</v>
      </c>
      <c r="AM3779">
        <v>434</v>
      </c>
      <c r="AN3779">
        <v>44</v>
      </c>
      <c r="AP3779">
        <v>1</v>
      </c>
      <c r="AR3779" t="s">
        <v>3877</v>
      </c>
      <c r="AS3779" s="1">
        <v>44354.563194444447</v>
      </c>
      <c r="AT3779" s="1">
        <v>44354.566319444442</v>
      </c>
      <c r="AU3779" s="1">
        <v>44354.567280092589</v>
      </c>
      <c r="AV3779" t="s">
        <v>71</v>
      </c>
      <c r="AW3779" t="s">
        <v>72</v>
      </c>
      <c r="AX3779" t="s">
        <v>73</v>
      </c>
    </row>
    <row r="3780" spans="1:50" x14ac:dyDescent="0.3">
      <c r="A3780" t="str">
        <f>"200895E0100"</f>
        <v>200895E0100</v>
      </c>
      <c r="B3780" t="str">
        <f>"200895E01002"</f>
        <v>200895E01002</v>
      </c>
      <c r="C3780" t="str">
        <f t="shared" si="196"/>
        <v>20</v>
      </c>
      <c r="D3780" t="s">
        <v>67</v>
      </c>
      <c r="E3780" t="str">
        <f t="shared" si="197"/>
        <v>017</v>
      </c>
      <c r="F3780" t="s">
        <v>3808</v>
      </c>
      <c r="G3780" t="str">
        <f>"0895"</f>
        <v>0895</v>
      </c>
      <c r="H3780" t="str">
        <f>"0001"</f>
        <v>0001</v>
      </c>
      <c r="I3780" t="s">
        <v>109</v>
      </c>
      <c r="J3780">
        <v>0</v>
      </c>
      <c r="K3780">
        <v>1</v>
      </c>
      <c r="L3780">
        <v>2</v>
      </c>
      <c r="M3780">
        <v>263</v>
      </c>
      <c r="N3780">
        <v>199</v>
      </c>
      <c r="O3780">
        <v>0</v>
      </c>
      <c r="P3780">
        <v>199</v>
      </c>
      <c r="Q3780">
        <v>5</v>
      </c>
      <c r="R3780">
        <v>37</v>
      </c>
      <c r="S3780">
        <v>2</v>
      </c>
      <c r="T3780">
        <v>6</v>
      </c>
      <c r="U3780">
        <v>89</v>
      </c>
      <c r="V3780">
        <v>2</v>
      </c>
      <c r="W3780">
        <v>2</v>
      </c>
      <c r="X3780">
        <v>29</v>
      </c>
      <c r="Y3780">
        <v>8</v>
      </c>
      <c r="Z3780">
        <v>6</v>
      </c>
      <c r="AA3780">
        <v>2</v>
      </c>
      <c r="AB3780">
        <v>2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9</v>
      </c>
      <c r="AK3780">
        <v>199</v>
      </c>
      <c r="AL3780">
        <v>199</v>
      </c>
      <c r="AM3780">
        <v>418</v>
      </c>
      <c r="AN3780">
        <v>44</v>
      </c>
      <c r="AP3780">
        <v>1</v>
      </c>
      <c r="AR3780" t="s">
        <v>3878</v>
      </c>
      <c r="AS3780" s="1">
        <v>44354.565972222219</v>
      </c>
      <c r="AT3780" s="1">
        <v>44354.568090277775</v>
      </c>
      <c r="AU3780" s="1">
        <v>44354.568726851852</v>
      </c>
      <c r="AV3780" t="s">
        <v>71</v>
      </c>
      <c r="AW3780" t="s">
        <v>72</v>
      </c>
      <c r="AX3780" t="s">
        <v>73</v>
      </c>
    </row>
    <row r="3781" spans="1:50" x14ac:dyDescent="0.3">
      <c r="A3781" t="str">
        <f>"200931B0000"</f>
        <v>200931B0000</v>
      </c>
      <c r="B3781" t="str">
        <f>"200931B00002"</f>
        <v>200931B00002</v>
      </c>
      <c r="C3781" t="str">
        <f t="shared" si="196"/>
        <v>20</v>
      </c>
      <c r="D3781" t="s">
        <v>67</v>
      </c>
      <c r="E3781" t="str">
        <f t="shared" si="197"/>
        <v>017</v>
      </c>
      <c r="F3781" t="s">
        <v>3808</v>
      </c>
      <c r="G3781" t="str">
        <f>"0931"</f>
        <v>0931</v>
      </c>
      <c r="H3781" t="str">
        <f>"0000"</f>
        <v>0000</v>
      </c>
      <c r="I3781" t="s">
        <v>69</v>
      </c>
      <c r="J3781">
        <v>0</v>
      </c>
      <c r="K3781">
        <v>1</v>
      </c>
      <c r="L3781">
        <v>2</v>
      </c>
      <c r="M3781">
        <v>429</v>
      </c>
      <c r="N3781">
        <v>287</v>
      </c>
      <c r="O3781">
        <v>6</v>
      </c>
      <c r="P3781">
        <v>287</v>
      </c>
      <c r="Q3781">
        <v>7</v>
      </c>
      <c r="R3781">
        <v>133</v>
      </c>
      <c r="S3781">
        <v>32</v>
      </c>
      <c r="T3781">
        <v>4</v>
      </c>
      <c r="U3781">
        <v>13</v>
      </c>
      <c r="V3781">
        <v>1</v>
      </c>
      <c r="W3781">
        <v>7</v>
      </c>
      <c r="X3781">
        <v>73</v>
      </c>
      <c r="Y3781">
        <v>0</v>
      </c>
      <c r="Z3781">
        <v>2</v>
      </c>
      <c r="AA3781">
        <v>1</v>
      </c>
      <c r="AB3781">
        <v>3</v>
      </c>
      <c r="AD3781">
        <v>1</v>
      </c>
      <c r="AE3781">
        <v>0</v>
      </c>
      <c r="AF3781">
        <v>0</v>
      </c>
      <c r="AG3781">
        <v>1</v>
      </c>
      <c r="AH3781">
        <v>0</v>
      </c>
      <c r="AI3781">
        <v>0</v>
      </c>
      <c r="AJ3781">
        <v>9</v>
      </c>
      <c r="AK3781">
        <v>287</v>
      </c>
      <c r="AL3781">
        <v>287</v>
      </c>
      <c r="AM3781">
        <v>672</v>
      </c>
      <c r="AN3781">
        <v>44</v>
      </c>
      <c r="AP3781">
        <v>1</v>
      </c>
      <c r="AR3781" t="s">
        <v>3879</v>
      </c>
      <c r="AS3781" s="1">
        <v>44354.15347222222</v>
      </c>
      <c r="AT3781" s="1">
        <v>44354.158807870372</v>
      </c>
      <c r="AU3781" s="1">
        <v>44354.159629629627</v>
      </c>
      <c r="AV3781" t="s">
        <v>71</v>
      </c>
      <c r="AW3781" t="s">
        <v>72</v>
      </c>
      <c r="AX3781" t="s">
        <v>73</v>
      </c>
    </row>
    <row r="3782" spans="1:50" x14ac:dyDescent="0.3">
      <c r="A3782" t="str">
        <f>"200931C0100"</f>
        <v>200931C0100</v>
      </c>
      <c r="B3782" t="str">
        <f>"200931C01002"</f>
        <v>200931C01002</v>
      </c>
      <c r="C3782" t="str">
        <f t="shared" si="196"/>
        <v>20</v>
      </c>
      <c r="D3782" t="s">
        <v>67</v>
      </c>
      <c r="E3782" t="str">
        <f t="shared" si="197"/>
        <v>017</v>
      </c>
      <c r="F3782" t="s">
        <v>3808</v>
      </c>
      <c r="G3782" t="str">
        <f>"0931"</f>
        <v>0931</v>
      </c>
      <c r="H3782" t="str">
        <f>"0001"</f>
        <v>0001</v>
      </c>
      <c r="I3782" t="s">
        <v>75</v>
      </c>
      <c r="J3782">
        <v>0</v>
      </c>
      <c r="K3782">
        <v>1</v>
      </c>
      <c r="L3782">
        <v>2</v>
      </c>
      <c r="M3782">
        <v>426</v>
      </c>
      <c r="N3782">
        <v>290</v>
      </c>
      <c r="O3782">
        <v>3</v>
      </c>
      <c r="P3782">
        <v>290</v>
      </c>
      <c r="Q3782">
        <v>8</v>
      </c>
      <c r="R3782">
        <v>128</v>
      </c>
      <c r="S3782">
        <v>37</v>
      </c>
      <c r="T3782">
        <v>6</v>
      </c>
      <c r="U3782">
        <v>13</v>
      </c>
      <c r="V3782">
        <v>4</v>
      </c>
      <c r="W3782">
        <v>6</v>
      </c>
      <c r="X3782">
        <v>79</v>
      </c>
      <c r="Y3782">
        <v>0</v>
      </c>
      <c r="Z3782">
        <v>1</v>
      </c>
      <c r="AA3782">
        <v>0</v>
      </c>
      <c r="AB3782">
        <v>2</v>
      </c>
      <c r="AD3782">
        <v>2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4</v>
      </c>
      <c r="AK3782">
        <v>290</v>
      </c>
      <c r="AL3782">
        <v>290</v>
      </c>
      <c r="AM3782">
        <v>672</v>
      </c>
      <c r="AN3782">
        <v>44</v>
      </c>
      <c r="AP3782">
        <v>1</v>
      </c>
      <c r="AR3782" t="s">
        <v>3880</v>
      </c>
      <c r="AS3782" s="1">
        <v>44354.15347222222</v>
      </c>
      <c r="AT3782" s="1">
        <v>44354.157384259262</v>
      </c>
      <c r="AU3782" s="1">
        <v>44354.158391203702</v>
      </c>
      <c r="AV3782" t="s">
        <v>71</v>
      </c>
      <c r="AW3782" t="s">
        <v>72</v>
      </c>
      <c r="AX3782" t="s">
        <v>73</v>
      </c>
    </row>
    <row r="3783" spans="1:50" x14ac:dyDescent="0.3">
      <c r="A3783" t="str">
        <f>"200934B0000"</f>
        <v>200934B0000</v>
      </c>
      <c r="B3783" t="str">
        <f>"200934B00002"</f>
        <v>200934B00002</v>
      </c>
      <c r="C3783" t="str">
        <f t="shared" ref="C3783:C3846" si="198">"20"</f>
        <v>20</v>
      </c>
      <c r="D3783" t="s">
        <v>67</v>
      </c>
      <c r="E3783" t="str">
        <f t="shared" si="197"/>
        <v>017</v>
      </c>
      <c r="F3783" t="s">
        <v>3808</v>
      </c>
      <c r="G3783" t="str">
        <f>"0934"</f>
        <v>0934</v>
      </c>
      <c r="H3783" t="str">
        <f>"0000"</f>
        <v>0000</v>
      </c>
      <c r="I3783" t="s">
        <v>69</v>
      </c>
      <c r="J3783">
        <v>0</v>
      </c>
      <c r="K3783">
        <v>1</v>
      </c>
      <c r="L3783">
        <v>2</v>
      </c>
      <c r="M3783">
        <v>388</v>
      </c>
      <c r="N3783">
        <v>224</v>
      </c>
      <c r="O3783">
        <v>0</v>
      </c>
      <c r="P3783">
        <v>224</v>
      </c>
      <c r="Q3783">
        <v>3</v>
      </c>
      <c r="R3783">
        <v>28</v>
      </c>
      <c r="S3783">
        <v>4</v>
      </c>
      <c r="T3783">
        <v>4</v>
      </c>
      <c r="U3783">
        <v>34</v>
      </c>
      <c r="V3783">
        <v>1</v>
      </c>
      <c r="W3783">
        <v>1</v>
      </c>
      <c r="X3783">
        <v>131</v>
      </c>
      <c r="Y3783">
        <v>1</v>
      </c>
      <c r="Z3783">
        <v>1</v>
      </c>
      <c r="AA3783">
        <v>1</v>
      </c>
      <c r="AB3783">
        <v>2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13</v>
      </c>
      <c r="AK3783">
        <v>224</v>
      </c>
      <c r="AL3783">
        <v>224</v>
      </c>
      <c r="AM3783">
        <v>586</v>
      </c>
      <c r="AN3783">
        <v>44</v>
      </c>
      <c r="AP3783">
        <v>1</v>
      </c>
      <c r="AR3783" t="s">
        <v>3881</v>
      </c>
      <c r="AS3783" s="1">
        <v>44353.897222222222</v>
      </c>
      <c r="AT3783" s="1">
        <v>44353.899953703702</v>
      </c>
      <c r="AU3783" s="1">
        <v>44353.900787037041</v>
      </c>
      <c r="AV3783" t="s">
        <v>71</v>
      </c>
      <c r="AW3783" t="s">
        <v>72</v>
      </c>
      <c r="AX3783" t="s">
        <v>73</v>
      </c>
    </row>
    <row r="3784" spans="1:50" x14ac:dyDescent="0.3">
      <c r="A3784" t="str">
        <f>"200934C0100"</f>
        <v>200934C0100</v>
      </c>
      <c r="B3784" t="str">
        <f>"200934C01002"</f>
        <v>200934C01002</v>
      </c>
      <c r="C3784" t="str">
        <f t="shared" si="198"/>
        <v>20</v>
      </c>
      <c r="D3784" t="s">
        <v>67</v>
      </c>
      <c r="E3784" t="str">
        <f t="shared" si="197"/>
        <v>017</v>
      </c>
      <c r="F3784" t="s">
        <v>3808</v>
      </c>
      <c r="G3784" t="str">
        <f>"0934"</f>
        <v>0934</v>
      </c>
      <c r="H3784" t="str">
        <f>"0001"</f>
        <v>0001</v>
      </c>
      <c r="I3784" t="s">
        <v>75</v>
      </c>
      <c r="J3784">
        <v>0</v>
      </c>
      <c r="K3784">
        <v>1</v>
      </c>
      <c r="L3784">
        <v>2</v>
      </c>
      <c r="M3784">
        <v>409</v>
      </c>
      <c r="N3784">
        <v>219</v>
      </c>
      <c r="O3784">
        <v>0</v>
      </c>
      <c r="P3784">
        <v>219</v>
      </c>
      <c r="Q3784">
        <v>7</v>
      </c>
      <c r="R3784">
        <v>26</v>
      </c>
      <c r="S3784">
        <v>2</v>
      </c>
      <c r="T3784">
        <v>5</v>
      </c>
      <c r="U3784">
        <v>19</v>
      </c>
      <c r="V3784">
        <v>4</v>
      </c>
      <c r="W3784">
        <v>2</v>
      </c>
      <c r="X3784">
        <v>139</v>
      </c>
      <c r="Y3784">
        <v>0</v>
      </c>
      <c r="Z3784">
        <v>1</v>
      </c>
      <c r="AA3784">
        <v>2</v>
      </c>
      <c r="AB3784">
        <v>3</v>
      </c>
      <c r="AD3784">
        <v>1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8</v>
      </c>
      <c r="AK3784">
        <v>219</v>
      </c>
      <c r="AL3784">
        <v>219</v>
      </c>
      <c r="AM3784">
        <v>585</v>
      </c>
      <c r="AN3784">
        <v>44</v>
      </c>
      <c r="AP3784">
        <v>1</v>
      </c>
      <c r="AR3784" t="s">
        <v>3882</v>
      </c>
      <c r="AS3784" s="1">
        <v>44353.783333333333</v>
      </c>
      <c r="AT3784" s="1">
        <v>44353.910034722219</v>
      </c>
      <c r="AU3784" s="1">
        <v>44353.910775462966</v>
      </c>
      <c r="AV3784" t="s">
        <v>71</v>
      </c>
      <c r="AW3784" t="s">
        <v>72</v>
      </c>
      <c r="AX3784" t="s">
        <v>73</v>
      </c>
    </row>
    <row r="3785" spans="1:50" x14ac:dyDescent="0.3">
      <c r="A3785" t="str">
        <f>"200935B0000"</f>
        <v>200935B0000</v>
      </c>
      <c r="B3785" t="str">
        <f>"200935B00002"</f>
        <v>200935B00002</v>
      </c>
      <c r="C3785" t="str">
        <f t="shared" si="198"/>
        <v>20</v>
      </c>
      <c r="D3785" t="s">
        <v>67</v>
      </c>
      <c r="E3785" t="str">
        <f t="shared" si="197"/>
        <v>017</v>
      </c>
      <c r="F3785" t="s">
        <v>3808</v>
      </c>
      <c r="G3785" t="str">
        <f>"0935"</f>
        <v>0935</v>
      </c>
      <c r="H3785" t="str">
        <f>"0000"</f>
        <v>0000</v>
      </c>
      <c r="I3785" t="s">
        <v>69</v>
      </c>
      <c r="J3785">
        <v>0</v>
      </c>
      <c r="K3785">
        <v>1</v>
      </c>
      <c r="L3785">
        <v>2</v>
      </c>
      <c r="M3785">
        <v>287</v>
      </c>
      <c r="N3785">
        <v>434</v>
      </c>
      <c r="O3785">
        <v>0</v>
      </c>
      <c r="P3785">
        <v>147</v>
      </c>
      <c r="Q3785">
        <v>4</v>
      </c>
      <c r="R3785">
        <v>30</v>
      </c>
      <c r="S3785">
        <v>3</v>
      </c>
      <c r="T3785">
        <v>1</v>
      </c>
      <c r="U3785">
        <v>7</v>
      </c>
      <c r="V3785">
        <v>4</v>
      </c>
      <c r="W3785">
        <v>2</v>
      </c>
      <c r="X3785">
        <v>90</v>
      </c>
      <c r="Y3785">
        <v>0</v>
      </c>
      <c r="Z3785">
        <v>0</v>
      </c>
      <c r="AA3785">
        <v>0</v>
      </c>
      <c r="AB3785">
        <v>0</v>
      </c>
      <c r="AD3785">
        <v>1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5</v>
      </c>
      <c r="AK3785">
        <v>147</v>
      </c>
      <c r="AL3785">
        <v>147</v>
      </c>
      <c r="AM3785">
        <v>391</v>
      </c>
      <c r="AN3785">
        <v>44</v>
      </c>
      <c r="AP3785">
        <v>1</v>
      </c>
      <c r="AR3785" t="s">
        <v>3883</v>
      </c>
      <c r="AS3785" s="1">
        <v>44353.90347222222</v>
      </c>
      <c r="AT3785" s="1">
        <v>44353.905671296299</v>
      </c>
      <c r="AU3785" s="1">
        <v>44353.906458333331</v>
      </c>
      <c r="AV3785" t="s">
        <v>71</v>
      </c>
      <c r="AW3785" t="s">
        <v>72</v>
      </c>
      <c r="AX3785" t="s">
        <v>73</v>
      </c>
    </row>
    <row r="3786" spans="1:50" x14ac:dyDescent="0.3">
      <c r="A3786" t="str">
        <f>"200935C0100"</f>
        <v>200935C0100</v>
      </c>
      <c r="B3786" t="str">
        <f>"200935C01002"</f>
        <v>200935C01002</v>
      </c>
      <c r="C3786" t="str">
        <f t="shared" si="198"/>
        <v>20</v>
      </c>
      <c r="D3786" t="s">
        <v>67</v>
      </c>
      <c r="E3786" t="str">
        <f t="shared" si="197"/>
        <v>017</v>
      </c>
      <c r="F3786" t="s">
        <v>3808</v>
      </c>
      <c r="G3786" t="str">
        <f>"0935"</f>
        <v>0935</v>
      </c>
      <c r="H3786" t="str">
        <f>"0001"</f>
        <v>0001</v>
      </c>
      <c r="I3786" t="s">
        <v>75</v>
      </c>
      <c r="J3786">
        <v>0</v>
      </c>
      <c r="K3786">
        <v>1</v>
      </c>
      <c r="L3786">
        <v>2</v>
      </c>
      <c r="M3786">
        <v>293</v>
      </c>
      <c r="N3786">
        <v>141</v>
      </c>
      <c r="O3786">
        <v>0</v>
      </c>
      <c r="P3786">
        <v>141</v>
      </c>
      <c r="Q3786">
        <v>6</v>
      </c>
      <c r="R3786">
        <v>24</v>
      </c>
      <c r="S3786">
        <v>2</v>
      </c>
      <c r="T3786">
        <v>2</v>
      </c>
      <c r="U3786">
        <v>8</v>
      </c>
      <c r="V3786">
        <v>1</v>
      </c>
      <c r="W3786">
        <v>2</v>
      </c>
      <c r="X3786">
        <v>83</v>
      </c>
      <c r="Y3786">
        <v>0</v>
      </c>
      <c r="Z3786">
        <v>0</v>
      </c>
      <c r="AA3786">
        <v>1</v>
      </c>
      <c r="AB3786">
        <v>3</v>
      </c>
      <c r="AD3786">
        <v>0</v>
      </c>
      <c r="AE3786">
        <v>1</v>
      </c>
      <c r="AF3786">
        <v>0</v>
      </c>
      <c r="AG3786">
        <v>0</v>
      </c>
      <c r="AH3786">
        <v>0</v>
      </c>
      <c r="AI3786">
        <v>0</v>
      </c>
      <c r="AJ3786">
        <v>8</v>
      </c>
      <c r="AK3786">
        <v>141</v>
      </c>
      <c r="AL3786">
        <v>141</v>
      </c>
      <c r="AM3786">
        <v>390</v>
      </c>
      <c r="AN3786">
        <v>44</v>
      </c>
      <c r="AP3786">
        <v>1</v>
      </c>
      <c r="AR3786" t="s">
        <v>3884</v>
      </c>
      <c r="AS3786" s="1">
        <v>44353.906944444447</v>
      </c>
      <c r="AT3786" s="1">
        <v>44353.909074074072</v>
      </c>
      <c r="AU3786" s="1">
        <v>44353.909756944442</v>
      </c>
      <c r="AV3786" t="s">
        <v>71</v>
      </c>
      <c r="AW3786" t="s">
        <v>72</v>
      </c>
      <c r="AX3786" t="s">
        <v>73</v>
      </c>
    </row>
    <row r="3787" spans="1:50" x14ac:dyDescent="0.3">
      <c r="A3787" t="str">
        <f>"200936B0000"</f>
        <v>200936B0000</v>
      </c>
      <c r="B3787" t="str">
        <f>"200936B00002"</f>
        <v>200936B00002</v>
      </c>
      <c r="C3787" t="str">
        <f t="shared" si="198"/>
        <v>20</v>
      </c>
      <c r="D3787" t="s">
        <v>67</v>
      </c>
      <c r="E3787" t="str">
        <f t="shared" si="197"/>
        <v>017</v>
      </c>
      <c r="F3787" t="s">
        <v>3808</v>
      </c>
      <c r="G3787" t="str">
        <f>"0936"</f>
        <v>0936</v>
      </c>
      <c r="H3787" t="str">
        <f>"0000"</f>
        <v>0000</v>
      </c>
      <c r="I3787" t="s">
        <v>69</v>
      </c>
      <c r="J3787">
        <v>0</v>
      </c>
      <c r="K3787">
        <v>1</v>
      </c>
      <c r="L3787">
        <v>2</v>
      </c>
      <c r="M3787">
        <v>440</v>
      </c>
      <c r="N3787">
        <v>285</v>
      </c>
      <c r="O3787">
        <v>0</v>
      </c>
      <c r="P3787">
        <v>285</v>
      </c>
      <c r="Q3787">
        <v>14</v>
      </c>
      <c r="R3787">
        <v>61</v>
      </c>
      <c r="S3787">
        <v>4</v>
      </c>
      <c r="T3787">
        <v>4</v>
      </c>
      <c r="U3787">
        <v>23</v>
      </c>
      <c r="V3787">
        <v>4</v>
      </c>
      <c r="W3787">
        <v>0</v>
      </c>
      <c r="X3787">
        <v>153</v>
      </c>
      <c r="Y3787">
        <v>0</v>
      </c>
      <c r="Z3787">
        <v>5</v>
      </c>
      <c r="AA3787">
        <v>1</v>
      </c>
      <c r="AB3787">
        <v>4</v>
      </c>
      <c r="AD3787">
        <v>1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11</v>
      </c>
      <c r="AK3787">
        <v>285</v>
      </c>
      <c r="AL3787">
        <v>285</v>
      </c>
      <c r="AM3787">
        <v>681</v>
      </c>
      <c r="AN3787">
        <v>44</v>
      </c>
      <c r="AP3787">
        <v>1</v>
      </c>
      <c r="AR3787" t="s">
        <v>3885</v>
      </c>
      <c r="AS3787" s="1">
        <v>44353.940972222219</v>
      </c>
      <c r="AT3787" s="1">
        <v>44353.944814814815</v>
      </c>
      <c r="AU3787" s="1">
        <v>44353.945729166669</v>
      </c>
      <c r="AV3787" t="s">
        <v>71</v>
      </c>
      <c r="AW3787" t="s">
        <v>72</v>
      </c>
      <c r="AX3787" t="s">
        <v>73</v>
      </c>
    </row>
    <row r="3788" spans="1:50" x14ac:dyDescent="0.3">
      <c r="A3788" t="str">
        <f>"200936C0100"</f>
        <v>200936C0100</v>
      </c>
      <c r="B3788" t="str">
        <f>"200936C01002"</f>
        <v>200936C01002</v>
      </c>
      <c r="C3788" t="str">
        <f t="shared" si="198"/>
        <v>20</v>
      </c>
      <c r="D3788" t="s">
        <v>67</v>
      </c>
      <c r="E3788" t="str">
        <f t="shared" si="197"/>
        <v>017</v>
      </c>
      <c r="F3788" t="s">
        <v>3808</v>
      </c>
      <c r="G3788" t="str">
        <f>"0936"</f>
        <v>0936</v>
      </c>
      <c r="H3788" t="str">
        <f>"0001"</f>
        <v>0001</v>
      </c>
      <c r="I3788" t="s">
        <v>75</v>
      </c>
      <c r="J3788">
        <v>0</v>
      </c>
      <c r="K3788">
        <v>1</v>
      </c>
      <c r="L3788">
        <v>2</v>
      </c>
      <c r="M3788">
        <v>437</v>
      </c>
      <c r="N3788">
        <v>288</v>
      </c>
      <c r="O3788">
        <v>0</v>
      </c>
      <c r="P3788">
        <v>288</v>
      </c>
      <c r="Q3788">
        <v>17</v>
      </c>
      <c r="R3788">
        <v>70</v>
      </c>
      <c r="S3788">
        <v>2</v>
      </c>
      <c r="T3788">
        <v>2</v>
      </c>
      <c r="U3788">
        <v>19</v>
      </c>
      <c r="V3788">
        <v>1</v>
      </c>
      <c r="W3788">
        <v>1</v>
      </c>
      <c r="X3788">
        <v>157</v>
      </c>
      <c r="Y3788">
        <v>1</v>
      </c>
      <c r="Z3788">
        <v>1</v>
      </c>
      <c r="AA3788">
        <v>0</v>
      </c>
      <c r="AB3788">
        <v>4</v>
      </c>
      <c r="AD3788">
        <v>1</v>
      </c>
      <c r="AE3788">
        <v>3</v>
      </c>
      <c r="AF3788">
        <v>0</v>
      </c>
      <c r="AG3788">
        <v>0</v>
      </c>
      <c r="AH3788">
        <v>0</v>
      </c>
      <c r="AI3788">
        <v>0</v>
      </c>
      <c r="AJ3788">
        <v>9</v>
      </c>
      <c r="AK3788">
        <v>288</v>
      </c>
      <c r="AL3788">
        <v>288</v>
      </c>
      <c r="AM3788">
        <v>681</v>
      </c>
      <c r="AN3788">
        <v>44</v>
      </c>
      <c r="AP3788">
        <v>1</v>
      </c>
      <c r="AR3788" t="s">
        <v>3886</v>
      </c>
      <c r="AS3788" s="1">
        <v>44353.936111111114</v>
      </c>
      <c r="AT3788" s="1">
        <v>44353.938275462962</v>
      </c>
      <c r="AU3788" s="1">
        <v>44353.938923611109</v>
      </c>
      <c r="AV3788" t="s">
        <v>71</v>
      </c>
      <c r="AW3788" t="s">
        <v>72</v>
      </c>
      <c r="AX3788" t="s">
        <v>73</v>
      </c>
    </row>
    <row r="3789" spans="1:50" x14ac:dyDescent="0.3">
      <c r="A3789" t="str">
        <f>"200937B0000"</f>
        <v>200937B0000</v>
      </c>
      <c r="B3789" t="str">
        <f>"200937B00002"</f>
        <v>200937B00002</v>
      </c>
      <c r="C3789" t="str">
        <f t="shared" si="198"/>
        <v>20</v>
      </c>
      <c r="D3789" t="s">
        <v>67</v>
      </c>
      <c r="E3789" t="str">
        <f t="shared" si="197"/>
        <v>017</v>
      </c>
      <c r="F3789" t="s">
        <v>3808</v>
      </c>
      <c r="G3789" t="str">
        <f>"0937"</f>
        <v>0937</v>
      </c>
      <c r="H3789" t="str">
        <f>"0000"</f>
        <v>0000</v>
      </c>
      <c r="I3789" t="s">
        <v>69</v>
      </c>
      <c r="J3789">
        <v>0</v>
      </c>
      <c r="K3789">
        <v>1</v>
      </c>
      <c r="L3789">
        <v>2</v>
      </c>
      <c r="M3789">
        <v>336</v>
      </c>
      <c r="N3789">
        <v>200</v>
      </c>
      <c r="O3789">
        <v>1</v>
      </c>
      <c r="P3789">
        <v>200</v>
      </c>
      <c r="Q3789">
        <v>6</v>
      </c>
      <c r="R3789">
        <v>40</v>
      </c>
      <c r="S3789">
        <v>1</v>
      </c>
      <c r="T3789">
        <v>2</v>
      </c>
      <c r="U3789">
        <v>7</v>
      </c>
      <c r="V3789">
        <v>2</v>
      </c>
      <c r="W3789">
        <v>0</v>
      </c>
      <c r="X3789">
        <v>121</v>
      </c>
      <c r="Y3789">
        <v>2</v>
      </c>
      <c r="Z3789">
        <v>2</v>
      </c>
      <c r="AA3789">
        <v>2</v>
      </c>
      <c r="AB3789">
        <v>3</v>
      </c>
      <c r="AD3789">
        <v>0</v>
      </c>
      <c r="AE3789">
        <v>1</v>
      </c>
      <c r="AF3789">
        <v>0</v>
      </c>
      <c r="AG3789">
        <v>0</v>
      </c>
      <c r="AH3789">
        <v>0</v>
      </c>
      <c r="AI3789">
        <v>0</v>
      </c>
      <c r="AJ3789">
        <v>11</v>
      </c>
      <c r="AK3789">
        <v>200</v>
      </c>
      <c r="AL3789">
        <v>200</v>
      </c>
      <c r="AM3789">
        <v>492</v>
      </c>
      <c r="AN3789">
        <v>44</v>
      </c>
      <c r="AP3789">
        <v>1</v>
      </c>
      <c r="AR3789" t="s">
        <v>3887</v>
      </c>
      <c r="AS3789" s="1">
        <v>44353.931250000001</v>
      </c>
      <c r="AT3789" s="1">
        <v>44353.933877314812</v>
      </c>
      <c r="AU3789" s="1">
        <v>44353.934710648151</v>
      </c>
      <c r="AV3789" t="s">
        <v>71</v>
      </c>
      <c r="AW3789" t="s">
        <v>72</v>
      </c>
      <c r="AX3789" t="s">
        <v>73</v>
      </c>
    </row>
    <row r="3790" spans="1:50" x14ac:dyDescent="0.3">
      <c r="A3790" t="str">
        <f>"200937C0100"</f>
        <v>200937C0100</v>
      </c>
      <c r="B3790" t="str">
        <f>"200937C01002"</f>
        <v>200937C01002</v>
      </c>
      <c r="C3790" t="str">
        <f t="shared" si="198"/>
        <v>20</v>
      </c>
      <c r="D3790" t="s">
        <v>67</v>
      </c>
      <c r="E3790" t="str">
        <f t="shared" si="197"/>
        <v>017</v>
      </c>
      <c r="F3790" t="s">
        <v>3808</v>
      </c>
      <c r="G3790" t="str">
        <f>"0937"</f>
        <v>0937</v>
      </c>
      <c r="H3790" t="str">
        <f>"0001"</f>
        <v>0001</v>
      </c>
      <c r="I3790" t="s">
        <v>75</v>
      </c>
      <c r="J3790">
        <v>0</v>
      </c>
      <c r="K3790">
        <v>1</v>
      </c>
      <c r="L3790">
        <v>2</v>
      </c>
      <c r="M3790">
        <v>333</v>
      </c>
      <c r="N3790">
        <v>202</v>
      </c>
      <c r="O3790">
        <v>1</v>
      </c>
      <c r="P3790">
        <v>202</v>
      </c>
      <c r="Q3790">
        <v>11</v>
      </c>
      <c r="R3790">
        <v>48</v>
      </c>
      <c r="S3790">
        <v>1</v>
      </c>
      <c r="T3790">
        <v>2</v>
      </c>
      <c r="U3790">
        <v>4</v>
      </c>
      <c r="V3790">
        <v>0</v>
      </c>
      <c r="W3790">
        <v>1</v>
      </c>
      <c r="X3790">
        <v>123</v>
      </c>
      <c r="Y3790">
        <v>1</v>
      </c>
      <c r="Z3790">
        <v>0</v>
      </c>
      <c r="AA3790">
        <v>1</v>
      </c>
      <c r="AB3790">
        <v>1</v>
      </c>
      <c r="AD3790">
        <v>0</v>
      </c>
      <c r="AE3790">
        <v>1</v>
      </c>
      <c r="AF3790">
        <v>0</v>
      </c>
      <c r="AG3790">
        <v>0</v>
      </c>
      <c r="AH3790">
        <v>0</v>
      </c>
      <c r="AI3790">
        <v>0</v>
      </c>
      <c r="AJ3790">
        <v>8</v>
      </c>
      <c r="AK3790">
        <v>202</v>
      </c>
      <c r="AL3790">
        <v>202</v>
      </c>
      <c r="AM3790">
        <v>491</v>
      </c>
      <c r="AN3790">
        <v>44</v>
      </c>
      <c r="AP3790">
        <v>1</v>
      </c>
      <c r="AR3790" t="s">
        <v>3888</v>
      </c>
      <c r="AS3790" s="1">
        <v>44353.927777777775</v>
      </c>
      <c r="AT3790" s="1">
        <v>44353.930150462962</v>
      </c>
      <c r="AU3790" s="1">
        <v>44353.930833333332</v>
      </c>
      <c r="AV3790" t="s">
        <v>71</v>
      </c>
      <c r="AW3790" t="s">
        <v>72</v>
      </c>
      <c r="AX3790" t="s">
        <v>73</v>
      </c>
    </row>
    <row r="3791" spans="1:50" x14ac:dyDescent="0.3">
      <c r="A3791" t="str">
        <f>"200955B0000"</f>
        <v>200955B0000</v>
      </c>
      <c r="B3791" t="str">
        <f>"200955B00002"</f>
        <v>200955B00002</v>
      </c>
      <c r="C3791" t="str">
        <f t="shared" si="198"/>
        <v>20</v>
      </c>
      <c r="D3791" t="s">
        <v>67</v>
      </c>
      <c r="E3791" t="str">
        <f t="shared" si="197"/>
        <v>017</v>
      </c>
      <c r="F3791" t="s">
        <v>3808</v>
      </c>
      <c r="G3791" t="str">
        <f>"0955"</f>
        <v>0955</v>
      </c>
      <c r="H3791" t="str">
        <f>"0000"</f>
        <v>0000</v>
      </c>
      <c r="I3791" t="s">
        <v>69</v>
      </c>
      <c r="J3791">
        <v>0</v>
      </c>
      <c r="K3791">
        <v>1</v>
      </c>
      <c r="L3791">
        <v>2</v>
      </c>
      <c r="M3791">
        <v>420</v>
      </c>
      <c r="N3791">
        <v>271</v>
      </c>
      <c r="O3791">
        <v>0</v>
      </c>
      <c r="P3791">
        <v>271</v>
      </c>
      <c r="Q3791">
        <v>13</v>
      </c>
      <c r="R3791">
        <v>113</v>
      </c>
      <c r="S3791">
        <v>6</v>
      </c>
      <c r="T3791">
        <v>16</v>
      </c>
      <c r="U3791">
        <v>15</v>
      </c>
      <c r="V3791">
        <v>6</v>
      </c>
      <c r="W3791">
        <v>3</v>
      </c>
      <c r="X3791">
        <v>66</v>
      </c>
      <c r="Y3791">
        <v>3</v>
      </c>
      <c r="Z3791">
        <v>7</v>
      </c>
      <c r="AA3791">
        <v>0</v>
      </c>
      <c r="AB3791">
        <v>1</v>
      </c>
      <c r="AD3791">
        <v>0</v>
      </c>
      <c r="AE3791">
        <v>0</v>
      </c>
      <c r="AF3791">
        <v>0</v>
      </c>
      <c r="AG3791">
        <v>1</v>
      </c>
      <c r="AH3791">
        <v>0</v>
      </c>
      <c r="AI3791">
        <v>0</v>
      </c>
      <c r="AJ3791">
        <v>21</v>
      </c>
      <c r="AK3791">
        <v>271</v>
      </c>
      <c r="AL3791">
        <v>271</v>
      </c>
      <c r="AM3791">
        <v>647</v>
      </c>
      <c r="AN3791">
        <v>44</v>
      </c>
      <c r="AP3791">
        <v>1</v>
      </c>
      <c r="AR3791" t="s">
        <v>3889</v>
      </c>
      <c r="AS3791" s="1">
        <v>44354.553472222222</v>
      </c>
      <c r="AT3791" s="1">
        <v>44354.559930555559</v>
      </c>
      <c r="AU3791" s="1">
        <v>44354.560798611114</v>
      </c>
      <c r="AV3791" t="s">
        <v>71</v>
      </c>
      <c r="AW3791" t="s">
        <v>72</v>
      </c>
      <c r="AX3791" t="s">
        <v>73</v>
      </c>
    </row>
    <row r="3792" spans="1:50" x14ac:dyDescent="0.3">
      <c r="A3792" t="str">
        <f>"200955C0100"</f>
        <v>200955C0100</v>
      </c>
      <c r="B3792" t="str">
        <f>"200955C01002"</f>
        <v>200955C01002</v>
      </c>
      <c r="C3792" t="str">
        <f t="shared" si="198"/>
        <v>20</v>
      </c>
      <c r="D3792" t="s">
        <v>67</v>
      </c>
      <c r="E3792" t="str">
        <f t="shared" si="197"/>
        <v>017</v>
      </c>
      <c r="F3792" t="s">
        <v>3808</v>
      </c>
      <c r="G3792" t="str">
        <f>"0955"</f>
        <v>0955</v>
      </c>
      <c r="H3792" t="str">
        <f>"0001"</f>
        <v>0001</v>
      </c>
      <c r="I3792" t="s">
        <v>75</v>
      </c>
      <c r="J3792">
        <v>0</v>
      </c>
      <c r="K3792">
        <v>1</v>
      </c>
      <c r="L3792">
        <v>2</v>
      </c>
      <c r="M3792">
        <v>414</v>
      </c>
      <c r="N3792">
        <v>276</v>
      </c>
      <c r="O3792">
        <v>0</v>
      </c>
      <c r="P3792">
        <v>276</v>
      </c>
      <c r="Q3792">
        <v>5</v>
      </c>
      <c r="R3792">
        <v>136</v>
      </c>
      <c r="S3792">
        <v>3</v>
      </c>
      <c r="T3792">
        <v>10</v>
      </c>
      <c r="U3792">
        <v>10</v>
      </c>
      <c r="V3792">
        <v>3</v>
      </c>
      <c r="W3792">
        <v>2</v>
      </c>
      <c r="X3792">
        <v>75</v>
      </c>
      <c r="Y3792">
        <v>1</v>
      </c>
      <c r="Z3792">
        <v>2</v>
      </c>
      <c r="AA3792">
        <v>7</v>
      </c>
      <c r="AB3792">
        <v>4</v>
      </c>
      <c r="AD3792">
        <v>0</v>
      </c>
      <c r="AE3792">
        <v>1</v>
      </c>
      <c r="AF3792">
        <v>0</v>
      </c>
      <c r="AG3792">
        <v>0</v>
      </c>
      <c r="AH3792">
        <v>0</v>
      </c>
      <c r="AI3792">
        <v>0</v>
      </c>
      <c r="AJ3792">
        <v>17</v>
      </c>
      <c r="AK3792">
        <v>276</v>
      </c>
      <c r="AL3792">
        <v>276</v>
      </c>
      <c r="AM3792">
        <v>646</v>
      </c>
      <c r="AN3792">
        <v>44</v>
      </c>
      <c r="AP3792">
        <v>1</v>
      </c>
      <c r="AR3792" t="s">
        <v>3890</v>
      </c>
      <c r="AS3792" s="1">
        <v>44354.555555555555</v>
      </c>
      <c r="AT3792" s="1">
        <v>44354.557824074072</v>
      </c>
      <c r="AU3792" s="1">
        <v>44354.558472222219</v>
      </c>
      <c r="AV3792" t="s">
        <v>71</v>
      </c>
      <c r="AW3792" t="s">
        <v>72</v>
      </c>
      <c r="AX3792" t="s">
        <v>73</v>
      </c>
    </row>
    <row r="3793" spans="1:50" x14ac:dyDescent="0.3">
      <c r="A3793" t="str">
        <f>"200956B0000"</f>
        <v>200956B0000</v>
      </c>
      <c r="B3793" t="str">
        <f>"200956B00002"</f>
        <v>200956B00002</v>
      </c>
      <c r="C3793" t="str">
        <f t="shared" si="198"/>
        <v>20</v>
      </c>
      <c r="D3793" t="s">
        <v>67</v>
      </c>
      <c r="E3793" t="str">
        <f t="shared" si="197"/>
        <v>017</v>
      </c>
      <c r="F3793" t="s">
        <v>3808</v>
      </c>
      <c r="G3793" t="str">
        <f>"0956"</f>
        <v>0956</v>
      </c>
      <c r="H3793" t="str">
        <f>"0000"</f>
        <v>0000</v>
      </c>
      <c r="I3793" t="s">
        <v>69</v>
      </c>
      <c r="J3793">
        <v>0</v>
      </c>
      <c r="K3793">
        <v>1</v>
      </c>
      <c r="L3793">
        <v>2</v>
      </c>
      <c r="M3793">
        <v>257</v>
      </c>
      <c r="N3793">
        <v>172</v>
      </c>
      <c r="O3793">
        <v>2</v>
      </c>
      <c r="P3793">
        <v>172</v>
      </c>
      <c r="Q3793">
        <v>14</v>
      </c>
      <c r="R3793">
        <v>30</v>
      </c>
      <c r="S3793">
        <v>8</v>
      </c>
      <c r="T3793">
        <v>7</v>
      </c>
      <c r="U3793">
        <v>47</v>
      </c>
      <c r="V3793">
        <v>1</v>
      </c>
      <c r="W3793">
        <v>1</v>
      </c>
      <c r="X3793">
        <v>42</v>
      </c>
      <c r="Y3793">
        <v>3</v>
      </c>
      <c r="Z3793">
        <v>8</v>
      </c>
      <c r="AA3793">
        <v>2</v>
      </c>
      <c r="AB3793">
        <v>5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4</v>
      </c>
      <c r="AK3793">
        <v>172</v>
      </c>
      <c r="AL3793">
        <v>172</v>
      </c>
      <c r="AM3793">
        <v>385</v>
      </c>
      <c r="AN3793">
        <v>44</v>
      </c>
      <c r="AP3793">
        <v>1</v>
      </c>
      <c r="AR3793" t="s">
        <v>3891</v>
      </c>
      <c r="AS3793" s="1">
        <v>44354.601388888892</v>
      </c>
      <c r="AT3793" s="1">
        <v>44354.602696759262</v>
      </c>
      <c r="AU3793" s="1">
        <v>44354.603194444448</v>
      </c>
      <c r="AV3793" t="s">
        <v>71</v>
      </c>
      <c r="AW3793" t="s">
        <v>72</v>
      </c>
      <c r="AX3793" t="s">
        <v>73</v>
      </c>
    </row>
    <row r="3794" spans="1:50" x14ac:dyDescent="0.3">
      <c r="A3794" t="str">
        <f>"200956C0100"</f>
        <v>200956C0100</v>
      </c>
      <c r="B3794" t="str">
        <f>"200956C01002"</f>
        <v>200956C01002</v>
      </c>
      <c r="C3794" t="str">
        <f t="shared" si="198"/>
        <v>20</v>
      </c>
      <c r="D3794" t="s">
        <v>67</v>
      </c>
      <c r="E3794" t="str">
        <f t="shared" si="197"/>
        <v>017</v>
      </c>
      <c r="F3794" t="s">
        <v>3808</v>
      </c>
      <c r="G3794" t="str">
        <f>"0956"</f>
        <v>0956</v>
      </c>
      <c r="H3794" t="str">
        <f>"0001"</f>
        <v>0001</v>
      </c>
      <c r="I3794" t="s">
        <v>75</v>
      </c>
      <c r="J3794">
        <v>0</v>
      </c>
      <c r="K3794">
        <v>1</v>
      </c>
      <c r="L3794">
        <v>2</v>
      </c>
      <c r="M3794">
        <v>146</v>
      </c>
      <c r="N3794">
        <v>146</v>
      </c>
      <c r="O3794">
        <v>0</v>
      </c>
      <c r="P3794">
        <v>146</v>
      </c>
      <c r="Q3794">
        <v>8</v>
      </c>
      <c r="R3794">
        <v>26</v>
      </c>
      <c r="S3794">
        <v>6</v>
      </c>
      <c r="T3794">
        <v>8</v>
      </c>
      <c r="U3794">
        <v>31</v>
      </c>
      <c r="V3794">
        <v>5</v>
      </c>
      <c r="W3794">
        <v>4</v>
      </c>
      <c r="X3794">
        <v>47</v>
      </c>
      <c r="Y3794">
        <v>1</v>
      </c>
      <c r="Z3794">
        <v>3</v>
      </c>
      <c r="AA3794">
        <v>3</v>
      </c>
      <c r="AB3794">
        <v>0</v>
      </c>
      <c r="AD3794" t="s">
        <v>77</v>
      </c>
      <c r="AE3794" t="s">
        <v>77</v>
      </c>
      <c r="AF3794" t="s">
        <v>77</v>
      </c>
      <c r="AG3794" t="s">
        <v>77</v>
      </c>
      <c r="AH3794" t="s">
        <v>77</v>
      </c>
      <c r="AI3794" t="s">
        <v>77</v>
      </c>
      <c r="AJ3794" t="s">
        <v>77</v>
      </c>
      <c r="AK3794" t="s">
        <v>77</v>
      </c>
      <c r="AL3794">
        <v>142</v>
      </c>
      <c r="AM3794">
        <v>384</v>
      </c>
      <c r="AN3794">
        <v>44</v>
      </c>
      <c r="AO3794" t="s">
        <v>78</v>
      </c>
      <c r="AP3794">
        <v>1</v>
      </c>
      <c r="AR3794" t="s">
        <v>3892</v>
      </c>
      <c r="AS3794" s="1">
        <v>44354.556944444441</v>
      </c>
      <c r="AT3794" s="1">
        <v>44354.559259259258</v>
      </c>
      <c r="AU3794" s="1">
        <v>44354.560798611114</v>
      </c>
      <c r="AV3794" t="s">
        <v>71</v>
      </c>
      <c r="AW3794" t="s">
        <v>72</v>
      </c>
      <c r="AX3794" t="s">
        <v>73</v>
      </c>
    </row>
    <row r="3795" spans="1:50" x14ac:dyDescent="0.3">
      <c r="A3795" t="str">
        <f>"200957B0000"</f>
        <v>200957B0000</v>
      </c>
      <c r="B3795" t="str">
        <f>"200957B00002"</f>
        <v>200957B00002</v>
      </c>
      <c r="C3795" t="str">
        <f t="shared" si="198"/>
        <v>20</v>
      </c>
      <c r="D3795" t="s">
        <v>67</v>
      </c>
      <c r="E3795" t="str">
        <f t="shared" si="197"/>
        <v>017</v>
      </c>
      <c r="F3795" t="s">
        <v>3808</v>
      </c>
      <c r="G3795" t="str">
        <f>"0957"</f>
        <v>0957</v>
      </c>
      <c r="H3795" t="str">
        <f>"0000"</f>
        <v>0000</v>
      </c>
      <c r="I3795" t="s">
        <v>69</v>
      </c>
      <c r="J3795">
        <v>0</v>
      </c>
      <c r="K3795">
        <v>1</v>
      </c>
      <c r="L3795">
        <v>2</v>
      </c>
      <c r="M3795">
        <v>250</v>
      </c>
      <c r="N3795">
        <v>164</v>
      </c>
      <c r="O3795">
        <v>1</v>
      </c>
      <c r="P3795">
        <v>164</v>
      </c>
      <c r="Q3795">
        <v>7</v>
      </c>
      <c r="R3795">
        <v>83</v>
      </c>
      <c r="S3795">
        <v>1</v>
      </c>
      <c r="T3795">
        <v>10</v>
      </c>
      <c r="U3795">
        <v>5</v>
      </c>
      <c r="V3795">
        <v>0</v>
      </c>
      <c r="W3795">
        <v>2</v>
      </c>
      <c r="X3795">
        <v>29</v>
      </c>
      <c r="Y3795">
        <v>1</v>
      </c>
      <c r="Z3795">
        <v>2</v>
      </c>
      <c r="AA3795">
        <v>2</v>
      </c>
      <c r="AB3795">
        <v>2</v>
      </c>
      <c r="AD3795">
        <v>0</v>
      </c>
      <c r="AE3795">
        <v>1</v>
      </c>
      <c r="AF3795">
        <v>0</v>
      </c>
      <c r="AG3795">
        <v>0</v>
      </c>
      <c r="AH3795">
        <v>0</v>
      </c>
      <c r="AI3795">
        <v>0</v>
      </c>
      <c r="AJ3795">
        <v>19</v>
      </c>
      <c r="AK3795">
        <v>164</v>
      </c>
      <c r="AL3795">
        <v>164</v>
      </c>
      <c r="AM3795">
        <v>370</v>
      </c>
      <c r="AN3795">
        <v>44</v>
      </c>
      <c r="AP3795">
        <v>1</v>
      </c>
      <c r="AR3795" t="s">
        <v>3893</v>
      </c>
      <c r="AS3795" s="1">
        <v>44354.556250000001</v>
      </c>
      <c r="AT3795" s="1">
        <v>44354.558194444442</v>
      </c>
      <c r="AU3795" s="1">
        <v>44354.558692129627</v>
      </c>
      <c r="AV3795" t="s">
        <v>71</v>
      </c>
      <c r="AW3795" t="s">
        <v>72</v>
      </c>
      <c r="AX3795" t="s">
        <v>73</v>
      </c>
    </row>
    <row r="3796" spans="1:50" x14ac:dyDescent="0.3">
      <c r="A3796" t="str">
        <f>"200957E0100"</f>
        <v>200957E0100</v>
      </c>
      <c r="B3796" t="str">
        <f>"200957E01002"</f>
        <v>200957E01002</v>
      </c>
      <c r="C3796" t="str">
        <f t="shared" si="198"/>
        <v>20</v>
      </c>
      <c r="D3796" t="s">
        <v>67</v>
      </c>
      <c r="E3796" t="str">
        <f t="shared" si="197"/>
        <v>017</v>
      </c>
      <c r="F3796" t="s">
        <v>3808</v>
      </c>
      <c r="G3796" t="str">
        <f>"0957"</f>
        <v>0957</v>
      </c>
      <c r="H3796" t="str">
        <f>"0001"</f>
        <v>0001</v>
      </c>
      <c r="I3796" t="s">
        <v>109</v>
      </c>
      <c r="J3796">
        <v>0</v>
      </c>
      <c r="K3796">
        <v>1</v>
      </c>
      <c r="L3796">
        <v>2</v>
      </c>
      <c r="M3796">
        <v>413</v>
      </c>
      <c r="N3796">
        <v>236</v>
      </c>
      <c r="O3796">
        <v>1</v>
      </c>
      <c r="P3796">
        <v>236</v>
      </c>
      <c r="Q3796">
        <v>9</v>
      </c>
      <c r="R3796">
        <v>17</v>
      </c>
      <c r="S3796">
        <v>6</v>
      </c>
      <c r="T3796">
        <v>11</v>
      </c>
      <c r="U3796">
        <v>67</v>
      </c>
      <c r="V3796">
        <v>4</v>
      </c>
      <c r="W3796">
        <v>3</v>
      </c>
      <c r="X3796">
        <v>98</v>
      </c>
      <c r="Y3796">
        <v>3</v>
      </c>
      <c r="Z3796">
        <v>3</v>
      </c>
      <c r="AA3796">
        <v>1</v>
      </c>
      <c r="AB3796">
        <v>2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12</v>
      </c>
      <c r="AK3796">
        <v>236</v>
      </c>
      <c r="AL3796">
        <v>236</v>
      </c>
      <c r="AM3796">
        <v>605</v>
      </c>
      <c r="AN3796">
        <v>44</v>
      </c>
      <c r="AP3796">
        <v>1</v>
      </c>
      <c r="AR3796" t="s">
        <v>3894</v>
      </c>
      <c r="AS3796" s="1">
        <v>44354.556944444441</v>
      </c>
      <c r="AT3796" s="1">
        <v>44354.562789351854</v>
      </c>
      <c r="AU3796" s="1">
        <v>44354.563969907409</v>
      </c>
      <c r="AV3796" t="s">
        <v>71</v>
      </c>
      <c r="AW3796" t="s">
        <v>72</v>
      </c>
      <c r="AX3796" t="s">
        <v>73</v>
      </c>
    </row>
    <row r="3797" spans="1:50" x14ac:dyDescent="0.3">
      <c r="A3797" t="str">
        <f>"201133B0000"</f>
        <v>201133B0000</v>
      </c>
      <c r="B3797" t="str">
        <f>"201133B00002"</f>
        <v>201133B00002</v>
      </c>
      <c r="C3797" t="str">
        <f t="shared" si="198"/>
        <v>20</v>
      </c>
      <c r="D3797" t="s">
        <v>67</v>
      </c>
      <c r="E3797" t="str">
        <f t="shared" si="197"/>
        <v>017</v>
      </c>
      <c r="F3797" t="s">
        <v>3808</v>
      </c>
      <c r="G3797" t="str">
        <f>"1133"</f>
        <v>1133</v>
      </c>
      <c r="H3797" t="str">
        <f>"0000"</f>
        <v>0000</v>
      </c>
      <c r="I3797" t="s">
        <v>69</v>
      </c>
      <c r="J3797">
        <v>0</v>
      </c>
      <c r="K3797">
        <v>1</v>
      </c>
      <c r="L3797">
        <v>2</v>
      </c>
      <c r="M3797">
        <v>322</v>
      </c>
      <c r="N3797">
        <v>277</v>
      </c>
      <c r="O3797">
        <v>4</v>
      </c>
      <c r="P3797">
        <v>277</v>
      </c>
      <c r="Q3797">
        <v>1</v>
      </c>
      <c r="R3797">
        <v>4</v>
      </c>
      <c r="S3797">
        <v>2</v>
      </c>
      <c r="T3797">
        <v>2</v>
      </c>
      <c r="U3797">
        <v>46</v>
      </c>
      <c r="V3797">
        <v>2</v>
      </c>
      <c r="W3797">
        <v>4</v>
      </c>
      <c r="X3797">
        <v>203</v>
      </c>
      <c r="Y3797">
        <v>1</v>
      </c>
      <c r="Z3797">
        <v>1</v>
      </c>
      <c r="AA3797">
        <v>2</v>
      </c>
      <c r="AB3797">
        <v>1</v>
      </c>
      <c r="AD3797">
        <v>0</v>
      </c>
      <c r="AE3797">
        <v>0</v>
      </c>
      <c r="AF3797">
        <v>1</v>
      </c>
      <c r="AG3797">
        <v>1</v>
      </c>
      <c r="AH3797">
        <v>0</v>
      </c>
      <c r="AI3797">
        <v>0</v>
      </c>
      <c r="AJ3797">
        <v>6</v>
      </c>
      <c r="AK3797">
        <v>277</v>
      </c>
      <c r="AL3797">
        <v>277</v>
      </c>
      <c r="AM3797">
        <v>555</v>
      </c>
      <c r="AN3797">
        <v>44</v>
      </c>
      <c r="AP3797">
        <v>1</v>
      </c>
      <c r="AR3797" t="s">
        <v>3895</v>
      </c>
      <c r="AS3797" s="1">
        <v>44354.101388888892</v>
      </c>
      <c r="AT3797" s="1">
        <v>44354.103796296295</v>
      </c>
      <c r="AU3797" s="1">
        <v>44354.104270833333</v>
      </c>
      <c r="AV3797" t="s">
        <v>71</v>
      </c>
      <c r="AW3797" t="s">
        <v>72</v>
      </c>
      <c r="AX3797" t="s">
        <v>73</v>
      </c>
    </row>
    <row r="3798" spans="1:50" x14ac:dyDescent="0.3">
      <c r="A3798" t="str">
        <f>"201133C0100"</f>
        <v>201133C0100</v>
      </c>
      <c r="B3798" t="str">
        <f>"201133C01002"</f>
        <v>201133C01002</v>
      </c>
      <c r="C3798" t="str">
        <f t="shared" si="198"/>
        <v>20</v>
      </c>
      <c r="D3798" t="s">
        <v>67</v>
      </c>
      <c r="E3798" t="str">
        <f t="shared" si="197"/>
        <v>017</v>
      </c>
      <c r="F3798" t="s">
        <v>3808</v>
      </c>
      <c r="G3798" t="str">
        <f>"1133"</f>
        <v>1133</v>
      </c>
      <c r="H3798" t="str">
        <f>"0001"</f>
        <v>0001</v>
      </c>
      <c r="I3798" t="s">
        <v>75</v>
      </c>
      <c r="J3798">
        <v>0</v>
      </c>
      <c r="K3798">
        <v>1</v>
      </c>
      <c r="L3798">
        <v>2</v>
      </c>
      <c r="M3798">
        <v>321</v>
      </c>
      <c r="N3798">
        <v>277</v>
      </c>
      <c r="O3798" t="s">
        <v>80</v>
      </c>
      <c r="P3798" t="s">
        <v>80</v>
      </c>
      <c r="Q3798">
        <v>6</v>
      </c>
      <c r="R3798">
        <v>13</v>
      </c>
      <c r="S3798">
        <v>4</v>
      </c>
      <c r="T3798">
        <v>4</v>
      </c>
      <c r="U3798">
        <v>43</v>
      </c>
      <c r="V3798">
        <v>7</v>
      </c>
      <c r="W3798">
        <v>5</v>
      </c>
      <c r="X3798">
        <v>180</v>
      </c>
      <c r="Y3798">
        <v>0</v>
      </c>
      <c r="Z3798">
        <v>1</v>
      </c>
      <c r="AA3798">
        <v>1</v>
      </c>
      <c r="AB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13</v>
      </c>
      <c r="AK3798">
        <v>277</v>
      </c>
      <c r="AL3798">
        <v>277</v>
      </c>
      <c r="AM3798">
        <v>554</v>
      </c>
      <c r="AN3798">
        <v>44</v>
      </c>
      <c r="AP3798">
        <v>1</v>
      </c>
      <c r="AR3798" t="s">
        <v>3896</v>
      </c>
      <c r="AS3798" s="1">
        <v>44354.104166666664</v>
      </c>
      <c r="AT3798" s="1">
        <v>44354.106956018521</v>
      </c>
      <c r="AU3798" s="1">
        <v>44354.10769675926</v>
      </c>
      <c r="AV3798" t="s">
        <v>71</v>
      </c>
      <c r="AW3798" t="s">
        <v>72</v>
      </c>
      <c r="AX3798" t="s">
        <v>73</v>
      </c>
    </row>
    <row r="3799" spans="1:50" x14ac:dyDescent="0.3">
      <c r="A3799" t="str">
        <f>"201137B0000"</f>
        <v>201137B0000</v>
      </c>
      <c r="B3799" t="str">
        <f>"201137B00002"</f>
        <v>201137B00002</v>
      </c>
      <c r="C3799" t="str">
        <f t="shared" si="198"/>
        <v>20</v>
      </c>
      <c r="D3799" t="s">
        <v>67</v>
      </c>
      <c r="E3799" t="str">
        <f t="shared" si="197"/>
        <v>017</v>
      </c>
      <c r="F3799" t="s">
        <v>3808</v>
      </c>
      <c r="G3799" t="str">
        <f>"1137"</f>
        <v>1137</v>
      </c>
      <c r="H3799" t="str">
        <f>"0000"</f>
        <v>0000</v>
      </c>
      <c r="I3799" t="s">
        <v>69</v>
      </c>
      <c r="J3799">
        <v>0</v>
      </c>
      <c r="K3799">
        <v>1</v>
      </c>
      <c r="L3799">
        <v>2</v>
      </c>
      <c r="M3799">
        <v>513</v>
      </c>
      <c r="N3799">
        <v>274</v>
      </c>
      <c r="O3799">
        <v>0</v>
      </c>
      <c r="P3799">
        <v>274</v>
      </c>
      <c r="Q3799">
        <v>10</v>
      </c>
      <c r="R3799">
        <v>120</v>
      </c>
      <c r="S3799">
        <v>3</v>
      </c>
      <c r="T3799">
        <v>1</v>
      </c>
      <c r="U3799">
        <v>20</v>
      </c>
      <c r="V3799">
        <v>3</v>
      </c>
      <c r="W3799">
        <v>0</v>
      </c>
      <c r="X3799">
        <v>89</v>
      </c>
      <c r="Y3799">
        <v>0</v>
      </c>
      <c r="Z3799">
        <v>4</v>
      </c>
      <c r="AA3799">
        <v>3</v>
      </c>
      <c r="AB3799">
        <v>7</v>
      </c>
      <c r="AD3799">
        <v>2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12</v>
      </c>
      <c r="AK3799">
        <v>274</v>
      </c>
      <c r="AL3799">
        <v>274</v>
      </c>
      <c r="AM3799">
        <v>743</v>
      </c>
      <c r="AN3799">
        <v>44</v>
      </c>
      <c r="AP3799">
        <v>1</v>
      </c>
      <c r="AR3799" t="s">
        <v>3897</v>
      </c>
      <c r="AS3799" s="1">
        <v>44353.972916666666</v>
      </c>
      <c r="AT3799" s="1">
        <v>44353.977060185185</v>
      </c>
      <c r="AU3799" s="1">
        <v>44353.977766203701</v>
      </c>
      <c r="AV3799" t="s">
        <v>71</v>
      </c>
      <c r="AW3799" t="s">
        <v>72</v>
      </c>
      <c r="AX3799" t="s">
        <v>73</v>
      </c>
    </row>
    <row r="3800" spans="1:50" x14ac:dyDescent="0.3">
      <c r="A3800" t="str">
        <f>"201137C0100"</f>
        <v>201137C0100</v>
      </c>
      <c r="B3800" t="str">
        <f>"201137C01002"</f>
        <v>201137C01002</v>
      </c>
      <c r="C3800" t="str">
        <f t="shared" si="198"/>
        <v>20</v>
      </c>
      <c r="D3800" t="s">
        <v>67</v>
      </c>
      <c r="E3800" t="str">
        <f t="shared" si="197"/>
        <v>017</v>
      </c>
      <c r="F3800" t="s">
        <v>3808</v>
      </c>
      <c r="G3800" t="str">
        <f>"1137"</f>
        <v>1137</v>
      </c>
      <c r="H3800" t="str">
        <f>"0001"</f>
        <v>0001</v>
      </c>
      <c r="I3800" t="s">
        <v>75</v>
      </c>
      <c r="J3800">
        <v>0</v>
      </c>
      <c r="K3800">
        <v>1</v>
      </c>
      <c r="L3800">
        <v>2</v>
      </c>
      <c r="M3800">
        <v>577</v>
      </c>
      <c r="N3800">
        <v>210</v>
      </c>
      <c r="O3800">
        <v>2</v>
      </c>
      <c r="P3800">
        <v>210</v>
      </c>
      <c r="Q3800">
        <v>6</v>
      </c>
      <c r="R3800">
        <v>88</v>
      </c>
      <c r="S3800">
        <v>3</v>
      </c>
      <c r="T3800">
        <v>2</v>
      </c>
      <c r="U3800">
        <v>16</v>
      </c>
      <c r="V3800">
        <v>0</v>
      </c>
      <c r="W3800">
        <v>1</v>
      </c>
      <c r="X3800">
        <v>77</v>
      </c>
      <c r="Y3800">
        <v>0</v>
      </c>
      <c r="Z3800">
        <v>2</v>
      </c>
      <c r="AA3800">
        <v>0</v>
      </c>
      <c r="AB3800">
        <v>5</v>
      </c>
      <c r="AD3800">
        <v>1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9</v>
      </c>
      <c r="AK3800">
        <v>210</v>
      </c>
      <c r="AL3800">
        <v>210</v>
      </c>
      <c r="AM3800">
        <v>743</v>
      </c>
      <c r="AN3800">
        <v>44</v>
      </c>
      <c r="AP3800">
        <v>1</v>
      </c>
      <c r="AR3800" t="s">
        <v>3898</v>
      </c>
      <c r="AS3800" s="1">
        <v>44353.975694444445</v>
      </c>
      <c r="AT3800" s="1">
        <v>44353.980474537035</v>
      </c>
      <c r="AU3800" s="1">
        <v>44353.981354166666</v>
      </c>
      <c r="AV3800" t="s">
        <v>71</v>
      </c>
      <c r="AW3800" t="s">
        <v>72</v>
      </c>
      <c r="AX3800" t="s">
        <v>73</v>
      </c>
    </row>
    <row r="3801" spans="1:50" x14ac:dyDescent="0.3">
      <c r="A3801" t="str">
        <f>"201138B0000"</f>
        <v>201138B0000</v>
      </c>
      <c r="B3801" t="str">
        <f>"201138B00002"</f>
        <v>201138B00002</v>
      </c>
      <c r="C3801" t="str">
        <f t="shared" si="198"/>
        <v>20</v>
      </c>
      <c r="D3801" t="s">
        <v>67</v>
      </c>
      <c r="E3801" t="str">
        <f t="shared" si="197"/>
        <v>017</v>
      </c>
      <c r="F3801" t="s">
        <v>3808</v>
      </c>
      <c r="G3801" t="str">
        <f>"1138"</f>
        <v>1138</v>
      </c>
      <c r="H3801" t="str">
        <f>"0000"</f>
        <v>0000</v>
      </c>
      <c r="I3801" t="s">
        <v>69</v>
      </c>
      <c r="J3801">
        <v>0</v>
      </c>
      <c r="K3801">
        <v>1</v>
      </c>
      <c r="L3801">
        <v>2</v>
      </c>
      <c r="M3801">
        <v>363</v>
      </c>
      <c r="N3801">
        <v>168</v>
      </c>
      <c r="O3801">
        <v>5</v>
      </c>
      <c r="P3801">
        <v>168</v>
      </c>
      <c r="Q3801">
        <v>8</v>
      </c>
      <c r="R3801">
        <v>42</v>
      </c>
      <c r="S3801">
        <v>5</v>
      </c>
      <c r="T3801">
        <v>1</v>
      </c>
      <c r="U3801">
        <v>11</v>
      </c>
      <c r="V3801">
        <v>1</v>
      </c>
      <c r="W3801">
        <v>0</v>
      </c>
      <c r="X3801">
        <v>79</v>
      </c>
      <c r="Y3801">
        <v>0</v>
      </c>
      <c r="Z3801">
        <v>4</v>
      </c>
      <c r="AA3801">
        <v>0</v>
      </c>
      <c r="AB3801">
        <v>13</v>
      </c>
      <c r="AD3801">
        <v>1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3</v>
      </c>
      <c r="AK3801">
        <v>168</v>
      </c>
      <c r="AL3801">
        <v>168</v>
      </c>
      <c r="AM3801">
        <v>487</v>
      </c>
      <c r="AN3801">
        <v>44</v>
      </c>
      <c r="AP3801">
        <v>1</v>
      </c>
      <c r="AR3801" t="s">
        <v>3899</v>
      </c>
      <c r="AS3801" s="1">
        <v>44353.98333333333</v>
      </c>
      <c r="AT3801" s="1">
        <v>44353.985833333332</v>
      </c>
      <c r="AU3801" s="1">
        <v>44353.98636574074</v>
      </c>
      <c r="AV3801" t="s">
        <v>71</v>
      </c>
      <c r="AW3801" t="s">
        <v>72</v>
      </c>
      <c r="AX3801" t="s">
        <v>73</v>
      </c>
    </row>
    <row r="3802" spans="1:50" x14ac:dyDescent="0.3">
      <c r="A3802" t="str">
        <f>"201138C0100"</f>
        <v>201138C0100</v>
      </c>
      <c r="B3802" t="str">
        <f>"201138C01002"</f>
        <v>201138C01002</v>
      </c>
      <c r="C3802" t="str">
        <f t="shared" si="198"/>
        <v>20</v>
      </c>
      <c r="D3802" t="s">
        <v>67</v>
      </c>
      <c r="E3802" t="str">
        <f t="shared" si="197"/>
        <v>017</v>
      </c>
      <c r="F3802" t="s">
        <v>3808</v>
      </c>
      <c r="G3802" t="str">
        <f>"1138"</f>
        <v>1138</v>
      </c>
      <c r="H3802" t="str">
        <f>"0001"</f>
        <v>0001</v>
      </c>
      <c r="I3802" t="s">
        <v>75</v>
      </c>
      <c r="J3802">
        <v>0</v>
      </c>
      <c r="K3802">
        <v>1</v>
      </c>
      <c r="L3802">
        <v>2</v>
      </c>
      <c r="M3802">
        <v>387</v>
      </c>
      <c r="N3802">
        <v>142</v>
      </c>
      <c r="O3802">
        <v>3</v>
      </c>
      <c r="P3802">
        <v>142</v>
      </c>
      <c r="Q3802">
        <v>8</v>
      </c>
      <c r="R3802">
        <v>45</v>
      </c>
      <c r="S3802">
        <v>4</v>
      </c>
      <c r="T3802">
        <v>3</v>
      </c>
      <c r="U3802">
        <v>18</v>
      </c>
      <c r="V3802">
        <v>0</v>
      </c>
      <c r="W3802">
        <v>3</v>
      </c>
      <c r="X3802">
        <v>55</v>
      </c>
      <c r="Y3802">
        <v>0</v>
      </c>
      <c r="Z3802">
        <v>0</v>
      </c>
      <c r="AA3802">
        <v>0</v>
      </c>
      <c r="AB3802">
        <v>6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142</v>
      </c>
      <c r="AL3802">
        <v>142</v>
      </c>
      <c r="AM3802">
        <v>486</v>
      </c>
      <c r="AN3802">
        <v>44</v>
      </c>
      <c r="AP3802">
        <v>1</v>
      </c>
      <c r="AR3802" t="s">
        <v>3900</v>
      </c>
      <c r="AS3802" s="1">
        <v>44353.986805555556</v>
      </c>
      <c r="AT3802" s="1">
        <v>44353.991840277777</v>
      </c>
      <c r="AU3802" s="1">
        <v>44353.992372685185</v>
      </c>
      <c r="AV3802" t="s">
        <v>71</v>
      </c>
      <c r="AW3802" t="s">
        <v>72</v>
      </c>
      <c r="AX3802" t="s">
        <v>73</v>
      </c>
    </row>
    <row r="3803" spans="1:50" x14ac:dyDescent="0.3">
      <c r="A3803" t="str">
        <f>"201172B0000"</f>
        <v>201172B0000</v>
      </c>
      <c r="B3803" t="str">
        <f>"201172B00002"</f>
        <v>201172B00002</v>
      </c>
      <c r="C3803" t="str">
        <f t="shared" si="198"/>
        <v>20</v>
      </c>
      <c r="D3803" t="s">
        <v>67</v>
      </c>
      <c r="E3803" t="str">
        <f t="shared" si="197"/>
        <v>017</v>
      </c>
      <c r="F3803" t="s">
        <v>3808</v>
      </c>
      <c r="G3803" t="str">
        <f>"1172"</f>
        <v>1172</v>
      </c>
      <c r="H3803" t="str">
        <f>"0000"</f>
        <v>0000</v>
      </c>
      <c r="I3803" t="s">
        <v>69</v>
      </c>
      <c r="J3803">
        <v>0</v>
      </c>
      <c r="K3803">
        <v>1</v>
      </c>
      <c r="L3803">
        <v>2</v>
      </c>
      <c r="M3803">
        <v>300</v>
      </c>
      <c r="N3803">
        <v>163</v>
      </c>
      <c r="O3803">
        <v>0</v>
      </c>
      <c r="P3803">
        <v>163</v>
      </c>
      <c r="Q3803">
        <v>14</v>
      </c>
      <c r="R3803">
        <v>74</v>
      </c>
      <c r="S3803">
        <v>1</v>
      </c>
      <c r="T3803">
        <v>3</v>
      </c>
      <c r="U3803">
        <v>39</v>
      </c>
      <c r="V3803">
        <v>0</v>
      </c>
      <c r="W3803">
        <v>2</v>
      </c>
      <c r="X3803">
        <v>17</v>
      </c>
      <c r="Y3803">
        <v>1</v>
      </c>
      <c r="Z3803">
        <v>0</v>
      </c>
      <c r="AA3803">
        <v>0</v>
      </c>
      <c r="AB3803">
        <v>0</v>
      </c>
      <c r="AD3803">
        <v>1</v>
      </c>
      <c r="AE3803">
        <v>1</v>
      </c>
      <c r="AF3803">
        <v>0</v>
      </c>
      <c r="AG3803">
        <v>0</v>
      </c>
      <c r="AH3803">
        <v>1</v>
      </c>
      <c r="AI3803">
        <v>0</v>
      </c>
      <c r="AJ3803">
        <v>9</v>
      </c>
      <c r="AK3803">
        <v>163</v>
      </c>
      <c r="AL3803">
        <v>163</v>
      </c>
      <c r="AM3803">
        <v>419</v>
      </c>
      <c r="AN3803">
        <v>44</v>
      </c>
      <c r="AP3803">
        <v>1</v>
      </c>
      <c r="AR3803" t="s">
        <v>3901</v>
      </c>
      <c r="AS3803" s="1">
        <v>44354.149305555555</v>
      </c>
      <c r="AT3803" s="1">
        <v>44354.153796296298</v>
      </c>
      <c r="AU3803" s="1">
        <v>44354.154293981483</v>
      </c>
      <c r="AV3803" t="s">
        <v>71</v>
      </c>
      <c r="AW3803" t="s">
        <v>72</v>
      </c>
      <c r="AX3803" t="s">
        <v>73</v>
      </c>
    </row>
    <row r="3804" spans="1:50" x14ac:dyDescent="0.3">
      <c r="A3804" t="str">
        <f>"201172C0100"</f>
        <v>201172C0100</v>
      </c>
      <c r="B3804" t="str">
        <f>"201172C01002"</f>
        <v>201172C01002</v>
      </c>
      <c r="C3804" t="str">
        <f t="shared" si="198"/>
        <v>20</v>
      </c>
      <c r="D3804" t="s">
        <v>67</v>
      </c>
      <c r="E3804" t="str">
        <f t="shared" si="197"/>
        <v>017</v>
      </c>
      <c r="F3804" t="s">
        <v>3808</v>
      </c>
      <c r="G3804" t="str">
        <f>"1172"</f>
        <v>1172</v>
      </c>
      <c r="H3804" t="str">
        <f>"0001"</f>
        <v>0001</v>
      </c>
      <c r="I3804" t="s">
        <v>75</v>
      </c>
      <c r="J3804">
        <v>0</v>
      </c>
      <c r="K3804">
        <v>1</v>
      </c>
      <c r="L3804">
        <v>2</v>
      </c>
      <c r="M3804">
        <v>318</v>
      </c>
      <c r="N3804">
        <v>145</v>
      </c>
      <c r="O3804">
        <v>0</v>
      </c>
      <c r="P3804">
        <v>145</v>
      </c>
      <c r="Q3804">
        <v>22</v>
      </c>
      <c r="R3804">
        <v>76</v>
      </c>
      <c r="S3804">
        <v>2</v>
      </c>
      <c r="T3804">
        <v>3</v>
      </c>
      <c r="U3804">
        <v>24</v>
      </c>
      <c r="V3804">
        <v>0</v>
      </c>
      <c r="W3804">
        <v>0</v>
      </c>
      <c r="X3804">
        <v>12</v>
      </c>
      <c r="Y3804">
        <v>0</v>
      </c>
      <c r="Z3804">
        <v>0</v>
      </c>
      <c r="AA3804">
        <v>3</v>
      </c>
      <c r="AB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3</v>
      </c>
      <c r="AK3804">
        <v>145</v>
      </c>
      <c r="AL3804">
        <v>145</v>
      </c>
      <c r="AM3804">
        <v>419</v>
      </c>
      <c r="AN3804">
        <v>44</v>
      </c>
      <c r="AP3804">
        <v>1</v>
      </c>
      <c r="AR3804" t="s">
        <v>3902</v>
      </c>
      <c r="AS3804" s="1">
        <v>44354.147222222222</v>
      </c>
      <c r="AT3804" s="1">
        <v>44354.148287037038</v>
      </c>
      <c r="AU3804" s="1">
        <v>44354.14916666667</v>
      </c>
      <c r="AV3804" t="s">
        <v>71</v>
      </c>
      <c r="AW3804" t="s">
        <v>72</v>
      </c>
      <c r="AX3804" t="s">
        <v>73</v>
      </c>
    </row>
    <row r="3805" spans="1:50" x14ac:dyDescent="0.3">
      <c r="A3805" t="str">
        <f>"201173B0000"</f>
        <v>201173B0000</v>
      </c>
      <c r="B3805" t="str">
        <f>"201173B00002"</f>
        <v>201173B00002</v>
      </c>
      <c r="C3805" t="str">
        <f t="shared" si="198"/>
        <v>20</v>
      </c>
      <c r="D3805" t="s">
        <v>67</v>
      </c>
      <c r="E3805" t="str">
        <f t="shared" si="197"/>
        <v>017</v>
      </c>
      <c r="F3805" t="s">
        <v>3808</v>
      </c>
      <c r="G3805" t="str">
        <f>"1173"</f>
        <v>1173</v>
      </c>
      <c r="H3805" t="str">
        <f>"0000"</f>
        <v>0000</v>
      </c>
      <c r="I3805" t="s">
        <v>69</v>
      </c>
      <c r="J3805">
        <v>0</v>
      </c>
      <c r="K3805">
        <v>1</v>
      </c>
      <c r="L3805">
        <v>2</v>
      </c>
      <c r="M3805">
        <v>285</v>
      </c>
      <c r="N3805">
        <v>319</v>
      </c>
      <c r="O3805">
        <v>6</v>
      </c>
      <c r="P3805">
        <v>319</v>
      </c>
      <c r="Q3805">
        <v>51</v>
      </c>
      <c r="R3805">
        <v>45</v>
      </c>
      <c r="S3805">
        <v>4</v>
      </c>
      <c r="T3805">
        <v>7</v>
      </c>
      <c r="U3805">
        <v>113</v>
      </c>
      <c r="V3805">
        <v>1</v>
      </c>
      <c r="W3805">
        <v>4</v>
      </c>
      <c r="X3805">
        <v>73</v>
      </c>
      <c r="Y3805">
        <v>2</v>
      </c>
      <c r="Z3805">
        <v>2</v>
      </c>
      <c r="AA3805">
        <v>2</v>
      </c>
      <c r="AB3805">
        <v>0</v>
      </c>
      <c r="AD3805">
        <v>1</v>
      </c>
      <c r="AE3805">
        <v>1</v>
      </c>
      <c r="AF3805">
        <v>0</v>
      </c>
      <c r="AG3805">
        <v>0</v>
      </c>
      <c r="AH3805">
        <v>0</v>
      </c>
      <c r="AI3805">
        <v>0</v>
      </c>
      <c r="AJ3805">
        <v>13</v>
      </c>
      <c r="AK3805">
        <v>319</v>
      </c>
      <c r="AL3805">
        <v>319</v>
      </c>
      <c r="AM3805">
        <v>560</v>
      </c>
      <c r="AN3805">
        <v>44</v>
      </c>
      <c r="AP3805">
        <v>1</v>
      </c>
      <c r="AR3805" t="s">
        <v>3903</v>
      </c>
      <c r="AS3805" s="1">
        <v>44354.143750000003</v>
      </c>
      <c r="AT3805" s="1">
        <v>44354.146539351852</v>
      </c>
      <c r="AU3805" s="1">
        <v>44354.147245370368</v>
      </c>
      <c r="AV3805" t="s">
        <v>71</v>
      </c>
      <c r="AW3805" t="s">
        <v>72</v>
      </c>
      <c r="AX3805" t="s">
        <v>73</v>
      </c>
    </row>
    <row r="3806" spans="1:50" x14ac:dyDescent="0.3">
      <c r="A3806" t="str">
        <f>"201174B0000"</f>
        <v>201174B0000</v>
      </c>
      <c r="B3806" t="str">
        <f>"201174B00002"</f>
        <v>201174B00002</v>
      </c>
      <c r="C3806" t="str">
        <f t="shared" si="198"/>
        <v>20</v>
      </c>
      <c r="D3806" t="s">
        <v>67</v>
      </c>
      <c r="E3806" t="str">
        <f t="shared" si="197"/>
        <v>017</v>
      </c>
      <c r="F3806" t="s">
        <v>3808</v>
      </c>
      <c r="G3806" t="str">
        <f>"1174"</f>
        <v>1174</v>
      </c>
      <c r="H3806" t="str">
        <f>"0000"</f>
        <v>0000</v>
      </c>
      <c r="I3806" t="s">
        <v>69</v>
      </c>
      <c r="J3806">
        <v>0</v>
      </c>
      <c r="K3806">
        <v>1</v>
      </c>
      <c r="L3806">
        <v>2</v>
      </c>
      <c r="M3806">
        <v>340</v>
      </c>
      <c r="N3806">
        <v>318</v>
      </c>
      <c r="O3806">
        <v>4</v>
      </c>
      <c r="P3806">
        <v>318</v>
      </c>
      <c r="Q3806">
        <v>33</v>
      </c>
      <c r="R3806">
        <v>34</v>
      </c>
      <c r="S3806">
        <v>7</v>
      </c>
      <c r="T3806">
        <v>8</v>
      </c>
      <c r="U3806">
        <v>149</v>
      </c>
      <c r="V3806">
        <v>0</v>
      </c>
      <c r="W3806">
        <v>2</v>
      </c>
      <c r="X3806">
        <v>52</v>
      </c>
      <c r="Y3806">
        <v>5</v>
      </c>
      <c r="Z3806">
        <v>6</v>
      </c>
      <c r="AA3806">
        <v>2</v>
      </c>
      <c r="AB3806">
        <v>4</v>
      </c>
      <c r="AD3806">
        <v>0</v>
      </c>
      <c r="AE3806">
        <v>2</v>
      </c>
      <c r="AF3806">
        <v>1</v>
      </c>
      <c r="AG3806">
        <v>0</v>
      </c>
      <c r="AH3806">
        <v>0</v>
      </c>
      <c r="AI3806">
        <v>0</v>
      </c>
      <c r="AJ3806">
        <v>13</v>
      </c>
      <c r="AK3806">
        <v>318</v>
      </c>
      <c r="AL3806">
        <v>318</v>
      </c>
      <c r="AM3806">
        <v>614</v>
      </c>
      <c r="AN3806">
        <v>44</v>
      </c>
      <c r="AP3806">
        <v>1</v>
      </c>
      <c r="AR3806" t="s">
        <v>3904</v>
      </c>
      <c r="AS3806" s="1">
        <v>44354.145833333336</v>
      </c>
      <c r="AT3806" s="1">
        <v>44354.149178240739</v>
      </c>
      <c r="AU3806" s="1">
        <v>44354.149930555555</v>
      </c>
      <c r="AV3806" t="s">
        <v>71</v>
      </c>
      <c r="AW3806" t="s">
        <v>72</v>
      </c>
      <c r="AX3806" t="s">
        <v>73</v>
      </c>
    </row>
    <row r="3807" spans="1:50" x14ac:dyDescent="0.3">
      <c r="A3807" t="str">
        <f>"201175B0000"</f>
        <v>201175B0000</v>
      </c>
      <c r="B3807" t="str">
        <f>"201175B00002"</f>
        <v>201175B00002</v>
      </c>
      <c r="C3807" t="str">
        <f t="shared" si="198"/>
        <v>20</v>
      </c>
      <c r="D3807" t="s">
        <v>67</v>
      </c>
      <c r="E3807" t="str">
        <f t="shared" si="197"/>
        <v>017</v>
      </c>
      <c r="F3807" t="s">
        <v>3808</v>
      </c>
      <c r="G3807" t="str">
        <f>"1175"</f>
        <v>1175</v>
      </c>
      <c r="H3807" t="str">
        <f>"0000"</f>
        <v>0000</v>
      </c>
      <c r="I3807" t="s">
        <v>69</v>
      </c>
      <c r="J3807">
        <v>0</v>
      </c>
      <c r="K3807">
        <v>1</v>
      </c>
      <c r="L3807">
        <v>2</v>
      </c>
      <c r="M3807">
        <v>277</v>
      </c>
      <c r="N3807">
        <v>207</v>
      </c>
      <c r="O3807">
        <v>3</v>
      </c>
      <c r="P3807">
        <v>207</v>
      </c>
      <c r="Q3807">
        <v>51</v>
      </c>
      <c r="R3807">
        <v>40</v>
      </c>
      <c r="S3807">
        <v>4</v>
      </c>
      <c r="T3807">
        <v>8</v>
      </c>
      <c r="U3807">
        <v>75</v>
      </c>
      <c r="V3807">
        <v>1</v>
      </c>
      <c r="W3807">
        <v>0</v>
      </c>
      <c r="X3807">
        <v>10</v>
      </c>
      <c r="Y3807">
        <v>0</v>
      </c>
      <c r="Z3807">
        <v>1</v>
      </c>
      <c r="AA3807">
        <v>1</v>
      </c>
      <c r="AB3807">
        <v>1</v>
      </c>
      <c r="AD3807">
        <v>4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11</v>
      </c>
      <c r="AK3807">
        <v>207</v>
      </c>
      <c r="AL3807">
        <v>207</v>
      </c>
      <c r="AM3807">
        <v>440</v>
      </c>
      <c r="AN3807">
        <v>44</v>
      </c>
      <c r="AP3807">
        <v>1</v>
      </c>
      <c r="AR3807" t="s">
        <v>3905</v>
      </c>
      <c r="AS3807" s="1">
        <v>44354.143750000003</v>
      </c>
      <c r="AT3807" s="1">
        <v>44354.146006944444</v>
      </c>
      <c r="AU3807" s="1">
        <v>44354.147638888891</v>
      </c>
      <c r="AV3807" t="s">
        <v>71</v>
      </c>
      <c r="AW3807" t="s">
        <v>72</v>
      </c>
      <c r="AX3807" t="s">
        <v>73</v>
      </c>
    </row>
    <row r="3808" spans="1:50" x14ac:dyDescent="0.3">
      <c r="A3808" t="str">
        <f>"201176B0000"</f>
        <v>201176B0000</v>
      </c>
      <c r="B3808" t="str">
        <f>"201176B00002"</f>
        <v>201176B00002</v>
      </c>
      <c r="C3808" t="str">
        <f t="shared" si="198"/>
        <v>20</v>
      </c>
      <c r="D3808" t="s">
        <v>67</v>
      </c>
      <c r="E3808" t="str">
        <f t="shared" si="197"/>
        <v>017</v>
      </c>
      <c r="F3808" t="s">
        <v>3808</v>
      </c>
      <c r="G3808" t="str">
        <f>"1176"</f>
        <v>1176</v>
      </c>
      <c r="H3808" t="str">
        <f>"0000"</f>
        <v>0000</v>
      </c>
      <c r="I3808" t="s">
        <v>69</v>
      </c>
      <c r="J3808">
        <v>0</v>
      </c>
      <c r="K3808">
        <v>1</v>
      </c>
      <c r="L3808">
        <v>2</v>
      </c>
      <c r="M3808">
        <v>288</v>
      </c>
      <c r="N3808">
        <v>273</v>
      </c>
      <c r="O3808">
        <v>1</v>
      </c>
      <c r="P3808">
        <v>273</v>
      </c>
      <c r="Q3808">
        <v>2</v>
      </c>
      <c r="R3808">
        <v>92</v>
      </c>
      <c r="S3808">
        <v>3</v>
      </c>
      <c r="T3808">
        <v>1</v>
      </c>
      <c r="U3808">
        <v>51</v>
      </c>
      <c r="V3808">
        <v>0</v>
      </c>
      <c r="W3808">
        <v>4</v>
      </c>
      <c r="X3808">
        <v>107</v>
      </c>
      <c r="Y3808">
        <v>0</v>
      </c>
      <c r="Z3808">
        <v>6</v>
      </c>
      <c r="AA3808">
        <v>1</v>
      </c>
      <c r="AB3808">
        <v>0</v>
      </c>
      <c r="AD3808">
        <v>2</v>
      </c>
      <c r="AE3808">
        <v>0</v>
      </c>
      <c r="AF3808">
        <v>0</v>
      </c>
      <c r="AG3808">
        <v>1</v>
      </c>
      <c r="AH3808">
        <v>0</v>
      </c>
      <c r="AI3808">
        <v>0</v>
      </c>
      <c r="AJ3808">
        <v>3</v>
      </c>
      <c r="AK3808">
        <v>273</v>
      </c>
      <c r="AL3808">
        <v>273</v>
      </c>
      <c r="AM3808">
        <v>517</v>
      </c>
      <c r="AN3808">
        <v>44</v>
      </c>
      <c r="AP3808">
        <v>1</v>
      </c>
      <c r="AR3808" t="s">
        <v>3906</v>
      </c>
      <c r="AS3808" s="1">
        <v>44354.315972222219</v>
      </c>
      <c r="AT3808" s="1">
        <v>44354.318657407406</v>
      </c>
      <c r="AU3808" s="1">
        <v>44354.319479166668</v>
      </c>
      <c r="AV3808" t="s">
        <v>71</v>
      </c>
      <c r="AW3808" t="s">
        <v>72</v>
      </c>
      <c r="AX3808" t="s">
        <v>73</v>
      </c>
    </row>
    <row r="3809" spans="1:50" x14ac:dyDescent="0.3">
      <c r="A3809" t="str">
        <f>"201226B0000"</f>
        <v>201226B0000</v>
      </c>
      <c r="B3809" t="str">
        <f>"201226B00002"</f>
        <v>201226B00002</v>
      </c>
      <c r="C3809" t="str">
        <f t="shared" si="198"/>
        <v>20</v>
      </c>
      <c r="D3809" t="s">
        <v>67</v>
      </c>
      <c r="E3809" t="str">
        <f t="shared" si="197"/>
        <v>017</v>
      </c>
      <c r="F3809" t="s">
        <v>3808</v>
      </c>
      <c r="G3809" t="str">
        <f>"1226"</f>
        <v>1226</v>
      </c>
      <c r="H3809" t="str">
        <f>"0000"</f>
        <v>0000</v>
      </c>
      <c r="I3809" t="s">
        <v>69</v>
      </c>
      <c r="J3809">
        <v>0</v>
      </c>
      <c r="K3809">
        <v>1</v>
      </c>
      <c r="L3809">
        <v>2</v>
      </c>
      <c r="M3809">
        <v>464</v>
      </c>
      <c r="N3809">
        <v>152</v>
      </c>
      <c r="O3809">
        <v>2</v>
      </c>
      <c r="P3809">
        <v>153</v>
      </c>
      <c r="Q3809">
        <v>6</v>
      </c>
      <c r="R3809">
        <v>42</v>
      </c>
      <c r="S3809">
        <v>2</v>
      </c>
      <c r="T3809">
        <v>6</v>
      </c>
      <c r="U3809">
        <v>21</v>
      </c>
      <c r="V3809">
        <v>4</v>
      </c>
      <c r="W3809">
        <v>2</v>
      </c>
      <c r="X3809">
        <v>47</v>
      </c>
      <c r="Y3809">
        <v>2</v>
      </c>
      <c r="Z3809">
        <v>2</v>
      </c>
      <c r="AA3809">
        <v>3</v>
      </c>
      <c r="AB3809">
        <v>0</v>
      </c>
      <c r="AD3809">
        <v>0</v>
      </c>
      <c r="AE3809">
        <v>2</v>
      </c>
      <c r="AF3809">
        <v>0</v>
      </c>
      <c r="AG3809">
        <v>0</v>
      </c>
      <c r="AH3809">
        <v>2</v>
      </c>
      <c r="AI3809">
        <v>0</v>
      </c>
      <c r="AJ3809">
        <v>12</v>
      </c>
      <c r="AK3809">
        <v>153</v>
      </c>
      <c r="AL3809">
        <v>153</v>
      </c>
      <c r="AM3809">
        <v>573</v>
      </c>
      <c r="AN3809">
        <v>44</v>
      </c>
      <c r="AP3809">
        <v>1</v>
      </c>
      <c r="AR3809" t="s">
        <v>3907</v>
      </c>
      <c r="AS3809" s="1">
        <v>44353.988194444442</v>
      </c>
      <c r="AT3809" s="1">
        <v>44353.992418981485</v>
      </c>
      <c r="AU3809" s="1">
        <v>44353.992939814816</v>
      </c>
      <c r="AV3809" t="s">
        <v>71</v>
      </c>
      <c r="AW3809" t="s">
        <v>72</v>
      </c>
      <c r="AX3809" t="s">
        <v>73</v>
      </c>
    </row>
    <row r="3810" spans="1:50" x14ac:dyDescent="0.3">
      <c r="A3810" t="str">
        <f>"201226C0100"</f>
        <v>201226C0100</v>
      </c>
      <c r="B3810" t="str">
        <f>"201226C01002"</f>
        <v>201226C01002</v>
      </c>
      <c r="C3810" t="str">
        <f t="shared" si="198"/>
        <v>20</v>
      </c>
      <c r="D3810" t="s">
        <v>67</v>
      </c>
      <c r="E3810" t="str">
        <f t="shared" si="197"/>
        <v>017</v>
      </c>
      <c r="F3810" t="s">
        <v>3808</v>
      </c>
      <c r="G3810" t="str">
        <f>"1226"</f>
        <v>1226</v>
      </c>
      <c r="H3810" t="str">
        <f>"0001"</f>
        <v>0001</v>
      </c>
      <c r="I3810" t="s">
        <v>75</v>
      </c>
      <c r="J3810">
        <v>0</v>
      </c>
      <c r="K3810">
        <v>1</v>
      </c>
      <c r="L3810">
        <v>2</v>
      </c>
      <c r="M3810">
        <v>457</v>
      </c>
      <c r="N3810">
        <v>160</v>
      </c>
      <c r="O3810">
        <v>2</v>
      </c>
      <c r="P3810">
        <v>160</v>
      </c>
      <c r="Q3810">
        <v>7</v>
      </c>
      <c r="R3810">
        <v>51</v>
      </c>
      <c r="S3810">
        <v>3</v>
      </c>
      <c r="T3810">
        <v>5</v>
      </c>
      <c r="U3810">
        <v>21</v>
      </c>
      <c r="V3810">
        <v>0</v>
      </c>
      <c r="W3810">
        <v>0</v>
      </c>
      <c r="X3810">
        <v>50</v>
      </c>
      <c r="Y3810">
        <v>4</v>
      </c>
      <c r="Z3810">
        <v>0</v>
      </c>
      <c r="AA3810">
        <v>2</v>
      </c>
      <c r="AB3810">
        <v>2</v>
      </c>
      <c r="AD3810">
        <v>1</v>
      </c>
      <c r="AE3810">
        <v>0</v>
      </c>
      <c r="AF3810">
        <v>0</v>
      </c>
      <c r="AG3810">
        <v>0</v>
      </c>
      <c r="AH3810">
        <v>2</v>
      </c>
      <c r="AI3810">
        <v>0</v>
      </c>
      <c r="AJ3810">
        <v>12</v>
      </c>
      <c r="AK3810">
        <v>160</v>
      </c>
      <c r="AL3810">
        <v>160</v>
      </c>
      <c r="AM3810">
        <v>573</v>
      </c>
      <c r="AN3810">
        <v>44</v>
      </c>
      <c r="AP3810">
        <v>1</v>
      </c>
      <c r="AR3810" t="s">
        <v>3908</v>
      </c>
      <c r="AS3810" s="1">
        <v>44353.990972222222</v>
      </c>
      <c r="AT3810" s="1">
        <v>44353.997442129628</v>
      </c>
      <c r="AU3810" s="1">
        <v>44353.998171296298</v>
      </c>
      <c r="AV3810" t="s">
        <v>71</v>
      </c>
      <c r="AW3810" t="s">
        <v>72</v>
      </c>
      <c r="AX3810" t="s">
        <v>73</v>
      </c>
    </row>
    <row r="3811" spans="1:50" x14ac:dyDescent="0.3">
      <c r="A3811" t="str">
        <f>"201227B0000"</f>
        <v>201227B0000</v>
      </c>
      <c r="B3811" t="str">
        <f>"201227B00002"</f>
        <v>201227B00002</v>
      </c>
      <c r="C3811" t="str">
        <f t="shared" si="198"/>
        <v>20</v>
      </c>
      <c r="D3811" t="s">
        <v>67</v>
      </c>
      <c r="E3811" t="str">
        <f t="shared" si="197"/>
        <v>017</v>
      </c>
      <c r="F3811" t="s">
        <v>3808</v>
      </c>
      <c r="G3811" t="str">
        <f>"1227"</f>
        <v>1227</v>
      </c>
      <c r="H3811" t="str">
        <f>"0000"</f>
        <v>0000</v>
      </c>
      <c r="I3811" t="s">
        <v>69</v>
      </c>
      <c r="J3811">
        <v>0</v>
      </c>
      <c r="K3811">
        <v>1</v>
      </c>
      <c r="L3811">
        <v>2</v>
      </c>
      <c r="M3811">
        <v>308</v>
      </c>
      <c r="N3811">
        <v>167</v>
      </c>
      <c r="O3811">
        <v>0</v>
      </c>
      <c r="P3811">
        <v>167</v>
      </c>
      <c r="Q3811">
        <v>8</v>
      </c>
      <c r="R3811">
        <v>54</v>
      </c>
      <c r="S3811">
        <v>0</v>
      </c>
      <c r="T3811">
        <v>5</v>
      </c>
      <c r="U3811">
        <v>46</v>
      </c>
      <c r="V3811">
        <v>0</v>
      </c>
      <c r="W3811">
        <v>3</v>
      </c>
      <c r="X3811">
        <v>33</v>
      </c>
      <c r="Y3811">
        <v>0</v>
      </c>
      <c r="Z3811">
        <v>2</v>
      </c>
      <c r="AA3811">
        <v>3</v>
      </c>
      <c r="AB3811">
        <v>1</v>
      </c>
      <c r="AD3811">
        <v>2</v>
      </c>
      <c r="AE3811">
        <v>0</v>
      </c>
      <c r="AF3811">
        <v>0</v>
      </c>
      <c r="AG3811">
        <v>1</v>
      </c>
      <c r="AH3811">
        <v>1</v>
      </c>
      <c r="AI3811">
        <v>0</v>
      </c>
      <c r="AJ3811">
        <v>8</v>
      </c>
      <c r="AK3811">
        <v>167</v>
      </c>
      <c r="AL3811">
        <v>167</v>
      </c>
      <c r="AM3811">
        <v>431</v>
      </c>
      <c r="AN3811">
        <v>44</v>
      </c>
      <c r="AP3811">
        <v>1</v>
      </c>
      <c r="AR3811" t="s">
        <v>3909</v>
      </c>
      <c r="AS3811" s="1">
        <v>44353.994444444441</v>
      </c>
      <c r="AT3811" s="1">
        <v>44354.001747685186</v>
      </c>
      <c r="AU3811" s="1">
        <v>44354.002280092594</v>
      </c>
      <c r="AV3811" t="s">
        <v>71</v>
      </c>
      <c r="AW3811" t="s">
        <v>72</v>
      </c>
      <c r="AX3811" t="s">
        <v>73</v>
      </c>
    </row>
    <row r="3812" spans="1:50" x14ac:dyDescent="0.3">
      <c r="A3812" t="str">
        <f>"201227C0100"</f>
        <v>201227C0100</v>
      </c>
      <c r="B3812" t="str">
        <f>"201227C01002"</f>
        <v>201227C01002</v>
      </c>
      <c r="C3812" t="str">
        <f t="shared" si="198"/>
        <v>20</v>
      </c>
      <c r="D3812" t="s">
        <v>67</v>
      </c>
      <c r="E3812" t="str">
        <f t="shared" si="197"/>
        <v>017</v>
      </c>
      <c r="F3812" t="s">
        <v>3808</v>
      </c>
      <c r="G3812" t="str">
        <f>"1227"</f>
        <v>1227</v>
      </c>
      <c r="H3812" t="str">
        <f>"0001"</f>
        <v>0001</v>
      </c>
      <c r="I3812" t="s">
        <v>75</v>
      </c>
      <c r="J3812">
        <v>0</v>
      </c>
      <c r="K3812">
        <v>1</v>
      </c>
      <c r="L3812">
        <v>2</v>
      </c>
      <c r="M3812">
        <v>309</v>
      </c>
      <c r="N3812">
        <v>166</v>
      </c>
      <c r="O3812">
        <v>0</v>
      </c>
      <c r="P3812">
        <v>166</v>
      </c>
      <c r="Q3812">
        <v>3</v>
      </c>
      <c r="R3812">
        <v>55</v>
      </c>
      <c r="S3812">
        <v>2</v>
      </c>
      <c r="T3812">
        <v>6</v>
      </c>
      <c r="U3812">
        <v>41</v>
      </c>
      <c r="V3812">
        <v>0</v>
      </c>
      <c r="W3812">
        <v>3</v>
      </c>
      <c r="X3812">
        <v>39</v>
      </c>
      <c r="Y3812">
        <v>2</v>
      </c>
      <c r="Z3812">
        <v>2</v>
      </c>
      <c r="AA3812">
        <v>0</v>
      </c>
      <c r="AB3812">
        <v>2</v>
      </c>
      <c r="AD3812">
        <v>0</v>
      </c>
      <c r="AE3812">
        <v>0</v>
      </c>
      <c r="AF3812">
        <v>0</v>
      </c>
      <c r="AG3812">
        <v>0</v>
      </c>
      <c r="AH3812">
        <v>2</v>
      </c>
      <c r="AI3812">
        <v>0</v>
      </c>
      <c r="AJ3812">
        <v>9</v>
      </c>
      <c r="AK3812">
        <v>166</v>
      </c>
      <c r="AL3812">
        <v>166</v>
      </c>
      <c r="AM3812">
        <v>431</v>
      </c>
      <c r="AN3812">
        <v>44</v>
      </c>
      <c r="AP3812">
        <v>1</v>
      </c>
      <c r="AR3812" t="s">
        <v>3910</v>
      </c>
      <c r="AS3812" s="1">
        <v>44353.994444444441</v>
      </c>
      <c r="AT3812" s="1">
        <v>44353.999780092592</v>
      </c>
      <c r="AU3812" s="1">
        <v>44354.000416666669</v>
      </c>
      <c r="AV3812" t="s">
        <v>71</v>
      </c>
      <c r="AW3812" t="s">
        <v>72</v>
      </c>
      <c r="AX3812" t="s">
        <v>73</v>
      </c>
    </row>
    <row r="3813" spans="1:50" x14ac:dyDescent="0.3">
      <c r="A3813" t="str">
        <f>"201241B0000"</f>
        <v>201241B0000</v>
      </c>
      <c r="B3813" t="str">
        <f>"201241B00002"</f>
        <v>201241B00002</v>
      </c>
      <c r="C3813" t="str">
        <f t="shared" si="198"/>
        <v>20</v>
      </c>
      <c r="D3813" t="s">
        <v>67</v>
      </c>
      <c r="E3813" t="str">
        <f t="shared" si="197"/>
        <v>017</v>
      </c>
      <c r="F3813" t="s">
        <v>3808</v>
      </c>
      <c r="G3813" t="str">
        <f>"1241"</f>
        <v>1241</v>
      </c>
      <c r="H3813" t="str">
        <f>"0000"</f>
        <v>0000</v>
      </c>
      <c r="I3813" t="s">
        <v>69</v>
      </c>
      <c r="J3813">
        <v>0</v>
      </c>
      <c r="K3813">
        <v>1</v>
      </c>
      <c r="L3813">
        <v>2</v>
      </c>
      <c r="M3813">
        <v>483</v>
      </c>
      <c r="N3813">
        <v>184</v>
      </c>
      <c r="O3813">
        <v>1</v>
      </c>
      <c r="P3813">
        <v>184</v>
      </c>
      <c r="Q3813">
        <v>10</v>
      </c>
      <c r="R3813">
        <v>57</v>
      </c>
      <c r="S3813">
        <v>0</v>
      </c>
      <c r="T3813">
        <v>7</v>
      </c>
      <c r="U3813">
        <v>11</v>
      </c>
      <c r="V3813">
        <v>1</v>
      </c>
      <c r="W3813">
        <v>2</v>
      </c>
      <c r="X3813">
        <v>77</v>
      </c>
      <c r="Y3813">
        <v>1</v>
      </c>
      <c r="Z3813">
        <v>6</v>
      </c>
      <c r="AA3813">
        <v>1</v>
      </c>
      <c r="AB3813">
        <v>2</v>
      </c>
      <c r="AD3813">
        <v>1</v>
      </c>
      <c r="AE3813">
        <v>2</v>
      </c>
      <c r="AF3813">
        <v>0</v>
      </c>
      <c r="AG3813">
        <v>0</v>
      </c>
      <c r="AH3813">
        <v>1</v>
      </c>
      <c r="AI3813">
        <v>0</v>
      </c>
      <c r="AJ3813">
        <v>5</v>
      </c>
      <c r="AK3813">
        <v>184</v>
      </c>
      <c r="AL3813">
        <v>184</v>
      </c>
      <c r="AM3813">
        <v>623</v>
      </c>
      <c r="AN3813">
        <v>44</v>
      </c>
      <c r="AP3813">
        <v>1</v>
      </c>
      <c r="AR3813" t="s">
        <v>3911</v>
      </c>
      <c r="AS3813" s="1">
        <v>44353.976388888892</v>
      </c>
      <c r="AT3813" s="1">
        <v>44353.979120370372</v>
      </c>
      <c r="AU3813" s="1">
        <v>44353.979849537034</v>
      </c>
      <c r="AV3813" t="s">
        <v>71</v>
      </c>
      <c r="AW3813" t="s">
        <v>72</v>
      </c>
      <c r="AX3813" t="s">
        <v>73</v>
      </c>
    </row>
    <row r="3814" spans="1:50" x14ac:dyDescent="0.3">
      <c r="A3814" t="str">
        <f>"201241C0100"</f>
        <v>201241C0100</v>
      </c>
      <c r="B3814" t="str">
        <f>"201241C01002"</f>
        <v>201241C01002</v>
      </c>
      <c r="C3814" t="str">
        <f t="shared" si="198"/>
        <v>20</v>
      </c>
      <c r="D3814" t="s">
        <v>67</v>
      </c>
      <c r="E3814" t="str">
        <f t="shared" si="197"/>
        <v>017</v>
      </c>
      <c r="F3814" t="s">
        <v>3808</v>
      </c>
      <c r="G3814" t="str">
        <f>"1241"</f>
        <v>1241</v>
      </c>
      <c r="H3814" t="str">
        <f>"0001"</f>
        <v>0001</v>
      </c>
      <c r="I3814" t="s">
        <v>75</v>
      </c>
      <c r="J3814">
        <v>0</v>
      </c>
      <c r="K3814">
        <v>1</v>
      </c>
      <c r="L3814">
        <v>2</v>
      </c>
      <c r="M3814">
        <v>454</v>
      </c>
      <c r="N3814">
        <v>213</v>
      </c>
      <c r="O3814">
        <v>1</v>
      </c>
      <c r="P3814">
        <v>213</v>
      </c>
      <c r="Q3814">
        <v>8</v>
      </c>
      <c r="R3814">
        <v>62</v>
      </c>
      <c r="S3814">
        <v>4</v>
      </c>
      <c r="T3814">
        <v>4</v>
      </c>
      <c r="U3814">
        <v>17</v>
      </c>
      <c r="V3814">
        <v>1</v>
      </c>
      <c r="W3814">
        <v>2</v>
      </c>
      <c r="X3814">
        <v>100</v>
      </c>
      <c r="Y3814">
        <v>0</v>
      </c>
      <c r="Z3814">
        <v>3</v>
      </c>
      <c r="AA3814">
        <v>0</v>
      </c>
      <c r="AB3814">
        <v>0</v>
      </c>
      <c r="AD3814">
        <v>2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10</v>
      </c>
      <c r="AK3814">
        <v>213</v>
      </c>
      <c r="AL3814">
        <v>213</v>
      </c>
      <c r="AM3814">
        <v>623</v>
      </c>
      <c r="AN3814">
        <v>44</v>
      </c>
      <c r="AP3814">
        <v>1</v>
      </c>
      <c r="AR3814" t="s">
        <v>3912</v>
      </c>
      <c r="AS3814" s="1">
        <v>44353.978472222225</v>
      </c>
      <c r="AT3814" s="1">
        <v>44353.981817129628</v>
      </c>
      <c r="AU3814" s="1">
        <v>44353.982719907406</v>
      </c>
      <c r="AV3814" t="s">
        <v>71</v>
      </c>
      <c r="AW3814" t="s">
        <v>72</v>
      </c>
      <c r="AX3814" t="s">
        <v>73</v>
      </c>
    </row>
    <row r="3815" spans="1:50" x14ac:dyDescent="0.3">
      <c r="A3815" t="str">
        <f>"201241E0100"</f>
        <v>201241E0100</v>
      </c>
      <c r="B3815" t="str">
        <f>"201241E01002"</f>
        <v>201241E01002</v>
      </c>
      <c r="C3815" t="str">
        <f t="shared" si="198"/>
        <v>20</v>
      </c>
      <c r="D3815" t="s">
        <v>67</v>
      </c>
      <c r="E3815" t="str">
        <f t="shared" si="197"/>
        <v>017</v>
      </c>
      <c r="F3815" t="s">
        <v>3808</v>
      </c>
      <c r="G3815" t="str">
        <f>"1241"</f>
        <v>1241</v>
      </c>
      <c r="H3815" t="str">
        <f>"0001"</f>
        <v>0001</v>
      </c>
      <c r="I3815" t="s">
        <v>109</v>
      </c>
      <c r="J3815">
        <v>0</v>
      </c>
      <c r="K3815">
        <v>1</v>
      </c>
      <c r="L3815">
        <v>2</v>
      </c>
      <c r="M3815">
        <v>191</v>
      </c>
      <c r="N3815">
        <v>151</v>
      </c>
      <c r="O3815">
        <v>1</v>
      </c>
      <c r="P3815">
        <v>151</v>
      </c>
      <c r="Q3815">
        <v>4</v>
      </c>
      <c r="R3815">
        <v>47</v>
      </c>
      <c r="S3815">
        <v>6</v>
      </c>
      <c r="T3815">
        <v>3</v>
      </c>
      <c r="U3815">
        <v>8</v>
      </c>
      <c r="V3815">
        <v>3</v>
      </c>
      <c r="W3815">
        <v>1</v>
      </c>
      <c r="X3815">
        <v>54</v>
      </c>
      <c r="Y3815">
        <v>0</v>
      </c>
      <c r="Z3815">
        <v>5</v>
      </c>
      <c r="AA3815">
        <v>11</v>
      </c>
      <c r="AB3815">
        <v>1</v>
      </c>
      <c r="AD3815">
        <v>1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7</v>
      </c>
      <c r="AK3815">
        <v>151</v>
      </c>
      <c r="AL3815">
        <v>151</v>
      </c>
      <c r="AM3815">
        <v>298</v>
      </c>
      <c r="AN3815">
        <v>44</v>
      </c>
      <c r="AP3815">
        <v>1</v>
      </c>
      <c r="AR3815" t="s">
        <v>3913</v>
      </c>
      <c r="AS3815" s="1">
        <v>44354.602083333331</v>
      </c>
      <c r="AT3815" s="1">
        <v>44354.603680555556</v>
      </c>
      <c r="AU3815" s="1">
        <v>44354.604224537034</v>
      </c>
      <c r="AV3815" t="s">
        <v>71</v>
      </c>
      <c r="AW3815" t="s">
        <v>72</v>
      </c>
      <c r="AX3815" t="s">
        <v>347</v>
      </c>
    </row>
    <row r="3816" spans="1:50" x14ac:dyDescent="0.3">
      <c r="A3816" t="str">
        <f>"201241E0200"</f>
        <v>201241E0200</v>
      </c>
      <c r="B3816" t="str">
        <f>"201241E02002"</f>
        <v>201241E02002</v>
      </c>
      <c r="C3816" t="str">
        <f t="shared" si="198"/>
        <v>20</v>
      </c>
      <c r="D3816" t="s">
        <v>67</v>
      </c>
      <c r="E3816" t="str">
        <f t="shared" si="197"/>
        <v>017</v>
      </c>
      <c r="F3816" t="s">
        <v>3808</v>
      </c>
      <c r="G3816" t="str">
        <f>"1241"</f>
        <v>1241</v>
      </c>
      <c r="H3816" t="str">
        <f>"0002"</f>
        <v>0002</v>
      </c>
      <c r="I3816" t="s">
        <v>109</v>
      </c>
      <c r="J3816">
        <v>0</v>
      </c>
      <c r="K3816">
        <v>1</v>
      </c>
      <c r="L3816">
        <v>2</v>
      </c>
      <c r="M3816">
        <v>110</v>
      </c>
      <c r="N3816">
        <v>124</v>
      </c>
      <c r="O3816">
        <v>0</v>
      </c>
      <c r="P3816">
        <v>124</v>
      </c>
      <c r="Q3816">
        <v>4</v>
      </c>
      <c r="R3816">
        <v>20</v>
      </c>
      <c r="S3816">
        <v>2</v>
      </c>
      <c r="T3816">
        <v>0</v>
      </c>
      <c r="U3816">
        <v>37</v>
      </c>
      <c r="V3816">
        <v>0</v>
      </c>
      <c r="W3816">
        <v>0</v>
      </c>
      <c r="X3816">
        <v>57</v>
      </c>
      <c r="Y3816">
        <v>0</v>
      </c>
      <c r="Z3816">
        <v>2</v>
      </c>
      <c r="AA3816">
        <v>0</v>
      </c>
      <c r="AB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2</v>
      </c>
      <c r="AK3816">
        <v>124</v>
      </c>
      <c r="AL3816">
        <v>124</v>
      </c>
      <c r="AM3816">
        <v>190</v>
      </c>
      <c r="AN3816">
        <v>44</v>
      </c>
      <c r="AP3816">
        <v>1</v>
      </c>
      <c r="AR3816" t="s">
        <v>3914</v>
      </c>
      <c r="AS3816" s="1">
        <v>44353.982638888891</v>
      </c>
      <c r="AT3816" s="1">
        <v>44353.985277777778</v>
      </c>
      <c r="AU3816" s="1">
        <v>44353.986180555556</v>
      </c>
      <c r="AV3816" t="s">
        <v>71</v>
      </c>
      <c r="AW3816" t="s">
        <v>72</v>
      </c>
      <c r="AX3816" t="s">
        <v>73</v>
      </c>
    </row>
    <row r="3817" spans="1:50" x14ac:dyDescent="0.3">
      <c r="A3817" t="str">
        <f>"201242B0000"</f>
        <v>201242B0000</v>
      </c>
      <c r="B3817" t="str">
        <f>"201242B00002"</f>
        <v>201242B00002</v>
      </c>
      <c r="C3817" t="str">
        <f t="shared" si="198"/>
        <v>20</v>
      </c>
      <c r="D3817" t="s">
        <v>67</v>
      </c>
      <c r="E3817" t="str">
        <f t="shared" si="197"/>
        <v>017</v>
      </c>
      <c r="F3817" t="s">
        <v>3808</v>
      </c>
      <c r="G3817" t="str">
        <f>"1242"</f>
        <v>1242</v>
      </c>
      <c r="H3817" t="str">
        <f>"0000"</f>
        <v>0000</v>
      </c>
      <c r="I3817" t="s">
        <v>69</v>
      </c>
      <c r="J3817">
        <v>0</v>
      </c>
      <c r="K3817">
        <v>1</v>
      </c>
      <c r="L3817">
        <v>2</v>
      </c>
      <c r="M3817">
        <v>283</v>
      </c>
      <c r="N3817">
        <v>116</v>
      </c>
      <c r="O3817">
        <v>2</v>
      </c>
      <c r="P3817">
        <v>116</v>
      </c>
      <c r="Q3817">
        <v>7</v>
      </c>
      <c r="R3817">
        <v>19</v>
      </c>
      <c r="S3817">
        <v>8</v>
      </c>
      <c r="T3817">
        <v>3</v>
      </c>
      <c r="U3817">
        <v>24</v>
      </c>
      <c r="V3817">
        <v>4</v>
      </c>
      <c r="W3817">
        <v>1</v>
      </c>
      <c r="X3817">
        <v>42</v>
      </c>
      <c r="Y3817">
        <v>0</v>
      </c>
      <c r="Z3817">
        <v>4</v>
      </c>
      <c r="AA3817">
        <v>0</v>
      </c>
      <c r="AB3817">
        <v>1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3</v>
      </c>
      <c r="AK3817">
        <v>116</v>
      </c>
      <c r="AL3817">
        <v>116</v>
      </c>
      <c r="AM3817">
        <v>356</v>
      </c>
      <c r="AN3817">
        <v>44</v>
      </c>
      <c r="AP3817">
        <v>1</v>
      </c>
      <c r="AR3817" t="s">
        <v>3915</v>
      </c>
      <c r="AS3817" s="1">
        <v>44354.107638888891</v>
      </c>
      <c r="AT3817" s="1">
        <v>44354.110590277778</v>
      </c>
      <c r="AU3817" s="1">
        <v>44354.112615740742</v>
      </c>
      <c r="AV3817" t="s">
        <v>71</v>
      </c>
      <c r="AW3817" t="s">
        <v>72</v>
      </c>
      <c r="AX3817" t="s">
        <v>73</v>
      </c>
    </row>
    <row r="3818" spans="1:50" x14ac:dyDescent="0.3">
      <c r="A3818" t="str">
        <f>"201266B0000"</f>
        <v>201266B0000</v>
      </c>
      <c r="B3818" t="str">
        <f>"201266B00002"</f>
        <v>201266B00002</v>
      </c>
      <c r="C3818" t="str">
        <f t="shared" si="198"/>
        <v>20</v>
      </c>
      <c r="D3818" t="s">
        <v>67</v>
      </c>
      <c r="E3818" t="str">
        <f t="shared" si="197"/>
        <v>017</v>
      </c>
      <c r="F3818" t="s">
        <v>3808</v>
      </c>
      <c r="G3818" t="str">
        <f>"1266"</f>
        <v>1266</v>
      </c>
      <c r="H3818" t="str">
        <f>"0000"</f>
        <v>0000</v>
      </c>
      <c r="I3818" t="s">
        <v>69</v>
      </c>
      <c r="J3818">
        <v>0</v>
      </c>
      <c r="K3818">
        <v>1</v>
      </c>
      <c r="L3818">
        <v>2</v>
      </c>
      <c r="M3818">
        <v>501</v>
      </c>
      <c r="N3818">
        <v>189</v>
      </c>
      <c r="O3818">
        <v>0</v>
      </c>
      <c r="P3818">
        <v>189</v>
      </c>
      <c r="Q3818">
        <v>9</v>
      </c>
      <c r="R3818">
        <v>52</v>
      </c>
      <c r="S3818">
        <v>12</v>
      </c>
      <c r="T3818">
        <v>3</v>
      </c>
      <c r="U3818">
        <v>25</v>
      </c>
      <c r="V3818">
        <v>3</v>
      </c>
      <c r="W3818">
        <v>3</v>
      </c>
      <c r="X3818">
        <v>65</v>
      </c>
      <c r="Y3818">
        <v>2</v>
      </c>
      <c r="Z3818">
        <v>4</v>
      </c>
      <c r="AA3818">
        <v>1</v>
      </c>
      <c r="AB3818">
        <v>1</v>
      </c>
      <c r="AD3818">
        <v>0</v>
      </c>
      <c r="AE3818">
        <v>1</v>
      </c>
      <c r="AF3818">
        <v>0</v>
      </c>
      <c r="AG3818">
        <v>0</v>
      </c>
      <c r="AH3818">
        <v>0</v>
      </c>
      <c r="AI3818">
        <v>0</v>
      </c>
      <c r="AJ3818">
        <v>8</v>
      </c>
      <c r="AK3818">
        <v>189</v>
      </c>
      <c r="AL3818">
        <v>189</v>
      </c>
      <c r="AM3818">
        <v>746</v>
      </c>
      <c r="AN3818">
        <v>44</v>
      </c>
      <c r="AP3818">
        <v>1</v>
      </c>
      <c r="AR3818" t="s">
        <v>3916</v>
      </c>
      <c r="AS3818" s="1">
        <v>44354.045138888891</v>
      </c>
      <c r="AT3818" s="1">
        <v>44354.052800925929</v>
      </c>
      <c r="AU3818" s="1">
        <v>44354.053483796299</v>
      </c>
      <c r="AV3818" t="s">
        <v>71</v>
      </c>
      <c r="AW3818" t="s">
        <v>72</v>
      </c>
      <c r="AX3818" t="s">
        <v>73</v>
      </c>
    </row>
    <row r="3819" spans="1:50" x14ac:dyDescent="0.3">
      <c r="A3819" t="str">
        <f>"201266C0100"</f>
        <v>201266C0100</v>
      </c>
      <c r="B3819" t="str">
        <f>"201266C01002"</f>
        <v>201266C01002</v>
      </c>
      <c r="C3819" t="str">
        <f t="shared" si="198"/>
        <v>20</v>
      </c>
      <c r="D3819" t="s">
        <v>67</v>
      </c>
      <c r="E3819" t="str">
        <f t="shared" si="197"/>
        <v>017</v>
      </c>
      <c r="F3819" t="s">
        <v>3808</v>
      </c>
      <c r="G3819" t="str">
        <f>"1266"</f>
        <v>1266</v>
      </c>
      <c r="H3819" t="str">
        <f>"0001"</f>
        <v>0001</v>
      </c>
      <c r="I3819" t="s">
        <v>75</v>
      </c>
      <c r="J3819">
        <v>0</v>
      </c>
      <c r="K3819">
        <v>1</v>
      </c>
      <c r="L3819">
        <v>2</v>
      </c>
      <c r="M3819">
        <v>596</v>
      </c>
      <c r="N3819">
        <v>193</v>
      </c>
      <c r="O3819">
        <v>4</v>
      </c>
      <c r="P3819">
        <v>193</v>
      </c>
      <c r="Q3819">
        <v>10</v>
      </c>
      <c r="R3819">
        <v>68</v>
      </c>
      <c r="S3819">
        <v>6</v>
      </c>
      <c r="T3819">
        <v>2</v>
      </c>
      <c r="U3819">
        <v>24</v>
      </c>
      <c r="V3819">
        <v>1</v>
      </c>
      <c r="W3819">
        <v>1</v>
      </c>
      <c r="X3819">
        <v>64</v>
      </c>
      <c r="Y3819">
        <v>1</v>
      </c>
      <c r="Z3819">
        <v>6</v>
      </c>
      <c r="AA3819">
        <v>0</v>
      </c>
      <c r="AB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10</v>
      </c>
      <c r="AK3819">
        <v>193</v>
      </c>
      <c r="AL3819">
        <v>193</v>
      </c>
      <c r="AM3819">
        <v>745</v>
      </c>
      <c r="AN3819">
        <v>44</v>
      </c>
      <c r="AP3819">
        <v>1</v>
      </c>
      <c r="AR3819" t="s">
        <v>3917</v>
      </c>
      <c r="AS3819" s="1">
        <v>44354.052083333336</v>
      </c>
      <c r="AT3819" s="1">
        <v>44354.059976851851</v>
      </c>
      <c r="AU3819" s="1">
        <v>44354.060381944444</v>
      </c>
      <c r="AV3819" t="s">
        <v>71</v>
      </c>
      <c r="AW3819" t="s">
        <v>72</v>
      </c>
      <c r="AX3819" t="s">
        <v>73</v>
      </c>
    </row>
    <row r="3820" spans="1:50" x14ac:dyDescent="0.3">
      <c r="A3820" t="str">
        <f>"201271B0000"</f>
        <v>201271B0000</v>
      </c>
      <c r="B3820" t="str">
        <f>"201271B00002"</f>
        <v>201271B00002</v>
      </c>
      <c r="C3820" t="str">
        <f t="shared" si="198"/>
        <v>20</v>
      </c>
      <c r="D3820" t="s">
        <v>67</v>
      </c>
      <c r="E3820" t="str">
        <f t="shared" si="197"/>
        <v>017</v>
      </c>
      <c r="F3820" t="s">
        <v>3808</v>
      </c>
      <c r="G3820" t="str">
        <f>"1271"</f>
        <v>1271</v>
      </c>
      <c r="H3820" t="str">
        <f>"0000"</f>
        <v>0000</v>
      </c>
      <c r="I3820" t="s">
        <v>69</v>
      </c>
      <c r="J3820">
        <v>0</v>
      </c>
      <c r="K3820">
        <v>1</v>
      </c>
      <c r="L3820">
        <v>2</v>
      </c>
      <c r="M3820" t="s">
        <v>99</v>
      </c>
      <c r="N3820" t="s">
        <v>99</v>
      </c>
      <c r="O3820" t="s">
        <v>99</v>
      </c>
      <c r="P3820">
        <v>189</v>
      </c>
      <c r="Q3820">
        <v>13</v>
      </c>
      <c r="R3820">
        <v>72</v>
      </c>
      <c r="S3820">
        <v>2</v>
      </c>
      <c r="T3820">
        <v>5</v>
      </c>
      <c r="U3820">
        <v>18</v>
      </c>
      <c r="V3820">
        <v>2</v>
      </c>
      <c r="W3820">
        <v>2</v>
      </c>
      <c r="X3820">
        <v>51</v>
      </c>
      <c r="Y3820">
        <v>10</v>
      </c>
      <c r="Z3820">
        <v>2</v>
      </c>
      <c r="AA3820">
        <v>2</v>
      </c>
      <c r="AB3820">
        <v>2</v>
      </c>
      <c r="AD3820">
        <v>1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7</v>
      </c>
      <c r="AK3820">
        <v>189</v>
      </c>
      <c r="AL3820">
        <v>189</v>
      </c>
      <c r="AM3820">
        <v>378</v>
      </c>
      <c r="AN3820">
        <v>44</v>
      </c>
      <c r="AP3820">
        <v>1</v>
      </c>
      <c r="AR3820" t="s">
        <v>3918</v>
      </c>
      <c r="AS3820" s="1">
        <v>44354.400000000001</v>
      </c>
      <c r="AT3820" s="1">
        <v>44354.414872685185</v>
      </c>
      <c r="AU3820" s="1">
        <v>44354.459560185183</v>
      </c>
      <c r="AV3820" t="s">
        <v>71</v>
      </c>
      <c r="AW3820" t="s">
        <v>72</v>
      </c>
      <c r="AX3820" t="s">
        <v>73</v>
      </c>
    </row>
    <row r="3821" spans="1:50" x14ac:dyDescent="0.3">
      <c r="A3821" t="str">
        <f>"201271E0100"</f>
        <v>201271E0100</v>
      </c>
      <c r="B3821" t="str">
        <f>"201271E01002"</f>
        <v>201271E01002</v>
      </c>
      <c r="C3821" t="str">
        <f t="shared" si="198"/>
        <v>20</v>
      </c>
      <c r="D3821" t="s">
        <v>67</v>
      </c>
      <c r="E3821" t="str">
        <f t="shared" si="197"/>
        <v>017</v>
      </c>
      <c r="F3821" t="s">
        <v>3808</v>
      </c>
      <c r="G3821" t="str">
        <f>"1271"</f>
        <v>1271</v>
      </c>
      <c r="H3821" t="str">
        <f>"0001"</f>
        <v>0001</v>
      </c>
      <c r="I3821" t="s">
        <v>109</v>
      </c>
      <c r="J3821">
        <v>0</v>
      </c>
      <c r="K3821">
        <v>1</v>
      </c>
      <c r="L3821">
        <v>2</v>
      </c>
      <c r="M3821">
        <v>112</v>
      </c>
      <c r="N3821">
        <v>56</v>
      </c>
      <c r="O3821">
        <v>4</v>
      </c>
      <c r="P3821">
        <v>56</v>
      </c>
      <c r="Q3821">
        <v>0</v>
      </c>
      <c r="R3821">
        <v>35</v>
      </c>
      <c r="S3821">
        <v>0</v>
      </c>
      <c r="T3821">
        <v>0</v>
      </c>
      <c r="U3821">
        <v>10</v>
      </c>
      <c r="V3821">
        <v>0</v>
      </c>
      <c r="W3821">
        <v>1</v>
      </c>
      <c r="X3821">
        <v>5</v>
      </c>
      <c r="Y3821">
        <v>1</v>
      </c>
      <c r="Z3821">
        <v>1</v>
      </c>
      <c r="AA3821">
        <v>0</v>
      </c>
      <c r="AB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3</v>
      </c>
      <c r="AK3821">
        <v>56</v>
      </c>
      <c r="AL3821">
        <v>56</v>
      </c>
      <c r="AM3821">
        <v>124</v>
      </c>
      <c r="AN3821">
        <v>44</v>
      </c>
      <c r="AP3821">
        <v>1</v>
      </c>
      <c r="AR3821" t="s">
        <v>3919</v>
      </c>
      <c r="AS3821" s="1">
        <v>44354.143750000003</v>
      </c>
      <c r="AT3821" s="1">
        <v>44354.144745370373</v>
      </c>
      <c r="AU3821" s="1">
        <v>44354.145219907405</v>
      </c>
      <c r="AV3821" t="s">
        <v>71</v>
      </c>
      <c r="AW3821" t="s">
        <v>72</v>
      </c>
      <c r="AX3821" t="s">
        <v>73</v>
      </c>
    </row>
    <row r="3822" spans="1:50" x14ac:dyDescent="0.3">
      <c r="A3822" t="str">
        <f>"201272B0000"</f>
        <v>201272B0000</v>
      </c>
      <c r="B3822" t="str">
        <f>"201272B00002"</f>
        <v>201272B00002</v>
      </c>
      <c r="C3822" t="str">
        <f t="shared" si="198"/>
        <v>20</v>
      </c>
      <c r="D3822" t="s">
        <v>67</v>
      </c>
      <c r="E3822" t="str">
        <f t="shared" si="197"/>
        <v>017</v>
      </c>
      <c r="F3822" t="s">
        <v>3808</v>
      </c>
      <c r="G3822" t="str">
        <f>"1272"</f>
        <v>1272</v>
      </c>
      <c r="H3822" t="str">
        <f>"0000"</f>
        <v>0000</v>
      </c>
      <c r="I3822" t="s">
        <v>69</v>
      </c>
      <c r="J3822">
        <v>0</v>
      </c>
      <c r="K3822">
        <v>1</v>
      </c>
      <c r="L3822">
        <v>2</v>
      </c>
      <c r="M3822">
        <v>365</v>
      </c>
      <c r="N3822">
        <v>256</v>
      </c>
      <c r="O3822">
        <v>0</v>
      </c>
      <c r="P3822">
        <v>256</v>
      </c>
      <c r="Q3822">
        <v>8</v>
      </c>
      <c r="R3822">
        <v>87</v>
      </c>
      <c r="S3822">
        <v>9</v>
      </c>
      <c r="T3822">
        <v>11</v>
      </c>
      <c r="U3822">
        <v>28</v>
      </c>
      <c r="V3822">
        <v>1</v>
      </c>
      <c r="W3822">
        <v>2</v>
      </c>
      <c r="X3822">
        <v>71</v>
      </c>
      <c r="Y3822">
        <v>13</v>
      </c>
      <c r="Z3822">
        <v>5</v>
      </c>
      <c r="AA3822">
        <v>6</v>
      </c>
      <c r="AB3822">
        <v>2</v>
      </c>
      <c r="AD3822">
        <v>2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10</v>
      </c>
      <c r="AK3822">
        <v>256</v>
      </c>
      <c r="AL3822">
        <v>255</v>
      </c>
      <c r="AM3822">
        <v>577</v>
      </c>
      <c r="AN3822">
        <v>44</v>
      </c>
      <c r="AP3822">
        <v>1</v>
      </c>
      <c r="AR3822" t="s">
        <v>3920</v>
      </c>
      <c r="AS3822" s="1">
        <v>44354.143750000003</v>
      </c>
      <c r="AT3822" s="1">
        <v>44354.14576388889</v>
      </c>
      <c r="AU3822" s="1">
        <v>44354.146643518521</v>
      </c>
      <c r="AV3822" t="s">
        <v>71</v>
      </c>
      <c r="AW3822" t="s">
        <v>72</v>
      </c>
      <c r="AX3822" t="s">
        <v>73</v>
      </c>
    </row>
    <row r="3823" spans="1:50" x14ac:dyDescent="0.3">
      <c r="A3823" t="str">
        <f>"201273B0000"</f>
        <v>201273B0000</v>
      </c>
      <c r="B3823" t="str">
        <f>"201273B00002"</f>
        <v>201273B00002</v>
      </c>
      <c r="C3823" t="str">
        <f t="shared" si="198"/>
        <v>20</v>
      </c>
      <c r="D3823" t="s">
        <v>67</v>
      </c>
      <c r="E3823" t="str">
        <f t="shared" si="197"/>
        <v>017</v>
      </c>
      <c r="F3823" t="s">
        <v>3808</v>
      </c>
      <c r="G3823" t="str">
        <f>"1273"</f>
        <v>1273</v>
      </c>
      <c r="H3823" t="str">
        <f>"0000"</f>
        <v>0000</v>
      </c>
      <c r="I3823" t="s">
        <v>69</v>
      </c>
      <c r="J3823">
        <v>0</v>
      </c>
      <c r="K3823">
        <v>1</v>
      </c>
      <c r="L3823">
        <v>2</v>
      </c>
      <c r="M3823">
        <v>338</v>
      </c>
      <c r="N3823">
        <v>170</v>
      </c>
      <c r="O3823">
        <v>0</v>
      </c>
      <c r="P3823">
        <v>170</v>
      </c>
      <c r="Q3823">
        <v>7</v>
      </c>
      <c r="R3823">
        <v>76</v>
      </c>
      <c r="S3823">
        <v>1</v>
      </c>
      <c r="T3823">
        <v>3</v>
      </c>
      <c r="U3823">
        <v>30</v>
      </c>
      <c r="V3823">
        <v>0</v>
      </c>
      <c r="W3823">
        <v>8</v>
      </c>
      <c r="X3823">
        <v>24</v>
      </c>
      <c r="Y3823">
        <v>0</v>
      </c>
      <c r="Z3823">
        <v>6</v>
      </c>
      <c r="AA3823">
        <v>0</v>
      </c>
      <c r="AB3823">
        <v>1</v>
      </c>
      <c r="AD3823">
        <v>0</v>
      </c>
      <c r="AE3823">
        <v>1</v>
      </c>
      <c r="AF3823">
        <v>0</v>
      </c>
      <c r="AG3823">
        <v>0</v>
      </c>
      <c r="AH3823">
        <v>0</v>
      </c>
      <c r="AI3823">
        <v>0</v>
      </c>
      <c r="AJ3823">
        <v>13</v>
      </c>
      <c r="AK3823">
        <v>170</v>
      </c>
      <c r="AL3823">
        <v>170</v>
      </c>
      <c r="AM3823">
        <v>464</v>
      </c>
      <c r="AN3823">
        <v>44</v>
      </c>
      <c r="AP3823">
        <v>1</v>
      </c>
      <c r="AR3823" t="s">
        <v>3921</v>
      </c>
      <c r="AS3823" s="1">
        <v>44354.206944444442</v>
      </c>
      <c r="AT3823" s="1">
        <v>44354.210150462961</v>
      </c>
      <c r="AU3823" s="1">
        <v>44354.210462962961</v>
      </c>
      <c r="AV3823" t="s">
        <v>71</v>
      </c>
      <c r="AW3823" t="s">
        <v>72</v>
      </c>
      <c r="AX3823" t="s">
        <v>73</v>
      </c>
    </row>
    <row r="3824" spans="1:50" x14ac:dyDescent="0.3">
      <c r="A3824" t="str">
        <f>"201273C0100"</f>
        <v>201273C0100</v>
      </c>
      <c r="B3824" t="str">
        <f>"201273C01002"</f>
        <v>201273C01002</v>
      </c>
      <c r="C3824" t="str">
        <f t="shared" si="198"/>
        <v>20</v>
      </c>
      <c r="D3824" t="s">
        <v>67</v>
      </c>
      <c r="E3824" t="str">
        <f t="shared" si="197"/>
        <v>017</v>
      </c>
      <c r="F3824" t="s">
        <v>3808</v>
      </c>
      <c r="G3824" t="str">
        <f>"1273"</f>
        <v>1273</v>
      </c>
      <c r="H3824" t="str">
        <f>"0001"</f>
        <v>0001</v>
      </c>
      <c r="I3824" t="s">
        <v>75</v>
      </c>
      <c r="J3824">
        <v>0</v>
      </c>
      <c r="K3824">
        <v>1</v>
      </c>
      <c r="L3824">
        <v>2</v>
      </c>
      <c r="M3824">
        <v>354</v>
      </c>
      <c r="N3824">
        <v>154</v>
      </c>
      <c r="O3824">
        <v>0</v>
      </c>
      <c r="P3824">
        <v>154</v>
      </c>
      <c r="Q3824">
        <v>5</v>
      </c>
      <c r="R3824">
        <v>77</v>
      </c>
      <c r="S3824">
        <v>1</v>
      </c>
      <c r="T3824">
        <v>2</v>
      </c>
      <c r="U3824">
        <v>14</v>
      </c>
      <c r="V3824">
        <v>1</v>
      </c>
      <c r="W3824">
        <v>6</v>
      </c>
      <c r="X3824">
        <v>21</v>
      </c>
      <c r="Y3824">
        <v>4</v>
      </c>
      <c r="Z3824">
        <v>9</v>
      </c>
      <c r="AA3824">
        <v>2</v>
      </c>
      <c r="AB3824">
        <v>0</v>
      </c>
      <c r="AD3824">
        <v>0</v>
      </c>
      <c r="AE3824">
        <v>3</v>
      </c>
      <c r="AF3824">
        <v>0</v>
      </c>
      <c r="AG3824">
        <v>0</v>
      </c>
      <c r="AH3824">
        <v>0</v>
      </c>
      <c r="AI3824">
        <v>0</v>
      </c>
      <c r="AJ3824">
        <v>9</v>
      </c>
      <c r="AK3824">
        <v>154</v>
      </c>
      <c r="AL3824">
        <v>154</v>
      </c>
      <c r="AM3824">
        <v>464</v>
      </c>
      <c r="AN3824">
        <v>44</v>
      </c>
      <c r="AP3824">
        <v>1</v>
      </c>
      <c r="AR3824" t="s">
        <v>3922</v>
      </c>
      <c r="AS3824" s="1">
        <v>44354.203472222223</v>
      </c>
      <c r="AT3824" s="1">
        <v>44354.207511574074</v>
      </c>
      <c r="AU3824" s="1">
        <v>44354.208587962959</v>
      </c>
      <c r="AV3824" t="s">
        <v>71</v>
      </c>
      <c r="AW3824" t="s">
        <v>72</v>
      </c>
      <c r="AX3824" t="s">
        <v>73</v>
      </c>
    </row>
    <row r="3825" spans="1:50" x14ac:dyDescent="0.3">
      <c r="A3825" t="str">
        <f>"201274B0000"</f>
        <v>201274B0000</v>
      </c>
      <c r="B3825" t="str">
        <f>"201274B00002"</f>
        <v>201274B00002</v>
      </c>
      <c r="C3825" t="str">
        <f t="shared" si="198"/>
        <v>20</v>
      </c>
      <c r="D3825" t="s">
        <v>67</v>
      </c>
      <c r="E3825" t="str">
        <f t="shared" si="197"/>
        <v>017</v>
      </c>
      <c r="F3825" t="s">
        <v>3808</v>
      </c>
      <c r="G3825" t="str">
        <f>"1274"</f>
        <v>1274</v>
      </c>
      <c r="H3825" t="str">
        <f>"0000"</f>
        <v>0000</v>
      </c>
      <c r="I3825" t="s">
        <v>69</v>
      </c>
      <c r="J3825">
        <v>0</v>
      </c>
      <c r="K3825">
        <v>1</v>
      </c>
      <c r="L3825">
        <v>2</v>
      </c>
      <c r="M3825">
        <v>300</v>
      </c>
      <c r="N3825">
        <v>177</v>
      </c>
      <c r="O3825">
        <v>0</v>
      </c>
      <c r="P3825">
        <v>177</v>
      </c>
      <c r="Q3825">
        <v>6</v>
      </c>
      <c r="R3825">
        <v>99</v>
      </c>
      <c r="S3825">
        <v>4</v>
      </c>
      <c r="T3825">
        <v>8</v>
      </c>
      <c r="U3825">
        <v>18</v>
      </c>
      <c r="V3825">
        <v>1</v>
      </c>
      <c r="W3825">
        <v>2</v>
      </c>
      <c r="X3825">
        <v>28</v>
      </c>
      <c r="Y3825">
        <v>4</v>
      </c>
      <c r="Z3825">
        <v>1</v>
      </c>
      <c r="AA3825">
        <v>1</v>
      </c>
      <c r="AB3825">
        <v>1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4</v>
      </c>
      <c r="AK3825">
        <v>177</v>
      </c>
      <c r="AL3825">
        <v>177</v>
      </c>
      <c r="AM3825">
        <v>433</v>
      </c>
      <c r="AN3825">
        <v>44</v>
      </c>
      <c r="AP3825">
        <v>1</v>
      </c>
      <c r="AR3825" t="s">
        <v>3923</v>
      </c>
      <c r="AS3825" s="1">
        <v>44354.202777777777</v>
      </c>
      <c r="AT3825" s="1">
        <v>44354.206203703703</v>
      </c>
      <c r="AU3825" s="1">
        <v>44354.206921296296</v>
      </c>
      <c r="AV3825" t="s">
        <v>71</v>
      </c>
      <c r="AW3825" t="s">
        <v>72</v>
      </c>
      <c r="AX3825" t="s">
        <v>73</v>
      </c>
    </row>
    <row r="3826" spans="1:50" x14ac:dyDescent="0.3">
      <c r="A3826" t="str">
        <f>"201274C0100"</f>
        <v>201274C0100</v>
      </c>
      <c r="B3826" t="str">
        <f>"201274C01002"</f>
        <v>201274C01002</v>
      </c>
      <c r="C3826" t="str">
        <f t="shared" si="198"/>
        <v>20</v>
      </c>
      <c r="D3826" t="s">
        <v>67</v>
      </c>
      <c r="E3826" t="str">
        <f t="shared" si="197"/>
        <v>017</v>
      </c>
      <c r="F3826" t="s">
        <v>3808</v>
      </c>
      <c r="G3826" t="str">
        <f>"1274"</f>
        <v>1274</v>
      </c>
      <c r="H3826" t="str">
        <f>"0001"</f>
        <v>0001</v>
      </c>
      <c r="I3826" t="s">
        <v>75</v>
      </c>
      <c r="J3826">
        <v>0</v>
      </c>
      <c r="K3826">
        <v>1</v>
      </c>
      <c r="L3826">
        <v>2</v>
      </c>
      <c r="M3826">
        <v>333</v>
      </c>
      <c r="N3826">
        <v>144</v>
      </c>
      <c r="O3826">
        <v>2</v>
      </c>
      <c r="P3826">
        <v>144</v>
      </c>
      <c r="Q3826">
        <v>3</v>
      </c>
      <c r="R3826">
        <v>78</v>
      </c>
      <c r="S3826">
        <v>6</v>
      </c>
      <c r="T3826">
        <v>6</v>
      </c>
      <c r="U3826">
        <v>21</v>
      </c>
      <c r="V3826">
        <v>0</v>
      </c>
      <c r="W3826">
        <v>0</v>
      </c>
      <c r="X3826">
        <v>18</v>
      </c>
      <c r="Y3826">
        <v>5</v>
      </c>
      <c r="Z3826">
        <v>1</v>
      </c>
      <c r="AA3826">
        <v>1</v>
      </c>
      <c r="AB3826">
        <v>2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3</v>
      </c>
      <c r="AK3826">
        <v>144</v>
      </c>
      <c r="AL3826">
        <v>144</v>
      </c>
      <c r="AM3826">
        <v>433</v>
      </c>
      <c r="AN3826">
        <v>44</v>
      </c>
      <c r="AP3826">
        <v>1</v>
      </c>
      <c r="AR3826" t="s">
        <v>3924</v>
      </c>
      <c r="AS3826" s="1">
        <v>44354.206944444442</v>
      </c>
      <c r="AT3826" s="1">
        <v>44354.211145833331</v>
      </c>
      <c r="AU3826" s="1">
        <v>44354.21162037037</v>
      </c>
      <c r="AV3826" t="s">
        <v>71</v>
      </c>
      <c r="AW3826" t="s">
        <v>72</v>
      </c>
      <c r="AX3826" t="s">
        <v>73</v>
      </c>
    </row>
    <row r="3827" spans="1:50" x14ac:dyDescent="0.3">
      <c r="A3827" t="str">
        <f>"201407B0000"</f>
        <v>201407B0000</v>
      </c>
      <c r="B3827" t="str">
        <f>"201407B00002"</f>
        <v>201407B00002</v>
      </c>
      <c r="C3827" t="str">
        <f t="shared" si="198"/>
        <v>20</v>
      </c>
      <c r="D3827" t="s">
        <v>67</v>
      </c>
      <c r="E3827" t="str">
        <f t="shared" si="197"/>
        <v>017</v>
      </c>
      <c r="F3827" t="s">
        <v>3808</v>
      </c>
      <c r="G3827" t="str">
        <f>"1407"</f>
        <v>1407</v>
      </c>
      <c r="H3827" t="str">
        <f>"0000"</f>
        <v>0000</v>
      </c>
      <c r="I3827" t="s">
        <v>69</v>
      </c>
      <c r="J3827">
        <v>0</v>
      </c>
      <c r="K3827">
        <v>1</v>
      </c>
      <c r="L3827">
        <v>2</v>
      </c>
      <c r="M3827">
        <v>358</v>
      </c>
      <c r="N3827">
        <v>206</v>
      </c>
      <c r="O3827">
        <v>0</v>
      </c>
      <c r="P3827">
        <v>206</v>
      </c>
      <c r="Q3827">
        <v>6</v>
      </c>
      <c r="R3827">
        <v>24</v>
      </c>
      <c r="S3827">
        <v>10</v>
      </c>
      <c r="T3827">
        <v>3</v>
      </c>
      <c r="U3827">
        <v>48</v>
      </c>
      <c r="V3827">
        <v>5</v>
      </c>
      <c r="W3827">
        <v>4</v>
      </c>
      <c r="X3827">
        <v>70</v>
      </c>
      <c r="Y3827">
        <v>0</v>
      </c>
      <c r="Z3827">
        <v>6</v>
      </c>
      <c r="AA3827">
        <v>3</v>
      </c>
      <c r="AB3827">
        <v>1</v>
      </c>
      <c r="AD3827">
        <v>1</v>
      </c>
      <c r="AE3827">
        <v>5</v>
      </c>
      <c r="AF3827">
        <v>0</v>
      </c>
      <c r="AG3827">
        <v>0</v>
      </c>
      <c r="AH3827">
        <v>1</v>
      </c>
      <c r="AI3827">
        <v>0</v>
      </c>
      <c r="AJ3827">
        <v>19</v>
      </c>
      <c r="AK3827">
        <v>206</v>
      </c>
      <c r="AL3827">
        <v>206</v>
      </c>
      <c r="AM3827">
        <v>520</v>
      </c>
      <c r="AN3827">
        <v>44</v>
      </c>
      <c r="AP3827">
        <v>1</v>
      </c>
      <c r="AR3827" t="s">
        <v>3925</v>
      </c>
      <c r="AS3827" s="1">
        <v>44354.036805555559</v>
      </c>
      <c r="AT3827" s="1">
        <v>44354.047291666669</v>
      </c>
      <c r="AU3827" s="1">
        <v>44354.048113425924</v>
      </c>
      <c r="AV3827" t="s">
        <v>71</v>
      </c>
      <c r="AW3827" t="s">
        <v>72</v>
      </c>
      <c r="AX3827" t="s">
        <v>73</v>
      </c>
    </row>
    <row r="3828" spans="1:50" x14ac:dyDescent="0.3">
      <c r="A3828" t="str">
        <f>"201407C0100"</f>
        <v>201407C0100</v>
      </c>
      <c r="B3828" t="str">
        <f>"201407C01002"</f>
        <v>201407C01002</v>
      </c>
      <c r="C3828" t="str">
        <f t="shared" si="198"/>
        <v>20</v>
      </c>
      <c r="D3828" t="s">
        <v>67</v>
      </c>
      <c r="E3828" t="str">
        <f t="shared" si="197"/>
        <v>017</v>
      </c>
      <c r="F3828" t="s">
        <v>3808</v>
      </c>
      <c r="G3828" t="str">
        <f>"1407"</f>
        <v>1407</v>
      </c>
      <c r="H3828" t="str">
        <f>"0001"</f>
        <v>0001</v>
      </c>
      <c r="I3828" t="s">
        <v>75</v>
      </c>
      <c r="J3828">
        <v>0</v>
      </c>
      <c r="K3828">
        <v>1</v>
      </c>
      <c r="L3828">
        <v>2</v>
      </c>
      <c r="M3828">
        <v>371</v>
      </c>
      <c r="N3828">
        <v>193</v>
      </c>
      <c r="O3828">
        <v>0</v>
      </c>
      <c r="P3828">
        <v>193</v>
      </c>
      <c r="Q3828">
        <v>7</v>
      </c>
      <c r="R3828">
        <v>33</v>
      </c>
      <c r="S3828">
        <v>12</v>
      </c>
      <c r="T3828">
        <v>4</v>
      </c>
      <c r="U3828">
        <v>40</v>
      </c>
      <c r="V3828">
        <v>4</v>
      </c>
      <c r="W3828">
        <v>5</v>
      </c>
      <c r="X3828">
        <v>52</v>
      </c>
      <c r="Y3828">
        <v>2</v>
      </c>
      <c r="Z3828">
        <v>5</v>
      </c>
      <c r="AA3828">
        <v>0</v>
      </c>
      <c r="AB3828">
        <v>2</v>
      </c>
      <c r="AD3828">
        <v>0</v>
      </c>
      <c r="AE3828">
        <v>2</v>
      </c>
      <c r="AF3828">
        <v>1</v>
      </c>
      <c r="AG3828">
        <v>0</v>
      </c>
      <c r="AH3828">
        <v>0</v>
      </c>
      <c r="AI3828">
        <v>0</v>
      </c>
      <c r="AJ3828">
        <v>24</v>
      </c>
      <c r="AK3828">
        <v>193</v>
      </c>
      <c r="AL3828">
        <v>193</v>
      </c>
      <c r="AM3828">
        <v>520</v>
      </c>
      <c r="AN3828">
        <v>44</v>
      </c>
      <c r="AP3828">
        <v>1</v>
      </c>
      <c r="AR3828" t="s">
        <v>3926</v>
      </c>
      <c r="AS3828" s="1">
        <v>44354.040277777778</v>
      </c>
      <c r="AT3828" s="1">
        <v>44354.049872685187</v>
      </c>
      <c r="AU3828" s="1">
        <v>44354.050393518519</v>
      </c>
      <c r="AV3828" t="s">
        <v>71</v>
      </c>
      <c r="AW3828" t="s">
        <v>72</v>
      </c>
      <c r="AX3828" t="s">
        <v>73</v>
      </c>
    </row>
    <row r="3829" spans="1:50" x14ac:dyDescent="0.3">
      <c r="A3829" t="str">
        <f>"201407C0200"</f>
        <v>201407C0200</v>
      </c>
      <c r="B3829" t="str">
        <f>"201407C02002"</f>
        <v>201407C02002</v>
      </c>
      <c r="C3829" t="str">
        <f t="shared" si="198"/>
        <v>20</v>
      </c>
      <c r="D3829" t="s">
        <v>67</v>
      </c>
      <c r="E3829" t="str">
        <f t="shared" si="197"/>
        <v>017</v>
      </c>
      <c r="F3829" t="s">
        <v>3808</v>
      </c>
      <c r="G3829" t="str">
        <f>"1407"</f>
        <v>1407</v>
      </c>
      <c r="H3829" t="str">
        <f>"0002"</f>
        <v>0002</v>
      </c>
      <c r="I3829" t="s">
        <v>75</v>
      </c>
      <c r="J3829">
        <v>0</v>
      </c>
      <c r="K3829">
        <v>1</v>
      </c>
      <c r="L3829">
        <v>2</v>
      </c>
      <c r="M3829">
        <v>381</v>
      </c>
      <c r="N3829">
        <v>182</v>
      </c>
      <c r="O3829">
        <v>0</v>
      </c>
      <c r="P3829">
        <v>182</v>
      </c>
      <c r="Q3829">
        <v>8</v>
      </c>
      <c r="R3829">
        <v>24</v>
      </c>
      <c r="S3829">
        <v>14</v>
      </c>
      <c r="T3829">
        <v>8</v>
      </c>
      <c r="U3829">
        <v>27</v>
      </c>
      <c r="V3829">
        <v>3</v>
      </c>
      <c r="W3829">
        <v>2</v>
      </c>
      <c r="X3829">
        <v>56</v>
      </c>
      <c r="Y3829">
        <v>1</v>
      </c>
      <c r="Z3829">
        <v>6</v>
      </c>
      <c r="AA3829">
        <v>7</v>
      </c>
      <c r="AB3829">
        <v>5</v>
      </c>
      <c r="AD3829">
        <v>1</v>
      </c>
      <c r="AE3829">
        <v>2</v>
      </c>
      <c r="AF3829">
        <v>0</v>
      </c>
      <c r="AG3829">
        <v>0</v>
      </c>
      <c r="AH3829">
        <v>0</v>
      </c>
      <c r="AI3829">
        <v>0</v>
      </c>
      <c r="AJ3829">
        <v>18</v>
      </c>
      <c r="AK3829">
        <v>182</v>
      </c>
      <c r="AL3829">
        <v>182</v>
      </c>
      <c r="AM3829">
        <v>519</v>
      </c>
      <c r="AN3829">
        <v>44</v>
      </c>
      <c r="AP3829">
        <v>1</v>
      </c>
      <c r="AR3829" t="s">
        <v>3927</v>
      </c>
      <c r="AS3829" s="1">
        <v>44354.035416666666</v>
      </c>
      <c r="AT3829" s="1">
        <v>44354.043865740743</v>
      </c>
      <c r="AU3829" s="1">
        <v>44354.044270833336</v>
      </c>
      <c r="AV3829" t="s">
        <v>71</v>
      </c>
      <c r="AW3829" t="s">
        <v>72</v>
      </c>
      <c r="AX3829" t="s">
        <v>73</v>
      </c>
    </row>
    <row r="3830" spans="1:50" x14ac:dyDescent="0.3">
      <c r="A3830" t="str">
        <f>"201408B0000"</f>
        <v>201408B0000</v>
      </c>
      <c r="B3830" t="str">
        <f>"201408B00002"</f>
        <v>201408B00002</v>
      </c>
      <c r="C3830" t="str">
        <f t="shared" si="198"/>
        <v>20</v>
      </c>
      <c r="D3830" t="s">
        <v>67</v>
      </c>
      <c r="E3830" t="str">
        <f t="shared" si="197"/>
        <v>017</v>
      </c>
      <c r="F3830" t="s">
        <v>3808</v>
      </c>
      <c r="G3830" t="str">
        <f>"1408"</f>
        <v>1408</v>
      </c>
      <c r="H3830" t="str">
        <f>"0000"</f>
        <v>0000</v>
      </c>
      <c r="I3830" t="s">
        <v>69</v>
      </c>
      <c r="J3830">
        <v>0</v>
      </c>
      <c r="K3830">
        <v>1</v>
      </c>
      <c r="L3830">
        <v>2</v>
      </c>
      <c r="M3830">
        <v>297</v>
      </c>
      <c r="N3830">
        <v>126</v>
      </c>
      <c r="O3830">
        <v>0</v>
      </c>
      <c r="P3830">
        <v>126</v>
      </c>
      <c r="Q3830">
        <v>4</v>
      </c>
      <c r="R3830">
        <v>24</v>
      </c>
      <c r="S3830">
        <v>5</v>
      </c>
      <c r="T3830">
        <v>3</v>
      </c>
      <c r="U3830">
        <v>27</v>
      </c>
      <c r="V3830">
        <v>2</v>
      </c>
      <c r="W3830">
        <v>0</v>
      </c>
      <c r="X3830">
        <v>38</v>
      </c>
      <c r="Y3830">
        <v>2</v>
      </c>
      <c r="Z3830">
        <v>4</v>
      </c>
      <c r="AA3830">
        <v>5</v>
      </c>
      <c r="AB3830">
        <v>2</v>
      </c>
      <c r="AD3830">
        <v>0</v>
      </c>
      <c r="AE3830">
        <v>0</v>
      </c>
      <c r="AF3830">
        <v>0</v>
      </c>
      <c r="AG3830">
        <v>1</v>
      </c>
      <c r="AH3830">
        <v>0</v>
      </c>
      <c r="AI3830">
        <v>0</v>
      </c>
      <c r="AJ3830">
        <v>9</v>
      </c>
      <c r="AK3830">
        <v>126</v>
      </c>
      <c r="AL3830">
        <v>126</v>
      </c>
      <c r="AM3830">
        <v>379</v>
      </c>
      <c r="AN3830">
        <v>44</v>
      </c>
      <c r="AP3830">
        <v>1</v>
      </c>
      <c r="AR3830" t="s">
        <v>3928</v>
      </c>
      <c r="AS3830" s="1">
        <v>44354.056250000001</v>
      </c>
      <c r="AT3830" s="1">
        <v>44354.062905092593</v>
      </c>
      <c r="AU3830" s="1">
        <v>44354.063356481478</v>
      </c>
      <c r="AV3830" t="s">
        <v>71</v>
      </c>
      <c r="AW3830" t="s">
        <v>72</v>
      </c>
      <c r="AX3830" t="s">
        <v>73</v>
      </c>
    </row>
    <row r="3831" spans="1:50" x14ac:dyDescent="0.3">
      <c r="A3831" t="str">
        <f>"201408C0100"</f>
        <v>201408C0100</v>
      </c>
      <c r="B3831" t="str">
        <f>"201408C01002"</f>
        <v>201408C01002</v>
      </c>
      <c r="C3831" t="str">
        <f t="shared" si="198"/>
        <v>20</v>
      </c>
      <c r="D3831" t="s">
        <v>67</v>
      </c>
      <c r="E3831" t="str">
        <f t="shared" si="197"/>
        <v>017</v>
      </c>
      <c r="F3831" t="s">
        <v>3808</v>
      </c>
      <c r="G3831" t="str">
        <f>"1408"</f>
        <v>1408</v>
      </c>
      <c r="H3831" t="str">
        <f>"0001"</f>
        <v>0001</v>
      </c>
      <c r="I3831" t="s">
        <v>75</v>
      </c>
      <c r="J3831">
        <v>0</v>
      </c>
      <c r="K3831">
        <v>1</v>
      </c>
      <c r="L3831">
        <v>2</v>
      </c>
      <c r="M3831">
        <v>289</v>
      </c>
      <c r="N3831">
        <v>134</v>
      </c>
      <c r="O3831">
        <v>0</v>
      </c>
      <c r="P3831" t="s">
        <v>80</v>
      </c>
      <c r="Q3831">
        <v>5</v>
      </c>
      <c r="R3831">
        <v>24</v>
      </c>
      <c r="S3831">
        <v>11</v>
      </c>
      <c r="T3831">
        <v>3</v>
      </c>
      <c r="U3831">
        <v>24</v>
      </c>
      <c r="V3831">
        <v>0</v>
      </c>
      <c r="W3831">
        <v>0</v>
      </c>
      <c r="X3831">
        <v>44</v>
      </c>
      <c r="Y3831">
        <v>2</v>
      </c>
      <c r="Z3831">
        <v>1</v>
      </c>
      <c r="AA3831">
        <v>2</v>
      </c>
      <c r="AB3831">
        <v>4</v>
      </c>
      <c r="AD3831">
        <v>0</v>
      </c>
      <c r="AE3831">
        <v>1</v>
      </c>
      <c r="AF3831">
        <v>0</v>
      </c>
      <c r="AG3831">
        <v>0</v>
      </c>
      <c r="AH3831">
        <v>0</v>
      </c>
      <c r="AI3831">
        <v>0</v>
      </c>
      <c r="AJ3831">
        <v>13</v>
      </c>
      <c r="AK3831">
        <v>134</v>
      </c>
      <c r="AL3831">
        <v>134</v>
      </c>
      <c r="AM3831">
        <v>379</v>
      </c>
      <c r="AN3831">
        <v>44</v>
      </c>
      <c r="AP3831">
        <v>1</v>
      </c>
      <c r="AR3831" t="s">
        <v>3929</v>
      </c>
      <c r="AS3831" s="1">
        <v>44354.052083333336</v>
      </c>
      <c r="AT3831" s="1">
        <v>44354.059907407405</v>
      </c>
      <c r="AU3831" s="1">
        <v>44354.061122685183</v>
      </c>
      <c r="AV3831" t="s">
        <v>71</v>
      </c>
      <c r="AW3831" t="s">
        <v>72</v>
      </c>
      <c r="AX3831" t="s">
        <v>73</v>
      </c>
    </row>
    <row r="3832" spans="1:50" x14ac:dyDescent="0.3">
      <c r="A3832" t="str">
        <f>"201440B0000"</f>
        <v>201440B0000</v>
      </c>
      <c r="B3832" t="str">
        <f>"201440B00002"</f>
        <v>201440B00002</v>
      </c>
      <c r="C3832" t="str">
        <f t="shared" si="198"/>
        <v>20</v>
      </c>
      <c r="D3832" t="s">
        <v>67</v>
      </c>
      <c r="E3832" t="str">
        <f t="shared" si="197"/>
        <v>017</v>
      </c>
      <c r="F3832" t="s">
        <v>3808</v>
      </c>
      <c r="G3832" t="str">
        <f>"1440"</f>
        <v>1440</v>
      </c>
      <c r="H3832" t="str">
        <f>"0000"</f>
        <v>0000</v>
      </c>
      <c r="I3832" t="s">
        <v>69</v>
      </c>
      <c r="J3832">
        <v>0</v>
      </c>
      <c r="K3832">
        <v>1</v>
      </c>
      <c r="L3832">
        <v>2</v>
      </c>
      <c r="M3832">
        <v>225</v>
      </c>
      <c r="N3832">
        <v>496</v>
      </c>
      <c r="O3832">
        <v>4</v>
      </c>
      <c r="P3832">
        <v>496</v>
      </c>
      <c r="Q3832">
        <v>87</v>
      </c>
      <c r="R3832">
        <v>160</v>
      </c>
      <c r="S3832">
        <v>2</v>
      </c>
      <c r="T3832">
        <v>2</v>
      </c>
      <c r="U3832">
        <v>36</v>
      </c>
      <c r="V3832">
        <v>3</v>
      </c>
      <c r="W3832">
        <v>0</v>
      </c>
      <c r="X3832">
        <v>185</v>
      </c>
      <c r="Y3832">
        <v>5</v>
      </c>
      <c r="Z3832">
        <v>2</v>
      </c>
      <c r="AA3832">
        <v>2</v>
      </c>
      <c r="AB3832">
        <v>1</v>
      </c>
      <c r="AD3832">
        <v>1</v>
      </c>
      <c r="AE3832">
        <v>2</v>
      </c>
      <c r="AF3832">
        <v>0</v>
      </c>
      <c r="AG3832">
        <v>3</v>
      </c>
      <c r="AH3832">
        <v>0</v>
      </c>
      <c r="AI3832">
        <v>0</v>
      </c>
      <c r="AJ3832">
        <v>5</v>
      </c>
      <c r="AK3832">
        <v>496</v>
      </c>
      <c r="AL3832">
        <v>496</v>
      </c>
      <c r="AM3832">
        <v>677</v>
      </c>
      <c r="AN3832">
        <v>44</v>
      </c>
      <c r="AP3832">
        <v>1</v>
      </c>
      <c r="AR3832" t="s">
        <v>3930</v>
      </c>
      <c r="AS3832" s="1">
        <v>44354.058333333334</v>
      </c>
      <c r="AT3832" s="1">
        <v>44354.064768518518</v>
      </c>
      <c r="AU3832" s="1">
        <v>44354.065335648149</v>
      </c>
      <c r="AV3832" t="s">
        <v>71</v>
      </c>
      <c r="AW3832" t="s">
        <v>72</v>
      </c>
      <c r="AX3832" t="s">
        <v>73</v>
      </c>
    </row>
    <row r="3833" spans="1:50" x14ac:dyDescent="0.3">
      <c r="A3833" t="str">
        <f>"201440C0100"</f>
        <v>201440C0100</v>
      </c>
      <c r="B3833" t="str">
        <f>"201440C01002"</f>
        <v>201440C01002</v>
      </c>
      <c r="C3833" t="str">
        <f t="shared" si="198"/>
        <v>20</v>
      </c>
      <c r="D3833" t="s">
        <v>67</v>
      </c>
      <c r="E3833" t="str">
        <f t="shared" si="197"/>
        <v>017</v>
      </c>
      <c r="F3833" t="s">
        <v>3808</v>
      </c>
      <c r="G3833" t="str">
        <f>"1440"</f>
        <v>1440</v>
      </c>
      <c r="H3833" t="str">
        <f>"0001"</f>
        <v>0001</v>
      </c>
      <c r="I3833" t="s">
        <v>75</v>
      </c>
      <c r="J3833">
        <v>0</v>
      </c>
      <c r="K3833">
        <v>1</v>
      </c>
      <c r="L3833">
        <v>2</v>
      </c>
      <c r="M3833">
        <v>190</v>
      </c>
      <c r="N3833">
        <v>531</v>
      </c>
      <c r="O3833">
        <v>8</v>
      </c>
      <c r="P3833">
        <v>0</v>
      </c>
      <c r="Q3833">
        <v>69</v>
      </c>
      <c r="R3833">
        <v>184</v>
      </c>
      <c r="S3833">
        <v>4</v>
      </c>
      <c r="T3833">
        <v>2</v>
      </c>
      <c r="U3833">
        <v>49</v>
      </c>
      <c r="V3833">
        <v>5</v>
      </c>
      <c r="W3833">
        <v>0</v>
      </c>
      <c r="X3833">
        <v>195</v>
      </c>
      <c r="Y3833">
        <v>5</v>
      </c>
      <c r="Z3833">
        <v>1</v>
      </c>
      <c r="AA3833">
        <v>1</v>
      </c>
      <c r="AB3833">
        <v>0</v>
      </c>
      <c r="AD3833">
        <v>1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15</v>
      </c>
      <c r="AK3833">
        <v>531</v>
      </c>
      <c r="AL3833">
        <v>531</v>
      </c>
      <c r="AM3833">
        <v>677</v>
      </c>
      <c r="AN3833">
        <v>44</v>
      </c>
      <c r="AP3833">
        <v>1</v>
      </c>
      <c r="AR3833" t="s">
        <v>3931</v>
      </c>
      <c r="AS3833" s="1">
        <v>44354.060416666667</v>
      </c>
      <c r="AT3833" s="1">
        <v>44354.067812499998</v>
      </c>
      <c r="AU3833" s="1">
        <v>44354.068425925929</v>
      </c>
      <c r="AV3833" t="s">
        <v>71</v>
      </c>
      <c r="AW3833" t="s">
        <v>72</v>
      </c>
      <c r="AX3833" t="s">
        <v>73</v>
      </c>
    </row>
    <row r="3834" spans="1:50" x14ac:dyDescent="0.3">
      <c r="A3834" t="str">
        <f>"201441B0000"</f>
        <v>201441B0000</v>
      </c>
      <c r="B3834" t="str">
        <f>"201441B00002"</f>
        <v>201441B00002</v>
      </c>
      <c r="C3834" t="str">
        <f t="shared" si="198"/>
        <v>20</v>
      </c>
      <c r="D3834" t="s">
        <v>67</v>
      </c>
      <c r="E3834" t="str">
        <f t="shared" si="197"/>
        <v>017</v>
      </c>
      <c r="F3834" t="s">
        <v>3808</v>
      </c>
      <c r="G3834" t="str">
        <f>"1441"</f>
        <v>1441</v>
      </c>
      <c r="H3834" t="str">
        <f>"0000"</f>
        <v>0000</v>
      </c>
      <c r="I3834" t="s">
        <v>69</v>
      </c>
      <c r="J3834">
        <v>0</v>
      </c>
      <c r="K3834">
        <v>1</v>
      </c>
      <c r="L3834">
        <v>2</v>
      </c>
      <c r="M3834">
        <v>185</v>
      </c>
      <c r="N3834">
        <v>401</v>
      </c>
      <c r="O3834">
        <v>9</v>
      </c>
      <c r="P3834">
        <v>401</v>
      </c>
      <c r="Q3834">
        <v>53</v>
      </c>
      <c r="R3834">
        <v>111</v>
      </c>
      <c r="S3834">
        <v>3</v>
      </c>
      <c r="T3834">
        <v>6</v>
      </c>
      <c r="U3834">
        <v>29</v>
      </c>
      <c r="V3834">
        <v>2</v>
      </c>
      <c r="W3834">
        <v>0</v>
      </c>
      <c r="X3834">
        <v>177</v>
      </c>
      <c r="Y3834">
        <v>6</v>
      </c>
      <c r="Z3834">
        <v>1</v>
      </c>
      <c r="AA3834">
        <v>0</v>
      </c>
      <c r="AB3834">
        <v>0</v>
      </c>
      <c r="AD3834">
        <v>2</v>
      </c>
      <c r="AE3834">
        <v>1</v>
      </c>
      <c r="AF3834">
        <v>0</v>
      </c>
      <c r="AG3834">
        <v>1</v>
      </c>
      <c r="AH3834">
        <v>0</v>
      </c>
      <c r="AI3834">
        <v>0</v>
      </c>
      <c r="AJ3834">
        <v>9</v>
      </c>
      <c r="AK3834">
        <v>401</v>
      </c>
      <c r="AL3834">
        <v>401</v>
      </c>
      <c r="AM3834">
        <v>542</v>
      </c>
      <c r="AN3834">
        <v>44</v>
      </c>
      <c r="AP3834">
        <v>1</v>
      </c>
      <c r="AR3834" t="s">
        <v>3932</v>
      </c>
      <c r="AS3834" s="1">
        <v>44354.027777777781</v>
      </c>
      <c r="AT3834" s="1">
        <v>44354.036712962959</v>
      </c>
      <c r="AU3834" s="1">
        <v>44354.03733796296</v>
      </c>
      <c r="AV3834" t="s">
        <v>71</v>
      </c>
      <c r="AW3834" t="s">
        <v>72</v>
      </c>
      <c r="AX3834" t="s">
        <v>73</v>
      </c>
    </row>
    <row r="3835" spans="1:50" x14ac:dyDescent="0.3">
      <c r="A3835" t="str">
        <f>"201441C0100"</f>
        <v>201441C0100</v>
      </c>
      <c r="B3835" t="str">
        <f>"201441C01002"</f>
        <v>201441C01002</v>
      </c>
      <c r="C3835" t="str">
        <f t="shared" si="198"/>
        <v>20</v>
      </c>
      <c r="D3835" t="s">
        <v>67</v>
      </c>
      <c r="E3835" t="str">
        <f t="shared" si="197"/>
        <v>017</v>
      </c>
      <c r="F3835" t="s">
        <v>3808</v>
      </c>
      <c r="G3835" t="str">
        <f>"1441"</f>
        <v>1441</v>
      </c>
      <c r="H3835" t="str">
        <f>"0001"</f>
        <v>0001</v>
      </c>
      <c r="I3835" t="s">
        <v>75</v>
      </c>
      <c r="J3835">
        <v>0</v>
      </c>
      <c r="K3835">
        <v>1</v>
      </c>
      <c r="L3835">
        <v>2</v>
      </c>
      <c r="M3835">
        <v>177</v>
      </c>
      <c r="N3835">
        <v>409</v>
      </c>
      <c r="O3835">
        <v>10</v>
      </c>
      <c r="P3835">
        <v>409</v>
      </c>
      <c r="Q3835">
        <v>60</v>
      </c>
      <c r="R3835">
        <v>127</v>
      </c>
      <c r="S3835">
        <v>4</v>
      </c>
      <c r="T3835">
        <v>5</v>
      </c>
      <c r="U3835">
        <v>35</v>
      </c>
      <c r="V3835">
        <v>2</v>
      </c>
      <c r="W3835">
        <v>2</v>
      </c>
      <c r="X3835">
        <v>165</v>
      </c>
      <c r="Y3835">
        <v>3</v>
      </c>
      <c r="Z3835">
        <v>1</v>
      </c>
      <c r="AA3835">
        <v>0</v>
      </c>
      <c r="AB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5</v>
      </c>
      <c r="AK3835">
        <v>409</v>
      </c>
      <c r="AL3835">
        <v>409</v>
      </c>
      <c r="AM3835">
        <v>542</v>
      </c>
      <c r="AN3835">
        <v>44</v>
      </c>
      <c r="AP3835">
        <v>1</v>
      </c>
      <c r="AR3835" t="s">
        <v>3933</v>
      </c>
      <c r="AS3835" s="1">
        <v>44354.029861111114</v>
      </c>
      <c r="AT3835" s="1">
        <v>44354.039907407408</v>
      </c>
      <c r="AU3835" s="1">
        <v>44354.040613425925</v>
      </c>
      <c r="AV3835" t="s">
        <v>71</v>
      </c>
      <c r="AW3835" t="s">
        <v>72</v>
      </c>
      <c r="AX3835" t="s">
        <v>73</v>
      </c>
    </row>
    <row r="3836" spans="1:50" x14ac:dyDescent="0.3">
      <c r="A3836" t="str">
        <f>"201441S0100"</f>
        <v>201441S0100</v>
      </c>
      <c r="B3836" t="str">
        <f>"201441S01002EMR"</f>
        <v>201441S01002EMR</v>
      </c>
      <c r="C3836" t="str">
        <f t="shared" si="198"/>
        <v>20</v>
      </c>
      <c r="D3836" t="s">
        <v>67</v>
      </c>
      <c r="E3836" t="str">
        <f t="shared" si="197"/>
        <v>017</v>
      </c>
      <c r="F3836" t="s">
        <v>3808</v>
      </c>
      <c r="G3836" t="str">
        <f>"1441"</f>
        <v>1441</v>
      </c>
      <c r="H3836" t="str">
        <f>"0001"</f>
        <v>0001</v>
      </c>
      <c r="I3836" t="s">
        <v>85</v>
      </c>
      <c r="J3836">
        <v>0</v>
      </c>
      <c r="K3836">
        <v>1</v>
      </c>
      <c r="L3836" t="s">
        <v>86</v>
      </c>
      <c r="M3836">
        <v>904</v>
      </c>
      <c r="N3836">
        <v>31</v>
      </c>
      <c r="O3836">
        <v>0</v>
      </c>
      <c r="P3836">
        <v>31</v>
      </c>
      <c r="Q3836">
        <v>3</v>
      </c>
      <c r="R3836">
        <v>6</v>
      </c>
      <c r="S3836">
        <v>0</v>
      </c>
      <c r="T3836">
        <v>0</v>
      </c>
      <c r="U3836">
        <v>2</v>
      </c>
      <c r="V3836">
        <v>4</v>
      </c>
      <c r="W3836">
        <v>0</v>
      </c>
      <c r="X3836">
        <v>15</v>
      </c>
      <c r="Y3836">
        <v>0</v>
      </c>
      <c r="Z3836">
        <v>0</v>
      </c>
      <c r="AA3836">
        <v>0</v>
      </c>
      <c r="AB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1</v>
      </c>
      <c r="AK3836">
        <v>31</v>
      </c>
      <c r="AL3836">
        <v>31</v>
      </c>
      <c r="AM3836">
        <v>0</v>
      </c>
      <c r="AN3836">
        <v>44</v>
      </c>
      <c r="AP3836">
        <v>1</v>
      </c>
      <c r="AR3836" t="s">
        <v>3934</v>
      </c>
      <c r="AS3836" s="1">
        <v>44354.027083333334</v>
      </c>
      <c r="AT3836" s="1">
        <v>44354.03701388889</v>
      </c>
      <c r="AU3836" s="1">
        <v>44354.037766203706</v>
      </c>
      <c r="AV3836" t="s">
        <v>71</v>
      </c>
      <c r="AW3836" t="s">
        <v>72</v>
      </c>
      <c r="AX3836" t="s">
        <v>73</v>
      </c>
    </row>
    <row r="3837" spans="1:50" x14ac:dyDescent="0.3">
      <c r="A3837" t="str">
        <f>"201442B0000"</f>
        <v>201442B0000</v>
      </c>
      <c r="B3837" t="str">
        <f>"201442B00002"</f>
        <v>201442B00002</v>
      </c>
      <c r="C3837" t="str">
        <f t="shared" si="198"/>
        <v>20</v>
      </c>
      <c r="D3837" t="s">
        <v>67</v>
      </c>
      <c r="E3837" t="str">
        <f t="shared" si="197"/>
        <v>017</v>
      </c>
      <c r="F3837" t="s">
        <v>3808</v>
      </c>
      <c r="G3837" t="str">
        <f>"1442"</f>
        <v>1442</v>
      </c>
      <c r="H3837" t="str">
        <f>"0000"</f>
        <v>0000</v>
      </c>
      <c r="I3837" t="s">
        <v>69</v>
      </c>
      <c r="J3837">
        <v>0</v>
      </c>
      <c r="K3837">
        <v>1</v>
      </c>
      <c r="L3837">
        <v>2</v>
      </c>
      <c r="M3837">
        <v>250</v>
      </c>
      <c r="N3837">
        <v>504</v>
      </c>
      <c r="O3837">
        <v>8</v>
      </c>
      <c r="P3837">
        <v>505</v>
      </c>
      <c r="Q3837">
        <v>69</v>
      </c>
      <c r="R3837">
        <v>176</v>
      </c>
      <c r="S3837">
        <v>5</v>
      </c>
      <c r="T3837">
        <v>2</v>
      </c>
      <c r="U3837">
        <v>26</v>
      </c>
      <c r="V3837">
        <v>2</v>
      </c>
      <c r="W3837">
        <v>3</v>
      </c>
      <c r="X3837">
        <v>202</v>
      </c>
      <c r="Y3837">
        <v>1</v>
      </c>
      <c r="Z3837">
        <v>2</v>
      </c>
      <c r="AA3837">
        <v>1</v>
      </c>
      <c r="AB3837">
        <v>3</v>
      </c>
      <c r="AD3837">
        <v>0</v>
      </c>
      <c r="AE3837">
        <v>1</v>
      </c>
      <c r="AF3837">
        <v>1</v>
      </c>
      <c r="AG3837">
        <v>1</v>
      </c>
      <c r="AH3837">
        <v>0</v>
      </c>
      <c r="AI3837">
        <v>0</v>
      </c>
      <c r="AJ3837">
        <v>10</v>
      </c>
      <c r="AK3837">
        <v>505</v>
      </c>
      <c r="AL3837">
        <v>505</v>
      </c>
      <c r="AM3837">
        <v>710</v>
      </c>
      <c r="AN3837">
        <v>44</v>
      </c>
      <c r="AP3837">
        <v>1</v>
      </c>
      <c r="AR3837" t="s">
        <v>3935</v>
      </c>
      <c r="AS3837" s="1">
        <v>44354.05972222222</v>
      </c>
      <c r="AT3837" s="1">
        <v>44354.067974537036</v>
      </c>
      <c r="AU3837" s="1">
        <v>44354.068553240744</v>
      </c>
      <c r="AV3837" t="s">
        <v>71</v>
      </c>
      <c r="AW3837" t="s">
        <v>72</v>
      </c>
      <c r="AX3837" t="s">
        <v>73</v>
      </c>
    </row>
    <row r="3838" spans="1:50" x14ac:dyDescent="0.3">
      <c r="A3838" t="str">
        <f>"201442C0100"</f>
        <v>201442C0100</v>
      </c>
      <c r="B3838" t="str">
        <f>"201442C01002"</f>
        <v>201442C01002</v>
      </c>
      <c r="C3838" t="str">
        <f t="shared" si="198"/>
        <v>20</v>
      </c>
      <c r="D3838" t="s">
        <v>67</v>
      </c>
      <c r="E3838" t="str">
        <f t="shared" si="197"/>
        <v>017</v>
      </c>
      <c r="F3838" t="s">
        <v>3808</v>
      </c>
      <c r="G3838" t="str">
        <f>"1442"</f>
        <v>1442</v>
      </c>
      <c r="H3838" t="str">
        <f>"0001"</f>
        <v>0001</v>
      </c>
      <c r="I3838" t="s">
        <v>75</v>
      </c>
      <c r="J3838">
        <v>0</v>
      </c>
      <c r="K3838">
        <v>1</v>
      </c>
      <c r="L3838">
        <v>2</v>
      </c>
      <c r="M3838">
        <v>262</v>
      </c>
      <c r="N3838">
        <v>491</v>
      </c>
      <c r="O3838">
        <v>11</v>
      </c>
      <c r="P3838">
        <v>491</v>
      </c>
      <c r="Q3838">
        <v>95</v>
      </c>
      <c r="R3838">
        <v>141</v>
      </c>
      <c r="S3838">
        <v>4</v>
      </c>
      <c r="T3838">
        <v>8</v>
      </c>
      <c r="U3838">
        <v>32</v>
      </c>
      <c r="V3838">
        <v>8</v>
      </c>
      <c r="W3838">
        <v>3</v>
      </c>
      <c r="X3838">
        <v>180</v>
      </c>
      <c r="Y3838">
        <v>4</v>
      </c>
      <c r="Z3838">
        <v>2</v>
      </c>
      <c r="AA3838">
        <v>0</v>
      </c>
      <c r="AB3838">
        <v>2</v>
      </c>
      <c r="AD3838">
        <v>0</v>
      </c>
      <c r="AE3838">
        <v>0</v>
      </c>
      <c r="AF3838">
        <v>1</v>
      </c>
      <c r="AG3838">
        <v>0</v>
      </c>
      <c r="AH3838">
        <v>0</v>
      </c>
      <c r="AI3838">
        <v>0</v>
      </c>
      <c r="AJ3838">
        <v>11</v>
      </c>
      <c r="AK3838">
        <v>491</v>
      </c>
      <c r="AL3838">
        <v>491</v>
      </c>
      <c r="AM3838">
        <v>710</v>
      </c>
      <c r="AN3838">
        <v>44</v>
      </c>
      <c r="AP3838">
        <v>1</v>
      </c>
      <c r="AR3838" t="s">
        <v>3936</v>
      </c>
      <c r="AS3838" s="1">
        <v>44354.063194444447</v>
      </c>
      <c r="AT3838" s="1">
        <v>44354.070162037038</v>
      </c>
      <c r="AU3838" s="1">
        <v>44354.070960648147</v>
      </c>
      <c r="AV3838" t="s">
        <v>71</v>
      </c>
      <c r="AW3838" t="s">
        <v>72</v>
      </c>
      <c r="AX3838" t="s">
        <v>73</v>
      </c>
    </row>
    <row r="3839" spans="1:50" x14ac:dyDescent="0.3">
      <c r="A3839" t="str">
        <f>"201442E0100"</f>
        <v>201442E0100</v>
      </c>
      <c r="B3839" t="str">
        <f>"201442E01002"</f>
        <v>201442E01002</v>
      </c>
      <c r="C3839" t="str">
        <f t="shared" si="198"/>
        <v>20</v>
      </c>
      <c r="D3839" t="s">
        <v>67</v>
      </c>
      <c r="E3839" t="str">
        <f t="shared" ref="E3839:E3902" si="199">"017"</f>
        <v>017</v>
      </c>
      <c r="F3839" t="s">
        <v>3808</v>
      </c>
      <c r="G3839" t="str">
        <f>"1442"</f>
        <v>1442</v>
      </c>
      <c r="H3839" t="str">
        <f>"0001"</f>
        <v>0001</v>
      </c>
      <c r="I3839" t="s">
        <v>109</v>
      </c>
      <c r="J3839">
        <v>0</v>
      </c>
      <c r="K3839">
        <v>1</v>
      </c>
      <c r="L3839">
        <v>2</v>
      </c>
      <c r="M3839">
        <v>66</v>
      </c>
      <c r="N3839">
        <v>137</v>
      </c>
      <c r="O3839">
        <v>8</v>
      </c>
      <c r="P3839">
        <v>137</v>
      </c>
      <c r="Q3839">
        <v>41</v>
      </c>
      <c r="R3839">
        <v>53</v>
      </c>
      <c r="S3839">
        <v>1</v>
      </c>
      <c r="T3839">
        <v>4</v>
      </c>
      <c r="U3839">
        <v>3</v>
      </c>
      <c r="V3839">
        <v>1</v>
      </c>
      <c r="W3839">
        <v>1</v>
      </c>
      <c r="X3839">
        <v>26</v>
      </c>
      <c r="Y3839">
        <v>1</v>
      </c>
      <c r="Z3839">
        <v>1</v>
      </c>
      <c r="AA3839">
        <v>2</v>
      </c>
      <c r="AB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3</v>
      </c>
      <c r="AK3839">
        <v>137</v>
      </c>
      <c r="AL3839">
        <v>137</v>
      </c>
      <c r="AM3839">
        <v>159</v>
      </c>
      <c r="AN3839">
        <v>44</v>
      </c>
      <c r="AP3839">
        <v>1</v>
      </c>
      <c r="AR3839" t="s">
        <v>3937</v>
      </c>
      <c r="AS3839" s="1">
        <v>44354.069444444445</v>
      </c>
      <c r="AT3839" s="1">
        <v>44354.075856481482</v>
      </c>
      <c r="AU3839" s="1">
        <v>44354.076157407406</v>
      </c>
      <c r="AV3839" t="s">
        <v>71</v>
      </c>
      <c r="AW3839" t="s">
        <v>72</v>
      </c>
      <c r="AX3839" t="s">
        <v>73</v>
      </c>
    </row>
    <row r="3840" spans="1:50" x14ac:dyDescent="0.3">
      <c r="A3840" t="str">
        <f>"201443B0000"</f>
        <v>201443B0000</v>
      </c>
      <c r="B3840" t="str">
        <f>"201443B00002"</f>
        <v>201443B00002</v>
      </c>
      <c r="C3840" t="str">
        <f t="shared" si="198"/>
        <v>20</v>
      </c>
      <c r="D3840" t="s">
        <v>67</v>
      </c>
      <c r="E3840" t="str">
        <f t="shared" si="199"/>
        <v>017</v>
      </c>
      <c r="F3840" t="s">
        <v>3808</v>
      </c>
      <c r="G3840" t="str">
        <f>"1443"</f>
        <v>1443</v>
      </c>
      <c r="H3840" t="str">
        <f>"0000"</f>
        <v>0000</v>
      </c>
      <c r="I3840" t="s">
        <v>69</v>
      </c>
      <c r="J3840">
        <v>0</v>
      </c>
      <c r="K3840">
        <v>1</v>
      </c>
      <c r="L3840">
        <v>2</v>
      </c>
      <c r="M3840">
        <v>197</v>
      </c>
      <c r="N3840">
        <v>413</v>
      </c>
      <c r="O3840">
        <v>4</v>
      </c>
      <c r="P3840">
        <v>413</v>
      </c>
      <c r="Q3840">
        <v>63</v>
      </c>
      <c r="R3840">
        <v>141</v>
      </c>
      <c r="S3840">
        <v>7</v>
      </c>
      <c r="T3840">
        <v>7</v>
      </c>
      <c r="U3840">
        <v>23</v>
      </c>
      <c r="V3840">
        <v>2</v>
      </c>
      <c r="W3840">
        <v>0</v>
      </c>
      <c r="X3840">
        <v>142</v>
      </c>
      <c r="Y3840">
        <v>5</v>
      </c>
      <c r="Z3840">
        <v>1</v>
      </c>
      <c r="AA3840">
        <v>2</v>
      </c>
      <c r="AB3840">
        <v>2</v>
      </c>
      <c r="AD3840">
        <v>0</v>
      </c>
      <c r="AE3840">
        <v>0</v>
      </c>
      <c r="AF3840">
        <v>0</v>
      </c>
      <c r="AG3840">
        <v>0</v>
      </c>
      <c r="AH3840">
        <v>1</v>
      </c>
      <c r="AI3840">
        <v>0</v>
      </c>
      <c r="AJ3840">
        <v>17</v>
      </c>
      <c r="AK3840">
        <v>413</v>
      </c>
      <c r="AL3840">
        <v>413</v>
      </c>
      <c r="AM3840">
        <v>566</v>
      </c>
      <c r="AN3840">
        <v>44</v>
      </c>
      <c r="AP3840">
        <v>1</v>
      </c>
      <c r="AR3840" t="s">
        <v>3938</v>
      </c>
      <c r="AS3840" s="1">
        <v>44354.112500000003</v>
      </c>
      <c r="AT3840" s="1">
        <v>44354.117430555554</v>
      </c>
      <c r="AU3840" s="1">
        <v>44354.117905092593</v>
      </c>
      <c r="AV3840" t="s">
        <v>71</v>
      </c>
      <c r="AW3840" t="s">
        <v>72</v>
      </c>
      <c r="AX3840" t="s">
        <v>73</v>
      </c>
    </row>
    <row r="3841" spans="1:50" x14ac:dyDescent="0.3">
      <c r="A3841" t="str">
        <f>"201443C0100"</f>
        <v>201443C0100</v>
      </c>
      <c r="B3841" t="str">
        <f>"201443C01002"</f>
        <v>201443C01002</v>
      </c>
      <c r="C3841" t="str">
        <f t="shared" si="198"/>
        <v>20</v>
      </c>
      <c r="D3841" t="s">
        <v>67</v>
      </c>
      <c r="E3841" t="str">
        <f t="shared" si="199"/>
        <v>017</v>
      </c>
      <c r="F3841" t="s">
        <v>3808</v>
      </c>
      <c r="G3841" t="str">
        <f>"1443"</f>
        <v>1443</v>
      </c>
      <c r="H3841" t="str">
        <f>"0001"</f>
        <v>0001</v>
      </c>
      <c r="I3841" t="s">
        <v>75</v>
      </c>
      <c r="J3841">
        <v>0</v>
      </c>
      <c r="K3841">
        <v>1</v>
      </c>
      <c r="L3841">
        <v>2</v>
      </c>
      <c r="M3841">
        <v>175</v>
      </c>
      <c r="N3841">
        <v>435</v>
      </c>
      <c r="O3841">
        <v>6</v>
      </c>
      <c r="P3841">
        <v>435</v>
      </c>
      <c r="Q3841">
        <v>60</v>
      </c>
      <c r="R3841">
        <v>165</v>
      </c>
      <c r="S3841">
        <v>2</v>
      </c>
      <c r="T3841">
        <v>3</v>
      </c>
      <c r="U3841">
        <v>30</v>
      </c>
      <c r="V3841">
        <v>3</v>
      </c>
      <c r="W3841">
        <v>2</v>
      </c>
      <c r="X3841">
        <v>144</v>
      </c>
      <c r="Y3841">
        <v>5</v>
      </c>
      <c r="Z3841">
        <v>3</v>
      </c>
      <c r="AA3841">
        <v>0</v>
      </c>
      <c r="AB3841">
        <v>1</v>
      </c>
      <c r="AD3841">
        <v>3</v>
      </c>
      <c r="AE3841">
        <v>1</v>
      </c>
      <c r="AF3841">
        <v>0</v>
      </c>
      <c r="AG3841">
        <v>0</v>
      </c>
      <c r="AH3841">
        <v>0</v>
      </c>
      <c r="AI3841">
        <v>0</v>
      </c>
      <c r="AJ3841">
        <v>13</v>
      </c>
      <c r="AK3841">
        <v>435</v>
      </c>
      <c r="AL3841">
        <v>435</v>
      </c>
      <c r="AM3841">
        <v>566</v>
      </c>
      <c r="AN3841">
        <v>44</v>
      </c>
      <c r="AP3841">
        <v>1</v>
      </c>
      <c r="AR3841" t="s">
        <v>3939</v>
      </c>
      <c r="AS3841" s="1">
        <v>44354.115277777775</v>
      </c>
      <c r="AT3841" s="1">
        <v>44354.118807870371</v>
      </c>
      <c r="AU3841" s="1">
        <v>44354.119155092594</v>
      </c>
      <c r="AV3841" t="s">
        <v>71</v>
      </c>
      <c r="AW3841" t="s">
        <v>72</v>
      </c>
      <c r="AX3841" t="s">
        <v>73</v>
      </c>
    </row>
    <row r="3842" spans="1:50" x14ac:dyDescent="0.3">
      <c r="A3842" t="str">
        <f>"201443C0200"</f>
        <v>201443C0200</v>
      </c>
      <c r="B3842" t="str">
        <f>"201443C02002"</f>
        <v>201443C02002</v>
      </c>
      <c r="C3842" t="str">
        <f t="shared" si="198"/>
        <v>20</v>
      </c>
      <c r="D3842" t="s">
        <v>67</v>
      </c>
      <c r="E3842" t="str">
        <f t="shared" si="199"/>
        <v>017</v>
      </c>
      <c r="F3842" t="s">
        <v>3808</v>
      </c>
      <c r="G3842" t="str">
        <f>"1443"</f>
        <v>1443</v>
      </c>
      <c r="H3842" t="str">
        <f>"0002"</f>
        <v>0002</v>
      </c>
      <c r="I3842" t="s">
        <v>75</v>
      </c>
      <c r="J3842">
        <v>0</v>
      </c>
      <c r="K3842">
        <v>1</v>
      </c>
      <c r="L3842">
        <v>2</v>
      </c>
      <c r="M3842">
        <v>206</v>
      </c>
      <c r="N3842">
        <v>404</v>
      </c>
      <c r="O3842">
        <v>10</v>
      </c>
      <c r="P3842">
        <v>404</v>
      </c>
      <c r="Q3842">
        <v>43</v>
      </c>
      <c r="R3842">
        <v>140</v>
      </c>
      <c r="S3842">
        <v>3</v>
      </c>
      <c r="T3842">
        <v>6</v>
      </c>
      <c r="U3842">
        <v>24</v>
      </c>
      <c r="V3842">
        <v>6</v>
      </c>
      <c r="W3842">
        <v>2</v>
      </c>
      <c r="X3842">
        <v>153</v>
      </c>
      <c r="Y3842">
        <v>6</v>
      </c>
      <c r="Z3842">
        <v>1</v>
      </c>
      <c r="AA3842">
        <v>0</v>
      </c>
      <c r="AB3842">
        <v>1</v>
      </c>
      <c r="AD3842">
        <v>1</v>
      </c>
      <c r="AE3842">
        <v>0</v>
      </c>
      <c r="AF3842">
        <v>0</v>
      </c>
      <c r="AG3842">
        <v>2</v>
      </c>
      <c r="AH3842">
        <v>0</v>
      </c>
      <c r="AI3842">
        <v>0</v>
      </c>
      <c r="AJ3842">
        <v>16</v>
      </c>
      <c r="AK3842">
        <v>404</v>
      </c>
      <c r="AL3842">
        <v>404</v>
      </c>
      <c r="AM3842">
        <v>566</v>
      </c>
      <c r="AN3842">
        <v>44</v>
      </c>
      <c r="AP3842">
        <v>1</v>
      </c>
      <c r="AR3842" t="s">
        <v>3940</v>
      </c>
      <c r="AS3842" s="1">
        <v>44354.116666666669</v>
      </c>
      <c r="AT3842" s="1">
        <v>44354.122824074075</v>
      </c>
      <c r="AU3842" s="1">
        <v>44354.123738425929</v>
      </c>
      <c r="AV3842" t="s">
        <v>71</v>
      </c>
      <c r="AW3842" t="s">
        <v>72</v>
      </c>
      <c r="AX3842" t="s">
        <v>73</v>
      </c>
    </row>
    <row r="3843" spans="1:50" x14ac:dyDescent="0.3">
      <c r="A3843" t="str">
        <f>"201444B0000"</f>
        <v>201444B0000</v>
      </c>
      <c r="B3843" t="str">
        <f>"201444B00002"</f>
        <v>201444B00002</v>
      </c>
      <c r="C3843" t="str">
        <f t="shared" si="198"/>
        <v>20</v>
      </c>
      <c r="D3843" t="s">
        <v>67</v>
      </c>
      <c r="E3843" t="str">
        <f t="shared" si="199"/>
        <v>017</v>
      </c>
      <c r="F3843" t="s">
        <v>3808</v>
      </c>
      <c r="G3843" t="str">
        <f>"1444"</f>
        <v>1444</v>
      </c>
      <c r="H3843" t="str">
        <f>"0000"</f>
        <v>0000</v>
      </c>
      <c r="I3843" t="s">
        <v>69</v>
      </c>
      <c r="J3843">
        <v>0</v>
      </c>
      <c r="K3843">
        <v>1</v>
      </c>
      <c r="L3843">
        <v>2</v>
      </c>
      <c r="M3843">
        <v>217</v>
      </c>
      <c r="N3843">
        <v>569</v>
      </c>
      <c r="O3843">
        <v>10</v>
      </c>
      <c r="P3843">
        <v>569</v>
      </c>
      <c r="Q3843">
        <v>88</v>
      </c>
      <c r="R3843">
        <v>183</v>
      </c>
      <c r="S3843">
        <v>2</v>
      </c>
      <c r="T3843">
        <v>7</v>
      </c>
      <c r="U3843">
        <v>61</v>
      </c>
      <c r="V3843">
        <v>2</v>
      </c>
      <c r="W3843">
        <v>3</v>
      </c>
      <c r="X3843">
        <v>206</v>
      </c>
      <c r="Y3843">
        <v>1</v>
      </c>
      <c r="Z3843">
        <v>0</v>
      </c>
      <c r="AA3843">
        <v>0</v>
      </c>
      <c r="AB3843">
        <v>2</v>
      </c>
      <c r="AD3843">
        <v>2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12</v>
      </c>
      <c r="AK3843">
        <v>569</v>
      </c>
      <c r="AL3843">
        <v>569</v>
      </c>
      <c r="AM3843">
        <v>742</v>
      </c>
      <c r="AN3843">
        <v>44</v>
      </c>
      <c r="AP3843">
        <v>1</v>
      </c>
      <c r="AR3843" t="s">
        <v>3941</v>
      </c>
      <c r="AS3843" s="1">
        <v>44354.065972222219</v>
      </c>
      <c r="AT3843" s="1">
        <v>44354.071817129632</v>
      </c>
      <c r="AU3843" s="1">
        <v>44354.073009259257</v>
      </c>
      <c r="AV3843" t="s">
        <v>71</v>
      </c>
      <c r="AW3843" t="s">
        <v>72</v>
      </c>
      <c r="AX3843" t="s">
        <v>73</v>
      </c>
    </row>
    <row r="3844" spans="1:50" x14ac:dyDescent="0.3">
      <c r="A3844" t="str">
        <f>"201444C0100"</f>
        <v>201444C0100</v>
      </c>
      <c r="B3844" t="str">
        <f>"201444C01002"</f>
        <v>201444C01002</v>
      </c>
      <c r="C3844" t="str">
        <f t="shared" si="198"/>
        <v>20</v>
      </c>
      <c r="D3844" t="s">
        <v>67</v>
      </c>
      <c r="E3844" t="str">
        <f t="shared" si="199"/>
        <v>017</v>
      </c>
      <c r="F3844" t="s">
        <v>3808</v>
      </c>
      <c r="G3844" t="str">
        <f>"1444"</f>
        <v>1444</v>
      </c>
      <c r="H3844" t="str">
        <f>"0001"</f>
        <v>0001</v>
      </c>
      <c r="I3844" t="s">
        <v>75</v>
      </c>
      <c r="J3844">
        <v>0</v>
      </c>
      <c r="K3844">
        <v>1</v>
      </c>
      <c r="L3844">
        <v>2</v>
      </c>
      <c r="M3844">
        <v>250</v>
      </c>
      <c r="N3844">
        <v>536</v>
      </c>
      <c r="O3844">
        <v>2</v>
      </c>
      <c r="P3844">
        <v>536</v>
      </c>
      <c r="Q3844">
        <v>72</v>
      </c>
      <c r="R3844">
        <v>180</v>
      </c>
      <c r="S3844">
        <v>3</v>
      </c>
      <c r="T3844">
        <v>5</v>
      </c>
      <c r="U3844">
        <v>69</v>
      </c>
      <c r="V3844">
        <v>5</v>
      </c>
      <c r="W3844">
        <v>1</v>
      </c>
      <c r="X3844">
        <v>186</v>
      </c>
      <c r="Y3844">
        <v>3</v>
      </c>
      <c r="Z3844">
        <v>1</v>
      </c>
      <c r="AA3844">
        <v>2</v>
      </c>
      <c r="AB3844">
        <v>1</v>
      </c>
      <c r="AD3844">
        <v>0</v>
      </c>
      <c r="AE3844">
        <v>0</v>
      </c>
      <c r="AF3844">
        <v>0</v>
      </c>
      <c r="AG3844">
        <v>1</v>
      </c>
      <c r="AH3844">
        <v>0</v>
      </c>
      <c r="AI3844">
        <v>0</v>
      </c>
      <c r="AJ3844">
        <v>7</v>
      </c>
      <c r="AK3844">
        <v>536</v>
      </c>
      <c r="AL3844">
        <v>536</v>
      </c>
      <c r="AM3844">
        <v>742</v>
      </c>
      <c r="AN3844">
        <v>44</v>
      </c>
      <c r="AP3844">
        <v>1</v>
      </c>
      <c r="AR3844" t="s">
        <v>3942</v>
      </c>
      <c r="AS3844" s="1">
        <v>44354.065972222219</v>
      </c>
      <c r="AT3844" s="1">
        <v>44354.072187500002</v>
      </c>
      <c r="AU3844" s="1">
        <v>44354.073159722226</v>
      </c>
      <c r="AV3844" t="s">
        <v>71</v>
      </c>
      <c r="AW3844" t="s">
        <v>72</v>
      </c>
      <c r="AX3844" t="s">
        <v>73</v>
      </c>
    </row>
    <row r="3845" spans="1:50" x14ac:dyDescent="0.3">
      <c r="A3845" t="str">
        <f>"201444E0100"</f>
        <v>201444E0100</v>
      </c>
      <c r="B3845" t="str">
        <f>"201444E01002"</f>
        <v>201444E01002</v>
      </c>
      <c r="C3845" t="str">
        <f t="shared" si="198"/>
        <v>20</v>
      </c>
      <c r="D3845" t="s">
        <v>67</v>
      </c>
      <c r="E3845" t="str">
        <f t="shared" si="199"/>
        <v>017</v>
      </c>
      <c r="F3845" t="s">
        <v>3808</v>
      </c>
      <c r="G3845" t="str">
        <f>"1444"</f>
        <v>1444</v>
      </c>
      <c r="H3845" t="str">
        <f>"0001"</f>
        <v>0001</v>
      </c>
      <c r="I3845" t="s">
        <v>109</v>
      </c>
      <c r="J3845">
        <v>0</v>
      </c>
      <c r="K3845">
        <v>1</v>
      </c>
      <c r="L3845">
        <v>2</v>
      </c>
      <c r="M3845">
        <v>126</v>
      </c>
      <c r="N3845">
        <v>448</v>
      </c>
      <c r="O3845">
        <v>11</v>
      </c>
      <c r="P3845">
        <v>0</v>
      </c>
      <c r="Q3845">
        <v>99</v>
      </c>
      <c r="R3845">
        <v>177</v>
      </c>
      <c r="S3845">
        <v>5</v>
      </c>
      <c r="T3845">
        <v>5</v>
      </c>
      <c r="U3845">
        <v>57</v>
      </c>
      <c r="V3845">
        <v>3</v>
      </c>
      <c r="W3845">
        <v>0</v>
      </c>
      <c r="X3845">
        <v>82</v>
      </c>
      <c r="Y3845">
        <v>1</v>
      </c>
      <c r="Z3845">
        <v>3</v>
      </c>
      <c r="AA3845">
        <v>0</v>
      </c>
      <c r="AB3845">
        <v>0</v>
      </c>
      <c r="AD3845">
        <v>0</v>
      </c>
      <c r="AE3845">
        <v>1</v>
      </c>
      <c r="AF3845">
        <v>0</v>
      </c>
      <c r="AG3845">
        <v>0</v>
      </c>
      <c r="AH3845">
        <v>0</v>
      </c>
      <c r="AI3845">
        <v>0</v>
      </c>
      <c r="AJ3845">
        <v>15</v>
      </c>
      <c r="AK3845">
        <v>448</v>
      </c>
      <c r="AL3845">
        <v>448</v>
      </c>
      <c r="AM3845">
        <v>530</v>
      </c>
      <c r="AN3845">
        <v>44</v>
      </c>
      <c r="AP3845">
        <v>1</v>
      </c>
      <c r="AR3845" t="s">
        <v>3943</v>
      </c>
      <c r="AS3845" s="1">
        <v>44354.053472222222</v>
      </c>
      <c r="AT3845" s="1">
        <v>44354.061307870368</v>
      </c>
      <c r="AU3845" s="1">
        <v>44354.061863425923</v>
      </c>
      <c r="AV3845" t="s">
        <v>71</v>
      </c>
      <c r="AW3845" t="s">
        <v>72</v>
      </c>
      <c r="AX3845" t="s">
        <v>73</v>
      </c>
    </row>
    <row r="3846" spans="1:50" x14ac:dyDescent="0.3">
      <c r="A3846" t="str">
        <f>"201445B0000"</f>
        <v>201445B0000</v>
      </c>
      <c r="B3846" t="str">
        <f>"201445B00002"</f>
        <v>201445B00002</v>
      </c>
      <c r="C3846" t="str">
        <f t="shared" si="198"/>
        <v>20</v>
      </c>
      <c r="D3846" t="s">
        <v>67</v>
      </c>
      <c r="E3846" t="str">
        <f t="shared" si="199"/>
        <v>017</v>
      </c>
      <c r="F3846" t="s">
        <v>3808</v>
      </c>
      <c r="G3846" t="str">
        <f>"1445"</f>
        <v>1445</v>
      </c>
      <c r="H3846" t="str">
        <f>"0000"</f>
        <v>0000</v>
      </c>
      <c r="I3846" t="s">
        <v>69</v>
      </c>
      <c r="J3846">
        <v>0</v>
      </c>
      <c r="K3846">
        <v>1</v>
      </c>
      <c r="L3846">
        <v>2</v>
      </c>
      <c r="M3846">
        <v>154</v>
      </c>
      <c r="N3846">
        <v>218</v>
      </c>
      <c r="O3846">
        <v>7</v>
      </c>
      <c r="P3846">
        <v>220</v>
      </c>
      <c r="Q3846">
        <v>45</v>
      </c>
      <c r="R3846">
        <v>89</v>
      </c>
      <c r="S3846">
        <v>3</v>
      </c>
      <c r="T3846">
        <v>3</v>
      </c>
      <c r="U3846">
        <v>24</v>
      </c>
      <c r="V3846">
        <v>0</v>
      </c>
      <c r="W3846">
        <v>3</v>
      </c>
      <c r="X3846">
        <v>35</v>
      </c>
      <c r="Y3846">
        <v>2</v>
      </c>
      <c r="Z3846">
        <v>0</v>
      </c>
      <c r="AA3846">
        <v>1</v>
      </c>
      <c r="AB3846">
        <v>0</v>
      </c>
      <c r="AD3846">
        <v>0</v>
      </c>
      <c r="AE3846">
        <v>0</v>
      </c>
      <c r="AF3846">
        <v>0</v>
      </c>
      <c r="AG3846">
        <v>0</v>
      </c>
      <c r="AH3846">
        <v>1</v>
      </c>
      <c r="AI3846">
        <v>0</v>
      </c>
      <c r="AJ3846">
        <v>14</v>
      </c>
      <c r="AK3846">
        <v>220</v>
      </c>
      <c r="AL3846">
        <v>220</v>
      </c>
      <c r="AM3846">
        <v>330</v>
      </c>
      <c r="AN3846">
        <v>44</v>
      </c>
      <c r="AP3846">
        <v>1</v>
      </c>
      <c r="AR3846" t="s">
        <v>3944</v>
      </c>
      <c r="AS3846" s="1">
        <v>44354.120138888888</v>
      </c>
      <c r="AT3846" s="1">
        <v>44354.126238425924</v>
      </c>
      <c r="AU3846" s="1">
        <v>44354.127025462964</v>
      </c>
      <c r="AV3846" t="s">
        <v>71</v>
      </c>
      <c r="AW3846" t="s">
        <v>72</v>
      </c>
      <c r="AX3846" t="s">
        <v>73</v>
      </c>
    </row>
    <row r="3847" spans="1:50" x14ac:dyDescent="0.3">
      <c r="A3847" t="str">
        <f>"201446B0000"</f>
        <v>201446B0000</v>
      </c>
      <c r="B3847" t="str">
        <f>"201446B00002"</f>
        <v>201446B00002</v>
      </c>
      <c r="C3847" t="str">
        <f t="shared" ref="C3847:C3910" si="200">"20"</f>
        <v>20</v>
      </c>
      <c r="D3847" t="s">
        <v>67</v>
      </c>
      <c r="E3847" t="str">
        <f t="shared" si="199"/>
        <v>017</v>
      </c>
      <c r="F3847" t="s">
        <v>3808</v>
      </c>
      <c r="G3847" t="str">
        <f>"1446"</f>
        <v>1446</v>
      </c>
      <c r="H3847" t="str">
        <f>"0000"</f>
        <v>0000</v>
      </c>
      <c r="I3847" t="s">
        <v>69</v>
      </c>
      <c r="J3847">
        <v>0</v>
      </c>
      <c r="K3847">
        <v>1</v>
      </c>
      <c r="L3847">
        <v>2</v>
      </c>
      <c r="M3847">
        <v>227</v>
      </c>
      <c r="N3847">
        <v>303</v>
      </c>
      <c r="O3847">
        <v>9</v>
      </c>
      <c r="P3847">
        <v>303</v>
      </c>
      <c r="Q3847">
        <v>46</v>
      </c>
      <c r="R3847">
        <v>59</v>
      </c>
      <c r="S3847">
        <v>4</v>
      </c>
      <c r="T3847">
        <v>3</v>
      </c>
      <c r="U3847">
        <v>33</v>
      </c>
      <c r="V3847">
        <v>1</v>
      </c>
      <c r="W3847">
        <v>1</v>
      </c>
      <c r="X3847">
        <v>139</v>
      </c>
      <c r="Y3847">
        <v>2</v>
      </c>
      <c r="Z3847">
        <v>2</v>
      </c>
      <c r="AA3847">
        <v>0</v>
      </c>
      <c r="AB3847">
        <v>1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12</v>
      </c>
      <c r="AK3847">
        <v>303</v>
      </c>
      <c r="AL3847">
        <v>303</v>
      </c>
      <c r="AM3847">
        <v>486</v>
      </c>
      <c r="AN3847">
        <v>44</v>
      </c>
      <c r="AP3847">
        <v>1</v>
      </c>
      <c r="AR3847" t="s">
        <v>3945</v>
      </c>
      <c r="AS3847" s="1">
        <v>44354.123611111114</v>
      </c>
      <c r="AT3847" s="1">
        <v>44354.126932870371</v>
      </c>
      <c r="AU3847" s="1">
        <v>44354.127326388887</v>
      </c>
      <c r="AV3847" t="s">
        <v>71</v>
      </c>
      <c r="AW3847" t="s">
        <v>72</v>
      </c>
      <c r="AX3847" t="s">
        <v>73</v>
      </c>
    </row>
    <row r="3848" spans="1:50" x14ac:dyDescent="0.3">
      <c r="A3848" t="str">
        <f>"201447B0000"</f>
        <v>201447B0000</v>
      </c>
      <c r="B3848" t="str">
        <f>"201447B00002"</f>
        <v>201447B00002</v>
      </c>
      <c r="C3848" t="str">
        <f t="shared" si="200"/>
        <v>20</v>
      </c>
      <c r="D3848" t="s">
        <v>67</v>
      </c>
      <c r="E3848" t="str">
        <f t="shared" si="199"/>
        <v>017</v>
      </c>
      <c r="F3848" t="s">
        <v>3808</v>
      </c>
      <c r="G3848" t="str">
        <f>"1447"</f>
        <v>1447</v>
      </c>
      <c r="H3848" t="str">
        <f>"0000"</f>
        <v>0000</v>
      </c>
      <c r="I3848" t="s">
        <v>69</v>
      </c>
      <c r="J3848">
        <v>0</v>
      </c>
      <c r="K3848">
        <v>1</v>
      </c>
      <c r="L3848">
        <v>2</v>
      </c>
      <c r="M3848">
        <v>105</v>
      </c>
      <c r="N3848">
        <v>514</v>
      </c>
      <c r="O3848">
        <v>9</v>
      </c>
      <c r="P3848">
        <v>514</v>
      </c>
      <c r="Q3848">
        <v>118</v>
      </c>
      <c r="R3848">
        <v>233</v>
      </c>
      <c r="S3848">
        <v>3</v>
      </c>
      <c r="T3848">
        <v>9</v>
      </c>
      <c r="U3848">
        <v>74</v>
      </c>
      <c r="V3848">
        <v>2</v>
      </c>
      <c r="W3848">
        <v>0</v>
      </c>
      <c r="X3848">
        <v>35</v>
      </c>
      <c r="Y3848">
        <v>8</v>
      </c>
      <c r="Z3848">
        <v>2</v>
      </c>
      <c r="AA3848">
        <v>1</v>
      </c>
      <c r="AB3848">
        <v>0</v>
      </c>
      <c r="AD3848">
        <v>2</v>
      </c>
      <c r="AE3848">
        <v>1</v>
      </c>
      <c r="AF3848">
        <v>0</v>
      </c>
      <c r="AG3848">
        <v>1</v>
      </c>
      <c r="AH3848">
        <v>1</v>
      </c>
      <c r="AI3848">
        <v>0</v>
      </c>
      <c r="AJ3848">
        <v>24</v>
      </c>
      <c r="AK3848">
        <v>514</v>
      </c>
      <c r="AL3848">
        <v>514</v>
      </c>
      <c r="AM3848">
        <v>575</v>
      </c>
      <c r="AN3848">
        <v>44</v>
      </c>
      <c r="AP3848">
        <v>1</v>
      </c>
      <c r="AR3848" t="s">
        <v>3946</v>
      </c>
      <c r="AS3848" s="1">
        <v>44354.121527777781</v>
      </c>
      <c r="AT3848" s="1">
        <v>44354.124976851854</v>
      </c>
      <c r="AU3848" s="1">
        <v>44354.125983796293</v>
      </c>
      <c r="AV3848" t="s">
        <v>71</v>
      </c>
      <c r="AW3848" t="s">
        <v>72</v>
      </c>
      <c r="AX3848" t="s">
        <v>73</v>
      </c>
    </row>
    <row r="3849" spans="1:50" x14ac:dyDescent="0.3">
      <c r="A3849" t="str">
        <f>"201447C0100"</f>
        <v>201447C0100</v>
      </c>
      <c r="B3849" t="str">
        <f>"201447C01002"</f>
        <v>201447C01002</v>
      </c>
      <c r="C3849" t="str">
        <f t="shared" si="200"/>
        <v>20</v>
      </c>
      <c r="D3849" t="s">
        <v>67</v>
      </c>
      <c r="E3849" t="str">
        <f t="shared" si="199"/>
        <v>017</v>
      </c>
      <c r="F3849" t="s">
        <v>3808</v>
      </c>
      <c r="G3849" t="str">
        <f>"1447"</f>
        <v>1447</v>
      </c>
      <c r="H3849" t="str">
        <f>"0001"</f>
        <v>0001</v>
      </c>
      <c r="I3849" t="s">
        <v>75</v>
      </c>
      <c r="J3849">
        <v>0</v>
      </c>
      <c r="K3849">
        <v>1</v>
      </c>
      <c r="L3849">
        <v>2</v>
      </c>
      <c r="M3849">
        <v>110</v>
      </c>
      <c r="N3849">
        <v>509</v>
      </c>
      <c r="O3849">
        <v>8</v>
      </c>
      <c r="P3849">
        <v>509</v>
      </c>
      <c r="Q3849">
        <v>99</v>
      </c>
      <c r="R3849">
        <v>234</v>
      </c>
      <c r="S3849">
        <v>5</v>
      </c>
      <c r="T3849">
        <v>7</v>
      </c>
      <c r="U3849">
        <v>65</v>
      </c>
      <c r="V3849">
        <v>2</v>
      </c>
      <c r="W3849">
        <v>2</v>
      </c>
      <c r="X3849">
        <v>44</v>
      </c>
      <c r="Y3849">
        <v>7</v>
      </c>
      <c r="Z3849">
        <v>4</v>
      </c>
      <c r="AA3849">
        <v>0</v>
      </c>
      <c r="AB3849">
        <v>3</v>
      </c>
      <c r="AD3849">
        <v>1</v>
      </c>
      <c r="AE3849">
        <v>2</v>
      </c>
      <c r="AF3849">
        <v>0</v>
      </c>
      <c r="AG3849">
        <v>0</v>
      </c>
      <c r="AH3849">
        <v>0</v>
      </c>
      <c r="AI3849">
        <v>0</v>
      </c>
      <c r="AJ3849">
        <v>34</v>
      </c>
      <c r="AK3849">
        <v>509</v>
      </c>
      <c r="AL3849">
        <v>509</v>
      </c>
      <c r="AM3849">
        <v>575</v>
      </c>
      <c r="AN3849">
        <v>44</v>
      </c>
      <c r="AP3849">
        <v>1</v>
      </c>
      <c r="AR3849" t="s">
        <v>3947</v>
      </c>
      <c r="AS3849" s="1">
        <v>44354.122916666667</v>
      </c>
      <c r="AT3849" s="1">
        <v>44354.125578703701</v>
      </c>
      <c r="AU3849" s="1">
        <v>44354.126134259262</v>
      </c>
      <c r="AV3849" t="s">
        <v>71</v>
      </c>
      <c r="AW3849" t="s">
        <v>72</v>
      </c>
      <c r="AX3849" t="s">
        <v>73</v>
      </c>
    </row>
    <row r="3850" spans="1:50" x14ac:dyDescent="0.3">
      <c r="A3850" t="str">
        <f>"201495B0000"</f>
        <v>201495B0000</v>
      </c>
      <c r="B3850" t="str">
        <f>"201495B00002"</f>
        <v>201495B00002</v>
      </c>
      <c r="C3850" t="str">
        <f t="shared" si="200"/>
        <v>20</v>
      </c>
      <c r="D3850" t="s">
        <v>67</v>
      </c>
      <c r="E3850" t="str">
        <f t="shared" si="199"/>
        <v>017</v>
      </c>
      <c r="F3850" t="s">
        <v>3808</v>
      </c>
      <c r="G3850" t="str">
        <f>"1495"</f>
        <v>1495</v>
      </c>
      <c r="H3850" t="str">
        <f>"0000"</f>
        <v>0000</v>
      </c>
      <c r="I3850" t="s">
        <v>69</v>
      </c>
      <c r="J3850">
        <v>0</v>
      </c>
      <c r="K3850">
        <v>1</v>
      </c>
      <c r="L3850">
        <v>2</v>
      </c>
      <c r="M3850">
        <v>303</v>
      </c>
      <c r="N3850">
        <v>268</v>
      </c>
      <c r="O3850">
        <v>0</v>
      </c>
      <c r="P3850">
        <v>268</v>
      </c>
      <c r="Q3850">
        <v>12</v>
      </c>
      <c r="R3850">
        <v>38</v>
      </c>
      <c r="S3850">
        <v>8</v>
      </c>
      <c r="T3850">
        <v>5</v>
      </c>
      <c r="U3850">
        <v>61</v>
      </c>
      <c r="V3850">
        <v>1</v>
      </c>
      <c r="W3850">
        <v>5</v>
      </c>
      <c r="X3850">
        <v>120</v>
      </c>
      <c r="Y3850">
        <v>2</v>
      </c>
      <c r="Z3850">
        <v>1</v>
      </c>
      <c r="AA3850">
        <v>4</v>
      </c>
      <c r="AB3850">
        <v>1</v>
      </c>
      <c r="AD3850">
        <v>0</v>
      </c>
      <c r="AE3850">
        <v>0</v>
      </c>
      <c r="AF3850">
        <v>0</v>
      </c>
      <c r="AG3850">
        <v>0</v>
      </c>
      <c r="AH3850">
        <v>1</v>
      </c>
      <c r="AI3850">
        <v>0</v>
      </c>
      <c r="AJ3850">
        <v>9</v>
      </c>
      <c r="AK3850">
        <v>268</v>
      </c>
      <c r="AL3850">
        <v>268</v>
      </c>
      <c r="AM3850">
        <v>527</v>
      </c>
      <c r="AN3850">
        <v>44</v>
      </c>
      <c r="AP3850">
        <v>1</v>
      </c>
      <c r="AR3850" t="s">
        <v>3948</v>
      </c>
      <c r="AS3850" s="1">
        <v>44354.553472222222</v>
      </c>
      <c r="AT3850" s="1">
        <v>44354.55537037037</v>
      </c>
      <c r="AU3850" s="1">
        <v>44354.555902777778</v>
      </c>
      <c r="AV3850" t="s">
        <v>71</v>
      </c>
      <c r="AW3850" t="s">
        <v>72</v>
      </c>
      <c r="AX3850" t="s">
        <v>73</v>
      </c>
    </row>
    <row r="3851" spans="1:50" x14ac:dyDescent="0.3">
      <c r="A3851" t="str">
        <f>"201535B0000"</f>
        <v>201535B0000</v>
      </c>
      <c r="B3851" t="str">
        <f>"201535B00002"</f>
        <v>201535B00002</v>
      </c>
      <c r="C3851" t="str">
        <f t="shared" si="200"/>
        <v>20</v>
      </c>
      <c r="D3851" t="s">
        <v>67</v>
      </c>
      <c r="E3851" t="str">
        <f t="shared" si="199"/>
        <v>017</v>
      </c>
      <c r="F3851" t="s">
        <v>3808</v>
      </c>
      <c r="G3851" t="str">
        <f>"1535"</f>
        <v>1535</v>
      </c>
      <c r="H3851" t="str">
        <f>"0000"</f>
        <v>0000</v>
      </c>
      <c r="I3851" t="s">
        <v>69</v>
      </c>
      <c r="J3851">
        <v>0</v>
      </c>
      <c r="K3851">
        <v>1</v>
      </c>
      <c r="L3851">
        <v>2</v>
      </c>
      <c r="M3851">
        <v>386</v>
      </c>
      <c r="N3851">
        <v>302</v>
      </c>
      <c r="O3851">
        <v>0</v>
      </c>
      <c r="P3851">
        <v>302</v>
      </c>
      <c r="Q3851">
        <v>15</v>
      </c>
      <c r="R3851">
        <v>144</v>
      </c>
      <c r="S3851">
        <v>9</v>
      </c>
      <c r="T3851">
        <v>4</v>
      </c>
      <c r="U3851">
        <v>24</v>
      </c>
      <c r="V3851">
        <v>4</v>
      </c>
      <c r="W3851">
        <v>3</v>
      </c>
      <c r="X3851">
        <v>76</v>
      </c>
      <c r="Y3851">
        <v>1</v>
      </c>
      <c r="Z3851">
        <v>4</v>
      </c>
      <c r="AA3851">
        <v>2</v>
      </c>
      <c r="AB3851">
        <v>1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15</v>
      </c>
      <c r="AK3851">
        <v>302</v>
      </c>
      <c r="AL3851">
        <v>302</v>
      </c>
      <c r="AM3851">
        <v>644</v>
      </c>
      <c r="AN3851">
        <v>44</v>
      </c>
      <c r="AP3851">
        <v>1</v>
      </c>
      <c r="AR3851" t="s">
        <v>3949</v>
      </c>
      <c r="AS3851" s="1">
        <v>44354.22152777778</v>
      </c>
      <c r="AT3851" s="1">
        <v>44354.225902777776</v>
      </c>
      <c r="AU3851" s="1">
        <v>44354.226435185185</v>
      </c>
      <c r="AV3851" t="s">
        <v>71</v>
      </c>
      <c r="AW3851" t="s">
        <v>72</v>
      </c>
      <c r="AX3851" t="s">
        <v>73</v>
      </c>
    </row>
    <row r="3852" spans="1:50" x14ac:dyDescent="0.3">
      <c r="A3852" t="str">
        <f>"201535E0100"</f>
        <v>201535E0100</v>
      </c>
      <c r="B3852" t="str">
        <f>"201535E01002"</f>
        <v>201535E01002</v>
      </c>
      <c r="C3852" t="str">
        <f t="shared" si="200"/>
        <v>20</v>
      </c>
      <c r="D3852" t="s">
        <v>67</v>
      </c>
      <c r="E3852" t="str">
        <f t="shared" si="199"/>
        <v>017</v>
      </c>
      <c r="F3852" t="s">
        <v>3808</v>
      </c>
      <c r="G3852" t="str">
        <f>"1535"</f>
        <v>1535</v>
      </c>
      <c r="H3852" t="str">
        <f>"0001"</f>
        <v>0001</v>
      </c>
      <c r="I3852" t="s">
        <v>109</v>
      </c>
      <c r="J3852">
        <v>0</v>
      </c>
      <c r="K3852">
        <v>1</v>
      </c>
      <c r="L3852">
        <v>2</v>
      </c>
      <c r="M3852">
        <v>61</v>
      </c>
      <c r="N3852">
        <v>91</v>
      </c>
      <c r="O3852">
        <v>5</v>
      </c>
      <c r="P3852">
        <v>0</v>
      </c>
      <c r="Q3852">
        <v>4</v>
      </c>
      <c r="R3852">
        <v>17</v>
      </c>
      <c r="S3852">
        <v>3</v>
      </c>
      <c r="T3852">
        <v>1</v>
      </c>
      <c r="U3852">
        <v>8</v>
      </c>
      <c r="V3852">
        <v>1</v>
      </c>
      <c r="W3852">
        <v>45</v>
      </c>
      <c r="X3852">
        <v>45</v>
      </c>
      <c r="Y3852">
        <v>0</v>
      </c>
      <c r="Z3852">
        <v>1</v>
      </c>
      <c r="AA3852">
        <v>2</v>
      </c>
      <c r="AB3852">
        <v>1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3</v>
      </c>
      <c r="AK3852">
        <v>86</v>
      </c>
      <c r="AL3852">
        <v>131</v>
      </c>
      <c r="AM3852">
        <v>103</v>
      </c>
      <c r="AN3852">
        <v>44</v>
      </c>
      <c r="AP3852">
        <v>1</v>
      </c>
      <c r="AR3852" t="s">
        <v>3950</v>
      </c>
      <c r="AS3852" s="1">
        <v>44354.311111111114</v>
      </c>
      <c r="AT3852" s="1">
        <v>44354.31349537037</v>
      </c>
      <c r="AU3852" s="1">
        <v>44354.314675925925</v>
      </c>
      <c r="AV3852" t="s">
        <v>71</v>
      </c>
      <c r="AW3852" t="s">
        <v>72</v>
      </c>
      <c r="AX3852" t="s">
        <v>73</v>
      </c>
    </row>
    <row r="3853" spans="1:50" x14ac:dyDescent="0.3">
      <c r="A3853" t="str">
        <f>"201535E0200"</f>
        <v>201535E0200</v>
      </c>
      <c r="B3853" t="str">
        <f>"201535E02002"</f>
        <v>201535E02002</v>
      </c>
      <c r="C3853" t="str">
        <f t="shared" si="200"/>
        <v>20</v>
      </c>
      <c r="D3853" t="s">
        <v>67</v>
      </c>
      <c r="E3853" t="str">
        <f t="shared" si="199"/>
        <v>017</v>
      </c>
      <c r="F3853" t="s">
        <v>3808</v>
      </c>
      <c r="G3853" t="str">
        <f>"1535"</f>
        <v>1535</v>
      </c>
      <c r="H3853" t="str">
        <f>"0002"</f>
        <v>0002</v>
      </c>
      <c r="I3853" t="s">
        <v>109</v>
      </c>
      <c r="J3853">
        <v>0</v>
      </c>
      <c r="K3853">
        <v>1</v>
      </c>
      <c r="L3853">
        <v>2</v>
      </c>
      <c r="M3853">
        <v>98</v>
      </c>
      <c r="N3853">
        <v>64</v>
      </c>
      <c r="O3853">
        <v>6</v>
      </c>
      <c r="P3853">
        <v>64</v>
      </c>
      <c r="Q3853">
        <v>0</v>
      </c>
      <c r="R3853">
        <v>50</v>
      </c>
      <c r="S3853">
        <v>0</v>
      </c>
      <c r="T3853">
        <v>0</v>
      </c>
      <c r="U3853">
        <v>4</v>
      </c>
      <c r="V3853">
        <v>0</v>
      </c>
      <c r="W3853">
        <v>0</v>
      </c>
      <c r="X3853">
        <v>4</v>
      </c>
      <c r="Y3853">
        <v>1</v>
      </c>
      <c r="Z3853">
        <v>2</v>
      </c>
      <c r="AA3853">
        <v>0</v>
      </c>
      <c r="AB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3</v>
      </c>
      <c r="AK3853">
        <v>64</v>
      </c>
      <c r="AL3853">
        <v>64</v>
      </c>
      <c r="AM3853">
        <v>118</v>
      </c>
      <c r="AN3853">
        <v>44</v>
      </c>
      <c r="AP3853">
        <v>1</v>
      </c>
      <c r="AR3853" t="s">
        <v>3951</v>
      </c>
      <c r="AS3853" s="1">
        <v>44354.313888888886</v>
      </c>
      <c r="AT3853" s="1">
        <v>44354.315983796296</v>
      </c>
      <c r="AU3853" s="1">
        <v>44354.316458333335</v>
      </c>
      <c r="AV3853" t="s">
        <v>71</v>
      </c>
      <c r="AW3853" t="s">
        <v>72</v>
      </c>
      <c r="AX3853" t="s">
        <v>73</v>
      </c>
    </row>
    <row r="3854" spans="1:50" x14ac:dyDescent="0.3">
      <c r="A3854" t="str">
        <f>"201536B0000"</f>
        <v>201536B0000</v>
      </c>
      <c r="B3854" t="str">
        <f>"201536B00002"</f>
        <v>201536B00002</v>
      </c>
      <c r="C3854" t="str">
        <f t="shared" si="200"/>
        <v>20</v>
      </c>
      <c r="D3854" t="s">
        <v>67</v>
      </c>
      <c r="E3854" t="str">
        <f t="shared" si="199"/>
        <v>017</v>
      </c>
      <c r="F3854" t="s">
        <v>3808</v>
      </c>
      <c r="G3854" t="str">
        <f>"1536"</f>
        <v>1536</v>
      </c>
      <c r="H3854" t="str">
        <f>"0000"</f>
        <v>0000</v>
      </c>
      <c r="I3854" t="s">
        <v>69</v>
      </c>
      <c r="J3854">
        <v>0</v>
      </c>
      <c r="K3854">
        <v>1</v>
      </c>
      <c r="L3854">
        <v>2</v>
      </c>
      <c r="M3854">
        <v>361</v>
      </c>
      <c r="N3854">
        <v>310</v>
      </c>
      <c r="O3854">
        <v>1</v>
      </c>
      <c r="P3854">
        <v>310</v>
      </c>
      <c r="Q3854" t="s">
        <v>99</v>
      </c>
      <c r="R3854">
        <v>156</v>
      </c>
      <c r="S3854">
        <v>9</v>
      </c>
      <c r="T3854">
        <v>5</v>
      </c>
      <c r="U3854">
        <v>24</v>
      </c>
      <c r="V3854">
        <v>5</v>
      </c>
      <c r="W3854">
        <v>2</v>
      </c>
      <c r="X3854">
        <v>69</v>
      </c>
      <c r="Y3854">
        <v>0</v>
      </c>
      <c r="Z3854">
        <v>3</v>
      </c>
      <c r="AA3854">
        <v>6</v>
      </c>
      <c r="AB3854">
        <v>3</v>
      </c>
      <c r="AD3854">
        <v>0</v>
      </c>
      <c r="AE3854">
        <v>3</v>
      </c>
      <c r="AF3854">
        <v>0</v>
      </c>
      <c r="AG3854">
        <v>0</v>
      </c>
      <c r="AH3854">
        <v>0</v>
      </c>
      <c r="AI3854">
        <v>0</v>
      </c>
      <c r="AJ3854" t="s">
        <v>99</v>
      </c>
      <c r="AK3854">
        <v>310</v>
      </c>
      <c r="AL3854">
        <v>285</v>
      </c>
      <c r="AM3854">
        <v>627</v>
      </c>
      <c r="AN3854">
        <v>44</v>
      </c>
      <c r="AO3854" t="s">
        <v>78</v>
      </c>
      <c r="AP3854">
        <v>1</v>
      </c>
      <c r="AR3854" t="s">
        <v>3952</v>
      </c>
      <c r="AS3854" s="1">
        <v>44354.222916666666</v>
      </c>
      <c r="AT3854" s="1">
        <v>44354.229456018518</v>
      </c>
      <c r="AU3854" s="1">
        <v>44354.230393518519</v>
      </c>
      <c r="AV3854" t="s">
        <v>71</v>
      </c>
      <c r="AW3854" t="s">
        <v>72</v>
      </c>
      <c r="AX3854" t="s">
        <v>73</v>
      </c>
    </row>
    <row r="3855" spans="1:50" x14ac:dyDescent="0.3">
      <c r="A3855" t="str">
        <f>"201536C0100"</f>
        <v>201536C0100</v>
      </c>
      <c r="B3855" t="str">
        <f>"201536C01002"</f>
        <v>201536C01002</v>
      </c>
      <c r="C3855" t="str">
        <f t="shared" si="200"/>
        <v>20</v>
      </c>
      <c r="D3855" t="s">
        <v>67</v>
      </c>
      <c r="E3855" t="str">
        <f t="shared" si="199"/>
        <v>017</v>
      </c>
      <c r="F3855" t="s">
        <v>3808</v>
      </c>
      <c r="G3855" t="str">
        <f>"1536"</f>
        <v>1536</v>
      </c>
      <c r="H3855" t="str">
        <f>"0001"</f>
        <v>0001</v>
      </c>
      <c r="I3855" t="s">
        <v>75</v>
      </c>
      <c r="J3855">
        <v>0</v>
      </c>
      <c r="K3855">
        <v>1</v>
      </c>
      <c r="L3855">
        <v>2</v>
      </c>
      <c r="M3855">
        <v>359</v>
      </c>
      <c r="N3855">
        <v>312</v>
      </c>
      <c r="O3855">
        <v>0</v>
      </c>
      <c r="P3855">
        <v>312</v>
      </c>
      <c r="Q3855">
        <v>7</v>
      </c>
      <c r="R3855">
        <v>158</v>
      </c>
      <c r="S3855">
        <v>7</v>
      </c>
      <c r="T3855">
        <v>6</v>
      </c>
      <c r="U3855">
        <v>28</v>
      </c>
      <c r="V3855">
        <v>4</v>
      </c>
      <c r="W3855">
        <v>1</v>
      </c>
      <c r="X3855">
        <v>71</v>
      </c>
      <c r="Y3855">
        <v>2</v>
      </c>
      <c r="Z3855">
        <v>6</v>
      </c>
      <c r="AA3855">
        <v>5</v>
      </c>
      <c r="AB3855">
        <v>1</v>
      </c>
      <c r="AD3855">
        <v>0</v>
      </c>
      <c r="AE3855">
        <v>2</v>
      </c>
      <c r="AF3855">
        <v>0</v>
      </c>
      <c r="AG3855">
        <v>0</v>
      </c>
      <c r="AH3855">
        <v>0</v>
      </c>
      <c r="AI3855">
        <v>0</v>
      </c>
      <c r="AJ3855">
        <v>14</v>
      </c>
      <c r="AK3855">
        <v>312</v>
      </c>
      <c r="AL3855">
        <v>312</v>
      </c>
      <c r="AM3855">
        <v>627</v>
      </c>
      <c r="AN3855">
        <v>44</v>
      </c>
      <c r="AP3855">
        <v>1</v>
      </c>
      <c r="AR3855" t="s">
        <v>3953</v>
      </c>
      <c r="AS3855" s="1">
        <v>44354.223611111112</v>
      </c>
      <c r="AT3855" s="1">
        <v>44354.227893518517</v>
      </c>
      <c r="AU3855" s="1">
        <v>44354.228680555556</v>
      </c>
      <c r="AV3855" t="s">
        <v>71</v>
      </c>
      <c r="AW3855" t="s">
        <v>72</v>
      </c>
      <c r="AX3855" t="s">
        <v>73</v>
      </c>
    </row>
    <row r="3856" spans="1:50" x14ac:dyDescent="0.3">
      <c r="A3856" t="str">
        <f>"201537B0000"</f>
        <v>201537B0000</v>
      </c>
      <c r="B3856" t="str">
        <f>"201537B00002"</f>
        <v>201537B00002</v>
      </c>
      <c r="C3856" t="str">
        <f t="shared" si="200"/>
        <v>20</v>
      </c>
      <c r="D3856" t="s">
        <v>67</v>
      </c>
      <c r="E3856" t="str">
        <f t="shared" si="199"/>
        <v>017</v>
      </c>
      <c r="F3856" t="s">
        <v>3808</v>
      </c>
      <c r="G3856" t="str">
        <f>"1537"</f>
        <v>1537</v>
      </c>
      <c r="H3856" t="str">
        <f>"0000"</f>
        <v>0000</v>
      </c>
      <c r="I3856" t="s">
        <v>69</v>
      </c>
      <c r="J3856">
        <v>0</v>
      </c>
      <c r="K3856">
        <v>1</v>
      </c>
      <c r="L3856">
        <v>2</v>
      </c>
      <c r="M3856">
        <v>392</v>
      </c>
      <c r="N3856">
        <v>264</v>
      </c>
      <c r="O3856">
        <v>0</v>
      </c>
      <c r="P3856">
        <v>264</v>
      </c>
      <c r="Q3856">
        <v>6</v>
      </c>
      <c r="R3856">
        <v>120</v>
      </c>
      <c r="S3856">
        <v>5</v>
      </c>
      <c r="T3856">
        <v>4</v>
      </c>
      <c r="U3856">
        <v>35</v>
      </c>
      <c r="V3856">
        <v>4</v>
      </c>
      <c r="W3856">
        <v>1</v>
      </c>
      <c r="X3856">
        <v>62</v>
      </c>
      <c r="Y3856">
        <v>2</v>
      </c>
      <c r="Z3856">
        <v>2</v>
      </c>
      <c r="AA3856">
        <v>4</v>
      </c>
      <c r="AB3856">
        <v>3</v>
      </c>
      <c r="AD3856">
        <v>0</v>
      </c>
      <c r="AE3856">
        <v>1</v>
      </c>
      <c r="AF3856">
        <v>0</v>
      </c>
      <c r="AG3856">
        <v>0</v>
      </c>
      <c r="AH3856">
        <v>0</v>
      </c>
      <c r="AI3856">
        <v>0</v>
      </c>
      <c r="AJ3856">
        <v>15</v>
      </c>
      <c r="AK3856">
        <v>264</v>
      </c>
      <c r="AL3856">
        <v>264</v>
      </c>
      <c r="AM3856">
        <v>612</v>
      </c>
      <c r="AN3856">
        <v>44</v>
      </c>
      <c r="AP3856">
        <v>1</v>
      </c>
      <c r="AR3856" t="s">
        <v>3954</v>
      </c>
      <c r="AS3856" s="1">
        <v>44354.226388888892</v>
      </c>
      <c r="AT3856" s="1">
        <v>44354.229641203703</v>
      </c>
      <c r="AU3856" s="1">
        <v>44354.230370370373</v>
      </c>
      <c r="AV3856" t="s">
        <v>71</v>
      </c>
      <c r="AW3856" t="s">
        <v>72</v>
      </c>
      <c r="AX3856" t="s">
        <v>73</v>
      </c>
    </row>
    <row r="3857" spans="1:50" x14ac:dyDescent="0.3">
      <c r="A3857" t="str">
        <f>"201537C0100"</f>
        <v>201537C0100</v>
      </c>
      <c r="B3857" t="str">
        <f>"201537C01002"</f>
        <v>201537C01002</v>
      </c>
      <c r="C3857" t="str">
        <f t="shared" si="200"/>
        <v>20</v>
      </c>
      <c r="D3857" t="s">
        <v>67</v>
      </c>
      <c r="E3857" t="str">
        <f t="shared" si="199"/>
        <v>017</v>
      </c>
      <c r="F3857" t="s">
        <v>3808</v>
      </c>
      <c r="G3857" t="str">
        <f>"1537"</f>
        <v>1537</v>
      </c>
      <c r="H3857" t="str">
        <f>"0001"</f>
        <v>0001</v>
      </c>
      <c r="I3857" t="s">
        <v>75</v>
      </c>
      <c r="J3857">
        <v>0</v>
      </c>
      <c r="K3857">
        <v>1</v>
      </c>
      <c r="L3857">
        <v>2</v>
      </c>
      <c r="M3857">
        <v>408</v>
      </c>
      <c r="N3857">
        <v>0</v>
      </c>
      <c r="O3857">
        <v>0</v>
      </c>
      <c r="P3857">
        <v>247</v>
      </c>
      <c r="Q3857">
        <v>7</v>
      </c>
      <c r="R3857">
        <v>106</v>
      </c>
      <c r="S3857">
        <v>6</v>
      </c>
      <c r="T3857">
        <v>1</v>
      </c>
      <c r="U3857">
        <v>20</v>
      </c>
      <c r="V3857">
        <v>9</v>
      </c>
      <c r="W3857">
        <v>0</v>
      </c>
      <c r="X3857">
        <v>80</v>
      </c>
      <c r="Y3857">
        <v>0</v>
      </c>
      <c r="Z3857">
        <v>6</v>
      </c>
      <c r="AA3857">
        <v>1</v>
      </c>
      <c r="AB3857">
        <v>5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6</v>
      </c>
      <c r="AK3857">
        <v>247</v>
      </c>
      <c r="AL3857">
        <v>247</v>
      </c>
      <c r="AM3857">
        <v>611</v>
      </c>
      <c r="AN3857">
        <v>44</v>
      </c>
      <c r="AP3857">
        <v>1</v>
      </c>
      <c r="AR3857" t="s">
        <v>3955</v>
      </c>
      <c r="AS3857" s="1">
        <v>44354.227083333331</v>
      </c>
      <c r="AT3857" s="1">
        <v>44354.229444444441</v>
      </c>
      <c r="AU3857" s="1">
        <v>44354.229942129627</v>
      </c>
      <c r="AV3857" t="s">
        <v>71</v>
      </c>
      <c r="AW3857" t="s">
        <v>72</v>
      </c>
      <c r="AX3857" t="s">
        <v>73</v>
      </c>
    </row>
    <row r="3858" spans="1:50" x14ac:dyDescent="0.3">
      <c r="A3858" t="str">
        <f>"201537E0100"</f>
        <v>201537E0100</v>
      </c>
      <c r="B3858" t="str">
        <f>"201537E01002"</f>
        <v>201537E01002</v>
      </c>
      <c r="C3858" t="str">
        <f t="shared" si="200"/>
        <v>20</v>
      </c>
      <c r="D3858" t="s">
        <v>67</v>
      </c>
      <c r="E3858" t="str">
        <f t="shared" si="199"/>
        <v>017</v>
      </c>
      <c r="F3858" t="s">
        <v>3808</v>
      </c>
      <c r="G3858" t="str">
        <f>"1537"</f>
        <v>1537</v>
      </c>
      <c r="H3858" t="str">
        <f>"0001"</f>
        <v>0001</v>
      </c>
      <c r="I3858" t="s">
        <v>109</v>
      </c>
      <c r="J3858">
        <v>0</v>
      </c>
      <c r="K3858">
        <v>1</v>
      </c>
      <c r="L3858">
        <v>2</v>
      </c>
      <c r="M3858">
        <v>170</v>
      </c>
      <c r="N3858">
        <v>168</v>
      </c>
      <c r="O3858">
        <v>3</v>
      </c>
      <c r="P3858">
        <v>168</v>
      </c>
      <c r="Q3858">
        <v>13</v>
      </c>
      <c r="R3858">
        <v>34</v>
      </c>
      <c r="S3858">
        <v>12</v>
      </c>
      <c r="T3858">
        <v>8</v>
      </c>
      <c r="U3858">
        <v>18</v>
      </c>
      <c r="V3858">
        <v>4</v>
      </c>
      <c r="W3858">
        <v>1</v>
      </c>
      <c r="X3858">
        <v>54</v>
      </c>
      <c r="Y3858">
        <v>2</v>
      </c>
      <c r="Z3858">
        <v>5</v>
      </c>
      <c r="AA3858">
        <v>2</v>
      </c>
      <c r="AB3858">
        <v>1</v>
      </c>
      <c r="AD3858">
        <v>2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12</v>
      </c>
      <c r="AK3858">
        <v>168</v>
      </c>
      <c r="AL3858">
        <v>168</v>
      </c>
      <c r="AM3858">
        <v>294</v>
      </c>
      <c r="AN3858">
        <v>44</v>
      </c>
      <c r="AP3858">
        <v>1</v>
      </c>
      <c r="AR3858" t="s">
        <v>3956</v>
      </c>
      <c r="AS3858" s="1">
        <v>44353.75</v>
      </c>
      <c r="AT3858" s="1">
        <v>44354.244942129626</v>
      </c>
      <c r="AU3858" s="1">
        <v>44354.245775462965</v>
      </c>
      <c r="AV3858" t="s">
        <v>71</v>
      </c>
      <c r="AW3858" t="s">
        <v>72</v>
      </c>
      <c r="AX3858" t="s">
        <v>73</v>
      </c>
    </row>
    <row r="3859" spans="1:50" x14ac:dyDescent="0.3">
      <c r="A3859" t="str">
        <f>"201538B0000"</f>
        <v>201538B0000</v>
      </c>
      <c r="B3859" t="str">
        <f>"201538B00002"</f>
        <v>201538B00002</v>
      </c>
      <c r="C3859" t="str">
        <f t="shared" si="200"/>
        <v>20</v>
      </c>
      <c r="D3859" t="s">
        <v>67</v>
      </c>
      <c r="E3859" t="str">
        <f t="shared" si="199"/>
        <v>017</v>
      </c>
      <c r="F3859" t="s">
        <v>3808</v>
      </c>
      <c r="G3859" t="str">
        <f>"1538"</f>
        <v>1538</v>
      </c>
      <c r="H3859" t="str">
        <f>"0000"</f>
        <v>0000</v>
      </c>
      <c r="I3859" t="s">
        <v>69</v>
      </c>
      <c r="J3859">
        <v>0</v>
      </c>
      <c r="K3859">
        <v>1</v>
      </c>
      <c r="L3859">
        <v>2</v>
      </c>
      <c r="M3859">
        <v>316</v>
      </c>
      <c r="N3859">
        <v>323</v>
      </c>
      <c r="O3859">
        <v>4</v>
      </c>
      <c r="P3859">
        <v>323</v>
      </c>
      <c r="Q3859">
        <v>4</v>
      </c>
      <c r="R3859">
        <v>32</v>
      </c>
      <c r="S3859">
        <v>4</v>
      </c>
      <c r="T3859">
        <v>4</v>
      </c>
      <c r="U3859">
        <v>78</v>
      </c>
      <c r="V3859">
        <v>4</v>
      </c>
      <c r="W3859">
        <v>5</v>
      </c>
      <c r="X3859">
        <v>176</v>
      </c>
      <c r="Y3859">
        <v>2</v>
      </c>
      <c r="Z3859">
        <v>4</v>
      </c>
      <c r="AA3859">
        <v>0</v>
      </c>
      <c r="AB3859">
        <v>4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6</v>
      </c>
      <c r="AK3859">
        <v>323</v>
      </c>
      <c r="AL3859">
        <v>323</v>
      </c>
      <c r="AM3859">
        <v>595</v>
      </c>
      <c r="AN3859">
        <v>44</v>
      </c>
      <c r="AP3859">
        <v>1</v>
      </c>
      <c r="AR3859" t="s">
        <v>3957</v>
      </c>
      <c r="AS3859" s="1">
        <v>44354.240972222222</v>
      </c>
      <c r="AT3859" s="1">
        <v>44354.244317129633</v>
      </c>
      <c r="AU3859" s="1">
        <v>44354.244745370372</v>
      </c>
      <c r="AV3859" t="s">
        <v>71</v>
      </c>
      <c r="AW3859" t="s">
        <v>72</v>
      </c>
      <c r="AX3859" t="s">
        <v>73</v>
      </c>
    </row>
    <row r="3860" spans="1:50" x14ac:dyDescent="0.3">
      <c r="A3860" t="str">
        <f>"201538C0100"</f>
        <v>201538C0100</v>
      </c>
      <c r="B3860" t="str">
        <f>"201538C01002"</f>
        <v>201538C01002</v>
      </c>
      <c r="C3860" t="str">
        <f t="shared" si="200"/>
        <v>20</v>
      </c>
      <c r="D3860" t="s">
        <v>67</v>
      </c>
      <c r="E3860" t="str">
        <f t="shared" si="199"/>
        <v>017</v>
      </c>
      <c r="F3860" t="s">
        <v>3808</v>
      </c>
      <c r="G3860" t="str">
        <f>"1538"</f>
        <v>1538</v>
      </c>
      <c r="H3860" t="str">
        <f>"0001"</f>
        <v>0001</v>
      </c>
      <c r="I3860" t="s">
        <v>75</v>
      </c>
      <c r="J3860">
        <v>0</v>
      </c>
      <c r="K3860">
        <v>1</v>
      </c>
      <c r="L3860">
        <v>2</v>
      </c>
      <c r="M3860">
        <v>363</v>
      </c>
      <c r="N3860">
        <v>276</v>
      </c>
      <c r="O3860">
        <v>2</v>
      </c>
      <c r="P3860">
        <v>276</v>
      </c>
      <c r="Q3860">
        <v>6</v>
      </c>
      <c r="R3860">
        <v>27</v>
      </c>
      <c r="S3860">
        <v>7</v>
      </c>
      <c r="T3860">
        <v>4</v>
      </c>
      <c r="U3860">
        <v>63</v>
      </c>
      <c r="V3860">
        <v>5</v>
      </c>
      <c r="W3860">
        <v>2</v>
      </c>
      <c r="X3860">
        <v>151</v>
      </c>
      <c r="Y3860">
        <v>1</v>
      </c>
      <c r="Z3860">
        <v>1</v>
      </c>
      <c r="AA3860">
        <v>0</v>
      </c>
      <c r="AB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9</v>
      </c>
      <c r="AK3860">
        <v>276</v>
      </c>
      <c r="AL3860">
        <v>276</v>
      </c>
      <c r="AM3860">
        <v>595</v>
      </c>
      <c r="AN3860">
        <v>44</v>
      </c>
      <c r="AP3860">
        <v>1</v>
      </c>
      <c r="AR3860" t="s">
        <v>3958</v>
      </c>
      <c r="AS3860" s="1">
        <v>44354.243750000001</v>
      </c>
      <c r="AT3860" s="1">
        <v>44354.24658564815</v>
      </c>
      <c r="AU3860" s="1">
        <v>44354.24722222222</v>
      </c>
      <c r="AV3860" t="s">
        <v>71</v>
      </c>
      <c r="AW3860" t="s">
        <v>72</v>
      </c>
      <c r="AX3860" t="s">
        <v>73</v>
      </c>
    </row>
    <row r="3861" spans="1:50" x14ac:dyDescent="0.3">
      <c r="A3861" t="str">
        <f>"201539B0000"</f>
        <v>201539B0000</v>
      </c>
      <c r="B3861" t="str">
        <f>"201539B00002"</f>
        <v>201539B00002</v>
      </c>
      <c r="C3861" t="str">
        <f t="shared" si="200"/>
        <v>20</v>
      </c>
      <c r="D3861" t="s">
        <v>67</v>
      </c>
      <c r="E3861" t="str">
        <f t="shared" si="199"/>
        <v>017</v>
      </c>
      <c r="F3861" t="s">
        <v>3808</v>
      </c>
      <c r="G3861" t="str">
        <f>"1539"</f>
        <v>1539</v>
      </c>
      <c r="H3861" t="str">
        <f>"0000"</f>
        <v>0000</v>
      </c>
      <c r="I3861" t="s">
        <v>69</v>
      </c>
      <c r="J3861">
        <v>0</v>
      </c>
      <c r="K3861">
        <v>1</v>
      </c>
      <c r="L3861">
        <v>2</v>
      </c>
      <c r="M3861">
        <v>352</v>
      </c>
      <c r="N3861">
        <v>275</v>
      </c>
      <c r="O3861">
        <v>0</v>
      </c>
      <c r="P3861">
        <v>275</v>
      </c>
      <c r="Q3861">
        <v>7</v>
      </c>
      <c r="R3861">
        <v>31</v>
      </c>
      <c r="S3861">
        <v>3</v>
      </c>
      <c r="T3861">
        <v>3</v>
      </c>
      <c r="U3861">
        <v>54</v>
      </c>
      <c r="V3861">
        <v>1</v>
      </c>
      <c r="W3861">
        <v>0</v>
      </c>
      <c r="X3861">
        <v>163</v>
      </c>
      <c r="Y3861">
        <v>0</v>
      </c>
      <c r="Z3861">
        <v>4</v>
      </c>
      <c r="AA3861">
        <v>1</v>
      </c>
      <c r="AB3861">
        <v>1</v>
      </c>
      <c r="AD3861">
        <v>0</v>
      </c>
      <c r="AE3861">
        <v>1</v>
      </c>
      <c r="AF3861">
        <v>0</v>
      </c>
      <c r="AG3861">
        <v>0</v>
      </c>
      <c r="AH3861">
        <v>0</v>
      </c>
      <c r="AI3861">
        <v>0</v>
      </c>
      <c r="AJ3861">
        <v>6</v>
      </c>
      <c r="AK3861">
        <v>275</v>
      </c>
      <c r="AL3861">
        <v>275</v>
      </c>
      <c r="AM3861">
        <v>583</v>
      </c>
      <c r="AN3861">
        <v>44</v>
      </c>
      <c r="AP3861">
        <v>1</v>
      </c>
      <c r="AR3861" t="s">
        <v>3959</v>
      </c>
      <c r="AS3861" s="1">
        <v>44354.242361111108</v>
      </c>
      <c r="AT3861" s="1">
        <v>44354.246006944442</v>
      </c>
      <c r="AU3861" s="1">
        <v>44354.246817129628</v>
      </c>
      <c r="AV3861" t="s">
        <v>71</v>
      </c>
      <c r="AW3861" t="s">
        <v>72</v>
      </c>
      <c r="AX3861" t="s">
        <v>73</v>
      </c>
    </row>
    <row r="3862" spans="1:50" x14ac:dyDescent="0.3">
      <c r="A3862" t="str">
        <f>"201539C0100"</f>
        <v>201539C0100</v>
      </c>
      <c r="B3862" t="str">
        <f>"201539C01002"</f>
        <v>201539C01002</v>
      </c>
      <c r="C3862" t="str">
        <f t="shared" si="200"/>
        <v>20</v>
      </c>
      <c r="D3862" t="s">
        <v>67</v>
      </c>
      <c r="E3862" t="str">
        <f t="shared" si="199"/>
        <v>017</v>
      </c>
      <c r="F3862" t="s">
        <v>3808</v>
      </c>
      <c r="G3862" t="str">
        <f>"1539"</f>
        <v>1539</v>
      </c>
      <c r="H3862" t="str">
        <f>"0001"</f>
        <v>0001</v>
      </c>
      <c r="I3862" t="s">
        <v>75</v>
      </c>
      <c r="J3862">
        <v>0</v>
      </c>
      <c r="K3862">
        <v>1</v>
      </c>
      <c r="L3862">
        <v>2</v>
      </c>
      <c r="M3862">
        <v>345</v>
      </c>
      <c r="N3862">
        <v>281</v>
      </c>
      <c r="O3862">
        <v>0</v>
      </c>
      <c r="P3862">
        <v>281</v>
      </c>
      <c r="Q3862">
        <v>3</v>
      </c>
      <c r="R3862">
        <v>10</v>
      </c>
      <c r="S3862">
        <v>6</v>
      </c>
      <c r="T3862">
        <v>3</v>
      </c>
      <c r="U3862">
        <v>47</v>
      </c>
      <c r="V3862">
        <v>5</v>
      </c>
      <c r="W3862">
        <v>2</v>
      </c>
      <c r="X3862">
        <v>186</v>
      </c>
      <c r="Y3862">
        <v>0</v>
      </c>
      <c r="Z3862">
        <v>5</v>
      </c>
      <c r="AA3862">
        <v>0</v>
      </c>
      <c r="AB3862">
        <v>0</v>
      </c>
      <c r="AD3862">
        <v>0</v>
      </c>
      <c r="AE3862">
        <v>0</v>
      </c>
      <c r="AF3862">
        <v>1</v>
      </c>
      <c r="AG3862">
        <v>0</v>
      </c>
      <c r="AH3862">
        <v>0</v>
      </c>
      <c r="AI3862">
        <v>0</v>
      </c>
      <c r="AJ3862">
        <v>13</v>
      </c>
      <c r="AK3862">
        <v>281</v>
      </c>
      <c r="AL3862">
        <v>281</v>
      </c>
      <c r="AM3862">
        <v>582</v>
      </c>
      <c r="AN3862">
        <v>44</v>
      </c>
      <c r="AP3862">
        <v>1</v>
      </c>
      <c r="AR3862" t="s">
        <v>3960</v>
      </c>
      <c r="AS3862" s="1">
        <v>44353.916666666664</v>
      </c>
      <c r="AT3862" s="1">
        <v>44354.244479166664</v>
      </c>
      <c r="AU3862" s="1">
        <v>44354.245740740742</v>
      </c>
      <c r="AV3862" t="s">
        <v>71</v>
      </c>
      <c r="AW3862" t="s">
        <v>72</v>
      </c>
      <c r="AX3862" t="s">
        <v>73</v>
      </c>
    </row>
    <row r="3863" spans="1:50" x14ac:dyDescent="0.3">
      <c r="A3863" t="str">
        <f>"201539C0200"</f>
        <v>201539C0200</v>
      </c>
      <c r="B3863" t="str">
        <f>"201539C02002"</f>
        <v>201539C02002</v>
      </c>
      <c r="C3863" t="str">
        <f t="shared" si="200"/>
        <v>20</v>
      </c>
      <c r="D3863" t="s">
        <v>67</v>
      </c>
      <c r="E3863" t="str">
        <f t="shared" si="199"/>
        <v>017</v>
      </c>
      <c r="F3863" t="s">
        <v>3808</v>
      </c>
      <c r="G3863" t="str">
        <f>"1539"</f>
        <v>1539</v>
      </c>
      <c r="H3863" t="str">
        <f>"0002"</f>
        <v>0002</v>
      </c>
      <c r="I3863" t="s">
        <v>75</v>
      </c>
      <c r="J3863">
        <v>0</v>
      </c>
      <c r="K3863">
        <v>1</v>
      </c>
      <c r="L3863">
        <v>2</v>
      </c>
      <c r="M3863">
        <v>331</v>
      </c>
      <c r="N3863">
        <v>295</v>
      </c>
      <c r="O3863">
        <v>0</v>
      </c>
      <c r="P3863">
        <v>295</v>
      </c>
      <c r="Q3863">
        <v>1</v>
      </c>
      <c r="R3863">
        <v>28</v>
      </c>
      <c r="S3863">
        <v>1</v>
      </c>
      <c r="T3863">
        <v>5</v>
      </c>
      <c r="U3863">
        <v>62</v>
      </c>
      <c r="V3863">
        <v>4</v>
      </c>
      <c r="W3863">
        <v>2</v>
      </c>
      <c r="X3863">
        <v>179</v>
      </c>
      <c r="Y3863">
        <v>1</v>
      </c>
      <c r="Z3863">
        <v>7</v>
      </c>
      <c r="AA3863">
        <v>1</v>
      </c>
      <c r="AB3863">
        <v>0</v>
      </c>
      <c r="AD3863">
        <v>1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3</v>
      </c>
      <c r="AK3863">
        <v>295</v>
      </c>
      <c r="AL3863">
        <v>295</v>
      </c>
      <c r="AM3863">
        <v>582</v>
      </c>
      <c r="AN3863">
        <v>44</v>
      </c>
      <c r="AP3863">
        <v>1</v>
      </c>
      <c r="AR3863" t="s">
        <v>3961</v>
      </c>
      <c r="AS3863" s="1">
        <v>44353.93472222222</v>
      </c>
      <c r="AT3863" s="1">
        <v>44354.245324074072</v>
      </c>
      <c r="AU3863" s="1">
        <v>44354.245925925927</v>
      </c>
      <c r="AV3863" t="s">
        <v>71</v>
      </c>
      <c r="AW3863" t="s">
        <v>72</v>
      </c>
      <c r="AX3863" t="s">
        <v>73</v>
      </c>
    </row>
    <row r="3864" spans="1:50" x14ac:dyDescent="0.3">
      <c r="A3864" t="str">
        <f>"201540B0000"</f>
        <v>201540B0000</v>
      </c>
      <c r="B3864" t="str">
        <f>"201540B00002"</f>
        <v>201540B00002</v>
      </c>
      <c r="C3864" t="str">
        <f t="shared" si="200"/>
        <v>20</v>
      </c>
      <c r="D3864" t="s">
        <v>67</v>
      </c>
      <c r="E3864" t="str">
        <f t="shared" si="199"/>
        <v>017</v>
      </c>
      <c r="F3864" t="s">
        <v>3808</v>
      </c>
      <c r="G3864" t="str">
        <f>"1540"</f>
        <v>1540</v>
      </c>
      <c r="H3864" t="str">
        <f>"0000"</f>
        <v>0000</v>
      </c>
      <c r="I3864" t="s">
        <v>69</v>
      </c>
      <c r="J3864">
        <v>0</v>
      </c>
      <c r="K3864">
        <v>1</v>
      </c>
      <c r="L3864">
        <v>2</v>
      </c>
      <c r="M3864">
        <v>348</v>
      </c>
      <c r="N3864">
        <v>250</v>
      </c>
      <c r="O3864">
        <v>3</v>
      </c>
      <c r="P3864">
        <v>250</v>
      </c>
      <c r="Q3864">
        <v>6</v>
      </c>
      <c r="R3864">
        <v>77</v>
      </c>
      <c r="S3864">
        <v>7</v>
      </c>
      <c r="T3864">
        <v>5</v>
      </c>
      <c r="U3864">
        <v>48</v>
      </c>
      <c r="V3864">
        <v>3</v>
      </c>
      <c r="W3864">
        <v>1</v>
      </c>
      <c r="X3864">
        <v>73</v>
      </c>
      <c r="Y3864">
        <v>4</v>
      </c>
      <c r="Z3864">
        <v>8</v>
      </c>
      <c r="AA3864">
        <v>1</v>
      </c>
      <c r="AB3864">
        <v>1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16</v>
      </c>
      <c r="AK3864">
        <v>250</v>
      </c>
      <c r="AL3864">
        <v>250</v>
      </c>
      <c r="AM3864">
        <v>554</v>
      </c>
      <c r="AN3864">
        <v>44</v>
      </c>
      <c r="AP3864">
        <v>1</v>
      </c>
      <c r="AR3864" t="s">
        <v>3962</v>
      </c>
      <c r="AS3864" s="1">
        <v>44354.317361111112</v>
      </c>
      <c r="AT3864" s="1">
        <v>44354.320810185185</v>
      </c>
      <c r="AU3864" s="1">
        <v>44354.32172453704</v>
      </c>
      <c r="AV3864" t="s">
        <v>71</v>
      </c>
      <c r="AW3864" t="s">
        <v>72</v>
      </c>
      <c r="AX3864" t="s">
        <v>73</v>
      </c>
    </row>
    <row r="3865" spans="1:50" x14ac:dyDescent="0.3">
      <c r="A3865" t="str">
        <f>"201540E0100"</f>
        <v>201540E0100</v>
      </c>
      <c r="B3865" t="str">
        <f>"201540E01002"</f>
        <v>201540E01002</v>
      </c>
      <c r="C3865" t="str">
        <f t="shared" si="200"/>
        <v>20</v>
      </c>
      <c r="D3865" t="s">
        <v>67</v>
      </c>
      <c r="E3865" t="str">
        <f t="shared" si="199"/>
        <v>017</v>
      </c>
      <c r="F3865" t="s">
        <v>3808</v>
      </c>
      <c r="G3865" t="str">
        <f>"1540"</f>
        <v>1540</v>
      </c>
      <c r="H3865" t="str">
        <f>"0001"</f>
        <v>0001</v>
      </c>
      <c r="I3865" t="s">
        <v>109</v>
      </c>
      <c r="J3865">
        <v>0</v>
      </c>
      <c r="K3865">
        <v>1</v>
      </c>
      <c r="L3865">
        <v>2</v>
      </c>
      <c r="M3865">
        <v>525</v>
      </c>
      <c r="N3865">
        <v>232</v>
      </c>
      <c r="O3865">
        <v>3</v>
      </c>
      <c r="P3865">
        <v>232</v>
      </c>
      <c r="Q3865">
        <v>7</v>
      </c>
      <c r="R3865">
        <v>55</v>
      </c>
      <c r="S3865">
        <v>9</v>
      </c>
      <c r="T3865">
        <v>3</v>
      </c>
      <c r="U3865">
        <v>66</v>
      </c>
      <c r="V3865">
        <v>5</v>
      </c>
      <c r="W3865">
        <v>5</v>
      </c>
      <c r="X3865">
        <v>69</v>
      </c>
      <c r="Y3865">
        <v>0</v>
      </c>
      <c r="Z3865">
        <v>5</v>
      </c>
      <c r="AA3865">
        <v>1</v>
      </c>
      <c r="AB3865">
        <v>2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5</v>
      </c>
      <c r="AK3865">
        <v>232</v>
      </c>
      <c r="AL3865">
        <v>232</v>
      </c>
      <c r="AM3865">
        <v>713</v>
      </c>
      <c r="AN3865">
        <v>44</v>
      </c>
      <c r="AP3865">
        <v>1</v>
      </c>
      <c r="AR3865" t="s">
        <v>3963</v>
      </c>
      <c r="AS3865" s="1">
        <v>44353.945833333331</v>
      </c>
      <c r="AT3865" s="1">
        <v>44354.321099537039</v>
      </c>
      <c r="AU3865" s="1">
        <v>44354.321574074071</v>
      </c>
      <c r="AV3865" t="s">
        <v>71</v>
      </c>
      <c r="AW3865" t="s">
        <v>72</v>
      </c>
      <c r="AX3865" t="s">
        <v>73</v>
      </c>
    </row>
    <row r="3866" spans="1:50" x14ac:dyDescent="0.3">
      <c r="A3866" t="str">
        <f>"201540E0200"</f>
        <v>201540E0200</v>
      </c>
      <c r="B3866" t="str">
        <f>"201540E02002"</f>
        <v>201540E02002</v>
      </c>
      <c r="C3866" t="str">
        <f t="shared" si="200"/>
        <v>20</v>
      </c>
      <c r="D3866" t="s">
        <v>67</v>
      </c>
      <c r="E3866" t="str">
        <f t="shared" si="199"/>
        <v>017</v>
      </c>
      <c r="F3866" t="s">
        <v>3808</v>
      </c>
      <c r="G3866" t="str">
        <f>"1540"</f>
        <v>1540</v>
      </c>
      <c r="H3866" t="str">
        <f>"0002"</f>
        <v>0002</v>
      </c>
      <c r="I3866" t="s">
        <v>109</v>
      </c>
      <c r="J3866">
        <v>0</v>
      </c>
      <c r="K3866">
        <v>1</v>
      </c>
      <c r="L3866">
        <v>2</v>
      </c>
      <c r="M3866">
        <v>71</v>
      </c>
      <c r="N3866">
        <v>103</v>
      </c>
      <c r="O3866">
        <v>3</v>
      </c>
      <c r="P3866">
        <v>103</v>
      </c>
      <c r="Q3866">
        <v>0</v>
      </c>
      <c r="R3866">
        <v>36</v>
      </c>
      <c r="S3866">
        <v>2</v>
      </c>
      <c r="T3866">
        <v>0</v>
      </c>
      <c r="U3866">
        <v>53</v>
      </c>
      <c r="V3866">
        <v>1</v>
      </c>
      <c r="W3866">
        <v>0</v>
      </c>
      <c r="X3866">
        <v>5</v>
      </c>
      <c r="Y3866">
        <v>0</v>
      </c>
      <c r="Z3866">
        <v>0</v>
      </c>
      <c r="AA3866">
        <v>2</v>
      </c>
      <c r="AB3866">
        <v>0</v>
      </c>
      <c r="AD3866">
        <v>0</v>
      </c>
      <c r="AE3866">
        <v>0</v>
      </c>
      <c r="AF3866">
        <v>0</v>
      </c>
      <c r="AG3866">
        <v>1</v>
      </c>
      <c r="AH3866">
        <v>0</v>
      </c>
      <c r="AI3866">
        <v>0</v>
      </c>
      <c r="AJ3866">
        <v>3</v>
      </c>
      <c r="AK3866">
        <v>103</v>
      </c>
      <c r="AL3866">
        <v>103</v>
      </c>
      <c r="AM3866">
        <v>130</v>
      </c>
      <c r="AN3866">
        <v>44</v>
      </c>
      <c r="AP3866">
        <v>1</v>
      </c>
      <c r="AR3866" t="s">
        <v>3964</v>
      </c>
      <c r="AS3866" s="1">
        <v>44354.387499999997</v>
      </c>
      <c r="AT3866" s="1">
        <v>44354.389652777776</v>
      </c>
      <c r="AU3866" s="1">
        <v>44354.390532407408</v>
      </c>
      <c r="AV3866" t="s">
        <v>71</v>
      </c>
      <c r="AW3866" t="s">
        <v>72</v>
      </c>
      <c r="AX3866" t="s">
        <v>73</v>
      </c>
    </row>
    <row r="3867" spans="1:50" x14ac:dyDescent="0.3">
      <c r="A3867" t="str">
        <f>"201553B0000"</f>
        <v>201553B0000</v>
      </c>
      <c r="B3867" t="str">
        <f>"201553B00002"</f>
        <v>201553B00002</v>
      </c>
      <c r="C3867" t="str">
        <f t="shared" si="200"/>
        <v>20</v>
      </c>
      <c r="D3867" t="s">
        <v>67</v>
      </c>
      <c r="E3867" t="str">
        <f t="shared" si="199"/>
        <v>017</v>
      </c>
      <c r="F3867" t="s">
        <v>3808</v>
      </c>
      <c r="G3867" t="str">
        <f>"1553"</f>
        <v>1553</v>
      </c>
      <c r="H3867" t="str">
        <f>"0000"</f>
        <v>0000</v>
      </c>
      <c r="I3867" t="s">
        <v>69</v>
      </c>
      <c r="J3867">
        <v>0</v>
      </c>
      <c r="K3867">
        <v>1</v>
      </c>
      <c r="L3867">
        <v>2</v>
      </c>
      <c r="M3867">
        <v>294</v>
      </c>
      <c r="N3867">
        <v>205</v>
      </c>
      <c r="O3867">
        <v>0</v>
      </c>
      <c r="P3867">
        <v>407</v>
      </c>
      <c r="Q3867">
        <v>12</v>
      </c>
      <c r="R3867">
        <v>95</v>
      </c>
      <c r="S3867">
        <v>3</v>
      </c>
      <c r="T3867">
        <v>3</v>
      </c>
      <c r="U3867">
        <v>41</v>
      </c>
      <c r="V3867">
        <v>2</v>
      </c>
      <c r="W3867">
        <v>2</v>
      </c>
      <c r="X3867">
        <v>38</v>
      </c>
      <c r="Y3867">
        <v>0</v>
      </c>
      <c r="Z3867">
        <v>0</v>
      </c>
      <c r="AA3867">
        <v>2</v>
      </c>
      <c r="AB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7</v>
      </c>
      <c r="AK3867">
        <v>205</v>
      </c>
      <c r="AL3867">
        <v>205</v>
      </c>
      <c r="AM3867">
        <v>455</v>
      </c>
      <c r="AN3867">
        <v>44</v>
      </c>
      <c r="AP3867">
        <v>1</v>
      </c>
      <c r="AR3867" t="s">
        <v>3965</v>
      </c>
      <c r="AS3867" s="1">
        <v>44353.847916666666</v>
      </c>
      <c r="AT3867" s="1">
        <v>44354.152291666665</v>
      </c>
      <c r="AU3867" s="1">
        <v>44354.152638888889</v>
      </c>
      <c r="AV3867" t="s">
        <v>71</v>
      </c>
      <c r="AW3867" t="s">
        <v>72</v>
      </c>
      <c r="AX3867" t="s">
        <v>73</v>
      </c>
    </row>
    <row r="3868" spans="1:50" x14ac:dyDescent="0.3">
      <c r="A3868" t="str">
        <f>"201553C0100"</f>
        <v>201553C0100</v>
      </c>
      <c r="B3868" t="str">
        <f>"201553C01002"</f>
        <v>201553C01002</v>
      </c>
      <c r="C3868" t="str">
        <f t="shared" si="200"/>
        <v>20</v>
      </c>
      <c r="D3868" t="s">
        <v>67</v>
      </c>
      <c r="E3868" t="str">
        <f t="shared" si="199"/>
        <v>017</v>
      </c>
      <c r="F3868" t="s">
        <v>3808</v>
      </c>
      <c r="G3868" t="str">
        <f>"1553"</f>
        <v>1553</v>
      </c>
      <c r="H3868" t="str">
        <f>"0001"</f>
        <v>0001</v>
      </c>
      <c r="I3868" t="s">
        <v>75</v>
      </c>
      <c r="J3868">
        <v>0</v>
      </c>
      <c r="K3868">
        <v>1</v>
      </c>
      <c r="L3868">
        <v>2</v>
      </c>
      <c r="M3868">
        <v>297</v>
      </c>
      <c r="N3868">
        <v>202</v>
      </c>
      <c r="O3868">
        <v>0</v>
      </c>
      <c r="P3868">
        <v>407</v>
      </c>
      <c r="Q3868">
        <v>4</v>
      </c>
      <c r="R3868">
        <v>103</v>
      </c>
      <c r="S3868">
        <v>5</v>
      </c>
      <c r="T3868">
        <v>6</v>
      </c>
      <c r="U3868">
        <v>27</v>
      </c>
      <c r="V3868">
        <v>1</v>
      </c>
      <c r="W3868">
        <v>3</v>
      </c>
      <c r="X3868">
        <v>44</v>
      </c>
      <c r="Y3868">
        <v>0</v>
      </c>
      <c r="Z3868">
        <v>1</v>
      </c>
      <c r="AA3868">
        <v>1</v>
      </c>
      <c r="AB3868">
        <v>0</v>
      </c>
      <c r="AD3868">
        <v>1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6</v>
      </c>
      <c r="AK3868">
        <v>202</v>
      </c>
      <c r="AL3868">
        <v>202</v>
      </c>
      <c r="AM3868">
        <v>455</v>
      </c>
      <c r="AN3868">
        <v>44</v>
      </c>
      <c r="AP3868">
        <v>1</v>
      </c>
      <c r="AR3868" t="s">
        <v>3966</v>
      </c>
      <c r="AS3868" s="1">
        <v>44354.149305555555</v>
      </c>
      <c r="AT3868" s="1">
        <v>44354.152650462966</v>
      </c>
      <c r="AU3868" s="1">
        <v>44354.15320601852</v>
      </c>
      <c r="AV3868" t="s">
        <v>71</v>
      </c>
      <c r="AW3868" t="s">
        <v>72</v>
      </c>
      <c r="AX3868" t="s">
        <v>73</v>
      </c>
    </row>
    <row r="3869" spans="1:50" x14ac:dyDescent="0.3">
      <c r="A3869" t="str">
        <f>"201561B0000"</f>
        <v>201561B0000</v>
      </c>
      <c r="B3869" t="str">
        <f>"201561B00002"</f>
        <v>201561B00002</v>
      </c>
      <c r="C3869" t="str">
        <f t="shared" si="200"/>
        <v>20</v>
      </c>
      <c r="D3869" t="s">
        <v>67</v>
      </c>
      <c r="E3869" t="str">
        <f t="shared" si="199"/>
        <v>017</v>
      </c>
      <c r="F3869" t="s">
        <v>3808</v>
      </c>
      <c r="G3869" t="str">
        <f>"1561"</f>
        <v>1561</v>
      </c>
      <c r="H3869" t="str">
        <f>"0000"</f>
        <v>0000</v>
      </c>
      <c r="I3869" t="s">
        <v>69</v>
      </c>
      <c r="J3869">
        <v>0</v>
      </c>
      <c r="K3869">
        <v>1</v>
      </c>
      <c r="L3869">
        <v>2</v>
      </c>
      <c r="M3869">
        <v>471</v>
      </c>
      <c r="N3869">
        <v>199</v>
      </c>
      <c r="O3869">
        <v>1</v>
      </c>
      <c r="P3869">
        <v>199</v>
      </c>
      <c r="Q3869">
        <v>19</v>
      </c>
      <c r="R3869">
        <v>23</v>
      </c>
      <c r="S3869">
        <v>4</v>
      </c>
      <c r="T3869">
        <v>2</v>
      </c>
      <c r="U3869">
        <v>23</v>
      </c>
      <c r="V3869">
        <v>2</v>
      </c>
      <c r="W3869">
        <v>0</v>
      </c>
      <c r="X3869">
        <v>121</v>
      </c>
      <c r="Y3869">
        <v>1</v>
      </c>
      <c r="Z3869">
        <v>1</v>
      </c>
      <c r="AA3869">
        <v>0</v>
      </c>
      <c r="AB3869">
        <v>1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199</v>
      </c>
      <c r="AL3869">
        <v>197</v>
      </c>
      <c r="AM3869">
        <v>626</v>
      </c>
      <c r="AN3869">
        <v>44</v>
      </c>
      <c r="AP3869">
        <v>1</v>
      </c>
      <c r="AR3869" t="s">
        <v>3967</v>
      </c>
      <c r="AS3869" s="1">
        <v>44354.15347222222</v>
      </c>
      <c r="AT3869" s="1">
        <v>44354.156770833331</v>
      </c>
      <c r="AU3869" s="1">
        <v>44354.156956018516</v>
      </c>
      <c r="AV3869" t="s">
        <v>71</v>
      </c>
      <c r="AW3869" t="s">
        <v>72</v>
      </c>
      <c r="AX3869" t="s">
        <v>347</v>
      </c>
    </row>
    <row r="3870" spans="1:50" x14ac:dyDescent="0.3">
      <c r="A3870" t="str">
        <f>"201561C0100"</f>
        <v>201561C0100</v>
      </c>
      <c r="B3870" t="str">
        <f>"201561C01002"</f>
        <v>201561C01002</v>
      </c>
      <c r="C3870" t="str">
        <f t="shared" si="200"/>
        <v>20</v>
      </c>
      <c r="D3870" t="s">
        <v>67</v>
      </c>
      <c r="E3870" t="str">
        <f t="shared" si="199"/>
        <v>017</v>
      </c>
      <c r="F3870" t="s">
        <v>3808</v>
      </c>
      <c r="G3870" t="str">
        <f>"1561"</f>
        <v>1561</v>
      </c>
      <c r="H3870" t="str">
        <f>"0001"</f>
        <v>0001</v>
      </c>
      <c r="I3870" t="s">
        <v>75</v>
      </c>
      <c r="J3870">
        <v>0</v>
      </c>
      <c r="K3870">
        <v>1</v>
      </c>
      <c r="L3870">
        <v>2</v>
      </c>
      <c r="M3870">
        <v>479</v>
      </c>
      <c r="N3870">
        <v>189</v>
      </c>
      <c r="O3870">
        <v>0</v>
      </c>
      <c r="P3870">
        <v>190</v>
      </c>
      <c r="Q3870">
        <v>24</v>
      </c>
      <c r="R3870">
        <v>18</v>
      </c>
      <c r="S3870">
        <v>1</v>
      </c>
      <c r="T3870">
        <v>2</v>
      </c>
      <c r="U3870">
        <v>39</v>
      </c>
      <c r="V3870">
        <v>1</v>
      </c>
      <c r="W3870">
        <v>0</v>
      </c>
      <c r="X3870">
        <v>101</v>
      </c>
      <c r="Y3870">
        <v>1</v>
      </c>
      <c r="Z3870">
        <v>0</v>
      </c>
      <c r="AA3870">
        <v>1</v>
      </c>
      <c r="AB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2</v>
      </c>
      <c r="AK3870">
        <v>190</v>
      </c>
      <c r="AL3870">
        <v>190</v>
      </c>
      <c r="AM3870">
        <v>625</v>
      </c>
      <c r="AN3870">
        <v>44</v>
      </c>
      <c r="AP3870">
        <v>1</v>
      </c>
      <c r="AR3870" t="s">
        <v>3968</v>
      </c>
      <c r="AS3870" s="1">
        <v>44354.017361111109</v>
      </c>
      <c r="AT3870" s="1">
        <v>44354.026736111111</v>
      </c>
      <c r="AU3870" s="1">
        <v>44354.02716435185</v>
      </c>
      <c r="AV3870" t="s">
        <v>71</v>
      </c>
      <c r="AW3870" t="s">
        <v>72</v>
      </c>
      <c r="AX3870" t="s">
        <v>73</v>
      </c>
    </row>
    <row r="3871" spans="1:50" x14ac:dyDescent="0.3">
      <c r="A3871" t="str">
        <f>"201562B0000"</f>
        <v>201562B0000</v>
      </c>
      <c r="B3871" t="str">
        <f>"201562B00002"</f>
        <v>201562B00002</v>
      </c>
      <c r="C3871" t="str">
        <f t="shared" si="200"/>
        <v>20</v>
      </c>
      <c r="D3871" t="s">
        <v>67</v>
      </c>
      <c r="E3871" t="str">
        <f t="shared" si="199"/>
        <v>017</v>
      </c>
      <c r="F3871" t="s">
        <v>3808</v>
      </c>
      <c r="G3871" t="str">
        <f>"1562"</f>
        <v>1562</v>
      </c>
      <c r="H3871" t="str">
        <f>"0000"</f>
        <v>0000</v>
      </c>
      <c r="I3871" t="s">
        <v>69</v>
      </c>
      <c r="J3871">
        <v>0</v>
      </c>
      <c r="K3871">
        <v>1</v>
      </c>
      <c r="L3871">
        <v>2</v>
      </c>
      <c r="M3871">
        <v>519</v>
      </c>
      <c r="N3871">
        <v>175</v>
      </c>
      <c r="O3871">
        <v>2</v>
      </c>
      <c r="P3871">
        <v>175</v>
      </c>
      <c r="Q3871">
        <v>15</v>
      </c>
      <c r="R3871">
        <v>32</v>
      </c>
      <c r="S3871">
        <v>2</v>
      </c>
      <c r="T3871">
        <v>1</v>
      </c>
      <c r="U3871">
        <v>20</v>
      </c>
      <c r="V3871">
        <v>2</v>
      </c>
      <c r="W3871">
        <v>1</v>
      </c>
      <c r="X3871">
        <v>86</v>
      </c>
      <c r="Y3871">
        <v>1</v>
      </c>
      <c r="Z3871">
        <v>3</v>
      </c>
      <c r="AA3871">
        <v>1</v>
      </c>
      <c r="AB3871">
        <v>2</v>
      </c>
      <c r="AD3871">
        <v>1</v>
      </c>
      <c r="AE3871">
        <v>0</v>
      </c>
      <c r="AF3871">
        <v>0</v>
      </c>
      <c r="AG3871">
        <v>1</v>
      </c>
      <c r="AH3871">
        <v>0</v>
      </c>
      <c r="AI3871">
        <v>0</v>
      </c>
      <c r="AJ3871">
        <v>7</v>
      </c>
      <c r="AK3871">
        <v>175</v>
      </c>
      <c r="AL3871">
        <v>175</v>
      </c>
      <c r="AM3871">
        <v>650</v>
      </c>
      <c r="AN3871">
        <v>44</v>
      </c>
      <c r="AP3871">
        <v>1</v>
      </c>
      <c r="AR3871" t="s">
        <v>3969</v>
      </c>
      <c r="AS3871" s="1">
        <v>44354.01458333333</v>
      </c>
      <c r="AT3871" s="1">
        <v>44354.025393518517</v>
      </c>
      <c r="AU3871" s="1">
        <v>44354.025879629633</v>
      </c>
      <c r="AV3871" t="s">
        <v>71</v>
      </c>
      <c r="AW3871" t="s">
        <v>72</v>
      </c>
      <c r="AX3871" t="s">
        <v>73</v>
      </c>
    </row>
    <row r="3872" spans="1:50" x14ac:dyDescent="0.3">
      <c r="A3872" t="str">
        <f>"201563B0000"</f>
        <v>201563B0000</v>
      </c>
      <c r="B3872" t="str">
        <f>"201563B00002"</f>
        <v>201563B00002</v>
      </c>
      <c r="C3872" t="str">
        <f t="shared" si="200"/>
        <v>20</v>
      </c>
      <c r="D3872" t="s">
        <v>67</v>
      </c>
      <c r="E3872" t="str">
        <f t="shared" si="199"/>
        <v>017</v>
      </c>
      <c r="F3872" t="s">
        <v>3808</v>
      </c>
      <c r="G3872" t="str">
        <f>"1563"</f>
        <v>1563</v>
      </c>
      <c r="H3872" t="str">
        <f>"0000"</f>
        <v>0000</v>
      </c>
      <c r="I3872" t="s">
        <v>69</v>
      </c>
      <c r="J3872">
        <v>0</v>
      </c>
      <c r="K3872">
        <v>1</v>
      </c>
      <c r="L3872">
        <v>2</v>
      </c>
      <c r="M3872">
        <v>347</v>
      </c>
      <c r="N3872">
        <v>236</v>
      </c>
      <c r="O3872">
        <v>3</v>
      </c>
      <c r="P3872">
        <v>236</v>
      </c>
      <c r="Q3872">
        <v>4</v>
      </c>
      <c r="R3872">
        <v>30</v>
      </c>
      <c r="S3872">
        <v>11</v>
      </c>
      <c r="T3872">
        <v>2</v>
      </c>
      <c r="U3872">
        <v>25</v>
      </c>
      <c r="V3872">
        <v>1</v>
      </c>
      <c r="W3872">
        <v>0</v>
      </c>
      <c r="X3872">
        <v>153</v>
      </c>
      <c r="Y3872">
        <v>0</v>
      </c>
      <c r="Z3872">
        <v>3</v>
      </c>
      <c r="AA3872">
        <v>2</v>
      </c>
      <c r="AB3872">
        <v>0</v>
      </c>
      <c r="AD3872">
        <v>1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4</v>
      </c>
      <c r="AK3872">
        <v>236</v>
      </c>
      <c r="AL3872">
        <v>236</v>
      </c>
      <c r="AM3872">
        <v>539</v>
      </c>
      <c r="AN3872">
        <v>44</v>
      </c>
      <c r="AP3872">
        <v>1</v>
      </c>
      <c r="AR3872" t="s">
        <v>3970</v>
      </c>
      <c r="AS3872" s="1">
        <v>44354.023611111108</v>
      </c>
      <c r="AT3872" s="1">
        <v>44354.030717592592</v>
      </c>
      <c r="AU3872" s="1">
        <v>44354.031365740739</v>
      </c>
      <c r="AV3872" t="s">
        <v>71</v>
      </c>
      <c r="AW3872" t="s">
        <v>72</v>
      </c>
      <c r="AX3872" t="s">
        <v>73</v>
      </c>
    </row>
    <row r="3873" spans="1:50" x14ac:dyDescent="0.3">
      <c r="A3873" t="str">
        <f>"201606B0000"</f>
        <v>201606B0000</v>
      </c>
      <c r="B3873" t="str">
        <f>"201606B00002"</f>
        <v>201606B00002</v>
      </c>
      <c r="C3873" t="str">
        <f t="shared" si="200"/>
        <v>20</v>
      </c>
      <c r="D3873" t="s">
        <v>67</v>
      </c>
      <c r="E3873" t="str">
        <f t="shared" si="199"/>
        <v>017</v>
      </c>
      <c r="F3873" t="s">
        <v>3808</v>
      </c>
      <c r="G3873" t="str">
        <f>"1606"</f>
        <v>1606</v>
      </c>
      <c r="H3873" t="str">
        <f>"0000"</f>
        <v>0000</v>
      </c>
      <c r="I3873" t="s">
        <v>69</v>
      </c>
      <c r="J3873">
        <v>0</v>
      </c>
      <c r="K3873">
        <v>1</v>
      </c>
      <c r="L3873">
        <v>2</v>
      </c>
      <c r="M3873">
        <v>426</v>
      </c>
      <c r="N3873">
        <v>217</v>
      </c>
      <c r="O3873">
        <v>0</v>
      </c>
      <c r="P3873">
        <v>217</v>
      </c>
      <c r="Q3873">
        <v>14</v>
      </c>
      <c r="R3873">
        <v>56</v>
      </c>
      <c r="S3873">
        <v>5</v>
      </c>
      <c r="T3873">
        <v>1</v>
      </c>
      <c r="U3873">
        <v>20</v>
      </c>
      <c r="V3873">
        <v>0</v>
      </c>
      <c r="W3873">
        <v>3</v>
      </c>
      <c r="X3873">
        <v>104</v>
      </c>
      <c r="Y3873">
        <v>0</v>
      </c>
      <c r="Z3873">
        <v>3</v>
      </c>
      <c r="AA3873">
        <v>4</v>
      </c>
      <c r="AB3873">
        <v>2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5</v>
      </c>
      <c r="AK3873">
        <v>217</v>
      </c>
      <c r="AL3873">
        <v>217</v>
      </c>
      <c r="AM3873">
        <v>599</v>
      </c>
      <c r="AN3873">
        <v>44</v>
      </c>
      <c r="AP3873">
        <v>1</v>
      </c>
      <c r="AR3873" t="s">
        <v>3971</v>
      </c>
      <c r="AS3873" s="1">
        <v>44353.79583333333</v>
      </c>
      <c r="AT3873" s="1">
        <v>44354.037245370368</v>
      </c>
      <c r="AU3873" s="1">
        <v>44354.037731481483</v>
      </c>
      <c r="AV3873" t="s">
        <v>71</v>
      </c>
      <c r="AW3873" t="s">
        <v>72</v>
      </c>
      <c r="AX3873" t="s">
        <v>73</v>
      </c>
    </row>
    <row r="3874" spans="1:50" x14ac:dyDescent="0.3">
      <c r="A3874" t="str">
        <f>"201606C0100"</f>
        <v>201606C0100</v>
      </c>
      <c r="B3874" t="str">
        <f>"201606C01002"</f>
        <v>201606C01002</v>
      </c>
      <c r="C3874" t="str">
        <f t="shared" si="200"/>
        <v>20</v>
      </c>
      <c r="D3874" t="s">
        <v>67</v>
      </c>
      <c r="E3874" t="str">
        <f t="shared" si="199"/>
        <v>017</v>
      </c>
      <c r="F3874" t="s">
        <v>3808</v>
      </c>
      <c r="G3874" t="str">
        <f>"1606"</f>
        <v>1606</v>
      </c>
      <c r="H3874" t="str">
        <f>"0001"</f>
        <v>0001</v>
      </c>
      <c r="I3874" t="s">
        <v>75</v>
      </c>
      <c r="J3874">
        <v>0</v>
      </c>
      <c r="K3874">
        <v>1</v>
      </c>
      <c r="L3874">
        <v>2</v>
      </c>
      <c r="M3874">
        <v>427</v>
      </c>
      <c r="N3874">
        <v>215</v>
      </c>
      <c r="O3874">
        <v>3</v>
      </c>
      <c r="P3874">
        <v>215</v>
      </c>
      <c r="Q3874">
        <v>16</v>
      </c>
      <c r="R3874">
        <v>73</v>
      </c>
      <c r="S3874">
        <v>6</v>
      </c>
      <c r="T3874">
        <v>4</v>
      </c>
      <c r="U3874">
        <v>21</v>
      </c>
      <c r="V3874">
        <v>2</v>
      </c>
      <c r="W3874">
        <v>6</v>
      </c>
      <c r="X3874">
        <v>80</v>
      </c>
      <c r="Y3874">
        <v>1</v>
      </c>
      <c r="Z3874">
        <v>1</v>
      </c>
      <c r="AA3874">
        <v>1</v>
      </c>
      <c r="AB3874">
        <v>2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2</v>
      </c>
      <c r="AK3874">
        <v>215</v>
      </c>
      <c r="AL3874">
        <v>215</v>
      </c>
      <c r="AM3874">
        <v>598</v>
      </c>
      <c r="AN3874">
        <v>44</v>
      </c>
      <c r="AP3874">
        <v>1</v>
      </c>
      <c r="AR3874" t="s">
        <v>3972</v>
      </c>
      <c r="AS3874" s="1">
        <v>44354.02847222222</v>
      </c>
      <c r="AT3874" s="1">
        <v>44354.039733796293</v>
      </c>
      <c r="AU3874" s="1">
        <v>44354.040243055555</v>
      </c>
      <c r="AV3874" t="s">
        <v>71</v>
      </c>
      <c r="AW3874" t="s">
        <v>72</v>
      </c>
      <c r="AX3874" t="s">
        <v>73</v>
      </c>
    </row>
    <row r="3875" spans="1:50" x14ac:dyDescent="0.3">
      <c r="A3875" t="str">
        <f>"201606E0100"</f>
        <v>201606E0100</v>
      </c>
      <c r="B3875" t="str">
        <f>"201606E01002"</f>
        <v>201606E01002</v>
      </c>
      <c r="C3875" t="str">
        <f t="shared" si="200"/>
        <v>20</v>
      </c>
      <c r="D3875" t="s">
        <v>67</v>
      </c>
      <c r="E3875" t="str">
        <f t="shared" si="199"/>
        <v>017</v>
      </c>
      <c r="F3875" t="s">
        <v>3808</v>
      </c>
      <c r="G3875" t="str">
        <f>"1606"</f>
        <v>1606</v>
      </c>
      <c r="H3875" t="str">
        <f>"0001"</f>
        <v>0001</v>
      </c>
      <c r="I3875" t="s">
        <v>109</v>
      </c>
      <c r="J3875">
        <v>0</v>
      </c>
      <c r="K3875">
        <v>1</v>
      </c>
      <c r="L3875">
        <v>2</v>
      </c>
      <c r="M3875">
        <v>237</v>
      </c>
      <c r="N3875">
        <v>133</v>
      </c>
      <c r="O3875">
        <v>0</v>
      </c>
      <c r="P3875">
        <v>133</v>
      </c>
      <c r="Q3875">
        <v>4</v>
      </c>
      <c r="R3875">
        <v>19</v>
      </c>
      <c r="S3875">
        <v>0</v>
      </c>
      <c r="T3875">
        <v>4</v>
      </c>
      <c r="U3875">
        <v>27</v>
      </c>
      <c r="V3875">
        <v>0</v>
      </c>
      <c r="W3875">
        <v>0</v>
      </c>
      <c r="X3875">
        <v>66</v>
      </c>
      <c r="Y3875">
        <v>0</v>
      </c>
      <c r="Z3875">
        <v>2</v>
      </c>
      <c r="AA3875">
        <v>0</v>
      </c>
      <c r="AB3875">
        <v>1</v>
      </c>
      <c r="AD3875">
        <v>0</v>
      </c>
      <c r="AE3875">
        <v>2</v>
      </c>
      <c r="AF3875">
        <v>0</v>
      </c>
      <c r="AG3875">
        <v>0</v>
      </c>
      <c r="AH3875">
        <v>0</v>
      </c>
      <c r="AI3875">
        <v>0</v>
      </c>
      <c r="AJ3875">
        <v>8</v>
      </c>
      <c r="AK3875">
        <v>133</v>
      </c>
      <c r="AL3875">
        <v>133</v>
      </c>
      <c r="AM3875">
        <v>326</v>
      </c>
      <c r="AN3875">
        <v>44</v>
      </c>
      <c r="AP3875">
        <v>1</v>
      </c>
      <c r="AR3875" t="s">
        <v>3973</v>
      </c>
      <c r="AS3875" s="1">
        <v>44354.037499999999</v>
      </c>
      <c r="AT3875" s="1">
        <v>44354.047233796293</v>
      </c>
      <c r="AU3875" s="1">
        <v>44354.047650462962</v>
      </c>
      <c r="AV3875" t="s">
        <v>71</v>
      </c>
      <c r="AW3875" t="s">
        <v>72</v>
      </c>
      <c r="AX3875" t="s">
        <v>73</v>
      </c>
    </row>
    <row r="3876" spans="1:50" x14ac:dyDescent="0.3">
      <c r="A3876" t="str">
        <f>"201626B0000"</f>
        <v>201626B0000</v>
      </c>
      <c r="B3876" t="str">
        <f>"201626B00002"</f>
        <v>201626B00002</v>
      </c>
      <c r="C3876" t="str">
        <f t="shared" si="200"/>
        <v>20</v>
      </c>
      <c r="D3876" t="s">
        <v>67</v>
      </c>
      <c r="E3876" t="str">
        <f t="shared" si="199"/>
        <v>017</v>
      </c>
      <c r="F3876" t="s">
        <v>3808</v>
      </c>
      <c r="G3876" t="str">
        <f>"1626"</f>
        <v>1626</v>
      </c>
      <c r="H3876" t="str">
        <f>"0000"</f>
        <v>0000</v>
      </c>
      <c r="I3876" t="s">
        <v>69</v>
      </c>
      <c r="J3876">
        <v>0</v>
      </c>
      <c r="K3876">
        <v>1</v>
      </c>
      <c r="L3876">
        <v>2</v>
      </c>
      <c r="M3876">
        <v>368</v>
      </c>
      <c r="N3876">
        <v>187</v>
      </c>
      <c r="O3876">
        <v>0</v>
      </c>
      <c r="P3876">
        <v>187</v>
      </c>
      <c r="Q3876">
        <v>8</v>
      </c>
      <c r="R3876">
        <v>25</v>
      </c>
      <c r="S3876">
        <v>3</v>
      </c>
      <c r="T3876">
        <v>8</v>
      </c>
      <c r="U3876">
        <v>41</v>
      </c>
      <c r="V3876">
        <v>4</v>
      </c>
      <c r="W3876">
        <v>0</v>
      </c>
      <c r="X3876">
        <v>84</v>
      </c>
      <c r="Y3876">
        <v>0</v>
      </c>
      <c r="Z3876">
        <v>2</v>
      </c>
      <c r="AA3876">
        <v>0</v>
      </c>
      <c r="AB3876">
        <v>0</v>
      </c>
      <c r="AD3876">
        <v>1</v>
      </c>
      <c r="AE3876">
        <v>1</v>
      </c>
      <c r="AF3876">
        <v>0</v>
      </c>
      <c r="AG3876">
        <v>0</v>
      </c>
      <c r="AH3876">
        <v>0</v>
      </c>
      <c r="AI3876">
        <v>0</v>
      </c>
      <c r="AJ3876">
        <v>9</v>
      </c>
      <c r="AK3876">
        <v>187</v>
      </c>
      <c r="AL3876">
        <v>186</v>
      </c>
      <c r="AM3876">
        <v>511</v>
      </c>
      <c r="AN3876">
        <v>44</v>
      </c>
      <c r="AP3876">
        <v>1</v>
      </c>
      <c r="AR3876" t="s">
        <v>3974</v>
      </c>
      <c r="AS3876" s="1">
        <v>44354.23333333333</v>
      </c>
      <c r="AT3876" s="1">
        <v>44354.236388888887</v>
      </c>
      <c r="AU3876" s="1">
        <v>44354.236886574072</v>
      </c>
      <c r="AV3876" t="s">
        <v>71</v>
      </c>
      <c r="AW3876" t="s">
        <v>72</v>
      </c>
      <c r="AX3876" t="s">
        <v>347</v>
      </c>
    </row>
    <row r="3877" spans="1:50" x14ac:dyDescent="0.3">
      <c r="A3877" t="str">
        <f>"201626C0100"</f>
        <v>201626C0100</v>
      </c>
      <c r="B3877" t="str">
        <f>"201626C01002"</f>
        <v>201626C01002</v>
      </c>
      <c r="C3877" t="str">
        <f t="shared" si="200"/>
        <v>20</v>
      </c>
      <c r="D3877" t="s">
        <v>67</v>
      </c>
      <c r="E3877" t="str">
        <f t="shared" si="199"/>
        <v>017</v>
      </c>
      <c r="F3877" t="s">
        <v>3808</v>
      </c>
      <c r="G3877" t="str">
        <f>"1626"</f>
        <v>1626</v>
      </c>
      <c r="H3877" t="str">
        <f>"0001"</f>
        <v>0001</v>
      </c>
      <c r="I3877" t="s">
        <v>75</v>
      </c>
      <c r="J3877">
        <v>0</v>
      </c>
      <c r="K3877">
        <v>1</v>
      </c>
      <c r="L3877">
        <v>2</v>
      </c>
      <c r="M3877">
        <v>364</v>
      </c>
      <c r="N3877">
        <v>191</v>
      </c>
      <c r="O3877">
        <v>3</v>
      </c>
      <c r="P3877">
        <v>191</v>
      </c>
      <c r="Q3877">
        <v>5</v>
      </c>
      <c r="R3877">
        <v>31</v>
      </c>
      <c r="S3877">
        <v>3</v>
      </c>
      <c r="T3877">
        <v>2</v>
      </c>
      <c r="U3877">
        <v>29</v>
      </c>
      <c r="V3877">
        <v>1</v>
      </c>
      <c r="W3877">
        <v>0</v>
      </c>
      <c r="X3877">
        <v>100</v>
      </c>
      <c r="Y3877">
        <v>2</v>
      </c>
      <c r="Z3877">
        <v>3</v>
      </c>
      <c r="AA3877">
        <v>3</v>
      </c>
      <c r="AB3877">
        <v>2</v>
      </c>
      <c r="AD3877">
        <v>1</v>
      </c>
      <c r="AE3877">
        <v>0</v>
      </c>
      <c r="AF3877">
        <v>0</v>
      </c>
      <c r="AG3877">
        <v>0</v>
      </c>
      <c r="AH3877">
        <v>1</v>
      </c>
      <c r="AI3877">
        <v>0</v>
      </c>
      <c r="AJ3877">
        <v>8</v>
      </c>
      <c r="AK3877">
        <v>191</v>
      </c>
      <c r="AL3877">
        <v>191</v>
      </c>
      <c r="AM3877">
        <v>511</v>
      </c>
      <c r="AN3877">
        <v>44</v>
      </c>
      <c r="AP3877">
        <v>1</v>
      </c>
      <c r="AR3877" t="s">
        <v>3975</v>
      </c>
      <c r="AS3877" s="1">
        <v>44353.826388888891</v>
      </c>
      <c r="AT3877" s="1">
        <v>44354.047500000001</v>
      </c>
      <c r="AU3877" s="1">
        <v>44354.048055555555</v>
      </c>
      <c r="AV3877" t="s">
        <v>71</v>
      </c>
      <c r="AW3877" t="s">
        <v>72</v>
      </c>
      <c r="AX3877" t="s">
        <v>73</v>
      </c>
    </row>
    <row r="3878" spans="1:50" x14ac:dyDescent="0.3">
      <c r="A3878" t="str">
        <f>"201626C0200"</f>
        <v>201626C0200</v>
      </c>
      <c r="B3878" t="str">
        <f>"201626C02002"</f>
        <v>201626C02002</v>
      </c>
      <c r="C3878" t="str">
        <f t="shared" si="200"/>
        <v>20</v>
      </c>
      <c r="D3878" t="s">
        <v>67</v>
      </c>
      <c r="E3878" t="str">
        <f t="shared" si="199"/>
        <v>017</v>
      </c>
      <c r="F3878" t="s">
        <v>3808</v>
      </c>
      <c r="G3878" t="str">
        <f>"1626"</f>
        <v>1626</v>
      </c>
      <c r="H3878" t="str">
        <f>"0002"</f>
        <v>0002</v>
      </c>
      <c r="I3878" t="s">
        <v>75</v>
      </c>
      <c r="J3878">
        <v>0</v>
      </c>
      <c r="K3878">
        <v>1</v>
      </c>
      <c r="L3878">
        <v>2</v>
      </c>
      <c r="M3878">
        <v>386</v>
      </c>
      <c r="N3878">
        <v>168</v>
      </c>
      <c r="O3878">
        <v>0</v>
      </c>
      <c r="P3878">
        <v>168</v>
      </c>
      <c r="Q3878">
        <v>5</v>
      </c>
      <c r="R3878">
        <v>23</v>
      </c>
      <c r="S3878">
        <v>1</v>
      </c>
      <c r="T3878">
        <v>4</v>
      </c>
      <c r="U3878">
        <v>22</v>
      </c>
      <c r="V3878">
        <v>2</v>
      </c>
      <c r="W3878">
        <v>4</v>
      </c>
      <c r="X3878">
        <v>90</v>
      </c>
      <c r="Y3878">
        <v>0</v>
      </c>
      <c r="Z3878">
        <v>4</v>
      </c>
      <c r="AA3878">
        <v>1</v>
      </c>
      <c r="AB3878">
        <v>0</v>
      </c>
      <c r="AD3878">
        <v>3</v>
      </c>
      <c r="AE3878">
        <v>0</v>
      </c>
      <c r="AF3878">
        <v>1</v>
      </c>
      <c r="AG3878">
        <v>3</v>
      </c>
      <c r="AH3878">
        <v>1</v>
      </c>
      <c r="AI3878">
        <v>0</v>
      </c>
      <c r="AJ3878">
        <v>7</v>
      </c>
      <c r="AK3878">
        <v>168</v>
      </c>
      <c r="AL3878">
        <v>171</v>
      </c>
      <c r="AM3878">
        <v>510</v>
      </c>
      <c r="AN3878">
        <v>44</v>
      </c>
      <c r="AP3878">
        <v>1</v>
      </c>
      <c r="AR3878" t="s">
        <v>3976</v>
      </c>
      <c r="AS3878" s="1">
        <v>44354.03402777778</v>
      </c>
      <c r="AT3878" s="1">
        <v>44354.045370370368</v>
      </c>
      <c r="AU3878" s="1">
        <v>44354.046099537038</v>
      </c>
      <c r="AV3878" t="s">
        <v>71</v>
      </c>
      <c r="AW3878" t="s">
        <v>72</v>
      </c>
      <c r="AX3878" t="s">
        <v>73</v>
      </c>
    </row>
    <row r="3879" spans="1:50" x14ac:dyDescent="0.3">
      <c r="A3879" t="str">
        <f>"201626E0100"</f>
        <v>201626E0100</v>
      </c>
      <c r="B3879" t="str">
        <f>"201626E01002"</f>
        <v>201626E01002</v>
      </c>
      <c r="C3879" t="str">
        <f t="shared" si="200"/>
        <v>20</v>
      </c>
      <c r="D3879" t="s">
        <v>67</v>
      </c>
      <c r="E3879" t="str">
        <f t="shared" si="199"/>
        <v>017</v>
      </c>
      <c r="F3879" t="s">
        <v>3808</v>
      </c>
      <c r="G3879" t="str">
        <f>"1626"</f>
        <v>1626</v>
      </c>
      <c r="H3879" t="str">
        <f>"0001"</f>
        <v>0001</v>
      </c>
      <c r="I3879" t="s">
        <v>109</v>
      </c>
      <c r="J3879">
        <v>0</v>
      </c>
      <c r="K3879">
        <v>1</v>
      </c>
      <c r="L3879">
        <v>2</v>
      </c>
      <c r="M3879">
        <v>174</v>
      </c>
      <c r="N3879">
        <v>60</v>
      </c>
      <c r="O3879">
        <v>1</v>
      </c>
      <c r="P3879">
        <v>60</v>
      </c>
      <c r="Q3879">
        <v>2</v>
      </c>
      <c r="R3879">
        <v>10</v>
      </c>
      <c r="S3879">
        <v>0</v>
      </c>
      <c r="T3879">
        <v>0</v>
      </c>
      <c r="U3879">
        <v>25</v>
      </c>
      <c r="V3879">
        <v>0</v>
      </c>
      <c r="W3879">
        <v>0</v>
      </c>
      <c r="X3879">
        <v>19</v>
      </c>
      <c r="Y3879">
        <v>1</v>
      </c>
      <c r="Z3879">
        <v>0</v>
      </c>
      <c r="AA3879">
        <v>0</v>
      </c>
      <c r="AB3879">
        <v>0</v>
      </c>
      <c r="AD3879">
        <v>0</v>
      </c>
      <c r="AE3879">
        <v>1</v>
      </c>
      <c r="AF3879">
        <v>0</v>
      </c>
      <c r="AG3879">
        <v>0</v>
      </c>
      <c r="AH3879">
        <v>0</v>
      </c>
      <c r="AI3879">
        <v>0</v>
      </c>
      <c r="AJ3879">
        <v>2</v>
      </c>
      <c r="AK3879">
        <v>60</v>
      </c>
      <c r="AL3879">
        <v>60</v>
      </c>
      <c r="AM3879">
        <v>190</v>
      </c>
      <c r="AN3879">
        <v>44</v>
      </c>
      <c r="AP3879">
        <v>1</v>
      </c>
      <c r="AR3879" t="s">
        <v>3977</v>
      </c>
      <c r="AS3879" s="1">
        <v>44354.041666666664</v>
      </c>
      <c r="AT3879" s="1">
        <v>44354.05028935185</v>
      </c>
      <c r="AU3879" s="1">
        <v>44354.050879629627</v>
      </c>
      <c r="AV3879" t="s">
        <v>71</v>
      </c>
      <c r="AW3879" t="s">
        <v>72</v>
      </c>
      <c r="AX3879" t="s">
        <v>73</v>
      </c>
    </row>
    <row r="3880" spans="1:50" x14ac:dyDescent="0.3">
      <c r="A3880" t="str">
        <f>"201644B0000"</f>
        <v>201644B0000</v>
      </c>
      <c r="B3880" t="str">
        <f>"201644B00002"</f>
        <v>201644B00002</v>
      </c>
      <c r="C3880" t="str">
        <f t="shared" si="200"/>
        <v>20</v>
      </c>
      <c r="D3880" t="s">
        <v>67</v>
      </c>
      <c r="E3880" t="str">
        <f t="shared" si="199"/>
        <v>017</v>
      </c>
      <c r="F3880" t="s">
        <v>3808</v>
      </c>
      <c r="G3880" t="str">
        <f>"1644"</f>
        <v>1644</v>
      </c>
      <c r="H3880" t="str">
        <f>"0000"</f>
        <v>0000</v>
      </c>
      <c r="I3880" t="s">
        <v>69</v>
      </c>
      <c r="J3880">
        <v>0</v>
      </c>
      <c r="K3880">
        <v>1</v>
      </c>
      <c r="L3880">
        <v>2</v>
      </c>
      <c r="M3880">
        <v>385</v>
      </c>
      <c r="N3880">
        <v>154</v>
      </c>
      <c r="O3880">
        <v>1</v>
      </c>
      <c r="P3880">
        <v>154</v>
      </c>
      <c r="Q3880">
        <v>2</v>
      </c>
      <c r="R3880">
        <v>24</v>
      </c>
      <c r="S3880">
        <v>0</v>
      </c>
      <c r="T3880">
        <v>2</v>
      </c>
      <c r="U3880">
        <v>17</v>
      </c>
      <c r="V3880">
        <v>1</v>
      </c>
      <c r="W3880">
        <v>3</v>
      </c>
      <c r="X3880">
        <v>93</v>
      </c>
      <c r="Y3880">
        <v>2</v>
      </c>
      <c r="Z3880">
        <v>2</v>
      </c>
      <c r="AA3880">
        <v>1</v>
      </c>
      <c r="AB3880">
        <v>3</v>
      </c>
      <c r="AD3880" t="s">
        <v>77</v>
      </c>
      <c r="AE3880" t="s">
        <v>77</v>
      </c>
      <c r="AF3880" t="s">
        <v>77</v>
      </c>
      <c r="AG3880" t="s">
        <v>77</v>
      </c>
      <c r="AH3880" t="s">
        <v>77</v>
      </c>
      <c r="AI3880" t="s">
        <v>77</v>
      </c>
      <c r="AJ3880">
        <v>4</v>
      </c>
      <c r="AK3880">
        <v>154</v>
      </c>
      <c r="AL3880">
        <v>154</v>
      </c>
      <c r="AM3880">
        <v>495</v>
      </c>
      <c r="AN3880">
        <v>44</v>
      </c>
      <c r="AO3880" t="s">
        <v>78</v>
      </c>
      <c r="AP3880">
        <v>1</v>
      </c>
      <c r="AR3880" t="s">
        <v>3978</v>
      </c>
      <c r="AS3880" s="1">
        <v>44353.872916666667</v>
      </c>
      <c r="AT3880" s="1">
        <v>44353.875196759262</v>
      </c>
      <c r="AU3880" s="1">
        <v>44353.87572916667</v>
      </c>
      <c r="AV3880" t="s">
        <v>71</v>
      </c>
      <c r="AW3880" t="s">
        <v>72</v>
      </c>
      <c r="AX3880" t="s">
        <v>73</v>
      </c>
    </row>
    <row r="3881" spans="1:50" x14ac:dyDescent="0.3">
      <c r="A3881" t="str">
        <f>"201644C0100"</f>
        <v>201644C0100</v>
      </c>
      <c r="B3881" t="str">
        <f>"201644C01002"</f>
        <v>201644C01002</v>
      </c>
      <c r="C3881" t="str">
        <f t="shared" si="200"/>
        <v>20</v>
      </c>
      <c r="D3881" t="s">
        <v>67</v>
      </c>
      <c r="E3881" t="str">
        <f t="shared" si="199"/>
        <v>017</v>
      </c>
      <c r="F3881" t="s">
        <v>3808</v>
      </c>
      <c r="G3881" t="str">
        <f>"1644"</f>
        <v>1644</v>
      </c>
      <c r="H3881" t="str">
        <f>"0001"</f>
        <v>0001</v>
      </c>
      <c r="I3881" t="s">
        <v>75</v>
      </c>
      <c r="J3881">
        <v>0</v>
      </c>
      <c r="K3881">
        <v>1</v>
      </c>
      <c r="L3881">
        <v>2</v>
      </c>
      <c r="M3881">
        <v>392</v>
      </c>
      <c r="N3881">
        <v>146</v>
      </c>
      <c r="O3881">
        <v>1</v>
      </c>
      <c r="P3881">
        <v>147</v>
      </c>
      <c r="Q3881">
        <v>3</v>
      </c>
      <c r="R3881">
        <v>25</v>
      </c>
      <c r="S3881">
        <v>1</v>
      </c>
      <c r="T3881">
        <v>2</v>
      </c>
      <c r="U3881">
        <v>20</v>
      </c>
      <c r="V3881">
        <v>2</v>
      </c>
      <c r="W3881">
        <v>2</v>
      </c>
      <c r="X3881">
        <v>86</v>
      </c>
      <c r="Y3881">
        <v>0</v>
      </c>
      <c r="Z3881">
        <v>2</v>
      </c>
      <c r="AA3881">
        <v>0</v>
      </c>
      <c r="AB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4</v>
      </c>
      <c r="AK3881">
        <v>147</v>
      </c>
      <c r="AL3881">
        <v>147</v>
      </c>
      <c r="AM3881">
        <v>495</v>
      </c>
      <c r="AN3881">
        <v>44</v>
      </c>
      <c r="AP3881">
        <v>1</v>
      </c>
      <c r="AR3881" t="s">
        <v>3979</v>
      </c>
      <c r="AS3881" s="1">
        <v>44353.875</v>
      </c>
      <c r="AT3881" s="1">
        <v>44353.877013888887</v>
      </c>
      <c r="AU3881" s="1">
        <v>44353.877523148149</v>
      </c>
      <c r="AV3881" t="s">
        <v>71</v>
      </c>
      <c r="AW3881" t="s">
        <v>72</v>
      </c>
      <c r="AX3881" t="s">
        <v>73</v>
      </c>
    </row>
    <row r="3882" spans="1:50" x14ac:dyDescent="0.3">
      <c r="A3882" t="str">
        <f>"201645B0000"</f>
        <v>201645B0000</v>
      </c>
      <c r="B3882" t="str">
        <f>"201645B00002"</f>
        <v>201645B00002</v>
      </c>
      <c r="C3882" t="str">
        <f t="shared" si="200"/>
        <v>20</v>
      </c>
      <c r="D3882" t="s">
        <v>67</v>
      </c>
      <c r="E3882" t="str">
        <f t="shared" si="199"/>
        <v>017</v>
      </c>
      <c r="F3882" t="s">
        <v>3808</v>
      </c>
      <c r="G3882" t="str">
        <f>"1645"</f>
        <v>1645</v>
      </c>
      <c r="H3882" t="str">
        <f>"0000"</f>
        <v>0000</v>
      </c>
      <c r="I3882" t="s">
        <v>69</v>
      </c>
      <c r="J3882">
        <v>0</v>
      </c>
      <c r="K3882">
        <v>1</v>
      </c>
      <c r="L3882">
        <v>2</v>
      </c>
      <c r="M3882">
        <v>552</v>
      </c>
      <c r="N3882">
        <v>242</v>
      </c>
      <c r="O3882">
        <v>0</v>
      </c>
      <c r="P3882">
        <v>242</v>
      </c>
      <c r="Q3882">
        <v>6</v>
      </c>
      <c r="R3882">
        <v>29</v>
      </c>
      <c r="S3882">
        <v>1</v>
      </c>
      <c r="T3882">
        <v>1</v>
      </c>
      <c r="U3882">
        <v>43</v>
      </c>
      <c r="V3882">
        <v>2</v>
      </c>
      <c r="W3882">
        <v>6</v>
      </c>
      <c r="X3882">
        <v>133</v>
      </c>
      <c r="Y3882">
        <v>2</v>
      </c>
      <c r="Z3882">
        <v>6</v>
      </c>
      <c r="AA3882">
        <v>0</v>
      </c>
      <c r="AB3882">
        <v>5</v>
      </c>
      <c r="AD3882">
        <v>0</v>
      </c>
      <c r="AE3882">
        <v>1</v>
      </c>
      <c r="AF3882">
        <v>0</v>
      </c>
      <c r="AG3882">
        <v>0</v>
      </c>
      <c r="AH3882">
        <v>0</v>
      </c>
      <c r="AI3882">
        <v>0</v>
      </c>
      <c r="AJ3882">
        <v>7</v>
      </c>
      <c r="AK3882">
        <v>242</v>
      </c>
      <c r="AL3882">
        <v>242</v>
      </c>
      <c r="AM3882">
        <v>750</v>
      </c>
      <c r="AN3882">
        <v>44</v>
      </c>
      <c r="AP3882">
        <v>1</v>
      </c>
      <c r="AR3882" t="s">
        <v>3980</v>
      </c>
      <c r="AS3882" s="1">
        <v>44353.875694444447</v>
      </c>
      <c r="AT3882" s="1">
        <v>44353.878113425926</v>
      </c>
      <c r="AU3882" s="1">
        <v>44353.87877314815</v>
      </c>
      <c r="AV3882" t="s">
        <v>71</v>
      </c>
      <c r="AW3882" t="s">
        <v>72</v>
      </c>
      <c r="AX3882" t="s">
        <v>73</v>
      </c>
    </row>
    <row r="3883" spans="1:50" x14ac:dyDescent="0.3">
      <c r="A3883" t="str">
        <f>"201646B0000"</f>
        <v>201646B0000</v>
      </c>
      <c r="B3883" t="str">
        <f>"201646B00002"</f>
        <v>201646B00002</v>
      </c>
      <c r="C3883" t="str">
        <f t="shared" si="200"/>
        <v>20</v>
      </c>
      <c r="D3883" t="s">
        <v>67</v>
      </c>
      <c r="E3883" t="str">
        <f t="shared" si="199"/>
        <v>017</v>
      </c>
      <c r="F3883" t="s">
        <v>3808</v>
      </c>
      <c r="G3883" t="str">
        <f>"1646"</f>
        <v>1646</v>
      </c>
      <c r="H3883" t="str">
        <f>"0000"</f>
        <v>0000</v>
      </c>
      <c r="I3883" t="s">
        <v>69</v>
      </c>
      <c r="J3883">
        <v>0</v>
      </c>
      <c r="K3883">
        <v>1</v>
      </c>
      <c r="L3883">
        <v>2</v>
      </c>
      <c r="M3883">
        <v>332</v>
      </c>
      <c r="N3883">
        <v>367</v>
      </c>
      <c r="O3883">
        <v>0</v>
      </c>
      <c r="P3883">
        <v>367</v>
      </c>
      <c r="Q3883">
        <v>4</v>
      </c>
      <c r="R3883">
        <v>165</v>
      </c>
      <c r="S3883">
        <v>5</v>
      </c>
      <c r="T3883">
        <v>12</v>
      </c>
      <c r="U3883">
        <v>44</v>
      </c>
      <c r="V3883">
        <v>1</v>
      </c>
      <c r="W3883">
        <v>5</v>
      </c>
      <c r="X3883">
        <v>84</v>
      </c>
      <c r="Y3883">
        <v>0</v>
      </c>
      <c r="Z3883">
        <v>2</v>
      </c>
      <c r="AA3883">
        <v>1</v>
      </c>
      <c r="AB3883">
        <v>1</v>
      </c>
      <c r="AD3883">
        <v>0</v>
      </c>
      <c r="AE3883">
        <v>2</v>
      </c>
      <c r="AF3883">
        <v>0</v>
      </c>
      <c r="AG3883">
        <v>1</v>
      </c>
      <c r="AH3883">
        <v>16</v>
      </c>
      <c r="AI3883">
        <v>0</v>
      </c>
      <c r="AJ3883">
        <v>24</v>
      </c>
      <c r="AK3883">
        <v>367</v>
      </c>
      <c r="AL3883">
        <v>367</v>
      </c>
      <c r="AM3883">
        <v>655</v>
      </c>
      <c r="AN3883">
        <v>44</v>
      </c>
      <c r="AP3883">
        <v>1</v>
      </c>
      <c r="AR3883" t="s">
        <v>3981</v>
      </c>
      <c r="AS3883" s="1">
        <v>44354.327777777777</v>
      </c>
      <c r="AT3883" s="1">
        <v>44354.331793981481</v>
      </c>
      <c r="AU3883" s="1">
        <v>44354.332743055558</v>
      </c>
      <c r="AV3883" t="s">
        <v>71</v>
      </c>
      <c r="AW3883" t="s">
        <v>72</v>
      </c>
      <c r="AX3883" t="s">
        <v>73</v>
      </c>
    </row>
    <row r="3884" spans="1:50" x14ac:dyDescent="0.3">
      <c r="A3884" t="str">
        <f>"201673B0000"</f>
        <v>201673B0000</v>
      </c>
      <c r="B3884" t="str">
        <f>"201673B00002"</f>
        <v>201673B00002</v>
      </c>
      <c r="C3884" t="str">
        <f t="shared" si="200"/>
        <v>20</v>
      </c>
      <c r="D3884" t="s">
        <v>67</v>
      </c>
      <c r="E3884" t="str">
        <f t="shared" si="199"/>
        <v>017</v>
      </c>
      <c r="F3884" t="s">
        <v>3808</v>
      </c>
      <c r="G3884" t="str">
        <f>"1673"</f>
        <v>1673</v>
      </c>
      <c r="H3884" t="str">
        <f>"0000"</f>
        <v>0000</v>
      </c>
      <c r="I3884" t="s">
        <v>69</v>
      </c>
      <c r="J3884">
        <v>0</v>
      </c>
      <c r="K3884">
        <v>1</v>
      </c>
      <c r="L3884">
        <v>2</v>
      </c>
      <c r="M3884">
        <v>240</v>
      </c>
      <c r="N3884">
        <v>189</v>
      </c>
      <c r="O3884">
        <v>5</v>
      </c>
      <c r="P3884">
        <v>189</v>
      </c>
      <c r="Q3884">
        <v>12</v>
      </c>
      <c r="R3884">
        <v>21</v>
      </c>
      <c r="S3884">
        <v>11</v>
      </c>
      <c r="T3884">
        <v>27</v>
      </c>
      <c r="U3884">
        <v>25</v>
      </c>
      <c r="V3884">
        <v>2</v>
      </c>
      <c r="W3884">
        <v>5</v>
      </c>
      <c r="X3884">
        <v>70</v>
      </c>
      <c r="Y3884">
        <v>0</v>
      </c>
      <c r="Z3884">
        <v>3</v>
      </c>
      <c r="AA3884">
        <v>0</v>
      </c>
      <c r="AB3884">
        <v>4</v>
      </c>
      <c r="AD3884">
        <v>0</v>
      </c>
      <c r="AE3884">
        <v>2</v>
      </c>
      <c r="AF3884">
        <v>0</v>
      </c>
      <c r="AG3884">
        <v>0</v>
      </c>
      <c r="AH3884">
        <v>1</v>
      </c>
      <c r="AI3884">
        <v>0</v>
      </c>
      <c r="AJ3884">
        <v>6</v>
      </c>
      <c r="AK3884">
        <v>189</v>
      </c>
      <c r="AL3884">
        <v>189</v>
      </c>
      <c r="AM3884">
        <v>385</v>
      </c>
      <c r="AN3884">
        <v>44</v>
      </c>
      <c r="AP3884">
        <v>1</v>
      </c>
      <c r="AR3884" t="s">
        <v>3982</v>
      </c>
      <c r="AS3884" s="1">
        <v>44354.05972222222</v>
      </c>
      <c r="AT3884" s="1">
        <v>44354.065659722219</v>
      </c>
      <c r="AU3884" s="1">
        <v>44354.066122685188</v>
      </c>
      <c r="AV3884" t="s">
        <v>71</v>
      </c>
      <c r="AW3884" t="s">
        <v>72</v>
      </c>
      <c r="AX3884" t="s">
        <v>73</v>
      </c>
    </row>
    <row r="3885" spans="1:50" x14ac:dyDescent="0.3">
      <c r="A3885" t="str">
        <f>"201673C0100"</f>
        <v>201673C0100</v>
      </c>
      <c r="B3885" t="str">
        <f>"201673C01002"</f>
        <v>201673C01002</v>
      </c>
      <c r="C3885" t="str">
        <f t="shared" si="200"/>
        <v>20</v>
      </c>
      <c r="D3885" t="s">
        <v>67</v>
      </c>
      <c r="E3885" t="str">
        <f t="shared" si="199"/>
        <v>017</v>
      </c>
      <c r="F3885" t="s">
        <v>3808</v>
      </c>
      <c r="G3885" t="str">
        <f>"1673"</f>
        <v>1673</v>
      </c>
      <c r="H3885" t="str">
        <f>"0001"</f>
        <v>0001</v>
      </c>
      <c r="I3885" t="s">
        <v>75</v>
      </c>
      <c r="J3885">
        <v>0</v>
      </c>
      <c r="K3885">
        <v>1</v>
      </c>
      <c r="L3885">
        <v>2</v>
      </c>
      <c r="M3885">
        <v>254</v>
      </c>
      <c r="N3885">
        <v>174</v>
      </c>
      <c r="O3885">
        <v>4</v>
      </c>
      <c r="P3885">
        <v>174</v>
      </c>
      <c r="Q3885">
        <v>4</v>
      </c>
      <c r="R3885">
        <v>23</v>
      </c>
      <c r="S3885">
        <v>12</v>
      </c>
      <c r="T3885">
        <v>21</v>
      </c>
      <c r="U3885">
        <v>33</v>
      </c>
      <c r="V3885">
        <v>2</v>
      </c>
      <c r="W3885">
        <v>3</v>
      </c>
      <c r="X3885">
        <v>53</v>
      </c>
      <c r="Y3885">
        <v>1</v>
      </c>
      <c r="Z3885">
        <v>3</v>
      </c>
      <c r="AA3885">
        <v>1</v>
      </c>
      <c r="AB3885">
        <v>2</v>
      </c>
      <c r="AD3885">
        <v>1</v>
      </c>
      <c r="AE3885">
        <v>0</v>
      </c>
      <c r="AF3885">
        <v>0</v>
      </c>
      <c r="AG3885">
        <v>1</v>
      </c>
      <c r="AH3885">
        <v>3</v>
      </c>
      <c r="AI3885">
        <v>0</v>
      </c>
      <c r="AJ3885">
        <v>11</v>
      </c>
      <c r="AK3885">
        <v>174</v>
      </c>
      <c r="AL3885">
        <v>174</v>
      </c>
      <c r="AM3885">
        <v>384</v>
      </c>
      <c r="AN3885">
        <v>44</v>
      </c>
      <c r="AP3885">
        <v>1</v>
      </c>
      <c r="AR3885" t="s">
        <v>3983</v>
      </c>
      <c r="AS3885" s="1">
        <v>44354.063194444447</v>
      </c>
      <c r="AT3885" s="1">
        <v>44354.070462962962</v>
      </c>
      <c r="AU3885" s="1">
        <v>44354.071192129632</v>
      </c>
      <c r="AV3885" t="s">
        <v>71</v>
      </c>
      <c r="AW3885" t="s">
        <v>72</v>
      </c>
      <c r="AX3885" t="s">
        <v>73</v>
      </c>
    </row>
    <row r="3886" spans="1:50" x14ac:dyDescent="0.3">
      <c r="A3886" t="str">
        <f>"201674B0000"</f>
        <v>201674B0000</v>
      </c>
      <c r="B3886" t="str">
        <f>"201674B00002"</f>
        <v>201674B00002</v>
      </c>
      <c r="C3886" t="str">
        <f t="shared" si="200"/>
        <v>20</v>
      </c>
      <c r="D3886" t="s">
        <v>67</v>
      </c>
      <c r="E3886" t="str">
        <f t="shared" si="199"/>
        <v>017</v>
      </c>
      <c r="F3886" t="s">
        <v>3808</v>
      </c>
      <c r="G3886" t="str">
        <f>"1674"</f>
        <v>1674</v>
      </c>
      <c r="H3886" t="str">
        <f>"0000"</f>
        <v>0000</v>
      </c>
      <c r="I3886" t="s">
        <v>69</v>
      </c>
      <c r="J3886">
        <v>0</v>
      </c>
      <c r="K3886">
        <v>1</v>
      </c>
      <c r="L3886">
        <v>2</v>
      </c>
      <c r="M3886">
        <v>439</v>
      </c>
      <c r="N3886">
        <v>353</v>
      </c>
      <c r="O3886">
        <v>0</v>
      </c>
      <c r="P3886">
        <v>353</v>
      </c>
      <c r="Q3886">
        <v>35</v>
      </c>
      <c r="R3886">
        <v>80</v>
      </c>
      <c r="S3886">
        <v>13</v>
      </c>
      <c r="T3886">
        <v>36</v>
      </c>
      <c r="U3886">
        <v>47</v>
      </c>
      <c r="V3886">
        <v>0</v>
      </c>
      <c r="W3886">
        <v>1</v>
      </c>
      <c r="X3886">
        <v>103</v>
      </c>
      <c r="Y3886">
        <v>1</v>
      </c>
      <c r="Z3886">
        <v>8</v>
      </c>
      <c r="AA3886">
        <v>3</v>
      </c>
      <c r="AB3886">
        <v>4</v>
      </c>
      <c r="AD3886">
        <v>1</v>
      </c>
      <c r="AE3886">
        <v>0</v>
      </c>
      <c r="AF3886">
        <v>0</v>
      </c>
      <c r="AG3886">
        <v>3</v>
      </c>
      <c r="AH3886">
        <v>4</v>
      </c>
      <c r="AI3886">
        <v>0</v>
      </c>
      <c r="AJ3886">
        <v>14</v>
      </c>
      <c r="AK3886">
        <v>353</v>
      </c>
      <c r="AL3886">
        <v>353</v>
      </c>
      <c r="AM3886">
        <v>748</v>
      </c>
      <c r="AN3886">
        <v>44</v>
      </c>
      <c r="AP3886">
        <v>1</v>
      </c>
      <c r="AR3886" t="s">
        <v>3984</v>
      </c>
      <c r="AS3886" s="1">
        <v>44354.064583333333</v>
      </c>
      <c r="AT3886" s="1">
        <v>44354.071574074071</v>
      </c>
      <c r="AU3886" s="1">
        <v>44354.071979166663</v>
      </c>
      <c r="AV3886" t="s">
        <v>71</v>
      </c>
      <c r="AW3886" t="s">
        <v>72</v>
      </c>
      <c r="AX3886" t="s">
        <v>73</v>
      </c>
    </row>
    <row r="3887" spans="1:50" x14ac:dyDescent="0.3">
      <c r="A3887" t="str">
        <f>"201703B0000"</f>
        <v>201703B0000</v>
      </c>
      <c r="B3887" t="str">
        <f>"201703B00002"</f>
        <v>201703B00002</v>
      </c>
      <c r="C3887" t="str">
        <f t="shared" si="200"/>
        <v>20</v>
      </c>
      <c r="D3887" t="s">
        <v>67</v>
      </c>
      <c r="E3887" t="str">
        <f t="shared" si="199"/>
        <v>017</v>
      </c>
      <c r="F3887" t="s">
        <v>3808</v>
      </c>
      <c r="G3887" t="str">
        <f>"1703"</f>
        <v>1703</v>
      </c>
      <c r="H3887" t="str">
        <f>"0000"</f>
        <v>0000</v>
      </c>
      <c r="I3887" t="s">
        <v>69</v>
      </c>
      <c r="J3887">
        <v>0</v>
      </c>
      <c r="K3887">
        <v>1</v>
      </c>
      <c r="L3887">
        <v>2</v>
      </c>
      <c r="M3887">
        <v>403</v>
      </c>
      <c r="N3887">
        <v>581</v>
      </c>
      <c r="O3887">
        <v>0</v>
      </c>
      <c r="P3887">
        <v>178</v>
      </c>
      <c r="Q3887">
        <v>2</v>
      </c>
      <c r="R3887">
        <v>37</v>
      </c>
      <c r="S3887">
        <v>5</v>
      </c>
      <c r="T3887">
        <v>3</v>
      </c>
      <c r="U3887">
        <v>35</v>
      </c>
      <c r="V3887">
        <v>3</v>
      </c>
      <c r="W3887">
        <v>0</v>
      </c>
      <c r="X3887">
        <v>75</v>
      </c>
      <c r="Y3887">
        <v>1</v>
      </c>
      <c r="Z3887">
        <v>6</v>
      </c>
      <c r="AA3887">
        <v>0</v>
      </c>
      <c r="AB3887">
        <v>1</v>
      </c>
      <c r="AD3887">
        <v>0</v>
      </c>
      <c r="AE3887">
        <v>2</v>
      </c>
      <c r="AF3887">
        <v>0</v>
      </c>
      <c r="AG3887">
        <v>0</v>
      </c>
      <c r="AH3887">
        <v>1</v>
      </c>
      <c r="AI3887">
        <v>0</v>
      </c>
      <c r="AJ3887">
        <v>7</v>
      </c>
      <c r="AK3887">
        <v>178</v>
      </c>
      <c r="AL3887">
        <v>178</v>
      </c>
      <c r="AM3887">
        <v>537</v>
      </c>
      <c r="AN3887">
        <v>44</v>
      </c>
      <c r="AP3887">
        <v>1</v>
      </c>
      <c r="AR3887" t="s">
        <v>3985</v>
      </c>
      <c r="AS3887" s="1">
        <v>44354.029861111114</v>
      </c>
      <c r="AT3887" s="1">
        <v>44354.039224537039</v>
      </c>
      <c r="AU3887" s="1">
        <v>44354.04010416667</v>
      </c>
      <c r="AV3887" t="s">
        <v>71</v>
      </c>
      <c r="AW3887" t="s">
        <v>72</v>
      </c>
      <c r="AX3887" t="s">
        <v>73</v>
      </c>
    </row>
    <row r="3888" spans="1:50" x14ac:dyDescent="0.3">
      <c r="A3888" t="str">
        <f>"201703C0100"</f>
        <v>201703C0100</v>
      </c>
      <c r="B3888" t="str">
        <f>"201703C01002"</f>
        <v>201703C01002</v>
      </c>
      <c r="C3888" t="str">
        <f t="shared" si="200"/>
        <v>20</v>
      </c>
      <c r="D3888" t="s">
        <v>67</v>
      </c>
      <c r="E3888" t="str">
        <f t="shared" si="199"/>
        <v>017</v>
      </c>
      <c r="F3888" t="s">
        <v>3808</v>
      </c>
      <c r="G3888" t="str">
        <f>"1703"</f>
        <v>1703</v>
      </c>
      <c r="H3888" t="str">
        <f>"0001"</f>
        <v>0001</v>
      </c>
      <c r="I3888" t="s">
        <v>75</v>
      </c>
      <c r="J3888">
        <v>0</v>
      </c>
      <c r="K3888">
        <v>1</v>
      </c>
      <c r="L3888">
        <v>2</v>
      </c>
      <c r="M3888">
        <v>400</v>
      </c>
      <c r="N3888">
        <v>181</v>
      </c>
      <c r="O3888">
        <v>0</v>
      </c>
      <c r="P3888">
        <v>181</v>
      </c>
      <c r="Q3888">
        <v>5</v>
      </c>
      <c r="R3888">
        <v>34</v>
      </c>
      <c r="S3888">
        <v>4</v>
      </c>
      <c r="T3888">
        <v>2</v>
      </c>
      <c r="U3888">
        <v>32</v>
      </c>
      <c r="V3888">
        <v>2</v>
      </c>
      <c r="W3888">
        <v>1</v>
      </c>
      <c r="X3888">
        <v>82</v>
      </c>
      <c r="Y3888">
        <v>0</v>
      </c>
      <c r="Z3888">
        <v>5</v>
      </c>
      <c r="AA3888">
        <v>2</v>
      </c>
      <c r="AB3888">
        <v>2</v>
      </c>
      <c r="AD3888">
        <v>0</v>
      </c>
      <c r="AE3888">
        <v>0</v>
      </c>
      <c r="AF3888">
        <v>0</v>
      </c>
      <c r="AG3888">
        <v>1</v>
      </c>
      <c r="AH3888">
        <v>0</v>
      </c>
      <c r="AI3888">
        <v>0</v>
      </c>
      <c r="AJ3888">
        <v>9</v>
      </c>
      <c r="AK3888">
        <v>181</v>
      </c>
      <c r="AL3888">
        <v>181</v>
      </c>
      <c r="AM3888">
        <v>537</v>
      </c>
      <c r="AN3888">
        <v>44</v>
      </c>
      <c r="AP3888">
        <v>1</v>
      </c>
      <c r="AR3888" t="s">
        <v>3986</v>
      </c>
      <c r="AS3888" s="1">
        <v>44353.833333333336</v>
      </c>
      <c r="AT3888" s="1">
        <v>44354.687708333331</v>
      </c>
      <c r="AU3888" s="1">
        <v>44354.689849537041</v>
      </c>
      <c r="AV3888" t="s">
        <v>71</v>
      </c>
      <c r="AW3888" t="s">
        <v>72</v>
      </c>
      <c r="AX3888" t="s">
        <v>73</v>
      </c>
    </row>
    <row r="3889" spans="1:50" x14ac:dyDescent="0.3">
      <c r="A3889" t="str">
        <f>"201703C0200"</f>
        <v>201703C0200</v>
      </c>
      <c r="B3889" t="str">
        <f>"201703C02002"</f>
        <v>201703C02002</v>
      </c>
      <c r="C3889" t="str">
        <f t="shared" si="200"/>
        <v>20</v>
      </c>
      <c r="D3889" t="s">
        <v>67</v>
      </c>
      <c r="E3889" t="str">
        <f t="shared" si="199"/>
        <v>017</v>
      </c>
      <c r="F3889" t="s">
        <v>3808</v>
      </c>
      <c r="G3889" t="str">
        <f>"1703"</f>
        <v>1703</v>
      </c>
      <c r="H3889" t="str">
        <f>"0002"</f>
        <v>0002</v>
      </c>
      <c r="I3889" t="s">
        <v>75</v>
      </c>
      <c r="J3889">
        <v>0</v>
      </c>
      <c r="K3889">
        <v>1</v>
      </c>
      <c r="L3889">
        <v>2</v>
      </c>
      <c r="M3889">
        <v>400</v>
      </c>
      <c r="N3889">
        <v>181</v>
      </c>
      <c r="O3889">
        <v>0</v>
      </c>
      <c r="P3889">
        <v>181</v>
      </c>
      <c r="Q3889">
        <v>5</v>
      </c>
      <c r="R3889">
        <v>34</v>
      </c>
      <c r="S3889">
        <v>4</v>
      </c>
      <c r="T3889">
        <v>2</v>
      </c>
      <c r="U3889">
        <v>32</v>
      </c>
      <c r="V3889">
        <v>2</v>
      </c>
      <c r="W3889">
        <v>1</v>
      </c>
      <c r="X3889">
        <v>82</v>
      </c>
      <c r="Y3889">
        <v>0</v>
      </c>
      <c r="Z3889">
        <v>5</v>
      </c>
      <c r="AA3889">
        <v>2</v>
      </c>
      <c r="AB3889">
        <v>2</v>
      </c>
      <c r="AD3889">
        <v>0</v>
      </c>
      <c r="AE3889">
        <v>0</v>
      </c>
      <c r="AF3889">
        <v>0</v>
      </c>
      <c r="AG3889">
        <v>1</v>
      </c>
      <c r="AH3889">
        <v>0</v>
      </c>
      <c r="AI3889">
        <v>0</v>
      </c>
      <c r="AJ3889">
        <v>9</v>
      </c>
      <c r="AK3889">
        <v>181</v>
      </c>
      <c r="AL3889">
        <v>181</v>
      </c>
      <c r="AM3889">
        <v>536</v>
      </c>
      <c r="AN3889">
        <v>44</v>
      </c>
      <c r="AP3889">
        <v>1</v>
      </c>
      <c r="AR3889" t="s">
        <v>3987</v>
      </c>
      <c r="AS3889" s="1">
        <v>44353.833333333336</v>
      </c>
      <c r="AT3889" s="1">
        <v>44354.042233796295</v>
      </c>
      <c r="AU3889" s="1">
        <v>44354.042858796296</v>
      </c>
      <c r="AV3889" t="s">
        <v>71</v>
      </c>
      <c r="AW3889" t="s">
        <v>72</v>
      </c>
      <c r="AX3889" t="s">
        <v>73</v>
      </c>
    </row>
    <row r="3890" spans="1:50" x14ac:dyDescent="0.3">
      <c r="A3890" t="str">
        <f>"201829B0000"</f>
        <v>201829B0000</v>
      </c>
      <c r="B3890" t="str">
        <f>"201829B00002"</f>
        <v>201829B00002</v>
      </c>
      <c r="C3890" t="str">
        <f t="shared" si="200"/>
        <v>20</v>
      </c>
      <c r="D3890" t="s">
        <v>67</v>
      </c>
      <c r="E3890" t="str">
        <f t="shared" si="199"/>
        <v>017</v>
      </c>
      <c r="F3890" t="s">
        <v>3808</v>
      </c>
      <c r="G3890" t="str">
        <f>"1829"</f>
        <v>1829</v>
      </c>
      <c r="H3890" t="str">
        <f>"0000"</f>
        <v>0000</v>
      </c>
      <c r="I3890" t="s">
        <v>69</v>
      </c>
      <c r="J3890">
        <v>0</v>
      </c>
      <c r="K3890">
        <v>1</v>
      </c>
      <c r="L3890">
        <v>2</v>
      </c>
      <c r="M3890">
        <v>396</v>
      </c>
      <c r="N3890">
        <v>354</v>
      </c>
      <c r="O3890">
        <v>1</v>
      </c>
      <c r="P3890">
        <v>354</v>
      </c>
      <c r="Q3890">
        <v>28</v>
      </c>
      <c r="R3890">
        <v>76</v>
      </c>
      <c r="S3890">
        <v>4</v>
      </c>
      <c r="T3890">
        <v>2</v>
      </c>
      <c r="U3890">
        <v>40</v>
      </c>
      <c r="V3890">
        <v>4</v>
      </c>
      <c r="W3890">
        <v>0</v>
      </c>
      <c r="X3890">
        <v>166</v>
      </c>
      <c r="Y3890">
        <v>3</v>
      </c>
      <c r="Z3890">
        <v>7</v>
      </c>
      <c r="AA3890">
        <v>4</v>
      </c>
      <c r="AB3890">
        <v>5</v>
      </c>
      <c r="AD3890">
        <v>4</v>
      </c>
      <c r="AE3890">
        <v>1</v>
      </c>
      <c r="AF3890">
        <v>0</v>
      </c>
      <c r="AG3890">
        <v>0</v>
      </c>
      <c r="AH3890">
        <v>0</v>
      </c>
      <c r="AI3890">
        <v>2</v>
      </c>
      <c r="AJ3890">
        <v>8</v>
      </c>
      <c r="AK3890">
        <v>354</v>
      </c>
      <c r="AL3890">
        <v>354</v>
      </c>
      <c r="AM3890">
        <v>706</v>
      </c>
      <c r="AN3890">
        <v>44</v>
      </c>
      <c r="AP3890">
        <v>1</v>
      </c>
      <c r="AR3890" t="s">
        <v>3988</v>
      </c>
      <c r="AS3890" s="1">
        <v>44353.75</v>
      </c>
      <c r="AT3890" s="1">
        <v>44354.018888888888</v>
      </c>
      <c r="AU3890" s="1">
        <v>44354.019525462965</v>
      </c>
      <c r="AV3890" t="s">
        <v>71</v>
      </c>
      <c r="AW3890" t="s">
        <v>72</v>
      </c>
      <c r="AX3890" t="s">
        <v>73</v>
      </c>
    </row>
    <row r="3891" spans="1:50" x14ac:dyDescent="0.3">
      <c r="A3891" t="str">
        <f>"201829C0100"</f>
        <v>201829C0100</v>
      </c>
      <c r="B3891" t="str">
        <f>"201829C01002"</f>
        <v>201829C01002</v>
      </c>
      <c r="C3891" t="str">
        <f t="shared" si="200"/>
        <v>20</v>
      </c>
      <c r="D3891" t="s">
        <v>67</v>
      </c>
      <c r="E3891" t="str">
        <f t="shared" si="199"/>
        <v>017</v>
      </c>
      <c r="F3891" t="s">
        <v>3808</v>
      </c>
      <c r="G3891" t="str">
        <f>"1829"</f>
        <v>1829</v>
      </c>
      <c r="H3891" t="str">
        <f>"0001"</f>
        <v>0001</v>
      </c>
      <c r="I3891" t="s">
        <v>75</v>
      </c>
      <c r="J3891">
        <v>0</v>
      </c>
      <c r="K3891">
        <v>1</v>
      </c>
      <c r="L3891">
        <v>2</v>
      </c>
      <c r="M3891">
        <v>382</v>
      </c>
      <c r="N3891">
        <v>367</v>
      </c>
      <c r="O3891">
        <v>6</v>
      </c>
      <c r="P3891">
        <v>367</v>
      </c>
      <c r="Q3891">
        <v>34</v>
      </c>
      <c r="R3891">
        <v>79</v>
      </c>
      <c r="S3891">
        <v>4</v>
      </c>
      <c r="T3891">
        <v>10</v>
      </c>
      <c r="U3891">
        <v>29</v>
      </c>
      <c r="V3891">
        <v>7</v>
      </c>
      <c r="W3891">
        <v>3</v>
      </c>
      <c r="X3891">
        <v>165</v>
      </c>
      <c r="Y3891">
        <v>2</v>
      </c>
      <c r="Z3891">
        <v>5</v>
      </c>
      <c r="AA3891">
        <v>1</v>
      </c>
      <c r="AB3891">
        <v>5</v>
      </c>
      <c r="AD3891">
        <v>3</v>
      </c>
      <c r="AE3891">
        <v>3</v>
      </c>
      <c r="AF3891">
        <v>0</v>
      </c>
      <c r="AG3891">
        <v>0</v>
      </c>
      <c r="AH3891">
        <v>0</v>
      </c>
      <c r="AI3891">
        <v>0</v>
      </c>
      <c r="AJ3891">
        <v>17</v>
      </c>
      <c r="AK3891">
        <v>367</v>
      </c>
      <c r="AL3891">
        <v>367</v>
      </c>
      <c r="AM3891">
        <v>705</v>
      </c>
      <c r="AN3891">
        <v>44</v>
      </c>
      <c r="AP3891">
        <v>1</v>
      </c>
      <c r="AR3891" t="s">
        <v>3989</v>
      </c>
      <c r="AS3891" s="1">
        <v>44353.75</v>
      </c>
      <c r="AT3891" s="1">
        <v>44354.024375000001</v>
      </c>
      <c r="AU3891" s="1">
        <v>44354.025150462963</v>
      </c>
      <c r="AV3891" t="s">
        <v>71</v>
      </c>
      <c r="AW3891" t="s">
        <v>72</v>
      </c>
      <c r="AX3891" t="s">
        <v>73</v>
      </c>
    </row>
    <row r="3892" spans="1:50" x14ac:dyDescent="0.3">
      <c r="A3892" t="str">
        <f>"201829E0100"</f>
        <v>201829E0100</v>
      </c>
      <c r="B3892" t="str">
        <f>"201829E01002"</f>
        <v>201829E01002</v>
      </c>
      <c r="C3892" t="str">
        <f t="shared" si="200"/>
        <v>20</v>
      </c>
      <c r="D3892" t="s">
        <v>67</v>
      </c>
      <c r="E3892" t="str">
        <f t="shared" si="199"/>
        <v>017</v>
      </c>
      <c r="F3892" t="s">
        <v>3808</v>
      </c>
      <c r="G3892" t="str">
        <f>"1829"</f>
        <v>1829</v>
      </c>
      <c r="H3892" t="str">
        <f>"0001"</f>
        <v>0001</v>
      </c>
      <c r="I3892" t="s">
        <v>109</v>
      </c>
      <c r="J3892">
        <v>0</v>
      </c>
      <c r="K3892">
        <v>1</v>
      </c>
      <c r="L3892">
        <v>2</v>
      </c>
      <c r="M3892">
        <v>249</v>
      </c>
      <c r="N3892">
        <v>192</v>
      </c>
      <c r="O3892">
        <v>0</v>
      </c>
      <c r="P3892">
        <v>192</v>
      </c>
      <c r="Q3892">
        <v>3</v>
      </c>
      <c r="R3892">
        <v>35</v>
      </c>
      <c r="S3892">
        <v>5</v>
      </c>
      <c r="T3892">
        <v>1</v>
      </c>
      <c r="U3892">
        <v>5</v>
      </c>
      <c r="V3892">
        <v>5</v>
      </c>
      <c r="W3892">
        <v>1</v>
      </c>
      <c r="X3892">
        <v>116</v>
      </c>
      <c r="Y3892">
        <v>0</v>
      </c>
      <c r="Z3892">
        <v>6</v>
      </c>
      <c r="AA3892">
        <v>2</v>
      </c>
      <c r="AB3892">
        <v>2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1</v>
      </c>
      <c r="AJ3892">
        <v>10</v>
      </c>
      <c r="AK3892">
        <v>192</v>
      </c>
      <c r="AL3892">
        <v>192</v>
      </c>
      <c r="AM3892">
        <v>397</v>
      </c>
      <c r="AN3892">
        <v>44</v>
      </c>
      <c r="AP3892">
        <v>1</v>
      </c>
      <c r="AR3892" t="s">
        <v>3990</v>
      </c>
      <c r="AS3892" s="1">
        <v>44353.849305555559</v>
      </c>
      <c r="AT3892" s="1">
        <v>44353.963726851849</v>
      </c>
      <c r="AU3892" s="1">
        <v>44353.964571759258</v>
      </c>
      <c r="AV3892" t="s">
        <v>71</v>
      </c>
      <c r="AW3892" t="s">
        <v>72</v>
      </c>
      <c r="AX3892" t="s">
        <v>73</v>
      </c>
    </row>
    <row r="3893" spans="1:50" x14ac:dyDescent="0.3">
      <c r="A3893" t="str">
        <f>"201830B0000"</f>
        <v>201830B0000</v>
      </c>
      <c r="B3893" t="str">
        <f>"201830B00002"</f>
        <v>201830B00002</v>
      </c>
      <c r="C3893" t="str">
        <f t="shared" si="200"/>
        <v>20</v>
      </c>
      <c r="D3893" t="s">
        <v>67</v>
      </c>
      <c r="E3893" t="str">
        <f t="shared" si="199"/>
        <v>017</v>
      </c>
      <c r="F3893" t="s">
        <v>3808</v>
      </c>
      <c r="G3893" t="str">
        <f>"1830"</f>
        <v>1830</v>
      </c>
      <c r="H3893" t="str">
        <f>"0000"</f>
        <v>0000</v>
      </c>
      <c r="I3893" t="s">
        <v>69</v>
      </c>
      <c r="J3893">
        <v>0</v>
      </c>
      <c r="K3893">
        <v>1</v>
      </c>
      <c r="L3893">
        <v>2</v>
      </c>
      <c r="M3893">
        <v>217</v>
      </c>
      <c r="N3893">
        <v>274</v>
      </c>
      <c r="O3893">
        <v>3</v>
      </c>
      <c r="P3893" t="s">
        <v>80</v>
      </c>
      <c r="Q3893">
        <v>15</v>
      </c>
      <c r="R3893">
        <v>71</v>
      </c>
      <c r="S3893">
        <v>1</v>
      </c>
      <c r="T3893">
        <v>1</v>
      </c>
      <c r="U3893">
        <v>48</v>
      </c>
      <c r="V3893">
        <v>7</v>
      </c>
      <c r="W3893">
        <v>4</v>
      </c>
      <c r="X3893">
        <v>111</v>
      </c>
      <c r="Y3893">
        <v>0</v>
      </c>
      <c r="Z3893">
        <v>2</v>
      </c>
      <c r="AA3893">
        <v>1</v>
      </c>
      <c r="AB3893">
        <v>2</v>
      </c>
      <c r="AD3893">
        <v>2</v>
      </c>
      <c r="AE3893">
        <v>0</v>
      </c>
      <c r="AF3893">
        <v>0</v>
      </c>
      <c r="AG3893">
        <v>0</v>
      </c>
      <c r="AH3893">
        <v>1</v>
      </c>
      <c r="AI3893">
        <v>2</v>
      </c>
      <c r="AJ3893">
        <v>6</v>
      </c>
      <c r="AK3893">
        <v>274</v>
      </c>
      <c r="AL3893">
        <v>274</v>
      </c>
      <c r="AM3893">
        <v>447</v>
      </c>
      <c r="AN3893">
        <v>44</v>
      </c>
      <c r="AP3893">
        <v>1</v>
      </c>
      <c r="AR3893" t="s">
        <v>3991</v>
      </c>
      <c r="AS3893" s="1">
        <v>44354.032638888886</v>
      </c>
      <c r="AT3893" s="1">
        <v>44354.041192129633</v>
      </c>
      <c r="AU3893" s="1">
        <v>44354.041655092595</v>
      </c>
      <c r="AV3893" t="s">
        <v>71</v>
      </c>
      <c r="AW3893" t="s">
        <v>72</v>
      </c>
      <c r="AX3893" t="s">
        <v>73</v>
      </c>
    </row>
    <row r="3894" spans="1:50" x14ac:dyDescent="0.3">
      <c r="A3894" t="str">
        <f>"201830C0100"</f>
        <v>201830C0100</v>
      </c>
      <c r="B3894" t="str">
        <f>"201830C01002"</f>
        <v>201830C01002</v>
      </c>
      <c r="C3894" t="str">
        <f t="shared" si="200"/>
        <v>20</v>
      </c>
      <c r="D3894" t="s">
        <v>67</v>
      </c>
      <c r="E3894" t="str">
        <f t="shared" si="199"/>
        <v>017</v>
      </c>
      <c r="F3894" t="s">
        <v>3808</v>
      </c>
      <c r="G3894" t="str">
        <f>"1830"</f>
        <v>1830</v>
      </c>
      <c r="H3894" t="str">
        <f>"0001"</f>
        <v>0001</v>
      </c>
      <c r="I3894" t="s">
        <v>75</v>
      </c>
      <c r="J3894">
        <v>0</v>
      </c>
      <c r="K3894">
        <v>1</v>
      </c>
      <c r="L3894">
        <v>2</v>
      </c>
      <c r="M3894">
        <v>272</v>
      </c>
      <c r="N3894">
        <v>219</v>
      </c>
      <c r="O3894">
        <v>0</v>
      </c>
      <c r="P3894">
        <v>219</v>
      </c>
      <c r="Q3894">
        <v>11</v>
      </c>
      <c r="R3894">
        <v>66</v>
      </c>
      <c r="S3894">
        <v>0</v>
      </c>
      <c r="T3894">
        <v>3</v>
      </c>
      <c r="U3894">
        <v>35</v>
      </c>
      <c r="V3894">
        <v>2</v>
      </c>
      <c r="W3894">
        <v>3</v>
      </c>
      <c r="X3894">
        <v>83</v>
      </c>
      <c r="Y3894">
        <v>0</v>
      </c>
      <c r="Z3894">
        <v>2</v>
      </c>
      <c r="AA3894">
        <v>0</v>
      </c>
      <c r="AB3894">
        <v>4</v>
      </c>
      <c r="AD3894">
        <v>2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8</v>
      </c>
      <c r="AK3894">
        <v>219</v>
      </c>
      <c r="AL3894">
        <v>219</v>
      </c>
      <c r="AM3894">
        <v>447</v>
      </c>
      <c r="AN3894">
        <v>44</v>
      </c>
      <c r="AP3894">
        <v>1</v>
      </c>
      <c r="AR3894" t="s">
        <v>3992</v>
      </c>
      <c r="AS3894" s="1">
        <v>44354.036111111112</v>
      </c>
      <c r="AT3894" s="1">
        <v>44354.045949074076</v>
      </c>
      <c r="AU3894" s="1">
        <v>44354.046574074076</v>
      </c>
      <c r="AV3894" t="s">
        <v>71</v>
      </c>
      <c r="AW3894" t="s">
        <v>72</v>
      </c>
      <c r="AX3894" t="s">
        <v>73</v>
      </c>
    </row>
    <row r="3895" spans="1:50" x14ac:dyDescent="0.3">
      <c r="A3895" t="str">
        <f>"201831B0000"</f>
        <v>201831B0000</v>
      </c>
      <c r="B3895" t="str">
        <f>"201831B00002"</f>
        <v>201831B00002</v>
      </c>
      <c r="C3895" t="str">
        <f t="shared" si="200"/>
        <v>20</v>
      </c>
      <c r="D3895" t="s">
        <v>67</v>
      </c>
      <c r="E3895" t="str">
        <f t="shared" si="199"/>
        <v>017</v>
      </c>
      <c r="F3895" t="s">
        <v>3808</v>
      </c>
      <c r="G3895" t="str">
        <f>"1831"</f>
        <v>1831</v>
      </c>
      <c r="H3895" t="str">
        <f>"0000"</f>
        <v>0000</v>
      </c>
      <c r="I3895" t="s">
        <v>69</v>
      </c>
      <c r="J3895">
        <v>0</v>
      </c>
      <c r="K3895">
        <v>1</v>
      </c>
      <c r="L3895">
        <v>2</v>
      </c>
      <c r="M3895">
        <v>326</v>
      </c>
      <c r="N3895">
        <v>329</v>
      </c>
      <c r="O3895">
        <v>0</v>
      </c>
      <c r="P3895">
        <v>329</v>
      </c>
      <c r="Q3895">
        <v>24</v>
      </c>
      <c r="R3895">
        <v>74</v>
      </c>
      <c r="S3895">
        <v>4</v>
      </c>
      <c r="T3895">
        <v>3</v>
      </c>
      <c r="U3895">
        <v>35</v>
      </c>
      <c r="V3895">
        <v>5</v>
      </c>
      <c r="W3895">
        <v>3</v>
      </c>
      <c r="X3895">
        <v>163</v>
      </c>
      <c r="Y3895">
        <v>4</v>
      </c>
      <c r="Z3895">
        <v>3</v>
      </c>
      <c r="AA3895">
        <v>0</v>
      </c>
      <c r="AB3895">
        <v>6</v>
      </c>
      <c r="AD3895">
        <v>1</v>
      </c>
      <c r="AE3895">
        <v>0</v>
      </c>
      <c r="AF3895">
        <v>0</v>
      </c>
      <c r="AG3895">
        <v>0</v>
      </c>
      <c r="AH3895">
        <v>1</v>
      </c>
      <c r="AI3895">
        <v>0</v>
      </c>
      <c r="AJ3895">
        <v>3</v>
      </c>
      <c r="AK3895">
        <v>329</v>
      </c>
      <c r="AL3895">
        <v>329</v>
      </c>
      <c r="AM3895">
        <v>611</v>
      </c>
      <c r="AN3895">
        <v>44</v>
      </c>
      <c r="AP3895">
        <v>1</v>
      </c>
      <c r="AR3895" t="s">
        <v>3993</v>
      </c>
      <c r="AS3895" s="1">
        <v>44354.025000000001</v>
      </c>
      <c r="AT3895" s="1">
        <v>44354.032511574071</v>
      </c>
      <c r="AU3895" s="1">
        <v>44354.033078703702</v>
      </c>
      <c r="AV3895" t="s">
        <v>71</v>
      </c>
      <c r="AW3895" t="s">
        <v>72</v>
      </c>
      <c r="AX3895" t="s">
        <v>73</v>
      </c>
    </row>
    <row r="3896" spans="1:50" x14ac:dyDescent="0.3">
      <c r="A3896" t="str">
        <f>"201831C0100"</f>
        <v>201831C0100</v>
      </c>
      <c r="B3896" t="str">
        <f>"201831C01002"</f>
        <v>201831C01002</v>
      </c>
      <c r="C3896" t="str">
        <f t="shared" si="200"/>
        <v>20</v>
      </c>
      <c r="D3896" t="s">
        <v>67</v>
      </c>
      <c r="E3896" t="str">
        <f t="shared" si="199"/>
        <v>017</v>
      </c>
      <c r="F3896" t="s">
        <v>3808</v>
      </c>
      <c r="G3896" t="str">
        <f>"1831"</f>
        <v>1831</v>
      </c>
      <c r="H3896" t="str">
        <f>"0001"</f>
        <v>0001</v>
      </c>
      <c r="I3896" t="s">
        <v>75</v>
      </c>
      <c r="J3896">
        <v>0</v>
      </c>
      <c r="K3896">
        <v>1</v>
      </c>
      <c r="L3896">
        <v>2</v>
      </c>
      <c r="M3896">
        <v>317</v>
      </c>
      <c r="N3896">
        <v>336</v>
      </c>
      <c r="O3896">
        <v>1</v>
      </c>
      <c r="P3896">
        <v>336</v>
      </c>
      <c r="Q3896">
        <v>21</v>
      </c>
      <c r="R3896">
        <v>80</v>
      </c>
      <c r="S3896">
        <v>1</v>
      </c>
      <c r="T3896">
        <v>8</v>
      </c>
      <c r="U3896">
        <v>17</v>
      </c>
      <c r="V3896">
        <v>7</v>
      </c>
      <c r="W3896">
        <v>1</v>
      </c>
      <c r="X3896">
        <v>171</v>
      </c>
      <c r="Y3896">
        <v>1</v>
      </c>
      <c r="Z3896">
        <v>2</v>
      </c>
      <c r="AA3896">
        <v>2</v>
      </c>
      <c r="AB3896">
        <v>9</v>
      </c>
      <c r="AD3896">
        <v>6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10</v>
      </c>
      <c r="AK3896">
        <v>336</v>
      </c>
      <c r="AL3896">
        <v>336</v>
      </c>
      <c r="AM3896">
        <v>610</v>
      </c>
      <c r="AN3896">
        <v>44</v>
      </c>
      <c r="AP3896">
        <v>1</v>
      </c>
      <c r="AR3896" t="s">
        <v>3994</v>
      </c>
      <c r="AS3896" s="1">
        <v>44354.029861111114</v>
      </c>
      <c r="AT3896" s="1">
        <v>44354.0390162037</v>
      </c>
      <c r="AU3896" s="1">
        <v>44354.039513888885</v>
      </c>
      <c r="AV3896" t="s">
        <v>71</v>
      </c>
      <c r="AW3896" t="s">
        <v>72</v>
      </c>
      <c r="AX3896" t="s">
        <v>73</v>
      </c>
    </row>
    <row r="3897" spans="1:50" x14ac:dyDescent="0.3">
      <c r="A3897" t="str">
        <f>"201832B0000"</f>
        <v>201832B0000</v>
      </c>
      <c r="B3897" t="str">
        <f>"201832B00002"</f>
        <v>201832B00002</v>
      </c>
      <c r="C3897" t="str">
        <f t="shared" si="200"/>
        <v>20</v>
      </c>
      <c r="D3897" t="s">
        <v>67</v>
      </c>
      <c r="E3897" t="str">
        <f t="shared" si="199"/>
        <v>017</v>
      </c>
      <c r="F3897" t="s">
        <v>3808</v>
      </c>
      <c r="G3897" t="str">
        <f>"1832"</f>
        <v>1832</v>
      </c>
      <c r="H3897" t="str">
        <f>"0000"</f>
        <v>0000</v>
      </c>
      <c r="I3897" t="s">
        <v>69</v>
      </c>
      <c r="J3897">
        <v>0</v>
      </c>
      <c r="K3897">
        <v>1</v>
      </c>
      <c r="L3897">
        <v>2</v>
      </c>
      <c r="M3897">
        <v>411</v>
      </c>
      <c r="N3897">
        <v>223</v>
      </c>
      <c r="O3897">
        <v>0</v>
      </c>
      <c r="P3897" t="s">
        <v>80</v>
      </c>
      <c r="Q3897">
        <v>18</v>
      </c>
      <c r="R3897">
        <v>48</v>
      </c>
      <c r="S3897">
        <v>1</v>
      </c>
      <c r="T3897">
        <v>5</v>
      </c>
      <c r="U3897">
        <v>14</v>
      </c>
      <c r="V3897">
        <v>1</v>
      </c>
      <c r="W3897">
        <v>0</v>
      </c>
      <c r="X3897">
        <v>110</v>
      </c>
      <c r="Y3897">
        <v>3</v>
      </c>
      <c r="Z3897">
        <v>1</v>
      </c>
      <c r="AA3897">
        <v>1</v>
      </c>
      <c r="AB3897">
        <v>6</v>
      </c>
      <c r="AD3897">
        <v>2</v>
      </c>
      <c r="AE3897">
        <v>0</v>
      </c>
      <c r="AF3897">
        <v>0</v>
      </c>
      <c r="AG3897">
        <v>0</v>
      </c>
      <c r="AH3897">
        <v>0</v>
      </c>
      <c r="AI3897">
        <v>1</v>
      </c>
      <c r="AJ3897">
        <v>12</v>
      </c>
      <c r="AK3897">
        <v>223</v>
      </c>
      <c r="AL3897">
        <v>223</v>
      </c>
      <c r="AM3897">
        <v>590</v>
      </c>
      <c r="AN3897">
        <v>44</v>
      </c>
      <c r="AP3897">
        <v>1</v>
      </c>
      <c r="AR3897" s="2" t="s">
        <v>3995</v>
      </c>
      <c r="AS3897" s="1">
        <v>44354.011111111111</v>
      </c>
      <c r="AT3897" s="1">
        <v>44354.019918981481</v>
      </c>
      <c r="AU3897" s="1">
        <v>44354.021504629629</v>
      </c>
      <c r="AV3897" t="s">
        <v>71</v>
      </c>
      <c r="AW3897" t="s">
        <v>72</v>
      </c>
      <c r="AX3897" t="s">
        <v>73</v>
      </c>
    </row>
    <row r="3898" spans="1:50" x14ac:dyDescent="0.3">
      <c r="A3898" t="str">
        <f>"201832C0100"</f>
        <v>201832C0100</v>
      </c>
      <c r="B3898" t="str">
        <f>"201832C01002"</f>
        <v>201832C01002</v>
      </c>
      <c r="C3898" t="str">
        <f t="shared" si="200"/>
        <v>20</v>
      </c>
      <c r="D3898" t="s">
        <v>67</v>
      </c>
      <c r="E3898" t="str">
        <f t="shared" si="199"/>
        <v>017</v>
      </c>
      <c r="F3898" t="s">
        <v>3808</v>
      </c>
      <c r="G3898" t="str">
        <f>"1832"</f>
        <v>1832</v>
      </c>
      <c r="H3898" t="str">
        <f>"0001"</f>
        <v>0001</v>
      </c>
      <c r="I3898" t="s">
        <v>75</v>
      </c>
      <c r="J3898">
        <v>0</v>
      </c>
      <c r="K3898">
        <v>1</v>
      </c>
      <c r="L3898">
        <v>2</v>
      </c>
      <c r="M3898">
        <v>420</v>
      </c>
      <c r="N3898">
        <v>214</v>
      </c>
      <c r="O3898">
        <v>1</v>
      </c>
      <c r="P3898">
        <v>214</v>
      </c>
      <c r="Q3898">
        <v>13</v>
      </c>
      <c r="R3898">
        <v>39</v>
      </c>
      <c r="S3898">
        <v>2</v>
      </c>
      <c r="T3898">
        <v>3</v>
      </c>
      <c r="U3898">
        <v>17</v>
      </c>
      <c r="V3898">
        <v>1</v>
      </c>
      <c r="W3898">
        <v>0</v>
      </c>
      <c r="X3898">
        <v>121</v>
      </c>
      <c r="Y3898">
        <v>3</v>
      </c>
      <c r="Z3898">
        <v>3</v>
      </c>
      <c r="AA3898">
        <v>1</v>
      </c>
      <c r="AB3898">
        <v>3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8</v>
      </c>
      <c r="AK3898">
        <v>214</v>
      </c>
      <c r="AL3898">
        <v>214</v>
      </c>
      <c r="AM3898">
        <v>590</v>
      </c>
      <c r="AN3898">
        <v>44</v>
      </c>
      <c r="AP3898">
        <v>1</v>
      </c>
      <c r="AR3898" t="s">
        <v>3996</v>
      </c>
      <c r="AS3898" s="1">
        <v>44353.75</v>
      </c>
      <c r="AT3898" s="1">
        <v>44354.020381944443</v>
      </c>
      <c r="AU3898" s="1">
        <v>44354.02107638889</v>
      </c>
      <c r="AV3898" t="s">
        <v>71</v>
      </c>
      <c r="AW3898" t="s">
        <v>72</v>
      </c>
      <c r="AX3898" t="s">
        <v>73</v>
      </c>
    </row>
    <row r="3899" spans="1:50" x14ac:dyDescent="0.3">
      <c r="A3899" t="str">
        <f>"201832C0200"</f>
        <v>201832C0200</v>
      </c>
      <c r="B3899" t="str">
        <f>"201832C02002"</f>
        <v>201832C02002</v>
      </c>
      <c r="C3899" t="str">
        <f t="shared" si="200"/>
        <v>20</v>
      </c>
      <c r="D3899" t="s">
        <v>67</v>
      </c>
      <c r="E3899" t="str">
        <f t="shared" si="199"/>
        <v>017</v>
      </c>
      <c r="F3899" t="s">
        <v>3808</v>
      </c>
      <c r="G3899" t="str">
        <f>"1832"</f>
        <v>1832</v>
      </c>
      <c r="H3899" t="str">
        <f>"0002"</f>
        <v>0002</v>
      </c>
      <c r="I3899" t="s">
        <v>75</v>
      </c>
      <c r="J3899">
        <v>0</v>
      </c>
      <c r="K3899">
        <v>1</v>
      </c>
      <c r="L3899">
        <v>2</v>
      </c>
      <c r="M3899">
        <v>425</v>
      </c>
      <c r="N3899">
        <v>208</v>
      </c>
      <c r="O3899">
        <v>2</v>
      </c>
      <c r="P3899">
        <v>208</v>
      </c>
      <c r="Q3899">
        <v>16</v>
      </c>
      <c r="R3899">
        <v>37</v>
      </c>
      <c r="S3899">
        <v>3</v>
      </c>
      <c r="T3899">
        <v>1</v>
      </c>
      <c r="U3899">
        <v>9</v>
      </c>
      <c r="V3899">
        <v>1</v>
      </c>
      <c r="W3899">
        <v>2</v>
      </c>
      <c r="X3899">
        <v>113</v>
      </c>
      <c r="Y3899">
        <v>0</v>
      </c>
      <c r="Z3899">
        <v>2</v>
      </c>
      <c r="AA3899">
        <v>0</v>
      </c>
      <c r="AB3899">
        <v>6</v>
      </c>
      <c r="AD3899">
        <v>0</v>
      </c>
      <c r="AE3899">
        <v>3</v>
      </c>
      <c r="AF3899">
        <v>0</v>
      </c>
      <c r="AG3899">
        <v>0</v>
      </c>
      <c r="AH3899">
        <v>1</v>
      </c>
      <c r="AI3899">
        <v>0</v>
      </c>
      <c r="AJ3899">
        <v>14</v>
      </c>
      <c r="AK3899">
        <v>208</v>
      </c>
      <c r="AL3899">
        <v>208</v>
      </c>
      <c r="AM3899">
        <v>589</v>
      </c>
      <c r="AN3899">
        <v>44</v>
      </c>
      <c r="AP3899">
        <v>1</v>
      </c>
      <c r="AR3899" t="s">
        <v>3997</v>
      </c>
      <c r="AS3899" s="1">
        <v>44353.84375</v>
      </c>
      <c r="AT3899" s="1">
        <v>44354.020601851851</v>
      </c>
      <c r="AU3899" s="1">
        <v>44354.021203703705</v>
      </c>
      <c r="AV3899" t="s">
        <v>71</v>
      </c>
      <c r="AW3899" t="s">
        <v>72</v>
      </c>
      <c r="AX3899" t="s">
        <v>73</v>
      </c>
    </row>
    <row r="3900" spans="1:50" x14ac:dyDescent="0.3">
      <c r="A3900" t="str">
        <f>"201833B0000"</f>
        <v>201833B0000</v>
      </c>
      <c r="B3900" t="str">
        <f>"201833B00002"</f>
        <v>201833B00002</v>
      </c>
      <c r="C3900" t="str">
        <f t="shared" si="200"/>
        <v>20</v>
      </c>
      <c r="D3900" t="s">
        <v>67</v>
      </c>
      <c r="E3900" t="str">
        <f t="shared" si="199"/>
        <v>017</v>
      </c>
      <c r="F3900" t="s">
        <v>3808</v>
      </c>
      <c r="G3900" t="str">
        <f>"1833"</f>
        <v>1833</v>
      </c>
      <c r="H3900" t="str">
        <f>"0000"</f>
        <v>0000</v>
      </c>
      <c r="I3900" t="s">
        <v>69</v>
      </c>
      <c r="J3900">
        <v>0</v>
      </c>
      <c r="K3900">
        <v>1</v>
      </c>
      <c r="L3900">
        <v>2</v>
      </c>
      <c r="M3900">
        <v>468</v>
      </c>
      <c r="N3900">
        <v>221</v>
      </c>
      <c r="O3900">
        <v>0</v>
      </c>
      <c r="P3900">
        <v>221</v>
      </c>
      <c r="Q3900">
        <v>13</v>
      </c>
      <c r="R3900">
        <v>39</v>
      </c>
      <c r="S3900">
        <v>1</v>
      </c>
      <c r="T3900">
        <v>6</v>
      </c>
      <c r="U3900">
        <v>23</v>
      </c>
      <c r="V3900">
        <v>5</v>
      </c>
      <c r="W3900">
        <v>1</v>
      </c>
      <c r="X3900">
        <v>114</v>
      </c>
      <c r="Y3900">
        <v>3</v>
      </c>
      <c r="Z3900">
        <v>3</v>
      </c>
      <c r="AA3900">
        <v>0</v>
      </c>
      <c r="AB3900">
        <v>3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9</v>
      </c>
      <c r="AK3900">
        <v>221</v>
      </c>
      <c r="AL3900">
        <v>220</v>
      </c>
      <c r="AM3900">
        <v>645</v>
      </c>
      <c r="AN3900">
        <v>44</v>
      </c>
      <c r="AP3900">
        <v>1</v>
      </c>
      <c r="AR3900" t="s">
        <v>3998</v>
      </c>
      <c r="AS3900" s="1">
        <v>44353.875</v>
      </c>
      <c r="AT3900" s="1">
        <v>44354.024444444447</v>
      </c>
      <c r="AU3900" s="1">
        <v>44354.024756944447</v>
      </c>
      <c r="AV3900" t="s">
        <v>71</v>
      </c>
      <c r="AW3900" t="s">
        <v>72</v>
      </c>
      <c r="AX3900" t="s">
        <v>73</v>
      </c>
    </row>
    <row r="3901" spans="1:50" x14ac:dyDescent="0.3">
      <c r="A3901" t="str">
        <f>"201833C0100"</f>
        <v>201833C0100</v>
      </c>
      <c r="B3901" t="str">
        <f>"201833C01002"</f>
        <v>201833C01002</v>
      </c>
      <c r="C3901" t="str">
        <f t="shared" si="200"/>
        <v>20</v>
      </c>
      <c r="D3901" t="s">
        <v>67</v>
      </c>
      <c r="E3901" t="str">
        <f t="shared" si="199"/>
        <v>017</v>
      </c>
      <c r="F3901" t="s">
        <v>3808</v>
      </c>
      <c r="G3901" t="str">
        <f>"1833"</f>
        <v>1833</v>
      </c>
      <c r="H3901" t="str">
        <f>"0001"</f>
        <v>0001</v>
      </c>
      <c r="I3901" t="s">
        <v>75</v>
      </c>
      <c r="J3901">
        <v>0</v>
      </c>
      <c r="K3901">
        <v>1</v>
      </c>
      <c r="L3901">
        <v>2</v>
      </c>
      <c r="M3901">
        <v>457</v>
      </c>
      <c r="N3901">
        <v>231</v>
      </c>
      <c r="O3901">
        <v>1</v>
      </c>
      <c r="P3901">
        <v>231</v>
      </c>
      <c r="Q3901">
        <v>12</v>
      </c>
      <c r="R3901">
        <v>43</v>
      </c>
      <c r="S3901">
        <v>5</v>
      </c>
      <c r="T3901">
        <v>0</v>
      </c>
      <c r="U3901">
        <v>11</v>
      </c>
      <c r="V3901">
        <v>5</v>
      </c>
      <c r="W3901">
        <v>1</v>
      </c>
      <c r="X3901">
        <v>125</v>
      </c>
      <c r="Y3901">
        <v>2</v>
      </c>
      <c r="Z3901">
        <v>6</v>
      </c>
      <c r="AA3901">
        <v>3</v>
      </c>
      <c r="AB3901">
        <v>4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14</v>
      </c>
      <c r="AK3901">
        <v>231</v>
      </c>
      <c r="AL3901">
        <v>231</v>
      </c>
      <c r="AM3901">
        <v>644</v>
      </c>
      <c r="AN3901">
        <v>44</v>
      </c>
      <c r="AP3901">
        <v>1</v>
      </c>
      <c r="AR3901" t="s">
        <v>3999</v>
      </c>
      <c r="AS3901" s="1">
        <v>44354.6</v>
      </c>
      <c r="AT3901" s="1">
        <v>44354.602002314816</v>
      </c>
      <c r="AU3901" s="1">
        <v>44354.602939814817</v>
      </c>
      <c r="AV3901" t="s">
        <v>71</v>
      </c>
      <c r="AW3901" t="s">
        <v>72</v>
      </c>
      <c r="AX3901" t="s">
        <v>73</v>
      </c>
    </row>
    <row r="3902" spans="1:50" x14ac:dyDescent="0.3">
      <c r="A3902" t="str">
        <f>"201833S0100"</f>
        <v>201833S0100</v>
      </c>
      <c r="B3902" t="str">
        <f>"201833S01002EMR"</f>
        <v>201833S01002EMR</v>
      </c>
      <c r="C3902" t="str">
        <f t="shared" si="200"/>
        <v>20</v>
      </c>
      <c r="D3902" t="s">
        <v>67</v>
      </c>
      <c r="E3902" t="str">
        <f t="shared" si="199"/>
        <v>017</v>
      </c>
      <c r="F3902" t="s">
        <v>3808</v>
      </c>
      <c r="G3902" t="str">
        <f>"1833"</f>
        <v>1833</v>
      </c>
      <c r="H3902" t="str">
        <f>"0001"</f>
        <v>0001</v>
      </c>
      <c r="I3902" t="s">
        <v>85</v>
      </c>
      <c r="J3902">
        <v>0</v>
      </c>
      <c r="K3902">
        <v>1</v>
      </c>
      <c r="L3902" t="s">
        <v>86</v>
      </c>
      <c r="M3902">
        <v>794</v>
      </c>
      <c r="N3902">
        <v>37</v>
      </c>
      <c r="O3902">
        <v>0</v>
      </c>
      <c r="P3902">
        <v>37</v>
      </c>
      <c r="Q3902">
        <v>0</v>
      </c>
      <c r="R3902">
        <v>5</v>
      </c>
      <c r="S3902">
        <v>0</v>
      </c>
      <c r="T3902">
        <v>0</v>
      </c>
      <c r="U3902">
        <v>7</v>
      </c>
      <c r="V3902">
        <v>1</v>
      </c>
      <c r="W3902">
        <v>0</v>
      </c>
      <c r="X3902">
        <v>20</v>
      </c>
      <c r="Y3902">
        <v>1</v>
      </c>
      <c r="Z3902">
        <v>1</v>
      </c>
      <c r="AA3902">
        <v>0</v>
      </c>
      <c r="AB3902">
        <v>1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1</v>
      </c>
      <c r="AK3902">
        <v>37</v>
      </c>
      <c r="AL3902">
        <v>37</v>
      </c>
      <c r="AM3902">
        <v>0</v>
      </c>
      <c r="AN3902">
        <v>44</v>
      </c>
      <c r="AP3902">
        <v>1</v>
      </c>
      <c r="AR3902" t="s">
        <v>4000</v>
      </c>
      <c r="AS3902" s="1">
        <v>44353.750694444447</v>
      </c>
      <c r="AT3902" s="1">
        <v>44354.689444444448</v>
      </c>
      <c r="AU3902" s="1">
        <v>44354.690104166664</v>
      </c>
      <c r="AV3902" t="s">
        <v>71</v>
      </c>
      <c r="AW3902" t="s">
        <v>72</v>
      </c>
      <c r="AX3902" t="s">
        <v>73</v>
      </c>
    </row>
    <row r="3903" spans="1:50" x14ac:dyDescent="0.3">
      <c r="A3903" t="str">
        <f>"201838B0000"</f>
        <v>201838B0000</v>
      </c>
      <c r="B3903" t="str">
        <f>"201838B00002"</f>
        <v>201838B00002</v>
      </c>
      <c r="C3903" t="str">
        <f t="shared" si="200"/>
        <v>20</v>
      </c>
      <c r="D3903" t="s">
        <v>67</v>
      </c>
      <c r="E3903" t="str">
        <f t="shared" ref="E3903:E3966" si="201">"017"</f>
        <v>017</v>
      </c>
      <c r="F3903" t="s">
        <v>3808</v>
      </c>
      <c r="G3903" t="str">
        <f>"1838"</f>
        <v>1838</v>
      </c>
      <c r="H3903" t="str">
        <f>"0000"</f>
        <v>0000</v>
      </c>
      <c r="I3903" t="s">
        <v>69</v>
      </c>
      <c r="J3903">
        <v>0</v>
      </c>
      <c r="K3903">
        <v>1</v>
      </c>
      <c r="L3903">
        <v>2</v>
      </c>
      <c r="M3903">
        <v>402</v>
      </c>
      <c r="N3903">
        <v>284</v>
      </c>
      <c r="O3903">
        <v>2</v>
      </c>
      <c r="P3903">
        <v>284</v>
      </c>
      <c r="Q3903">
        <v>6</v>
      </c>
      <c r="R3903">
        <v>74</v>
      </c>
      <c r="S3903">
        <v>4</v>
      </c>
      <c r="T3903">
        <v>2</v>
      </c>
      <c r="U3903">
        <v>56</v>
      </c>
      <c r="V3903">
        <v>4</v>
      </c>
      <c r="W3903">
        <v>1</v>
      </c>
      <c r="X3903">
        <v>114</v>
      </c>
      <c r="Y3903">
        <v>1</v>
      </c>
      <c r="Z3903">
        <v>2</v>
      </c>
      <c r="AA3903">
        <v>3</v>
      </c>
      <c r="AB3903">
        <v>7</v>
      </c>
      <c r="AD3903">
        <v>2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8</v>
      </c>
      <c r="AK3903">
        <v>284</v>
      </c>
      <c r="AL3903">
        <v>284</v>
      </c>
      <c r="AM3903">
        <v>642</v>
      </c>
      <c r="AN3903">
        <v>44</v>
      </c>
      <c r="AP3903">
        <v>1</v>
      </c>
      <c r="AR3903" s="2" t="s">
        <v>4001</v>
      </c>
      <c r="AS3903" s="1">
        <v>44353.954861111109</v>
      </c>
      <c r="AT3903" s="1">
        <v>44353.956828703704</v>
      </c>
      <c r="AU3903" s="1">
        <v>44353.957476851851</v>
      </c>
      <c r="AV3903" t="s">
        <v>71</v>
      </c>
      <c r="AW3903" t="s">
        <v>72</v>
      </c>
      <c r="AX3903" t="s">
        <v>73</v>
      </c>
    </row>
    <row r="3904" spans="1:50" x14ac:dyDescent="0.3">
      <c r="A3904" t="str">
        <f>"201903B0000"</f>
        <v>201903B0000</v>
      </c>
      <c r="B3904" t="str">
        <f>"201903B00002"</f>
        <v>201903B00002</v>
      </c>
      <c r="C3904" t="str">
        <f t="shared" si="200"/>
        <v>20</v>
      </c>
      <c r="D3904" t="s">
        <v>67</v>
      </c>
      <c r="E3904" t="str">
        <f t="shared" si="201"/>
        <v>017</v>
      </c>
      <c r="F3904" t="s">
        <v>3808</v>
      </c>
      <c r="G3904" t="str">
        <f>"1903"</f>
        <v>1903</v>
      </c>
      <c r="H3904" t="str">
        <f>"0000"</f>
        <v>0000</v>
      </c>
      <c r="I3904" t="s">
        <v>69</v>
      </c>
      <c r="J3904">
        <v>0</v>
      </c>
      <c r="K3904">
        <v>1</v>
      </c>
      <c r="L3904">
        <v>2</v>
      </c>
      <c r="M3904">
        <v>331</v>
      </c>
      <c r="N3904" t="s">
        <v>80</v>
      </c>
      <c r="O3904" t="s">
        <v>80</v>
      </c>
      <c r="P3904" t="s">
        <v>80</v>
      </c>
      <c r="Q3904">
        <v>22</v>
      </c>
      <c r="R3904">
        <v>76</v>
      </c>
      <c r="S3904">
        <v>5</v>
      </c>
      <c r="T3904">
        <v>7</v>
      </c>
      <c r="U3904">
        <v>38</v>
      </c>
      <c r="V3904">
        <v>2</v>
      </c>
      <c r="W3904">
        <v>2</v>
      </c>
      <c r="X3904">
        <v>84</v>
      </c>
      <c r="Y3904">
        <v>0</v>
      </c>
      <c r="Z3904">
        <v>2</v>
      </c>
      <c r="AA3904">
        <v>1</v>
      </c>
      <c r="AB3904">
        <v>0</v>
      </c>
      <c r="AD3904">
        <v>2</v>
      </c>
      <c r="AE3904">
        <v>0</v>
      </c>
      <c r="AF3904">
        <v>0</v>
      </c>
      <c r="AG3904">
        <v>0</v>
      </c>
      <c r="AH3904">
        <v>1</v>
      </c>
      <c r="AI3904">
        <v>0</v>
      </c>
      <c r="AJ3904">
        <v>10</v>
      </c>
      <c r="AK3904">
        <v>252</v>
      </c>
      <c r="AL3904">
        <v>252</v>
      </c>
      <c r="AM3904">
        <v>539</v>
      </c>
      <c r="AN3904">
        <v>44</v>
      </c>
      <c r="AP3904">
        <v>1</v>
      </c>
      <c r="AR3904" t="s">
        <v>4002</v>
      </c>
      <c r="AS3904" s="1">
        <v>44354.242361111108</v>
      </c>
      <c r="AT3904" s="1">
        <v>44354.68173611111</v>
      </c>
      <c r="AU3904" s="1">
        <v>44354.682349537034</v>
      </c>
      <c r="AV3904" t="s">
        <v>71</v>
      </c>
      <c r="AW3904" t="s">
        <v>72</v>
      </c>
      <c r="AX3904" t="s">
        <v>73</v>
      </c>
    </row>
    <row r="3905" spans="1:50" x14ac:dyDescent="0.3">
      <c r="A3905" t="str">
        <f>"201903C0100"</f>
        <v>201903C0100</v>
      </c>
      <c r="B3905" t="str">
        <f>"201903C01002"</f>
        <v>201903C01002</v>
      </c>
      <c r="C3905" t="str">
        <f t="shared" si="200"/>
        <v>20</v>
      </c>
      <c r="D3905" t="s">
        <v>67</v>
      </c>
      <c r="E3905" t="str">
        <f t="shared" si="201"/>
        <v>017</v>
      </c>
      <c r="F3905" t="s">
        <v>3808</v>
      </c>
      <c r="G3905" t="str">
        <f>"1903"</f>
        <v>1903</v>
      </c>
      <c r="H3905" t="str">
        <f>"0001"</f>
        <v>0001</v>
      </c>
      <c r="I3905" t="s">
        <v>75</v>
      </c>
      <c r="J3905">
        <v>0</v>
      </c>
      <c r="K3905">
        <v>1</v>
      </c>
      <c r="L3905">
        <v>2</v>
      </c>
      <c r="M3905">
        <v>331</v>
      </c>
      <c r="N3905" t="s">
        <v>80</v>
      </c>
      <c r="O3905" t="s">
        <v>80</v>
      </c>
      <c r="P3905" t="s">
        <v>80</v>
      </c>
      <c r="Q3905">
        <v>22</v>
      </c>
      <c r="R3905">
        <v>76</v>
      </c>
      <c r="S3905">
        <v>5</v>
      </c>
      <c r="T3905">
        <v>7</v>
      </c>
      <c r="U3905">
        <v>38</v>
      </c>
      <c r="V3905">
        <v>2</v>
      </c>
      <c r="W3905">
        <v>2</v>
      </c>
      <c r="X3905">
        <v>84</v>
      </c>
      <c r="Y3905">
        <v>0</v>
      </c>
      <c r="Z3905">
        <v>2</v>
      </c>
      <c r="AA3905">
        <v>1</v>
      </c>
      <c r="AB3905">
        <v>0</v>
      </c>
      <c r="AD3905">
        <v>2</v>
      </c>
      <c r="AE3905">
        <v>0</v>
      </c>
      <c r="AF3905">
        <v>0</v>
      </c>
      <c r="AG3905">
        <v>0</v>
      </c>
      <c r="AH3905">
        <v>1</v>
      </c>
      <c r="AI3905">
        <v>0</v>
      </c>
      <c r="AJ3905">
        <v>10</v>
      </c>
      <c r="AK3905">
        <v>252</v>
      </c>
      <c r="AL3905">
        <v>252</v>
      </c>
      <c r="AM3905">
        <v>538</v>
      </c>
      <c r="AN3905">
        <v>44</v>
      </c>
      <c r="AP3905">
        <v>1</v>
      </c>
      <c r="AR3905" t="s">
        <v>4003</v>
      </c>
      <c r="AS3905" s="1">
        <v>44354.242361111108</v>
      </c>
      <c r="AT3905" s="1">
        <v>44354.247314814813</v>
      </c>
      <c r="AU3905" s="1">
        <v>44354.248263888891</v>
      </c>
      <c r="AV3905" t="s">
        <v>71</v>
      </c>
      <c r="AW3905" t="s">
        <v>72</v>
      </c>
      <c r="AX3905" t="s">
        <v>73</v>
      </c>
    </row>
    <row r="3906" spans="1:50" x14ac:dyDescent="0.3">
      <c r="A3906" t="str">
        <f>"201903E0100"</f>
        <v>201903E0100</v>
      </c>
      <c r="B3906" t="str">
        <f>"201903E01002"</f>
        <v>201903E01002</v>
      </c>
      <c r="C3906" t="str">
        <f t="shared" si="200"/>
        <v>20</v>
      </c>
      <c r="D3906" t="s">
        <v>67</v>
      </c>
      <c r="E3906" t="str">
        <f t="shared" si="201"/>
        <v>017</v>
      </c>
      <c r="F3906" t="s">
        <v>3808</v>
      </c>
      <c r="G3906" t="str">
        <f>"1903"</f>
        <v>1903</v>
      </c>
      <c r="H3906" t="str">
        <f>"0001"</f>
        <v>0001</v>
      </c>
      <c r="I3906" t="s">
        <v>109</v>
      </c>
      <c r="J3906">
        <v>0</v>
      </c>
      <c r="K3906">
        <v>1</v>
      </c>
      <c r="L3906">
        <v>2</v>
      </c>
      <c r="M3906">
        <v>124</v>
      </c>
      <c r="N3906">
        <v>135</v>
      </c>
      <c r="O3906">
        <v>1</v>
      </c>
      <c r="P3906" t="s">
        <v>80</v>
      </c>
      <c r="Q3906">
        <v>22</v>
      </c>
      <c r="R3906">
        <v>43</v>
      </c>
      <c r="S3906">
        <v>5</v>
      </c>
      <c r="T3906">
        <v>14</v>
      </c>
      <c r="U3906">
        <v>15</v>
      </c>
      <c r="V3906">
        <v>0</v>
      </c>
      <c r="W3906">
        <v>1</v>
      </c>
      <c r="X3906">
        <v>15</v>
      </c>
      <c r="Y3906">
        <v>1</v>
      </c>
      <c r="Z3906">
        <v>1</v>
      </c>
      <c r="AA3906">
        <v>1</v>
      </c>
      <c r="AB3906">
        <v>0</v>
      </c>
      <c r="AD3906">
        <v>2</v>
      </c>
      <c r="AE3906">
        <v>2</v>
      </c>
      <c r="AF3906">
        <v>0</v>
      </c>
      <c r="AG3906">
        <v>0</v>
      </c>
      <c r="AH3906">
        <v>3</v>
      </c>
      <c r="AI3906">
        <v>0</v>
      </c>
      <c r="AJ3906">
        <v>10</v>
      </c>
      <c r="AK3906">
        <v>135</v>
      </c>
      <c r="AL3906">
        <v>135</v>
      </c>
      <c r="AM3906">
        <v>239</v>
      </c>
      <c r="AN3906">
        <v>44</v>
      </c>
      <c r="AP3906">
        <v>1</v>
      </c>
      <c r="AR3906" t="s">
        <v>4004</v>
      </c>
      <c r="AS3906" s="1">
        <v>44354.24722222222</v>
      </c>
      <c r="AT3906" s="1">
        <v>44354.249444444446</v>
      </c>
      <c r="AU3906" s="1">
        <v>44354.250011574077</v>
      </c>
      <c r="AV3906" t="s">
        <v>71</v>
      </c>
      <c r="AW3906" t="s">
        <v>72</v>
      </c>
      <c r="AX3906" t="s">
        <v>73</v>
      </c>
    </row>
    <row r="3907" spans="1:50" x14ac:dyDescent="0.3">
      <c r="A3907" t="str">
        <f>"201951B0000"</f>
        <v>201951B0000</v>
      </c>
      <c r="B3907" t="str">
        <f>"201951B00002"</f>
        <v>201951B00002</v>
      </c>
      <c r="C3907" t="str">
        <f t="shared" si="200"/>
        <v>20</v>
      </c>
      <c r="D3907" t="s">
        <v>67</v>
      </c>
      <c r="E3907" t="str">
        <f t="shared" si="201"/>
        <v>017</v>
      </c>
      <c r="F3907" t="s">
        <v>3808</v>
      </c>
      <c r="G3907" t="str">
        <f>"1951"</f>
        <v>1951</v>
      </c>
      <c r="H3907" t="str">
        <f>"0000"</f>
        <v>0000</v>
      </c>
      <c r="I3907" t="s">
        <v>69</v>
      </c>
      <c r="J3907">
        <v>0</v>
      </c>
      <c r="K3907">
        <v>1</v>
      </c>
      <c r="L3907">
        <v>2</v>
      </c>
      <c r="M3907">
        <v>569</v>
      </c>
      <c r="N3907">
        <v>185</v>
      </c>
      <c r="O3907">
        <v>0</v>
      </c>
      <c r="P3907">
        <v>185</v>
      </c>
      <c r="Q3907">
        <v>23</v>
      </c>
      <c r="R3907">
        <v>62</v>
      </c>
      <c r="S3907">
        <v>1</v>
      </c>
      <c r="T3907">
        <v>5</v>
      </c>
      <c r="U3907">
        <v>22</v>
      </c>
      <c r="V3907">
        <v>3</v>
      </c>
      <c r="W3907">
        <v>1</v>
      </c>
      <c r="X3907">
        <v>54</v>
      </c>
      <c r="Y3907">
        <v>0</v>
      </c>
      <c r="Z3907">
        <v>1</v>
      </c>
      <c r="AA3907">
        <v>0</v>
      </c>
      <c r="AB3907">
        <v>0</v>
      </c>
      <c r="AD3907">
        <v>1</v>
      </c>
      <c r="AE3907">
        <v>0</v>
      </c>
      <c r="AF3907">
        <v>0</v>
      </c>
      <c r="AG3907">
        <v>0</v>
      </c>
      <c r="AH3907">
        <v>2</v>
      </c>
      <c r="AI3907">
        <v>0</v>
      </c>
      <c r="AJ3907">
        <v>10</v>
      </c>
      <c r="AK3907">
        <v>185</v>
      </c>
      <c r="AL3907">
        <v>185</v>
      </c>
      <c r="AM3907">
        <v>710</v>
      </c>
      <c r="AN3907">
        <v>44</v>
      </c>
      <c r="AP3907">
        <v>1</v>
      </c>
      <c r="AR3907" t="s">
        <v>4005</v>
      </c>
      <c r="AS3907" s="1">
        <v>44354.011805555558</v>
      </c>
      <c r="AT3907" s="1">
        <v>44354.02008101852</v>
      </c>
      <c r="AU3907" s="1">
        <v>44354.020960648151</v>
      </c>
      <c r="AV3907" t="s">
        <v>71</v>
      </c>
      <c r="AW3907" t="s">
        <v>72</v>
      </c>
      <c r="AX3907" t="s">
        <v>73</v>
      </c>
    </row>
    <row r="3908" spans="1:50" x14ac:dyDescent="0.3">
      <c r="A3908" t="str">
        <f>"201951E0100"</f>
        <v>201951E0100</v>
      </c>
      <c r="B3908" t="str">
        <f>"201951E01002"</f>
        <v>201951E01002</v>
      </c>
      <c r="C3908" t="str">
        <f t="shared" si="200"/>
        <v>20</v>
      </c>
      <c r="D3908" t="s">
        <v>67</v>
      </c>
      <c r="E3908" t="str">
        <f t="shared" si="201"/>
        <v>017</v>
      </c>
      <c r="F3908" t="s">
        <v>3808</v>
      </c>
      <c r="G3908" t="str">
        <f>"1951"</f>
        <v>1951</v>
      </c>
      <c r="H3908" t="str">
        <f>"0001"</f>
        <v>0001</v>
      </c>
      <c r="I3908" t="s">
        <v>109</v>
      </c>
      <c r="J3908">
        <v>0</v>
      </c>
      <c r="K3908">
        <v>1</v>
      </c>
      <c r="L3908">
        <v>2</v>
      </c>
      <c r="M3908" t="s">
        <v>80</v>
      </c>
      <c r="N3908" t="s">
        <v>80</v>
      </c>
      <c r="O3908" t="s">
        <v>80</v>
      </c>
      <c r="P3908">
        <v>161</v>
      </c>
      <c r="Q3908">
        <v>5</v>
      </c>
      <c r="R3908">
        <v>55</v>
      </c>
      <c r="S3908">
        <v>4</v>
      </c>
      <c r="T3908">
        <v>7</v>
      </c>
      <c r="U3908">
        <v>52</v>
      </c>
      <c r="V3908">
        <v>0</v>
      </c>
      <c r="W3908">
        <v>15</v>
      </c>
      <c r="X3908">
        <v>12</v>
      </c>
      <c r="Y3908">
        <v>1</v>
      </c>
      <c r="Z3908">
        <v>0</v>
      </c>
      <c r="AA3908">
        <v>0</v>
      </c>
      <c r="AB3908">
        <v>0</v>
      </c>
      <c r="AD3908">
        <v>0</v>
      </c>
      <c r="AE3908">
        <v>0</v>
      </c>
      <c r="AF3908">
        <v>0</v>
      </c>
      <c r="AG3908">
        <v>0</v>
      </c>
      <c r="AH3908">
        <v>4</v>
      </c>
      <c r="AI3908">
        <v>0</v>
      </c>
      <c r="AJ3908">
        <v>6</v>
      </c>
      <c r="AK3908">
        <v>161</v>
      </c>
      <c r="AL3908">
        <v>161</v>
      </c>
      <c r="AM3908">
        <v>256</v>
      </c>
      <c r="AN3908">
        <v>44</v>
      </c>
      <c r="AP3908">
        <v>1</v>
      </c>
      <c r="AR3908" s="2" t="s">
        <v>4006</v>
      </c>
      <c r="AS3908" s="1">
        <v>44354.010416666664</v>
      </c>
      <c r="AT3908" s="1">
        <v>44354.01871527778</v>
      </c>
      <c r="AU3908" s="1">
        <v>44354.019282407404</v>
      </c>
      <c r="AV3908" t="s">
        <v>71</v>
      </c>
      <c r="AW3908" t="s">
        <v>72</v>
      </c>
      <c r="AX3908" t="s">
        <v>73</v>
      </c>
    </row>
    <row r="3909" spans="1:50" x14ac:dyDescent="0.3">
      <c r="A3909" t="str">
        <f>"201952B0000"</f>
        <v>201952B0000</v>
      </c>
      <c r="B3909" t="str">
        <f>"201952B00002"</f>
        <v>201952B00002</v>
      </c>
      <c r="C3909" t="str">
        <f t="shared" si="200"/>
        <v>20</v>
      </c>
      <c r="D3909" t="s">
        <v>67</v>
      </c>
      <c r="E3909" t="str">
        <f t="shared" si="201"/>
        <v>017</v>
      </c>
      <c r="F3909" t="s">
        <v>3808</v>
      </c>
      <c r="G3909" t="str">
        <f>"1952"</f>
        <v>1952</v>
      </c>
      <c r="H3909" t="str">
        <f>"0000"</f>
        <v>0000</v>
      </c>
      <c r="I3909" t="s">
        <v>69</v>
      </c>
      <c r="J3909">
        <v>0</v>
      </c>
      <c r="K3909">
        <v>1</v>
      </c>
      <c r="L3909">
        <v>2</v>
      </c>
      <c r="M3909">
        <v>362</v>
      </c>
      <c r="N3909">
        <v>124</v>
      </c>
      <c r="O3909">
        <v>0</v>
      </c>
      <c r="P3909">
        <v>124</v>
      </c>
      <c r="Q3909">
        <v>22</v>
      </c>
      <c r="R3909">
        <v>28</v>
      </c>
      <c r="S3909">
        <v>7</v>
      </c>
      <c r="T3909">
        <v>5</v>
      </c>
      <c r="U3909">
        <v>24</v>
      </c>
      <c r="V3909">
        <v>3</v>
      </c>
      <c r="W3909">
        <v>2</v>
      </c>
      <c r="X3909">
        <v>22</v>
      </c>
      <c r="Y3909">
        <v>0</v>
      </c>
      <c r="Z3909">
        <v>0</v>
      </c>
      <c r="AA3909">
        <v>2</v>
      </c>
      <c r="AB3909">
        <v>1</v>
      </c>
      <c r="AD3909">
        <v>0</v>
      </c>
      <c r="AE3909">
        <v>1</v>
      </c>
      <c r="AF3909">
        <v>0</v>
      </c>
      <c r="AG3909">
        <v>1</v>
      </c>
      <c r="AH3909">
        <v>0</v>
      </c>
      <c r="AI3909">
        <v>0</v>
      </c>
      <c r="AJ3909">
        <v>6</v>
      </c>
      <c r="AK3909">
        <v>124</v>
      </c>
      <c r="AL3909">
        <v>124</v>
      </c>
      <c r="AM3909">
        <v>442</v>
      </c>
      <c r="AN3909">
        <v>44</v>
      </c>
      <c r="AP3909">
        <v>1</v>
      </c>
      <c r="AR3909" t="s">
        <v>4007</v>
      </c>
      <c r="AS3909" s="1">
        <v>44354.015972222223</v>
      </c>
      <c r="AT3909" s="1">
        <v>44354.025567129633</v>
      </c>
      <c r="AU3909" s="1">
        <v>44354.02615740741</v>
      </c>
      <c r="AV3909" t="s">
        <v>71</v>
      </c>
      <c r="AW3909" t="s">
        <v>72</v>
      </c>
      <c r="AX3909" t="s">
        <v>73</v>
      </c>
    </row>
    <row r="3910" spans="1:50" x14ac:dyDescent="0.3">
      <c r="A3910" t="str">
        <f>"201952C0100"</f>
        <v>201952C0100</v>
      </c>
      <c r="B3910" t="str">
        <f>"201952C01002"</f>
        <v>201952C01002</v>
      </c>
      <c r="C3910" t="str">
        <f t="shared" si="200"/>
        <v>20</v>
      </c>
      <c r="D3910" t="s">
        <v>67</v>
      </c>
      <c r="E3910" t="str">
        <f t="shared" si="201"/>
        <v>017</v>
      </c>
      <c r="F3910" t="s">
        <v>3808</v>
      </c>
      <c r="G3910" t="str">
        <f>"1952"</f>
        <v>1952</v>
      </c>
      <c r="H3910" t="str">
        <f>"0001"</f>
        <v>0001</v>
      </c>
      <c r="I3910" t="s">
        <v>75</v>
      </c>
      <c r="J3910">
        <v>0</v>
      </c>
      <c r="K3910">
        <v>1</v>
      </c>
      <c r="L3910">
        <v>2</v>
      </c>
      <c r="M3910">
        <v>400</v>
      </c>
      <c r="N3910">
        <v>86</v>
      </c>
      <c r="O3910">
        <v>1</v>
      </c>
      <c r="P3910">
        <v>86</v>
      </c>
      <c r="Q3910">
        <v>8</v>
      </c>
      <c r="R3910">
        <v>12</v>
      </c>
      <c r="S3910">
        <v>4</v>
      </c>
      <c r="T3910">
        <v>3</v>
      </c>
      <c r="U3910">
        <v>25</v>
      </c>
      <c r="V3910">
        <v>2</v>
      </c>
      <c r="W3910">
        <v>1</v>
      </c>
      <c r="X3910">
        <v>25</v>
      </c>
      <c r="Y3910">
        <v>0</v>
      </c>
      <c r="Z3910">
        <v>1</v>
      </c>
      <c r="AA3910">
        <v>0</v>
      </c>
      <c r="AB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5</v>
      </c>
      <c r="AK3910">
        <v>86</v>
      </c>
      <c r="AL3910">
        <v>86</v>
      </c>
      <c r="AM3910">
        <v>442</v>
      </c>
      <c r="AN3910">
        <v>44</v>
      </c>
      <c r="AP3910">
        <v>1</v>
      </c>
      <c r="AR3910" t="s">
        <v>4008</v>
      </c>
      <c r="AS3910" s="1">
        <v>44354.018055555556</v>
      </c>
      <c r="AT3910" s="1">
        <v>44354.026354166665</v>
      </c>
      <c r="AU3910" s="1">
        <v>44354.026979166665</v>
      </c>
      <c r="AV3910" t="s">
        <v>71</v>
      </c>
      <c r="AW3910" t="s">
        <v>72</v>
      </c>
      <c r="AX3910" t="s">
        <v>73</v>
      </c>
    </row>
    <row r="3911" spans="1:50" x14ac:dyDescent="0.3">
      <c r="A3911" t="str">
        <f>"201953B0000"</f>
        <v>201953B0000</v>
      </c>
      <c r="B3911" t="str">
        <f>"201953B00002"</f>
        <v>201953B00002</v>
      </c>
      <c r="C3911" t="str">
        <f t="shared" ref="C3911:C3974" si="202">"20"</f>
        <v>20</v>
      </c>
      <c r="D3911" t="s">
        <v>67</v>
      </c>
      <c r="E3911" t="str">
        <f t="shared" si="201"/>
        <v>017</v>
      </c>
      <c r="F3911" t="s">
        <v>3808</v>
      </c>
      <c r="G3911" t="str">
        <f>"1953"</f>
        <v>1953</v>
      </c>
      <c r="H3911" t="str">
        <f>"0000"</f>
        <v>0000</v>
      </c>
      <c r="I3911" t="s">
        <v>69</v>
      </c>
      <c r="J3911">
        <v>0</v>
      </c>
      <c r="K3911">
        <v>1</v>
      </c>
      <c r="L3911">
        <v>2</v>
      </c>
      <c r="M3911">
        <v>340</v>
      </c>
      <c r="N3911">
        <v>213</v>
      </c>
      <c r="O3911">
        <v>0</v>
      </c>
      <c r="P3911">
        <v>213</v>
      </c>
      <c r="Q3911">
        <v>4</v>
      </c>
      <c r="R3911">
        <v>22</v>
      </c>
      <c r="S3911">
        <v>9</v>
      </c>
      <c r="T3911">
        <v>3</v>
      </c>
      <c r="U3911">
        <v>143</v>
      </c>
      <c r="V3911">
        <v>1</v>
      </c>
      <c r="W3911">
        <v>10</v>
      </c>
      <c r="X3911">
        <v>14</v>
      </c>
      <c r="Y3911">
        <v>0</v>
      </c>
      <c r="Z3911">
        <v>3</v>
      </c>
      <c r="AA3911">
        <v>0</v>
      </c>
      <c r="AB3911">
        <v>1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3</v>
      </c>
      <c r="AK3911">
        <v>213</v>
      </c>
      <c r="AL3911">
        <v>213</v>
      </c>
      <c r="AM3911">
        <v>509</v>
      </c>
      <c r="AN3911">
        <v>44</v>
      </c>
      <c r="AP3911">
        <v>1</v>
      </c>
      <c r="AR3911" t="s">
        <v>4009</v>
      </c>
      <c r="AS3911" s="1">
        <v>44354.008333333331</v>
      </c>
      <c r="AT3911" s="1">
        <v>44354.013275462959</v>
      </c>
      <c r="AU3911" s="1">
        <v>44354.013807870368</v>
      </c>
      <c r="AV3911" t="s">
        <v>71</v>
      </c>
      <c r="AW3911" t="s">
        <v>72</v>
      </c>
      <c r="AX3911" t="s">
        <v>73</v>
      </c>
    </row>
    <row r="3912" spans="1:50" x14ac:dyDescent="0.3">
      <c r="A3912" t="str">
        <f>"201954B0000"</f>
        <v>201954B0000</v>
      </c>
      <c r="B3912" t="str">
        <f>"201954B00002"</f>
        <v>201954B00002</v>
      </c>
      <c r="C3912" t="str">
        <f t="shared" si="202"/>
        <v>20</v>
      </c>
      <c r="D3912" t="s">
        <v>67</v>
      </c>
      <c r="E3912" t="str">
        <f t="shared" si="201"/>
        <v>017</v>
      </c>
      <c r="F3912" t="s">
        <v>3808</v>
      </c>
      <c r="G3912" t="str">
        <f>"1954"</f>
        <v>1954</v>
      </c>
      <c r="H3912" t="str">
        <f>"0000"</f>
        <v>0000</v>
      </c>
      <c r="I3912" t="s">
        <v>69</v>
      </c>
      <c r="J3912">
        <v>0</v>
      </c>
      <c r="K3912">
        <v>1</v>
      </c>
      <c r="L3912">
        <v>2</v>
      </c>
      <c r="M3912">
        <v>146</v>
      </c>
      <c r="N3912">
        <v>103</v>
      </c>
      <c r="O3912">
        <v>0</v>
      </c>
      <c r="P3912">
        <v>103</v>
      </c>
      <c r="Q3912">
        <v>20</v>
      </c>
      <c r="R3912">
        <v>29</v>
      </c>
      <c r="S3912">
        <v>6</v>
      </c>
      <c r="T3912">
        <v>5</v>
      </c>
      <c r="U3912">
        <v>8</v>
      </c>
      <c r="V3912">
        <v>2</v>
      </c>
      <c r="W3912">
        <v>2</v>
      </c>
      <c r="X3912">
        <v>18</v>
      </c>
      <c r="Y3912">
        <v>0</v>
      </c>
      <c r="Z3912">
        <v>0</v>
      </c>
      <c r="AA3912">
        <v>0</v>
      </c>
      <c r="AB3912">
        <v>0</v>
      </c>
      <c r="AD3912">
        <v>4</v>
      </c>
      <c r="AE3912">
        <v>1</v>
      </c>
      <c r="AF3912">
        <v>0</v>
      </c>
      <c r="AG3912">
        <v>1</v>
      </c>
      <c r="AH3912">
        <v>0</v>
      </c>
      <c r="AI3912">
        <v>0</v>
      </c>
      <c r="AJ3912">
        <v>7</v>
      </c>
      <c r="AK3912">
        <v>103</v>
      </c>
      <c r="AL3912">
        <v>103</v>
      </c>
      <c r="AM3912">
        <v>204</v>
      </c>
      <c r="AN3912">
        <v>44</v>
      </c>
      <c r="AP3912">
        <v>1</v>
      </c>
      <c r="AR3912" t="s">
        <v>4010</v>
      </c>
      <c r="AS3912" s="1">
        <v>44354.020833333336</v>
      </c>
      <c r="AT3912" s="1">
        <v>44354.030949074076</v>
      </c>
      <c r="AU3912" s="1">
        <v>44354.031608796293</v>
      </c>
      <c r="AV3912" t="s">
        <v>71</v>
      </c>
      <c r="AW3912" t="s">
        <v>72</v>
      </c>
      <c r="AX3912" t="s">
        <v>73</v>
      </c>
    </row>
    <row r="3913" spans="1:50" x14ac:dyDescent="0.3">
      <c r="A3913" t="str">
        <f>"202065B0000"</f>
        <v>202065B0000</v>
      </c>
      <c r="B3913" t="str">
        <f>"202065B00002"</f>
        <v>202065B00002</v>
      </c>
      <c r="C3913" t="str">
        <f t="shared" si="202"/>
        <v>20</v>
      </c>
      <c r="D3913" t="s">
        <v>67</v>
      </c>
      <c r="E3913" t="str">
        <f t="shared" si="201"/>
        <v>017</v>
      </c>
      <c r="F3913" t="s">
        <v>3808</v>
      </c>
      <c r="G3913" t="str">
        <f>"2065"</f>
        <v>2065</v>
      </c>
      <c r="H3913" t="str">
        <f>"0000"</f>
        <v>0000</v>
      </c>
      <c r="I3913" t="s">
        <v>69</v>
      </c>
      <c r="J3913">
        <v>0</v>
      </c>
      <c r="K3913">
        <v>1</v>
      </c>
      <c r="L3913">
        <v>2</v>
      </c>
      <c r="M3913">
        <v>367</v>
      </c>
      <c r="N3913">
        <v>211</v>
      </c>
      <c r="O3913">
        <v>0</v>
      </c>
      <c r="P3913">
        <v>211</v>
      </c>
      <c r="Q3913">
        <v>12</v>
      </c>
      <c r="R3913">
        <v>57</v>
      </c>
      <c r="S3913">
        <v>4</v>
      </c>
      <c r="T3913">
        <v>1</v>
      </c>
      <c r="U3913">
        <v>11</v>
      </c>
      <c r="V3913">
        <v>1</v>
      </c>
      <c r="W3913">
        <v>0</v>
      </c>
      <c r="X3913">
        <v>96</v>
      </c>
      <c r="Y3913">
        <v>0</v>
      </c>
      <c r="Z3913">
        <v>4</v>
      </c>
      <c r="AA3913">
        <v>4</v>
      </c>
      <c r="AB3913">
        <v>5</v>
      </c>
      <c r="AD3913">
        <v>1</v>
      </c>
      <c r="AE3913">
        <v>0</v>
      </c>
      <c r="AF3913">
        <v>0</v>
      </c>
      <c r="AG3913">
        <v>0</v>
      </c>
      <c r="AH3913">
        <v>1</v>
      </c>
      <c r="AI3913">
        <v>0</v>
      </c>
      <c r="AJ3913">
        <v>14</v>
      </c>
      <c r="AK3913">
        <v>211</v>
      </c>
      <c r="AL3913">
        <v>211</v>
      </c>
      <c r="AM3913">
        <v>534</v>
      </c>
      <c r="AN3913">
        <v>44</v>
      </c>
      <c r="AP3913">
        <v>1</v>
      </c>
      <c r="AR3913" t="s">
        <v>4011</v>
      </c>
      <c r="AS3913" s="1">
        <v>44353.974999999999</v>
      </c>
      <c r="AT3913" s="1">
        <v>44353.97923611111</v>
      </c>
      <c r="AU3913" s="1">
        <v>44353.979907407411</v>
      </c>
      <c r="AV3913" t="s">
        <v>71</v>
      </c>
      <c r="AW3913" t="s">
        <v>72</v>
      </c>
      <c r="AX3913" t="s">
        <v>73</v>
      </c>
    </row>
    <row r="3914" spans="1:50" x14ac:dyDescent="0.3">
      <c r="A3914" t="str">
        <f>"202065C0100"</f>
        <v>202065C0100</v>
      </c>
      <c r="B3914" t="str">
        <f>"202065C01002"</f>
        <v>202065C01002</v>
      </c>
      <c r="C3914" t="str">
        <f t="shared" si="202"/>
        <v>20</v>
      </c>
      <c r="D3914" t="s">
        <v>67</v>
      </c>
      <c r="E3914" t="str">
        <f t="shared" si="201"/>
        <v>017</v>
      </c>
      <c r="F3914" t="s">
        <v>3808</v>
      </c>
      <c r="G3914" t="str">
        <f>"2065"</f>
        <v>2065</v>
      </c>
      <c r="H3914" t="str">
        <f>"0001"</f>
        <v>0001</v>
      </c>
      <c r="I3914" t="s">
        <v>75</v>
      </c>
      <c r="J3914">
        <v>0</v>
      </c>
      <c r="K3914">
        <v>1</v>
      </c>
      <c r="L3914">
        <v>2</v>
      </c>
      <c r="M3914">
        <v>399</v>
      </c>
      <c r="N3914" t="s">
        <v>80</v>
      </c>
      <c r="O3914" t="s">
        <v>80</v>
      </c>
      <c r="P3914" t="s">
        <v>80</v>
      </c>
      <c r="Q3914">
        <v>1</v>
      </c>
      <c r="R3914" t="s">
        <v>99</v>
      </c>
      <c r="S3914">
        <v>4</v>
      </c>
      <c r="T3914">
        <v>1</v>
      </c>
      <c r="U3914">
        <v>6</v>
      </c>
      <c r="V3914">
        <v>1</v>
      </c>
      <c r="W3914">
        <v>1</v>
      </c>
      <c r="X3914">
        <v>92</v>
      </c>
      <c r="Y3914">
        <v>0</v>
      </c>
      <c r="Z3914">
        <v>2</v>
      </c>
      <c r="AA3914">
        <v>4</v>
      </c>
      <c r="AB3914">
        <v>4</v>
      </c>
      <c r="AD3914">
        <v>1</v>
      </c>
      <c r="AE3914">
        <v>1</v>
      </c>
      <c r="AF3914">
        <v>0</v>
      </c>
      <c r="AG3914">
        <v>0</v>
      </c>
      <c r="AH3914">
        <v>1</v>
      </c>
      <c r="AI3914">
        <v>0</v>
      </c>
      <c r="AJ3914">
        <v>19</v>
      </c>
      <c r="AK3914">
        <v>177</v>
      </c>
      <c r="AL3914">
        <v>138</v>
      </c>
      <c r="AM3914">
        <v>533</v>
      </c>
      <c r="AN3914">
        <v>44</v>
      </c>
      <c r="AO3914" t="s">
        <v>78</v>
      </c>
      <c r="AP3914">
        <v>1</v>
      </c>
      <c r="AR3914" t="s">
        <v>4012</v>
      </c>
      <c r="AS3914" s="1">
        <v>44353.977777777778</v>
      </c>
      <c r="AT3914" s="1">
        <v>44354.00582175926</v>
      </c>
      <c r="AU3914" s="1">
        <v>44354.022893518515</v>
      </c>
      <c r="AV3914" t="s">
        <v>71</v>
      </c>
      <c r="AW3914" t="s">
        <v>72</v>
      </c>
      <c r="AX3914" t="s">
        <v>73</v>
      </c>
    </row>
    <row r="3915" spans="1:50" x14ac:dyDescent="0.3">
      <c r="A3915" t="str">
        <f>"202066B0000"</f>
        <v>202066B0000</v>
      </c>
      <c r="B3915" t="str">
        <f>"202066B00002"</f>
        <v>202066B00002</v>
      </c>
      <c r="C3915" t="str">
        <f t="shared" si="202"/>
        <v>20</v>
      </c>
      <c r="D3915" t="s">
        <v>67</v>
      </c>
      <c r="E3915" t="str">
        <f t="shared" si="201"/>
        <v>017</v>
      </c>
      <c r="F3915" t="s">
        <v>3808</v>
      </c>
      <c r="G3915" t="str">
        <f>"2066"</f>
        <v>2066</v>
      </c>
      <c r="H3915" t="str">
        <f>"0000"</f>
        <v>0000</v>
      </c>
      <c r="I3915" t="s">
        <v>69</v>
      </c>
      <c r="J3915">
        <v>0</v>
      </c>
      <c r="K3915">
        <v>1</v>
      </c>
      <c r="L3915">
        <v>2</v>
      </c>
      <c r="M3915">
        <v>486</v>
      </c>
      <c r="N3915">
        <v>0</v>
      </c>
      <c r="O3915">
        <v>0</v>
      </c>
      <c r="P3915">
        <v>0</v>
      </c>
      <c r="Q3915">
        <v>12</v>
      </c>
      <c r="R3915">
        <v>60</v>
      </c>
      <c r="S3915">
        <v>6</v>
      </c>
      <c r="T3915">
        <v>11</v>
      </c>
      <c r="U3915">
        <v>21</v>
      </c>
      <c r="V3915">
        <v>2</v>
      </c>
      <c r="W3915">
        <v>3</v>
      </c>
      <c r="X3915">
        <v>153</v>
      </c>
      <c r="Y3915">
        <v>5</v>
      </c>
      <c r="Z3915">
        <v>3</v>
      </c>
      <c r="AA3915">
        <v>10</v>
      </c>
      <c r="AB3915">
        <v>2</v>
      </c>
      <c r="AD3915">
        <v>1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12</v>
      </c>
      <c r="AK3915">
        <v>301</v>
      </c>
      <c r="AL3915">
        <v>301</v>
      </c>
      <c r="AM3915">
        <v>743</v>
      </c>
      <c r="AN3915">
        <v>44</v>
      </c>
      <c r="AP3915">
        <v>1</v>
      </c>
      <c r="AR3915" t="s">
        <v>4013</v>
      </c>
      <c r="AS3915" s="1">
        <v>44353.979166666664</v>
      </c>
      <c r="AT3915" s="1">
        <v>44353.98164351852</v>
      </c>
      <c r="AU3915" s="1">
        <v>44353.982824074075</v>
      </c>
      <c r="AV3915" t="s">
        <v>71</v>
      </c>
      <c r="AW3915" t="s">
        <v>72</v>
      </c>
      <c r="AX3915" t="s">
        <v>73</v>
      </c>
    </row>
    <row r="3916" spans="1:50" x14ac:dyDescent="0.3">
      <c r="A3916" t="str">
        <f>"202067B0000"</f>
        <v>202067B0000</v>
      </c>
      <c r="B3916" t="str">
        <f>"202067B00002"</f>
        <v>202067B00002</v>
      </c>
      <c r="C3916" t="str">
        <f t="shared" si="202"/>
        <v>20</v>
      </c>
      <c r="D3916" t="s">
        <v>67</v>
      </c>
      <c r="E3916" t="str">
        <f t="shared" si="201"/>
        <v>017</v>
      </c>
      <c r="F3916" t="s">
        <v>3808</v>
      </c>
      <c r="G3916" t="str">
        <f>"2067"</f>
        <v>2067</v>
      </c>
      <c r="H3916" t="str">
        <f>"0000"</f>
        <v>0000</v>
      </c>
      <c r="I3916" t="s">
        <v>69</v>
      </c>
      <c r="J3916">
        <v>0</v>
      </c>
      <c r="K3916">
        <v>1</v>
      </c>
      <c r="L3916">
        <v>2</v>
      </c>
      <c r="M3916">
        <v>306</v>
      </c>
      <c r="N3916">
        <v>197</v>
      </c>
      <c r="O3916">
        <v>0</v>
      </c>
      <c r="P3916">
        <v>197</v>
      </c>
      <c r="Q3916">
        <v>15</v>
      </c>
      <c r="R3916">
        <v>60</v>
      </c>
      <c r="S3916">
        <v>4</v>
      </c>
      <c r="T3916">
        <v>6</v>
      </c>
      <c r="U3916">
        <v>11</v>
      </c>
      <c r="V3916">
        <v>4</v>
      </c>
      <c r="W3916">
        <v>0</v>
      </c>
      <c r="X3916">
        <v>81</v>
      </c>
      <c r="Y3916">
        <v>0</v>
      </c>
      <c r="Z3916">
        <v>1</v>
      </c>
      <c r="AA3916">
        <v>6</v>
      </c>
      <c r="AB3916">
        <v>0</v>
      </c>
      <c r="AD3916">
        <v>1</v>
      </c>
      <c r="AE3916">
        <v>0</v>
      </c>
      <c r="AF3916">
        <v>0</v>
      </c>
      <c r="AG3916">
        <v>0</v>
      </c>
      <c r="AH3916">
        <v>2</v>
      </c>
      <c r="AI3916">
        <v>0</v>
      </c>
      <c r="AJ3916">
        <v>8</v>
      </c>
      <c r="AK3916">
        <v>197</v>
      </c>
      <c r="AL3916">
        <v>199</v>
      </c>
      <c r="AM3916">
        <v>459</v>
      </c>
      <c r="AN3916">
        <v>44</v>
      </c>
      <c r="AP3916">
        <v>1</v>
      </c>
      <c r="AR3916" t="s">
        <v>4014</v>
      </c>
      <c r="AS3916" s="1">
        <v>44353.984722222223</v>
      </c>
      <c r="AT3916" s="1">
        <v>44353.98778935185</v>
      </c>
      <c r="AU3916" s="1">
        <v>44353.989293981482</v>
      </c>
      <c r="AV3916" t="s">
        <v>71</v>
      </c>
      <c r="AW3916" t="s">
        <v>72</v>
      </c>
      <c r="AX3916" t="s">
        <v>73</v>
      </c>
    </row>
    <row r="3917" spans="1:50" x14ac:dyDescent="0.3">
      <c r="A3917" t="str">
        <f>"202067C0100"</f>
        <v>202067C0100</v>
      </c>
      <c r="B3917" t="str">
        <f>"202067C01002"</f>
        <v>202067C01002</v>
      </c>
      <c r="C3917" t="str">
        <f t="shared" si="202"/>
        <v>20</v>
      </c>
      <c r="D3917" t="s">
        <v>67</v>
      </c>
      <c r="E3917" t="str">
        <f t="shared" si="201"/>
        <v>017</v>
      </c>
      <c r="F3917" t="s">
        <v>3808</v>
      </c>
      <c r="G3917" t="str">
        <f>"2067"</f>
        <v>2067</v>
      </c>
      <c r="H3917" t="str">
        <f>"0001"</f>
        <v>0001</v>
      </c>
      <c r="I3917" t="s">
        <v>75</v>
      </c>
      <c r="J3917">
        <v>0</v>
      </c>
      <c r="K3917">
        <v>1</v>
      </c>
      <c r="L3917">
        <v>2</v>
      </c>
      <c r="M3917">
        <v>341</v>
      </c>
      <c r="N3917">
        <v>163</v>
      </c>
      <c r="O3917">
        <v>1</v>
      </c>
      <c r="P3917" t="s">
        <v>80</v>
      </c>
      <c r="Q3917">
        <v>7</v>
      </c>
      <c r="R3917">
        <v>53</v>
      </c>
      <c r="S3917">
        <v>2</v>
      </c>
      <c r="T3917">
        <v>1</v>
      </c>
      <c r="U3917">
        <v>6</v>
      </c>
      <c r="V3917">
        <v>1</v>
      </c>
      <c r="W3917">
        <v>0</v>
      </c>
      <c r="X3917">
        <v>74</v>
      </c>
      <c r="Y3917">
        <v>1</v>
      </c>
      <c r="Z3917">
        <v>1</v>
      </c>
      <c r="AA3917">
        <v>5</v>
      </c>
      <c r="AB3917">
        <v>2</v>
      </c>
      <c r="AD3917">
        <v>0</v>
      </c>
      <c r="AE3917">
        <v>1</v>
      </c>
      <c r="AF3917">
        <v>0</v>
      </c>
      <c r="AG3917">
        <v>0</v>
      </c>
      <c r="AH3917">
        <v>1</v>
      </c>
      <c r="AI3917">
        <v>0</v>
      </c>
      <c r="AJ3917">
        <v>8</v>
      </c>
      <c r="AK3917">
        <v>163</v>
      </c>
      <c r="AL3917">
        <v>163</v>
      </c>
      <c r="AM3917">
        <v>459</v>
      </c>
      <c r="AN3917">
        <v>44</v>
      </c>
      <c r="AP3917">
        <v>1</v>
      </c>
      <c r="AR3917" t="s">
        <v>4015</v>
      </c>
      <c r="AS3917" s="1">
        <v>44353.986111111109</v>
      </c>
      <c r="AT3917" s="1">
        <v>44353.988622685189</v>
      </c>
      <c r="AU3917" s="1">
        <v>44353.989305555559</v>
      </c>
      <c r="AV3917" t="s">
        <v>71</v>
      </c>
      <c r="AW3917" t="s">
        <v>72</v>
      </c>
      <c r="AX3917" t="s">
        <v>73</v>
      </c>
    </row>
    <row r="3918" spans="1:50" x14ac:dyDescent="0.3">
      <c r="A3918" t="str">
        <f>"202068B0000"</f>
        <v>202068B0000</v>
      </c>
      <c r="B3918" t="str">
        <f>"202068B00002"</f>
        <v>202068B00002</v>
      </c>
      <c r="C3918" t="str">
        <f t="shared" si="202"/>
        <v>20</v>
      </c>
      <c r="D3918" t="s">
        <v>67</v>
      </c>
      <c r="E3918" t="str">
        <f t="shared" si="201"/>
        <v>017</v>
      </c>
      <c r="F3918" t="s">
        <v>3808</v>
      </c>
      <c r="G3918" t="str">
        <f>"2068"</f>
        <v>2068</v>
      </c>
      <c r="H3918" t="str">
        <f>"0000"</f>
        <v>0000</v>
      </c>
      <c r="I3918" t="s">
        <v>69</v>
      </c>
      <c r="J3918">
        <v>0</v>
      </c>
      <c r="K3918">
        <v>1</v>
      </c>
      <c r="L3918">
        <v>2</v>
      </c>
      <c r="M3918">
        <v>447</v>
      </c>
      <c r="N3918">
        <v>95</v>
      </c>
      <c r="O3918">
        <v>0</v>
      </c>
      <c r="P3918">
        <v>95</v>
      </c>
      <c r="Q3918">
        <v>6</v>
      </c>
      <c r="R3918">
        <v>2</v>
      </c>
      <c r="S3918">
        <v>9</v>
      </c>
      <c r="T3918">
        <v>2</v>
      </c>
      <c r="U3918">
        <v>30</v>
      </c>
      <c r="V3918">
        <v>0</v>
      </c>
      <c r="W3918">
        <v>4</v>
      </c>
      <c r="X3918">
        <v>37</v>
      </c>
      <c r="Y3918">
        <v>0</v>
      </c>
      <c r="Z3918">
        <v>1</v>
      </c>
      <c r="AA3918">
        <v>0</v>
      </c>
      <c r="AB3918">
        <v>1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3</v>
      </c>
      <c r="AK3918">
        <v>95</v>
      </c>
      <c r="AL3918">
        <v>95</v>
      </c>
      <c r="AM3918">
        <v>498</v>
      </c>
      <c r="AN3918">
        <v>44</v>
      </c>
      <c r="AP3918">
        <v>1</v>
      </c>
      <c r="AR3918" t="s">
        <v>4016</v>
      </c>
      <c r="AS3918" s="1">
        <v>44354.009722222225</v>
      </c>
      <c r="AT3918" s="1">
        <v>44354.015798611108</v>
      </c>
      <c r="AU3918" s="1">
        <v>44354.016331018516</v>
      </c>
      <c r="AV3918" t="s">
        <v>71</v>
      </c>
      <c r="AW3918" t="s">
        <v>72</v>
      </c>
      <c r="AX3918" t="s">
        <v>73</v>
      </c>
    </row>
    <row r="3919" spans="1:50" x14ac:dyDescent="0.3">
      <c r="A3919" t="str">
        <f>"202068C0100"</f>
        <v>202068C0100</v>
      </c>
      <c r="B3919" t="str">
        <f>"202068C01002"</f>
        <v>202068C01002</v>
      </c>
      <c r="C3919" t="str">
        <f t="shared" si="202"/>
        <v>20</v>
      </c>
      <c r="D3919" t="s">
        <v>67</v>
      </c>
      <c r="E3919" t="str">
        <f t="shared" si="201"/>
        <v>017</v>
      </c>
      <c r="F3919" t="s">
        <v>3808</v>
      </c>
      <c r="G3919" t="str">
        <f>"2068"</f>
        <v>2068</v>
      </c>
      <c r="H3919" t="str">
        <f>"0001"</f>
        <v>0001</v>
      </c>
      <c r="I3919" t="s">
        <v>75</v>
      </c>
      <c r="J3919">
        <v>0</v>
      </c>
      <c r="K3919">
        <v>1</v>
      </c>
      <c r="L3919">
        <v>2</v>
      </c>
      <c r="M3919">
        <v>416</v>
      </c>
      <c r="N3919">
        <v>126</v>
      </c>
      <c r="O3919">
        <v>0</v>
      </c>
      <c r="P3919">
        <v>126</v>
      </c>
      <c r="Q3919">
        <v>5</v>
      </c>
      <c r="R3919">
        <v>14</v>
      </c>
      <c r="S3919">
        <v>9</v>
      </c>
      <c r="T3919">
        <v>3</v>
      </c>
      <c r="U3919">
        <v>39</v>
      </c>
      <c r="V3919">
        <v>3</v>
      </c>
      <c r="W3919">
        <v>11</v>
      </c>
      <c r="X3919">
        <v>32</v>
      </c>
      <c r="Y3919">
        <v>1</v>
      </c>
      <c r="Z3919">
        <v>2</v>
      </c>
      <c r="AA3919">
        <v>0</v>
      </c>
      <c r="AB3919">
        <v>3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4</v>
      </c>
      <c r="AK3919">
        <v>126</v>
      </c>
      <c r="AL3919">
        <v>126</v>
      </c>
      <c r="AM3919">
        <v>498</v>
      </c>
      <c r="AN3919">
        <v>44</v>
      </c>
      <c r="AP3919">
        <v>1</v>
      </c>
      <c r="AR3919" t="s">
        <v>4017</v>
      </c>
      <c r="AS3919" s="1">
        <v>44354.009027777778</v>
      </c>
      <c r="AT3919" s="1">
        <v>44354.014756944445</v>
      </c>
      <c r="AU3919" s="1">
        <v>44354.015092592592</v>
      </c>
      <c r="AV3919" t="s">
        <v>71</v>
      </c>
      <c r="AW3919" t="s">
        <v>72</v>
      </c>
      <c r="AX3919" t="s">
        <v>73</v>
      </c>
    </row>
    <row r="3920" spans="1:50" x14ac:dyDescent="0.3">
      <c r="A3920" t="str">
        <f>"202068E0100"</f>
        <v>202068E0100</v>
      </c>
      <c r="B3920" t="str">
        <f>"202068E01002"</f>
        <v>202068E01002</v>
      </c>
      <c r="C3920" t="str">
        <f t="shared" si="202"/>
        <v>20</v>
      </c>
      <c r="D3920" t="s">
        <v>67</v>
      </c>
      <c r="E3920" t="str">
        <f t="shared" si="201"/>
        <v>017</v>
      </c>
      <c r="F3920" t="s">
        <v>3808</v>
      </c>
      <c r="G3920" t="str">
        <f>"2068"</f>
        <v>2068</v>
      </c>
      <c r="H3920" t="str">
        <f>"0001"</f>
        <v>0001</v>
      </c>
      <c r="I3920" t="s">
        <v>109</v>
      </c>
      <c r="J3920">
        <v>0</v>
      </c>
      <c r="K3920">
        <v>1</v>
      </c>
      <c r="L3920">
        <v>2</v>
      </c>
      <c r="M3920">
        <v>273</v>
      </c>
      <c r="N3920">
        <v>100</v>
      </c>
      <c r="O3920">
        <v>0</v>
      </c>
      <c r="P3920">
        <v>100</v>
      </c>
      <c r="Q3920">
        <v>1</v>
      </c>
      <c r="R3920">
        <v>17</v>
      </c>
      <c r="S3920">
        <v>8</v>
      </c>
      <c r="T3920">
        <v>2</v>
      </c>
      <c r="U3920">
        <v>31</v>
      </c>
      <c r="V3920">
        <v>1</v>
      </c>
      <c r="W3920">
        <v>4</v>
      </c>
      <c r="X3920">
        <v>28</v>
      </c>
      <c r="Y3920">
        <v>1</v>
      </c>
      <c r="Z3920">
        <v>2</v>
      </c>
      <c r="AA3920">
        <v>0</v>
      </c>
      <c r="AB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5</v>
      </c>
      <c r="AK3920">
        <v>100</v>
      </c>
      <c r="AL3920">
        <v>100</v>
      </c>
      <c r="AM3920">
        <v>329</v>
      </c>
      <c r="AN3920">
        <v>44</v>
      </c>
      <c r="AP3920">
        <v>1</v>
      </c>
      <c r="AR3920" t="s">
        <v>4018</v>
      </c>
      <c r="AS3920" s="1">
        <v>44354.011805555558</v>
      </c>
      <c r="AT3920" s="1">
        <v>44354.018969907411</v>
      </c>
      <c r="AU3920" s="1">
        <v>44354.019594907404</v>
      </c>
      <c r="AV3920" t="s">
        <v>71</v>
      </c>
      <c r="AW3920" t="s">
        <v>72</v>
      </c>
      <c r="AX3920" t="s">
        <v>73</v>
      </c>
    </row>
    <row r="3921" spans="1:50" x14ac:dyDescent="0.3">
      <c r="A3921" t="str">
        <f>"202069B0000"</f>
        <v>202069B0000</v>
      </c>
      <c r="B3921" t="str">
        <f>"202069B00002"</f>
        <v>202069B00002</v>
      </c>
      <c r="C3921" t="str">
        <f t="shared" si="202"/>
        <v>20</v>
      </c>
      <c r="D3921" t="s">
        <v>67</v>
      </c>
      <c r="E3921" t="str">
        <f t="shared" si="201"/>
        <v>017</v>
      </c>
      <c r="F3921" t="s">
        <v>3808</v>
      </c>
      <c r="G3921" t="str">
        <f>"2069"</f>
        <v>2069</v>
      </c>
      <c r="H3921" t="str">
        <f>"0000"</f>
        <v>0000</v>
      </c>
      <c r="I3921" t="s">
        <v>69</v>
      </c>
      <c r="J3921">
        <v>0</v>
      </c>
      <c r="K3921">
        <v>1</v>
      </c>
      <c r="L3921">
        <v>2</v>
      </c>
      <c r="M3921">
        <v>579</v>
      </c>
      <c r="N3921">
        <v>198</v>
      </c>
      <c r="O3921">
        <v>0</v>
      </c>
      <c r="P3921">
        <v>198</v>
      </c>
      <c r="Q3921">
        <v>8</v>
      </c>
      <c r="R3921">
        <v>23</v>
      </c>
      <c r="S3921">
        <v>6</v>
      </c>
      <c r="T3921">
        <v>8</v>
      </c>
      <c r="U3921">
        <v>37</v>
      </c>
      <c r="V3921">
        <v>4</v>
      </c>
      <c r="W3921">
        <v>22</v>
      </c>
      <c r="X3921">
        <v>71</v>
      </c>
      <c r="Y3921">
        <v>2</v>
      </c>
      <c r="Z3921">
        <v>2</v>
      </c>
      <c r="AA3921">
        <v>3</v>
      </c>
      <c r="AB3921">
        <v>1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11</v>
      </c>
      <c r="AK3921">
        <v>198</v>
      </c>
      <c r="AL3921">
        <v>198</v>
      </c>
      <c r="AM3921">
        <v>733</v>
      </c>
      <c r="AN3921">
        <v>44</v>
      </c>
      <c r="AP3921">
        <v>1</v>
      </c>
      <c r="AR3921" t="s">
        <v>4019</v>
      </c>
      <c r="AS3921" s="1">
        <v>44354.021527777775</v>
      </c>
      <c r="AT3921" s="1">
        <v>44354.029942129629</v>
      </c>
      <c r="AU3921" s="1">
        <v>44354.030462962961</v>
      </c>
      <c r="AV3921" t="s">
        <v>71</v>
      </c>
      <c r="AW3921" t="s">
        <v>72</v>
      </c>
      <c r="AX3921" t="s">
        <v>73</v>
      </c>
    </row>
    <row r="3922" spans="1:50" x14ac:dyDescent="0.3">
      <c r="A3922" t="str">
        <f>"202069C0100"</f>
        <v>202069C0100</v>
      </c>
      <c r="B3922" t="str">
        <f>"202069C01002"</f>
        <v>202069C01002</v>
      </c>
      <c r="C3922" t="str">
        <f t="shared" si="202"/>
        <v>20</v>
      </c>
      <c r="D3922" t="s">
        <v>67</v>
      </c>
      <c r="E3922" t="str">
        <f t="shared" si="201"/>
        <v>017</v>
      </c>
      <c r="F3922" t="s">
        <v>3808</v>
      </c>
      <c r="G3922" t="str">
        <f>"2069"</f>
        <v>2069</v>
      </c>
      <c r="H3922" t="str">
        <f>"0001"</f>
        <v>0001</v>
      </c>
      <c r="I3922" t="s">
        <v>75</v>
      </c>
      <c r="J3922">
        <v>0</v>
      </c>
      <c r="K3922">
        <v>1</v>
      </c>
      <c r="L3922">
        <v>2</v>
      </c>
      <c r="M3922">
        <v>581</v>
      </c>
      <c r="N3922">
        <v>196</v>
      </c>
      <c r="O3922">
        <v>0</v>
      </c>
      <c r="P3922">
        <v>196</v>
      </c>
      <c r="Q3922">
        <v>5</v>
      </c>
      <c r="R3922">
        <v>15</v>
      </c>
      <c r="S3922">
        <v>9</v>
      </c>
      <c r="T3922">
        <v>4</v>
      </c>
      <c r="U3922">
        <v>27</v>
      </c>
      <c r="V3922">
        <v>1</v>
      </c>
      <c r="W3922">
        <v>36</v>
      </c>
      <c r="X3922">
        <v>83</v>
      </c>
      <c r="Y3922">
        <v>1</v>
      </c>
      <c r="Z3922">
        <v>5</v>
      </c>
      <c r="AA3922">
        <v>2</v>
      </c>
      <c r="AB3922">
        <v>2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6</v>
      </c>
      <c r="AK3922">
        <v>196</v>
      </c>
      <c r="AL3922">
        <v>196</v>
      </c>
      <c r="AM3922">
        <v>733</v>
      </c>
      <c r="AN3922">
        <v>44</v>
      </c>
      <c r="AP3922">
        <v>1</v>
      </c>
      <c r="AR3922" t="s">
        <v>4020</v>
      </c>
      <c r="AS3922" s="1">
        <v>44354.022916666669</v>
      </c>
      <c r="AT3922" s="1">
        <v>44354.032164351855</v>
      </c>
      <c r="AU3922" s="1">
        <v>44354.03324074074</v>
      </c>
      <c r="AV3922" t="s">
        <v>71</v>
      </c>
      <c r="AW3922" t="s">
        <v>72</v>
      </c>
      <c r="AX3922" t="s">
        <v>73</v>
      </c>
    </row>
    <row r="3923" spans="1:50" x14ac:dyDescent="0.3">
      <c r="A3923" t="str">
        <f>"202069C0200"</f>
        <v>202069C0200</v>
      </c>
      <c r="B3923" t="str">
        <f>"202069C02002"</f>
        <v>202069C02002</v>
      </c>
      <c r="C3923" t="str">
        <f t="shared" si="202"/>
        <v>20</v>
      </c>
      <c r="D3923" t="s">
        <v>67</v>
      </c>
      <c r="E3923" t="str">
        <f t="shared" si="201"/>
        <v>017</v>
      </c>
      <c r="F3923" t="s">
        <v>3808</v>
      </c>
      <c r="G3923" t="str">
        <f>"2069"</f>
        <v>2069</v>
      </c>
      <c r="H3923" t="str">
        <f>"0002"</f>
        <v>0002</v>
      </c>
      <c r="I3923" t="s">
        <v>75</v>
      </c>
      <c r="J3923">
        <v>0</v>
      </c>
      <c r="K3923">
        <v>1</v>
      </c>
      <c r="L3923">
        <v>2</v>
      </c>
      <c r="M3923">
        <v>577</v>
      </c>
      <c r="N3923">
        <v>200</v>
      </c>
      <c r="O3923">
        <v>1</v>
      </c>
      <c r="P3923">
        <v>200</v>
      </c>
      <c r="Q3923">
        <v>11</v>
      </c>
      <c r="R3923">
        <v>17</v>
      </c>
      <c r="S3923">
        <v>11</v>
      </c>
      <c r="T3923">
        <v>1</v>
      </c>
      <c r="U3923">
        <v>31</v>
      </c>
      <c r="V3923">
        <v>1</v>
      </c>
      <c r="W3923">
        <v>23</v>
      </c>
      <c r="X3923">
        <v>89</v>
      </c>
      <c r="Y3923">
        <v>1</v>
      </c>
      <c r="Z3923">
        <v>4</v>
      </c>
      <c r="AA3923">
        <v>3</v>
      </c>
      <c r="AB3923">
        <v>1</v>
      </c>
      <c r="AD3923">
        <v>1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6</v>
      </c>
      <c r="AK3923">
        <v>200</v>
      </c>
      <c r="AL3923">
        <v>200</v>
      </c>
      <c r="AM3923">
        <v>733</v>
      </c>
      <c r="AN3923">
        <v>44</v>
      </c>
      <c r="AP3923">
        <v>1</v>
      </c>
      <c r="AR3923" t="s">
        <v>4021</v>
      </c>
      <c r="AS3923" s="1">
        <v>44354.025694444441</v>
      </c>
      <c r="AT3923" s="1">
        <v>44354.032199074078</v>
      </c>
      <c r="AU3923" s="1">
        <v>44354.032754629632</v>
      </c>
      <c r="AV3923" t="s">
        <v>71</v>
      </c>
      <c r="AW3923" t="s">
        <v>72</v>
      </c>
      <c r="AX3923" t="s">
        <v>73</v>
      </c>
    </row>
    <row r="3924" spans="1:50" x14ac:dyDescent="0.3">
      <c r="A3924" t="str">
        <f>"202069C0300"</f>
        <v>202069C0300</v>
      </c>
      <c r="B3924" t="str">
        <f>"202069C03002"</f>
        <v>202069C03002</v>
      </c>
      <c r="C3924" t="str">
        <f t="shared" si="202"/>
        <v>20</v>
      </c>
      <c r="D3924" t="s">
        <v>67</v>
      </c>
      <c r="E3924" t="str">
        <f t="shared" si="201"/>
        <v>017</v>
      </c>
      <c r="F3924" t="s">
        <v>3808</v>
      </c>
      <c r="G3924" t="str">
        <f>"2069"</f>
        <v>2069</v>
      </c>
      <c r="H3924" t="str">
        <f>"0003"</f>
        <v>0003</v>
      </c>
      <c r="I3924" t="s">
        <v>75</v>
      </c>
      <c r="J3924">
        <v>0</v>
      </c>
      <c r="K3924">
        <v>1</v>
      </c>
      <c r="L3924">
        <v>2</v>
      </c>
      <c r="M3924">
        <v>605</v>
      </c>
      <c r="N3924">
        <v>172</v>
      </c>
      <c r="O3924">
        <v>1</v>
      </c>
      <c r="P3924">
        <v>172</v>
      </c>
      <c r="Q3924">
        <v>12</v>
      </c>
      <c r="R3924">
        <v>21</v>
      </c>
      <c r="S3924">
        <v>6</v>
      </c>
      <c r="T3924">
        <v>5</v>
      </c>
      <c r="U3924">
        <v>21</v>
      </c>
      <c r="V3924">
        <v>1</v>
      </c>
      <c r="W3924">
        <v>12</v>
      </c>
      <c r="X3924">
        <v>73</v>
      </c>
      <c r="Y3924">
        <v>0</v>
      </c>
      <c r="Z3924">
        <v>7</v>
      </c>
      <c r="AA3924">
        <v>6</v>
      </c>
      <c r="AB3924">
        <v>0</v>
      </c>
      <c r="AD3924">
        <v>0</v>
      </c>
      <c r="AE3924">
        <v>1</v>
      </c>
      <c r="AF3924">
        <v>0</v>
      </c>
      <c r="AG3924">
        <v>0</v>
      </c>
      <c r="AH3924">
        <v>0</v>
      </c>
      <c r="AI3924">
        <v>0</v>
      </c>
      <c r="AJ3924">
        <v>7</v>
      </c>
      <c r="AK3924">
        <v>172</v>
      </c>
      <c r="AL3924">
        <v>172</v>
      </c>
      <c r="AM3924">
        <v>733</v>
      </c>
      <c r="AN3924">
        <v>44</v>
      </c>
      <c r="AP3924">
        <v>1</v>
      </c>
      <c r="AR3924" t="s">
        <v>4022</v>
      </c>
      <c r="AS3924" s="1">
        <v>44354.027777777781</v>
      </c>
      <c r="AT3924" s="1">
        <v>44354.036307870374</v>
      </c>
      <c r="AU3924" s="1">
        <v>44354.036874999998</v>
      </c>
      <c r="AV3924" t="s">
        <v>71</v>
      </c>
      <c r="AW3924" t="s">
        <v>72</v>
      </c>
      <c r="AX3924" t="s">
        <v>73</v>
      </c>
    </row>
    <row r="3925" spans="1:50" x14ac:dyDescent="0.3">
      <c r="A3925" t="str">
        <f>"202069C0400"</f>
        <v>202069C0400</v>
      </c>
      <c r="B3925" t="str">
        <f>"202069C04002"</f>
        <v>202069C04002</v>
      </c>
      <c r="C3925" t="str">
        <f t="shared" si="202"/>
        <v>20</v>
      </c>
      <c r="D3925" t="s">
        <v>67</v>
      </c>
      <c r="E3925" t="str">
        <f t="shared" si="201"/>
        <v>017</v>
      </c>
      <c r="F3925" t="s">
        <v>3808</v>
      </c>
      <c r="G3925" t="str">
        <f>"2069"</f>
        <v>2069</v>
      </c>
      <c r="H3925" t="str">
        <f>"0004"</f>
        <v>0004</v>
      </c>
      <c r="I3925" t="s">
        <v>75</v>
      </c>
      <c r="J3925">
        <v>0</v>
      </c>
      <c r="K3925">
        <v>1</v>
      </c>
      <c r="L3925">
        <v>2</v>
      </c>
      <c r="M3925">
        <v>585</v>
      </c>
      <c r="N3925">
        <v>191</v>
      </c>
      <c r="O3925">
        <v>0</v>
      </c>
      <c r="P3925">
        <v>191</v>
      </c>
      <c r="Q3925">
        <v>8</v>
      </c>
      <c r="R3925">
        <v>34</v>
      </c>
      <c r="S3925">
        <v>8</v>
      </c>
      <c r="T3925">
        <v>5</v>
      </c>
      <c r="U3925">
        <v>22</v>
      </c>
      <c r="V3925">
        <v>0</v>
      </c>
      <c r="W3925">
        <v>25</v>
      </c>
      <c r="X3925">
        <v>72</v>
      </c>
      <c r="Y3925">
        <v>0</v>
      </c>
      <c r="Z3925">
        <v>3</v>
      </c>
      <c r="AA3925">
        <v>3</v>
      </c>
      <c r="AB3925">
        <v>2</v>
      </c>
      <c r="AD3925">
        <v>1</v>
      </c>
      <c r="AE3925">
        <v>0</v>
      </c>
      <c r="AF3925">
        <v>0</v>
      </c>
      <c r="AG3925">
        <v>0</v>
      </c>
      <c r="AH3925">
        <v>1</v>
      </c>
      <c r="AI3925">
        <v>0</v>
      </c>
      <c r="AJ3925">
        <v>7</v>
      </c>
      <c r="AK3925">
        <v>191</v>
      </c>
      <c r="AL3925">
        <v>191</v>
      </c>
      <c r="AM3925">
        <v>732</v>
      </c>
      <c r="AN3925">
        <v>44</v>
      </c>
      <c r="AP3925">
        <v>1</v>
      </c>
      <c r="AR3925" t="s">
        <v>4023</v>
      </c>
      <c r="AS3925" s="1">
        <v>44354.029166666667</v>
      </c>
      <c r="AT3925" s="1">
        <v>44354.038032407407</v>
      </c>
      <c r="AU3925" s="1">
        <v>44354.038912037038</v>
      </c>
      <c r="AV3925" t="s">
        <v>71</v>
      </c>
      <c r="AW3925" t="s">
        <v>72</v>
      </c>
      <c r="AX3925" t="s">
        <v>73</v>
      </c>
    </row>
    <row r="3926" spans="1:50" x14ac:dyDescent="0.3">
      <c r="A3926" t="str">
        <f>"202172B0000"</f>
        <v>202172B0000</v>
      </c>
      <c r="B3926" t="str">
        <f>"202172B00002"</f>
        <v>202172B00002</v>
      </c>
      <c r="C3926" t="str">
        <f t="shared" si="202"/>
        <v>20</v>
      </c>
      <c r="D3926" t="s">
        <v>67</v>
      </c>
      <c r="E3926" t="str">
        <f t="shared" si="201"/>
        <v>017</v>
      </c>
      <c r="F3926" t="s">
        <v>3808</v>
      </c>
      <c r="G3926" t="str">
        <f>"2172"</f>
        <v>2172</v>
      </c>
      <c r="H3926" t="str">
        <f>"0000"</f>
        <v>0000</v>
      </c>
      <c r="I3926" t="s">
        <v>69</v>
      </c>
      <c r="J3926">
        <v>0</v>
      </c>
      <c r="K3926">
        <v>1</v>
      </c>
      <c r="L3926">
        <v>2</v>
      </c>
      <c r="M3926">
        <v>295</v>
      </c>
      <c r="N3926">
        <v>362</v>
      </c>
      <c r="O3926">
        <v>0</v>
      </c>
      <c r="P3926">
        <v>362</v>
      </c>
      <c r="Q3926">
        <v>8</v>
      </c>
      <c r="R3926">
        <v>21</v>
      </c>
      <c r="S3926">
        <v>9</v>
      </c>
      <c r="T3926">
        <v>6</v>
      </c>
      <c r="U3926">
        <v>15</v>
      </c>
      <c r="V3926">
        <v>4</v>
      </c>
      <c r="W3926">
        <v>3</v>
      </c>
      <c r="X3926">
        <v>278</v>
      </c>
      <c r="Y3926">
        <v>2</v>
      </c>
      <c r="Z3926">
        <v>4</v>
      </c>
      <c r="AA3926">
        <v>6</v>
      </c>
      <c r="AB3926">
        <v>1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5</v>
      </c>
      <c r="AK3926">
        <v>362</v>
      </c>
      <c r="AL3926">
        <v>362</v>
      </c>
      <c r="AM3926">
        <v>613</v>
      </c>
      <c r="AN3926">
        <v>44</v>
      </c>
      <c r="AP3926">
        <v>1</v>
      </c>
      <c r="AR3926" t="s">
        <v>4024</v>
      </c>
      <c r="AS3926" s="1">
        <v>44354.102083333331</v>
      </c>
      <c r="AT3926" s="1">
        <v>44354.103888888887</v>
      </c>
      <c r="AU3926" s="1">
        <v>44354.104548611111</v>
      </c>
      <c r="AV3926" t="s">
        <v>71</v>
      </c>
      <c r="AW3926" t="s">
        <v>72</v>
      </c>
      <c r="AX3926" t="s">
        <v>73</v>
      </c>
    </row>
    <row r="3927" spans="1:50" x14ac:dyDescent="0.3">
      <c r="A3927" t="str">
        <f>"202352B0000"</f>
        <v>202352B0000</v>
      </c>
      <c r="B3927" t="str">
        <f>"202352B00002"</f>
        <v>202352B00002</v>
      </c>
      <c r="C3927" t="str">
        <f t="shared" si="202"/>
        <v>20</v>
      </c>
      <c r="D3927" t="s">
        <v>67</v>
      </c>
      <c r="E3927" t="str">
        <f t="shared" si="201"/>
        <v>017</v>
      </c>
      <c r="F3927" t="s">
        <v>3808</v>
      </c>
      <c r="G3927" t="str">
        <f t="shared" ref="G3927:G3935" si="203">"2352"</f>
        <v>2352</v>
      </c>
      <c r="H3927" t="str">
        <f>"0000"</f>
        <v>0000</v>
      </c>
      <c r="I3927" t="s">
        <v>69</v>
      </c>
      <c r="J3927">
        <v>0</v>
      </c>
      <c r="K3927">
        <v>1</v>
      </c>
      <c r="L3927">
        <v>2</v>
      </c>
      <c r="M3927">
        <v>333</v>
      </c>
      <c r="N3927">
        <v>357</v>
      </c>
      <c r="O3927">
        <v>6</v>
      </c>
      <c r="P3927">
        <v>357</v>
      </c>
      <c r="Q3927">
        <v>11</v>
      </c>
      <c r="R3927">
        <v>56</v>
      </c>
      <c r="S3927">
        <v>2</v>
      </c>
      <c r="T3927">
        <v>2</v>
      </c>
      <c r="U3927">
        <v>106</v>
      </c>
      <c r="V3927">
        <v>16</v>
      </c>
      <c r="W3927">
        <v>11</v>
      </c>
      <c r="X3927">
        <v>124</v>
      </c>
      <c r="Y3927">
        <v>1</v>
      </c>
      <c r="Z3927">
        <v>1</v>
      </c>
      <c r="AA3927">
        <v>2</v>
      </c>
      <c r="AB3927">
        <v>11</v>
      </c>
      <c r="AD3927">
        <v>0</v>
      </c>
      <c r="AE3927">
        <v>2</v>
      </c>
      <c r="AF3927">
        <v>1</v>
      </c>
      <c r="AG3927">
        <v>0</v>
      </c>
      <c r="AH3927">
        <v>1</v>
      </c>
      <c r="AI3927">
        <v>0</v>
      </c>
      <c r="AJ3927">
        <v>10</v>
      </c>
      <c r="AK3927">
        <v>357</v>
      </c>
      <c r="AL3927">
        <v>357</v>
      </c>
      <c r="AM3927">
        <v>646</v>
      </c>
      <c r="AN3927">
        <v>44</v>
      </c>
      <c r="AP3927">
        <v>1</v>
      </c>
      <c r="AR3927" t="s">
        <v>4025</v>
      </c>
      <c r="AS3927" s="1">
        <v>44354.111805555556</v>
      </c>
      <c r="AT3927" s="1">
        <v>44354.115682870368</v>
      </c>
      <c r="AU3927" s="1">
        <v>44354.116527777776</v>
      </c>
      <c r="AV3927" t="s">
        <v>71</v>
      </c>
      <c r="AW3927" t="s">
        <v>72</v>
      </c>
      <c r="AX3927" t="s">
        <v>73</v>
      </c>
    </row>
    <row r="3928" spans="1:50" x14ac:dyDescent="0.3">
      <c r="A3928" t="str">
        <f>"202352C0100"</f>
        <v>202352C0100</v>
      </c>
      <c r="B3928" t="str">
        <f>"202352C01002"</f>
        <v>202352C01002</v>
      </c>
      <c r="C3928" t="str">
        <f t="shared" si="202"/>
        <v>20</v>
      </c>
      <c r="D3928" t="s">
        <v>67</v>
      </c>
      <c r="E3928" t="str">
        <f t="shared" si="201"/>
        <v>017</v>
      </c>
      <c r="F3928" t="s">
        <v>3808</v>
      </c>
      <c r="G3928" t="str">
        <f t="shared" si="203"/>
        <v>2352</v>
      </c>
      <c r="H3928" t="str">
        <f>"0001"</f>
        <v>0001</v>
      </c>
      <c r="I3928" t="s">
        <v>75</v>
      </c>
      <c r="J3928">
        <v>0</v>
      </c>
      <c r="K3928">
        <v>1</v>
      </c>
      <c r="L3928">
        <v>2</v>
      </c>
      <c r="M3928">
        <v>330</v>
      </c>
      <c r="N3928">
        <v>358</v>
      </c>
      <c r="O3928">
        <v>8</v>
      </c>
      <c r="P3928">
        <v>360</v>
      </c>
      <c r="Q3928">
        <v>23</v>
      </c>
      <c r="R3928">
        <v>38</v>
      </c>
      <c r="S3928">
        <v>5</v>
      </c>
      <c r="T3928">
        <v>2</v>
      </c>
      <c r="U3928">
        <v>101</v>
      </c>
      <c r="V3928">
        <v>14</v>
      </c>
      <c r="W3928">
        <v>9</v>
      </c>
      <c r="X3928">
        <v>146</v>
      </c>
      <c r="Y3928">
        <v>2</v>
      </c>
      <c r="Z3928">
        <v>0</v>
      </c>
      <c r="AA3928">
        <v>1</v>
      </c>
      <c r="AB3928">
        <v>8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11</v>
      </c>
      <c r="AK3928">
        <v>360</v>
      </c>
      <c r="AL3928">
        <v>360</v>
      </c>
      <c r="AM3928">
        <v>646</v>
      </c>
      <c r="AN3928">
        <v>44</v>
      </c>
      <c r="AP3928">
        <v>1</v>
      </c>
      <c r="AR3928" t="s">
        <v>4026</v>
      </c>
      <c r="AS3928" s="1">
        <v>44354.386111111111</v>
      </c>
      <c r="AT3928" s="1">
        <v>44354.389305555553</v>
      </c>
      <c r="AU3928" s="1">
        <v>44354.389872685184</v>
      </c>
      <c r="AV3928" t="s">
        <v>71</v>
      </c>
      <c r="AW3928" t="s">
        <v>72</v>
      </c>
      <c r="AX3928" t="s">
        <v>73</v>
      </c>
    </row>
    <row r="3929" spans="1:50" x14ac:dyDescent="0.3">
      <c r="A3929" t="str">
        <f>"202352C0200"</f>
        <v>202352C0200</v>
      </c>
      <c r="B3929" t="str">
        <f>"202352C02002"</f>
        <v>202352C02002</v>
      </c>
      <c r="C3929" t="str">
        <f t="shared" si="202"/>
        <v>20</v>
      </c>
      <c r="D3929" t="s">
        <v>67</v>
      </c>
      <c r="E3929" t="str">
        <f t="shared" si="201"/>
        <v>017</v>
      </c>
      <c r="F3929" t="s">
        <v>3808</v>
      </c>
      <c r="G3929" t="str">
        <f t="shared" si="203"/>
        <v>2352</v>
      </c>
      <c r="H3929" t="str">
        <f>"0002"</f>
        <v>0002</v>
      </c>
      <c r="I3929" t="s">
        <v>75</v>
      </c>
      <c r="J3929">
        <v>0</v>
      </c>
      <c r="K3929">
        <v>1</v>
      </c>
      <c r="L3929">
        <v>2</v>
      </c>
      <c r="M3929" t="s">
        <v>80</v>
      </c>
      <c r="N3929">
        <v>342</v>
      </c>
      <c r="O3929">
        <v>6</v>
      </c>
      <c r="P3929" t="s">
        <v>80</v>
      </c>
      <c r="Q3929">
        <v>7</v>
      </c>
      <c r="R3929">
        <v>43</v>
      </c>
      <c r="S3929">
        <v>4</v>
      </c>
      <c r="T3929">
        <v>3</v>
      </c>
      <c r="U3929">
        <v>102</v>
      </c>
      <c r="V3929">
        <v>10</v>
      </c>
      <c r="W3929">
        <v>8</v>
      </c>
      <c r="X3929">
        <v>136</v>
      </c>
      <c r="Y3929">
        <v>5</v>
      </c>
      <c r="Z3929">
        <v>1</v>
      </c>
      <c r="AA3929">
        <v>1</v>
      </c>
      <c r="AB3929">
        <v>6</v>
      </c>
      <c r="AD3929">
        <v>1</v>
      </c>
      <c r="AE3929">
        <v>2</v>
      </c>
      <c r="AF3929">
        <v>0</v>
      </c>
      <c r="AG3929">
        <v>0</v>
      </c>
      <c r="AH3929">
        <v>0</v>
      </c>
      <c r="AI3929">
        <v>0</v>
      </c>
      <c r="AJ3929">
        <v>12</v>
      </c>
      <c r="AK3929">
        <v>341</v>
      </c>
      <c r="AL3929">
        <v>341</v>
      </c>
      <c r="AM3929">
        <v>646</v>
      </c>
      <c r="AN3929">
        <v>44</v>
      </c>
      <c r="AP3929">
        <v>1</v>
      </c>
      <c r="AR3929" t="s">
        <v>4027</v>
      </c>
      <c r="AS3929" s="1">
        <v>44353.753472222219</v>
      </c>
      <c r="AT3929" s="1">
        <v>44354.129155092596</v>
      </c>
      <c r="AU3929" s="1">
        <v>44354.129988425928</v>
      </c>
      <c r="AV3929" t="s">
        <v>71</v>
      </c>
      <c r="AW3929" t="s">
        <v>72</v>
      </c>
      <c r="AX3929" t="s">
        <v>73</v>
      </c>
    </row>
    <row r="3930" spans="1:50" x14ac:dyDescent="0.3">
      <c r="A3930" t="str">
        <f>"202352C0300"</f>
        <v>202352C0300</v>
      </c>
      <c r="B3930" t="str">
        <f>"202352C03002"</f>
        <v>202352C03002</v>
      </c>
      <c r="C3930" t="str">
        <f t="shared" si="202"/>
        <v>20</v>
      </c>
      <c r="D3930" t="s">
        <v>67</v>
      </c>
      <c r="E3930" t="str">
        <f t="shared" si="201"/>
        <v>017</v>
      </c>
      <c r="F3930" t="s">
        <v>3808</v>
      </c>
      <c r="G3930" t="str">
        <f t="shared" si="203"/>
        <v>2352</v>
      </c>
      <c r="H3930" t="str">
        <f>"0003"</f>
        <v>0003</v>
      </c>
      <c r="I3930" t="s">
        <v>75</v>
      </c>
      <c r="J3930">
        <v>0</v>
      </c>
      <c r="K3930">
        <v>1</v>
      </c>
      <c r="L3930">
        <v>2</v>
      </c>
      <c r="M3930">
        <v>310</v>
      </c>
      <c r="N3930">
        <v>380</v>
      </c>
      <c r="O3930">
        <v>2</v>
      </c>
      <c r="P3930" t="s">
        <v>80</v>
      </c>
      <c r="Q3930">
        <v>14</v>
      </c>
      <c r="R3930">
        <v>46</v>
      </c>
      <c r="S3930">
        <v>4</v>
      </c>
      <c r="T3930">
        <v>3</v>
      </c>
      <c r="U3930">
        <v>119</v>
      </c>
      <c r="V3930">
        <v>12</v>
      </c>
      <c r="W3930">
        <v>9</v>
      </c>
      <c r="X3930">
        <v>136</v>
      </c>
      <c r="Y3930">
        <v>4</v>
      </c>
      <c r="Z3930">
        <v>4</v>
      </c>
      <c r="AA3930">
        <v>1</v>
      </c>
      <c r="AB3930">
        <v>13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15</v>
      </c>
      <c r="AK3930">
        <v>380</v>
      </c>
      <c r="AL3930">
        <v>380</v>
      </c>
      <c r="AM3930">
        <v>646</v>
      </c>
      <c r="AN3930">
        <v>44</v>
      </c>
      <c r="AP3930">
        <v>1</v>
      </c>
      <c r="AR3930" t="s">
        <v>4028</v>
      </c>
      <c r="AS3930" s="1">
        <v>44354.12222222222</v>
      </c>
      <c r="AT3930" s="1">
        <v>44354.126226851855</v>
      </c>
      <c r="AU3930" s="1">
        <v>44354.126574074071</v>
      </c>
      <c r="AV3930" t="s">
        <v>71</v>
      </c>
      <c r="AW3930" t="s">
        <v>72</v>
      </c>
      <c r="AX3930" t="s">
        <v>73</v>
      </c>
    </row>
    <row r="3931" spans="1:50" x14ac:dyDescent="0.3">
      <c r="A3931" t="str">
        <f>"202352C0400"</f>
        <v>202352C0400</v>
      </c>
      <c r="B3931" t="str">
        <f>"202352C04002"</f>
        <v>202352C04002</v>
      </c>
      <c r="C3931" t="str">
        <f t="shared" si="202"/>
        <v>20</v>
      </c>
      <c r="D3931" t="s">
        <v>67</v>
      </c>
      <c r="E3931" t="str">
        <f t="shared" si="201"/>
        <v>017</v>
      </c>
      <c r="F3931" t="s">
        <v>3808</v>
      </c>
      <c r="G3931" t="str">
        <f t="shared" si="203"/>
        <v>2352</v>
      </c>
      <c r="H3931" t="str">
        <f>"0004"</f>
        <v>0004</v>
      </c>
      <c r="I3931" t="s">
        <v>75</v>
      </c>
      <c r="J3931">
        <v>0</v>
      </c>
      <c r="K3931">
        <v>1</v>
      </c>
      <c r="L3931">
        <v>2</v>
      </c>
      <c r="M3931">
        <v>359</v>
      </c>
      <c r="N3931">
        <v>331</v>
      </c>
      <c r="O3931">
        <v>3</v>
      </c>
      <c r="P3931" t="s">
        <v>80</v>
      </c>
      <c r="Q3931">
        <v>14</v>
      </c>
      <c r="R3931">
        <v>42</v>
      </c>
      <c r="S3931">
        <v>3</v>
      </c>
      <c r="T3931">
        <v>2</v>
      </c>
      <c r="U3931">
        <v>101</v>
      </c>
      <c r="V3931">
        <v>19</v>
      </c>
      <c r="W3931">
        <v>9</v>
      </c>
      <c r="X3931">
        <v>120</v>
      </c>
      <c r="Y3931">
        <v>1</v>
      </c>
      <c r="Z3931">
        <v>2</v>
      </c>
      <c r="AA3931" t="s">
        <v>77</v>
      </c>
      <c r="AB3931">
        <v>8</v>
      </c>
      <c r="AD3931" t="s">
        <v>77</v>
      </c>
      <c r="AE3931" t="s">
        <v>77</v>
      </c>
      <c r="AF3931" t="s">
        <v>77</v>
      </c>
      <c r="AG3931" t="s">
        <v>77</v>
      </c>
      <c r="AH3931" t="s">
        <v>77</v>
      </c>
      <c r="AI3931" t="s">
        <v>77</v>
      </c>
      <c r="AJ3931">
        <v>9</v>
      </c>
      <c r="AK3931">
        <v>331</v>
      </c>
      <c r="AL3931">
        <v>330</v>
      </c>
      <c r="AM3931">
        <v>646</v>
      </c>
      <c r="AN3931">
        <v>44</v>
      </c>
      <c r="AO3931" t="s">
        <v>78</v>
      </c>
      <c r="AP3931">
        <v>1</v>
      </c>
      <c r="AR3931" t="s">
        <v>4029</v>
      </c>
      <c r="AS3931" s="1">
        <v>44354.056944444441</v>
      </c>
      <c r="AT3931" s="1">
        <v>44354.063969907409</v>
      </c>
      <c r="AU3931" s="1">
        <v>44354.065011574072</v>
      </c>
      <c r="AV3931" t="s">
        <v>71</v>
      </c>
      <c r="AW3931" t="s">
        <v>72</v>
      </c>
      <c r="AX3931" t="s">
        <v>73</v>
      </c>
    </row>
    <row r="3932" spans="1:50" x14ac:dyDescent="0.3">
      <c r="A3932" t="str">
        <f>"202352C0500"</f>
        <v>202352C0500</v>
      </c>
      <c r="B3932" t="str">
        <f>"202352C05002"</f>
        <v>202352C05002</v>
      </c>
      <c r="C3932" t="str">
        <f t="shared" si="202"/>
        <v>20</v>
      </c>
      <c r="D3932" t="s">
        <v>67</v>
      </c>
      <c r="E3932" t="str">
        <f t="shared" si="201"/>
        <v>017</v>
      </c>
      <c r="F3932" t="s">
        <v>3808</v>
      </c>
      <c r="G3932" t="str">
        <f t="shared" si="203"/>
        <v>2352</v>
      </c>
      <c r="H3932" t="str">
        <f>"0005"</f>
        <v>0005</v>
      </c>
      <c r="I3932" t="s">
        <v>75</v>
      </c>
      <c r="J3932">
        <v>0</v>
      </c>
      <c r="K3932">
        <v>1</v>
      </c>
      <c r="L3932">
        <v>2</v>
      </c>
      <c r="M3932">
        <v>327</v>
      </c>
      <c r="N3932">
        <v>362</v>
      </c>
      <c r="O3932">
        <v>5</v>
      </c>
      <c r="P3932">
        <v>362</v>
      </c>
      <c r="Q3932">
        <v>9</v>
      </c>
      <c r="R3932">
        <v>39</v>
      </c>
      <c r="S3932">
        <v>8</v>
      </c>
      <c r="T3932">
        <v>4</v>
      </c>
      <c r="U3932">
        <v>108</v>
      </c>
      <c r="V3932">
        <v>17</v>
      </c>
      <c r="W3932">
        <v>10</v>
      </c>
      <c r="X3932">
        <v>139</v>
      </c>
      <c r="Y3932">
        <v>5</v>
      </c>
      <c r="Z3932">
        <v>4</v>
      </c>
      <c r="AA3932">
        <v>2</v>
      </c>
      <c r="AB3932">
        <v>5</v>
      </c>
      <c r="AD3932">
        <v>0</v>
      </c>
      <c r="AE3932">
        <v>1</v>
      </c>
      <c r="AF3932">
        <v>0</v>
      </c>
      <c r="AG3932">
        <v>0</v>
      </c>
      <c r="AH3932">
        <v>0</v>
      </c>
      <c r="AI3932">
        <v>0</v>
      </c>
      <c r="AJ3932">
        <v>11</v>
      </c>
      <c r="AK3932">
        <v>362</v>
      </c>
      <c r="AL3932">
        <v>362</v>
      </c>
      <c r="AM3932">
        <v>645</v>
      </c>
      <c r="AN3932">
        <v>44</v>
      </c>
      <c r="AP3932">
        <v>1</v>
      </c>
      <c r="AR3932" t="s">
        <v>4030</v>
      </c>
      <c r="AS3932" s="1">
        <v>44354.059027777781</v>
      </c>
      <c r="AT3932" s="1">
        <v>44354.065659722219</v>
      </c>
      <c r="AU3932" s="1">
        <v>44354.066145833334</v>
      </c>
      <c r="AV3932" t="s">
        <v>71</v>
      </c>
      <c r="AW3932" t="s">
        <v>72</v>
      </c>
      <c r="AX3932" t="s">
        <v>73</v>
      </c>
    </row>
    <row r="3933" spans="1:50" x14ac:dyDescent="0.3">
      <c r="A3933" t="str">
        <f>"202352C0600"</f>
        <v>202352C0600</v>
      </c>
      <c r="B3933" t="str">
        <f>"202352C06002"</f>
        <v>202352C06002</v>
      </c>
      <c r="C3933" t="str">
        <f t="shared" si="202"/>
        <v>20</v>
      </c>
      <c r="D3933" t="s">
        <v>67</v>
      </c>
      <c r="E3933" t="str">
        <f t="shared" si="201"/>
        <v>017</v>
      </c>
      <c r="F3933" t="s">
        <v>3808</v>
      </c>
      <c r="G3933" t="str">
        <f t="shared" si="203"/>
        <v>2352</v>
      </c>
      <c r="H3933" t="str">
        <f>"0006"</f>
        <v>0006</v>
      </c>
      <c r="I3933" t="s">
        <v>75</v>
      </c>
      <c r="J3933">
        <v>0</v>
      </c>
      <c r="K3933">
        <v>1</v>
      </c>
      <c r="L3933">
        <v>2</v>
      </c>
      <c r="AM3933">
        <v>645</v>
      </c>
      <c r="AN3933">
        <v>44</v>
      </c>
      <c r="AO3933" t="s">
        <v>143</v>
      </c>
      <c r="AP3933">
        <v>0</v>
      </c>
      <c r="AR3933" t="s">
        <v>4031</v>
      </c>
      <c r="AS3933" s="1">
        <v>44354.632638888892</v>
      </c>
      <c r="AT3933" s="1">
        <v>44354.644745370373</v>
      </c>
      <c r="AU3933" s="1">
        <v>44354.644745370373</v>
      </c>
      <c r="AV3933" t="s">
        <v>71</v>
      </c>
      <c r="AW3933" t="s">
        <v>72</v>
      </c>
      <c r="AX3933" t="s">
        <v>73</v>
      </c>
    </row>
    <row r="3934" spans="1:50" x14ac:dyDescent="0.3">
      <c r="A3934" t="str">
        <f>"202352E0100"</f>
        <v>202352E0100</v>
      </c>
      <c r="B3934" t="str">
        <f>"202352E01002"</f>
        <v>202352E01002</v>
      </c>
      <c r="C3934" t="str">
        <f t="shared" si="202"/>
        <v>20</v>
      </c>
      <c r="D3934" t="s">
        <v>67</v>
      </c>
      <c r="E3934" t="str">
        <f t="shared" si="201"/>
        <v>017</v>
      </c>
      <c r="F3934" t="s">
        <v>3808</v>
      </c>
      <c r="G3934" t="str">
        <f t="shared" si="203"/>
        <v>2352</v>
      </c>
      <c r="H3934" t="str">
        <f>"0001"</f>
        <v>0001</v>
      </c>
      <c r="I3934" t="s">
        <v>109</v>
      </c>
      <c r="J3934">
        <v>0</v>
      </c>
      <c r="K3934">
        <v>1</v>
      </c>
      <c r="L3934">
        <v>2</v>
      </c>
      <c r="M3934">
        <v>497</v>
      </c>
      <c r="N3934">
        <v>245</v>
      </c>
      <c r="O3934">
        <v>11</v>
      </c>
      <c r="P3934">
        <v>245</v>
      </c>
      <c r="Q3934">
        <v>20</v>
      </c>
      <c r="R3934">
        <v>32</v>
      </c>
      <c r="S3934">
        <v>5</v>
      </c>
      <c r="T3934">
        <v>3</v>
      </c>
      <c r="U3934">
        <v>38</v>
      </c>
      <c r="V3934">
        <v>9</v>
      </c>
      <c r="W3934">
        <v>5</v>
      </c>
      <c r="X3934">
        <v>113</v>
      </c>
      <c r="Y3934">
        <v>3</v>
      </c>
      <c r="Z3934">
        <v>5</v>
      </c>
      <c r="AA3934">
        <v>1</v>
      </c>
      <c r="AB3934">
        <v>8</v>
      </c>
      <c r="AD3934" t="s">
        <v>77</v>
      </c>
      <c r="AE3934" t="s">
        <v>77</v>
      </c>
      <c r="AF3934" t="s">
        <v>77</v>
      </c>
      <c r="AG3934" t="s">
        <v>77</v>
      </c>
      <c r="AH3934" t="s">
        <v>77</v>
      </c>
      <c r="AI3934" t="s">
        <v>77</v>
      </c>
      <c r="AJ3934">
        <v>3</v>
      </c>
      <c r="AK3934">
        <v>245</v>
      </c>
      <c r="AL3934">
        <v>245</v>
      </c>
      <c r="AM3934">
        <v>698</v>
      </c>
      <c r="AN3934">
        <v>44</v>
      </c>
      <c r="AO3934" t="s">
        <v>78</v>
      </c>
      <c r="AP3934">
        <v>1</v>
      </c>
      <c r="AR3934" t="s">
        <v>4032</v>
      </c>
      <c r="AS3934" s="1">
        <v>44354.063888888886</v>
      </c>
      <c r="AT3934" s="1">
        <v>44354.070370370369</v>
      </c>
      <c r="AU3934" s="1">
        <v>44354.071053240739</v>
      </c>
      <c r="AV3934" t="s">
        <v>71</v>
      </c>
      <c r="AW3934" t="s">
        <v>72</v>
      </c>
      <c r="AX3934" t="s">
        <v>73</v>
      </c>
    </row>
    <row r="3935" spans="1:50" x14ac:dyDescent="0.3">
      <c r="A3935" t="str">
        <f>"202352S0100"</f>
        <v>202352S0100</v>
      </c>
      <c r="B3935" t="str">
        <f>"202352S01002EMR"</f>
        <v>202352S01002EMR</v>
      </c>
      <c r="C3935" t="str">
        <f t="shared" si="202"/>
        <v>20</v>
      </c>
      <c r="D3935" t="s">
        <v>67</v>
      </c>
      <c r="E3935" t="str">
        <f t="shared" si="201"/>
        <v>017</v>
      </c>
      <c r="F3935" t="s">
        <v>3808</v>
      </c>
      <c r="G3935" t="str">
        <f t="shared" si="203"/>
        <v>2352</v>
      </c>
      <c r="H3935" t="str">
        <f>"0001"</f>
        <v>0001</v>
      </c>
      <c r="I3935" t="s">
        <v>85</v>
      </c>
      <c r="J3935">
        <v>0</v>
      </c>
      <c r="K3935">
        <v>1</v>
      </c>
      <c r="L3935" t="s">
        <v>86</v>
      </c>
      <c r="M3935">
        <v>670</v>
      </c>
      <c r="N3935">
        <v>415</v>
      </c>
      <c r="O3935">
        <v>0</v>
      </c>
      <c r="P3935">
        <v>415</v>
      </c>
      <c r="Q3935">
        <v>8</v>
      </c>
      <c r="R3935">
        <v>26</v>
      </c>
      <c r="S3935">
        <v>2</v>
      </c>
      <c r="T3935">
        <v>0</v>
      </c>
      <c r="U3935">
        <v>32</v>
      </c>
      <c r="V3935">
        <v>0</v>
      </c>
      <c r="W3935">
        <v>4</v>
      </c>
      <c r="X3935">
        <v>58</v>
      </c>
      <c r="Y3935">
        <v>0</v>
      </c>
      <c r="Z3935">
        <v>2</v>
      </c>
      <c r="AA3935">
        <v>0</v>
      </c>
      <c r="AB3935">
        <v>2</v>
      </c>
      <c r="AD3935">
        <v>1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7</v>
      </c>
      <c r="AK3935">
        <v>142</v>
      </c>
      <c r="AL3935">
        <v>142</v>
      </c>
      <c r="AM3935">
        <v>0</v>
      </c>
      <c r="AN3935">
        <v>44</v>
      </c>
      <c r="AP3935">
        <v>1</v>
      </c>
      <c r="AR3935" t="s">
        <v>4033</v>
      </c>
      <c r="AS3935" s="1">
        <v>44354.066666666666</v>
      </c>
      <c r="AT3935" s="1">
        <v>44354.074849537035</v>
      </c>
      <c r="AU3935" s="1">
        <v>44354.076168981483</v>
      </c>
      <c r="AV3935" t="s">
        <v>71</v>
      </c>
      <c r="AW3935" t="s">
        <v>72</v>
      </c>
      <c r="AX3935" t="s">
        <v>73</v>
      </c>
    </row>
    <row r="3936" spans="1:50" x14ac:dyDescent="0.3">
      <c r="A3936" t="str">
        <f>"202353B0000"</f>
        <v>202353B0000</v>
      </c>
      <c r="B3936" t="str">
        <f>"202353B00002"</f>
        <v>202353B00002</v>
      </c>
      <c r="C3936" t="str">
        <f t="shared" si="202"/>
        <v>20</v>
      </c>
      <c r="D3936" t="s">
        <v>67</v>
      </c>
      <c r="E3936" t="str">
        <f t="shared" si="201"/>
        <v>017</v>
      </c>
      <c r="F3936" t="s">
        <v>3808</v>
      </c>
      <c r="G3936" t="str">
        <f t="shared" ref="G3936:G3943" si="204">"2353"</f>
        <v>2353</v>
      </c>
      <c r="H3936" t="str">
        <f>"0000"</f>
        <v>0000</v>
      </c>
      <c r="I3936" t="s">
        <v>69</v>
      </c>
      <c r="J3936">
        <v>0</v>
      </c>
      <c r="K3936">
        <v>1</v>
      </c>
      <c r="L3936">
        <v>2</v>
      </c>
      <c r="M3936">
        <v>405</v>
      </c>
      <c r="N3936">
        <v>338</v>
      </c>
      <c r="O3936">
        <v>12</v>
      </c>
      <c r="P3936" t="s">
        <v>80</v>
      </c>
      <c r="Q3936">
        <v>24</v>
      </c>
      <c r="R3936">
        <v>66</v>
      </c>
      <c r="S3936">
        <v>3</v>
      </c>
      <c r="T3936">
        <v>1</v>
      </c>
      <c r="U3936">
        <v>98</v>
      </c>
      <c r="V3936">
        <v>15</v>
      </c>
      <c r="W3936">
        <v>9</v>
      </c>
      <c r="X3936">
        <v>93</v>
      </c>
      <c r="Y3936">
        <v>2</v>
      </c>
      <c r="Z3936">
        <v>3</v>
      </c>
      <c r="AA3936">
        <v>1</v>
      </c>
      <c r="AB3936">
        <v>7</v>
      </c>
      <c r="AD3936">
        <v>2</v>
      </c>
      <c r="AE3936">
        <v>5</v>
      </c>
      <c r="AF3936">
        <v>0</v>
      </c>
      <c r="AG3936">
        <v>0</v>
      </c>
      <c r="AH3936">
        <v>0</v>
      </c>
      <c r="AI3936">
        <v>1</v>
      </c>
      <c r="AJ3936">
        <v>8</v>
      </c>
      <c r="AK3936">
        <v>338</v>
      </c>
      <c r="AL3936">
        <v>338</v>
      </c>
      <c r="AM3936">
        <v>701</v>
      </c>
      <c r="AN3936">
        <v>44</v>
      </c>
      <c r="AP3936">
        <v>1</v>
      </c>
      <c r="AR3936" t="s">
        <v>4034</v>
      </c>
      <c r="AS3936" s="1">
        <v>44354.020138888889</v>
      </c>
      <c r="AT3936" s="1">
        <v>44354.029097222221</v>
      </c>
      <c r="AU3936" s="1">
        <v>44354.029548611114</v>
      </c>
      <c r="AV3936" t="s">
        <v>71</v>
      </c>
      <c r="AW3936" t="s">
        <v>72</v>
      </c>
      <c r="AX3936" t="s">
        <v>73</v>
      </c>
    </row>
    <row r="3937" spans="1:50" x14ac:dyDescent="0.3">
      <c r="A3937" t="str">
        <f>"202353C0100"</f>
        <v>202353C0100</v>
      </c>
      <c r="B3937" t="str">
        <f>"202353C01002"</f>
        <v>202353C01002</v>
      </c>
      <c r="C3937" t="str">
        <f t="shared" si="202"/>
        <v>20</v>
      </c>
      <c r="D3937" t="s">
        <v>67</v>
      </c>
      <c r="E3937" t="str">
        <f t="shared" si="201"/>
        <v>017</v>
      </c>
      <c r="F3937" t="s">
        <v>3808</v>
      </c>
      <c r="G3937" t="str">
        <f t="shared" si="204"/>
        <v>2353</v>
      </c>
      <c r="H3937" t="str">
        <f>"0001"</f>
        <v>0001</v>
      </c>
      <c r="I3937" t="s">
        <v>75</v>
      </c>
      <c r="J3937">
        <v>0</v>
      </c>
      <c r="K3937">
        <v>1</v>
      </c>
      <c r="L3937">
        <v>2</v>
      </c>
      <c r="M3937">
        <v>384</v>
      </c>
      <c r="N3937">
        <v>360</v>
      </c>
      <c r="O3937">
        <v>3</v>
      </c>
      <c r="P3937">
        <v>360</v>
      </c>
      <c r="Q3937">
        <v>17</v>
      </c>
      <c r="R3937">
        <v>74</v>
      </c>
      <c r="S3937">
        <v>6</v>
      </c>
      <c r="T3937">
        <v>3</v>
      </c>
      <c r="U3937">
        <v>95</v>
      </c>
      <c r="V3937">
        <v>15</v>
      </c>
      <c r="W3937">
        <v>9</v>
      </c>
      <c r="X3937">
        <v>121</v>
      </c>
      <c r="Y3937">
        <v>2</v>
      </c>
      <c r="Z3937">
        <v>2</v>
      </c>
      <c r="AA3937">
        <v>2</v>
      </c>
      <c r="AB3937">
        <v>5</v>
      </c>
      <c r="AD3937">
        <v>0</v>
      </c>
      <c r="AE3937">
        <v>1</v>
      </c>
      <c r="AF3937">
        <v>0</v>
      </c>
      <c r="AG3937">
        <v>0</v>
      </c>
      <c r="AH3937">
        <v>0</v>
      </c>
      <c r="AI3937">
        <v>0</v>
      </c>
      <c r="AJ3937">
        <v>10</v>
      </c>
      <c r="AK3937">
        <v>360</v>
      </c>
      <c r="AL3937">
        <v>362</v>
      </c>
      <c r="AM3937">
        <v>700</v>
      </c>
      <c r="AN3937">
        <v>44</v>
      </c>
      <c r="AP3937">
        <v>1</v>
      </c>
      <c r="AR3937" t="s">
        <v>4035</v>
      </c>
      <c r="AS3937" s="1">
        <v>44354.020138888889</v>
      </c>
      <c r="AT3937" s="1">
        <v>44354.035497685189</v>
      </c>
      <c r="AU3937" s="1">
        <v>44354.036041666666</v>
      </c>
      <c r="AV3937" t="s">
        <v>71</v>
      </c>
      <c r="AW3937" t="s">
        <v>72</v>
      </c>
      <c r="AX3937" t="s">
        <v>73</v>
      </c>
    </row>
    <row r="3938" spans="1:50" x14ac:dyDescent="0.3">
      <c r="A3938" t="str">
        <f>"202353C0200"</f>
        <v>202353C0200</v>
      </c>
      <c r="B3938" t="str">
        <f>"202353C02002"</f>
        <v>202353C02002</v>
      </c>
      <c r="C3938" t="str">
        <f t="shared" si="202"/>
        <v>20</v>
      </c>
      <c r="D3938" t="s">
        <v>67</v>
      </c>
      <c r="E3938" t="str">
        <f t="shared" si="201"/>
        <v>017</v>
      </c>
      <c r="F3938" t="s">
        <v>3808</v>
      </c>
      <c r="G3938" t="str">
        <f t="shared" si="204"/>
        <v>2353</v>
      </c>
      <c r="H3938" t="str">
        <f>"0002"</f>
        <v>0002</v>
      </c>
      <c r="I3938" t="s">
        <v>75</v>
      </c>
      <c r="J3938">
        <v>0</v>
      </c>
      <c r="K3938">
        <v>1</v>
      </c>
      <c r="L3938">
        <v>2</v>
      </c>
      <c r="M3938">
        <v>369</v>
      </c>
      <c r="N3938">
        <v>375</v>
      </c>
      <c r="O3938">
        <v>4</v>
      </c>
      <c r="P3938" t="s">
        <v>80</v>
      </c>
      <c r="Q3938">
        <v>15</v>
      </c>
      <c r="R3938">
        <v>87</v>
      </c>
      <c r="S3938">
        <v>4</v>
      </c>
      <c r="T3938">
        <v>1</v>
      </c>
      <c r="U3938">
        <v>118</v>
      </c>
      <c r="V3938">
        <v>7</v>
      </c>
      <c r="W3938">
        <v>13</v>
      </c>
      <c r="X3938">
        <v>102</v>
      </c>
      <c r="Y3938">
        <v>3</v>
      </c>
      <c r="Z3938">
        <v>6</v>
      </c>
      <c r="AA3938">
        <v>0</v>
      </c>
      <c r="AB3938">
        <v>4</v>
      </c>
      <c r="AD3938">
        <v>2</v>
      </c>
      <c r="AE3938">
        <v>1</v>
      </c>
      <c r="AF3938" t="s">
        <v>77</v>
      </c>
      <c r="AG3938" t="s">
        <v>77</v>
      </c>
      <c r="AH3938" t="s">
        <v>77</v>
      </c>
      <c r="AI3938" t="s">
        <v>77</v>
      </c>
      <c r="AJ3938">
        <v>12</v>
      </c>
      <c r="AK3938">
        <v>375</v>
      </c>
      <c r="AL3938">
        <v>375</v>
      </c>
      <c r="AM3938">
        <v>700</v>
      </c>
      <c r="AN3938">
        <v>44</v>
      </c>
      <c r="AO3938" t="s">
        <v>78</v>
      </c>
      <c r="AP3938">
        <v>1</v>
      </c>
      <c r="AR3938" t="s">
        <v>4036</v>
      </c>
      <c r="AS3938" s="1">
        <v>44354.024305555555</v>
      </c>
      <c r="AT3938" s="1">
        <v>44354.031631944446</v>
      </c>
      <c r="AU3938" s="1">
        <v>44354.032905092594</v>
      </c>
      <c r="AV3938" t="s">
        <v>71</v>
      </c>
      <c r="AW3938" t="s">
        <v>72</v>
      </c>
      <c r="AX3938" t="s">
        <v>73</v>
      </c>
    </row>
    <row r="3939" spans="1:50" x14ac:dyDescent="0.3">
      <c r="A3939" t="str">
        <f>"202353E0100"</f>
        <v>202353E0100</v>
      </c>
      <c r="B3939" t="str">
        <f>"202353E01002"</f>
        <v>202353E01002</v>
      </c>
      <c r="C3939" t="str">
        <f t="shared" si="202"/>
        <v>20</v>
      </c>
      <c r="D3939" t="s">
        <v>67</v>
      </c>
      <c r="E3939" t="str">
        <f t="shared" si="201"/>
        <v>017</v>
      </c>
      <c r="F3939" t="s">
        <v>3808</v>
      </c>
      <c r="G3939" t="str">
        <f t="shared" si="204"/>
        <v>2353</v>
      </c>
      <c r="H3939" t="str">
        <f>"0001"</f>
        <v>0001</v>
      </c>
      <c r="I3939" t="s">
        <v>109</v>
      </c>
      <c r="J3939">
        <v>0</v>
      </c>
      <c r="K3939">
        <v>1</v>
      </c>
      <c r="L3939">
        <v>2</v>
      </c>
      <c r="M3939">
        <v>374</v>
      </c>
      <c r="N3939">
        <v>273</v>
      </c>
      <c r="O3939">
        <v>3</v>
      </c>
      <c r="P3939">
        <v>273</v>
      </c>
      <c r="Q3939">
        <v>28</v>
      </c>
      <c r="R3939">
        <v>70</v>
      </c>
      <c r="S3939">
        <v>3</v>
      </c>
      <c r="T3939">
        <v>3</v>
      </c>
      <c r="U3939">
        <v>52</v>
      </c>
      <c r="V3939">
        <v>7</v>
      </c>
      <c r="W3939">
        <v>6</v>
      </c>
      <c r="X3939">
        <v>78</v>
      </c>
      <c r="Y3939">
        <v>5</v>
      </c>
      <c r="Z3939">
        <v>2</v>
      </c>
      <c r="AA3939">
        <v>0</v>
      </c>
      <c r="AB3939">
        <v>2</v>
      </c>
      <c r="AD3939">
        <v>3</v>
      </c>
      <c r="AE3939">
        <v>5</v>
      </c>
      <c r="AF3939">
        <v>0</v>
      </c>
      <c r="AG3939">
        <v>0</v>
      </c>
      <c r="AH3939">
        <v>0</v>
      </c>
      <c r="AI3939">
        <v>0</v>
      </c>
      <c r="AJ3939">
        <v>9</v>
      </c>
      <c r="AK3939">
        <v>273</v>
      </c>
      <c r="AL3939">
        <v>273</v>
      </c>
      <c r="AM3939">
        <v>603</v>
      </c>
      <c r="AN3939">
        <v>44</v>
      </c>
      <c r="AP3939">
        <v>1</v>
      </c>
      <c r="AR3939" t="s">
        <v>4037</v>
      </c>
      <c r="AS3939" s="1">
        <v>44353.995138888888</v>
      </c>
      <c r="AT3939" s="1">
        <v>44354.001585648148</v>
      </c>
      <c r="AU3939" s="1">
        <v>44354.002372685187</v>
      </c>
      <c r="AV3939" t="s">
        <v>71</v>
      </c>
      <c r="AW3939" t="s">
        <v>72</v>
      </c>
      <c r="AX3939" t="s">
        <v>73</v>
      </c>
    </row>
    <row r="3940" spans="1:50" x14ac:dyDescent="0.3">
      <c r="A3940" t="str">
        <f>"202353E0101"</f>
        <v>202353E0101</v>
      </c>
      <c r="B3940" t="str">
        <f>"202353E01012"</f>
        <v>202353E01012</v>
      </c>
      <c r="C3940" t="str">
        <f t="shared" si="202"/>
        <v>20</v>
      </c>
      <c r="D3940" t="s">
        <v>67</v>
      </c>
      <c r="E3940" t="str">
        <f t="shared" si="201"/>
        <v>017</v>
      </c>
      <c r="F3940" t="s">
        <v>3808</v>
      </c>
      <c r="G3940" t="str">
        <f t="shared" si="204"/>
        <v>2353</v>
      </c>
      <c r="H3940" t="str">
        <f>"0001"</f>
        <v>0001</v>
      </c>
      <c r="I3940" t="s">
        <v>109</v>
      </c>
      <c r="J3940">
        <v>1</v>
      </c>
      <c r="K3940">
        <v>1</v>
      </c>
      <c r="L3940">
        <v>2</v>
      </c>
      <c r="M3940">
        <v>352</v>
      </c>
      <c r="N3940">
        <v>300</v>
      </c>
      <c r="O3940">
        <v>4</v>
      </c>
      <c r="P3940">
        <v>295</v>
      </c>
      <c r="Q3940">
        <v>37</v>
      </c>
      <c r="R3940">
        <v>68</v>
      </c>
      <c r="S3940">
        <v>3</v>
      </c>
      <c r="T3940">
        <v>5</v>
      </c>
      <c r="U3940">
        <v>47</v>
      </c>
      <c r="V3940">
        <v>4</v>
      </c>
      <c r="W3940">
        <v>7</v>
      </c>
      <c r="X3940">
        <v>97</v>
      </c>
      <c r="Y3940">
        <v>5</v>
      </c>
      <c r="Z3940">
        <v>6</v>
      </c>
      <c r="AA3940">
        <v>1</v>
      </c>
      <c r="AB3940">
        <v>7</v>
      </c>
      <c r="AD3940">
        <v>1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7</v>
      </c>
      <c r="AK3940">
        <v>295</v>
      </c>
      <c r="AL3940">
        <v>295</v>
      </c>
      <c r="AM3940">
        <v>603</v>
      </c>
      <c r="AN3940">
        <v>44</v>
      </c>
      <c r="AP3940">
        <v>1</v>
      </c>
      <c r="AR3940" t="s">
        <v>4038</v>
      </c>
      <c r="AS3940" s="1">
        <v>44353.998611111114</v>
      </c>
      <c r="AT3940" s="1">
        <v>44354.00440972222</v>
      </c>
      <c r="AU3940" s="1">
        <v>44354.00571759259</v>
      </c>
      <c r="AV3940" t="s">
        <v>71</v>
      </c>
      <c r="AW3940" t="s">
        <v>72</v>
      </c>
      <c r="AX3940" t="s">
        <v>73</v>
      </c>
    </row>
    <row r="3941" spans="1:50" x14ac:dyDescent="0.3">
      <c r="A3941" t="str">
        <f>"202353E0102"</f>
        <v>202353E0102</v>
      </c>
      <c r="B3941" t="str">
        <f>"202353E01022"</f>
        <v>202353E01022</v>
      </c>
      <c r="C3941" t="str">
        <f t="shared" si="202"/>
        <v>20</v>
      </c>
      <c r="D3941" t="s">
        <v>67</v>
      </c>
      <c r="E3941" t="str">
        <f t="shared" si="201"/>
        <v>017</v>
      </c>
      <c r="F3941" t="s">
        <v>3808</v>
      </c>
      <c r="G3941" t="str">
        <f t="shared" si="204"/>
        <v>2353</v>
      </c>
      <c r="H3941" t="str">
        <f>"0001"</f>
        <v>0001</v>
      </c>
      <c r="I3941" t="s">
        <v>109</v>
      </c>
      <c r="J3941">
        <v>2</v>
      </c>
      <c r="K3941">
        <v>1</v>
      </c>
      <c r="L3941">
        <v>2</v>
      </c>
      <c r="M3941">
        <v>378</v>
      </c>
      <c r="N3941">
        <v>269</v>
      </c>
      <c r="O3941">
        <v>4</v>
      </c>
      <c r="P3941">
        <v>269</v>
      </c>
      <c r="Q3941">
        <v>9</v>
      </c>
      <c r="R3941">
        <v>74</v>
      </c>
      <c r="S3941">
        <v>1</v>
      </c>
      <c r="T3941">
        <v>2</v>
      </c>
      <c r="U3941">
        <v>54</v>
      </c>
      <c r="V3941">
        <v>1</v>
      </c>
      <c r="W3941">
        <v>4</v>
      </c>
      <c r="X3941">
        <v>100</v>
      </c>
      <c r="Y3941">
        <v>1</v>
      </c>
      <c r="Z3941">
        <v>4</v>
      </c>
      <c r="AA3941">
        <v>1</v>
      </c>
      <c r="AB3941">
        <v>3</v>
      </c>
      <c r="AD3941">
        <v>3</v>
      </c>
      <c r="AE3941">
        <v>0</v>
      </c>
      <c r="AF3941">
        <v>0</v>
      </c>
      <c r="AG3941">
        <v>1</v>
      </c>
      <c r="AH3941">
        <v>0</v>
      </c>
      <c r="AI3941">
        <v>1</v>
      </c>
      <c r="AJ3941">
        <v>9</v>
      </c>
      <c r="AK3941">
        <v>269</v>
      </c>
      <c r="AL3941">
        <v>268</v>
      </c>
      <c r="AM3941">
        <v>603</v>
      </c>
      <c r="AN3941">
        <v>44</v>
      </c>
      <c r="AP3941">
        <v>1</v>
      </c>
      <c r="AR3941" t="s">
        <v>4039</v>
      </c>
      <c r="AS3941" s="1">
        <v>44354.001388888886</v>
      </c>
      <c r="AT3941" s="1">
        <v>44354.006863425922</v>
      </c>
      <c r="AU3941" s="1">
        <v>44354.008229166669</v>
      </c>
      <c r="AV3941" t="s">
        <v>71</v>
      </c>
      <c r="AW3941" t="s">
        <v>72</v>
      </c>
      <c r="AX3941" t="s">
        <v>73</v>
      </c>
    </row>
    <row r="3942" spans="1:50" x14ac:dyDescent="0.3">
      <c r="A3942" t="str">
        <f>"202353E0103"</f>
        <v>202353E0103</v>
      </c>
      <c r="B3942" t="str">
        <f>"202353E01032"</f>
        <v>202353E01032</v>
      </c>
      <c r="C3942" t="str">
        <f t="shared" si="202"/>
        <v>20</v>
      </c>
      <c r="D3942" t="s">
        <v>67</v>
      </c>
      <c r="E3942" t="str">
        <f t="shared" si="201"/>
        <v>017</v>
      </c>
      <c r="F3942" t="s">
        <v>3808</v>
      </c>
      <c r="G3942" t="str">
        <f t="shared" si="204"/>
        <v>2353</v>
      </c>
      <c r="H3942" t="str">
        <f>"0001"</f>
        <v>0001</v>
      </c>
      <c r="I3942" t="s">
        <v>109</v>
      </c>
      <c r="J3942">
        <v>3</v>
      </c>
      <c r="K3942">
        <v>1</v>
      </c>
      <c r="L3942">
        <v>2</v>
      </c>
      <c r="M3942" t="s">
        <v>99</v>
      </c>
      <c r="N3942" t="s">
        <v>99</v>
      </c>
      <c r="O3942">
        <v>7</v>
      </c>
      <c r="P3942">
        <v>279</v>
      </c>
      <c r="Q3942" t="s">
        <v>99</v>
      </c>
      <c r="R3942">
        <v>1</v>
      </c>
      <c r="S3942">
        <v>2</v>
      </c>
      <c r="T3942">
        <v>1</v>
      </c>
      <c r="U3942">
        <v>75</v>
      </c>
      <c r="V3942">
        <v>5</v>
      </c>
      <c r="W3942">
        <v>6</v>
      </c>
      <c r="X3942">
        <v>92</v>
      </c>
      <c r="Y3942">
        <v>3</v>
      </c>
      <c r="Z3942">
        <v>1</v>
      </c>
      <c r="AA3942">
        <v>2</v>
      </c>
      <c r="AB3942">
        <v>3</v>
      </c>
      <c r="AD3942">
        <v>1</v>
      </c>
      <c r="AE3942">
        <v>0</v>
      </c>
      <c r="AF3942">
        <v>0</v>
      </c>
      <c r="AG3942">
        <v>0</v>
      </c>
      <c r="AH3942">
        <v>0</v>
      </c>
      <c r="AI3942">
        <v>1</v>
      </c>
      <c r="AJ3942">
        <v>3</v>
      </c>
      <c r="AK3942">
        <v>239</v>
      </c>
      <c r="AL3942">
        <v>196</v>
      </c>
      <c r="AM3942">
        <v>603</v>
      </c>
      <c r="AN3942">
        <v>44</v>
      </c>
      <c r="AO3942" t="s">
        <v>78</v>
      </c>
      <c r="AP3942">
        <v>1</v>
      </c>
      <c r="AR3942" t="s">
        <v>4040</v>
      </c>
      <c r="AS3942" s="1">
        <v>44354.087500000001</v>
      </c>
      <c r="AT3942" s="1">
        <v>44354.111527777779</v>
      </c>
      <c r="AU3942" s="1">
        <v>44354.112962962965</v>
      </c>
      <c r="AV3942" t="s">
        <v>71</v>
      </c>
      <c r="AW3942" t="s">
        <v>72</v>
      </c>
      <c r="AX3942" t="s">
        <v>347</v>
      </c>
    </row>
    <row r="3943" spans="1:50" x14ac:dyDescent="0.3">
      <c r="A3943" t="str">
        <f>"202353E0104"</f>
        <v>202353E0104</v>
      </c>
      <c r="B3943" t="str">
        <f>"202353E01042"</f>
        <v>202353E01042</v>
      </c>
      <c r="C3943" t="str">
        <f t="shared" si="202"/>
        <v>20</v>
      </c>
      <c r="D3943" t="s">
        <v>67</v>
      </c>
      <c r="E3943" t="str">
        <f t="shared" si="201"/>
        <v>017</v>
      </c>
      <c r="F3943" t="s">
        <v>3808</v>
      </c>
      <c r="G3943" t="str">
        <f t="shared" si="204"/>
        <v>2353</v>
      </c>
      <c r="H3943" t="str">
        <f>"0001"</f>
        <v>0001</v>
      </c>
      <c r="I3943" t="s">
        <v>109</v>
      </c>
      <c r="J3943">
        <v>4</v>
      </c>
      <c r="K3943">
        <v>1</v>
      </c>
      <c r="L3943">
        <v>2</v>
      </c>
      <c r="M3943">
        <v>372</v>
      </c>
      <c r="N3943">
        <v>274</v>
      </c>
      <c r="O3943">
        <v>2</v>
      </c>
      <c r="P3943">
        <v>275</v>
      </c>
      <c r="Q3943">
        <v>16</v>
      </c>
      <c r="R3943">
        <v>76</v>
      </c>
      <c r="S3943">
        <v>5</v>
      </c>
      <c r="T3943">
        <v>3</v>
      </c>
      <c r="U3943">
        <v>54</v>
      </c>
      <c r="V3943">
        <v>3</v>
      </c>
      <c r="W3943">
        <v>8</v>
      </c>
      <c r="X3943">
        <v>88</v>
      </c>
      <c r="Y3943">
        <v>2</v>
      </c>
      <c r="Z3943">
        <v>3</v>
      </c>
      <c r="AA3943">
        <v>1</v>
      </c>
      <c r="AB3943">
        <v>5</v>
      </c>
      <c r="AD3943">
        <v>1</v>
      </c>
      <c r="AE3943">
        <v>2</v>
      </c>
      <c r="AF3943">
        <v>0</v>
      </c>
      <c r="AG3943">
        <v>0</v>
      </c>
      <c r="AH3943">
        <v>0</v>
      </c>
      <c r="AI3943">
        <v>0</v>
      </c>
      <c r="AJ3943">
        <v>8</v>
      </c>
      <c r="AK3943">
        <v>275</v>
      </c>
      <c r="AL3943">
        <v>275</v>
      </c>
      <c r="AM3943">
        <v>603</v>
      </c>
      <c r="AN3943">
        <v>44</v>
      </c>
      <c r="AP3943">
        <v>1</v>
      </c>
      <c r="AR3943" t="s">
        <v>4041</v>
      </c>
      <c r="AS3943" s="1">
        <v>44354.006249999999</v>
      </c>
      <c r="AT3943" s="1">
        <v>44354.01494212963</v>
      </c>
      <c r="AU3943" s="1">
        <v>44354.015636574077</v>
      </c>
      <c r="AV3943" t="s">
        <v>71</v>
      </c>
      <c r="AW3943" t="s">
        <v>72</v>
      </c>
      <c r="AX3943" t="s">
        <v>73</v>
      </c>
    </row>
    <row r="3944" spans="1:50" x14ac:dyDescent="0.3">
      <c r="A3944" t="str">
        <f>"202354B0000"</f>
        <v>202354B0000</v>
      </c>
      <c r="B3944" t="str">
        <f>"202354B00002"</f>
        <v>202354B00002</v>
      </c>
      <c r="C3944" t="str">
        <f t="shared" si="202"/>
        <v>20</v>
      </c>
      <c r="D3944" t="s">
        <v>67</v>
      </c>
      <c r="E3944" t="str">
        <f t="shared" si="201"/>
        <v>017</v>
      </c>
      <c r="F3944" t="s">
        <v>3808</v>
      </c>
      <c r="G3944" t="str">
        <f>"2354"</f>
        <v>2354</v>
      </c>
      <c r="H3944" t="str">
        <f>"0000"</f>
        <v>0000</v>
      </c>
      <c r="I3944" t="s">
        <v>69</v>
      </c>
      <c r="J3944">
        <v>0</v>
      </c>
      <c r="K3944">
        <v>1</v>
      </c>
      <c r="L3944">
        <v>2</v>
      </c>
      <c r="M3944">
        <v>305</v>
      </c>
      <c r="N3944">
        <v>352</v>
      </c>
      <c r="O3944">
        <v>3</v>
      </c>
      <c r="P3944">
        <v>352</v>
      </c>
      <c r="Q3944">
        <v>25</v>
      </c>
      <c r="R3944">
        <v>79</v>
      </c>
      <c r="S3944">
        <v>3</v>
      </c>
      <c r="T3944">
        <v>2</v>
      </c>
      <c r="U3944">
        <v>116</v>
      </c>
      <c r="V3944">
        <v>12</v>
      </c>
      <c r="W3944">
        <v>10</v>
      </c>
      <c r="X3944">
        <v>89</v>
      </c>
      <c r="Y3944">
        <v>0</v>
      </c>
      <c r="Z3944">
        <v>2</v>
      </c>
      <c r="AA3944">
        <v>0</v>
      </c>
      <c r="AB3944">
        <v>7</v>
      </c>
      <c r="AD3944">
        <v>1</v>
      </c>
      <c r="AE3944">
        <v>0</v>
      </c>
      <c r="AF3944">
        <v>0</v>
      </c>
      <c r="AG3944">
        <v>0</v>
      </c>
      <c r="AH3944">
        <v>0</v>
      </c>
      <c r="AI3944">
        <v>6</v>
      </c>
      <c r="AJ3944">
        <v>6</v>
      </c>
      <c r="AK3944">
        <v>352</v>
      </c>
      <c r="AL3944">
        <v>358</v>
      </c>
      <c r="AM3944">
        <v>613</v>
      </c>
      <c r="AN3944">
        <v>44</v>
      </c>
      <c r="AP3944">
        <v>1</v>
      </c>
      <c r="AR3944" t="s">
        <v>4042</v>
      </c>
      <c r="AS3944" s="1">
        <v>44354.048611111109</v>
      </c>
      <c r="AT3944" s="1">
        <v>44354.057743055557</v>
      </c>
      <c r="AU3944" s="1">
        <v>44354.058877314812</v>
      </c>
      <c r="AV3944" t="s">
        <v>71</v>
      </c>
      <c r="AW3944" t="s">
        <v>72</v>
      </c>
      <c r="AX3944" t="s">
        <v>73</v>
      </c>
    </row>
    <row r="3945" spans="1:50" x14ac:dyDescent="0.3">
      <c r="A3945" t="str">
        <f>"202354C0100"</f>
        <v>202354C0100</v>
      </c>
      <c r="B3945" t="str">
        <f>"202354C01002"</f>
        <v>202354C01002</v>
      </c>
      <c r="C3945" t="str">
        <f t="shared" si="202"/>
        <v>20</v>
      </c>
      <c r="D3945" t="s">
        <v>67</v>
      </c>
      <c r="E3945" t="str">
        <f t="shared" si="201"/>
        <v>017</v>
      </c>
      <c r="F3945" t="s">
        <v>3808</v>
      </c>
      <c r="G3945" t="str">
        <f>"2354"</f>
        <v>2354</v>
      </c>
      <c r="H3945" t="str">
        <f>"0001"</f>
        <v>0001</v>
      </c>
      <c r="I3945" t="s">
        <v>75</v>
      </c>
      <c r="J3945">
        <v>0</v>
      </c>
      <c r="K3945">
        <v>1</v>
      </c>
      <c r="L3945">
        <v>2</v>
      </c>
      <c r="M3945">
        <v>288</v>
      </c>
      <c r="N3945">
        <v>369</v>
      </c>
      <c r="O3945">
        <v>0</v>
      </c>
      <c r="P3945">
        <v>369</v>
      </c>
      <c r="Q3945">
        <v>16</v>
      </c>
      <c r="R3945">
        <v>64</v>
      </c>
      <c r="S3945">
        <v>7</v>
      </c>
      <c r="T3945">
        <v>6</v>
      </c>
      <c r="U3945">
        <v>108</v>
      </c>
      <c r="V3945">
        <v>12</v>
      </c>
      <c r="W3945">
        <v>26</v>
      </c>
      <c r="X3945">
        <v>92</v>
      </c>
      <c r="Y3945">
        <v>2</v>
      </c>
      <c r="Z3945">
        <v>11</v>
      </c>
      <c r="AA3945">
        <v>3</v>
      </c>
      <c r="AB3945">
        <v>5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16</v>
      </c>
      <c r="AK3945">
        <v>369</v>
      </c>
      <c r="AL3945">
        <v>368</v>
      </c>
      <c r="AM3945">
        <v>613</v>
      </c>
      <c r="AN3945">
        <v>44</v>
      </c>
      <c r="AP3945">
        <v>1</v>
      </c>
      <c r="AR3945" t="s">
        <v>4043</v>
      </c>
      <c r="AS3945" s="1">
        <v>44354.052777777775</v>
      </c>
      <c r="AT3945" s="1">
        <v>44354.060439814813</v>
      </c>
      <c r="AU3945" s="1">
        <v>44354.061030092591</v>
      </c>
      <c r="AV3945" t="s">
        <v>71</v>
      </c>
      <c r="AW3945" t="s">
        <v>72</v>
      </c>
      <c r="AX3945" t="s">
        <v>73</v>
      </c>
    </row>
    <row r="3946" spans="1:50" x14ac:dyDescent="0.3">
      <c r="A3946" t="str">
        <f>"202354C0200"</f>
        <v>202354C0200</v>
      </c>
      <c r="B3946" t="str">
        <f>"202354C02002"</f>
        <v>202354C02002</v>
      </c>
      <c r="C3946" t="str">
        <f t="shared" si="202"/>
        <v>20</v>
      </c>
      <c r="D3946" t="s">
        <v>67</v>
      </c>
      <c r="E3946" t="str">
        <f t="shared" si="201"/>
        <v>017</v>
      </c>
      <c r="F3946" t="s">
        <v>3808</v>
      </c>
      <c r="G3946" t="str">
        <f>"2354"</f>
        <v>2354</v>
      </c>
      <c r="H3946" t="str">
        <f>"0002"</f>
        <v>0002</v>
      </c>
      <c r="I3946" t="s">
        <v>75</v>
      </c>
      <c r="J3946">
        <v>0</v>
      </c>
      <c r="K3946">
        <v>1</v>
      </c>
      <c r="L3946">
        <v>2</v>
      </c>
      <c r="M3946">
        <v>332</v>
      </c>
      <c r="N3946" t="s">
        <v>80</v>
      </c>
      <c r="O3946">
        <v>6</v>
      </c>
      <c r="P3946">
        <v>325</v>
      </c>
      <c r="Q3946">
        <v>14</v>
      </c>
      <c r="R3946">
        <v>60</v>
      </c>
      <c r="S3946">
        <v>1</v>
      </c>
      <c r="T3946">
        <v>2</v>
      </c>
      <c r="U3946">
        <v>104</v>
      </c>
      <c r="V3946">
        <v>25</v>
      </c>
      <c r="W3946">
        <v>14</v>
      </c>
      <c r="X3946">
        <v>78</v>
      </c>
      <c r="Y3946">
        <v>1</v>
      </c>
      <c r="Z3946">
        <v>1</v>
      </c>
      <c r="AA3946">
        <v>1</v>
      </c>
      <c r="AB3946">
        <v>13</v>
      </c>
      <c r="AD3946">
        <v>0</v>
      </c>
      <c r="AE3946">
        <v>1</v>
      </c>
      <c r="AF3946">
        <v>0</v>
      </c>
      <c r="AG3946">
        <v>0</v>
      </c>
      <c r="AH3946">
        <v>0</v>
      </c>
      <c r="AI3946">
        <v>0</v>
      </c>
      <c r="AJ3946">
        <v>10</v>
      </c>
      <c r="AK3946">
        <v>325</v>
      </c>
      <c r="AL3946">
        <v>325</v>
      </c>
      <c r="AM3946">
        <v>613</v>
      </c>
      <c r="AN3946">
        <v>44</v>
      </c>
      <c r="AP3946">
        <v>1</v>
      </c>
      <c r="AR3946" t="s">
        <v>4044</v>
      </c>
      <c r="AS3946" s="1">
        <v>44354.057638888888</v>
      </c>
      <c r="AT3946" s="1">
        <v>44354.063923611109</v>
      </c>
      <c r="AU3946" s="1">
        <v>44354.064409722225</v>
      </c>
      <c r="AV3946" t="s">
        <v>71</v>
      </c>
      <c r="AW3946" t="s">
        <v>72</v>
      </c>
      <c r="AX3946" t="s">
        <v>73</v>
      </c>
    </row>
    <row r="3947" spans="1:50" x14ac:dyDescent="0.3">
      <c r="A3947" t="str">
        <f>"202354C0300"</f>
        <v>202354C0300</v>
      </c>
      <c r="B3947" t="str">
        <f>"202354C03002"</f>
        <v>202354C03002</v>
      </c>
      <c r="C3947" t="str">
        <f t="shared" si="202"/>
        <v>20</v>
      </c>
      <c r="D3947" t="s">
        <v>67</v>
      </c>
      <c r="E3947" t="str">
        <f t="shared" si="201"/>
        <v>017</v>
      </c>
      <c r="F3947" t="s">
        <v>3808</v>
      </c>
      <c r="G3947" t="str">
        <f>"2354"</f>
        <v>2354</v>
      </c>
      <c r="H3947" t="str">
        <f>"0003"</f>
        <v>0003</v>
      </c>
      <c r="I3947" t="s">
        <v>75</v>
      </c>
      <c r="J3947">
        <v>0</v>
      </c>
      <c r="K3947">
        <v>1</v>
      </c>
      <c r="L3947">
        <v>2</v>
      </c>
      <c r="M3947">
        <v>331</v>
      </c>
      <c r="N3947">
        <v>327</v>
      </c>
      <c r="O3947">
        <v>7</v>
      </c>
      <c r="P3947">
        <v>327</v>
      </c>
      <c r="Q3947">
        <v>14</v>
      </c>
      <c r="R3947">
        <v>57</v>
      </c>
      <c r="S3947">
        <v>1</v>
      </c>
      <c r="T3947">
        <v>3</v>
      </c>
      <c r="U3947">
        <v>124</v>
      </c>
      <c r="V3947">
        <v>15</v>
      </c>
      <c r="W3947">
        <v>11</v>
      </c>
      <c r="X3947">
        <v>82</v>
      </c>
      <c r="Y3947">
        <v>2</v>
      </c>
      <c r="Z3947">
        <v>0</v>
      </c>
      <c r="AA3947">
        <v>0</v>
      </c>
      <c r="AB3947">
        <v>0</v>
      </c>
      <c r="AD3947">
        <v>0</v>
      </c>
      <c r="AE3947">
        <v>0</v>
      </c>
      <c r="AF3947">
        <v>0</v>
      </c>
      <c r="AG3947">
        <v>1</v>
      </c>
      <c r="AH3947">
        <v>2</v>
      </c>
      <c r="AI3947">
        <v>0</v>
      </c>
      <c r="AJ3947">
        <v>9</v>
      </c>
      <c r="AK3947">
        <v>327</v>
      </c>
      <c r="AL3947">
        <v>321</v>
      </c>
      <c r="AM3947">
        <v>613</v>
      </c>
      <c r="AN3947">
        <v>44</v>
      </c>
      <c r="AP3947">
        <v>1</v>
      </c>
      <c r="AR3947" t="s">
        <v>4045</v>
      </c>
      <c r="AS3947" s="1">
        <v>44354.05972222222</v>
      </c>
      <c r="AT3947" s="1">
        <v>44354.068344907406</v>
      </c>
      <c r="AU3947" s="1">
        <v>44354.068969907406</v>
      </c>
      <c r="AV3947" t="s">
        <v>71</v>
      </c>
      <c r="AW3947" t="s">
        <v>72</v>
      </c>
      <c r="AX3947" t="s">
        <v>73</v>
      </c>
    </row>
    <row r="3948" spans="1:50" x14ac:dyDescent="0.3">
      <c r="A3948" t="str">
        <f>"202354C0400"</f>
        <v>202354C0400</v>
      </c>
      <c r="B3948" t="str">
        <f>"202354C04002"</f>
        <v>202354C04002</v>
      </c>
      <c r="C3948" t="str">
        <f t="shared" si="202"/>
        <v>20</v>
      </c>
      <c r="D3948" t="s">
        <v>67</v>
      </c>
      <c r="E3948" t="str">
        <f t="shared" si="201"/>
        <v>017</v>
      </c>
      <c r="F3948" t="s">
        <v>3808</v>
      </c>
      <c r="G3948" t="str">
        <f>"2354"</f>
        <v>2354</v>
      </c>
      <c r="H3948" t="str">
        <f>"0004"</f>
        <v>0004</v>
      </c>
      <c r="I3948" t="s">
        <v>75</v>
      </c>
      <c r="J3948">
        <v>0</v>
      </c>
      <c r="K3948">
        <v>1</v>
      </c>
      <c r="L3948">
        <v>2</v>
      </c>
      <c r="M3948">
        <v>323</v>
      </c>
      <c r="N3948">
        <v>342</v>
      </c>
      <c r="O3948">
        <v>8</v>
      </c>
      <c r="P3948">
        <v>334</v>
      </c>
      <c r="Q3948">
        <v>17</v>
      </c>
      <c r="R3948">
        <v>62</v>
      </c>
      <c r="S3948">
        <v>4</v>
      </c>
      <c r="T3948">
        <v>6</v>
      </c>
      <c r="U3948">
        <v>117</v>
      </c>
      <c r="V3948">
        <v>14</v>
      </c>
      <c r="W3948">
        <v>8</v>
      </c>
      <c r="X3948">
        <v>85</v>
      </c>
      <c r="Y3948">
        <v>2</v>
      </c>
      <c r="Z3948">
        <v>2</v>
      </c>
      <c r="AA3948">
        <v>0</v>
      </c>
      <c r="AB3948">
        <v>8</v>
      </c>
      <c r="AD3948">
        <v>0</v>
      </c>
      <c r="AE3948">
        <v>2</v>
      </c>
      <c r="AF3948">
        <v>0</v>
      </c>
      <c r="AG3948">
        <v>0</v>
      </c>
      <c r="AH3948">
        <v>0</v>
      </c>
      <c r="AI3948">
        <v>0</v>
      </c>
      <c r="AJ3948">
        <v>7</v>
      </c>
      <c r="AK3948">
        <v>334</v>
      </c>
      <c r="AL3948">
        <v>334</v>
      </c>
      <c r="AM3948">
        <v>613</v>
      </c>
      <c r="AN3948">
        <v>44</v>
      </c>
      <c r="AP3948">
        <v>1</v>
      </c>
      <c r="AR3948" t="s">
        <v>4046</v>
      </c>
      <c r="AS3948" s="1">
        <v>44354.063194444447</v>
      </c>
      <c r="AT3948" s="1">
        <v>44354.073969907404</v>
      </c>
      <c r="AU3948" s="1">
        <v>44354.074502314812</v>
      </c>
      <c r="AV3948" t="s">
        <v>71</v>
      </c>
      <c r="AW3948" t="s">
        <v>72</v>
      </c>
      <c r="AX3948" t="s">
        <v>73</v>
      </c>
    </row>
    <row r="3949" spans="1:50" x14ac:dyDescent="0.3">
      <c r="A3949" t="str">
        <f>"202355B0000"</f>
        <v>202355B0000</v>
      </c>
      <c r="B3949" t="str">
        <f>"202355B00002"</f>
        <v>202355B00002</v>
      </c>
      <c r="C3949" t="str">
        <f t="shared" si="202"/>
        <v>20</v>
      </c>
      <c r="D3949" t="s">
        <v>67</v>
      </c>
      <c r="E3949" t="str">
        <f t="shared" si="201"/>
        <v>017</v>
      </c>
      <c r="F3949" t="s">
        <v>3808</v>
      </c>
      <c r="G3949" t="str">
        <f>"2355"</f>
        <v>2355</v>
      </c>
      <c r="H3949" t="str">
        <f>"0000"</f>
        <v>0000</v>
      </c>
      <c r="I3949" t="s">
        <v>69</v>
      </c>
      <c r="J3949">
        <v>0</v>
      </c>
      <c r="K3949">
        <v>1</v>
      </c>
      <c r="L3949">
        <v>2</v>
      </c>
      <c r="M3949">
        <v>298</v>
      </c>
      <c r="N3949">
        <v>439</v>
      </c>
      <c r="O3949">
        <v>2</v>
      </c>
      <c r="P3949">
        <v>439</v>
      </c>
      <c r="Q3949">
        <v>33</v>
      </c>
      <c r="R3949">
        <v>61</v>
      </c>
      <c r="S3949">
        <v>4</v>
      </c>
      <c r="T3949">
        <v>5</v>
      </c>
      <c r="U3949">
        <v>100</v>
      </c>
      <c r="V3949">
        <v>22</v>
      </c>
      <c r="W3949">
        <v>14</v>
      </c>
      <c r="X3949">
        <v>155</v>
      </c>
      <c r="Y3949">
        <v>3</v>
      </c>
      <c r="Z3949">
        <v>2</v>
      </c>
      <c r="AA3949">
        <v>0</v>
      </c>
      <c r="AB3949">
        <v>10</v>
      </c>
      <c r="AD3949">
        <v>3</v>
      </c>
      <c r="AE3949">
        <v>1</v>
      </c>
      <c r="AF3949">
        <v>0</v>
      </c>
      <c r="AG3949">
        <v>0</v>
      </c>
      <c r="AH3949">
        <v>0</v>
      </c>
      <c r="AI3949">
        <v>0</v>
      </c>
      <c r="AJ3949">
        <v>26</v>
      </c>
      <c r="AK3949">
        <v>439</v>
      </c>
      <c r="AL3949">
        <v>439</v>
      </c>
      <c r="AM3949">
        <v>693</v>
      </c>
      <c r="AN3949">
        <v>44</v>
      </c>
      <c r="AP3949">
        <v>1</v>
      </c>
      <c r="AR3949" t="s">
        <v>4047</v>
      </c>
      <c r="AS3949" s="1">
        <v>44354.022916666669</v>
      </c>
      <c r="AT3949" s="1">
        <v>44354.033229166664</v>
      </c>
      <c r="AU3949" s="1">
        <v>44354.033750000002</v>
      </c>
      <c r="AV3949" t="s">
        <v>71</v>
      </c>
      <c r="AW3949" t="s">
        <v>72</v>
      </c>
      <c r="AX3949" t="s">
        <v>73</v>
      </c>
    </row>
    <row r="3950" spans="1:50" x14ac:dyDescent="0.3">
      <c r="A3950" t="str">
        <f>"202355C0100"</f>
        <v>202355C0100</v>
      </c>
      <c r="B3950" t="str">
        <f>"202355C01002"</f>
        <v>202355C01002</v>
      </c>
      <c r="C3950" t="str">
        <f t="shared" si="202"/>
        <v>20</v>
      </c>
      <c r="D3950" t="s">
        <v>67</v>
      </c>
      <c r="E3950" t="str">
        <f t="shared" si="201"/>
        <v>017</v>
      </c>
      <c r="F3950" t="s">
        <v>3808</v>
      </c>
      <c r="G3950" t="str">
        <f>"2355"</f>
        <v>2355</v>
      </c>
      <c r="H3950" t="str">
        <f>"0001"</f>
        <v>0001</v>
      </c>
      <c r="I3950" t="s">
        <v>75</v>
      </c>
      <c r="J3950">
        <v>0</v>
      </c>
      <c r="K3950">
        <v>1</v>
      </c>
      <c r="L3950">
        <v>2</v>
      </c>
      <c r="M3950">
        <v>313</v>
      </c>
      <c r="N3950">
        <v>424</v>
      </c>
      <c r="O3950">
        <v>7</v>
      </c>
      <c r="P3950">
        <v>424</v>
      </c>
      <c r="Q3950">
        <v>20</v>
      </c>
      <c r="R3950">
        <v>58</v>
      </c>
      <c r="S3950">
        <v>4</v>
      </c>
      <c r="T3950">
        <v>3</v>
      </c>
      <c r="U3950">
        <v>6</v>
      </c>
      <c r="V3950">
        <v>22</v>
      </c>
      <c r="W3950">
        <v>14</v>
      </c>
      <c r="X3950">
        <v>160</v>
      </c>
      <c r="Y3950">
        <v>4</v>
      </c>
      <c r="Z3950">
        <v>3</v>
      </c>
      <c r="AA3950">
        <v>2</v>
      </c>
      <c r="AB3950">
        <v>0</v>
      </c>
      <c r="AD3950">
        <v>10</v>
      </c>
      <c r="AE3950">
        <v>2</v>
      </c>
      <c r="AF3950">
        <v>0</v>
      </c>
      <c r="AG3950">
        <v>0</v>
      </c>
      <c r="AH3950">
        <v>1</v>
      </c>
      <c r="AI3950">
        <v>0</v>
      </c>
      <c r="AJ3950">
        <v>15</v>
      </c>
      <c r="AK3950">
        <v>424</v>
      </c>
      <c r="AL3950">
        <v>324</v>
      </c>
      <c r="AM3950">
        <v>693</v>
      </c>
      <c r="AN3950">
        <v>44</v>
      </c>
      <c r="AP3950">
        <v>1</v>
      </c>
      <c r="AR3950" t="s">
        <v>4048</v>
      </c>
      <c r="AS3950" s="1">
        <v>44354.027083333334</v>
      </c>
      <c r="AT3950" s="1">
        <v>44354.037812499999</v>
      </c>
      <c r="AU3950" s="1">
        <v>44354.03869212963</v>
      </c>
      <c r="AV3950" t="s">
        <v>71</v>
      </c>
      <c r="AW3950" t="s">
        <v>72</v>
      </c>
      <c r="AX3950" t="s">
        <v>73</v>
      </c>
    </row>
    <row r="3951" spans="1:50" x14ac:dyDescent="0.3">
      <c r="A3951" t="str">
        <f>"202356B0000"</f>
        <v>202356B0000</v>
      </c>
      <c r="B3951" t="str">
        <f>"202356B00002"</f>
        <v>202356B00002</v>
      </c>
      <c r="C3951" t="str">
        <f t="shared" si="202"/>
        <v>20</v>
      </c>
      <c r="D3951" t="s">
        <v>67</v>
      </c>
      <c r="E3951" t="str">
        <f t="shared" si="201"/>
        <v>017</v>
      </c>
      <c r="F3951" t="s">
        <v>3808</v>
      </c>
      <c r="G3951" t="str">
        <f>"2356"</f>
        <v>2356</v>
      </c>
      <c r="H3951" t="str">
        <f>"0000"</f>
        <v>0000</v>
      </c>
      <c r="I3951" t="s">
        <v>69</v>
      </c>
      <c r="J3951">
        <v>0</v>
      </c>
      <c r="K3951">
        <v>1</v>
      </c>
      <c r="L3951">
        <v>2</v>
      </c>
      <c r="M3951" t="s">
        <v>80</v>
      </c>
      <c r="N3951" t="s">
        <v>80</v>
      </c>
      <c r="O3951" t="s">
        <v>80</v>
      </c>
      <c r="P3951">
        <v>290</v>
      </c>
      <c r="Q3951">
        <v>16</v>
      </c>
      <c r="R3951">
        <v>33</v>
      </c>
      <c r="S3951">
        <v>1</v>
      </c>
      <c r="T3951">
        <v>3</v>
      </c>
      <c r="U3951">
        <v>64</v>
      </c>
      <c r="V3951">
        <v>30</v>
      </c>
      <c r="W3951">
        <v>3</v>
      </c>
      <c r="X3951">
        <v>119</v>
      </c>
      <c r="Y3951">
        <v>2</v>
      </c>
      <c r="Z3951">
        <v>2</v>
      </c>
      <c r="AA3951">
        <v>1</v>
      </c>
      <c r="AB3951">
        <v>7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9</v>
      </c>
      <c r="AK3951">
        <v>290</v>
      </c>
      <c r="AL3951">
        <v>290</v>
      </c>
      <c r="AM3951">
        <v>463</v>
      </c>
      <c r="AN3951">
        <v>44</v>
      </c>
      <c r="AP3951">
        <v>1</v>
      </c>
      <c r="AR3951" t="s">
        <v>4049</v>
      </c>
      <c r="AS3951" s="1">
        <v>44354.069444444445</v>
      </c>
      <c r="AT3951" s="1">
        <v>44354.07613425926</v>
      </c>
      <c r="AU3951" s="1">
        <v>44354.07671296296</v>
      </c>
      <c r="AV3951" t="s">
        <v>71</v>
      </c>
      <c r="AW3951" t="s">
        <v>72</v>
      </c>
      <c r="AX3951" t="s">
        <v>73</v>
      </c>
    </row>
    <row r="3952" spans="1:50" x14ac:dyDescent="0.3">
      <c r="A3952" t="str">
        <f>"202356C0100"</f>
        <v>202356C0100</v>
      </c>
      <c r="B3952" t="str">
        <f>"202356C01002"</f>
        <v>202356C01002</v>
      </c>
      <c r="C3952" t="str">
        <f t="shared" si="202"/>
        <v>20</v>
      </c>
      <c r="D3952" t="s">
        <v>67</v>
      </c>
      <c r="E3952" t="str">
        <f t="shared" si="201"/>
        <v>017</v>
      </c>
      <c r="F3952" t="s">
        <v>3808</v>
      </c>
      <c r="G3952" t="str">
        <f>"2356"</f>
        <v>2356</v>
      </c>
      <c r="H3952" t="str">
        <f>"0001"</f>
        <v>0001</v>
      </c>
      <c r="I3952" t="s">
        <v>75</v>
      </c>
      <c r="J3952">
        <v>0</v>
      </c>
      <c r="K3952">
        <v>1</v>
      </c>
      <c r="L3952">
        <v>2</v>
      </c>
      <c r="M3952">
        <v>223</v>
      </c>
      <c r="N3952">
        <v>284</v>
      </c>
      <c r="O3952">
        <v>9</v>
      </c>
      <c r="P3952">
        <v>284</v>
      </c>
      <c r="Q3952">
        <v>12</v>
      </c>
      <c r="R3952">
        <v>42</v>
      </c>
      <c r="S3952">
        <v>1</v>
      </c>
      <c r="T3952">
        <v>0</v>
      </c>
      <c r="U3952">
        <v>57</v>
      </c>
      <c r="V3952">
        <v>29</v>
      </c>
      <c r="W3952">
        <v>8</v>
      </c>
      <c r="X3952">
        <v>115</v>
      </c>
      <c r="Y3952">
        <v>0</v>
      </c>
      <c r="Z3952">
        <v>5</v>
      </c>
      <c r="AA3952">
        <v>0</v>
      </c>
      <c r="AB3952">
        <v>3</v>
      </c>
      <c r="AD3952" t="s">
        <v>77</v>
      </c>
      <c r="AE3952">
        <v>2</v>
      </c>
      <c r="AF3952" t="s">
        <v>77</v>
      </c>
      <c r="AG3952" t="s">
        <v>77</v>
      </c>
      <c r="AH3952" t="s">
        <v>77</v>
      </c>
      <c r="AI3952" t="s">
        <v>77</v>
      </c>
      <c r="AJ3952">
        <v>10</v>
      </c>
      <c r="AK3952">
        <v>284</v>
      </c>
      <c r="AL3952">
        <v>284</v>
      </c>
      <c r="AM3952">
        <v>463</v>
      </c>
      <c r="AN3952">
        <v>44</v>
      </c>
      <c r="AO3952" t="s">
        <v>78</v>
      </c>
      <c r="AP3952">
        <v>1</v>
      </c>
      <c r="AR3952" t="s">
        <v>4050</v>
      </c>
      <c r="AS3952" s="1">
        <v>44353.875</v>
      </c>
      <c r="AT3952" s="1">
        <v>44354.088414351849</v>
      </c>
      <c r="AU3952" s="1">
        <v>44354.089421296296</v>
      </c>
      <c r="AV3952" t="s">
        <v>71</v>
      </c>
      <c r="AW3952" t="s">
        <v>72</v>
      </c>
      <c r="AX3952" t="s">
        <v>73</v>
      </c>
    </row>
    <row r="3953" spans="1:50" x14ac:dyDescent="0.3">
      <c r="A3953" t="str">
        <f>"202356E0100"</f>
        <v>202356E0100</v>
      </c>
      <c r="B3953" t="str">
        <f>"202356E01002"</f>
        <v>202356E01002</v>
      </c>
      <c r="C3953" t="str">
        <f t="shared" si="202"/>
        <v>20</v>
      </c>
      <c r="D3953" t="s">
        <v>67</v>
      </c>
      <c r="E3953" t="str">
        <f t="shared" si="201"/>
        <v>017</v>
      </c>
      <c r="F3953" t="s">
        <v>3808</v>
      </c>
      <c r="G3953" t="str">
        <f>"2356"</f>
        <v>2356</v>
      </c>
      <c r="H3953" t="str">
        <f>"0001"</f>
        <v>0001</v>
      </c>
      <c r="I3953" t="s">
        <v>109</v>
      </c>
      <c r="J3953">
        <v>0</v>
      </c>
      <c r="K3953">
        <v>1</v>
      </c>
      <c r="L3953">
        <v>2</v>
      </c>
      <c r="M3953">
        <v>96</v>
      </c>
      <c r="N3953">
        <v>166</v>
      </c>
      <c r="O3953">
        <v>166</v>
      </c>
      <c r="P3953">
        <v>168</v>
      </c>
      <c r="Q3953">
        <v>5</v>
      </c>
      <c r="R3953">
        <v>94</v>
      </c>
      <c r="S3953">
        <v>0</v>
      </c>
      <c r="T3953">
        <v>0</v>
      </c>
      <c r="U3953">
        <v>40</v>
      </c>
      <c r="V3953">
        <v>0</v>
      </c>
      <c r="W3953">
        <v>10</v>
      </c>
      <c r="X3953">
        <v>14</v>
      </c>
      <c r="Y3953">
        <v>0</v>
      </c>
      <c r="Z3953">
        <v>1</v>
      </c>
      <c r="AA3953">
        <v>0</v>
      </c>
      <c r="AB3953">
        <v>0</v>
      </c>
      <c r="AD3953">
        <v>0</v>
      </c>
      <c r="AE3953">
        <v>1</v>
      </c>
      <c r="AF3953">
        <v>0</v>
      </c>
      <c r="AG3953">
        <v>0</v>
      </c>
      <c r="AH3953">
        <v>0</v>
      </c>
      <c r="AI3953">
        <v>0</v>
      </c>
      <c r="AJ3953">
        <v>3</v>
      </c>
      <c r="AK3953">
        <v>168</v>
      </c>
      <c r="AL3953">
        <v>168</v>
      </c>
      <c r="AM3953">
        <v>220</v>
      </c>
      <c r="AN3953">
        <v>44</v>
      </c>
      <c r="AP3953">
        <v>1</v>
      </c>
      <c r="AR3953" t="s">
        <v>4051</v>
      </c>
      <c r="AS3953" s="1">
        <v>44354.051388888889</v>
      </c>
      <c r="AT3953" s="1">
        <v>44354.059953703705</v>
      </c>
      <c r="AU3953" s="1">
        <v>44354.060891203706</v>
      </c>
      <c r="AV3953" t="s">
        <v>71</v>
      </c>
      <c r="AW3953" t="s">
        <v>72</v>
      </c>
      <c r="AX3953" t="s">
        <v>73</v>
      </c>
    </row>
    <row r="3954" spans="1:50" x14ac:dyDescent="0.3">
      <c r="A3954" t="str">
        <f>"202357B0000"</f>
        <v>202357B0000</v>
      </c>
      <c r="B3954" t="str">
        <f>"202357B00002"</f>
        <v>202357B00002</v>
      </c>
      <c r="C3954" t="str">
        <f t="shared" si="202"/>
        <v>20</v>
      </c>
      <c r="D3954" t="s">
        <v>67</v>
      </c>
      <c r="E3954" t="str">
        <f t="shared" si="201"/>
        <v>017</v>
      </c>
      <c r="F3954" t="s">
        <v>3808</v>
      </c>
      <c r="G3954" t="str">
        <f>"2357"</f>
        <v>2357</v>
      </c>
      <c r="H3954" t="str">
        <f>"0000"</f>
        <v>0000</v>
      </c>
      <c r="I3954" t="s">
        <v>69</v>
      </c>
      <c r="J3954">
        <v>0</v>
      </c>
      <c r="K3954">
        <v>1</v>
      </c>
      <c r="L3954">
        <v>2</v>
      </c>
      <c r="M3954">
        <v>320</v>
      </c>
      <c r="N3954">
        <v>426</v>
      </c>
      <c r="O3954">
        <v>3</v>
      </c>
      <c r="P3954">
        <v>424</v>
      </c>
      <c r="Q3954">
        <v>25</v>
      </c>
      <c r="R3954">
        <v>75</v>
      </c>
      <c r="S3954">
        <v>7</v>
      </c>
      <c r="T3954">
        <v>3</v>
      </c>
      <c r="U3954">
        <v>91</v>
      </c>
      <c r="V3954">
        <v>53</v>
      </c>
      <c r="W3954">
        <v>11</v>
      </c>
      <c r="X3954">
        <v>119</v>
      </c>
      <c r="Y3954">
        <v>3</v>
      </c>
      <c r="Z3954">
        <v>6</v>
      </c>
      <c r="AA3954">
        <v>1</v>
      </c>
      <c r="AB3954">
        <v>11</v>
      </c>
      <c r="AD3954">
        <v>4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15</v>
      </c>
      <c r="AK3954">
        <v>424</v>
      </c>
      <c r="AL3954">
        <v>424</v>
      </c>
      <c r="AM3954">
        <v>700</v>
      </c>
      <c r="AN3954">
        <v>44</v>
      </c>
      <c r="AP3954">
        <v>1</v>
      </c>
      <c r="AR3954" t="s">
        <v>4052</v>
      </c>
      <c r="AS3954" s="1">
        <v>44353.770833333336</v>
      </c>
      <c r="AT3954" s="1">
        <v>44354.08388888889</v>
      </c>
      <c r="AU3954" s="1">
        <v>44354.084502314814</v>
      </c>
      <c r="AV3954" t="s">
        <v>71</v>
      </c>
      <c r="AW3954" t="s">
        <v>72</v>
      </c>
      <c r="AX3954" t="s">
        <v>73</v>
      </c>
    </row>
    <row r="3955" spans="1:50" x14ac:dyDescent="0.3">
      <c r="A3955" t="str">
        <f>"202357C0100"</f>
        <v>202357C0100</v>
      </c>
      <c r="B3955" t="str">
        <f>"202357C01002"</f>
        <v>202357C01002</v>
      </c>
      <c r="C3955" t="str">
        <f t="shared" si="202"/>
        <v>20</v>
      </c>
      <c r="D3955" t="s">
        <v>67</v>
      </c>
      <c r="E3955" t="str">
        <f t="shared" si="201"/>
        <v>017</v>
      </c>
      <c r="F3955" t="s">
        <v>3808</v>
      </c>
      <c r="G3955" t="str">
        <f>"2357"</f>
        <v>2357</v>
      </c>
      <c r="H3955" t="str">
        <f>"0001"</f>
        <v>0001</v>
      </c>
      <c r="I3955" t="s">
        <v>75</v>
      </c>
      <c r="J3955">
        <v>0</v>
      </c>
      <c r="K3955">
        <v>1</v>
      </c>
      <c r="L3955">
        <v>2</v>
      </c>
      <c r="M3955">
        <v>306</v>
      </c>
      <c r="N3955">
        <v>440</v>
      </c>
      <c r="O3955">
        <v>4</v>
      </c>
      <c r="P3955">
        <v>436</v>
      </c>
      <c r="Q3955">
        <v>24</v>
      </c>
      <c r="R3955">
        <v>69</v>
      </c>
      <c r="S3955">
        <v>9</v>
      </c>
      <c r="T3955">
        <v>5</v>
      </c>
      <c r="U3955">
        <v>84</v>
      </c>
      <c r="V3955">
        <v>49</v>
      </c>
      <c r="W3955">
        <v>17</v>
      </c>
      <c r="X3955">
        <v>146</v>
      </c>
      <c r="Y3955">
        <v>3</v>
      </c>
      <c r="Z3955">
        <v>3</v>
      </c>
      <c r="AA3955">
        <v>0</v>
      </c>
      <c r="AB3955">
        <v>8</v>
      </c>
      <c r="AD3955" t="s">
        <v>77</v>
      </c>
      <c r="AE3955">
        <v>2</v>
      </c>
      <c r="AF3955" t="s">
        <v>77</v>
      </c>
      <c r="AG3955" t="s">
        <v>77</v>
      </c>
      <c r="AH3955" t="s">
        <v>77</v>
      </c>
      <c r="AI3955" t="s">
        <v>77</v>
      </c>
      <c r="AJ3955">
        <v>17</v>
      </c>
      <c r="AK3955" t="s">
        <v>77</v>
      </c>
      <c r="AL3955">
        <v>436</v>
      </c>
      <c r="AM3955">
        <v>699</v>
      </c>
      <c r="AN3955">
        <v>44</v>
      </c>
      <c r="AO3955" t="s">
        <v>78</v>
      </c>
      <c r="AP3955">
        <v>1</v>
      </c>
      <c r="AR3955" t="s">
        <v>4053</v>
      </c>
      <c r="AS3955" s="1">
        <v>44354.080555555556</v>
      </c>
      <c r="AT3955" s="1">
        <v>44354.088159722225</v>
      </c>
      <c r="AU3955" s="1">
        <v>44354.088900462964</v>
      </c>
      <c r="AV3955" t="s">
        <v>71</v>
      </c>
      <c r="AW3955" t="s">
        <v>72</v>
      </c>
      <c r="AX3955" t="s">
        <v>73</v>
      </c>
    </row>
    <row r="3956" spans="1:50" x14ac:dyDescent="0.3">
      <c r="A3956" t="str">
        <f>"202358B0000"</f>
        <v>202358B0000</v>
      </c>
      <c r="B3956" t="str">
        <f>"202358B00002"</f>
        <v>202358B00002</v>
      </c>
      <c r="C3956" t="str">
        <f t="shared" si="202"/>
        <v>20</v>
      </c>
      <c r="D3956" t="s">
        <v>67</v>
      </c>
      <c r="E3956" t="str">
        <f t="shared" si="201"/>
        <v>017</v>
      </c>
      <c r="F3956" t="s">
        <v>3808</v>
      </c>
      <c r="G3956" t="str">
        <f>"2358"</f>
        <v>2358</v>
      </c>
      <c r="H3956" t="str">
        <f>"0000"</f>
        <v>0000</v>
      </c>
      <c r="I3956" t="s">
        <v>69</v>
      </c>
      <c r="J3956">
        <v>0</v>
      </c>
      <c r="K3956">
        <v>1</v>
      </c>
      <c r="L3956">
        <v>2</v>
      </c>
      <c r="M3956">
        <v>329</v>
      </c>
      <c r="N3956">
        <v>348</v>
      </c>
      <c r="O3956">
        <v>3</v>
      </c>
      <c r="P3956" t="s">
        <v>80</v>
      </c>
      <c r="Q3956">
        <v>31</v>
      </c>
      <c r="R3956">
        <v>53</v>
      </c>
      <c r="S3956">
        <v>8</v>
      </c>
      <c r="T3956">
        <v>2</v>
      </c>
      <c r="U3956" t="s">
        <v>99</v>
      </c>
      <c r="V3956">
        <v>18</v>
      </c>
      <c r="W3956">
        <v>11</v>
      </c>
      <c r="X3956" t="s">
        <v>99</v>
      </c>
      <c r="Y3956">
        <v>4</v>
      </c>
      <c r="Z3956">
        <v>1</v>
      </c>
      <c r="AA3956">
        <v>1</v>
      </c>
      <c r="AB3956">
        <v>4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11</v>
      </c>
      <c r="AK3956">
        <v>348</v>
      </c>
      <c r="AL3956">
        <v>144</v>
      </c>
      <c r="AM3956">
        <v>633</v>
      </c>
      <c r="AN3956">
        <v>44</v>
      </c>
      <c r="AO3956" t="s">
        <v>78</v>
      </c>
      <c r="AP3956">
        <v>1</v>
      </c>
      <c r="AR3956" t="s">
        <v>4054</v>
      </c>
      <c r="AS3956" s="1">
        <v>44353.976388888892</v>
      </c>
      <c r="AT3956" s="1">
        <v>44353.983194444445</v>
      </c>
      <c r="AU3956" s="1">
        <v>44353.9846875</v>
      </c>
      <c r="AV3956" t="s">
        <v>71</v>
      </c>
      <c r="AW3956" t="s">
        <v>72</v>
      </c>
      <c r="AX3956" t="s">
        <v>73</v>
      </c>
    </row>
    <row r="3957" spans="1:50" x14ac:dyDescent="0.3">
      <c r="A3957" t="str">
        <f>"202358C0100"</f>
        <v>202358C0100</v>
      </c>
      <c r="B3957" t="str">
        <f>"202358C01002"</f>
        <v>202358C01002</v>
      </c>
      <c r="C3957" t="str">
        <f t="shared" si="202"/>
        <v>20</v>
      </c>
      <c r="D3957" t="s">
        <v>67</v>
      </c>
      <c r="E3957" t="str">
        <f t="shared" si="201"/>
        <v>017</v>
      </c>
      <c r="F3957" t="s">
        <v>3808</v>
      </c>
      <c r="G3957" t="str">
        <f>"2358"</f>
        <v>2358</v>
      </c>
      <c r="H3957" t="str">
        <f>"0001"</f>
        <v>0001</v>
      </c>
      <c r="I3957" t="s">
        <v>75</v>
      </c>
      <c r="J3957">
        <v>0</v>
      </c>
      <c r="K3957">
        <v>1</v>
      </c>
      <c r="L3957">
        <v>2</v>
      </c>
      <c r="M3957">
        <v>305</v>
      </c>
      <c r="N3957">
        <v>372</v>
      </c>
      <c r="O3957">
        <v>5</v>
      </c>
      <c r="P3957">
        <v>372</v>
      </c>
      <c r="Q3957">
        <v>20</v>
      </c>
      <c r="R3957">
        <v>55</v>
      </c>
      <c r="S3957">
        <v>5</v>
      </c>
      <c r="T3957">
        <v>4</v>
      </c>
      <c r="U3957">
        <v>94</v>
      </c>
      <c r="V3957">
        <v>16</v>
      </c>
      <c r="W3957">
        <v>7</v>
      </c>
      <c r="X3957">
        <v>133</v>
      </c>
      <c r="Y3957">
        <v>7</v>
      </c>
      <c r="Z3957">
        <v>3</v>
      </c>
      <c r="AA3957">
        <v>0</v>
      </c>
      <c r="AB3957">
        <v>7</v>
      </c>
      <c r="AD3957">
        <v>1</v>
      </c>
      <c r="AE3957">
        <v>2</v>
      </c>
      <c r="AF3957">
        <v>0</v>
      </c>
      <c r="AG3957">
        <v>0</v>
      </c>
      <c r="AH3957">
        <v>0</v>
      </c>
      <c r="AI3957">
        <v>0</v>
      </c>
      <c r="AJ3957">
        <v>18</v>
      </c>
      <c r="AK3957">
        <v>372</v>
      </c>
      <c r="AL3957">
        <v>372</v>
      </c>
      <c r="AM3957">
        <v>633</v>
      </c>
      <c r="AN3957">
        <v>44</v>
      </c>
      <c r="AP3957">
        <v>1</v>
      </c>
      <c r="AR3957" t="s">
        <v>4055</v>
      </c>
      <c r="AS3957" s="1">
        <v>44353.986805555556</v>
      </c>
      <c r="AT3957" s="1">
        <v>44353.990347222221</v>
      </c>
      <c r="AU3957" s="1">
        <v>44353.991122685184</v>
      </c>
      <c r="AV3957" t="s">
        <v>71</v>
      </c>
      <c r="AW3957" t="s">
        <v>72</v>
      </c>
      <c r="AX3957" t="s">
        <v>73</v>
      </c>
    </row>
    <row r="3958" spans="1:50" x14ac:dyDescent="0.3">
      <c r="A3958" t="str">
        <f>"202358C0200"</f>
        <v>202358C0200</v>
      </c>
      <c r="B3958" t="str">
        <f>"202358C02002"</f>
        <v>202358C02002</v>
      </c>
      <c r="C3958" t="str">
        <f t="shared" si="202"/>
        <v>20</v>
      </c>
      <c r="D3958" t="s">
        <v>67</v>
      </c>
      <c r="E3958" t="str">
        <f t="shared" si="201"/>
        <v>017</v>
      </c>
      <c r="F3958" t="s">
        <v>3808</v>
      </c>
      <c r="G3958" t="str">
        <f>"2358"</f>
        <v>2358</v>
      </c>
      <c r="H3958" t="str">
        <f>"0002"</f>
        <v>0002</v>
      </c>
      <c r="I3958" t="s">
        <v>75</v>
      </c>
      <c r="J3958">
        <v>0</v>
      </c>
      <c r="K3958">
        <v>1</v>
      </c>
      <c r="L3958">
        <v>2</v>
      </c>
      <c r="M3958">
        <v>294</v>
      </c>
      <c r="N3958">
        <v>383</v>
      </c>
      <c r="O3958">
        <v>4</v>
      </c>
      <c r="P3958">
        <v>383</v>
      </c>
      <c r="Q3958">
        <v>10</v>
      </c>
      <c r="R3958">
        <v>58</v>
      </c>
      <c r="S3958">
        <v>2</v>
      </c>
      <c r="T3958">
        <v>5</v>
      </c>
      <c r="U3958">
        <v>97</v>
      </c>
      <c r="V3958">
        <v>27</v>
      </c>
      <c r="W3958">
        <v>10</v>
      </c>
      <c r="X3958">
        <v>147</v>
      </c>
      <c r="Y3958">
        <v>2</v>
      </c>
      <c r="Z3958">
        <v>1</v>
      </c>
      <c r="AA3958">
        <v>2</v>
      </c>
      <c r="AB3958">
        <v>10</v>
      </c>
      <c r="AD3958">
        <v>1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11</v>
      </c>
      <c r="AK3958">
        <v>383</v>
      </c>
      <c r="AL3958">
        <v>383</v>
      </c>
      <c r="AM3958">
        <v>633</v>
      </c>
      <c r="AN3958">
        <v>44</v>
      </c>
      <c r="AP3958">
        <v>1</v>
      </c>
      <c r="AR3958" t="s">
        <v>4056</v>
      </c>
      <c r="AS3958" s="1">
        <v>44353.968055555553</v>
      </c>
      <c r="AT3958" s="1">
        <v>44353.970381944448</v>
      </c>
      <c r="AU3958" s="1">
        <v>44353.970810185187</v>
      </c>
      <c r="AV3958" t="s">
        <v>71</v>
      </c>
      <c r="AW3958" t="s">
        <v>72</v>
      </c>
      <c r="AX3958" t="s">
        <v>73</v>
      </c>
    </row>
    <row r="3959" spans="1:50" x14ac:dyDescent="0.3">
      <c r="A3959" t="str">
        <f>"202359B0000"</f>
        <v>202359B0000</v>
      </c>
      <c r="B3959" t="str">
        <f>"202359B00002"</f>
        <v>202359B00002</v>
      </c>
      <c r="C3959" t="str">
        <f t="shared" si="202"/>
        <v>20</v>
      </c>
      <c r="D3959" t="s">
        <v>67</v>
      </c>
      <c r="E3959" t="str">
        <f t="shared" si="201"/>
        <v>017</v>
      </c>
      <c r="F3959" t="s">
        <v>3808</v>
      </c>
      <c r="G3959" t="str">
        <f>"2359"</f>
        <v>2359</v>
      </c>
      <c r="H3959" t="str">
        <f>"0000"</f>
        <v>0000</v>
      </c>
      <c r="I3959" t="s">
        <v>69</v>
      </c>
      <c r="J3959">
        <v>0</v>
      </c>
      <c r="K3959">
        <v>1</v>
      </c>
      <c r="L3959">
        <v>2</v>
      </c>
      <c r="M3959">
        <v>260</v>
      </c>
      <c r="N3959">
        <v>361</v>
      </c>
      <c r="O3959">
        <v>2</v>
      </c>
      <c r="P3959">
        <v>361</v>
      </c>
      <c r="Q3959">
        <v>16</v>
      </c>
      <c r="R3959">
        <v>53</v>
      </c>
      <c r="S3959">
        <v>1</v>
      </c>
      <c r="T3959">
        <v>2</v>
      </c>
      <c r="U3959">
        <v>52</v>
      </c>
      <c r="V3959">
        <v>66</v>
      </c>
      <c r="W3959">
        <v>13</v>
      </c>
      <c r="X3959">
        <v>139</v>
      </c>
      <c r="Y3959">
        <v>1</v>
      </c>
      <c r="Z3959">
        <v>2</v>
      </c>
      <c r="AA3959">
        <v>2</v>
      </c>
      <c r="AB3959">
        <v>4</v>
      </c>
      <c r="AD3959">
        <v>1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9</v>
      </c>
      <c r="AK3959">
        <v>361</v>
      </c>
      <c r="AL3959">
        <v>361</v>
      </c>
      <c r="AM3959">
        <v>577</v>
      </c>
      <c r="AN3959">
        <v>44</v>
      </c>
      <c r="AP3959">
        <v>1</v>
      </c>
      <c r="AR3959" t="s">
        <v>4057</v>
      </c>
      <c r="AS3959" s="1">
        <v>44354.151388888888</v>
      </c>
      <c r="AT3959" s="1">
        <v>44354.154351851852</v>
      </c>
      <c r="AU3959" s="1">
        <v>44354.154976851853</v>
      </c>
      <c r="AV3959" t="s">
        <v>71</v>
      </c>
      <c r="AW3959" t="s">
        <v>72</v>
      </c>
      <c r="AX3959" t="s">
        <v>73</v>
      </c>
    </row>
    <row r="3960" spans="1:50" x14ac:dyDescent="0.3">
      <c r="A3960" t="str">
        <f>"202360B0000"</f>
        <v>202360B0000</v>
      </c>
      <c r="B3960" t="str">
        <f>"202360B00002"</f>
        <v>202360B00002</v>
      </c>
      <c r="C3960" t="str">
        <f t="shared" si="202"/>
        <v>20</v>
      </c>
      <c r="D3960" t="s">
        <v>67</v>
      </c>
      <c r="E3960" t="str">
        <f t="shared" si="201"/>
        <v>017</v>
      </c>
      <c r="F3960" t="s">
        <v>3808</v>
      </c>
      <c r="G3960" t="str">
        <f>"2360"</f>
        <v>2360</v>
      </c>
      <c r="H3960" t="str">
        <f>"0000"</f>
        <v>0000</v>
      </c>
      <c r="I3960" t="s">
        <v>69</v>
      </c>
      <c r="J3960">
        <v>0</v>
      </c>
      <c r="K3960">
        <v>1</v>
      </c>
      <c r="L3960">
        <v>2</v>
      </c>
      <c r="M3960">
        <v>250</v>
      </c>
      <c r="N3960">
        <v>231</v>
      </c>
      <c r="O3960">
        <v>4</v>
      </c>
      <c r="P3960">
        <v>231</v>
      </c>
      <c r="Q3960">
        <v>5</v>
      </c>
      <c r="R3960">
        <v>69</v>
      </c>
      <c r="S3960">
        <v>18</v>
      </c>
      <c r="T3960">
        <v>3</v>
      </c>
      <c r="U3960">
        <v>52</v>
      </c>
      <c r="V3960">
        <v>4</v>
      </c>
      <c r="W3960">
        <v>12</v>
      </c>
      <c r="X3960">
        <v>48</v>
      </c>
      <c r="Y3960">
        <v>2</v>
      </c>
      <c r="Z3960">
        <v>1</v>
      </c>
      <c r="AA3960">
        <v>1</v>
      </c>
      <c r="AB3960">
        <v>7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9</v>
      </c>
      <c r="AK3960">
        <v>231</v>
      </c>
      <c r="AL3960">
        <v>231</v>
      </c>
      <c r="AM3960">
        <v>438</v>
      </c>
      <c r="AN3960">
        <v>44</v>
      </c>
      <c r="AP3960">
        <v>1</v>
      </c>
      <c r="AR3960" t="s">
        <v>4058</v>
      </c>
      <c r="AS3960" s="1">
        <v>44354.156944444447</v>
      </c>
      <c r="AT3960" s="1">
        <v>44354.159594907411</v>
      </c>
      <c r="AU3960" s="1">
        <v>44354.15996527778</v>
      </c>
      <c r="AV3960" t="s">
        <v>71</v>
      </c>
      <c r="AW3960" t="s">
        <v>72</v>
      </c>
      <c r="AX3960" t="s">
        <v>73</v>
      </c>
    </row>
    <row r="3961" spans="1:50" x14ac:dyDescent="0.3">
      <c r="A3961" t="str">
        <f>"202360C0100"</f>
        <v>202360C0100</v>
      </c>
      <c r="B3961" t="str">
        <f>"202360C01002"</f>
        <v>202360C01002</v>
      </c>
      <c r="C3961" t="str">
        <f t="shared" si="202"/>
        <v>20</v>
      </c>
      <c r="D3961" t="s">
        <v>67</v>
      </c>
      <c r="E3961" t="str">
        <f t="shared" si="201"/>
        <v>017</v>
      </c>
      <c r="F3961" t="s">
        <v>3808</v>
      </c>
      <c r="G3961" t="str">
        <f>"2360"</f>
        <v>2360</v>
      </c>
      <c r="H3961" t="str">
        <f>"0001"</f>
        <v>0001</v>
      </c>
      <c r="I3961" t="s">
        <v>75</v>
      </c>
      <c r="J3961">
        <v>0</v>
      </c>
      <c r="K3961">
        <v>1</v>
      </c>
      <c r="L3961">
        <v>2</v>
      </c>
      <c r="M3961">
        <v>264</v>
      </c>
      <c r="N3961">
        <v>217</v>
      </c>
      <c r="O3961">
        <v>3</v>
      </c>
      <c r="P3961">
        <v>217</v>
      </c>
      <c r="Q3961">
        <v>6</v>
      </c>
      <c r="R3961">
        <v>74</v>
      </c>
      <c r="S3961">
        <v>24</v>
      </c>
      <c r="T3961">
        <v>2</v>
      </c>
      <c r="U3961">
        <v>45</v>
      </c>
      <c r="V3961">
        <v>6</v>
      </c>
      <c r="W3961">
        <v>7</v>
      </c>
      <c r="X3961">
        <v>29</v>
      </c>
      <c r="Y3961">
        <v>6</v>
      </c>
      <c r="Z3961">
        <v>1</v>
      </c>
      <c r="AA3961">
        <v>1</v>
      </c>
      <c r="AB3961">
        <v>2</v>
      </c>
      <c r="AD3961">
        <v>1</v>
      </c>
      <c r="AE3961">
        <v>1</v>
      </c>
      <c r="AF3961">
        <v>1</v>
      </c>
      <c r="AG3961">
        <v>0</v>
      </c>
      <c r="AH3961">
        <v>0</v>
      </c>
      <c r="AI3961">
        <v>0</v>
      </c>
      <c r="AJ3961">
        <v>11</v>
      </c>
      <c r="AK3961">
        <v>217</v>
      </c>
      <c r="AL3961">
        <v>217</v>
      </c>
      <c r="AM3961">
        <v>437</v>
      </c>
      <c r="AN3961">
        <v>44</v>
      </c>
      <c r="AP3961">
        <v>1</v>
      </c>
      <c r="AR3961" t="s">
        <v>4059</v>
      </c>
      <c r="AS3961" s="1">
        <v>44354.159722222219</v>
      </c>
      <c r="AT3961" s="1">
        <v>44354.1637962963</v>
      </c>
      <c r="AU3961" s="1">
        <v>44354.164212962962</v>
      </c>
      <c r="AV3961" t="s">
        <v>71</v>
      </c>
      <c r="AW3961" t="s">
        <v>72</v>
      </c>
      <c r="AX3961" t="s">
        <v>73</v>
      </c>
    </row>
    <row r="3962" spans="1:50" x14ac:dyDescent="0.3">
      <c r="A3962" t="str">
        <f>"202361B0000"</f>
        <v>202361B0000</v>
      </c>
      <c r="B3962" t="str">
        <f>"202361B00002"</f>
        <v>202361B00002</v>
      </c>
      <c r="C3962" t="str">
        <f t="shared" si="202"/>
        <v>20</v>
      </c>
      <c r="D3962" t="s">
        <v>67</v>
      </c>
      <c r="E3962" t="str">
        <f t="shared" si="201"/>
        <v>017</v>
      </c>
      <c r="F3962" t="s">
        <v>3808</v>
      </c>
      <c r="G3962" t="str">
        <f>"2361"</f>
        <v>2361</v>
      </c>
      <c r="H3962" t="str">
        <f>"0000"</f>
        <v>0000</v>
      </c>
      <c r="I3962" t="s">
        <v>69</v>
      </c>
      <c r="J3962">
        <v>0</v>
      </c>
      <c r="K3962">
        <v>1</v>
      </c>
      <c r="L3962">
        <v>2</v>
      </c>
      <c r="M3962">
        <v>211</v>
      </c>
      <c r="N3962">
        <v>222</v>
      </c>
      <c r="O3962">
        <v>5</v>
      </c>
      <c r="P3962" t="s">
        <v>80</v>
      </c>
      <c r="Q3962">
        <v>2</v>
      </c>
      <c r="R3962">
        <v>47</v>
      </c>
      <c r="S3962">
        <v>3</v>
      </c>
      <c r="T3962">
        <v>2</v>
      </c>
      <c r="U3962">
        <v>97</v>
      </c>
      <c r="V3962">
        <v>5</v>
      </c>
      <c r="W3962">
        <v>3</v>
      </c>
      <c r="X3962">
        <v>49</v>
      </c>
      <c r="Y3962">
        <v>0</v>
      </c>
      <c r="Z3962">
        <v>1</v>
      </c>
      <c r="AA3962">
        <v>0</v>
      </c>
      <c r="AB3962">
        <v>4</v>
      </c>
      <c r="AD3962">
        <v>1</v>
      </c>
      <c r="AE3962">
        <v>0</v>
      </c>
      <c r="AF3962">
        <v>0</v>
      </c>
      <c r="AG3962">
        <v>1</v>
      </c>
      <c r="AH3962">
        <v>0</v>
      </c>
      <c r="AI3962">
        <v>0</v>
      </c>
      <c r="AJ3962">
        <v>7</v>
      </c>
      <c r="AK3962">
        <v>222</v>
      </c>
      <c r="AL3962">
        <v>222</v>
      </c>
      <c r="AM3962">
        <v>389</v>
      </c>
      <c r="AN3962">
        <v>44</v>
      </c>
      <c r="AP3962">
        <v>1</v>
      </c>
      <c r="AR3962" t="s">
        <v>4060</v>
      </c>
      <c r="AS3962" s="1">
        <v>44353.753472222219</v>
      </c>
      <c r="AT3962" s="1">
        <v>44354.115486111114</v>
      </c>
      <c r="AU3962" s="1">
        <v>44354.116053240738</v>
      </c>
      <c r="AV3962" t="s">
        <v>71</v>
      </c>
      <c r="AW3962" t="s">
        <v>72</v>
      </c>
      <c r="AX3962" t="s">
        <v>73</v>
      </c>
    </row>
    <row r="3963" spans="1:50" x14ac:dyDescent="0.3">
      <c r="A3963" t="str">
        <f>"202412B0000"</f>
        <v>202412B0000</v>
      </c>
      <c r="B3963" t="str">
        <f>"202412B00002"</f>
        <v>202412B00002</v>
      </c>
      <c r="C3963" t="str">
        <f t="shared" si="202"/>
        <v>20</v>
      </c>
      <c r="D3963" t="s">
        <v>67</v>
      </c>
      <c r="E3963" t="str">
        <f t="shared" si="201"/>
        <v>017</v>
      </c>
      <c r="F3963" t="s">
        <v>3808</v>
      </c>
      <c r="G3963" t="str">
        <f>"2412"</f>
        <v>2412</v>
      </c>
      <c r="H3963" t="str">
        <f>"0000"</f>
        <v>0000</v>
      </c>
      <c r="I3963" t="s">
        <v>69</v>
      </c>
      <c r="J3963">
        <v>0</v>
      </c>
      <c r="K3963">
        <v>1</v>
      </c>
      <c r="L3963">
        <v>2</v>
      </c>
      <c r="M3963">
        <v>452</v>
      </c>
      <c r="N3963">
        <v>196</v>
      </c>
      <c r="O3963">
        <v>0</v>
      </c>
      <c r="P3963">
        <v>196</v>
      </c>
      <c r="Q3963">
        <v>11</v>
      </c>
      <c r="R3963">
        <v>36</v>
      </c>
      <c r="S3963">
        <v>9</v>
      </c>
      <c r="T3963">
        <v>7</v>
      </c>
      <c r="U3963">
        <v>23</v>
      </c>
      <c r="V3963">
        <v>6</v>
      </c>
      <c r="W3963">
        <v>1</v>
      </c>
      <c r="X3963">
        <v>89</v>
      </c>
      <c r="Y3963">
        <v>0</v>
      </c>
      <c r="Z3963">
        <v>1</v>
      </c>
      <c r="AA3963">
        <v>0</v>
      </c>
      <c r="AB3963">
        <v>3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10</v>
      </c>
      <c r="AK3963">
        <v>196</v>
      </c>
      <c r="AL3963">
        <v>196</v>
      </c>
      <c r="AM3963">
        <v>604</v>
      </c>
      <c r="AN3963">
        <v>44</v>
      </c>
      <c r="AP3963">
        <v>1</v>
      </c>
      <c r="AR3963" t="s">
        <v>4061</v>
      </c>
      <c r="AS3963" s="1">
        <v>44353.900694444441</v>
      </c>
      <c r="AT3963" s="1">
        <v>44353.903344907405</v>
      </c>
      <c r="AU3963" s="1">
        <v>44353.90483796296</v>
      </c>
      <c r="AV3963" t="s">
        <v>71</v>
      </c>
      <c r="AW3963" t="s">
        <v>72</v>
      </c>
      <c r="AX3963" t="s">
        <v>73</v>
      </c>
    </row>
    <row r="3964" spans="1:50" x14ac:dyDescent="0.3">
      <c r="A3964" t="str">
        <f>"202412C0100"</f>
        <v>202412C0100</v>
      </c>
      <c r="B3964" t="str">
        <f>"202412C01002"</f>
        <v>202412C01002</v>
      </c>
      <c r="C3964" t="str">
        <f t="shared" si="202"/>
        <v>20</v>
      </c>
      <c r="D3964" t="s">
        <v>67</v>
      </c>
      <c r="E3964" t="str">
        <f t="shared" si="201"/>
        <v>017</v>
      </c>
      <c r="F3964" t="s">
        <v>3808</v>
      </c>
      <c r="G3964" t="str">
        <f>"2412"</f>
        <v>2412</v>
      </c>
      <c r="H3964" t="str">
        <f>"0001"</f>
        <v>0001</v>
      </c>
      <c r="I3964" t="s">
        <v>75</v>
      </c>
      <c r="J3964">
        <v>0</v>
      </c>
      <c r="K3964">
        <v>1</v>
      </c>
      <c r="L3964">
        <v>2</v>
      </c>
      <c r="M3964">
        <v>444</v>
      </c>
      <c r="N3964">
        <v>204</v>
      </c>
      <c r="O3964">
        <v>0</v>
      </c>
      <c r="P3964">
        <v>204</v>
      </c>
      <c r="Q3964">
        <v>5</v>
      </c>
      <c r="R3964">
        <v>42</v>
      </c>
      <c r="S3964">
        <v>4</v>
      </c>
      <c r="T3964">
        <v>4</v>
      </c>
      <c r="U3964">
        <v>38</v>
      </c>
      <c r="V3964">
        <v>6</v>
      </c>
      <c r="W3964">
        <v>2</v>
      </c>
      <c r="X3964">
        <v>90</v>
      </c>
      <c r="Y3964">
        <v>0</v>
      </c>
      <c r="Z3964">
        <v>0</v>
      </c>
      <c r="AA3964">
        <v>3</v>
      </c>
      <c r="AB3964">
        <v>3</v>
      </c>
      <c r="AD3964">
        <v>0</v>
      </c>
      <c r="AE3964">
        <v>0</v>
      </c>
      <c r="AF3964">
        <v>0</v>
      </c>
      <c r="AG3964">
        <v>1</v>
      </c>
      <c r="AH3964">
        <v>0</v>
      </c>
      <c r="AI3964">
        <v>0</v>
      </c>
      <c r="AJ3964">
        <v>6</v>
      </c>
      <c r="AK3964">
        <v>204</v>
      </c>
      <c r="AL3964">
        <v>204</v>
      </c>
      <c r="AM3964">
        <v>604</v>
      </c>
      <c r="AN3964">
        <v>44</v>
      </c>
      <c r="AP3964">
        <v>1</v>
      </c>
      <c r="AR3964" t="s">
        <v>4062</v>
      </c>
      <c r="AS3964" s="1">
        <v>44353.905555555553</v>
      </c>
      <c r="AT3964" s="1">
        <v>44353.907939814817</v>
      </c>
      <c r="AU3964" s="1">
        <v>44353.908541666664</v>
      </c>
      <c r="AV3964" t="s">
        <v>71</v>
      </c>
      <c r="AW3964" t="s">
        <v>72</v>
      </c>
      <c r="AX3964" t="s">
        <v>73</v>
      </c>
    </row>
    <row r="3965" spans="1:50" x14ac:dyDescent="0.3">
      <c r="A3965" t="str">
        <f>"202413B0000"</f>
        <v>202413B0000</v>
      </c>
      <c r="B3965" t="str">
        <f>"202413B00002"</f>
        <v>202413B00002</v>
      </c>
      <c r="C3965" t="str">
        <f t="shared" si="202"/>
        <v>20</v>
      </c>
      <c r="D3965" t="s">
        <v>67</v>
      </c>
      <c r="E3965" t="str">
        <f t="shared" si="201"/>
        <v>017</v>
      </c>
      <c r="F3965" t="s">
        <v>3808</v>
      </c>
      <c r="G3965" t="str">
        <f>"2413"</f>
        <v>2413</v>
      </c>
      <c r="H3965" t="str">
        <f>"0000"</f>
        <v>0000</v>
      </c>
      <c r="I3965" t="s">
        <v>69</v>
      </c>
      <c r="J3965">
        <v>0</v>
      </c>
      <c r="K3965">
        <v>1</v>
      </c>
      <c r="L3965">
        <v>2</v>
      </c>
      <c r="M3965">
        <v>332</v>
      </c>
      <c r="N3965">
        <v>247</v>
      </c>
      <c r="O3965">
        <v>3</v>
      </c>
      <c r="P3965" t="s">
        <v>80</v>
      </c>
      <c r="Q3965">
        <v>16</v>
      </c>
      <c r="R3965">
        <v>46</v>
      </c>
      <c r="S3965">
        <v>6</v>
      </c>
      <c r="T3965">
        <v>2</v>
      </c>
      <c r="U3965">
        <v>22</v>
      </c>
      <c r="V3965">
        <v>10</v>
      </c>
      <c r="W3965">
        <v>2</v>
      </c>
      <c r="X3965">
        <v>113</v>
      </c>
      <c r="Y3965">
        <v>2</v>
      </c>
      <c r="Z3965">
        <v>3</v>
      </c>
      <c r="AA3965">
        <v>1</v>
      </c>
      <c r="AB3965">
        <v>6</v>
      </c>
      <c r="AD3965" t="s">
        <v>77</v>
      </c>
      <c r="AE3965" t="s">
        <v>77</v>
      </c>
      <c r="AF3965" t="s">
        <v>77</v>
      </c>
      <c r="AG3965" t="s">
        <v>77</v>
      </c>
      <c r="AH3965">
        <v>1</v>
      </c>
      <c r="AI3965" t="s">
        <v>77</v>
      </c>
      <c r="AJ3965">
        <v>14</v>
      </c>
      <c r="AK3965">
        <v>244</v>
      </c>
      <c r="AL3965">
        <v>244</v>
      </c>
      <c r="AM3965">
        <v>535</v>
      </c>
      <c r="AN3965">
        <v>44</v>
      </c>
      <c r="AO3965" t="s">
        <v>78</v>
      </c>
      <c r="AP3965">
        <v>1</v>
      </c>
      <c r="AR3965" t="s">
        <v>4063</v>
      </c>
      <c r="AS3965" s="1">
        <v>44353.75</v>
      </c>
      <c r="AT3965" s="1">
        <v>44353.907916666663</v>
      </c>
      <c r="AU3965" s="1">
        <v>44353.908842592595</v>
      </c>
      <c r="AV3965" t="s">
        <v>71</v>
      </c>
      <c r="AW3965" t="s">
        <v>72</v>
      </c>
      <c r="AX3965" t="s">
        <v>73</v>
      </c>
    </row>
    <row r="3966" spans="1:50" x14ac:dyDescent="0.3">
      <c r="A3966" t="str">
        <f>"202413C0100"</f>
        <v>202413C0100</v>
      </c>
      <c r="B3966" t="str">
        <f>"202413C01002"</f>
        <v>202413C01002</v>
      </c>
      <c r="C3966" t="str">
        <f t="shared" si="202"/>
        <v>20</v>
      </c>
      <c r="D3966" t="s">
        <v>67</v>
      </c>
      <c r="E3966" t="str">
        <f t="shared" si="201"/>
        <v>017</v>
      </c>
      <c r="F3966" t="s">
        <v>3808</v>
      </c>
      <c r="G3966" t="str">
        <f>"2413"</f>
        <v>2413</v>
      </c>
      <c r="H3966" t="str">
        <f>"0001"</f>
        <v>0001</v>
      </c>
      <c r="I3966" t="s">
        <v>75</v>
      </c>
      <c r="J3966">
        <v>0</v>
      </c>
      <c r="K3966">
        <v>1</v>
      </c>
      <c r="L3966">
        <v>2</v>
      </c>
      <c r="M3966">
        <v>333</v>
      </c>
      <c r="N3966" t="s">
        <v>80</v>
      </c>
      <c r="O3966" t="s">
        <v>80</v>
      </c>
      <c r="P3966" t="s">
        <v>80</v>
      </c>
      <c r="Q3966">
        <v>8</v>
      </c>
      <c r="R3966">
        <v>70</v>
      </c>
      <c r="S3966">
        <v>6</v>
      </c>
      <c r="T3966">
        <v>5</v>
      </c>
      <c r="U3966">
        <v>17</v>
      </c>
      <c r="V3966">
        <v>8</v>
      </c>
      <c r="W3966">
        <v>2</v>
      </c>
      <c r="X3966">
        <v>106</v>
      </c>
      <c r="Y3966">
        <v>3</v>
      </c>
      <c r="Z3966">
        <v>2</v>
      </c>
      <c r="AA3966">
        <v>0</v>
      </c>
      <c r="AB3966">
        <v>6</v>
      </c>
      <c r="AD3966">
        <v>2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11</v>
      </c>
      <c r="AK3966">
        <v>246</v>
      </c>
      <c r="AL3966">
        <v>246</v>
      </c>
      <c r="AM3966">
        <v>535</v>
      </c>
      <c r="AN3966">
        <v>44</v>
      </c>
      <c r="AP3966">
        <v>1</v>
      </c>
      <c r="AR3966" t="s">
        <v>4064</v>
      </c>
      <c r="AS3966" s="1">
        <v>44353.902777777781</v>
      </c>
      <c r="AT3966" s="1">
        <v>44353.905428240738</v>
      </c>
      <c r="AU3966" s="1">
        <v>44353.906053240738</v>
      </c>
      <c r="AV3966" t="s">
        <v>71</v>
      </c>
      <c r="AW3966" t="s">
        <v>72</v>
      </c>
      <c r="AX3966" t="s">
        <v>73</v>
      </c>
    </row>
    <row r="3967" spans="1:50" x14ac:dyDescent="0.3">
      <c r="A3967" t="str">
        <f>"202414B0000"</f>
        <v>202414B0000</v>
      </c>
      <c r="B3967" t="str">
        <f>"202414B00002"</f>
        <v>202414B00002</v>
      </c>
      <c r="C3967" t="str">
        <f t="shared" si="202"/>
        <v>20</v>
      </c>
      <c r="D3967" t="s">
        <v>67</v>
      </c>
      <c r="E3967" t="str">
        <f t="shared" ref="E3967:E3976" si="205">"017"</f>
        <v>017</v>
      </c>
      <c r="F3967" t="s">
        <v>3808</v>
      </c>
      <c r="G3967" t="str">
        <f>"2414"</f>
        <v>2414</v>
      </c>
      <c r="H3967" t="str">
        <f>"0000"</f>
        <v>0000</v>
      </c>
      <c r="I3967" t="s">
        <v>69</v>
      </c>
      <c r="J3967">
        <v>0</v>
      </c>
      <c r="K3967">
        <v>1</v>
      </c>
      <c r="L3967">
        <v>2</v>
      </c>
      <c r="M3967">
        <v>331</v>
      </c>
      <c r="N3967">
        <v>200</v>
      </c>
      <c r="O3967">
        <v>3</v>
      </c>
      <c r="P3967">
        <v>200</v>
      </c>
      <c r="Q3967">
        <v>5</v>
      </c>
      <c r="R3967">
        <v>43</v>
      </c>
      <c r="S3967">
        <v>4</v>
      </c>
      <c r="T3967">
        <v>2</v>
      </c>
      <c r="U3967">
        <v>12</v>
      </c>
      <c r="V3967">
        <v>1</v>
      </c>
      <c r="W3967">
        <v>3</v>
      </c>
      <c r="X3967">
        <v>113</v>
      </c>
      <c r="Y3967">
        <v>1</v>
      </c>
      <c r="Z3967">
        <v>3</v>
      </c>
      <c r="AA3967">
        <v>0</v>
      </c>
      <c r="AB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11</v>
      </c>
      <c r="AK3967">
        <v>200</v>
      </c>
      <c r="AL3967">
        <v>198</v>
      </c>
      <c r="AM3967">
        <v>487</v>
      </c>
      <c r="AN3967">
        <v>44</v>
      </c>
      <c r="AP3967">
        <v>1</v>
      </c>
      <c r="AR3967" t="s">
        <v>4065</v>
      </c>
      <c r="AS3967" s="1">
        <v>44353.974999999999</v>
      </c>
      <c r="AT3967" s="1">
        <v>44353.978263888886</v>
      </c>
      <c r="AU3967" s="1">
        <v>44353.979259259257</v>
      </c>
      <c r="AV3967" t="s">
        <v>71</v>
      </c>
      <c r="AW3967" t="s">
        <v>72</v>
      </c>
      <c r="AX3967" t="s">
        <v>73</v>
      </c>
    </row>
    <row r="3968" spans="1:50" x14ac:dyDescent="0.3">
      <c r="A3968" t="str">
        <f>"202414C0100"</f>
        <v>202414C0100</v>
      </c>
      <c r="B3968" t="str">
        <f>"202414C01002"</f>
        <v>202414C01002</v>
      </c>
      <c r="C3968" t="str">
        <f t="shared" si="202"/>
        <v>20</v>
      </c>
      <c r="D3968" t="s">
        <v>67</v>
      </c>
      <c r="E3968" t="str">
        <f t="shared" si="205"/>
        <v>017</v>
      </c>
      <c r="F3968" t="s">
        <v>3808</v>
      </c>
      <c r="G3968" t="str">
        <f>"2414"</f>
        <v>2414</v>
      </c>
      <c r="H3968" t="str">
        <f>"0001"</f>
        <v>0001</v>
      </c>
      <c r="I3968" t="s">
        <v>75</v>
      </c>
      <c r="J3968">
        <v>0</v>
      </c>
      <c r="K3968">
        <v>1</v>
      </c>
      <c r="L3968">
        <v>2</v>
      </c>
      <c r="M3968">
        <v>357</v>
      </c>
      <c r="N3968">
        <v>173</v>
      </c>
      <c r="O3968">
        <v>3</v>
      </c>
      <c r="P3968">
        <v>173</v>
      </c>
      <c r="Q3968">
        <v>11</v>
      </c>
      <c r="R3968">
        <v>44</v>
      </c>
      <c r="S3968">
        <v>3</v>
      </c>
      <c r="T3968">
        <v>3</v>
      </c>
      <c r="U3968">
        <v>16</v>
      </c>
      <c r="V3968">
        <v>1</v>
      </c>
      <c r="W3968">
        <v>1</v>
      </c>
      <c r="X3968">
        <v>75</v>
      </c>
      <c r="Y3968">
        <v>0</v>
      </c>
      <c r="Z3968">
        <v>6</v>
      </c>
      <c r="AA3968">
        <v>2</v>
      </c>
      <c r="AB3968">
        <v>0</v>
      </c>
      <c r="AD3968">
        <v>1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10</v>
      </c>
      <c r="AK3968">
        <v>173</v>
      </c>
      <c r="AL3968">
        <v>173</v>
      </c>
      <c r="AM3968">
        <v>486</v>
      </c>
      <c r="AN3968">
        <v>44</v>
      </c>
      <c r="AP3968">
        <v>1</v>
      </c>
      <c r="AR3968" t="s">
        <v>4066</v>
      </c>
      <c r="AS3968" s="1">
        <v>44353.977777777778</v>
      </c>
      <c r="AT3968" s="1">
        <v>44353.98097222222</v>
      </c>
      <c r="AU3968" s="1">
        <v>44353.982951388891</v>
      </c>
      <c r="AV3968" t="s">
        <v>71</v>
      </c>
      <c r="AW3968" t="s">
        <v>72</v>
      </c>
      <c r="AX3968" t="s">
        <v>73</v>
      </c>
    </row>
    <row r="3969" spans="1:50" x14ac:dyDescent="0.3">
      <c r="A3969" t="str">
        <f>"202414E0100"</f>
        <v>202414E0100</v>
      </c>
      <c r="B3969" t="str">
        <f>"202414E01002"</f>
        <v>202414E01002</v>
      </c>
      <c r="C3969" t="str">
        <f t="shared" si="202"/>
        <v>20</v>
      </c>
      <c r="D3969" t="s">
        <v>67</v>
      </c>
      <c r="E3969" t="str">
        <f t="shared" si="205"/>
        <v>017</v>
      </c>
      <c r="F3969" t="s">
        <v>3808</v>
      </c>
      <c r="G3969" t="str">
        <f>"2414"</f>
        <v>2414</v>
      </c>
      <c r="H3969" t="str">
        <f>"0001"</f>
        <v>0001</v>
      </c>
      <c r="I3969" t="s">
        <v>109</v>
      </c>
      <c r="J3969">
        <v>0</v>
      </c>
      <c r="K3969">
        <v>1</v>
      </c>
      <c r="L3969">
        <v>2</v>
      </c>
      <c r="M3969">
        <v>95</v>
      </c>
      <c r="N3969">
        <v>77</v>
      </c>
      <c r="O3969">
        <v>0</v>
      </c>
      <c r="P3969">
        <v>77</v>
      </c>
      <c r="Q3969">
        <v>2</v>
      </c>
      <c r="R3969">
        <v>17</v>
      </c>
      <c r="S3969">
        <v>4</v>
      </c>
      <c r="T3969">
        <v>3</v>
      </c>
      <c r="U3969">
        <v>21</v>
      </c>
      <c r="V3969">
        <v>0</v>
      </c>
      <c r="W3969">
        <v>1</v>
      </c>
      <c r="X3969">
        <v>27</v>
      </c>
      <c r="Y3969">
        <v>0</v>
      </c>
      <c r="Z3969">
        <v>0</v>
      </c>
      <c r="AA3969">
        <v>0</v>
      </c>
      <c r="AB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2</v>
      </c>
      <c r="AK3969">
        <v>77</v>
      </c>
      <c r="AL3969">
        <v>77</v>
      </c>
      <c r="AM3969">
        <v>128</v>
      </c>
      <c r="AN3969">
        <v>44</v>
      </c>
      <c r="AP3969">
        <v>1</v>
      </c>
      <c r="AR3969" t="s">
        <v>4067</v>
      </c>
      <c r="AS3969" s="1">
        <v>44353.977777777778</v>
      </c>
      <c r="AT3969" s="1">
        <v>44353.982372685183</v>
      </c>
      <c r="AU3969" s="1">
        <v>44353.982905092591</v>
      </c>
      <c r="AV3969" t="s">
        <v>71</v>
      </c>
      <c r="AW3969" t="s">
        <v>72</v>
      </c>
      <c r="AX3969" t="s">
        <v>73</v>
      </c>
    </row>
    <row r="3970" spans="1:50" x14ac:dyDescent="0.3">
      <c r="A3970" t="str">
        <f>"202415B0000"</f>
        <v>202415B0000</v>
      </c>
      <c r="B3970" t="str">
        <f>"202415B00002"</f>
        <v>202415B00002</v>
      </c>
      <c r="C3970" t="str">
        <f t="shared" si="202"/>
        <v>20</v>
      </c>
      <c r="D3970" t="s">
        <v>67</v>
      </c>
      <c r="E3970" t="str">
        <f t="shared" si="205"/>
        <v>017</v>
      </c>
      <c r="F3970" t="s">
        <v>3808</v>
      </c>
      <c r="G3970" t="str">
        <f>"2415"</f>
        <v>2415</v>
      </c>
      <c r="H3970" t="str">
        <f>"0000"</f>
        <v>0000</v>
      </c>
      <c r="I3970" t="s">
        <v>69</v>
      </c>
      <c r="J3970">
        <v>0</v>
      </c>
      <c r="K3970">
        <v>1</v>
      </c>
      <c r="L3970">
        <v>2</v>
      </c>
      <c r="M3970">
        <v>403</v>
      </c>
      <c r="N3970">
        <v>262</v>
      </c>
      <c r="O3970">
        <v>4</v>
      </c>
      <c r="P3970">
        <v>262</v>
      </c>
      <c r="Q3970">
        <v>16</v>
      </c>
      <c r="R3970">
        <v>65</v>
      </c>
      <c r="S3970">
        <v>5</v>
      </c>
      <c r="T3970">
        <v>4</v>
      </c>
      <c r="U3970">
        <v>15</v>
      </c>
      <c r="V3970">
        <v>1</v>
      </c>
      <c r="W3970">
        <v>1</v>
      </c>
      <c r="X3970">
        <v>137</v>
      </c>
      <c r="Y3970">
        <v>4</v>
      </c>
      <c r="Z3970">
        <v>2</v>
      </c>
      <c r="AA3970">
        <v>1</v>
      </c>
      <c r="AB3970">
        <v>2</v>
      </c>
      <c r="AD3970">
        <v>1</v>
      </c>
      <c r="AE3970">
        <v>1</v>
      </c>
      <c r="AF3970">
        <v>0</v>
      </c>
      <c r="AG3970">
        <v>0</v>
      </c>
      <c r="AH3970">
        <v>0</v>
      </c>
      <c r="AI3970">
        <v>0</v>
      </c>
      <c r="AJ3970">
        <v>7</v>
      </c>
      <c r="AK3970">
        <v>262</v>
      </c>
      <c r="AL3970">
        <v>262</v>
      </c>
      <c r="AM3970">
        <v>621</v>
      </c>
      <c r="AN3970">
        <v>44</v>
      </c>
      <c r="AP3970">
        <v>1</v>
      </c>
      <c r="AR3970" t="s">
        <v>4068</v>
      </c>
      <c r="AS3970" s="1">
        <v>44353.963888888888</v>
      </c>
      <c r="AT3970" s="1">
        <v>44353.96607638889</v>
      </c>
      <c r="AU3970" s="1">
        <v>44353.966620370367</v>
      </c>
      <c r="AV3970" t="s">
        <v>71</v>
      </c>
      <c r="AW3970" t="s">
        <v>72</v>
      </c>
      <c r="AX3970" t="s">
        <v>73</v>
      </c>
    </row>
    <row r="3971" spans="1:50" x14ac:dyDescent="0.3">
      <c r="A3971" t="str">
        <f>"202415C0100"</f>
        <v>202415C0100</v>
      </c>
      <c r="B3971" t="str">
        <f>"202415C01002"</f>
        <v>202415C01002</v>
      </c>
      <c r="C3971" t="str">
        <f t="shared" si="202"/>
        <v>20</v>
      </c>
      <c r="D3971" t="s">
        <v>67</v>
      </c>
      <c r="E3971" t="str">
        <f t="shared" si="205"/>
        <v>017</v>
      </c>
      <c r="F3971" t="s">
        <v>3808</v>
      </c>
      <c r="G3971" t="str">
        <f>"2415"</f>
        <v>2415</v>
      </c>
      <c r="H3971" t="str">
        <f>"0001"</f>
        <v>0001</v>
      </c>
      <c r="I3971" t="s">
        <v>75</v>
      </c>
      <c r="J3971">
        <v>0</v>
      </c>
      <c r="K3971">
        <v>1</v>
      </c>
      <c r="L3971">
        <v>2</v>
      </c>
      <c r="M3971">
        <v>432</v>
      </c>
      <c r="N3971">
        <v>233</v>
      </c>
      <c r="O3971">
        <v>3</v>
      </c>
      <c r="P3971">
        <v>233</v>
      </c>
      <c r="Q3971">
        <v>7</v>
      </c>
      <c r="R3971">
        <v>49</v>
      </c>
      <c r="S3971">
        <v>3</v>
      </c>
      <c r="T3971">
        <v>0</v>
      </c>
      <c r="U3971">
        <v>11</v>
      </c>
      <c r="V3971">
        <v>7</v>
      </c>
      <c r="W3971">
        <v>5</v>
      </c>
      <c r="X3971">
        <v>111</v>
      </c>
      <c r="Y3971">
        <v>2</v>
      </c>
      <c r="Z3971">
        <v>5</v>
      </c>
      <c r="AA3971">
        <v>1</v>
      </c>
      <c r="AB3971">
        <v>1</v>
      </c>
      <c r="AD3971">
        <v>1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4</v>
      </c>
      <c r="AK3971">
        <v>233</v>
      </c>
      <c r="AL3971">
        <v>207</v>
      </c>
      <c r="AM3971">
        <v>621</v>
      </c>
      <c r="AN3971">
        <v>44</v>
      </c>
      <c r="AP3971">
        <v>1</v>
      </c>
      <c r="AR3971" t="s">
        <v>4069</v>
      </c>
      <c r="AS3971" s="1">
        <v>44353.966666666667</v>
      </c>
      <c r="AT3971" s="1">
        <v>44353.970763888887</v>
      </c>
      <c r="AU3971" s="1">
        <v>44353.971550925926</v>
      </c>
      <c r="AV3971" t="s">
        <v>71</v>
      </c>
      <c r="AW3971" t="s">
        <v>72</v>
      </c>
      <c r="AX3971" t="s">
        <v>73</v>
      </c>
    </row>
    <row r="3972" spans="1:50" x14ac:dyDescent="0.3">
      <c r="A3972" t="str">
        <f>"202416B0000"</f>
        <v>202416B0000</v>
      </c>
      <c r="B3972" t="str">
        <f>"202416B00002"</f>
        <v>202416B00002</v>
      </c>
      <c r="C3972" t="str">
        <f t="shared" si="202"/>
        <v>20</v>
      </c>
      <c r="D3972" t="s">
        <v>67</v>
      </c>
      <c r="E3972" t="str">
        <f t="shared" si="205"/>
        <v>017</v>
      </c>
      <c r="F3972" t="s">
        <v>3808</v>
      </c>
      <c r="G3972" t="str">
        <f>"2416"</f>
        <v>2416</v>
      </c>
      <c r="H3972" t="str">
        <f>"0000"</f>
        <v>0000</v>
      </c>
      <c r="I3972" t="s">
        <v>69</v>
      </c>
      <c r="J3972">
        <v>0</v>
      </c>
      <c r="K3972">
        <v>1</v>
      </c>
      <c r="L3972">
        <v>2</v>
      </c>
      <c r="M3972">
        <v>225</v>
      </c>
      <c r="N3972">
        <v>111</v>
      </c>
      <c r="O3972">
        <v>0</v>
      </c>
      <c r="P3972">
        <v>111</v>
      </c>
      <c r="Q3972">
        <v>3</v>
      </c>
      <c r="R3972">
        <v>7</v>
      </c>
      <c r="S3972">
        <v>6</v>
      </c>
      <c r="T3972">
        <v>4</v>
      </c>
      <c r="U3972">
        <v>26</v>
      </c>
      <c r="V3972">
        <v>4</v>
      </c>
      <c r="W3972">
        <v>4</v>
      </c>
      <c r="X3972">
        <v>44</v>
      </c>
      <c r="Y3972">
        <v>0</v>
      </c>
      <c r="Z3972">
        <v>4</v>
      </c>
      <c r="AA3972">
        <v>4</v>
      </c>
      <c r="AB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5</v>
      </c>
      <c r="AK3972">
        <v>111</v>
      </c>
      <c r="AL3972">
        <v>111</v>
      </c>
      <c r="AM3972">
        <v>292</v>
      </c>
      <c r="AN3972">
        <v>44</v>
      </c>
      <c r="AP3972">
        <v>1</v>
      </c>
      <c r="AR3972" t="s">
        <v>4070</v>
      </c>
      <c r="AS3972" s="1">
        <v>44354.390277777777</v>
      </c>
      <c r="AT3972" s="1">
        <v>44354.391400462962</v>
      </c>
      <c r="AU3972" s="1">
        <v>44354.392210648148</v>
      </c>
      <c r="AV3972" t="s">
        <v>71</v>
      </c>
      <c r="AW3972" t="s">
        <v>72</v>
      </c>
      <c r="AX3972" t="s">
        <v>347</v>
      </c>
    </row>
    <row r="3973" spans="1:50" x14ac:dyDescent="0.3">
      <c r="A3973" t="str">
        <f>"202419B0000"</f>
        <v>202419B0000</v>
      </c>
      <c r="B3973" t="str">
        <f>"202419B00002"</f>
        <v>202419B00002</v>
      </c>
      <c r="C3973" t="str">
        <f t="shared" si="202"/>
        <v>20</v>
      </c>
      <c r="D3973" t="s">
        <v>67</v>
      </c>
      <c r="E3973" t="str">
        <f t="shared" si="205"/>
        <v>017</v>
      </c>
      <c r="F3973" t="s">
        <v>3808</v>
      </c>
      <c r="G3973" t="str">
        <f>"2419"</f>
        <v>2419</v>
      </c>
      <c r="H3973" t="str">
        <f>"0000"</f>
        <v>0000</v>
      </c>
      <c r="I3973" t="s">
        <v>69</v>
      </c>
      <c r="J3973">
        <v>0</v>
      </c>
      <c r="K3973">
        <v>1</v>
      </c>
      <c r="L3973">
        <v>2</v>
      </c>
      <c r="M3973">
        <v>319</v>
      </c>
      <c r="N3973">
        <v>197</v>
      </c>
      <c r="O3973">
        <v>0</v>
      </c>
      <c r="P3973">
        <v>197</v>
      </c>
      <c r="Q3973">
        <v>3</v>
      </c>
      <c r="R3973">
        <v>85</v>
      </c>
      <c r="S3973">
        <v>4</v>
      </c>
      <c r="T3973">
        <v>0</v>
      </c>
      <c r="U3973">
        <v>14</v>
      </c>
      <c r="V3973">
        <v>1</v>
      </c>
      <c r="W3973">
        <v>27</v>
      </c>
      <c r="X3973">
        <v>50</v>
      </c>
      <c r="Y3973">
        <v>2</v>
      </c>
      <c r="Z3973">
        <v>1</v>
      </c>
      <c r="AA3973">
        <v>1</v>
      </c>
      <c r="AB3973">
        <v>1</v>
      </c>
      <c r="AD3973" t="s">
        <v>77</v>
      </c>
      <c r="AE3973">
        <v>2</v>
      </c>
      <c r="AF3973" t="s">
        <v>77</v>
      </c>
      <c r="AG3973" t="s">
        <v>77</v>
      </c>
      <c r="AH3973" t="s">
        <v>77</v>
      </c>
      <c r="AI3973" t="s">
        <v>77</v>
      </c>
      <c r="AJ3973" t="s">
        <v>77</v>
      </c>
      <c r="AK3973" t="s">
        <v>77</v>
      </c>
      <c r="AL3973">
        <v>191</v>
      </c>
      <c r="AM3973">
        <v>472</v>
      </c>
      <c r="AN3973">
        <v>44</v>
      </c>
      <c r="AO3973" t="s">
        <v>78</v>
      </c>
      <c r="AP3973">
        <v>1</v>
      </c>
      <c r="AR3973" t="s">
        <v>4071</v>
      </c>
      <c r="AS3973" s="1">
        <v>44354.012499999997</v>
      </c>
      <c r="AT3973" s="1">
        <v>44354.021747685183</v>
      </c>
      <c r="AU3973" s="1">
        <v>44354.022222222222</v>
      </c>
      <c r="AV3973" t="s">
        <v>71</v>
      </c>
      <c r="AW3973" t="s">
        <v>72</v>
      </c>
      <c r="AX3973" t="s">
        <v>73</v>
      </c>
    </row>
    <row r="3974" spans="1:50" x14ac:dyDescent="0.3">
      <c r="A3974" t="str">
        <f>"202419C0100"</f>
        <v>202419C0100</v>
      </c>
      <c r="B3974" t="str">
        <f>"202419C01002"</f>
        <v>202419C01002</v>
      </c>
      <c r="C3974" t="str">
        <f t="shared" si="202"/>
        <v>20</v>
      </c>
      <c r="D3974" t="s">
        <v>67</v>
      </c>
      <c r="E3974" t="str">
        <f t="shared" si="205"/>
        <v>017</v>
      </c>
      <c r="F3974" t="s">
        <v>3808</v>
      </c>
      <c r="G3974" t="str">
        <f>"2419"</f>
        <v>2419</v>
      </c>
      <c r="H3974" t="str">
        <f>"0001"</f>
        <v>0001</v>
      </c>
      <c r="I3974" t="s">
        <v>75</v>
      </c>
      <c r="J3974">
        <v>0</v>
      </c>
      <c r="K3974">
        <v>1</v>
      </c>
      <c r="L3974">
        <v>2</v>
      </c>
      <c r="M3974">
        <v>331</v>
      </c>
      <c r="N3974">
        <v>184</v>
      </c>
      <c r="O3974">
        <v>0</v>
      </c>
      <c r="P3974">
        <v>184</v>
      </c>
      <c r="Q3974">
        <v>0</v>
      </c>
      <c r="R3974">
        <v>77</v>
      </c>
      <c r="S3974">
        <v>7</v>
      </c>
      <c r="T3974">
        <v>1</v>
      </c>
      <c r="U3974">
        <v>17</v>
      </c>
      <c r="V3974">
        <v>1</v>
      </c>
      <c r="W3974">
        <v>25</v>
      </c>
      <c r="X3974">
        <v>49</v>
      </c>
      <c r="Y3974">
        <v>1</v>
      </c>
      <c r="Z3974">
        <v>2</v>
      </c>
      <c r="AA3974">
        <v>0</v>
      </c>
      <c r="AB3974">
        <v>1</v>
      </c>
      <c r="AD3974">
        <v>1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2</v>
      </c>
      <c r="AK3974">
        <v>184</v>
      </c>
      <c r="AL3974">
        <v>184</v>
      </c>
      <c r="AM3974">
        <v>471</v>
      </c>
      <c r="AN3974">
        <v>44</v>
      </c>
      <c r="AP3974">
        <v>1</v>
      </c>
      <c r="AR3974" t="s">
        <v>4072</v>
      </c>
      <c r="AS3974" s="1">
        <v>44354.013888888891</v>
      </c>
      <c r="AT3974" s="1">
        <v>44354.021678240744</v>
      </c>
      <c r="AU3974" s="1">
        <v>44354.023055555554</v>
      </c>
      <c r="AV3974" t="s">
        <v>71</v>
      </c>
      <c r="AW3974" t="s">
        <v>72</v>
      </c>
      <c r="AX3974" t="s">
        <v>73</v>
      </c>
    </row>
    <row r="3975" spans="1:50" x14ac:dyDescent="0.3">
      <c r="A3975" t="str">
        <f>"202420B0000"</f>
        <v>202420B0000</v>
      </c>
      <c r="B3975" t="str">
        <f>"202420B00002"</f>
        <v>202420B00002</v>
      </c>
      <c r="C3975" t="str">
        <f t="shared" ref="C3975:C4038" si="206">"20"</f>
        <v>20</v>
      </c>
      <c r="D3975" t="s">
        <v>67</v>
      </c>
      <c r="E3975" t="str">
        <f t="shared" si="205"/>
        <v>017</v>
      </c>
      <c r="F3975" t="s">
        <v>3808</v>
      </c>
      <c r="G3975" t="str">
        <f>"2420"</f>
        <v>2420</v>
      </c>
      <c r="H3975" t="str">
        <f>"0000"</f>
        <v>0000</v>
      </c>
      <c r="I3975" t="s">
        <v>69</v>
      </c>
      <c r="J3975">
        <v>0</v>
      </c>
      <c r="K3975">
        <v>1</v>
      </c>
      <c r="L3975">
        <v>2</v>
      </c>
      <c r="M3975">
        <v>324</v>
      </c>
      <c r="N3975">
        <v>581</v>
      </c>
      <c r="O3975">
        <v>0</v>
      </c>
      <c r="P3975">
        <v>257</v>
      </c>
      <c r="Q3975">
        <v>7</v>
      </c>
      <c r="R3975">
        <v>119</v>
      </c>
      <c r="S3975">
        <v>1</v>
      </c>
      <c r="T3975">
        <v>15</v>
      </c>
      <c r="U3975">
        <v>14</v>
      </c>
      <c r="V3975">
        <v>4</v>
      </c>
      <c r="W3975">
        <v>23</v>
      </c>
      <c r="X3975">
        <v>53</v>
      </c>
      <c r="Y3975">
        <v>4</v>
      </c>
      <c r="Z3975">
        <v>3</v>
      </c>
      <c r="AA3975">
        <v>0</v>
      </c>
      <c r="AB3975">
        <v>2</v>
      </c>
      <c r="AD3975">
        <v>1</v>
      </c>
      <c r="AE3975">
        <v>1</v>
      </c>
      <c r="AF3975">
        <v>0</v>
      </c>
      <c r="AG3975">
        <v>1</v>
      </c>
      <c r="AH3975">
        <v>0</v>
      </c>
      <c r="AI3975" t="s">
        <v>77</v>
      </c>
      <c r="AJ3975">
        <v>9</v>
      </c>
      <c r="AK3975">
        <v>257</v>
      </c>
      <c r="AL3975">
        <v>257</v>
      </c>
      <c r="AM3975">
        <v>537</v>
      </c>
      <c r="AN3975">
        <v>44</v>
      </c>
      <c r="AO3975" t="s">
        <v>78</v>
      </c>
      <c r="AP3975">
        <v>1</v>
      </c>
      <c r="AR3975" t="s">
        <v>4073</v>
      </c>
      <c r="AS3975" s="1">
        <v>44354.015277777777</v>
      </c>
      <c r="AT3975" s="1">
        <v>44354.024097222224</v>
      </c>
      <c r="AU3975" s="1">
        <v>44354.024780092594</v>
      </c>
      <c r="AV3975" t="s">
        <v>71</v>
      </c>
      <c r="AW3975" t="s">
        <v>72</v>
      </c>
      <c r="AX3975" t="s">
        <v>73</v>
      </c>
    </row>
    <row r="3976" spans="1:50" x14ac:dyDescent="0.3">
      <c r="A3976" t="str">
        <f>"202420C0100"</f>
        <v>202420C0100</v>
      </c>
      <c r="B3976" t="str">
        <f>"202420C01002"</f>
        <v>202420C01002</v>
      </c>
      <c r="C3976" t="str">
        <f t="shared" si="206"/>
        <v>20</v>
      </c>
      <c r="D3976" t="s">
        <v>67</v>
      </c>
      <c r="E3976" t="str">
        <f t="shared" si="205"/>
        <v>017</v>
      </c>
      <c r="F3976" t="s">
        <v>3808</v>
      </c>
      <c r="G3976" t="str">
        <f>"2420"</f>
        <v>2420</v>
      </c>
      <c r="H3976" t="str">
        <f>"0001"</f>
        <v>0001</v>
      </c>
      <c r="I3976" t="s">
        <v>75</v>
      </c>
      <c r="J3976">
        <v>0</v>
      </c>
      <c r="K3976">
        <v>1</v>
      </c>
      <c r="L3976">
        <v>2</v>
      </c>
      <c r="M3976">
        <v>343</v>
      </c>
      <c r="N3976">
        <v>238</v>
      </c>
      <c r="O3976">
        <v>0</v>
      </c>
      <c r="P3976">
        <v>237</v>
      </c>
      <c r="Q3976">
        <v>6</v>
      </c>
      <c r="R3976">
        <v>92</v>
      </c>
      <c r="S3976">
        <v>4</v>
      </c>
      <c r="T3976">
        <v>10</v>
      </c>
      <c r="U3976">
        <v>11</v>
      </c>
      <c r="V3976">
        <v>4</v>
      </c>
      <c r="W3976">
        <v>17</v>
      </c>
      <c r="X3976">
        <v>80</v>
      </c>
      <c r="Y3976">
        <v>0</v>
      </c>
      <c r="Z3976">
        <v>1</v>
      </c>
      <c r="AA3976">
        <v>1</v>
      </c>
      <c r="AB3976">
        <v>4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7</v>
      </c>
      <c r="AK3976">
        <v>237</v>
      </c>
      <c r="AL3976">
        <v>237</v>
      </c>
      <c r="AM3976">
        <v>537</v>
      </c>
      <c r="AN3976">
        <v>44</v>
      </c>
      <c r="AP3976">
        <v>1</v>
      </c>
      <c r="AR3976" t="s">
        <v>4074</v>
      </c>
      <c r="AS3976" s="1">
        <v>44354.018750000003</v>
      </c>
      <c r="AT3976" s="1">
        <v>44354.027650462966</v>
      </c>
      <c r="AU3976" s="1">
        <v>44354.028020833335</v>
      </c>
      <c r="AV3976" t="s">
        <v>71</v>
      </c>
      <c r="AW3976" t="s">
        <v>72</v>
      </c>
      <c r="AX3976" t="s">
        <v>73</v>
      </c>
    </row>
    <row r="3977" spans="1:50" x14ac:dyDescent="0.3">
      <c r="A3977" t="str">
        <f>"200068B0000"</f>
        <v>200068B0000</v>
      </c>
      <c r="B3977" t="str">
        <f>"200068B00002"</f>
        <v>200068B00002</v>
      </c>
      <c r="C3977" t="str">
        <f t="shared" si="206"/>
        <v>20</v>
      </c>
      <c r="D3977" t="s">
        <v>67</v>
      </c>
      <c r="E3977" t="str">
        <f t="shared" ref="E3977:E4040" si="207">"018"</f>
        <v>018</v>
      </c>
      <c r="F3977" t="s">
        <v>4075</v>
      </c>
      <c r="G3977" t="str">
        <f>"0068"</f>
        <v>0068</v>
      </c>
      <c r="H3977" t="str">
        <f>"0000"</f>
        <v>0000</v>
      </c>
      <c r="I3977" t="s">
        <v>69</v>
      </c>
      <c r="J3977">
        <v>0</v>
      </c>
      <c r="K3977">
        <v>1</v>
      </c>
      <c r="L3977">
        <v>2</v>
      </c>
      <c r="M3977">
        <v>161</v>
      </c>
      <c r="N3977">
        <v>295</v>
      </c>
      <c r="O3977">
        <v>6</v>
      </c>
      <c r="P3977">
        <v>295</v>
      </c>
      <c r="Q3977">
        <v>0</v>
      </c>
      <c r="R3977">
        <v>49</v>
      </c>
      <c r="S3977">
        <v>0</v>
      </c>
      <c r="T3977">
        <v>0</v>
      </c>
      <c r="U3977">
        <v>42</v>
      </c>
      <c r="V3977">
        <v>3</v>
      </c>
      <c r="W3977">
        <v>3</v>
      </c>
      <c r="X3977">
        <v>189</v>
      </c>
      <c r="Y3977">
        <v>1</v>
      </c>
      <c r="Z3977">
        <v>1</v>
      </c>
      <c r="AA3977">
        <v>0</v>
      </c>
      <c r="AB3977">
        <v>0</v>
      </c>
      <c r="AD3977">
        <v>0</v>
      </c>
      <c r="AE3977">
        <v>0</v>
      </c>
      <c r="AF3977">
        <v>0</v>
      </c>
      <c r="AG3977">
        <v>0</v>
      </c>
      <c r="AI3977">
        <v>0</v>
      </c>
      <c r="AJ3977">
        <v>7</v>
      </c>
      <c r="AK3977">
        <v>295</v>
      </c>
      <c r="AL3977">
        <v>295</v>
      </c>
      <c r="AM3977">
        <v>412</v>
      </c>
      <c r="AN3977">
        <v>44</v>
      </c>
      <c r="AP3977">
        <v>1</v>
      </c>
      <c r="AR3977" t="s">
        <v>4076</v>
      </c>
      <c r="AS3977" s="1">
        <v>44354.213194444441</v>
      </c>
      <c r="AT3977" s="1">
        <v>44354.214444444442</v>
      </c>
      <c r="AU3977" s="1">
        <v>44354.214907407404</v>
      </c>
      <c r="AV3977" t="s">
        <v>71</v>
      </c>
      <c r="AW3977" t="s">
        <v>72</v>
      </c>
      <c r="AX3977" t="s">
        <v>73</v>
      </c>
    </row>
    <row r="3978" spans="1:50" x14ac:dyDescent="0.3">
      <c r="A3978" t="str">
        <f>"200069B0000"</f>
        <v>200069B0000</v>
      </c>
      <c r="B3978" t="str">
        <f>"200069B00002"</f>
        <v>200069B00002</v>
      </c>
      <c r="C3978" t="str">
        <f t="shared" si="206"/>
        <v>20</v>
      </c>
      <c r="D3978" t="s">
        <v>67</v>
      </c>
      <c r="E3978" t="str">
        <f t="shared" si="207"/>
        <v>018</v>
      </c>
      <c r="F3978" t="s">
        <v>4075</v>
      </c>
      <c r="G3978" t="str">
        <f>"0069"</f>
        <v>0069</v>
      </c>
      <c r="H3978" t="str">
        <f>"0000"</f>
        <v>0000</v>
      </c>
      <c r="I3978" t="s">
        <v>69</v>
      </c>
      <c r="J3978">
        <v>0</v>
      </c>
      <c r="K3978">
        <v>1</v>
      </c>
      <c r="L3978">
        <v>2</v>
      </c>
      <c r="M3978">
        <v>153</v>
      </c>
      <c r="N3978">
        <v>102</v>
      </c>
      <c r="O3978">
        <v>0</v>
      </c>
      <c r="P3978">
        <v>102</v>
      </c>
      <c r="Q3978">
        <v>3</v>
      </c>
      <c r="R3978">
        <v>5</v>
      </c>
      <c r="S3978">
        <v>0</v>
      </c>
      <c r="T3978">
        <v>0</v>
      </c>
      <c r="U3978">
        <v>0</v>
      </c>
      <c r="V3978">
        <v>0</v>
      </c>
      <c r="W3978">
        <v>1</v>
      </c>
      <c r="X3978">
        <v>91</v>
      </c>
      <c r="Y3978">
        <v>0</v>
      </c>
      <c r="Z3978">
        <v>1</v>
      </c>
      <c r="AA3978">
        <v>0</v>
      </c>
      <c r="AB3978">
        <v>0</v>
      </c>
      <c r="AD3978">
        <v>0</v>
      </c>
      <c r="AE3978">
        <v>0</v>
      </c>
      <c r="AF3978">
        <v>0</v>
      </c>
      <c r="AG3978">
        <v>0</v>
      </c>
      <c r="AI3978">
        <v>0</v>
      </c>
      <c r="AJ3978">
        <v>1</v>
      </c>
      <c r="AK3978">
        <v>102</v>
      </c>
      <c r="AL3978">
        <v>102</v>
      </c>
      <c r="AM3978">
        <v>211</v>
      </c>
      <c r="AN3978">
        <v>44</v>
      </c>
      <c r="AP3978">
        <v>1</v>
      </c>
      <c r="AR3978" t="s">
        <v>4077</v>
      </c>
      <c r="AS3978" s="1">
        <v>44354.21597222222</v>
      </c>
      <c r="AT3978" s="1">
        <v>44354.217511574076</v>
      </c>
      <c r="AU3978" s="1">
        <v>44354.218680555554</v>
      </c>
      <c r="AV3978" t="s">
        <v>71</v>
      </c>
      <c r="AW3978" t="s">
        <v>72</v>
      </c>
      <c r="AX3978" t="s">
        <v>73</v>
      </c>
    </row>
    <row r="3979" spans="1:50" x14ac:dyDescent="0.3">
      <c r="A3979" t="str">
        <f>"200194B0000"</f>
        <v>200194B0000</v>
      </c>
      <c r="B3979" t="str">
        <f>"200194B00002"</f>
        <v>200194B00002</v>
      </c>
      <c r="C3979" t="str">
        <f t="shared" si="206"/>
        <v>20</v>
      </c>
      <c r="D3979" t="s">
        <v>67</v>
      </c>
      <c r="E3979" t="str">
        <f t="shared" si="207"/>
        <v>018</v>
      </c>
      <c r="F3979" t="s">
        <v>4075</v>
      </c>
      <c r="G3979" t="str">
        <f>"0194"</f>
        <v>0194</v>
      </c>
      <c r="H3979" t="str">
        <f>"0000"</f>
        <v>0000</v>
      </c>
      <c r="I3979" t="s">
        <v>69</v>
      </c>
      <c r="J3979">
        <v>0</v>
      </c>
      <c r="K3979">
        <v>1</v>
      </c>
      <c r="L3979">
        <v>2</v>
      </c>
      <c r="M3979">
        <v>283</v>
      </c>
      <c r="N3979" t="s">
        <v>80</v>
      </c>
      <c r="O3979" t="s">
        <v>80</v>
      </c>
      <c r="P3979">
        <v>176</v>
      </c>
      <c r="Q3979">
        <v>2</v>
      </c>
      <c r="R3979">
        <v>62</v>
      </c>
      <c r="S3979">
        <v>1</v>
      </c>
      <c r="T3979">
        <v>0</v>
      </c>
      <c r="U3979">
        <v>0</v>
      </c>
      <c r="V3979">
        <v>0</v>
      </c>
      <c r="W3979">
        <v>0</v>
      </c>
      <c r="X3979">
        <v>101</v>
      </c>
      <c r="Y3979">
        <v>0</v>
      </c>
      <c r="Z3979">
        <v>3</v>
      </c>
      <c r="AA3979">
        <v>2</v>
      </c>
      <c r="AB3979">
        <v>1</v>
      </c>
      <c r="AD3979" t="s">
        <v>77</v>
      </c>
      <c r="AE3979" t="s">
        <v>77</v>
      </c>
      <c r="AF3979" t="s">
        <v>77</v>
      </c>
      <c r="AG3979" t="s">
        <v>77</v>
      </c>
      <c r="AI3979" t="s">
        <v>77</v>
      </c>
      <c r="AJ3979" t="s">
        <v>77</v>
      </c>
      <c r="AK3979" t="s">
        <v>77</v>
      </c>
      <c r="AL3979">
        <v>172</v>
      </c>
      <c r="AM3979">
        <v>415</v>
      </c>
      <c r="AN3979">
        <v>44</v>
      </c>
      <c r="AO3979" t="s">
        <v>78</v>
      </c>
      <c r="AP3979">
        <v>1</v>
      </c>
      <c r="AR3979" t="s">
        <v>4078</v>
      </c>
      <c r="AS3979" s="1">
        <v>44354.198611111111</v>
      </c>
      <c r="AT3979" s="1">
        <v>44354.200879629629</v>
      </c>
      <c r="AU3979" s="1">
        <v>44354.201203703706</v>
      </c>
      <c r="AV3979" t="s">
        <v>71</v>
      </c>
      <c r="AW3979" t="s">
        <v>72</v>
      </c>
      <c r="AX3979" t="s">
        <v>73</v>
      </c>
    </row>
    <row r="3980" spans="1:50" x14ac:dyDescent="0.3">
      <c r="A3980" t="str">
        <f>"200194C0100"</f>
        <v>200194C0100</v>
      </c>
      <c r="B3980" t="str">
        <f>"200194C01002"</f>
        <v>200194C01002</v>
      </c>
      <c r="C3980" t="str">
        <f t="shared" si="206"/>
        <v>20</v>
      </c>
      <c r="D3980" t="s">
        <v>67</v>
      </c>
      <c r="E3980" t="str">
        <f t="shared" si="207"/>
        <v>018</v>
      </c>
      <c r="F3980" t="s">
        <v>4075</v>
      </c>
      <c r="G3980" t="str">
        <f>"0194"</f>
        <v>0194</v>
      </c>
      <c r="H3980" t="str">
        <f>"0001"</f>
        <v>0001</v>
      </c>
      <c r="I3980" t="s">
        <v>75</v>
      </c>
      <c r="J3980">
        <v>0</v>
      </c>
      <c r="K3980">
        <v>1</v>
      </c>
      <c r="L3980">
        <v>2</v>
      </c>
      <c r="M3980">
        <v>293</v>
      </c>
      <c r="N3980">
        <v>164</v>
      </c>
      <c r="O3980">
        <v>0</v>
      </c>
      <c r="P3980">
        <v>166</v>
      </c>
      <c r="Q3980">
        <v>2</v>
      </c>
      <c r="R3980">
        <v>81</v>
      </c>
      <c r="S3980">
        <v>2</v>
      </c>
      <c r="T3980">
        <v>1</v>
      </c>
      <c r="U3980">
        <v>2</v>
      </c>
      <c r="V3980">
        <v>1</v>
      </c>
      <c r="W3980">
        <v>0</v>
      </c>
      <c r="X3980">
        <v>72</v>
      </c>
      <c r="Y3980">
        <v>0</v>
      </c>
      <c r="Z3980">
        <v>1</v>
      </c>
      <c r="AA3980">
        <v>2</v>
      </c>
      <c r="AB3980">
        <v>0</v>
      </c>
      <c r="AD3980">
        <v>0</v>
      </c>
      <c r="AE3980">
        <v>0</v>
      </c>
      <c r="AF3980">
        <v>0</v>
      </c>
      <c r="AG3980">
        <v>0</v>
      </c>
      <c r="AI3980">
        <v>0</v>
      </c>
      <c r="AJ3980">
        <v>2</v>
      </c>
      <c r="AK3980">
        <v>166</v>
      </c>
      <c r="AL3980">
        <v>166</v>
      </c>
      <c r="AM3980">
        <v>415</v>
      </c>
      <c r="AN3980">
        <v>44</v>
      </c>
      <c r="AP3980">
        <v>1</v>
      </c>
      <c r="AR3980" t="s">
        <v>4079</v>
      </c>
      <c r="AS3980" s="1">
        <v>44354.179166666669</v>
      </c>
      <c r="AT3980" s="1">
        <v>44354.181180555555</v>
      </c>
      <c r="AU3980" s="1">
        <v>44354.182013888887</v>
      </c>
      <c r="AV3980" t="s">
        <v>71</v>
      </c>
      <c r="AW3980" t="s">
        <v>72</v>
      </c>
      <c r="AX3980" t="s">
        <v>73</v>
      </c>
    </row>
    <row r="3981" spans="1:50" x14ac:dyDescent="0.3">
      <c r="A3981" t="str">
        <f>"200194E0100"</f>
        <v>200194E0100</v>
      </c>
      <c r="B3981" t="str">
        <f>"200194E01002"</f>
        <v>200194E01002</v>
      </c>
      <c r="C3981" t="str">
        <f t="shared" si="206"/>
        <v>20</v>
      </c>
      <c r="D3981" t="s">
        <v>67</v>
      </c>
      <c r="E3981" t="str">
        <f t="shared" si="207"/>
        <v>018</v>
      </c>
      <c r="F3981" t="s">
        <v>4075</v>
      </c>
      <c r="G3981" t="str">
        <f>"0194"</f>
        <v>0194</v>
      </c>
      <c r="H3981" t="str">
        <f>"0001"</f>
        <v>0001</v>
      </c>
      <c r="I3981" t="s">
        <v>109</v>
      </c>
      <c r="J3981">
        <v>0</v>
      </c>
      <c r="K3981">
        <v>1</v>
      </c>
      <c r="L3981">
        <v>2</v>
      </c>
      <c r="M3981">
        <v>171</v>
      </c>
      <c r="N3981">
        <v>112</v>
      </c>
      <c r="O3981">
        <v>0</v>
      </c>
      <c r="P3981">
        <v>112</v>
      </c>
      <c r="Q3981">
        <v>1</v>
      </c>
      <c r="R3981">
        <v>44</v>
      </c>
      <c r="S3981">
        <v>2</v>
      </c>
      <c r="T3981">
        <v>0</v>
      </c>
      <c r="U3981">
        <v>0</v>
      </c>
      <c r="V3981">
        <v>1</v>
      </c>
      <c r="W3981">
        <v>0</v>
      </c>
      <c r="X3981">
        <v>54</v>
      </c>
      <c r="Y3981">
        <v>0</v>
      </c>
      <c r="Z3981">
        <v>1</v>
      </c>
      <c r="AA3981">
        <v>0</v>
      </c>
      <c r="AB3981">
        <v>0</v>
      </c>
      <c r="AD3981">
        <v>0</v>
      </c>
      <c r="AE3981">
        <v>0</v>
      </c>
      <c r="AF3981">
        <v>0</v>
      </c>
      <c r="AG3981">
        <v>0</v>
      </c>
      <c r="AI3981">
        <v>0</v>
      </c>
      <c r="AJ3981">
        <v>9</v>
      </c>
      <c r="AK3981">
        <v>112</v>
      </c>
      <c r="AL3981">
        <v>112</v>
      </c>
      <c r="AM3981">
        <v>239</v>
      </c>
      <c r="AN3981">
        <v>44</v>
      </c>
      <c r="AP3981">
        <v>1</v>
      </c>
      <c r="AR3981" t="s">
        <v>4080</v>
      </c>
      <c r="AS3981" s="1">
        <v>44354.177083333336</v>
      </c>
      <c r="AT3981" s="1">
        <v>44354.178784722222</v>
      </c>
      <c r="AU3981" s="1">
        <v>44354.182673611111</v>
      </c>
      <c r="AV3981" t="s">
        <v>71</v>
      </c>
      <c r="AW3981" t="s">
        <v>72</v>
      </c>
      <c r="AX3981" t="s">
        <v>73</v>
      </c>
    </row>
    <row r="3982" spans="1:50" x14ac:dyDescent="0.3">
      <c r="A3982" t="str">
        <f>"200195B0000"</f>
        <v>200195B0000</v>
      </c>
      <c r="B3982" t="str">
        <f>"200195B00002"</f>
        <v>200195B00002</v>
      </c>
      <c r="C3982" t="str">
        <f t="shared" si="206"/>
        <v>20</v>
      </c>
      <c r="D3982" t="s">
        <v>67</v>
      </c>
      <c r="E3982" t="str">
        <f t="shared" si="207"/>
        <v>018</v>
      </c>
      <c r="F3982" t="s">
        <v>4075</v>
      </c>
      <c r="G3982" t="str">
        <f>"0195"</f>
        <v>0195</v>
      </c>
      <c r="H3982" t="str">
        <f>"0000"</f>
        <v>0000</v>
      </c>
      <c r="I3982" t="s">
        <v>69</v>
      </c>
      <c r="J3982">
        <v>0</v>
      </c>
      <c r="K3982">
        <v>1</v>
      </c>
      <c r="L3982">
        <v>2</v>
      </c>
      <c r="M3982">
        <v>359</v>
      </c>
      <c r="N3982">
        <v>288</v>
      </c>
      <c r="O3982">
        <v>0</v>
      </c>
      <c r="P3982">
        <v>289</v>
      </c>
      <c r="Q3982">
        <v>4</v>
      </c>
      <c r="R3982">
        <v>103</v>
      </c>
      <c r="S3982">
        <v>9</v>
      </c>
      <c r="T3982">
        <v>2</v>
      </c>
      <c r="U3982">
        <v>3</v>
      </c>
      <c r="V3982">
        <v>2</v>
      </c>
      <c r="W3982">
        <v>2</v>
      </c>
      <c r="X3982">
        <v>145</v>
      </c>
      <c r="Y3982">
        <v>0</v>
      </c>
      <c r="Z3982">
        <v>8</v>
      </c>
      <c r="AA3982">
        <v>4</v>
      </c>
      <c r="AB3982">
        <v>3</v>
      </c>
      <c r="AD3982">
        <v>1</v>
      </c>
      <c r="AE3982">
        <v>0</v>
      </c>
      <c r="AF3982">
        <v>0</v>
      </c>
      <c r="AG3982">
        <v>0</v>
      </c>
      <c r="AI3982">
        <v>0</v>
      </c>
      <c r="AJ3982">
        <v>3</v>
      </c>
      <c r="AK3982">
        <v>289</v>
      </c>
      <c r="AL3982">
        <v>289</v>
      </c>
      <c r="AM3982">
        <v>604</v>
      </c>
      <c r="AN3982">
        <v>44</v>
      </c>
      <c r="AP3982">
        <v>1</v>
      </c>
      <c r="AR3982" t="s">
        <v>4081</v>
      </c>
      <c r="AS3982" s="1">
        <v>44354.178472222222</v>
      </c>
      <c r="AT3982" s="1">
        <v>44354.180231481485</v>
      </c>
      <c r="AU3982" s="1">
        <v>44354.180509259262</v>
      </c>
      <c r="AV3982" t="s">
        <v>71</v>
      </c>
      <c r="AW3982" t="s">
        <v>72</v>
      </c>
      <c r="AX3982" t="s">
        <v>73</v>
      </c>
    </row>
    <row r="3983" spans="1:50" x14ac:dyDescent="0.3">
      <c r="A3983" t="str">
        <f>"200195C0100"</f>
        <v>200195C0100</v>
      </c>
      <c r="B3983" t="str">
        <f>"200195C01002"</f>
        <v>200195C01002</v>
      </c>
      <c r="C3983" t="str">
        <f t="shared" si="206"/>
        <v>20</v>
      </c>
      <c r="D3983" t="s">
        <v>67</v>
      </c>
      <c r="E3983" t="str">
        <f t="shared" si="207"/>
        <v>018</v>
      </c>
      <c r="F3983" t="s">
        <v>4075</v>
      </c>
      <c r="G3983" t="str">
        <f>"0195"</f>
        <v>0195</v>
      </c>
      <c r="H3983" t="str">
        <f>"0001"</f>
        <v>0001</v>
      </c>
      <c r="I3983" t="s">
        <v>75</v>
      </c>
      <c r="J3983">
        <v>0</v>
      </c>
      <c r="K3983">
        <v>1</v>
      </c>
      <c r="L3983">
        <v>2</v>
      </c>
      <c r="M3983">
        <v>344</v>
      </c>
      <c r="N3983">
        <v>303</v>
      </c>
      <c r="O3983">
        <v>0</v>
      </c>
      <c r="P3983">
        <v>303</v>
      </c>
      <c r="Q3983">
        <v>4</v>
      </c>
      <c r="R3983">
        <v>114</v>
      </c>
      <c r="S3983">
        <v>6</v>
      </c>
      <c r="T3983">
        <v>0</v>
      </c>
      <c r="U3983">
        <v>1</v>
      </c>
      <c r="V3983">
        <v>2</v>
      </c>
      <c r="W3983">
        <v>1</v>
      </c>
      <c r="X3983">
        <v>159</v>
      </c>
      <c r="Y3983">
        <v>0</v>
      </c>
      <c r="Z3983">
        <v>7</v>
      </c>
      <c r="AA3983">
        <v>2</v>
      </c>
      <c r="AB3983">
        <v>0</v>
      </c>
      <c r="AD3983">
        <v>2</v>
      </c>
      <c r="AE3983">
        <v>0</v>
      </c>
      <c r="AF3983">
        <v>0</v>
      </c>
      <c r="AG3983">
        <v>0</v>
      </c>
      <c r="AI3983">
        <v>0</v>
      </c>
      <c r="AJ3983" t="s">
        <v>99</v>
      </c>
      <c r="AK3983">
        <v>303</v>
      </c>
      <c r="AL3983">
        <v>298</v>
      </c>
      <c r="AM3983">
        <v>603</v>
      </c>
      <c r="AN3983">
        <v>44</v>
      </c>
      <c r="AO3983" t="s">
        <v>78</v>
      </c>
      <c r="AP3983">
        <v>1</v>
      </c>
      <c r="AR3983" t="s">
        <v>4082</v>
      </c>
      <c r="AS3983" s="1">
        <v>44354.197222222225</v>
      </c>
      <c r="AT3983" s="1">
        <v>44354.201157407406</v>
      </c>
      <c r="AU3983" s="1">
        <v>44354.202048611114</v>
      </c>
      <c r="AV3983" t="s">
        <v>71</v>
      </c>
      <c r="AW3983" t="s">
        <v>72</v>
      </c>
      <c r="AX3983" t="s">
        <v>73</v>
      </c>
    </row>
    <row r="3984" spans="1:50" x14ac:dyDescent="0.3">
      <c r="A3984" t="str">
        <f>"200196B0000"</f>
        <v>200196B0000</v>
      </c>
      <c r="B3984" t="str">
        <f>"200196B00002"</f>
        <v>200196B00002</v>
      </c>
      <c r="C3984" t="str">
        <f t="shared" si="206"/>
        <v>20</v>
      </c>
      <c r="D3984" t="s">
        <v>67</v>
      </c>
      <c r="E3984" t="str">
        <f t="shared" si="207"/>
        <v>018</v>
      </c>
      <c r="F3984" t="s">
        <v>4075</v>
      </c>
      <c r="G3984" t="str">
        <f>"0196"</f>
        <v>0196</v>
      </c>
      <c r="H3984" t="str">
        <f>"0000"</f>
        <v>0000</v>
      </c>
      <c r="I3984" t="s">
        <v>69</v>
      </c>
      <c r="J3984">
        <v>0</v>
      </c>
      <c r="K3984">
        <v>1</v>
      </c>
      <c r="L3984">
        <v>2</v>
      </c>
      <c r="M3984">
        <v>384</v>
      </c>
      <c r="N3984">
        <v>295</v>
      </c>
      <c r="O3984">
        <v>0</v>
      </c>
      <c r="P3984">
        <v>295</v>
      </c>
      <c r="Q3984">
        <v>2</v>
      </c>
      <c r="R3984">
        <v>100</v>
      </c>
      <c r="S3984">
        <v>6</v>
      </c>
      <c r="T3984">
        <v>1</v>
      </c>
      <c r="U3984">
        <v>1</v>
      </c>
      <c r="V3984">
        <v>1</v>
      </c>
      <c r="W3984">
        <v>0</v>
      </c>
      <c r="X3984">
        <v>180</v>
      </c>
      <c r="Y3984">
        <v>0</v>
      </c>
      <c r="Z3984">
        <v>1</v>
      </c>
      <c r="AA3984">
        <v>1</v>
      </c>
      <c r="AB3984">
        <v>0</v>
      </c>
      <c r="AD3984">
        <v>0</v>
      </c>
      <c r="AE3984">
        <v>0</v>
      </c>
      <c r="AF3984">
        <v>0</v>
      </c>
      <c r="AG3984">
        <v>0</v>
      </c>
      <c r="AI3984">
        <v>0</v>
      </c>
      <c r="AJ3984">
        <v>0</v>
      </c>
      <c r="AK3984">
        <v>295</v>
      </c>
      <c r="AL3984">
        <v>293</v>
      </c>
      <c r="AM3984">
        <v>635</v>
      </c>
      <c r="AN3984">
        <v>44</v>
      </c>
      <c r="AP3984">
        <v>1</v>
      </c>
      <c r="AR3984" t="s">
        <v>4083</v>
      </c>
      <c r="AS3984" s="1">
        <v>44354.291666666664</v>
      </c>
      <c r="AT3984" s="1">
        <v>44354.293912037036</v>
      </c>
      <c r="AU3984" s="1">
        <v>44354.29488425926</v>
      </c>
      <c r="AV3984" t="s">
        <v>71</v>
      </c>
      <c r="AW3984" t="s">
        <v>72</v>
      </c>
      <c r="AX3984" t="s">
        <v>73</v>
      </c>
    </row>
    <row r="3985" spans="1:50" x14ac:dyDescent="0.3">
      <c r="A3985" t="str">
        <f>"200196C0100"</f>
        <v>200196C0100</v>
      </c>
      <c r="B3985" t="str">
        <f>"200196C01002"</f>
        <v>200196C01002</v>
      </c>
      <c r="C3985" t="str">
        <f t="shared" si="206"/>
        <v>20</v>
      </c>
      <c r="D3985" t="s">
        <v>67</v>
      </c>
      <c r="E3985" t="str">
        <f t="shared" si="207"/>
        <v>018</v>
      </c>
      <c r="F3985" t="s">
        <v>4075</v>
      </c>
      <c r="G3985" t="str">
        <f>"0196"</f>
        <v>0196</v>
      </c>
      <c r="H3985" t="str">
        <f>"0001"</f>
        <v>0001</v>
      </c>
      <c r="I3985" t="s">
        <v>75</v>
      </c>
      <c r="J3985">
        <v>0</v>
      </c>
      <c r="K3985">
        <v>1</v>
      </c>
      <c r="L3985">
        <v>2</v>
      </c>
      <c r="M3985">
        <v>383</v>
      </c>
      <c r="N3985">
        <v>295</v>
      </c>
      <c r="O3985">
        <v>0</v>
      </c>
      <c r="P3985">
        <v>295</v>
      </c>
      <c r="Q3985">
        <v>6</v>
      </c>
      <c r="R3985">
        <v>72</v>
      </c>
      <c r="S3985">
        <v>6</v>
      </c>
      <c r="T3985">
        <v>0</v>
      </c>
      <c r="U3985">
        <v>5</v>
      </c>
      <c r="V3985">
        <v>4</v>
      </c>
      <c r="W3985">
        <v>4</v>
      </c>
      <c r="X3985">
        <v>174</v>
      </c>
      <c r="Y3985">
        <v>1</v>
      </c>
      <c r="Z3985">
        <v>1</v>
      </c>
      <c r="AA3985">
        <v>3</v>
      </c>
      <c r="AB3985">
        <v>2</v>
      </c>
      <c r="AD3985">
        <v>2</v>
      </c>
      <c r="AE3985">
        <v>1</v>
      </c>
      <c r="AF3985">
        <v>0</v>
      </c>
      <c r="AG3985">
        <v>1</v>
      </c>
      <c r="AI3985">
        <v>0</v>
      </c>
      <c r="AJ3985">
        <v>9</v>
      </c>
      <c r="AK3985">
        <v>295</v>
      </c>
      <c r="AL3985">
        <v>291</v>
      </c>
      <c r="AM3985">
        <v>634</v>
      </c>
      <c r="AN3985">
        <v>44</v>
      </c>
      <c r="AP3985">
        <v>1</v>
      </c>
      <c r="AR3985" t="s">
        <v>4084</v>
      </c>
      <c r="AS3985" s="1">
        <v>44354.290277777778</v>
      </c>
      <c r="AT3985" s="1">
        <v>44354.292083333334</v>
      </c>
      <c r="AU3985" s="1">
        <v>44354.292951388888</v>
      </c>
      <c r="AV3985" t="s">
        <v>71</v>
      </c>
      <c r="AW3985" t="s">
        <v>72</v>
      </c>
      <c r="AX3985" t="s">
        <v>73</v>
      </c>
    </row>
    <row r="3986" spans="1:50" x14ac:dyDescent="0.3">
      <c r="A3986" t="str">
        <f>"200197B0000"</f>
        <v>200197B0000</v>
      </c>
      <c r="B3986" t="str">
        <f>"200197B00002"</f>
        <v>200197B00002</v>
      </c>
      <c r="C3986" t="str">
        <f t="shared" si="206"/>
        <v>20</v>
      </c>
      <c r="D3986" t="s">
        <v>67</v>
      </c>
      <c r="E3986" t="str">
        <f t="shared" si="207"/>
        <v>018</v>
      </c>
      <c r="F3986" t="s">
        <v>4075</v>
      </c>
      <c r="G3986" t="str">
        <f>"0197"</f>
        <v>0197</v>
      </c>
      <c r="H3986" t="str">
        <f>"0000"</f>
        <v>0000</v>
      </c>
      <c r="I3986" t="s">
        <v>69</v>
      </c>
      <c r="J3986">
        <v>0</v>
      </c>
      <c r="K3986">
        <v>1</v>
      </c>
      <c r="L3986">
        <v>2</v>
      </c>
      <c r="AM3986">
        <v>402</v>
      </c>
      <c r="AN3986">
        <v>44</v>
      </c>
      <c r="AO3986" t="s">
        <v>143</v>
      </c>
      <c r="AP3986">
        <v>0</v>
      </c>
      <c r="AR3986" t="s">
        <v>4085</v>
      </c>
      <c r="AS3986" s="1">
        <v>44354.583333333336</v>
      </c>
      <c r="AT3986" s="1">
        <v>44354.585451388892</v>
      </c>
      <c r="AU3986" s="1">
        <v>44354.585451388892</v>
      </c>
      <c r="AV3986" t="s">
        <v>71</v>
      </c>
      <c r="AW3986" t="s">
        <v>72</v>
      </c>
      <c r="AX3986" t="s">
        <v>73</v>
      </c>
    </row>
    <row r="3987" spans="1:50" x14ac:dyDescent="0.3">
      <c r="A3987" t="str">
        <f>"200380B0000"</f>
        <v>200380B0000</v>
      </c>
      <c r="B3987" t="str">
        <f>"200380B00002"</f>
        <v>200380B00002</v>
      </c>
      <c r="C3987" t="str">
        <f t="shared" si="206"/>
        <v>20</v>
      </c>
      <c r="D3987" t="s">
        <v>67</v>
      </c>
      <c r="E3987" t="str">
        <f t="shared" si="207"/>
        <v>018</v>
      </c>
      <c r="F3987" t="s">
        <v>4075</v>
      </c>
      <c r="G3987" t="str">
        <f>"0380"</f>
        <v>0380</v>
      </c>
      <c r="H3987" t="str">
        <f>"0000"</f>
        <v>0000</v>
      </c>
      <c r="I3987" t="s">
        <v>69</v>
      </c>
      <c r="J3987">
        <v>0</v>
      </c>
      <c r="K3987">
        <v>1</v>
      </c>
      <c r="L3987">
        <v>2</v>
      </c>
      <c r="M3987">
        <v>163</v>
      </c>
      <c r="N3987">
        <v>517</v>
      </c>
      <c r="O3987">
        <v>0</v>
      </c>
      <c r="P3987">
        <v>517</v>
      </c>
      <c r="Q3987">
        <v>3</v>
      </c>
      <c r="R3987">
        <v>29</v>
      </c>
      <c r="S3987">
        <v>11</v>
      </c>
      <c r="T3987">
        <v>21</v>
      </c>
      <c r="U3987">
        <v>48</v>
      </c>
      <c r="V3987">
        <v>9</v>
      </c>
      <c r="W3987">
        <v>67</v>
      </c>
      <c r="X3987">
        <v>287</v>
      </c>
      <c r="Y3987" t="s">
        <v>77</v>
      </c>
      <c r="Z3987" t="s">
        <v>77</v>
      </c>
      <c r="AA3987">
        <v>9</v>
      </c>
      <c r="AB3987">
        <v>21</v>
      </c>
      <c r="AD3987" t="s">
        <v>77</v>
      </c>
      <c r="AE3987" t="s">
        <v>77</v>
      </c>
      <c r="AF3987" t="s">
        <v>77</v>
      </c>
      <c r="AG3987">
        <v>1</v>
      </c>
      <c r="AI3987" t="s">
        <v>77</v>
      </c>
      <c r="AJ3987">
        <v>11</v>
      </c>
      <c r="AK3987" t="s">
        <v>77</v>
      </c>
      <c r="AL3987">
        <v>517</v>
      </c>
      <c r="AM3987">
        <v>634</v>
      </c>
      <c r="AN3987">
        <v>46</v>
      </c>
      <c r="AO3987" t="s">
        <v>78</v>
      </c>
      <c r="AP3987">
        <v>1</v>
      </c>
      <c r="AR3987" t="s">
        <v>4086</v>
      </c>
      <c r="AS3987" s="1">
        <v>44354.138194444444</v>
      </c>
      <c r="AT3987" s="1">
        <v>44354.140034722222</v>
      </c>
      <c r="AU3987" s="1">
        <v>44354.141377314816</v>
      </c>
      <c r="AV3987" t="s">
        <v>71</v>
      </c>
      <c r="AW3987" t="s">
        <v>72</v>
      </c>
      <c r="AX3987" t="s">
        <v>73</v>
      </c>
    </row>
    <row r="3988" spans="1:50" x14ac:dyDescent="0.3">
      <c r="A3988" t="str">
        <f>"200380C0100"</f>
        <v>200380C0100</v>
      </c>
      <c r="B3988" t="str">
        <f>"200380C01002"</f>
        <v>200380C01002</v>
      </c>
      <c r="C3988" t="str">
        <f t="shared" si="206"/>
        <v>20</v>
      </c>
      <c r="D3988" t="s">
        <v>67</v>
      </c>
      <c r="E3988" t="str">
        <f t="shared" si="207"/>
        <v>018</v>
      </c>
      <c r="F3988" t="s">
        <v>4075</v>
      </c>
      <c r="G3988" t="str">
        <f>"0380"</f>
        <v>0380</v>
      </c>
      <c r="H3988" t="str">
        <f>"0001"</f>
        <v>0001</v>
      </c>
      <c r="I3988" t="s">
        <v>75</v>
      </c>
      <c r="J3988">
        <v>0</v>
      </c>
      <c r="K3988">
        <v>1</v>
      </c>
      <c r="L3988">
        <v>2</v>
      </c>
      <c r="M3988">
        <v>164</v>
      </c>
      <c r="N3988">
        <v>515</v>
      </c>
      <c r="O3988">
        <v>4</v>
      </c>
      <c r="P3988">
        <v>515</v>
      </c>
      <c r="Q3988">
        <v>3</v>
      </c>
      <c r="R3988">
        <v>30</v>
      </c>
      <c r="S3988">
        <v>4</v>
      </c>
      <c r="T3988">
        <v>36</v>
      </c>
      <c r="U3988">
        <v>40</v>
      </c>
      <c r="V3988" t="s">
        <v>77</v>
      </c>
      <c r="W3988">
        <v>86</v>
      </c>
      <c r="X3988">
        <v>270</v>
      </c>
      <c r="Y3988" t="s">
        <v>77</v>
      </c>
      <c r="Z3988">
        <v>2</v>
      </c>
      <c r="AA3988">
        <v>7</v>
      </c>
      <c r="AB3988">
        <v>22</v>
      </c>
      <c r="AD3988" t="s">
        <v>77</v>
      </c>
      <c r="AE3988" t="s">
        <v>77</v>
      </c>
      <c r="AF3988" t="s">
        <v>77</v>
      </c>
      <c r="AG3988" t="s">
        <v>77</v>
      </c>
      <c r="AI3988" t="s">
        <v>77</v>
      </c>
      <c r="AJ3988">
        <v>15</v>
      </c>
      <c r="AK3988">
        <v>515</v>
      </c>
      <c r="AL3988">
        <v>515</v>
      </c>
      <c r="AM3988">
        <v>633</v>
      </c>
      <c r="AN3988">
        <v>46</v>
      </c>
      <c r="AO3988" t="s">
        <v>78</v>
      </c>
      <c r="AP3988">
        <v>1</v>
      </c>
      <c r="AR3988" t="s">
        <v>4087</v>
      </c>
      <c r="AS3988" s="1">
        <v>44354.138194444444</v>
      </c>
      <c r="AT3988" s="1">
        <v>44354.14025462963</v>
      </c>
      <c r="AU3988" s="1">
        <v>44354.140856481485</v>
      </c>
      <c r="AV3988" t="s">
        <v>71</v>
      </c>
      <c r="AW3988" t="s">
        <v>72</v>
      </c>
      <c r="AX3988" t="s">
        <v>73</v>
      </c>
    </row>
    <row r="3989" spans="1:50" x14ac:dyDescent="0.3">
      <c r="A3989" t="str">
        <f>"200381B0000"</f>
        <v>200381B0000</v>
      </c>
      <c r="B3989" t="str">
        <f>"200381B00002"</f>
        <v>200381B00002</v>
      </c>
      <c r="C3989" t="str">
        <f t="shared" si="206"/>
        <v>20</v>
      </c>
      <c r="D3989" t="s">
        <v>67</v>
      </c>
      <c r="E3989" t="str">
        <f t="shared" si="207"/>
        <v>018</v>
      </c>
      <c r="F3989" t="s">
        <v>4075</v>
      </c>
      <c r="G3989" t="str">
        <f>"0381"</f>
        <v>0381</v>
      </c>
      <c r="H3989" t="str">
        <f>"0000"</f>
        <v>0000</v>
      </c>
      <c r="I3989" t="s">
        <v>69</v>
      </c>
      <c r="J3989">
        <v>0</v>
      </c>
      <c r="K3989">
        <v>1</v>
      </c>
      <c r="L3989">
        <v>2</v>
      </c>
      <c r="M3989">
        <v>188</v>
      </c>
      <c r="N3989">
        <v>520</v>
      </c>
      <c r="O3989">
        <v>5</v>
      </c>
      <c r="P3989">
        <v>519</v>
      </c>
      <c r="Q3989">
        <v>3</v>
      </c>
      <c r="R3989">
        <v>44</v>
      </c>
      <c r="S3989">
        <v>8</v>
      </c>
      <c r="T3989">
        <v>41</v>
      </c>
      <c r="U3989">
        <v>35</v>
      </c>
      <c r="V3989">
        <v>7</v>
      </c>
      <c r="W3989">
        <v>42</v>
      </c>
      <c r="X3989">
        <v>294</v>
      </c>
      <c r="Y3989">
        <v>0</v>
      </c>
      <c r="Z3989">
        <v>2</v>
      </c>
      <c r="AA3989">
        <v>0</v>
      </c>
      <c r="AB3989">
        <v>19</v>
      </c>
      <c r="AD3989" t="s">
        <v>77</v>
      </c>
      <c r="AE3989" t="s">
        <v>77</v>
      </c>
      <c r="AF3989" t="s">
        <v>77</v>
      </c>
      <c r="AG3989">
        <v>1</v>
      </c>
      <c r="AI3989" t="s">
        <v>77</v>
      </c>
      <c r="AJ3989">
        <v>23</v>
      </c>
      <c r="AK3989">
        <v>519</v>
      </c>
      <c r="AL3989">
        <v>519</v>
      </c>
      <c r="AM3989">
        <v>662</v>
      </c>
      <c r="AN3989">
        <v>46</v>
      </c>
      <c r="AO3989" t="s">
        <v>78</v>
      </c>
      <c r="AP3989">
        <v>1</v>
      </c>
      <c r="AR3989" t="s">
        <v>4088</v>
      </c>
      <c r="AS3989" s="1">
        <v>44353.937384259261</v>
      </c>
      <c r="AT3989" s="1">
        <v>44353.941712962966</v>
      </c>
      <c r="AU3989" s="1">
        <v>44353.942696759259</v>
      </c>
      <c r="AV3989" t="s">
        <v>269</v>
      </c>
      <c r="AW3989" t="s">
        <v>270</v>
      </c>
      <c r="AX3989" t="s">
        <v>73</v>
      </c>
    </row>
    <row r="3990" spans="1:50" x14ac:dyDescent="0.3">
      <c r="A3990" t="str">
        <f>"200381C0100"</f>
        <v>200381C0100</v>
      </c>
      <c r="B3990" t="str">
        <f>"200381C01002"</f>
        <v>200381C01002</v>
      </c>
      <c r="C3990" t="str">
        <f t="shared" si="206"/>
        <v>20</v>
      </c>
      <c r="D3990" t="s">
        <v>67</v>
      </c>
      <c r="E3990" t="str">
        <f t="shared" si="207"/>
        <v>018</v>
      </c>
      <c r="F3990" t="s">
        <v>4075</v>
      </c>
      <c r="G3990" t="str">
        <f>"0381"</f>
        <v>0381</v>
      </c>
      <c r="H3990" t="str">
        <f>"0001"</f>
        <v>0001</v>
      </c>
      <c r="I3990" t="s">
        <v>75</v>
      </c>
      <c r="J3990">
        <v>0</v>
      </c>
      <c r="K3990">
        <v>1</v>
      </c>
      <c r="L3990">
        <v>2</v>
      </c>
      <c r="M3990">
        <v>187</v>
      </c>
      <c r="N3990">
        <v>521</v>
      </c>
      <c r="O3990">
        <v>6</v>
      </c>
      <c r="P3990">
        <v>521</v>
      </c>
      <c r="Q3990">
        <v>5</v>
      </c>
      <c r="R3990">
        <v>35</v>
      </c>
      <c r="S3990">
        <v>8</v>
      </c>
      <c r="T3990">
        <v>30</v>
      </c>
      <c r="U3990">
        <v>49</v>
      </c>
      <c r="V3990">
        <v>3</v>
      </c>
      <c r="W3990">
        <v>36</v>
      </c>
      <c r="X3990">
        <v>312</v>
      </c>
      <c r="Y3990">
        <v>1</v>
      </c>
      <c r="Z3990">
        <v>3</v>
      </c>
      <c r="AA3990">
        <v>7</v>
      </c>
      <c r="AB3990">
        <v>20</v>
      </c>
      <c r="AD3990">
        <v>0</v>
      </c>
      <c r="AE3990">
        <v>0</v>
      </c>
      <c r="AF3990">
        <v>0</v>
      </c>
      <c r="AG3990">
        <v>0</v>
      </c>
      <c r="AI3990">
        <v>0</v>
      </c>
      <c r="AJ3990">
        <v>12</v>
      </c>
      <c r="AK3990">
        <v>521</v>
      </c>
      <c r="AL3990">
        <v>521</v>
      </c>
      <c r="AM3990">
        <v>662</v>
      </c>
      <c r="AN3990">
        <v>46</v>
      </c>
      <c r="AP3990">
        <v>1</v>
      </c>
      <c r="AR3990" t="s">
        <v>4089</v>
      </c>
      <c r="AS3990" s="1">
        <v>44354.118055555555</v>
      </c>
      <c r="AT3990" s="1">
        <v>44354.120300925926</v>
      </c>
      <c r="AU3990" s="1">
        <v>44354.120995370373</v>
      </c>
      <c r="AV3990" t="s">
        <v>71</v>
      </c>
      <c r="AW3990" t="s">
        <v>72</v>
      </c>
      <c r="AX3990" t="s">
        <v>73</v>
      </c>
    </row>
    <row r="3991" spans="1:50" x14ac:dyDescent="0.3">
      <c r="A3991" t="str">
        <f>"200382B0000"</f>
        <v>200382B0000</v>
      </c>
      <c r="B3991" t="str">
        <f>"200382B00002"</f>
        <v>200382B00002</v>
      </c>
      <c r="C3991" t="str">
        <f t="shared" si="206"/>
        <v>20</v>
      </c>
      <c r="D3991" t="s">
        <v>67</v>
      </c>
      <c r="E3991" t="str">
        <f t="shared" si="207"/>
        <v>018</v>
      </c>
      <c r="F3991" t="s">
        <v>4075</v>
      </c>
      <c r="G3991" t="str">
        <f>"0382"</f>
        <v>0382</v>
      </c>
      <c r="H3991" t="str">
        <f>"0000"</f>
        <v>0000</v>
      </c>
      <c r="I3991" t="s">
        <v>69</v>
      </c>
      <c r="J3991">
        <v>0</v>
      </c>
      <c r="K3991">
        <v>1</v>
      </c>
      <c r="L3991">
        <v>2</v>
      </c>
      <c r="M3991">
        <v>152</v>
      </c>
      <c r="N3991">
        <v>435</v>
      </c>
      <c r="O3991">
        <v>6</v>
      </c>
      <c r="P3991">
        <v>435</v>
      </c>
      <c r="Q3991">
        <v>4</v>
      </c>
      <c r="R3991">
        <v>30</v>
      </c>
      <c r="S3991">
        <v>8</v>
      </c>
      <c r="T3991">
        <v>28</v>
      </c>
      <c r="U3991">
        <v>16</v>
      </c>
      <c r="V3991">
        <v>12</v>
      </c>
      <c r="W3991">
        <v>39</v>
      </c>
      <c r="X3991">
        <v>254</v>
      </c>
      <c r="Y3991">
        <v>1</v>
      </c>
      <c r="Z3991">
        <v>0</v>
      </c>
      <c r="AA3991">
        <v>5</v>
      </c>
      <c r="AB3991">
        <v>21</v>
      </c>
      <c r="AD3991">
        <v>0</v>
      </c>
      <c r="AE3991">
        <v>0</v>
      </c>
      <c r="AF3991">
        <v>0</v>
      </c>
      <c r="AG3991">
        <v>0</v>
      </c>
      <c r="AI3991">
        <v>0</v>
      </c>
      <c r="AJ3991">
        <v>17</v>
      </c>
      <c r="AK3991">
        <v>435</v>
      </c>
      <c r="AL3991">
        <v>435</v>
      </c>
      <c r="AM3991">
        <v>541</v>
      </c>
      <c r="AN3991">
        <v>46</v>
      </c>
      <c r="AP3991">
        <v>1</v>
      </c>
      <c r="AR3991" t="s">
        <v>4090</v>
      </c>
      <c r="AS3991" s="1">
        <v>44353.929768518516</v>
      </c>
      <c r="AT3991" s="1">
        <v>44353.93445601852</v>
      </c>
      <c r="AU3991" s="1">
        <v>44353.935763888891</v>
      </c>
      <c r="AV3991" t="s">
        <v>269</v>
      </c>
      <c r="AW3991" t="s">
        <v>270</v>
      </c>
      <c r="AX3991" t="s">
        <v>73</v>
      </c>
    </row>
    <row r="3992" spans="1:50" x14ac:dyDescent="0.3">
      <c r="A3992" t="str">
        <f>"200382C0100"</f>
        <v>200382C0100</v>
      </c>
      <c r="B3992" t="str">
        <f>"200382C01002"</f>
        <v>200382C01002</v>
      </c>
      <c r="C3992" t="str">
        <f t="shared" si="206"/>
        <v>20</v>
      </c>
      <c r="D3992" t="s">
        <v>67</v>
      </c>
      <c r="E3992" t="str">
        <f t="shared" si="207"/>
        <v>018</v>
      </c>
      <c r="F3992" t="s">
        <v>4075</v>
      </c>
      <c r="G3992" t="str">
        <f>"0382"</f>
        <v>0382</v>
      </c>
      <c r="H3992" t="str">
        <f>"0001"</f>
        <v>0001</v>
      </c>
      <c r="I3992" t="s">
        <v>75</v>
      </c>
      <c r="J3992">
        <v>0</v>
      </c>
      <c r="K3992">
        <v>1</v>
      </c>
      <c r="L3992">
        <v>2</v>
      </c>
      <c r="M3992">
        <v>184</v>
      </c>
      <c r="N3992" t="s">
        <v>99</v>
      </c>
      <c r="O3992">
        <v>3</v>
      </c>
      <c r="P3992">
        <v>401</v>
      </c>
      <c r="Q3992">
        <v>1</v>
      </c>
      <c r="R3992">
        <v>31</v>
      </c>
      <c r="S3992">
        <v>3</v>
      </c>
      <c r="T3992">
        <v>17</v>
      </c>
      <c r="U3992">
        <v>29</v>
      </c>
      <c r="V3992">
        <v>8</v>
      </c>
      <c r="W3992">
        <v>35</v>
      </c>
      <c r="X3992">
        <v>239</v>
      </c>
      <c r="Y3992" t="s">
        <v>77</v>
      </c>
      <c r="Z3992">
        <v>6</v>
      </c>
      <c r="AA3992">
        <v>7</v>
      </c>
      <c r="AB3992">
        <v>15</v>
      </c>
      <c r="AD3992" t="s">
        <v>77</v>
      </c>
      <c r="AE3992">
        <v>1</v>
      </c>
      <c r="AF3992" t="s">
        <v>77</v>
      </c>
      <c r="AG3992">
        <v>1</v>
      </c>
      <c r="AI3992" t="s">
        <v>77</v>
      </c>
      <c r="AJ3992">
        <v>8</v>
      </c>
      <c r="AK3992">
        <v>401</v>
      </c>
      <c r="AL3992">
        <v>401</v>
      </c>
      <c r="AM3992">
        <v>540</v>
      </c>
      <c r="AN3992">
        <v>46</v>
      </c>
      <c r="AO3992" t="s">
        <v>78</v>
      </c>
      <c r="AP3992">
        <v>1</v>
      </c>
      <c r="AR3992" t="s">
        <v>4091</v>
      </c>
      <c r="AS3992" s="1">
        <v>44353.936041666668</v>
      </c>
      <c r="AT3992" s="1">
        <v>44353.939189814817</v>
      </c>
      <c r="AU3992" s="1">
        <v>44353.940254629626</v>
      </c>
      <c r="AV3992" t="s">
        <v>269</v>
      </c>
      <c r="AW3992" t="s">
        <v>270</v>
      </c>
      <c r="AX3992" t="s">
        <v>73</v>
      </c>
    </row>
    <row r="3993" spans="1:50" x14ac:dyDescent="0.3">
      <c r="A3993" t="str">
        <f>"200382C0200"</f>
        <v>200382C0200</v>
      </c>
      <c r="B3993" t="str">
        <f>"200382C02002"</f>
        <v>200382C02002</v>
      </c>
      <c r="C3993" t="str">
        <f t="shared" si="206"/>
        <v>20</v>
      </c>
      <c r="D3993" t="s">
        <v>67</v>
      </c>
      <c r="E3993" t="str">
        <f t="shared" si="207"/>
        <v>018</v>
      </c>
      <c r="F3993" t="s">
        <v>4075</v>
      </c>
      <c r="G3993" t="str">
        <f>"0382"</f>
        <v>0382</v>
      </c>
      <c r="H3993" t="str">
        <f>"0002"</f>
        <v>0002</v>
      </c>
      <c r="I3993" t="s">
        <v>75</v>
      </c>
      <c r="J3993">
        <v>0</v>
      </c>
      <c r="K3993">
        <v>1</v>
      </c>
      <c r="L3993">
        <v>2</v>
      </c>
      <c r="M3993">
        <v>166</v>
      </c>
      <c r="N3993">
        <v>420</v>
      </c>
      <c r="O3993">
        <v>8</v>
      </c>
      <c r="P3993">
        <v>420</v>
      </c>
      <c r="Q3993">
        <v>2</v>
      </c>
      <c r="R3993">
        <v>20</v>
      </c>
      <c r="S3993">
        <v>6</v>
      </c>
      <c r="T3993">
        <v>34</v>
      </c>
      <c r="U3993">
        <v>28</v>
      </c>
      <c r="V3993">
        <v>6</v>
      </c>
      <c r="W3993">
        <v>32</v>
      </c>
      <c r="X3993">
        <v>255</v>
      </c>
      <c r="Y3993">
        <v>1</v>
      </c>
      <c r="Z3993">
        <v>1</v>
      </c>
      <c r="AA3993">
        <v>3</v>
      </c>
      <c r="AB3993">
        <v>19</v>
      </c>
      <c r="AD3993" t="s">
        <v>77</v>
      </c>
      <c r="AE3993" t="s">
        <v>77</v>
      </c>
      <c r="AF3993" t="s">
        <v>77</v>
      </c>
      <c r="AG3993" t="s">
        <v>77</v>
      </c>
      <c r="AI3993" t="s">
        <v>77</v>
      </c>
      <c r="AJ3993" t="s">
        <v>99</v>
      </c>
      <c r="AK3993">
        <v>420</v>
      </c>
      <c r="AL3993">
        <v>407</v>
      </c>
      <c r="AM3993">
        <v>540</v>
      </c>
      <c r="AN3993">
        <v>46</v>
      </c>
      <c r="AO3993" t="s">
        <v>78</v>
      </c>
      <c r="AP3993">
        <v>1</v>
      </c>
      <c r="AR3993" t="s">
        <v>4092</v>
      </c>
      <c r="AS3993" s="1">
        <v>44353.957685185182</v>
      </c>
      <c r="AT3993" s="1">
        <v>44353.962222222224</v>
      </c>
      <c r="AU3993" s="1">
        <v>44353.962939814817</v>
      </c>
      <c r="AV3993" t="s">
        <v>269</v>
      </c>
      <c r="AW3993" t="s">
        <v>270</v>
      </c>
      <c r="AX3993" t="s">
        <v>73</v>
      </c>
    </row>
    <row r="3994" spans="1:50" x14ac:dyDescent="0.3">
      <c r="A3994" t="str">
        <f>"200382E0100"</f>
        <v>200382E0100</v>
      </c>
      <c r="B3994" t="str">
        <f>"200382E01002"</f>
        <v>200382E01002</v>
      </c>
      <c r="C3994" t="str">
        <f t="shared" si="206"/>
        <v>20</v>
      </c>
      <c r="D3994" t="s">
        <v>67</v>
      </c>
      <c r="E3994" t="str">
        <f t="shared" si="207"/>
        <v>018</v>
      </c>
      <c r="F3994" t="s">
        <v>4075</v>
      </c>
      <c r="G3994" t="str">
        <f>"0382"</f>
        <v>0382</v>
      </c>
      <c r="H3994" t="str">
        <f>"0001"</f>
        <v>0001</v>
      </c>
      <c r="I3994" t="s">
        <v>109</v>
      </c>
      <c r="J3994">
        <v>0</v>
      </c>
      <c r="K3994">
        <v>1</v>
      </c>
      <c r="L3994">
        <v>2</v>
      </c>
      <c r="M3994">
        <v>114</v>
      </c>
      <c r="N3994">
        <v>284</v>
      </c>
      <c r="O3994">
        <v>7</v>
      </c>
      <c r="P3994">
        <v>284</v>
      </c>
      <c r="Q3994">
        <v>0</v>
      </c>
      <c r="R3994">
        <v>24</v>
      </c>
      <c r="S3994">
        <v>2</v>
      </c>
      <c r="T3994">
        <v>14</v>
      </c>
      <c r="U3994">
        <v>10</v>
      </c>
      <c r="V3994">
        <v>26</v>
      </c>
      <c r="W3994">
        <v>3</v>
      </c>
      <c r="X3994">
        <v>155</v>
      </c>
      <c r="Y3994">
        <v>0</v>
      </c>
      <c r="Z3994">
        <v>2</v>
      </c>
      <c r="AA3994">
        <v>1</v>
      </c>
      <c r="AB3994">
        <v>40</v>
      </c>
      <c r="AD3994">
        <v>0</v>
      </c>
      <c r="AE3994">
        <v>0</v>
      </c>
      <c r="AF3994">
        <v>0</v>
      </c>
      <c r="AG3994">
        <v>0</v>
      </c>
      <c r="AI3994">
        <v>0</v>
      </c>
      <c r="AJ3994">
        <v>7</v>
      </c>
      <c r="AK3994">
        <v>284</v>
      </c>
      <c r="AL3994">
        <v>284</v>
      </c>
      <c r="AM3994">
        <v>352</v>
      </c>
      <c r="AN3994">
        <v>46</v>
      </c>
      <c r="AP3994">
        <v>1</v>
      </c>
      <c r="AR3994" t="s">
        <v>4093</v>
      </c>
      <c r="AS3994" s="1">
        <v>44354.095138888886</v>
      </c>
      <c r="AT3994" s="1">
        <v>44354.098622685182</v>
      </c>
      <c r="AU3994" s="1">
        <v>44354.099166666667</v>
      </c>
      <c r="AV3994" t="s">
        <v>71</v>
      </c>
      <c r="AW3994" t="s">
        <v>72</v>
      </c>
      <c r="AX3994" t="s">
        <v>73</v>
      </c>
    </row>
    <row r="3995" spans="1:50" x14ac:dyDescent="0.3">
      <c r="A3995" t="str">
        <f>"200383B0000"</f>
        <v>200383B0000</v>
      </c>
      <c r="B3995" t="str">
        <f>"200383B00002"</f>
        <v>200383B00002</v>
      </c>
      <c r="C3995" t="str">
        <f t="shared" si="206"/>
        <v>20</v>
      </c>
      <c r="D3995" t="s">
        <v>67</v>
      </c>
      <c r="E3995" t="str">
        <f t="shared" si="207"/>
        <v>018</v>
      </c>
      <c r="F3995" t="s">
        <v>4075</v>
      </c>
      <c r="G3995" t="str">
        <f>"0383"</f>
        <v>0383</v>
      </c>
      <c r="H3995" t="str">
        <f>"0000"</f>
        <v>0000</v>
      </c>
      <c r="I3995" t="s">
        <v>69</v>
      </c>
      <c r="J3995">
        <v>0</v>
      </c>
      <c r="K3995">
        <v>1</v>
      </c>
      <c r="L3995">
        <v>2</v>
      </c>
      <c r="M3995">
        <v>67</v>
      </c>
      <c r="N3995">
        <v>131</v>
      </c>
      <c r="O3995">
        <v>5</v>
      </c>
      <c r="P3995">
        <v>131</v>
      </c>
      <c r="Q3995">
        <v>0</v>
      </c>
      <c r="R3995">
        <v>7</v>
      </c>
      <c r="S3995">
        <v>1</v>
      </c>
      <c r="T3995">
        <v>9</v>
      </c>
      <c r="U3995">
        <v>1</v>
      </c>
      <c r="V3995">
        <v>2</v>
      </c>
      <c r="W3995">
        <v>1</v>
      </c>
      <c r="X3995">
        <v>104</v>
      </c>
      <c r="Y3995">
        <v>0</v>
      </c>
      <c r="Z3995">
        <v>0</v>
      </c>
      <c r="AA3995">
        <v>4</v>
      </c>
      <c r="AB3995">
        <v>0</v>
      </c>
      <c r="AD3995">
        <v>0</v>
      </c>
      <c r="AE3995">
        <v>0</v>
      </c>
      <c r="AF3995">
        <v>0</v>
      </c>
      <c r="AG3995">
        <v>0</v>
      </c>
      <c r="AI3995">
        <v>0</v>
      </c>
      <c r="AJ3995">
        <v>2</v>
      </c>
      <c r="AK3995">
        <v>131</v>
      </c>
      <c r="AL3995">
        <v>131</v>
      </c>
      <c r="AM3995">
        <v>152</v>
      </c>
      <c r="AN3995">
        <v>46</v>
      </c>
      <c r="AP3995">
        <v>1</v>
      </c>
      <c r="AR3995" t="s">
        <v>4094</v>
      </c>
      <c r="AS3995" s="1">
        <v>44354.115277777775</v>
      </c>
      <c r="AT3995" s="1">
        <v>44354.117337962962</v>
      </c>
      <c r="AU3995" s="1">
        <v>44354.117731481485</v>
      </c>
      <c r="AV3995" t="s">
        <v>71</v>
      </c>
      <c r="AW3995" t="s">
        <v>72</v>
      </c>
      <c r="AX3995" t="s">
        <v>73</v>
      </c>
    </row>
    <row r="3996" spans="1:50" x14ac:dyDescent="0.3">
      <c r="A3996" t="str">
        <f>"200384B0000"</f>
        <v>200384B0000</v>
      </c>
      <c r="B3996" t="str">
        <f>"200384B00002"</f>
        <v>200384B00002</v>
      </c>
      <c r="C3996" t="str">
        <f t="shared" si="206"/>
        <v>20</v>
      </c>
      <c r="D3996" t="s">
        <v>67</v>
      </c>
      <c r="E3996" t="str">
        <f t="shared" si="207"/>
        <v>018</v>
      </c>
      <c r="F3996" t="s">
        <v>4075</v>
      </c>
      <c r="G3996" t="str">
        <f>"0384"</f>
        <v>0384</v>
      </c>
      <c r="H3996" t="str">
        <f>"0000"</f>
        <v>0000</v>
      </c>
      <c r="I3996" t="s">
        <v>69</v>
      </c>
      <c r="J3996">
        <v>0</v>
      </c>
      <c r="K3996">
        <v>1</v>
      </c>
      <c r="L3996">
        <v>2</v>
      </c>
      <c r="M3996">
        <v>61</v>
      </c>
      <c r="N3996">
        <v>111</v>
      </c>
      <c r="O3996">
        <v>3</v>
      </c>
      <c r="P3996">
        <v>111</v>
      </c>
      <c r="Q3996">
        <v>1</v>
      </c>
      <c r="R3996">
        <v>8</v>
      </c>
      <c r="S3996">
        <v>2</v>
      </c>
      <c r="T3996">
        <v>11</v>
      </c>
      <c r="U3996">
        <v>8</v>
      </c>
      <c r="V3996">
        <v>0</v>
      </c>
      <c r="W3996">
        <v>1</v>
      </c>
      <c r="X3996">
        <v>67</v>
      </c>
      <c r="Y3996">
        <v>2</v>
      </c>
      <c r="Z3996">
        <v>0</v>
      </c>
      <c r="AA3996">
        <v>0</v>
      </c>
      <c r="AB3996">
        <v>5</v>
      </c>
      <c r="AD3996">
        <v>0</v>
      </c>
      <c r="AE3996">
        <v>0</v>
      </c>
      <c r="AF3996">
        <v>0</v>
      </c>
      <c r="AG3996">
        <v>0</v>
      </c>
      <c r="AI3996">
        <v>0</v>
      </c>
      <c r="AJ3996">
        <v>6</v>
      </c>
      <c r="AK3996">
        <v>111</v>
      </c>
      <c r="AL3996">
        <v>111</v>
      </c>
      <c r="AM3996">
        <v>126</v>
      </c>
      <c r="AN3996">
        <v>46</v>
      </c>
      <c r="AP3996">
        <v>1</v>
      </c>
      <c r="AR3996" t="s">
        <v>4095</v>
      </c>
      <c r="AS3996" s="1">
        <v>44354.146527777775</v>
      </c>
      <c r="AT3996" s="1">
        <v>44354.148310185185</v>
      </c>
      <c r="AU3996" s="1">
        <v>44354.148680555554</v>
      </c>
      <c r="AV3996" t="s">
        <v>71</v>
      </c>
      <c r="AW3996" t="s">
        <v>72</v>
      </c>
      <c r="AX3996" t="s">
        <v>73</v>
      </c>
    </row>
    <row r="3997" spans="1:50" x14ac:dyDescent="0.3">
      <c r="A3997" t="str">
        <f>"200385B0000"</f>
        <v>200385B0000</v>
      </c>
      <c r="B3997" t="str">
        <f>"200385B00002"</f>
        <v>200385B00002</v>
      </c>
      <c r="C3997" t="str">
        <f t="shared" si="206"/>
        <v>20</v>
      </c>
      <c r="D3997" t="s">
        <v>67</v>
      </c>
      <c r="E3997" t="str">
        <f t="shared" si="207"/>
        <v>018</v>
      </c>
      <c r="F3997" t="s">
        <v>4075</v>
      </c>
      <c r="G3997" t="str">
        <f>"0385"</f>
        <v>0385</v>
      </c>
      <c r="H3997" t="str">
        <f>"0000"</f>
        <v>0000</v>
      </c>
      <c r="I3997" t="s">
        <v>69</v>
      </c>
      <c r="J3997">
        <v>0</v>
      </c>
      <c r="K3997">
        <v>1</v>
      </c>
      <c r="L3997">
        <v>2</v>
      </c>
      <c r="M3997">
        <v>150</v>
      </c>
      <c r="N3997">
        <v>584</v>
      </c>
      <c r="O3997">
        <v>5</v>
      </c>
      <c r="P3997" t="s">
        <v>80</v>
      </c>
      <c r="Q3997">
        <v>2</v>
      </c>
      <c r="R3997">
        <v>58</v>
      </c>
      <c r="S3997">
        <v>3</v>
      </c>
      <c r="T3997">
        <v>55</v>
      </c>
      <c r="U3997">
        <v>9</v>
      </c>
      <c r="V3997">
        <v>21</v>
      </c>
      <c r="W3997">
        <v>21</v>
      </c>
      <c r="X3997">
        <v>358</v>
      </c>
      <c r="Y3997">
        <v>1</v>
      </c>
      <c r="Z3997">
        <v>1</v>
      </c>
      <c r="AA3997">
        <v>4</v>
      </c>
      <c r="AB3997">
        <v>26</v>
      </c>
      <c r="AD3997" t="s">
        <v>77</v>
      </c>
      <c r="AE3997" t="s">
        <v>77</v>
      </c>
      <c r="AF3997" t="s">
        <v>77</v>
      </c>
      <c r="AG3997" t="s">
        <v>77</v>
      </c>
      <c r="AI3997" t="s">
        <v>77</v>
      </c>
      <c r="AJ3997" t="s">
        <v>77</v>
      </c>
      <c r="AK3997" t="s">
        <v>77</v>
      </c>
      <c r="AL3997">
        <v>559</v>
      </c>
      <c r="AM3997">
        <v>688</v>
      </c>
      <c r="AN3997">
        <v>46</v>
      </c>
      <c r="AO3997" t="s">
        <v>78</v>
      </c>
      <c r="AP3997">
        <v>1</v>
      </c>
      <c r="AR3997" t="s">
        <v>4096</v>
      </c>
      <c r="AS3997" s="1">
        <v>44354.216666666667</v>
      </c>
      <c r="AT3997" s="1">
        <v>44354.218368055554</v>
      </c>
      <c r="AU3997" s="1">
        <v>44354.218900462962</v>
      </c>
      <c r="AV3997" t="s">
        <v>71</v>
      </c>
      <c r="AW3997" t="s">
        <v>72</v>
      </c>
      <c r="AX3997" t="s">
        <v>73</v>
      </c>
    </row>
    <row r="3998" spans="1:50" x14ac:dyDescent="0.3">
      <c r="A3998" t="str">
        <f>"200386B0000"</f>
        <v>200386B0000</v>
      </c>
      <c r="B3998" t="str">
        <f>"200386B00002"</f>
        <v>200386B00002</v>
      </c>
      <c r="C3998" t="str">
        <f t="shared" si="206"/>
        <v>20</v>
      </c>
      <c r="D3998" t="s">
        <v>67</v>
      </c>
      <c r="E3998" t="str">
        <f t="shared" si="207"/>
        <v>018</v>
      </c>
      <c r="F3998" t="s">
        <v>4075</v>
      </c>
      <c r="G3998" t="str">
        <f>"0386"</f>
        <v>0386</v>
      </c>
      <c r="H3998" t="str">
        <f>"0000"</f>
        <v>0000</v>
      </c>
      <c r="I3998" t="s">
        <v>69</v>
      </c>
      <c r="J3998">
        <v>0</v>
      </c>
      <c r="K3998">
        <v>1</v>
      </c>
      <c r="L3998">
        <v>2</v>
      </c>
      <c r="M3998">
        <v>114</v>
      </c>
      <c r="N3998">
        <v>523</v>
      </c>
      <c r="O3998">
        <v>0</v>
      </c>
      <c r="P3998">
        <v>523</v>
      </c>
      <c r="Q3998">
        <v>6</v>
      </c>
      <c r="R3998">
        <v>47</v>
      </c>
      <c r="S3998">
        <v>8</v>
      </c>
      <c r="T3998">
        <v>88</v>
      </c>
      <c r="U3998">
        <v>65</v>
      </c>
      <c r="V3998">
        <v>4</v>
      </c>
      <c r="W3998">
        <v>57</v>
      </c>
      <c r="X3998">
        <v>215</v>
      </c>
      <c r="Y3998">
        <v>10</v>
      </c>
      <c r="Z3998">
        <v>1</v>
      </c>
      <c r="AA3998">
        <v>3</v>
      </c>
      <c r="AB3998">
        <v>1</v>
      </c>
      <c r="AD3998" t="s">
        <v>77</v>
      </c>
      <c r="AE3998" t="s">
        <v>77</v>
      </c>
      <c r="AF3998" t="s">
        <v>77</v>
      </c>
      <c r="AG3998">
        <v>1</v>
      </c>
      <c r="AI3998" t="s">
        <v>77</v>
      </c>
      <c r="AJ3998">
        <v>17</v>
      </c>
      <c r="AK3998">
        <v>523</v>
      </c>
      <c r="AL3998">
        <v>523</v>
      </c>
      <c r="AM3998">
        <v>593</v>
      </c>
      <c r="AN3998">
        <v>44</v>
      </c>
      <c r="AO3998" t="s">
        <v>78</v>
      </c>
      <c r="AP3998">
        <v>1</v>
      </c>
      <c r="AR3998" t="s">
        <v>4097</v>
      </c>
      <c r="AS3998" s="1">
        <v>44354.26458333333</v>
      </c>
      <c r="AT3998" s="1">
        <v>44354.267187500001</v>
      </c>
      <c r="AU3998" s="1">
        <v>44354.267766203702</v>
      </c>
      <c r="AV3998" t="s">
        <v>71</v>
      </c>
      <c r="AW3998" t="s">
        <v>72</v>
      </c>
      <c r="AX3998" t="s">
        <v>73</v>
      </c>
    </row>
    <row r="3999" spans="1:50" x14ac:dyDescent="0.3">
      <c r="A3999" t="str">
        <f>"200386C0100"</f>
        <v>200386C0100</v>
      </c>
      <c r="B3999" t="str">
        <f>"200386C01002"</f>
        <v>200386C01002</v>
      </c>
      <c r="C3999" t="str">
        <f t="shared" si="206"/>
        <v>20</v>
      </c>
      <c r="D3999" t="s">
        <v>67</v>
      </c>
      <c r="E3999" t="str">
        <f t="shared" si="207"/>
        <v>018</v>
      </c>
      <c r="F3999" t="s">
        <v>4075</v>
      </c>
      <c r="G3999" t="str">
        <f>"0386"</f>
        <v>0386</v>
      </c>
      <c r="H3999" t="str">
        <f>"0001"</f>
        <v>0001</v>
      </c>
      <c r="I3999" t="s">
        <v>75</v>
      </c>
      <c r="J3999">
        <v>0</v>
      </c>
      <c r="K3999">
        <v>1</v>
      </c>
      <c r="L3999">
        <v>2</v>
      </c>
      <c r="M3999">
        <v>133</v>
      </c>
      <c r="N3999">
        <v>503</v>
      </c>
      <c r="O3999">
        <v>9</v>
      </c>
      <c r="P3999">
        <v>503</v>
      </c>
      <c r="Q3999">
        <v>8</v>
      </c>
      <c r="R3999">
        <v>58</v>
      </c>
      <c r="S3999">
        <v>6</v>
      </c>
      <c r="T3999">
        <v>79</v>
      </c>
      <c r="U3999">
        <v>61</v>
      </c>
      <c r="V3999">
        <v>2</v>
      </c>
      <c r="W3999">
        <v>40</v>
      </c>
      <c r="X3999">
        <v>216</v>
      </c>
      <c r="Y3999">
        <v>6</v>
      </c>
      <c r="Z3999">
        <v>1</v>
      </c>
      <c r="AA3999">
        <v>4</v>
      </c>
      <c r="AB3999">
        <v>1</v>
      </c>
      <c r="AD3999">
        <v>2</v>
      </c>
      <c r="AE3999" t="s">
        <v>77</v>
      </c>
      <c r="AF3999" t="s">
        <v>77</v>
      </c>
      <c r="AG3999" t="s">
        <v>77</v>
      </c>
      <c r="AI3999" t="s">
        <v>77</v>
      </c>
      <c r="AJ3999" t="s">
        <v>77</v>
      </c>
      <c r="AK3999" t="s">
        <v>77</v>
      </c>
      <c r="AL3999">
        <v>484</v>
      </c>
      <c r="AM3999">
        <v>592</v>
      </c>
      <c r="AN3999">
        <v>44</v>
      </c>
      <c r="AO3999" t="s">
        <v>78</v>
      </c>
      <c r="AP3999">
        <v>1</v>
      </c>
      <c r="AR3999" t="s">
        <v>4098</v>
      </c>
      <c r="AS3999" s="1">
        <v>44354.263888888891</v>
      </c>
      <c r="AT3999" s="1">
        <v>44354.265682870369</v>
      </c>
      <c r="AU3999" s="1">
        <v>44354.26630787037</v>
      </c>
      <c r="AV3999" t="s">
        <v>71</v>
      </c>
      <c r="AW3999" t="s">
        <v>72</v>
      </c>
      <c r="AX3999" t="s">
        <v>73</v>
      </c>
    </row>
    <row r="4000" spans="1:50" x14ac:dyDescent="0.3">
      <c r="A4000" t="str">
        <f>"201402B0000"</f>
        <v>201402B0000</v>
      </c>
      <c r="B4000" t="str">
        <f>"201402B00002"</f>
        <v>201402B00002</v>
      </c>
      <c r="C4000" t="str">
        <f t="shared" si="206"/>
        <v>20</v>
      </c>
      <c r="D4000" t="s">
        <v>67</v>
      </c>
      <c r="E4000" t="str">
        <f t="shared" si="207"/>
        <v>018</v>
      </c>
      <c r="F4000" t="s">
        <v>4075</v>
      </c>
      <c r="G4000" t="str">
        <f>"1402"</f>
        <v>1402</v>
      </c>
      <c r="H4000" t="str">
        <f>"0000"</f>
        <v>0000</v>
      </c>
      <c r="I4000" t="s">
        <v>69</v>
      </c>
      <c r="J4000">
        <v>0</v>
      </c>
      <c r="K4000">
        <v>1</v>
      </c>
      <c r="L4000">
        <v>2</v>
      </c>
      <c r="M4000">
        <v>399</v>
      </c>
      <c r="N4000">
        <v>256</v>
      </c>
      <c r="O4000">
        <v>256</v>
      </c>
      <c r="P4000">
        <v>256</v>
      </c>
      <c r="Q4000">
        <v>7</v>
      </c>
      <c r="R4000">
        <v>42</v>
      </c>
      <c r="S4000">
        <v>3</v>
      </c>
      <c r="T4000">
        <v>7</v>
      </c>
      <c r="U4000">
        <v>10</v>
      </c>
      <c r="V4000">
        <v>2</v>
      </c>
      <c r="W4000">
        <v>3</v>
      </c>
      <c r="X4000">
        <v>159</v>
      </c>
      <c r="Y4000">
        <v>1</v>
      </c>
      <c r="Z4000">
        <v>8</v>
      </c>
      <c r="AA4000">
        <v>1</v>
      </c>
      <c r="AB4000">
        <v>4</v>
      </c>
      <c r="AD4000">
        <v>0</v>
      </c>
      <c r="AE4000">
        <v>0</v>
      </c>
      <c r="AF4000">
        <v>1</v>
      </c>
      <c r="AG4000">
        <v>0</v>
      </c>
      <c r="AI4000" t="s">
        <v>77</v>
      </c>
      <c r="AJ4000">
        <v>8</v>
      </c>
      <c r="AK4000">
        <v>256</v>
      </c>
      <c r="AL4000">
        <v>256</v>
      </c>
      <c r="AM4000">
        <v>611</v>
      </c>
      <c r="AN4000">
        <v>44</v>
      </c>
      <c r="AO4000" t="s">
        <v>78</v>
      </c>
      <c r="AP4000">
        <v>1</v>
      </c>
      <c r="AR4000" t="s">
        <v>4099</v>
      </c>
      <c r="AS4000" s="1">
        <v>44354.193055555559</v>
      </c>
      <c r="AT4000" s="1">
        <v>44354.195636574077</v>
      </c>
      <c r="AU4000" s="1">
        <v>44354.196203703701</v>
      </c>
      <c r="AV4000" t="s">
        <v>71</v>
      </c>
      <c r="AW4000" t="s">
        <v>72</v>
      </c>
      <c r="AX4000" t="s">
        <v>73</v>
      </c>
    </row>
    <row r="4001" spans="1:50" x14ac:dyDescent="0.3">
      <c r="A4001" t="str">
        <f>"201465B0000"</f>
        <v>201465B0000</v>
      </c>
      <c r="B4001" t="str">
        <f>"201465B00002"</f>
        <v>201465B00002</v>
      </c>
      <c r="C4001" t="str">
        <f t="shared" si="206"/>
        <v>20</v>
      </c>
      <c r="D4001" t="s">
        <v>67</v>
      </c>
      <c r="E4001" t="str">
        <f t="shared" si="207"/>
        <v>018</v>
      </c>
      <c r="F4001" t="s">
        <v>4075</v>
      </c>
      <c r="G4001" t="str">
        <f>"1465"</f>
        <v>1465</v>
      </c>
      <c r="H4001" t="str">
        <f>"0000"</f>
        <v>0000</v>
      </c>
      <c r="I4001" t="s">
        <v>69</v>
      </c>
      <c r="J4001">
        <v>0</v>
      </c>
      <c r="K4001">
        <v>1</v>
      </c>
      <c r="L4001">
        <v>2</v>
      </c>
      <c r="M4001">
        <v>121</v>
      </c>
      <c r="N4001">
        <v>376</v>
      </c>
      <c r="O4001">
        <v>4</v>
      </c>
      <c r="P4001">
        <v>376</v>
      </c>
      <c r="Q4001">
        <v>2</v>
      </c>
      <c r="R4001">
        <v>49</v>
      </c>
      <c r="S4001">
        <v>0</v>
      </c>
      <c r="T4001">
        <v>6</v>
      </c>
      <c r="U4001">
        <v>3</v>
      </c>
      <c r="V4001">
        <v>4</v>
      </c>
      <c r="W4001">
        <v>0</v>
      </c>
      <c r="X4001">
        <v>252</v>
      </c>
      <c r="Y4001">
        <v>0</v>
      </c>
      <c r="Z4001">
        <v>27</v>
      </c>
      <c r="AA4001">
        <v>20</v>
      </c>
      <c r="AB4001">
        <v>2</v>
      </c>
      <c r="AD4001">
        <v>0</v>
      </c>
      <c r="AE4001">
        <v>0</v>
      </c>
      <c r="AF4001">
        <v>0</v>
      </c>
      <c r="AG4001">
        <v>0</v>
      </c>
      <c r="AI4001">
        <v>0</v>
      </c>
      <c r="AJ4001">
        <v>11</v>
      </c>
      <c r="AK4001">
        <v>376</v>
      </c>
      <c r="AL4001">
        <v>376</v>
      </c>
      <c r="AM4001">
        <v>453</v>
      </c>
      <c r="AN4001">
        <v>44</v>
      </c>
      <c r="AP4001">
        <v>1</v>
      </c>
      <c r="AR4001" t="s">
        <v>4100</v>
      </c>
      <c r="AS4001" s="1">
        <v>44354.069444444445</v>
      </c>
      <c r="AT4001" s="1">
        <v>44354.075729166667</v>
      </c>
      <c r="AU4001" s="1">
        <v>44354.076307870368</v>
      </c>
      <c r="AV4001" t="s">
        <v>71</v>
      </c>
      <c r="AW4001" t="s">
        <v>72</v>
      </c>
      <c r="AX4001" t="s">
        <v>73</v>
      </c>
    </row>
    <row r="4002" spans="1:50" x14ac:dyDescent="0.3">
      <c r="A4002" t="str">
        <f>"201465C0100"</f>
        <v>201465C0100</v>
      </c>
      <c r="B4002" t="str">
        <f>"201465C01002"</f>
        <v>201465C01002</v>
      </c>
      <c r="C4002" t="str">
        <f t="shared" si="206"/>
        <v>20</v>
      </c>
      <c r="D4002" t="s">
        <v>67</v>
      </c>
      <c r="E4002" t="str">
        <f t="shared" si="207"/>
        <v>018</v>
      </c>
      <c r="F4002" t="s">
        <v>4075</v>
      </c>
      <c r="G4002" t="str">
        <f>"1465"</f>
        <v>1465</v>
      </c>
      <c r="H4002" t="str">
        <f>"0001"</f>
        <v>0001</v>
      </c>
      <c r="I4002" t="s">
        <v>75</v>
      </c>
      <c r="J4002">
        <v>0</v>
      </c>
      <c r="K4002">
        <v>1</v>
      </c>
      <c r="L4002">
        <v>2</v>
      </c>
      <c r="M4002">
        <v>126</v>
      </c>
      <c r="N4002">
        <v>371</v>
      </c>
      <c r="O4002">
        <v>0</v>
      </c>
      <c r="P4002">
        <v>371</v>
      </c>
      <c r="Q4002">
        <v>2</v>
      </c>
      <c r="R4002">
        <v>55</v>
      </c>
      <c r="S4002">
        <v>1</v>
      </c>
      <c r="T4002">
        <v>3</v>
      </c>
      <c r="U4002">
        <v>2</v>
      </c>
      <c r="V4002">
        <v>2</v>
      </c>
      <c r="W4002">
        <v>3</v>
      </c>
      <c r="X4002">
        <v>236</v>
      </c>
      <c r="Y4002">
        <v>0</v>
      </c>
      <c r="Z4002">
        <v>27</v>
      </c>
      <c r="AA4002">
        <v>19</v>
      </c>
      <c r="AB4002">
        <v>1</v>
      </c>
      <c r="AD4002">
        <v>0</v>
      </c>
      <c r="AE4002">
        <v>0</v>
      </c>
      <c r="AF4002">
        <v>0</v>
      </c>
      <c r="AG4002">
        <v>0</v>
      </c>
      <c r="AI4002">
        <v>0</v>
      </c>
      <c r="AJ4002">
        <v>20</v>
      </c>
      <c r="AK4002">
        <v>371</v>
      </c>
      <c r="AL4002">
        <v>371</v>
      </c>
      <c r="AM4002">
        <v>453</v>
      </c>
      <c r="AN4002">
        <v>44</v>
      </c>
      <c r="AP4002">
        <v>1</v>
      </c>
      <c r="AR4002" t="s">
        <v>4101</v>
      </c>
      <c r="AS4002" s="1">
        <v>44354.072222222225</v>
      </c>
      <c r="AT4002" s="1">
        <v>44354.079340277778</v>
      </c>
      <c r="AU4002" s="1">
        <v>44354.08016203704</v>
      </c>
      <c r="AV4002" t="s">
        <v>71</v>
      </c>
      <c r="AW4002" t="s">
        <v>72</v>
      </c>
      <c r="AX4002" t="s">
        <v>73</v>
      </c>
    </row>
    <row r="4003" spans="1:50" x14ac:dyDescent="0.3">
      <c r="A4003" t="str">
        <f>"201466B0000"</f>
        <v>201466B0000</v>
      </c>
      <c r="B4003" t="str">
        <f>"201466B00002"</f>
        <v>201466B00002</v>
      </c>
      <c r="C4003" t="str">
        <f t="shared" si="206"/>
        <v>20</v>
      </c>
      <c r="D4003" t="s">
        <v>67</v>
      </c>
      <c r="E4003" t="str">
        <f t="shared" si="207"/>
        <v>018</v>
      </c>
      <c r="F4003" t="s">
        <v>4075</v>
      </c>
      <c r="G4003" t="str">
        <f>"1466"</f>
        <v>1466</v>
      </c>
      <c r="H4003" t="str">
        <f>"0000"</f>
        <v>0000</v>
      </c>
      <c r="I4003" t="s">
        <v>69</v>
      </c>
      <c r="J4003">
        <v>0</v>
      </c>
      <c r="K4003">
        <v>1</v>
      </c>
      <c r="L4003">
        <v>2</v>
      </c>
      <c r="M4003">
        <v>139</v>
      </c>
      <c r="N4003">
        <v>392</v>
      </c>
      <c r="O4003">
        <v>1</v>
      </c>
      <c r="P4003">
        <v>392</v>
      </c>
      <c r="Q4003">
        <v>1</v>
      </c>
      <c r="R4003">
        <v>50</v>
      </c>
      <c r="S4003">
        <v>2</v>
      </c>
      <c r="T4003">
        <v>2</v>
      </c>
      <c r="U4003">
        <v>4</v>
      </c>
      <c r="V4003">
        <v>8</v>
      </c>
      <c r="W4003">
        <v>1</v>
      </c>
      <c r="X4003">
        <v>266</v>
      </c>
      <c r="Y4003">
        <v>0</v>
      </c>
      <c r="Z4003">
        <v>23</v>
      </c>
      <c r="AA4003">
        <v>19</v>
      </c>
      <c r="AB4003">
        <v>3</v>
      </c>
      <c r="AD4003">
        <v>0</v>
      </c>
      <c r="AE4003">
        <v>0</v>
      </c>
      <c r="AF4003">
        <v>0</v>
      </c>
      <c r="AG4003">
        <v>0</v>
      </c>
      <c r="AI4003">
        <v>0</v>
      </c>
      <c r="AJ4003">
        <v>13</v>
      </c>
      <c r="AK4003">
        <v>392</v>
      </c>
      <c r="AL4003">
        <v>392</v>
      </c>
      <c r="AM4003">
        <v>487</v>
      </c>
      <c r="AN4003">
        <v>44</v>
      </c>
      <c r="AP4003">
        <v>1</v>
      </c>
      <c r="AR4003" t="s">
        <v>4102</v>
      </c>
      <c r="AS4003" s="1">
        <v>44354.214583333334</v>
      </c>
      <c r="AT4003" s="1">
        <v>44354.216168981482</v>
      </c>
      <c r="AU4003" s="1">
        <v>44354.216956018521</v>
      </c>
      <c r="AV4003" t="s">
        <v>71</v>
      </c>
      <c r="AW4003" t="s">
        <v>72</v>
      </c>
      <c r="AX4003" t="s">
        <v>73</v>
      </c>
    </row>
    <row r="4004" spans="1:50" x14ac:dyDescent="0.3">
      <c r="A4004" t="str">
        <f>"201466C0100"</f>
        <v>201466C0100</v>
      </c>
      <c r="B4004" t="str">
        <f>"201466C01002"</f>
        <v>201466C01002</v>
      </c>
      <c r="C4004" t="str">
        <f t="shared" si="206"/>
        <v>20</v>
      </c>
      <c r="D4004" t="s">
        <v>67</v>
      </c>
      <c r="E4004" t="str">
        <f t="shared" si="207"/>
        <v>018</v>
      </c>
      <c r="F4004" t="s">
        <v>4075</v>
      </c>
      <c r="G4004" t="str">
        <f>"1466"</f>
        <v>1466</v>
      </c>
      <c r="H4004" t="str">
        <f>"0001"</f>
        <v>0001</v>
      </c>
      <c r="I4004" t="s">
        <v>75</v>
      </c>
      <c r="J4004">
        <v>0</v>
      </c>
      <c r="K4004">
        <v>1</v>
      </c>
      <c r="L4004">
        <v>2</v>
      </c>
      <c r="M4004">
        <v>138</v>
      </c>
      <c r="N4004">
        <v>392</v>
      </c>
      <c r="O4004">
        <v>4</v>
      </c>
      <c r="P4004">
        <v>392</v>
      </c>
      <c r="Q4004">
        <v>0</v>
      </c>
      <c r="R4004">
        <v>60</v>
      </c>
      <c r="S4004">
        <v>1</v>
      </c>
      <c r="T4004">
        <v>1</v>
      </c>
      <c r="U4004">
        <v>3</v>
      </c>
      <c r="V4004">
        <v>11</v>
      </c>
      <c r="W4004">
        <v>0</v>
      </c>
      <c r="X4004">
        <v>249</v>
      </c>
      <c r="Y4004">
        <v>2</v>
      </c>
      <c r="Z4004">
        <v>23</v>
      </c>
      <c r="AA4004">
        <v>19</v>
      </c>
      <c r="AB4004">
        <v>3</v>
      </c>
      <c r="AD4004">
        <v>1</v>
      </c>
      <c r="AE4004">
        <v>0</v>
      </c>
      <c r="AF4004">
        <v>0</v>
      </c>
      <c r="AG4004">
        <v>1</v>
      </c>
      <c r="AI4004">
        <v>0</v>
      </c>
      <c r="AJ4004">
        <v>18</v>
      </c>
      <c r="AK4004">
        <v>392</v>
      </c>
      <c r="AL4004">
        <v>392</v>
      </c>
      <c r="AM4004">
        <v>486</v>
      </c>
      <c r="AN4004">
        <v>44</v>
      </c>
      <c r="AP4004">
        <v>1</v>
      </c>
      <c r="AR4004" t="s">
        <v>4103</v>
      </c>
      <c r="AS4004" s="1">
        <v>44354.22152777778</v>
      </c>
      <c r="AT4004" s="1">
        <v>44354.223564814813</v>
      </c>
      <c r="AU4004" s="1">
        <v>44354.22457175926</v>
      </c>
      <c r="AV4004" t="s">
        <v>71</v>
      </c>
      <c r="AW4004" t="s">
        <v>72</v>
      </c>
      <c r="AX4004" t="s">
        <v>73</v>
      </c>
    </row>
    <row r="4005" spans="1:50" x14ac:dyDescent="0.3">
      <c r="A4005" t="str">
        <f>"201467B0000"</f>
        <v>201467B0000</v>
      </c>
      <c r="B4005" t="str">
        <f>"201467B00002"</f>
        <v>201467B00002</v>
      </c>
      <c r="C4005" t="str">
        <f t="shared" si="206"/>
        <v>20</v>
      </c>
      <c r="D4005" t="s">
        <v>67</v>
      </c>
      <c r="E4005" t="str">
        <f t="shared" si="207"/>
        <v>018</v>
      </c>
      <c r="F4005" t="s">
        <v>4075</v>
      </c>
      <c r="G4005" t="str">
        <f>"1467"</f>
        <v>1467</v>
      </c>
      <c r="H4005" t="str">
        <f>"0000"</f>
        <v>0000</v>
      </c>
      <c r="I4005" t="s">
        <v>69</v>
      </c>
      <c r="J4005">
        <v>0</v>
      </c>
      <c r="K4005">
        <v>1</v>
      </c>
      <c r="L4005">
        <v>2</v>
      </c>
      <c r="M4005">
        <v>73</v>
      </c>
      <c r="N4005">
        <v>165</v>
      </c>
      <c r="O4005">
        <v>0</v>
      </c>
      <c r="P4005" t="s">
        <v>80</v>
      </c>
      <c r="Q4005">
        <v>1</v>
      </c>
      <c r="R4005">
        <v>14</v>
      </c>
      <c r="S4005">
        <v>0</v>
      </c>
      <c r="T4005">
        <v>0</v>
      </c>
      <c r="U4005">
        <v>0</v>
      </c>
      <c r="V4005">
        <v>2</v>
      </c>
      <c r="W4005">
        <v>1</v>
      </c>
      <c r="X4005">
        <v>118</v>
      </c>
      <c r="Y4005">
        <v>0</v>
      </c>
      <c r="Z4005">
        <v>9</v>
      </c>
      <c r="AA4005">
        <v>3</v>
      </c>
      <c r="AB4005">
        <v>0</v>
      </c>
      <c r="AD4005">
        <v>1</v>
      </c>
      <c r="AE4005">
        <v>0</v>
      </c>
      <c r="AF4005">
        <v>0</v>
      </c>
      <c r="AG4005">
        <v>0</v>
      </c>
      <c r="AI4005">
        <v>0</v>
      </c>
      <c r="AJ4005">
        <v>16</v>
      </c>
      <c r="AK4005">
        <v>165</v>
      </c>
      <c r="AL4005">
        <v>165</v>
      </c>
      <c r="AM4005">
        <v>194</v>
      </c>
      <c r="AN4005">
        <v>44</v>
      </c>
      <c r="AP4005">
        <v>1</v>
      </c>
      <c r="AR4005" t="s">
        <v>4104</v>
      </c>
      <c r="AS4005" s="1">
        <v>44354.071527777778</v>
      </c>
      <c r="AT4005" s="1">
        <v>44354.076747685183</v>
      </c>
      <c r="AU4005" s="1">
        <v>44354.077245370368</v>
      </c>
      <c r="AV4005" t="s">
        <v>71</v>
      </c>
      <c r="AW4005" t="s">
        <v>72</v>
      </c>
      <c r="AX4005" t="s">
        <v>73</v>
      </c>
    </row>
    <row r="4006" spans="1:50" x14ac:dyDescent="0.3">
      <c r="A4006" t="str">
        <f>"201468B0000"</f>
        <v>201468B0000</v>
      </c>
      <c r="B4006" t="str">
        <f>"201468B00002"</f>
        <v>201468B00002</v>
      </c>
      <c r="C4006" t="str">
        <f t="shared" si="206"/>
        <v>20</v>
      </c>
      <c r="D4006" t="s">
        <v>67</v>
      </c>
      <c r="E4006" t="str">
        <f t="shared" si="207"/>
        <v>018</v>
      </c>
      <c r="F4006" t="s">
        <v>4075</v>
      </c>
      <c r="G4006" t="str">
        <f>"1468"</f>
        <v>1468</v>
      </c>
      <c r="H4006" t="str">
        <f>"0000"</f>
        <v>0000</v>
      </c>
      <c r="I4006" t="s">
        <v>69</v>
      </c>
      <c r="J4006">
        <v>0</v>
      </c>
      <c r="K4006">
        <v>1</v>
      </c>
      <c r="L4006">
        <v>2</v>
      </c>
      <c r="M4006">
        <v>203</v>
      </c>
      <c r="N4006">
        <v>459</v>
      </c>
      <c r="O4006">
        <v>0</v>
      </c>
      <c r="P4006">
        <v>459</v>
      </c>
      <c r="Q4006">
        <v>4</v>
      </c>
      <c r="R4006">
        <v>70</v>
      </c>
      <c r="S4006">
        <v>0</v>
      </c>
      <c r="T4006">
        <v>2</v>
      </c>
      <c r="U4006">
        <v>7</v>
      </c>
      <c r="V4006">
        <v>12</v>
      </c>
      <c r="W4006">
        <v>13</v>
      </c>
      <c r="X4006">
        <v>263</v>
      </c>
      <c r="Y4006">
        <v>0</v>
      </c>
      <c r="Z4006">
        <v>27</v>
      </c>
      <c r="AA4006">
        <v>24</v>
      </c>
      <c r="AB4006">
        <v>6</v>
      </c>
      <c r="AD4006">
        <v>2</v>
      </c>
      <c r="AE4006">
        <v>0</v>
      </c>
      <c r="AF4006">
        <v>0</v>
      </c>
      <c r="AG4006">
        <v>0</v>
      </c>
      <c r="AI4006">
        <v>0</v>
      </c>
      <c r="AJ4006">
        <v>29</v>
      </c>
      <c r="AK4006">
        <v>459</v>
      </c>
      <c r="AL4006">
        <v>459</v>
      </c>
      <c r="AM4006">
        <v>618</v>
      </c>
      <c r="AN4006">
        <v>44</v>
      </c>
      <c r="AP4006">
        <v>1</v>
      </c>
      <c r="AR4006" t="s">
        <v>4105</v>
      </c>
      <c r="AS4006" s="1">
        <v>44354.215277777781</v>
      </c>
      <c r="AT4006" s="1">
        <v>44354.218159722222</v>
      </c>
      <c r="AU4006" s="1">
        <v>44354.218726851854</v>
      </c>
      <c r="AV4006" t="s">
        <v>71</v>
      </c>
      <c r="AW4006" t="s">
        <v>72</v>
      </c>
      <c r="AX4006" t="s">
        <v>73</v>
      </c>
    </row>
    <row r="4007" spans="1:50" x14ac:dyDescent="0.3">
      <c r="A4007" t="str">
        <f>"201468C0100"</f>
        <v>201468C0100</v>
      </c>
      <c r="B4007" t="str">
        <f>"201468C01002"</f>
        <v>201468C01002</v>
      </c>
      <c r="C4007" t="str">
        <f t="shared" si="206"/>
        <v>20</v>
      </c>
      <c r="D4007" t="s">
        <v>67</v>
      </c>
      <c r="E4007" t="str">
        <f t="shared" si="207"/>
        <v>018</v>
      </c>
      <c r="F4007" t="s">
        <v>4075</v>
      </c>
      <c r="G4007" t="str">
        <f>"1468"</f>
        <v>1468</v>
      </c>
      <c r="H4007" t="str">
        <f>"0001"</f>
        <v>0001</v>
      </c>
      <c r="I4007" t="s">
        <v>75</v>
      </c>
      <c r="J4007">
        <v>0</v>
      </c>
      <c r="K4007">
        <v>1</v>
      </c>
      <c r="L4007">
        <v>2</v>
      </c>
      <c r="M4007">
        <v>201</v>
      </c>
      <c r="N4007">
        <v>462</v>
      </c>
      <c r="O4007">
        <v>0</v>
      </c>
      <c r="P4007">
        <v>462</v>
      </c>
      <c r="Q4007">
        <v>2</v>
      </c>
      <c r="R4007">
        <v>94</v>
      </c>
      <c r="S4007">
        <v>5</v>
      </c>
      <c r="T4007">
        <v>2</v>
      </c>
      <c r="U4007">
        <v>6</v>
      </c>
      <c r="V4007">
        <v>16</v>
      </c>
      <c r="W4007">
        <v>23</v>
      </c>
      <c r="X4007">
        <v>263</v>
      </c>
      <c r="Y4007">
        <v>0</v>
      </c>
      <c r="Z4007">
        <v>15</v>
      </c>
      <c r="AA4007">
        <v>15</v>
      </c>
      <c r="AB4007">
        <v>4</v>
      </c>
      <c r="AD4007">
        <v>1</v>
      </c>
      <c r="AE4007">
        <v>1</v>
      </c>
      <c r="AF4007">
        <v>0</v>
      </c>
      <c r="AG4007">
        <v>0</v>
      </c>
      <c r="AI4007">
        <v>0</v>
      </c>
      <c r="AJ4007">
        <v>15</v>
      </c>
      <c r="AK4007">
        <v>462</v>
      </c>
      <c r="AL4007">
        <v>462</v>
      </c>
      <c r="AM4007">
        <v>618</v>
      </c>
      <c r="AN4007">
        <v>44</v>
      </c>
      <c r="AP4007">
        <v>1</v>
      </c>
      <c r="AR4007" t="s">
        <v>4106</v>
      </c>
      <c r="AS4007" s="1">
        <v>44354.213888888888</v>
      </c>
      <c r="AT4007" s="1">
        <v>44354.216111111113</v>
      </c>
      <c r="AU4007" s="1">
        <v>44354.216817129629</v>
      </c>
      <c r="AV4007" t="s">
        <v>71</v>
      </c>
      <c r="AW4007" t="s">
        <v>72</v>
      </c>
      <c r="AX4007" t="s">
        <v>73</v>
      </c>
    </row>
    <row r="4008" spans="1:50" x14ac:dyDescent="0.3">
      <c r="A4008" t="str">
        <f>"201469B0000"</f>
        <v>201469B0000</v>
      </c>
      <c r="B4008" t="str">
        <f>"201469B00002"</f>
        <v>201469B00002</v>
      </c>
      <c r="C4008" t="str">
        <f t="shared" si="206"/>
        <v>20</v>
      </c>
      <c r="D4008" t="s">
        <v>67</v>
      </c>
      <c r="E4008" t="str">
        <f t="shared" si="207"/>
        <v>018</v>
      </c>
      <c r="F4008" t="s">
        <v>4075</v>
      </c>
      <c r="G4008" t="str">
        <f>"1469"</f>
        <v>1469</v>
      </c>
      <c r="H4008" t="str">
        <f>"0000"</f>
        <v>0000</v>
      </c>
      <c r="I4008" t="s">
        <v>69</v>
      </c>
      <c r="J4008">
        <v>0</v>
      </c>
      <c r="K4008">
        <v>1</v>
      </c>
      <c r="L4008">
        <v>2</v>
      </c>
      <c r="M4008">
        <v>89</v>
      </c>
      <c r="N4008">
        <v>213</v>
      </c>
      <c r="O4008">
        <v>0</v>
      </c>
      <c r="P4008">
        <v>213</v>
      </c>
      <c r="Q4008">
        <v>1</v>
      </c>
      <c r="R4008">
        <v>26</v>
      </c>
      <c r="S4008">
        <v>0</v>
      </c>
      <c r="T4008">
        <v>10</v>
      </c>
      <c r="U4008">
        <v>16</v>
      </c>
      <c r="V4008">
        <v>3</v>
      </c>
      <c r="W4008">
        <v>0</v>
      </c>
      <c r="X4008">
        <v>118</v>
      </c>
      <c r="Y4008">
        <v>1</v>
      </c>
      <c r="Z4008">
        <v>14</v>
      </c>
      <c r="AA4008">
        <v>11</v>
      </c>
      <c r="AB4008">
        <v>1</v>
      </c>
      <c r="AD4008">
        <v>0</v>
      </c>
      <c r="AE4008">
        <v>0</v>
      </c>
      <c r="AF4008">
        <v>0</v>
      </c>
      <c r="AG4008">
        <v>0</v>
      </c>
      <c r="AI4008">
        <v>0</v>
      </c>
      <c r="AJ4008">
        <v>12</v>
      </c>
      <c r="AK4008">
        <v>213</v>
      </c>
      <c r="AL4008">
        <v>213</v>
      </c>
      <c r="AM4008">
        <v>258</v>
      </c>
      <c r="AN4008">
        <v>44</v>
      </c>
      <c r="AP4008">
        <v>1</v>
      </c>
      <c r="AR4008" t="s">
        <v>4107</v>
      </c>
      <c r="AS4008" s="1">
        <v>44354.231249999997</v>
      </c>
      <c r="AT4008" s="1">
        <v>44354.235127314816</v>
      </c>
      <c r="AU4008" s="1">
        <v>44354.235567129632</v>
      </c>
      <c r="AV4008" t="s">
        <v>71</v>
      </c>
      <c r="AW4008" t="s">
        <v>72</v>
      </c>
      <c r="AX4008" t="s">
        <v>73</v>
      </c>
    </row>
    <row r="4009" spans="1:50" x14ac:dyDescent="0.3">
      <c r="A4009" t="str">
        <f>"201469E0100"</f>
        <v>201469E0100</v>
      </c>
      <c r="B4009" t="str">
        <f>"201469E01002"</f>
        <v>201469E01002</v>
      </c>
      <c r="C4009" t="str">
        <f t="shared" si="206"/>
        <v>20</v>
      </c>
      <c r="D4009" t="s">
        <v>67</v>
      </c>
      <c r="E4009" t="str">
        <f t="shared" si="207"/>
        <v>018</v>
      </c>
      <c r="F4009" t="s">
        <v>4075</v>
      </c>
      <c r="G4009" t="str">
        <f>"1469"</f>
        <v>1469</v>
      </c>
      <c r="H4009" t="str">
        <f>"0001"</f>
        <v>0001</v>
      </c>
      <c r="I4009" t="s">
        <v>109</v>
      </c>
      <c r="J4009">
        <v>0</v>
      </c>
      <c r="K4009">
        <v>1</v>
      </c>
      <c r="L4009">
        <v>2</v>
      </c>
      <c r="M4009">
        <v>89</v>
      </c>
      <c r="N4009">
        <v>108</v>
      </c>
      <c r="O4009">
        <v>0</v>
      </c>
      <c r="P4009">
        <v>108</v>
      </c>
      <c r="Q4009">
        <v>0</v>
      </c>
      <c r="R4009">
        <v>36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55</v>
      </c>
      <c r="Y4009">
        <v>1</v>
      </c>
      <c r="Z4009">
        <v>10</v>
      </c>
      <c r="AA4009">
        <v>0</v>
      </c>
      <c r="AB4009">
        <v>0</v>
      </c>
      <c r="AD4009">
        <v>0</v>
      </c>
      <c r="AE4009">
        <v>0</v>
      </c>
      <c r="AF4009">
        <v>0</v>
      </c>
      <c r="AG4009">
        <v>0</v>
      </c>
      <c r="AI4009">
        <v>0</v>
      </c>
      <c r="AJ4009">
        <v>6</v>
      </c>
      <c r="AK4009">
        <v>108</v>
      </c>
      <c r="AL4009">
        <v>108</v>
      </c>
      <c r="AM4009">
        <v>153</v>
      </c>
      <c r="AN4009">
        <v>44</v>
      </c>
      <c r="AP4009">
        <v>1</v>
      </c>
      <c r="AR4009" s="2" t="s">
        <v>4108</v>
      </c>
      <c r="AS4009" s="1">
        <v>44354.222222222219</v>
      </c>
      <c r="AT4009" s="1">
        <v>44354.223657407405</v>
      </c>
      <c r="AU4009" s="1">
        <v>44354.224097222221</v>
      </c>
      <c r="AV4009" t="s">
        <v>71</v>
      </c>
      <c r="AW4009" t="s">
        <v>72</v>
      </c>
      <c r="AX4009" t="s">
        <v>73</v>
      </c>
    </row>
    <row r="4010" spans="1:50" x14ac:dyDescent="0.3">
      <c r="A4010" t="str">
        <f>"201470B0000"</f>
        <v>201470B0000</v>
      </c>
      <c r="B4010" t="str">
        <f>"201470B00002"</f>
        <v>201470B00002</v>
      </c>
      <c r="C4010" t="str">
        <f t="shared" si="206"/>
        <v>20</v>
      </c>
      <c r="D4010" t="s">
        <v>67</v>
      </c>
      <c r="E4010" t="str">
        <f t="shared" si="207"/>
        <v>018</v>
      </c>
      <c r="F4010" t="s">
        <v>4075</v>
      </c>
      <c r="G4010" t="str">
        <f>"1470"</f>
        <v>1470</v>
      </c>
      <c r="H4010" t="str">
        <f>"0000"</f>
        <v>0000</v>
      </c>
      <c r="I4010" t="s">
        <v>69</v>
      </c>
      <c r="J4010">
        <v>0</v>
      </c>
      <c r="K4010">
        <v>1</v>
      </c>
      <c r="L4010">
        <v>2</v>
      </c>
      <c r="M4010">
        <v>172</v>
      </c>
      <c r="N4010">
        <v>456</v>
      </c>
      <c r="O4010">
        <v>1</v>
      </c>
      <c r="P4010">
        <v>10</v>
      </c>
      <c r="Q4010">
        <v>1</v>
      </c>
      <c r="R4010">
        <v>26</v>
      </c>
      <c r="S4010">
        <v>5</v>
      </c>
      <c r="T4010">
        <v>3</v>
      </c>
      <c r="U4010">
        <v>6</v>
      </c>
      <c r="V4010">
        <v>3</v>
      </c>
      <c r="W4010">
        <v>3</v>
      </c>
      <c r="X4010">
        <v>342</v>
      </c>
      <c r="Y4010">
        <v>0</v>
      </c>
      <c r="Z4010">
        <v>22</v>
      </c>
      <c r="AA4010">
        <v>9</v>
      </c>
      <c r="AB4010">
        <v>22</v>
      </c>
      <c r="AD4010">
        <v>0</v>
      </c>
      <c r="AE4010">
        <v>0</v>
      </c>
      <c r="AF4010">
        <v>0</v>
      </c>
      <c r="AG4010">
        <v>0</v>
      </c>
      <c r="AI4010">
        <v>0</v>
      </c>
      <c r="AJ4010">
        <v>14</v>
      </c>
      <c r="AK4010">
        <v>456</v>
      </c>
      <c r="AL4010">
        <v>456</v>
      </c>
      <c r="AM4010">
        <v>585</v>
      </c>
      <c r="AN4010">
        <v>44</v>
      </c>
      <c r="AP4010">
        <v>1</v>
      </c>
      <c r="AR4010" t="s">
        <v>4109</v>
      </c>
      <c r="AS4010" s="1">
        <v>44354.117361111108</v>
      </c>
      <c r="AT4010" s="1">
        <v>44354.119143518517</v>
      </c>
      <c r="AU4010" s="1">
        <v>44354.120219907411</v>
      </c>
      <c r="AV4010" t="s">
        <v>71</v>
      </c>
      <c r="AW4010" t="s">
        <v>72</v>
      </c>
      <c r="AX4010" t="s">
        <v>73</v>
      </c>
    </row>
    <row r="4011" spans="1:50" x14ac:dyDescent="0.3">
      <c r="A4011" t="str">
        <f>"201470E0100"</f>
        <v>201470E0100</v>
      </c>
      <c r="B4011" t="str">
        <f>"201470E01002"</f>
        <v>201470E01002</v>
      </c>
      <c r="C4011" t="str">
        <f t="shared" si="206"/>
        <v>20</v>
      </c>
      <c r="D4011" t="s">
        <v>67</v>
      </c>
      <c r="E4011" t="str">
        <f t="shared" si="207"/>
        <v>018</v>
      </c>
      <c r="F4011" t="s">
        <v>4075</v>
      </c>
      <c r="G4011" t="str">
        <f>"1470"</f>
        <v>1470</v>
      </c>
      <c r="H4011" t="str">
        <f>"0001"</f>
        <v>0001</v>
      </c>
      <c r="I4011" t="s">
        <v>109</v>
      </c>
      <c r="J4011">
        <v>0</v>
      </c>
      <c r="K4011">
        <v>1</v>
      </c>
      <c r="L4011">
        <v>2</v>
      </c>
      <c r="M4011">
        <v>169</v>
      </c>
      <c r="N4011">
        <v>442</v>
      </c>
      <c r="O4011">
        <v>0</v>
      </c>
      <c r="P4011">
        <v>442</v>
      </c>
      <c r="Q4011">
        <v>5</v>
      </c>
      <c r="R4011">
        <v>69</v>
      </c>
      <c r="S4011">
        <v>1</v>
      </c>
      <c r="T4011">
        <v>10</v>
      </c>
      <c r="U4011">
        <v>5</v>
      </c>
      <c r="V4011">
        <v>5</v>
      </c>
      <c r="W4011">
        <v>0</v>
      </c>
      <c r="X4011">
        <v>264</v>
      </c>
      <c r="Y4011">
        <v>0</v>
      </c>
      <c r="Z4011">
        <v>33</v>
      </c>
      <c r="AA4011">
        <v>33</v>
      </c>
      <c r="AB4011">
        <v>0</v>
      </c>
      <c r="AD4011">
        <v>1</v>
      </c>
      <c r="AE4011">
        <v>0</v>
      </c>
      <c r="AF4011">
        <v>0</v>
      </c>
      <c r="AG4011">
        <v>1</v>
      </c>
      <c r="AI4011">
        <v>0</v>
      </c>
      <c r="AJ4011">
        <v>17</v>
      </c>
      <c r="AK4011">
        <v>442</v>
      </c>
      <c r="AL4011">
        <v>444</v>
      </c>
      <c r="AM4011">
        <v>567</v>
      </c>
      <c r="AN4011">
        <v>44</v>
      </c>
      <c r="AP4011">
        <v>1</v>
      </c>
      <c r="AR4011" t="s">
        <v>4110</v>
      </c>
      <c r="AS4011" s="1">
        <v>44354.137499999997</v>
      </c>
      <c r="AT4011" s="1">
        <v>44354.139849537038</v>
      </c>
      <c r="AU4011" s="1">
        <v>44354.140324074076</v>
      </c>
      <c r="AV4011" t="s">
        <v>71</v>
      </c>
      <c r="AW4011" t="s">
        <v>72</v>
      </c>
      <c r="AX4011" t="s">
        <v>73</v>
      </c>
    </row>
    <row r="4012" spans="1:50" x14ac:dyDescent="0.3">
      <c r="A4012" t="str">
        <f>"201470E0101"</f>
        <v>201470E0101</v>
      </c>
      <c r="B4012" t="str">
        <f>"201470E01012"</f>
        <v>201470E01012</v>
      </c>
      <c r="C4012" t="str">
        <f t="shared" si="206"/>
        <v>20</v>
      </c>
      <c r="D4012" t="s">
        <v>67</v>
      </c>
      <c r="E4012" t="str">
        <f t="shared" si="207"/>
        <v>018</v>
      </c>
      <c r="F4012" t="s">
        <v>4075</v>
      </c>
      <c r="G4012" t="str">
        <f>"1470"</f>
        <v>1470</v>
      </c>
      <c r="H4012" t="str">
        <f>"0001"</f>
        <v>0001</v>
      </c>
      <c r="I4012" t="s">
        <v>109</v>
      </c>
      <c r="J4012">
        <v>1</v>
      </c>
      <c r="K4012">
        <v>1</v>
      </c>
      <c r="L4012">
        <v>2</v>
      </c>
      <c r="M4012">
        <v>161</v>
      </c>
      <c r="N4012">
        <v>448</v>
      </c>
      <c r="O4012">
        <v>0</v>
      </c>
      <c r="P4012">
        <v>451</v>
      </c>
      <c r="Q4012">
        <v>3</v>
      </c>
      <c r="R4012">
        <v>50</v>
      </c>
      <c r="S4012">
        <v>4</v>
      </c>
      <c r="T4012">
        <v>8</v>
      </c>
      <c r="U4012">
        <v>17</v>
      </c>
      <c r="V4012">
        <v>2</v>
      </c>
      <c r="W4012">
        <v>1</v>
      </c>
      <c r="X4012">
        <v>304</v>
      </c>
      <c r="Y4012">
        <v>0</v>
      </c>
      <c r="Z4012">
        <v>14</v>
      </c>
      <c r="AA4012">
        <v>19</v>
      </c>
      <c r="AB4012">
        <v>0</v>
      </c>
      <c r="AD4012">
        <v>3</v>
      </c>
      <c r="AE4012">
        <v>0</v>
      </c>
      <c r="AF4012">
        <v>0</v>
      </c>
      <c r="AG4012">
        <v>1</v>
      </c>
      <c r="AI4012">
        <v>0</v>
      </c>
      <c r="AJ4012">
        <v>25</v>
      </c>
      <c r="AK4012">
        <v>451</v>
      </c>
      <c r="AL4012">
        <v>451</v>
      </c>
      <c r="AM4012">
        <v>567</v>
      </c>
      <c r="AN4012">
        <v>44</v>
      </c>
      <c r="AP4012">
        <v>1</v>
      </c>
      <c r="AR4012" t="s">
        <v>4111</v>
      </c>
      <c r="AS4012" s="1">
        <v>44354.147222222222</v>
      </c>
      <c r="AT4012" s="1">
        <v>44354.149571759262</v>
      </c>
      <c r="AU4012" s="1">
        <v>44354.150254629632</v>
      </c>
      <c r="AV4012" t="s">
        <v>71</v>
      </c>
      <c r="AW4012" t="s">
        <v>72</v>
      </c>
      <c r="AX4012" t="s">
        <v>73</v>
      </c>
    </row>
    <row r="4013" spans="1:50" x14ac:dyDescent="0.3">
      <c r="A4013" t="str">
        <f>"201471B0000"</f>
        <v>201471B0000</v>
      </c>
      <c r="B4013" t="str">
        <f>"201471B00002"</f>
        <v>201471B00002</v>
      </c>
      <c r="C4013" t="str">
        <f t="shared" si="206"/>
        <v>20</v>
      </c>
      <c r="D4013" t="s">
        <v>67</v>
      </c>
      <c r="E4013" t="str">
        <f t="shared" si="207"/>
        <v>018</v>
      </c>
      <c r="F4013" t="s">
        <v>4075</v>
      </c>
      <c r="G4013" t="str">
        <f>"1471"</f>
        <v>1471</v>
      </c>
      <c r="H4013" t="str">
        <f>"0000"</f>
        <v>0000</v>
      </c>
      <c r="I4013" t="s">
        <v>69</v>
      </c>
      <c r="J4013">
        <v>0</v>
      </c>
      <c r="K4013">
        <v>1</v>
      </c>
      <c r="L4013">
        <v>2</v>
      </c>
      <c r="M4013">
        <v>281</v>
      </c>
      <c r="N4013">
        <v>465</v>
      </c>
      <c r="O4013">
        <v>0</v>
      </c>
      <c r="P4013">
        <v>747</v>
      </c>
      <c r="Q4013">
        <v>1</v>
      </c>
      <c r="R4013">
        <v>56</v>
      </c>
      <c r="S4013">
        <v>2</v>
      </c>
      <c r="T4013">
        <v>2</v>
      </c>
      <c r="U4013">
        <v>16</v>
      </c>
      <c r="V4013">
        <v>0</v>
      </c>
      <c r="W4013">
        <v>1</v>
      </c>
      <c r="X4013">
        <v>329</v>
      </c>
      <c r="Y4013">
        <v>0</v>
      </c>
      <c r="Z4013">
        <v>24</v>
      </c>
      <c r="AA4013">
        <v>15</v>
      </c>
      <c r="AB4013">
        <v>11</v>
      </c>
      <c r="AD4013">
        <v>0</v>
      </c>
      <c r="AE4013">
        <v>0</v>
      </c>
      <c r="AF4013">
        <v>0</v>
      </c>
      <c r="AG4013">
        <v>0</v>
      </c>
      <c r="AI4013">
        <v>0</v>
      </c>
      <c r="AJ4013">
        <v>9</v>
      </c>
      <c r="AK4013">
        <v>747</v>
      </c>
      <c r="AL4013">
        <v>466</v>
      </c>
      <c r="AM4013">
        <v>703</v>
      </c>
      <c r="AN4013">
        <v>44</v>
      </c>
      <c r="AP4013">
        <v>1</v>
      </c>
      <c r="AR4013" t="s">
        <v>4112</v>
      </c>
      <c r="AS4013" s="1">
        <v>44354.248611111114</v>
      </c>
      <c r="AT4013" s="1">
        <v>44354.252141203702</v>
      </c>
      <c r="AU4013" s="1">
        <v>44354.25304398148</v>
      </c>
      <c r="AV4013" t="s">
        <v>71</v>
      </c>
      <c r="AW4013" t="s">
        <v>72</v>
      </c>
      <c r="AX4013" t="s">
        <v>73</v>
      </c>
    </row>
    <row r="4014" spans="1:50" x14ac:dyDescent="0.3">
      <c r="A4014" t="str">
        <f>"201471C0100"</f>
        <v>201471C0100</v>
      </c>
      <c r="B4014" t="str">
        <f>"201471C01002"</f>
        <v>201471C01002</v>
      </c>
      <c r="C4014" t="str">
        <f t="shared" si="206"/>
        <v>20</v>
      </c>
      <c r="D4014" t="s">
        <v>67</v>
      </c>
      <c r="E4014" t="str">
        <f t="shared" si="207"/>
        <v>018</v>
      </c>
      <c r="F4014" t="s">
        <v>4075</v>
      </c>
      <c r="G4014" t="str">
        <f>"1471"</f>
        <v>1471</v>
      </c>
      <c r="H4014" t="str">
        <f>"0001"</f>
        <v>0001</v>
      </c>
      <c r="I4014" t="s">
        <v>75</v>
      </c>
      <c r="J4014">
        <v>0</v>
      </c>
      <c r="K4014">
        <v>1</v>
      </c>
      <c r="L4014">
        <v>2</v>
      </c>
      <c r="M4014">
        <v>299</v>
      </c>
      <c r="N4014">
        <v>447</v>
      </c>
      <c r="O4014">
        <v>0</v>
      </c>
      <c r="P4014">
        <v>447</v>
      </c>
      <c r="Q4014">
        <v>2</v>
      </c>
      <c r="R4014">
        <v>47</v>
      </c>
      <c r="S4014">
        <v>1</v>
      </c>
      <c r="T4014">
        <v>8</v>
      </c>
      <c r="U4014">
        <v>20</v>
      </c>
      <c r="V4014">
        <v>3</v>
      </c>
      <c r="W4014">
        <v>1</v>
      </c>
      <c r="X4014">
        <v>277</v>
      </c>
      <c r="Y4014">
        <v>1</v>
      </c>
      <c r="Z4014">
        <v>40</v>
      </c>
      <c r="AA4014">
        <v>22</v>
      </c>
      <c r="AB4014">
        <v>14</v>
      </c>
      <c r="AD4014">
        <v>3</v>
      </c>
      <c r="AE4014">
        <v>0</v>
      </c>
      <c r="AF4014">
        <v>0</v>
      </c>
      <c r="AG4014">
        <v>0</v>
      </c>
      <c r="AI4014">
        <v>0</v>
      </c>
      <c r="AJ4014">
        <v>8</v>
      </c>
      <c r="AK4014">
        <v>447</v>
      </c>
      <c r="AL4014">
        <v>447</v>
      </c>
      <c r="AM4014">
        <v>702</v>
      </c>
      <c r="AN4014">
        <v>44</v>
      </c>
      <c r="AP4014">
        <v>1</v>
      </c>
      <c r="AR4014" t="s">
        <v>4113</v>
      </c>
      <c r="AS4014" s="1">
        <v>44354.25</v>
      </c>
      <c r="AT4014" s="1">
        <v>44354.251608796294</v>
      </c>
      <c r="AU4014" s="1">
        <v>44354.252060185187</v>
      </c>
      <c r="AV4014" t="s">
        <v>71</v>
      </c>
      <c r="AW4014" t="s">
        <v>72</v>
      </c>
      <c r="AX4014" t="s">
        <v>73</v>
      </c>
    </row>
    <row r="4015" spans="1:50" x14ac:dyDescent="0.3">
      <c r="A4015" t="str">
        <f>"201471C0200"</f>
        <v>201471C0200</v>
      </c>
      <c r="B4015" t="str">
        <f>"201471C02002"</f>
        <v>201471C02002</v>
      </c>
      <c r="C4015" t="str">
        <f t="shared" si="206"/>
        <v>20</v>
      </c>
      <c r="D4015" t="s">
        <v>67</v>
      </c>
      <c r="E4015" t="str">
        <f t="shared" si="207"/>
        <v>018</v>
      </c>
      <c r="F4015" t="s">
        <v>4075</v>
      </c>
      <c r="G4015" t="str">
        <f>"1471"</f>
        <v>1471</v>
      </c>
      <c r="H4015" t="str">
        <f>"0002"</f>
        <v>0002</v>
      </c>
      <c r="I4015" t="s">
        <v>75</v>
      </c>
      <c r="J4015">
        <v>0</v>
      </c>
      <c r="K4015">
        <v>1</v>
      </c>
      <c r="L4015">
        <v>2</v>
      </c>
      <c r="M4015">
        <v>303</v>
      </c>
      <c r="N4015">
        <v>443</v>
      </c>
      <c r="O4015">
        <v>0</v>
      </c>
      <c r="P4015">
        <v>443</v>
      </c>
      <c r="Q4015">
        <v>2</v>
      </c>
      <c r="R4015">
        <v>60</v>
      </c>
      <c r="S4015">
        <v>3</v>
      </c>
      <c r="T4015">
        <v>10</v>
      </c>
      <c r="U4015">
        <v>12</v>
      </c>
      <c r="V4015">
        <v>8</v>
      </c>
      <c r="W4015">
        <v>2</v>
      </c>
      <c r="X4015">
        <v>260</v>
      </c>
      <c r="Y4015">
        <v>0</v>
      </c>
      <c r="Z4015">
        <v>29</v>
      </c>
      <c r="AA4015">
        <v>27</v>
      </c>
      <c r="AB4015">
        <v>11</v>
      </c>
      <c r="AD4015">
        <v>1</v>
      </c>
      <c r="AE4015">
        <v>0</v>
      </c>
      <c r="AF4015">
        <v>0</v>
      </c>
      <c r="AG4015">
        <v>0</v>
      </c>
      <c r="AI4015">
        <v>0</v>
      </c>
      <c r="AJ4015">
        <v>18</v>
      </c>
      <c r="AK4015">
        <v>443</v>
      </c>
      <c r="AL4015">
        <v>443</v>
      </c>
      <c r="AM4015">
        <v>702</v>
      </c>
      <c r="AN4015">
        <v>44</v>
      </c>
      <c r="AP4015">
        <v>1</v>
      </c>
      <c r="AR4015" t="s">
        <v>4114</v>
      </c>
      <c r="AS4015" s="1">
        <v>44354.251388888886</v>
      </c>
      <c r="AT4015" s="1">
        <v>44354.252893518518</v>
      </c>
      <c r="AU4015" s="1">
        <v>44354.253495370373</v>
      </c>
      <c r="AV4015" t="s">
        <v>71</v>
      </c>
      <c r="AW4015" t="s">
        <v>72</v>
      </c>
      <c r="AX4015" t="s">
        <v>73</v>
      </c>
    </row>
    <row r="4016" spans="1:50" x14ac:dyDescent="0.3">
      <c r="A4016" t="str">
        <f>"201834B0000"</f>
        <v>201834B0000</v>
      </c>
      <c r="B4016" t="str">
        <f>"201834B00002"</f>
        <v>201834B00002</v>
      </c>
      <c r="C4016" t="str">
        <f t="shared" si="206"/>
        <v>20</v>
      </c>
      <c r="D4016" t="s">
        <v>67</v>
      </c>
      <c r="E4016" t="str">
        <f t="shared" si="207"/>
        <v>018</v>
      </c>
      <c r="F4016" t="s">
        <v>4075</v>
      </c>
      <c r="G4016" t="str">
        <f>"1834"</f>
        <v>1834</v>
      </c>
      <c r="H4016" t="str">
        <f>"0000"</f>
        <v>0000</v>
      </c>
      <c r="I4016" t="s">
        <v>69</v>
      </c>
      <c r="J4016">
        <v>0</v>
      </c>
      <c r="K4016">
        <v>1</v>
      </c>
      <c r="L4016">
        <v>2</v>
      </c>
      <c r="M4016">
        <v>195</v>
      </c>
      <c r="N4016">
        <v>174</v>
      </c>
      <c r="O4016">
        <v>2</v>
      </c>
      <c r="P4016">
        <v>174</v>
      </c>
      <c r="Q4016">
        <v>5</v>
      </c>
      <c r="R4016">
        <v>25</v>
      </c>
      <c r="S4016">
        <v>2</v>
      </c>
      <c r="T4016">
        <v>0</v>
      </c>
      <c r="U4016">
        <v>2</v>
      </c>
      <c r="V4016">
        <v>5</v>
      </c>
      <c r="W4016">
        <v>3</v>
      </c>
      <c r="X4016">
        <v>123</v>
      </c>
      <c r="Y4016">
        <v>0</v>
      </c>
      <c r="Z4016">
        <v>2</v>
      </c>
      <c r="AA4016">
        <v>0</v>
      </c>
      <c r="AB4016">
        <v>1</v>
      </c>
      <c r="AD4016">
        <v>0</v>
      </c>
      <c r="AE4016">
        <v>0</v>
      </c>
      <c r="AF4016">
        <v>0</v>
      </c>
      <c r="AG4016">
        <v>0</v>
      </c>
      <c r="AI4016">
        <v>0</v>
      </c>
      <c r="AJ4016">
        <v>5</v>
      </c>
      <c r="AK4016">
        <v>174</v>
      </c>
      <c r="AL4016">
        <v>173</v>
      </c>
      <c r="AM4016">
        <v>325</v>
      </c>
      <c r="AN4016">
        <v>44</v>
      </c>
      <c r="AP4016">
        <v>1</v>
      </c>
      <c r="AR4016" t="s">
        <v>4115</v>
      </c>
      <c r="AS4016" s="1">
        <v>44354.40347222222</v>
      </c>
      <c r="AT4016" s="1">
        <v>44354.405763888892</v>
      </c>
      <c r="AU4016" s="1">
        <v>44354.406307870369</v>
      </c>
      <c r="AV4016" t="s">
        <v>71</v>
      </c>
      <c r="AW4016" t="s">
        <v>72</v>
      </c>
      <c r="AX4016" t="s">
        <v>73</v>
      </c>
    </row>
    <row r="4017" spans="1:50" x14ac:dyDescent="0.3">
      <c r="A4017" t="str">
        <f>"201834E0100"</f>
        <v>201834E0100</v>
      </c>
      <c r="B4017" t="str">
        <f>"201834E01002"</f>
        <v>201834E01002</v>
      </c>
      <c r="C4017" t="str">
        <f t="shared" si="206"/>
        <v>20</v>
      </c>
      <c r="D4017" t="s">
        <v>67</v>
      </c>
      <c r="E4017" t="str">
        <f t="shared" si="207"/>
        <v>018</v>
      </c>
      <c r="F4017" t="s">
        <v>4075</v>
      </c>
      <c r="G4017" t="str">
        <f>"1834"</f>
        <v>1834</v>
      </c>
      <c r="H4017" t="str">
        <f>"0001"</f>
        <v>0001</v>
      </c>
      <c r="I4017" t="s">
        <v>109</v>
      </c>
      <c r="J4017">
        <v>0</v>
      </c>
      <c r="K4017">
        <v>1</v>
      </c>
      <c r="L4017">
        <v>2</v>
      </c>
      <c r="M4017">
        <v>224</v>
      </c>
      <c r="N4017">
        <v>210</v>
      </c>
      <c r="O4017">
        <v>6</v>
      </c>
      <c r="P4017">
        <v>210</v>
      </c>
      <c r="Q4017">
        <v>8</v>
      </c>
      <c r="R4017">
        <v>10</v>
      </c>
      <c r="S4017">
        <v>2</v>
      </c>
      <c r="T4017">
        <v>4</v>
      </c>
      <c r="U4017">
        <v>0</v>
      </c>
      <c r="V4017">
        <v>3</v>
      </c>
      <c r="W4017">
        <v>2</v>
      </c>
      <c r="X4017">
        <v>172</v>
      </c>
      <c r="Y4017">
        <v>1</v>
      </c>
      <c r="Z4017">
        <v>3</v>
      </c>
      <c r="AA4017">
        <v>1</v>
      </c>
      <c r="AB4017">
        <v>0</v>
      </c>
      <c r="AD4017">
        <v>0</v>
      </c>
      <c r="AE4017">
        <v>0</v>
      </c>
      <c r="AF4017">
        <v>0</v>
      </c>
      <c r="AG4017">
        <v>0</v>
      </c>
      <c r="AI4017">
        <v>0</v>
      </c>
      <c r="AJ4017">
        <v>5</v>
      </c>
      <c r="AK4017">
        <v>210</v>
      </c>
      <c r="AL4017">
        <v>211</v>
      </c>
      <c r="AM4017">
        <v>390</v>
      </c>
      <c r="AN4017">
        <v>44</v>
      </c>
      <c r="AP4017">
        <v>1</v>
      </c>
      <c r="AR4017" t="s">
        <v>4116</v>
      </c>
      <c r="AS4017" s="1">
        <v>44354.40347222222</v>
      </c>
      <c r="AT4017" s="1">
        <v>44354.404999999999</v>
      </c>
      <c r="AU4017" s="1">
        <v>44354.405393518522</v>
      </c>
      <c r="AV4017" t="s">
        <v>71</v>
      </c>
      <c r="AW4017" t="s">
        <v>72</v>
      </c>
      <c r="AX4017" t="s">
        <v>73</v>
      </c>
    </row>
    <row r="4018" spans="1:50" x14ac:dyDescent="0.3">
      <c r="A4018" t="str">
        <f>"201835B0000"</f>
        <v>201835B0000</v>
      </c>
      <c r="B4018" t="str">
        <f>"201835B00002"</f>
        <v>201835B00002</v>
      </c>
      <c r="C4018" t="str">
        <f t="shared" si="206"/>
        <v>20</v>
      </c>
      <c r="D4018" t="s">
        <v>67</v>
      </c>
      <c r="E4018" t="str">
        <f t="shared" si="207"/>
        <v>018</v>
      </c>
      <c r="F4018" t="s">
        <v>4075</v>
      </c>
      <c r="G4018" t="str">
        <f>"1835"</f>
        <v>1835</v>
      </c>
      <c r="H4018" t="str">
        <f>"0000"</f>
        <v>0000</v>
      </c>
      <c r="I4018" t="s">
        <v>69</v>
      </c>
      <c r="J4018">
        <v>0</v>
      </c>
      <c r="K4018">
        <v>1</v>
      </c>
      <c r="L4018">
        <v>2</v>
      </c>
      <c r="M4018">
        <v>151</v>
      </c>
      <c r="N4018">
        <v>0</v>
      </c>
      <c r="O4018">
        <v>0</v>
      </c>
      <c r="P4018">
        <v>174</v>
      </c>
      <c r="Q4018">
        <v>1</v>
      </c>
      <c r="R4018">
        <v>29</v>
      </c>
      <c r="S4018">
        <v>2</v>
      </c>
      <c r="T4018">
        <v>1</v>
      </c>
      <c r="U4018">
        <v>2</v>
      </c>
      <c r="V4018">
        <v>1</v>
      </c>
      <c r="W4018">
        <v>1</v>
      </c>
      <c r="X4018">
        <v>123</v>
      </c>
      <c r="Y4018">
        <v>0</v>
      </c>
      <c r="Z4018">
        <v>5</v>
      </c>
      <c r="AA4018">
        <v>2</v>
      </c>
      <c r="AB4018">
        <v>1</v>
      </c>
      <c r="AD4018">
        <v>1</v>
      </c>
      <c r="AE4018">
        <v>0</v>
      </c>
      <c r="AF4018">
        <v>0</v>
      </c>
      <c r="AG4018">
        <v>0</v>
      </c>
      <c r="AI4018">
        <v>0</v>
      </c>
      <c r="AJ4018">
        <v>5</v>
      </c>
      <c r="AK4018">
        <v>174</v>
      </c>
      <c r="AL4018">
        <v>174</v>
      </c>
      <c r="AM4018">
        <v>281</v>
      </c>
      <c r="AN4018">
        <v>44</v>
      </c>
      <c r="AP4018">
        <v>1</v>
      </c>
      <c r="AR4018" s="2" t="s">
        <v>4117</v>
      </c>
      <c r="AS4018" s="1">
        <v>44354.421527777777</v>
      </c>
      <c r="AT4018" s="1">
        <v>44354.423009259262</v>
      </c>
      <c r="AU4018" s="1">
        <v>44354.423634259256</v>
      </c>
      <c r="AV4018" t="s">
        <v>71</v>
      </c>
      <c r="AW4018" t="s">
        <v>72</v>
      </c>
      <c r="AX4018" t="s">
        <v>73</v>
      </c>
    </row>
    <row r="4019" spans="1:50" x14ac:dyDescent="0.3">
      <c r="A4019" t="str">
        <f>"201836B0000"</f>
        <v>201836B0000</v>
      </c>
      <c r="B4019" t="str">
        <f>"201836B00002"</f>
        <v>201836B00002</v>
      </c>
      <c r="C4019" t="str">
        <f t="shared" si="206"/>
        <v>20</v>
      </c>
      <c r="D4019" t="s">
        <v>67</v>
      </c>
      <c r="E4019" t="str">
        <f t="shared" si="207"/>
        <v>018</v>
      </c>
      <c r="F4019" t="s">
        <v>4075</v>
      </c>
      <c r="G4019" t="str">
        <f>"1836"</f>
        <v>1836</v>
      </c>
      <c r="H4019" t="str">
        <f>"0000"</f>
        <v>0000</v>
      </c>
      <c r="I4019" t="s">
        <v>69</v>
      </c>
      <c r="J4019">
        <v>0</v>
      </c>
      <c r="K4019">
        <v>1</v>
      </c>
      <c r="L4019">
        <v>2</v>
      </c>
      <c r="M4019">
        <v>76</v>
      </c>
      <c r="N4019">
        <v>92</v>
      </c>
      <c r="O4019" t="s">
        <v>80</v>
      </c>
      <c r="P4019">
        <v>92</v>
      </c>
      <c r="Q4019">
        <v>2</v>
      </c>
      <c r="R4019">
        <v>16</v>
      </c>
      <c r="S4019">
        <v>2</v>
      </c>
      <c r="T4019">
        <v>0</v>
      </c>
      <c r="U4019">
        <v>2</v>
      </c>
      <c r="V4019">
        <v>0</v>
      </c>
      <c r="W4019">
        <v>1</v>
      </c>
      <c r="X4019">
        <v>67</v>
      </c>
      <c r="Y4019">
        <v>0</v>
      </c>
      <c r="Z4019">
        <v>2</v>
      </c>
      <c r="AA4019">
        <v>2</v>
      </c>
      <c r="AB4019">
        <v>0</v>
      </c>
      <c r="AD4019" t="s">
        <v>77</v>
      </c>
      <c r="AE4019" t="s">
        <v>77</v>
      </c>
      <c r="AF4019" t="s">
        <v>77</v>
      </c>
      <c r="AG4019" t="s">
        <v>77</v>
      </c>
      <c r="AI4019" t="s">
        <v>77</v>
      </c>
      <c r="AJ4019" t="s">
        <v>77</v>
      </c>
      <c r="AK4019" t="s">
        <v>77</v>
      </c>
      <c r="AL4019">
        <v>94</v>
      </c>
      <c r="AM4019">
        <v>124</v>
      </c>
      <c r="AN4019">
        <v>44</v>
      </c>
      <c r="AO4019" t="s">
        <v>78</v>
      </c>
      <c r="AP4019">
        <v>1</v>
      </c>
      <c r="AR4019" t="s">
        <v>4118</v>
      </c>
      <c r="AS4019" s="1">
        <v>44354.401388888888</v>
      </c>
      <c r="AT4019" s="1">
        <v>44354.402858796297</v>
      </c>
      <c r="AU4019" s="1">
        <v>44354.403692129628</v>
      </c>
      <c r="AV4019" t="s">
        <v>71</v>
      </c>
      <c r="AW4019" t="s">
        <v>72</v>
      </c>
      <c r="AX4019" t="s">
        <v>73</v>
      </c>
    </row>
    <row r="4020" spans="1:50" x14ac:dyDescent="0.3">
      <c r="A4020" t="str">
        <f>"201836E0100"</f>
        <v>201836E0100</v>
      </c>
      <c r="B4020" t="str">
        <f>"201836E01002"</f>
        <v>201836E01002</v>
      </c>
      <c r="C4020" t="str">
        <f t="shared" si="206"/>
        <v>20</v>
      </c>
      <c r="D4020" t="s">
        <v>67</v>
      </c>
      <c r="E4020" t="str">
        <f t="shared" si="207"/>
        <v>018</v>
      </c>
      <c r="F4020" t="s">
        <v>4075</v>
      </c>
      <c r="G4020" t="str">
        <f>"1836"</f>
        <v>1836</v>
      </c>
      <c r="H4020" t="str">
        <f>"0001"</f>
        <v>0001</v>
      </c>
      <c r="I4020" t="s">
        <v>109</v>
      </c>
      <c r="J4020">
        <v>0</v>
      </c>
      <c r="K4020">
        <v>1</v>
      </c>
      <c r="L4020">
        <v>2</v>
      </c>
      <c r="M4020">
        <v>183</v>
      </c>
      <c r="N4020">
        <v>300</v>
      </c>
      <c r="O4020">
        <v>0</v>
      </c>
      <c r="P4020">
        <v>300</v>
      </c>
      <c r="Q4020">
        <v>7</v>
      </c>
      <c r="R4020">
        <v>28</v>
      </c>
      <c r="S4020">
        <v>7</v>
      </c>
      <c r="T4020">
        <v>4</v>
      </c>
      <c r="U4020">
        <v>4</v>
      </c>
      <c r="V4020">
        <v>3</v>
      </c>
      <c r="W4020">
        <v>1</v>
      </c>
      <c r="X4020">
        <v>223</v>
      </c>
      <c r="Y4020">
        <v>1</v>
      </c>
      <c r="Z4020">
        <v>6</v>
      </c>
      <c r="AA4020">
        <v>2</v>
      </c>
      <c r="AB4020">
        <v>1</v>
      </c>
      <c r="AD4020">
        <v>1</v>
      </c>
      <c r="AE4020">
        <v>1</v>
      </c>
      <c r="AF4020">
        <v>0</v>
      </c>
      <c r="AG4020">
        <v>0</v>
      </c>
      <c r="AI4020">
        <v>0</v>
      </c>
      <c r="AJ4020">
        <v>11</v>
      </c>
      <c r="AK4020">
        <v>300</v>
      </c>
      <c r="AL4020">
        <v>300</v>
      </c>
      <c r="AM4020">
        <v>439</v>
      </c>
      <c r="AN4020">
        <v>44</v>
      </c>
      <c r="AP4020">
        <v>1</v>
      </c>
      <c r="AR4020" t="s">
        <v>4119</v>
      </c>
      <c r="AS4020" s="1">
        <v>44354.402083333334</v>
      </c>
      <c r="AT4020" s="1">
        <v>44354.40347222222</v>
      </c>
      <c r="AU4020" s="1">
        <v>44354.405486111114</v>
      </c>
      <c r="AV4020" t="s">
        <v>71</v>
      </c>
      <c r="AW4020" t="s">
        <v>72</v>
      </c>
      <c r="AX4020" t="s">
        <v>73</v>
      </c>
    </row>
    <row r="4021" spans="1:50" x14ac:dyDescent="0.3">
      <c r="A4021" t="str">
        <f>"201837B0000"</f>
        <v>201837B0000</v>
      </c>
      <c r="B4021" t="str">
        <f>"201837B00002"</f>
        <v>201837B00002</v>
      </c>
      <c r="C4021" t="str">
        <f t="shared" si="206"/>
        <v>20</v>
      </c>
      <c r="D4021" t="s">
        <v>67</v>
      </c>
      <c r="E4021" t="str">
        <f t="shared" si="207"/>
        <v>018</v>
      </c>
      <c r="F4021" t="s">
        <v>4075</v>
      </c>
      <c r="G4021" t="str">
        <f>"1837"</f>
        <v>1837</v>
      </c>
      <c r="H4021" t="str">
        <f>"0000"</f>
        <v>0000</v>
      </c>
      <c r="I4021" t="s">
        <v>69</v>
      </c>
      <c r="J4021">
        <v>0</v>
      </c>
      <c r="K4021">
        <v>1</v>
      </c>
      <c r="L4021">
        <v>2</v>
      </c>
      <c r="M4021">
        <v>352</v>
      </c>
      <c r="N4021">
        <v>100</v>
      </c>
      <c r="O4021">
        <v>0</v>
      </c>
      <c r="P4021">
        <v>100</v>
      </c>
      <c r="Q4021">
        <v>2</v>
      </c>
      <c r="R4021">
        <v>17</v>
      </c>
      <c r="S4021">
        <v>4</v>
      </c>
      <c r="T4021">
        <v>0</v>
      </c>
      <c r="U4021">
        <v>0</v>
      </c>
      <c r="V4021">
        <v>0</v>
      </c>
      <c r="W4021">
        <v>1</v>
      </c>
      <c r="X4021">
        <v>71</v>
      </c>
      <c r="Y4021">
        <v>0</v>
      </c>
      <c r="Z4021">
        <v>2</v>
      </c>
      <c r="AA4021">
        <v>0</v>
      </c>
      <c r="AB4021">
        <v>1</v>
      </c>
      <c r="AD4021">
        <v>0</v>
      </c>
      <c r="AE4021">
        <v>0</v>
      </c>
      <c r="AF4021">
        <v>0</v>
      </c>
      <c r="AG4021">
        <v>0</v>
      </c>
      <c r="AI4021">
        <v>0</v>
      </c>
      <c r="AJ4021">
        <v>2</v>
      </c>
      <c r="AK4021">
        <v>100</v>
      </c>
      <c r="AL4021">
        <v>100</v>
      </c>
      <c r="AM4021">
        <v>408</v>
      </c>
      <c r="AN4021">
        <v>44</v>
      </c>
      <c r="AP4021">
        <v>1</v>
      </c>
      <c r="AR4021" t="s">
        <v>4120</v>
      </c>
      <c r="AS4021" s="1">
        <v>44354.212500000001</v>
      </c>
      <c r="AT4021" s="1">
        <v>44354.214236111111</v>
      </c>
      <c r="AU4021" s="1">
        <v>44354.214699074073</v>
      </c>
      <c r="AV4021" t="s">
        <v>71</v>
      </c>
      <c r="AW4021" t="s">
        <v>72</v>
      </c>
      <c r="AX4021" t="s">
        <v>73</v>
      </c>
    </row>
    <row r="4022" spans="1:50" x14ac:dyDescent="0.3">
      <c r="A4022" t="str">
        <f>"201837C0100"</f>
        <v>201837C0100</v>
      </c>
      <c r="B4022" t="str">
        <f>"201837C01002"</f>
        <v>201837C01002</v>
      </c>
      <c r="C4022" t="str">
        <f t="shared" si="206"/>
        <v>20</v>
      </c>
      <c r="D4022" t="s">
        <v>67</v>
      </c>
      <c r="E4022" t="str">
        <f t="shared" si="207"/>
        <v>018</v>
      </c>
      <c r="F4022" t="s">
        <v>4075</v>
      </c>
      <c r="G4022" t="str">
        <f>"1837"</f>
        <v>1837</v>
      </c>
      <c r="H4022" t="str">
        <f>"0001"</f>
        <v>0001</v>
      </c>
      <c r="I4022" t="s">
        <v>75</v>
      </c>
      <c r="J4022">
        <v>0</v>
      </c>
      <c r="K4022">
        <v>1</v>
      </c>
      <c r="L4022">
        <v>2</v>
      </c>
      <c r="M4022">
        <v>345</v>
      </c>
      <c r="N4022">
        <v>106</v>
      </c>
      <c r="O4022">
        <v>0</v>
      </c>
      <c r="P4022">
        <v>106</v>
      </c>
      <c r="Q4022">
        <v>2</v>
      </c>
      <c r="R4022">
        <v>26</v>
      </c>
      <c r="S4022">
        <v>0</v>
      </c>
      <c r="T4022">
        <v>0</v>
      </c>
      <c r="U4022">
        <v>2</v>
      </c>
      <c r="V4022">
        <v>1</v>
      </c>
      <c r="W4022">
        <v>0</v>
      </c>
      <c r="X4022">
        <v>66</v>
      </c>
      <c r="Y4022">
        <v>1</v>
      </c>
      <c r="Z4022">
        <v>2</v>
      </c>
      <c r="AA4022">
        <v>1</v>
      </c>
      <c r="AB4022">
        <v>0</v>
      </c>
      <c r="AD4022">
        <v>0</v>
      </c>
      <c r="AE4022">
        <v>0</v>
      </c>
      <c r="AF4022">
        <v>0</v>
      </c>
      <c r="AG4022">
        <v>0</v>
      </c>
      <c r="AI4022">
        <v>0</v>
      </c>
      <c r="AJ4022">
        <v>5</v>
      </c>
      <c r="AK4022">
        <v>106</v>
      </c>
      <c r="AL4022">
        <v>106</v>
      </c>
      <c r="AM4022">
        <v>408</v>
      </c>
      <c r="AN4022">
        <v>44</v>
      </c>
      <c r="AP4022">
        <v>1</v>
      </c>
      <c r="AR4022" t="s">
        <v>4121</v>
      </c>
      <c r="AS4022" s="1">
        <v>44354.215277777781</v>
      </c>
      <c r="AT4022" s="1">
        <v>44354.21775462963</v>
      </c>
      <c r="AU4022" s="1">
        <v>44354.218298611115</v>
      </c>
      <c r="AV4022" t="s">
        <v>71</v>
      </c>
      <c r="AW4022" t="s">
        <v>72</v>
      </c>
      <c r="AX4022" t="s">
        <v>73</v>
      </c>
    </row>
    <row r="4023" spans="1:50" x14ac:dyDescent="0.3">
      <c r="A4023" t="str">
        <f>"201839B0000"</f>
        <v>201839B0000</v>
      </c>
      <c r="B4023" t="str">
        <f>"201839B00002"</f>
        <v>201839B00002</v>
      </c>
      <c r="C4023" t="str">
        <f t="shared" si="206"/>
        <v>20</v>
      </c>
      <c r="D4023" t="s">
        <v>67</v>
      </c>
      <c r="E4023" t="str">
        <f t="shared" si="207"/>
        <v>018</v>
      </c>
      <c r="F4023" t="s">
        <v>4075</v>
      </c>
      <c r="G4023" t="str">
        <f>"1839"</f>
        <v>1839</v>
      </c>
      <c r="H4023" t="str">
        <f>"0000"</f>
        <v>0000</v>
      </c>
      <c r="I4023" t="s">
        <v>69</v>
      </c>
      <c r="J4023">
        <v>0</v>
      </c>
      <c r="K4023">
        <v>1</v>
      </c>
      <c r="L4023">
        <v>2</v>
      </c>
      <c r="M4023">
        <v>392</v>
      </c>
      <c r="N4023" t="s">
        <v>80</v>
      </c>
      <c r="O4023" t="s">
        <v>80</v>
      </c>
      <c r="P4023" t="s">
        <v>80</v>
      </c>
      <c r="Q4023">
        <v>3</v>
      </c>
      <c r="R4023">
        <v>65</v>
      </c>
      <c r="S4023">
        <v>8</v>
      </c>
      <c r="T4023">
        <v>1</v>
      </c>
      <c r="U4023">
        <v>4</v>
      </c>
      <c r="V4023">
        <v>2</v>
      </c>
      <c r="W4023">
        <v>3</v>
      </c>
      <c r="X4023">
        <v>165</v>
      </c>
      <c r="Y4023">
        <v>1</v>
      </c>
      <c r="Z4023">
        <v>9</v>
      </c>
      <c r="AA4023">
        <v>3</v>
      </c>
      <c r="AB4023">
        <v>1</v>
      </c>
      <c r="AD4023">
        <v>1</v>
      </c>
      <c r="AE4023">
        <v>1</v>
      </c>
      <c r="AF4023">
        <v>0</v>
      </c>
      <c r="AG4023">
        <v>1</v>
      </c>
      <c r="AI4023">
        <v>0</v>
      </c>
      <c r="AJ4023">
        <v>5</v>
      </c>
      <c r="AK4023">
        <v>273</v>
      </c>
      <c r="AL4023">
        <v>273</v>
      </c>
      <c r="AM4023">
        <v>621</v>
      </c>
      <c r="AN4023">
        <v>44</v>
      </c>
      <c r="AP4023">
        <v>1</v>
      </c>
      <c r="AR4023" t="s">
        <v>4122</v>
      </c>
      <c r="AS4023" s="1">
        <v>44354.174305555556</v>
      </c>
      <c r="AT4023" s="1">
        <v>44354.176493055558</v>
      </c>
      <c r="AU4023" s="1">
        <v>44354.177141203705</v>
      </c>
      <c r="AV4023" t="s">
        <v>71</v>
      </c>
      <c r="AW4023" t="s">
        <v>72</v>
      </c>
      <c r="AX4023" t="s">
        <v>73</v>
      </c>
    </row>
    <row r="4024" spans="1:50" x14ac:dyDescent="0.3">
      <c r="A4024" t="str">
        <f>"201839C0100"</f>
        <v>201839C0100</v>
      </c>
      <c r="B4024" t="str">
        <f>"201839C01002"</f>
        <v>201839C01002</v>
      </c>
      <c r="C4024" t="str">
        <f t="shared" si="206"/>
        <v>20</v>
      </c>
      <c r="D4024" t="s">
        <v>67</v>
      </c>
      <c r="E4024" t="str">
        <f t="shared" si="207"/>
        <v>018</v>
      </c>
      <c r="F4024" t="s">
        <v>4075</v>
      </c>
      <c r="G4024" t="str">
        <f>"1839"</f>
        <v>1839</v>
      </c>
      <c r="H4024" t="str">
        <f>"0001"</f>
        <v>0001</v>
      </c>
      <c r="I4024" t="s">
        <v>75</v>
      </c>
      <c r="J4024">
        <v>0</v>
      </c>
      <c r="K4024">
        <v>1</v>
      </c>
      <c r="L4024">
        <v>2</v>
      </c>
      <c r="M4024">
        <v>423</v>
      </c>
      <c r="N4024">
        <v>242</v>
      </c>
      <c r="O4024">
        <v>0</v>
      </c>
      <c r="P4024">
        <v>242</v>
      </c>
      <c r="Q4024">
        <v>3</v>
      </c>
      <c r="R4024">
        <v>52</v>
      </c>
      <c r="S4024">
        <v>1</v>
      </c>
      <c r="T4024">
        <v>1</v>
      </c>
      <c r="U4024">
        <v>3</v>
      </c>
      <c r="V4024">
        <v>2</v>
      </c>
      <c r="W4024">
        <v>0</v>
      </c>
      <c r="X4024">
        <v>171</v>
      </c>
      <c r="Y4024">
        <v>0</v>
      </c>
      <c r="Z4024">
        <v>1</v>
      </c>
      <c r="AA4024">
        <v>3</v>
      </c>
      <c r="AB4024">
        <v>0</v>
      </c>
      <c r="AD4024">
        <v>1</v>
      </c>
      <c r="AE4024">
        <v>1</v>
      </c>
      <c r="AF4024">
        <v>0</v>
      </c>
      <c r="AG4024">
        <v>0</v>
      </c>
      <c r="AI4024">
        <v>0</v>
      </c>
      <c r="AJ4024">
        <v>3</v>
      </c>
      <c r="AK4024">
        <v>242</v>
      </c>
      <c r="AL4024">
        <v>242</v>
      </c>
      <c r="AM4024">
        <v>621</v>
      </c>
      <c r="AN4024">
        <v>44</v>
      </c>
      <c r="AP4024">
        <v>1</v>
      </c>
      <c r="AR4024" t="s">
        <v>4123</v>
      </c>
      <c r="AS4024" s="1">
        <v>44354.197916666664</v>
      </c>
      <c r="AT4024" s="1">
        <v>44354.200902777775</v>
      </c>
      <c r="AU4024" s="1">
        <v>44354.201655092591</v>
      </c>
      <c r="AV4024" t="s">
        <v>71</v>
      </c>
      <c r="AW4024" t="s">
        <v>72</v>
      </c>
      <c r="AX4024" t="s">
        <v>73</v>
      </c>
    </row>
    <row r="4025" spans="1:50" x14ac:dyDescent="0.3">
      <c r="A4025" t="str">
        <f>"201839C0200"</f>
        <v>201839C0200</v>
      </c>
      <c r="B4025" t="str">
        <f>"201839C02002"</f>
        <v>201839C02002</v>
      </c>
      <c r="C4025" t="str">
        <f t="shared" si="206"/>
        <v>20</v>
      </c>
      <c r="D4025" t="s">
        <v>67</v>
      </c>
      <c r="E4025" t="str">
        <f t="shared" si="207"/>
        <v>018</v>
      </c>
      <c r="F4025" t="s">
        <v>4075</v>
      </c>
      <c r="G4025" t="str">
        <f>"1839"</f>
        <v>1839</v>
      </c>
      <c r="H4025" t="str">
        <f>"0002"</f>
        <v>0002</v>
      </c>
      <c r="I4025" t="s">
        <v>75</v>
      </c>
      <c r="J4025">
        <v>0</v>
      </c>
      <c r="K4025">
        <v>1</v>
      </c>
      <c r="L4025">
        <v>2</v>
      </c>
      <c r="M4025">
        <v>402</v>
      </c>
      <c r="N4025">
        <v>260</v>
      </c>
      <c r="O4025">
        <v>0</v>
      </c>
      <c r="P4025">
        <v>260</v>
      </c>
      <c r="Q4025">
        <v>2</v>
      </c>
      <c r="R4025">
        <v>72</v>
      </c>
      <c r="S4025">
        <v>3</v>
      </c>
      <c r="T4025">
        <v>0</v>
      </c>
      <c r="U4025">
        <v>4</v>
      </c>
      <c r="V4025">
        <v>2</v>
      </c>
      <c r="W4025">
        <v>1</v>
      </c>
      <c r="X4025">
        <v>156</v>
      </c>
      <c r="Y4025">
        <v>1</v>
      </c>
      <c r="Z4025">
        <v>4</v>
      </c>
      <c r="AA4025">
        <v>4</v>
      </c>
      <c r="AB4025">
        <v>1</v>
      </c>
      <c r="AD4025">
        <v>1</v>
      </c>
      <c r="AE4025">
        <v>0</v>
      </c>
      <c r="AF4025">
        <v>0</v>
      </c>
      <c r="AG4025">
        <v>0</v>
      </c>
      <c r="AI4025">
        <v>0</v>
      </c>
      <c r="AJ4025">
        <v>9</v>
      </c>
      <c r="AK4025">
        <v>260</v>
      </c>
      <c r="AL4025">
        <v>260</v>
      </c>
      <c r="AM4025">
        <v>620</v>
      </c>
      <c r="AN4025">
        <v>44</v>
      </c>
      <c r="AP4025">
        <v>1</v>
      </c>
      <c r="AR4025" t="s">
        <v>4124</v>
      </c>
      <c r="AS4025" s="1">
        <v>44354.197916666664</v>
      </c>
      <c r="AT4025" s="1">
        <v>44354.199212962965</v>
      </c>
      <c r="AU4025" s="1">
        <v>44354.199629629627</v>
      </c>
      <c r="AV4025" t="s">
        <v>71</v>
      </c>
      <c r="AW4025" t="s">
        <v>72</v>
      </c>
      <c r="AX4025" t="s">
        <v>73</v>
      </c>
    </row>
    <row r="4026" spans="1:50" x14ac:dyDescent="0.3">
      <c r="A4026" t="str">
        <f>"201840B0000"</f>
        <v>201840B0000</v>
      </c>
      <c r="B4026" t="str">
        <f>"201840B00002"</f>
        <v>201840B00002</v>
      </c>
      <c r="C4026" t="str">
        <f t="shared" si="206"/>
        <v>20</v>
      </c>
      <c r="D4026" t="s">
        <v>67</v>
      </c>
      <c r="E4026" t="str">
        <f t="shared" si="207"/>
        <v>018</v>
      </c>
      <c r="F4026" t="s">
        <v>4075</v>
      </c>
      <c r="G4026" t="str">
        <f>"1840"</f>
        <v>1840</v>
      </c>
      <c r="H4026" t="str">
        <f>"0000"</f>
        <v>0000</v>
      </c>
      <c r="I4026" t="s">
        <v>69</v>
      </c>
      <c r="J4026">
        <v>0</v>
      </c>
      <c r="K4026">
        <v>1</v>
      </c>
      <c r="L4026">
        <v>2</v>
      </c>
      <c r="M4026">
        <v>213</v>
      </c>
      <c r="N4026">
        <v>119</v>
      </c>
      <c r="O4026">
        <v>0</v>
      </c>
      <c r="P4026">
        <v>119</v>
      </c>
      <c r="Q4026">
        <v>1</v>
      </c>
      <c r="R4026">
        <v>23</v>
      </c>
      <c r="S4026">
        <v>0</v>
      </c>
      <c r="T4026">
        <v>0</v>
      </c>
      <c r="U4026">
        <v>0</v>
      </c>
      <c r="V4026">
        <v>1</v>
      </c>
      <c r="W4026">
        <v>1</v>
      </c>
      <c r="X4026">
        <v>90</v>
      </c>
      <c r="Y4026">
        <v>0</v>
      </c>
      <c r="Z4026">
        <v>0</v>
      </c>
      <c r="AA4026">
        <v>1</v>
      </c>
      <c r="AB4026">
        <v>0</v>
      </c>
      <c r="AD4026">
        <v>0</v>
      </c>
      <c r="AE4026">
        <v>0</v>
      </c>
      <c r="AF4026">
        <v>0</v>
      </c>
      <c r="AG4026">
        <v>0</v>
      </c>
      <c r="AI4026">
        <v>0</v>
      </c>
      <c r="AJ4026">
        <v>2</v>
      </c>
      <c r="AK4026">
        <v>119</v>
      </c>
      <c r="AL4026">
        <v>119</v>
      </c>
      <c r="AM4026">
        <v>288</v>
      </c>
      <c r="AN4026">
        <v>44</v>
      </c>
      <c r="AP4026">
        <v>1</v>
      </c>
      <c r="AR4026" t="s">
        <v>4125</v>
      </c>
      <c r="AS4026" s="1">
        <v>44354.197222222225</v>
      </c>
      <c r="AT4026" s="1">
        <v>44354.198784722219</v>
      </c>
      <c r="AU4026" s="1">
        <v>44354.199293981481</v>
      </c>
      <c r="AV4026" t="s">
        <v>71</v>
      </c>
      <c r="AW4026" t="s">
        <v>72</v>
      </c>
      <c r="AX4026" t="s">
        <v>73</v>
      </c>
    </row>
    <row r="4027" spans="1:50" x14ac:dyDescent="0.3">
      <c r="A4027" t="str">
        <f>"201840E0100"</f>
        <v>201840E0100</v>
      </c>
      <c r="B4027" t="str">
        <f>"201840E01002"</f>
        <v>201840E01002</v>
      </c>
      <c r="C4027" t="str">
        <f t="shared" si="206"/>
        <v>20</v>
      </c>
      <c r="D4027" t="s">
        <v>67</v>
      </c>
      <c r="E4027" t="str">
        <f t="shared" si="207"/>
        <v>018</v>
      </c>
      <c r="F4027" t="s">
        <v>4075</v>
      </c>
      <c r="G4027" t="str">
        <f>"1840"</f>
        <v>1840</v>
      </c>
      <c r="H4027" t="str">
        <f>"0001"</f>
        <v>0001</v>
      </c>
      <c r="I4027" t="s">
        <v>109</v>
      </c>
      <c r="J4027">
        <v>0</v>
      </c>
      <c r="K4027">
        <v>1</v>
      </c>
      <c r="L4027">
        <v>2</v>
      </c>
      <c r="M4027">
        <v>78</v>
      </c>
      <c r="N4027">
        <v>90</v>
      </c>
      <c r="O4027">
        <v>0</v>
      </c>
      <c r="P4027">
        <v>90</v>
      </c>
      <c r="Q4027">
        <v>1</v>
      </c>
      <c r="R4027">
        <v>5</v>
      </c>
      <c r="S4027">
        <v>2</v>
      </c>
      <c r="T4027">
        <v>0</v>
      </c>
      <c r="U4027">
        <v>0</v>
      </c>
      <c r="V4027">
        <v>0</v>
      </c>
      <c r="W4027">
        <v>1</v>
      </c>
      <c r="X4027">
        <v>79</v>
      </c>
      <c r="Y4027">
        <v>0</v>
      </c>
      <c r="Z4027">
        <v>0</v>
      </c>
      <c r="AA4027">
        <v>0</v>
      </c>
      <c r="AB4027">
        <v>0</v>
      </c>
      <c r="AD4027">
        <v>0</v>
      </c>
      <c r="AE4027">
        <v>0</v>
      </c>
      <c r="AF4027">
        <v>0</v>
      </c>
      <c r="AG4027">
        <v>0</v>
      </c>
      <c r="AI4027">
        <v>0</v>
      </c>
      <c r="AJ4027">
        <v>1</v>
      </c>
      <c r="AK4027">
        <v>90</v>
      </c>
      <c r="AL4027">
        <v>89</v>
      </c>
      <c r="AM4027">
        <v>124</v>
      </c>
      <c r="AN4027">
        <v>44</v>
      </c>
      <c r="AP4027">
        <v>1</v>
      </c>
      <c r="AR4027" t="s">
        <v>4126</v>
      </c>
      <c r="AS4027" s="1">
        <v>44354.178472222222</v>
      </c>
      <c r="AT4027" s="1">
        <v>44354.180879629632</v>
      </c>
      <c r="AU4027" s="1">
        <v>44354.181284722225</v>
      </c>
      <c r="AV4027" t="s">
        <v>71</v>
      </c>
      <c r="AW4027" t="s">
        <v>72</v>
      </c>
      <c r="AX4027" t="s">
        <v>73</v>
      </c>
    </row>
    <row r="4028" spans="1:50" x14ac:dyDescent="0.3">
      <c r="A4028" t="str">
        <f>"201866B0000"</f>
        <v>201866B0000</v>
      </c>
      <c r="B4028" t="str">
        <f>"201866B00002"</f>
        <v>201866B00002</v>
      </c>
      <c r="C4028" t="str">
        <f t="shared" si="206"/>
        <v>20</v>
      </c>
      <c r="D4028" t="s">
        <v>67</v>
      </c>
      <c r="E4028" t="str">
        <f t="shared" si="207"/>
        <v>018</v>
      </c>
      <c r="F4028" t="s">
        <v>4075</v>
      </c>
      <c r="G4028" t="str">
        <f>"1866"</f>
        <v>1866</v>
      </c>
      <c r="H4028" t="str">
        <f>"0000"</f>
        <v>0000</v>
      </c>
      <c r="I4028" t="s">
        <v>69</v>
      </c>
      <c r="J4028">
        <v>0</v>
      </c>
      <c r="K4028">
        <v>1</v>
      </c>
      <c r="L4028">
        <v>2</v>
      </c>
      <c r="M4028">
        <v>182</v>
      </c>
      <c r="N4028">
        <v>559</v>
      </c>
      <c r="O4028">
        <v>5</v>
      </c>
      <c r="P4028">
        <v>377</v>
      </c>
      <c r="Q4028">
        <v>0</v>
      </c>
      <c r="R4028">
        <v>38</v>
      </c>
      <c r="S4028">
        <v>0</v>
      </c>
      <c r="T4028">
        <v>7</v>
      </c>
      <c r="U4028">
        <v>7</v>
      </c>
      <c r="V4028">
        <v>2</v>
      </c>
      <c r="W4028">
        <v>124</v>
      </c>
      <c r="X4028">
        <v>177</v>
      </c>
      <c r="Y4028">
        <v>1</v>
      </c>
      <c r="Z4028">
        <v>1</v>
      </c>
      <c r="AA4028">
        <v>3</v>
      </c>
      <c r="AB4028">
        <v>3</v>
      </c>
      <c r="AD4028">
        <v>0</v>
      </c>
      <c r="AE4028">
        <v>0</v>
      </c>
      <c r="AF4028">
        <v>0</v>
      </c>
      <c r="AG4028">
        <v>0</v>
      </c>
      <c r="AI4028">
        <v>0</v>
      </c>
      <c r="AJ4028">
        <v>14</v>
      </c>
      <c r="AK4028">
        <v>377</v>
      </c>
      <c r="AL4028">
        <v>377</v>
      </c>
      <c r="AM4028">
        <v>513</v>
      </c>
      <c r="AN4028">
        <v>46</v>
      </c>
      <c r="AP4028">
        <v>1</v>
      </c>
      <c r="AR4028" t="s">
        <v>4127</v>
      </c>
      <c r="AS4028" s="1">
        <v>44354.145138888889</v>
      </c>
      <c r="AT4028" s="1">
        <v>44354.147060185183</v>
      </c>
      <c r="AU4028" s="1">
        <v>44354.147696759261</v>
      </c>
      <c r="AV4028" t="s">
        <v>71</v>
      </c>
      <c r="AW4028" t="s">
        <v>72</v>
      </c>
      <c r="AX4028" t="s">
        <v>73</v>
      </c>
    </row>
    <row r="4029" spans="1:50" x14ac:dyDescent="0.3">
      <c r="A4029" t="str">
        <f>"201866C0100"</f>
        <v>201866C0100</v>
      </c>
      <c r="B4029" t="str">
        <f>"201866C01002"</f>
        <v>201866C01002</v>
      </c>
      <c r="C4029" t="str">
        <f t="shared" si="206"/>
        <v>20</v>
      </c>
      <c r="D4029" t="s">
        <v>67</v>
      </c>
      <c r="E4029" t="str">
        <f t="shared" si="207"/>
        <v>018</v>
      </c>
      <c r="F4029" t="s">
        <v>4075</v>
      </c>
      <c r="G4029" t="str">
        <f>"1866"</f>
        <v>1866</v>
      </c>
      <c r="H4029" t="str">
        <f>"0001"</f>
        <v>0001</v>
      </c>
      <c r="I4029" t="s">
        <v>75</v>
      </c>
      <c r="J4029">
        <v>0</v>
      </c>
      <c r="K4029">
        <v>1</v>
      </c>
      <c r="L4029">
        <v>2</v>
      </c>
      <c r="M4029">
        <v>192</v>
      </c>
      <c r="N4029">
        <v>367</v>
      </c>
      <c r="O4029">
        <v>7</v>
      </c>
      <c r="P4029">
        <v>367</v>
      </c>
      <c r="Q4029">
        <v>0</v>
      </c>
      <c r="R4029">
        <v>45</v>
      </c>
      <c r="S4029">
        <v>1</v>
      </c>
      <c r="T4029">
        <v>10</v>
      </c>
      <c r="U4029">
        <v>8</v>
      </c>
      <c r="V4029">
        <v>2</v>
      </c>
      <c r="W4029">
        <v>114</v>
      </c>
      <c r="X4029">
        <v>161</v>
      </c>
      <c r="Y4029">
        <v>0</v>
      </c>
      <c r="Z4029">
        <v>5</v>
      </c>
      <c r="AA4029">
        <v>5</v>
      </c>
      <c r="AB4029">
        <v>3</v>
      </c>
      <c r="AD4029">
        <v>0</v>
      </c>
      <c r="AE4029">
        <v>1</v>
      </c>
      <c r="AF4029">
        <v>0</v>
      </c>
      <c r="AG4029">
        <v>0</v>
      </c>
      <c r="AI4029">
        <v>0</v>
      </c>
      <c r="AJ4029">
        <v>12</v>
      </c>
      <c r="AK4029">
        <v>367</v>
      </c>
      <c r="AL4029">
        <v>367</v>
      </c>
      <c r="AM4029">
        <v>513</v>
      </c>
      <c r="AN4029">
        <v>46</v>
      </c>
      <c r="AP4029">
        <v>1</v>
      </c>
      <c r="AR4029" t="s">
        <v>4128</v>
      </c>
      <c r="AS4029" s="1">
        <v>44354.145138888889</v>
      </c>
      <c r="AT4029" s="1">
        <v>44354.147141203706</v>
      </c>
      <c r="AU4029" s="1">
        <v>44354.147777777776</v>
      </c>
      <c r="AV4029" t="s">
        <v>71</v>
      </c>
      <c r="AW4029" t="s">
        <v>72</v>
      </c>
      <c r="AX4029" t="s">
        <v>73</v>
      </c>
    </row>
    <row r="4030" spans="1:50" x14ac:dyDescent="0.3">
      <c r="A4030" t="str">
        <f>"201866C0200"</f>
        <v>201866C0200</v>
      </c>
      <c r="B4030" t="str">
        <f>"201866C02002"</f>
        <v>201866C02002</v>
      </c>
      <c r="C4030" t="str">
        <f t="shared" si="206"/>
        <v>20</v>
      </c>
      <c r="D4030" t="s">
        <v>67</v>
      </c>
      <c r="E4030" t="str">
        <f t="shared" si="207"/>
        <v>018</v>
      </c>
      <c r="F4030" t="s">
        <v>4075</v>
      </c>
      <c r="G4030" t="str">
        <f>"1866"</f>
        <v>1866</v>
      </c>
      <c r="H4030" t="str">
        <f>"0002"</f>
        <v>0002</v>
      </c>
      <c r="I4030" t="s">
        <v>75</v>
      </c>
      <c r="J4030">
        <v>0</v>
      </c>
      <c r="K4030">
        <v>1</v>
      </c>
      <c r="L4030">
        <v>2</v>
      </c>
      <c r="M4030">
        <v>165</v>
      </c>
      <c r="N4030">
        <v>393</v>
      </c>
      <c r="O4030">
        <v>7</v>
      </c>
      <c r="P4030">
        <v>393</v>
      </c>
      <c r="Q4030">
        <v>0</v>
      </c>
      <c r="R4030">
        <v>48</v>
      </c>
      <c r="S4030">
        <v>2</v>
      </c>
      <c r="T4030">
        <v>14</v>
      </c>
      <c r="U4030">
        <v>5</v>
      </c>
      <c r="V4030">
        <v>1</v>
      </c>
      <c r="W4030">
        <v>114</v>
      </c>
      <c r="X4030">
        <v>182</v>
      </c>
      <c r="Y4030">
        <v>0</v>
      </c>
      <c r="Z4030">
        <v>10</v>
      </c>
      <c r="AA4030">
        <v>7</v>
      </c>
      <c r="AB4030">
        <v>1</v>
      </c>
      <c r="AD4030">
        <v>0</v>
      </c>
      <c r="AE4030">
        <v>0</v>
      </c>
      <c r="AF4030">
        <v>0</v>
      </c>
      <c r="AG4030">
        <v>0</v>
      </c>
      <c r="AI4030">
        <v>0</v>
      </c>
      <c r="AJ4030">
        <v>8</v>
      </c>
      <c r="AK4030">
        <v>393</v>
      </c>
      <c r="AL4030">
        <v>392</v>
      </c>
      <c r="AM4030">
        <v>512</v>
      </c>
      <c r="AN4030">
        <v>46</v>
      </c>
      <c r="AP4030">
        <v>1</v>
      </c>
      <c r="AR4030" t="s">
        <v>4129</v>
      </c>
      <c r="AS4030" s="1">
        <v>44354.144444444442</v>
      </c>
      <c r="AT4030" s="1">
        <v>44354.148148148146</v>
      </c>
      <c r="AU4030" s="1">
        <v>44354.148877314816</v>
      </c>
      <c r="AV4030" t="s">
        <v>71</v>
      </c>
      <c r="AW4030" t="s">
        <v>72</v>
      </c>
      <c r="AX4030" t="s">
        <v>73</v>
      </c>
    </row>
    <row r="4031" spans="1:50" x14ac:dyDescent="0.3">
      <c r="A4031" t="str">
        <f>"201867B0000"</f>
        <v>201867B0000</v>
      </c>
      <c r="B4031" t="str">
        <f>"201867B00002"</f>
        <v>201867B00002</v>
      </c>
      <c r="C4031" t="str">
        <f t="shared" si="206"/>
        <v>20</v>
      </c>
      <c r="D4031" t="s">
        <v>67</v>
      </c>
      <c r="E4031" t="str">
        <f t="shared" si="207"/>
        <v>018</v>
      </c>
      <c r="F4031" t="s">
        <v>4075</v>
      </c>
      <c r="G4031" t="str">
        <f>"1867"</f>
        <v>1867</v>
      </c>
      <c r="H4031" t="str">
        <f>"0000"</f>
        <v>0000</v>
      </c>
      <c r="I4031" t="s">
        <v>69</v>
      </c>
      <c r="J4031">
        <v>0</v>
      </c>
      <c r="K4031">
        <v>1</v>
      </c>
      <c r="L4031">
        <v>2</v>
      </c>
      <c r="M4031">
        <v>188</v>
      </c>
      <c r="N4031">
        <v>444</v>
      </c>
      <c r="O4031">
        <v>9</v>
      </c>
      <c r="P4031">
        <v>444</v>
      </c>
      <c r="Q4031">
        <v>1</v>
      </c>
      <c r="R4031">
        <v>33</v>
      </c>
      <c r="S4031">
        <v>1</v>
      </c>
      <c r="T4031">
        <v>15</v>
      </c>
      <c r="U4031">
        <v>9</v>
      </c>
      <c r="V4031">
        <v>3</v>
      </c>
      <c r="W4031">
        <v>128</v>
      </c>
      <c r="X4031">
        <v>235</v>
      </c>
      <c r="Y4031">
        <v>1</v>
      </c>
      <c r="Z4031">
        <v>6</v>
      </c>
      <c r="AA4031">
        <v>2</v>
      </c>
      <c r="AB4031">
        <v>6</v>
      </c>
      <c r="AD4031">
        <v>0</v>
      </c>
      <c r="AE4031">
        <v>0</v>
      </c>
      <c r="AF4031">
        <v>1</v>
      </c>
      <c r="AG4031">
        <v>0</v>
      </c>
      <c r="AI4031">
        <v>0</v>
      </c>
      <c r="AJ4031">
        <v>3</v>
      </c>
      <c r="AK4031">
        <v>444</v>
      </c>
      <c r="AL4031">
        <v>444</v>
      </c>
      <c r="AM4031">
        <v>587</v>
      </c>
      <c r="AN4031">
        <v>46</v>
      </c>
      <c r="AP4031">
        <v>1</v>
      </c>
      <c r="AR4031" t="s">
        <v>4130</v>
      </c>
      <c r="AS4031" s="1">
        <v>44354.170138888891</v>
      </c>
      <c r="AT4031" s="1">
        <v>44354.171932870369</v>
      </c>
      <c r="AU4031" s="1">
        <v>44354.172708333332</v>
      </c>
      <c r="AV4031" t="s">
        <v>71</v>
      </c>
      <c r="AW4031" t="s">
        <v>72</v>
      </c>
      <c r="AX4031" t="s">
        <v>73</v>
      </c>
    </row>
    <row r="4032" spans="1:50" x14ac:dyDescent="0.3">
      <c r="A4032" t="str">
        <f>"201867C0100"</f>
        <v>201867C0100</v>
      </c>
      <c r="B4032" t="str">
        <f>"201867C01002"</f>
        <v>201867C01002</v>
      </c>
      <c r="C4032" t="str">
        <f t="shared" si="206"/>
        <v>20</v>
      </c>
      <c r="D4032" t="s">
        <v>67</v>
      </c>
      <c r="E4032" t="str">
        <f t="shared" si="207"/>
        <v>018</v>
      </c>
      <c r="F4032" t="s">
        <v>4075</v>
      </c>
      <c r="G4032" t="str">
        <f>"1867"</f>
        <v>1867</v>
      </c>
      <c r="H4032" t="str">
        <f>"0001"</f>
        <v>0001</v>
      </c>
      <c r="I4032" t="s">
        <v>75</v>
      </c>
      <c r="J4032">
        <v>0</v>
      </c>
      <c r="K4032">
        <v>1</v>
      </c>
      <c r="L4032">
        <v>2</v>
      </c>
      <c r="M4032">
        <v>197</v>
      </c>
      <c r="N4032">
        <v>435</v>
      </c>
      <c r="O4032">
        <v>7</v>
      </c>
      <c r="P4032">
        <v>437</v>
      </c>
      <c r="Q4032">
        <v>0</v>
      </c>
      <c r="R4032">
        <v>32</v>
      </c>
      <c r="S4032">
        <v>2</v>
      </c>
      <c r="T4032">
        <v>12</v>
      </c>
      <c r="U4032">
        <v>7</v>
      </c>
      <c r="V4032">
        <v>5</v>
      </c>
      <c r="W4032">
        <v>141</v>
      </c>
      <c r="X4032">
        <v>220</v>
      </c>
      <c r="Y4032">
        <v>0</v>
      </c>
      <c r="Z4032">
        <v>7</v>
      </c>
      <c r="AA4032">
        <v>3</v>
      </c>
      <c r="AB4032">
        <v>0</v>
      </c>
      <c r="AD4032">
        <v>0</v>
      </c>
      <c r="AE4032">
        <v>0</v>
      </c>
      <c r="AF4032">
        <v>0</v>
      </c>
      <c r="AG4032">
        <v>1</v>
      </c>
      <c r="AI4032">
        <v>0</v>
      </c>
      <c r="AJ4032">
        <v>7</v>
      </c>
      <c r="AK4032">
        <v>437</v>
      </c>
      <c r="AL4032">
        <v>437</v>
      </c>
      <c r="AM4032">
        <v>587</v>
      </c>
      <c r="AN4032">
        <v>46</v>
      </c>
      <c r="AP4032">
        <v>1</v>
      </c>
      <c r="AR4032" t="s">
        <v>4131</v>
      </c>
      <c r="AS4032" s="1">
        <v>44354.172222222223</v>
      </c>
      <c r="AT4032" s="1">
        <v>44354.176087962966</v>
      </c>
      <c r="AU4032" s="1">
        <v>44354.176655092589</v>
      </c>
      <c r="AV4032" t="s">
        <v>71</v>
      </c>
      <c r="AW4032" t="s">
        <v>72</v>
      </c>
      <c r="AX4032" t="s">
        <v>73</v>
      </c>
    </row>
    <row r="4033" spans="1:50" x14ac:dyDescent="0.3">
      <c r="A4033" t="str">
        <f>"201868B0000"</f>
        <v>201868B0000</v>
      </c>
      <c r="B4033" t="str">
        <f>"201868B00002"</f>
        <v>201868B00002</v>
      </c>
      <c r="C4033" t="str">
        <f t="shared" si="206"/>
        <v>20</v>
      </c>
      <c r="D4033" t="s">
        <v>67</v>
      </c>
      <c r="E4033" t="str">
        <f t="shared" si="207"/>
        <v>018</v>
      </c>
      <c r="F4033" t="s">
        <v>4075</v>
      </c>
      <c r="G4033" t="str">
        <f>"1868"</f>
        <v>1868</v>
      </c>
      <c r="H4033" t="str">
        <f>"0000"</f>
        <v>0000</v>
      </c>
      <c r="I4033" t="s">
        <v>69</v>
      </c>
      <c r="J4033">
        <v>0</v>
      </c>
      <c r="K4033">
        <v>1</v>
      </c>
      <c r="L4033">
        <v>2</v>
      </c>
      <c r="M4033">
        <v>178</v>
      </c>
      <c r="N4033">
        <v>423</v>
      </c>
      <c r="O4033">
        <v>2</v>
      </c>
      <c r="P4033">
        <v>425</v>
      </c>
      <c r="Q4033">
        <v>6</v>
      </c>
      <c r="R4033">
        <v>41</v>
      </c>
      <c r="S4033">
        <v>4</v>
      </c>
      <c r="T4033">
        <v>13</v>
      </c>
      <c r="U4033">
        <v>5</v>
      </c>
      <c r="V4033">
        <v>2</v>
      </c>
      <c r="W4033">
        <v>124</v>
      </c>
      <c r="X4033">
        <v>206</v>
      </c>
      <c r="Y4033">
        <v>1</v>
      </c>
      <c r="Z4033">
        <v>5</v>
      </c>
      <c r="AA4033">
        <v>3</v>
      </c>
      <c r="AB4033">
        <v>2</v>
      </c>
      <c r="AD4033">
        <v>0</v>
      </c>
      <c r="AE4033">
        <v>0</v>
      </c>
      <c r="AF4033">
        <v>0</v>
      </c>
      <c r="AG4033">
        <v>0</v>
      </c>
      <c r="AI4033">
        <v>0</v>
      </c>
      <c r="AJ4033">
        <v>13</v>
      </c>
      <c r="AK4033">
        <v>425</v>
      </c>
      <c r="AL4033">
        <v>425</v>
      </c>
      <c r="AM4033">
        <v>557</v>
      </c>
      <c r="AN4033">
        <v>46</v>
      </c>
      <c r="AP4033">
        <v>1</v>
      </c>
      <c r="AR4033" t="s">
        <v>4132</v>
      </c>
      <c r="AS4033" s="1">
        <v>44354.177083333336</v>
      </c>
      <c r="AT4033" s="1">
        <v>44354.178657407407</v>
      </c>
      <c r="AU4033" s="1">
        <v>44354.179085648146</v>
      </c>
      <c r="AV4033" t="s">
        <v>71</v>
      </c>
      <c r="AW4033" t="s">
        <v>72</v>
      </c>
      <c r="AX4033" t="s">
        <v>73</v>
      </c>
    </row>
    <row r="4034" spans="1:50" x14ac:dyDescent="0.3">
      <c r="A4034" t="str">
        <f>"201868C0100"</f>
        <v>201868C0100</v>
      </c>
      <c r="B4034" t="str">
        <f>"201868C01002"</f>
        <v>201868C01002</v>
      </c>
      <c r="C4034" t="str">
        <f t="shared" si="206"/>
        <v>20</v>
      </c>
      <c r="D4034" t="s">
        <v>67</v>
      </c>
      <c r="E4034" t="str">
        <f t="shared" si="207"/>
        <v>018</v>
      </c>
      <c r="F4034" t="s">
        <v>4075</v>
      </c>
      <c r="G4034" t="str">
        <f>"1868"</f>
        <v>1868</v>
      </c>
      <c r="H4034" t="str">
        <f>"0001"</f>
        <v>0001</v>
      </c>
      <c r="I4034" t="s">
        <v>75</v>
      </c>
      <c r="J4034">
        <v>0</v>
      </c>
      <c r="K4034">
        <v>1</v>
      </c>
      <c r="L4034">
        <v>2</v>
      </c>
      <c r="M4034">
        <v>197</v>
      </c>
      <c r="N4034">
        <v>405</v>
      </c>
      <c r="O4034">
        <v>3</v>
      </c>
      <c r="P4034">
        <v>405</v>
      </c>
      <c r="Q4034">
        <v>2</v>
      </c>
      <c r="R4034">
        <v>51</v>
      </c>
      <c r="S4034">
        <v>2</v>
      </c>
      <c r="T4034">
        <v>11</v>
      </c>
      <c r="U4034">
        <v>4</v>
      </c>
      <c r="V4034">
        <v>5</v>
      </c>
      <c r="W4034">
        <v>115</v>
      </c>
      <c r="X4034">
        <v>198</v>
      </c>
      <c r="Y4034">
        <v>0</v>
      </c>
      <c r="Z4034">
        <v>2</v>
      </c>
      <c r="AA4034">
        <v>2</v>
      </c>
      <c r="AB4034">
        <v>3</v>
      </c>
      <c r="AD4034">
        <v>0</v>
      </c>
      <c r="AE4034">
        <v>0</v>
      </c>
      <c r="AF4034">
        <v>0</v>
      </c>
      <c r="AG4034">
        <v>0</v>
      </c>
      <c r="AI4034">
        <v>0</v>
      </c>
      <c r="AJ4034">
        <v>10</v>
      </c>
      <c r="AK4034">
        <v>405</v>
      </c>
      <c r="AL4034">
        <v>405</v>
      </c>
      <c r="AM4034">
        <v>557</v>
      </c>
      <c r="AN4034">
        <v>46</v>
      </c>
      <c r="AP4034">
        <v>1</v>
      </c>
      <c r="AR4034" t="s">
        <v>4133</v>
      </c>
      <c r="AS4034" s="1">
        <v>44354.179166666669</v>
      </c>
      <c r="AT4034" s="1">
        <v>44354.181284722225</v>
      </c>
      <c r="AU4034" s="1">
        <v>44354.181793981479</v>
      </c>
      <c r="AV4034" t="s">
        <v>71</v>
      </c>
      <c r="AW4034" t="s">
        <v>72</v>
      </c>
      <c r="AX4034" t="s">
        <v>73</v>
      </c>
    </row>
    <row r="4035" spans="1:50" x14ac:dyDescent="0.3">
      <c r="A4035" t="str">
        <f>"201868C0200"</f>
        <v>201868C0200</v>
      </c>
      <c r="B4035" t="str">
        <f>"201868C02002"</f>
        <v>201868C02002</v>
      </c>
      <c r="C4035" t="str">
        <f t="shared" si="206"/>
        <v>20</v>
      </c>
      <c r="D4035" t="s">
        <v>67</v>
      </c>
      <c r="E4035" t="str">
        <f t="shared" si="207"/>
        <v>018</v>
      </c>
      <c r="F4035" t="s">
        <v>4075</v>
      </c>
      <c r="G4035" t="str">
        <f>"1868"</f>
        <v>1868</v>
      </c>
      <c r="H4035" t="str">
        <f>"0002"</f>
        <v>0002</v>
      </c>
      <c r="I4035" t="s">
        <v>75</v>
      </c>
      <c r="J4035">
        <v>0</v>
      </c>
      <c r="K4035">
        <v>1</v>
      </c>
      <c r="L4035">
        <v>2</v>
      </c>
      <c r="M4035">
        <v>201</v>
      </c>
      <c r="N4035">
        <v>401</v>
      </c>
      <c r="O4035">
        <v>3</v>
      </c>
      <c r="P4035">
        <v>401</v>
      </c>
      <c r="Q4035">
        <v>0</v>
      </c>
      <c r="R4035">
        <v>45</v>
      </c>
      <c r="S4035">
        <v>2</v>
      </c>
      <c r="T4035">
        <v>13</v>
      </c>
      <c r="U4035">
        <v>5</v>
      </c>
      <c r="V4035">
        <v>0</v>
      </c>
      <c r="W4035">
        <v>121</v>
      </c>
      <c r="X4035">
        <v>196</v>
      </c>
      <c r="Y4035">
        <v>0</v>
      </c>
      <c r="Z4035">
        <v>3</v>
      </c>
      <c r="AA4035">
        <v>3</v>
      </c>
      <c r="AB4035">
        <v>2</v>
      </c>
      <c r="AD4035">
        <v>0</v>
      </c>
      <c r="AE4035">
        <v>0</v>
      </c>
      <c r="AF4035">
        <v>0</v>
      </c>
      <c r="AG4035">
        <v>0</v>
      </c>
      <c r="AI4035">
        <v>0</v>
      </c>
      <c r="AJ4035">
        <v>0</v>
      </c>
      <c r="AK4035">
        <v>0</v>
      </c>
      <c r="AL4035">
        <v>390</v>
      </c>
      <c r="AM4035">
        <v>556</v>
      </c>
      <c r="AN4035">
        <v>46</v>
      </c>
      <c r="AP4035">
        <v>1</v>
      </c>
      <c r="AR4035" t="s">
        <v>4134</v>
      </c>
      <c r="AS4035" s="1">
        <v>44354.173611111109</v>
      </c>
      <c r="AT4035" s="1">
        <v>44354.175057870372</v>
      </c>
      <c r="AU4035" s="1">
        <v>44354.175474537034</v>
      </c>
      <c r="AV4035" t="s">
        <v>71</v>
      </c>
      <c r="AW4035" t="s">
        <v>72</v>
      </c>
      <c r="AX4035" t="s">
        <v>73</v>
      </c>
    </row>
    <row r="4036" spans="1:50" x14ac:dyDescent="0.3">
      <c r="A4036" t="str">
        <f>"201869B0000"</f>
        <v>201869B0000</v>
      </c>
      <c r="B4036" t="str">
        <f>"201869B00002"</f>
        <v>201869B00002</v>
      </c>
      <c r="C4036" t="str">
        <f t="shared" si="206"/>
        <v>20</v>
      </c>
      <c r="D4036" t="s">
        <v>67</v>
      </c>
      <c r="E4036" t="str">
        <f t="shared" si="207"/>
        <v>018</v>
      </c>
      <c r="F4036" t="s">
        <v>4075</v>
      </c>
      <c r="G4036" t="str">
        <f>"1869"</f>
        <v>1869</v>
      </c>
      <c r="H4036" t="str">
        <f>"0000"</f>
        <v>0000</v>
      </c>
      <c r="I4036" t="s">
        <v>69</v>
      </c>
      <c r="J4036">
        <v>0</v>
      </c>
      <c r="K4036">
        <v>1</v>
      </c>
      <c r="L4036">
        <v>2</v>
      </c>
      <c r="M4036">
        <v>267</v>
      </c>
      <c r="N4036">
        <v>528</v>
      </c>
      <c r="O4036">
        <v>8</v>
      </c>
      <c r="P4036">
        <v>520</v>
      </c>
      <c r="Q4036">
        <v>4</v>
      </c>
      <c r="R4036">
        <v>59</v>
      </c>
      <c r="S4036">
        <v>5</v>
      </c>
      <c r="T4036">
        <v>13</v>
      </c>
      <c r="U4036">
        <v>27</v>
      </c>
      <c r="V4036">
        <v>5</v>
      </c>
      <c r="W4036">
        <v>119</v>
      </c>
      <c r="X4036">
        <v>260</v>
      </c>
      <c r="Y4036">
        <v>2</v>
      </c>
      <c r="Z4036">
        <v>8</v>
      </c>
      <c r="AA4036">
        <v>3</v>
      </c>
      <c r="AB4036">
        <v>1</v>
      </c>
      <c r="AD4036">
        <v>1</v>
      </c>
      <c r="AE4036">
        <v>1</v>
      </c>
      <c r="AF4036">
        <v>0</v>
      </c>
      <c r="AG4036">
        <v>0</v>
      </c>
      <c r="AI4036">
        <v>0</v>
      </c>
      <c r="AJ4036">
        <v>12</v>
      </c>
      <c r="AK4036">
        <v>520</v>
      </c>
      <c r="AL4036">
        <v>520</v>
      </c>
      <c r="AM4036">
        <v>741</v>
      </c>
      <c r="AN4036">
        <v>46</v>
      </c>
      <c r="AP4036">
        <v>1</v>
      </c>
      <c r="AR4036" t="s">
        <v>4135</v>
      </c>
      <c r="AS4036" s="1">
        <v>44354.171527777777</v>
      </c>
      <c r="AT4036" s="1">
        <v>44354.17863425926</v>
      </c>
      <c r="AU4036" s="1">
        <v>44354.180312500001</v>
      </c>
      <c r="AV4036" t="s">
        <v>71</v>
      </c>
      <c r="AW4036" t="s">
        <v>72</v>
      </c>
      <c r="AX4036" t="s">
        <v>73</v>
      </c>
    </row>
    <row r="4037" spans="1:50" x14ac:dyDescent="0.3">
      <c r="A4037" t="str">
        <f>"201869C0100"</f>
        <v>201869C0100</v>
      </c>
      <c r="B4037" t="str">
        <f>"201869C01002"</f>
        <v>201869C01002</v>
      </c>
      <c r="C4037" t="str">
        <f t="shared" si="206"/>
        <v>20</v>
      </c>
      <c r="D4037" t="s">
        <v>67</v>
      </c>
      <c r="E4037" t="str">
        <f t="shared" si="207"/>
        <v>018</v>
      </c>
      <c r="F4037" t="s">
        <v>4075</v>
      </c>
      <c r="G4037" t="str">
        <f>"1869"</f>
        <v>1869</v>
      </c>
      <c r="H4037" t="str">
        <f>"0001"</f>
        <v>0001</v>
      </c>
      <c r="I4037" t="s">
        <v>75</v>
      </c>
      <c r="J4037">
        <v>0</v>
      </c>
      <c r="K4037">
        <v>1</v>
      </c>
      <c r="L4037">
        <v>2</v>
      </c>
      <c r="M4037">
        <v>259</v>
      </c>
      <c r="N4037">
        <v>527</v>
      </c>
      <c r="O4037">
        <v>5</v>
      </c>
      <c r="P4037">
        <v>527</v>
      </c>
      <c r="Q4037">
        <v>3</v>
      </c>
      <c r="R4037">
        <v>56</v>
      </c>
      <c r="S4037">
        <v>1</v>
      </c>
      <c r="T4037">
        <v>10</v>
      </c>
      <c r="U4037">
        <v>7</v>
      </c>
      <c r="V4037">
        <v>4</v>
      </c>
      <c r="W4037">
        <v>158</v>
      </c>
      <c r="X4037">
        <v>257</v>
      </c>
      <c r="Y4037">
        <v>4</v>
      </c>
      <c r="Z4037">
        <v>4</v>
      </c>
      <c r="AA4037">
        <v>3</v>
      </c>
      <c r="AB4037">
        <v>2</v>
      </c>
      <c r="AD4037">
        <v>1</v>
      </c>
      <c r="AE4037">
        <v>0</v>
      </c>
      <c r="AF4037">
        <v>0</v>
      </c>
      <c r="AG4037">
        <v>0</v>
      </c>
      <c r="AI4037" t="s">
        <v>77</v>
      </c>
      <c r="AJ4037">
        <v>13</v>
      </c>
      <c r="AK4037">
        <v>527</v>
      </c>
      <c r="AL4037">
        <v>523</v>
      </c>
      <c r="AM4037">
        <v>740</v>
      </c>
      <c r="AN4037">
        <v>46</v>
      </c>
      <c r="AO4037" t="s">
        <v>78</v>
      </c>
      <c r="AP4037">
        <v>1</v>
      </c>
      <c r="AR4037" t="s">
        <v>4136</v>
      </c>
      <c r="AS4037" s="1">
        <v>44354.173611111109</v>
      </c>
      <c r="AT4037" s="1">
        <v>44354.175000000003</v>
      </c>
      <c r="AU4037" s="1">
        <v>44354.175706018519</v>
      </c>
      <c r="AV4037" t="s">
        <v>71</v>
      </c>
      <c r="AW4037" t="s">
        <v>72</v>
      </c>
      <c r="AX4037" t="s">
        <v>73</v>
      </c>
    </row>
    <row r="4038" spans="1:50" x14ac:dyDescent="0.3">
      <c r="A4038" t="str">
        <f>"201870B0000"</f>
        <v>201870B0000</v>
      </c>
      <c r="B4038" t="str">
        <f>"201870B00002"</f>
        <v>201870B00002</v>
      </c>
      <c r="C4038" t="str">
        <f t="shared" si="206"/>
        <v>20</v>
      </c>
      <c r="D4038" t="s">
        <v>67</v>
      </c>
      <c r="E4038" t="str">
        <f t="shared" si="207"/>
        <v>018</v>
      </c>
      <c r="F4038" t="s">
        <v>4075</v>
      </c>
      <c r="G4038" t="str">
        <f>"1870"</f>
        <v>1870</v>
      </c>
      <c r="H4038" t="str">
        <f>"0000"</f>
        <v>0000</v>
      </c>
      <c r="I4038" t="s">
        <v>69</v>
      </c>
      <c r="J4038">
        <v>0</v>
      </c>
      <c r="K4038">
        <v>1</v>
      </c>
      <c r="L4038">
        <v>2</v>
      </c>
      <c r="M4038">
        <v>216</v>
      </c>
      <c r="N4038">
        <v>434</v>
      </c>
      <c r="O4038">
        <v>5</v>
      </c>
      <c r="P4038">
        <v>434</v>
      </c>
      <c r="Q4038">
        <v>2</v>
      </c>
      <c r="R4038">
        <v>42</v>
      </c>
      <c r="S4038">
        <v>0</v>
      </c>
      <c r="T4038">
        <v>12</v>
      </c>
      <c r="U4038">
        <v>8</v>
      </c>
      <c r="V4038">
        <v>5</v>
      </c>
      <c r="W4038">
        <v>115</v>
      </c>
      <c r="X4038">
        <v>222</v>
      </c>
      <c r="Y4038">
        <v>3</v>
      </c>
      <c r="Z4038">
        <v>5</v>
      </c>
      <c r="AA4038">
        <v>4</v>
      </c>
      <c r="AB4038">
        <v>0</v>
      </c>
      <c r="AD4038">
        <v>1</v>
      </c>
      <c r="AE4038">
        <v>0</v>
      </c>
      <c r="AF4038">
        <v>0</v>
      </c>
      <c r="AG4038">
        <v>0</v>
      </c>
      <c r="AI4038">
        <v>0</v>
      </c>
      <c r="AJ4038">
        <v>15</v>
      </c>
      <c r="AK4038">
        <v>434</v>
      </c>
      <c r="AL4038">
        <v>434</v>
      </c>
      <c r="AM4038">
        <v>604</v>
      </c>
      <c r="AN4038">
        <v>46</v>
      </c>
      <c r="AP4038">
        <v>1</v>
      </c>
      <c r="AR4038" t="s">
        <v>4137</v>
      </c>
      <c r="AS4038" s="1">
        <v>44354.154166666667</v>
      </c>
      <c r="AT4038" s="1">
        <v>44354.157129629632</v>
      </c>
      <c r="AU4038" s="1">
        <v>44354.159537037034</v>
      </c>
      <c r="AV4038" t="s">
        <v>71</v>
      </c>
      <c r="AW4038" t="s">
        <v>72</v>
      </c>
      <c r="AX4038" t="s">
        <v>73</v>
      </c>
    </row>
    <row r="4039" spans="1:50" x14ac:dyDescent="0.3">
      <c r="A4039" t="str">
        <f>"201870C0100"</f>
        <v>201870C0100</v>
      </c>
      <c r="B4039" t="str">
        <f>"201870C01002"</f>
        <v>201870C01002</v>
      </c>
      <c r="C4039" t="str">
        <f t="shared" ref="C4039:C4102" si="208">"20"</f>
        <v>20</v>
      </c>
      <c r="D4039" t="s">
        <v>67</v>
      </c>
      <c r="E4039" t="str">
        <f t="shared" si="207"/>
        <v>018</v>
      </c>
      <c r="F4039" t="s">
        <v>4075</v>
      </c>
      <c r="G4039" t="str">
        <f>"1870"</f>
        <v>1870</v>
      </c>
      <c r="H4039" t="str">
        <f>"0001"</f>
        <v>0001</v>
      </c>
      <c r="I4039" t="s">
        <v>75</v>
      </c>
      <c r="J4039">
        <v>0</v>
      </c>
      <c r="K4039">
        <v>1</v>
      </c>
      <c r="L4039">
        <v>2</v>
      </c>
      <c r="M4039">
        <v>202</v>
      </c>
      <c r="N4039">
        <v>448</v>
      </c>
      <c r="O4039">
        <v>7</v>
      </c>
      <c r="P4039">
        <v>447</v>
      </c>
      <c r="Q4039">
        <v>0</v>
      </c>
      <c r="R4039">
        <v>40</v>
      </c>
      <c r="S4039">
        <v>1</v>
      </c>
      <c r="T4039">
        <v>11</v>
      </c>
      <c r="U4039">
        <v>5</v>
      </c>
      <c r="V4039">
        <v>3</v>
      </c>
      <c r="W4039">
        <v>116</v>
      </c>
      <c r="X4039">
        <v>247</v>
      </c>
      <c r="Y4039">
        <v>0</v>
      </c>
      <c r="Z4039">
        <v>9</v>
      </c>
      <c r="AA4039">
        <v>4</v>
      </c>
      <c r="AB4039">
        <v>1</v>
      </c>
      <c r="AD4039">
        <v>0</v>
      </c>
      <c r="AE4039">
        <v>0</v>
      </c>
      <c r="AF4039">
        <v>0</v>
      </c>
      <c r="AG4039">
        <v>0</v>
      </c>
      <c r="AI4039">
        <v>0</v>
      </c>
      <c r="AJ4039">
        <v>10</v>
      </c>
      <c r="AK4039">
        <v>447</v>
      </c>
      <c r="AL4039">
        <v>447</v>
      </c>
      <c r="AM4039">
        <v>604</v>
      </c>
      <c r="AN4039">
        <v>46</v>
      </c>
      <c r="AP4039">
        <v>1</v>
      </c>
      <c r="AR4039" t="s">
        <v>4138</v>
      </c>
      <c r="AS4039" s="1">
        <v>44354.152777777781</v>
      </c>
      <c r="AT4039" s="1">
        <v>44354.155740740738</v>
      </c>
      <c r="AU4039" s="1">
        <v>44354.156909722224</v>
      </c>
      <c r="AV4039" t="s">
        <v>71</v>
      </c>
      <c r="AW4039" t="s">
        <v>72</v>
      </c>
      <c r="AX4039" t="s">
        <v>73</v>
      </c>
    </row>
    <row r="4040" spans="1:50" x14ac:dyDescent="0.3">
      <c r="A4040" t="str">
        <f>"201870C0200"</f>
        <v>201870C0200</v>
      </c>
      <c r="B4040" t="str">
        <f>"201870C02002"</f>
        <v>201870C02002</v>
      </c>
      <c r="C4040" t="str">
        <f t="shared" si="208"/>
        <v>20</v>
      </c>
      <c r="D4040" t="s">
        <v>67</v>
      </c>
      <c r="E4040" t="str">
        <f t="shared" si="207"/>
        <v>018</v>
      </c>
      <c r="F4040" t="s">
        <v>4075</v>
      </c>
      <c r="G4040" t="str">
        <f>"1870"</f>
        <v>1870</v>
      </c>
      <c r="H4040" t="str">
        <f>"0002"</f>
        <v>0002</v>
      </c>
      <c r="I4040" t="s">
        <v>75</v>
      </c>
      <c r="J4040">
        <v>0</v>
      </c>
      <c r="K4040">
        <v>1</v>
      </c>
      <c r="L4040">
        <v>2</v>
      </c>
      <c r="M4040">
        <v>207</v>
      </c>
      <c r="N4040">
        <v>442</v>
      </c>
      <c r="O4040">
        <v>6</v>
      </c>
      <c r="P4040">
        <v>441</v>
      </c>
      <c r="Q4040">
        <v>1</v>
      </c>
      <c r="R4040">
        <v>51</v>
      </c>
      <c r="S4040">
        <v>1</v>
      </c>
      <c r="T4040">
        <v>10</v>
      </c>
      <c r="U4040">
        <v>9</v>
      </c>
      <c r="V4040">
        <v>1</v>
      </c>
      <c r="W4040">
        <v>116</v>
      </c>
      <c r="X4040">
        <v>237</v>
      </c>
      <c r="Y4040">
        <v>2</v>
      </c>
      <c r="Z4040">
        <v>4</v>
      </c>
      <c r="AA4040">
        <v>1</v>
      </c>
      <c r="AB4040">
        <v>1</v>
      </c>
      <c r="AD4040" t="s">
        <v>77</v>
      </c>
      <c r="AE4040" t="s">
        <v>77</v>
      </c>
      <c r="AF4040" t="s">
        <v>77</v>
      </c>
      <c r="AG4040" t="s">
        <v>77</v>
      </c>
      <c r="AI4040">
        <v>1</v>
      </c>
      <c r="AJ4040">
        <v>6</v>
      </c>
      <c r="AK4040">
        <v>441</v>
      </c>
      <c r="AL4040">
        <v>441</v>
      </c>
      <c r="AM4040">
        <v>603</v>
      </c>
      <c r="AN4040">
        <v>46</v>
      </c>
      <c r="AO4040" t="s">
        <v>78</v>
      </c>
      <c r="AP4040">
        <v>1</v>
      </c>
      <c r="AR4040" t="s">
        <v>4139</v>
      </c>
      <c r="AS4040" s="1">
        <v>44354.15347222222</v>
      </c>
      <c r="AT4040" s="1">
        <v>44354.156192129631</v>
      </c>
      <c r="AU4040" s="1">
        <v>44354.157118055555</v>
      </c>
      <c r="AV4040" t="s">
        <v>71</v>
      </c>
      <c r="AW4040" t="s">
        <v>72</v>
      </c>
      <c r="AX4040" t="s">
        <v>73</v>
      </c>
    </row>
    <row r="4041" spans="1:50" x14ac:dyDescent="0.3">
      <c r="A4041" t="str">
        <f>"201871B0000"</f>
        <v>201871B0000</v>
      </c>
      <c r="B4041" t="str">
        <f>"201871B00002"</f>
        <v>201871B00002</v>
      </c>
      <c r="C4041" t="str">
        <f t="shared" si="208"/>
        <v>20</v>
      </c>
      <c r="D4041" t="s">
        <v>67</v>
      </c>
      <c r="E4041" t="str">
        <f t="shared" ref="E4041:E4104" si="209">"018"</f>
        <v>018</v>
      </c>
      <c r="F4041" t="s">
        <v>4075</v>
      </c>
      <c r="G4041" t="str">
        <f>"1871"</f>
        <v>1871</v>
      </c>
      <c r="H4041" t="str">
        <f>"0000"</f>
        <v>0000</v>
      </c>
      <c r="I4041" t="s">
        <v>69</v>
      </c>
      <c r="J4041">
        <v>0</v>
      </c>
      <c r="K4041">
        <v>1</v>
      </c>
      <c r="L4041">
        <v>2</v>
      </c>
      <c r="M4041">
        <v>69</v>
      </c>
      <c r="N4041">
        <v>116</v>
      </c>
      <c r="O4041">
        <v>9</v>
      </c>
      <c r="P4041">
        <v>116</v>
      </c>
      <c r="Q4041">
        <v>0</v>
      </c>
      <c r="R4041">
        <v>32</v>
      </c>
      <c r="S4041">
        <v>0</v>
      </c>
      <c r="T4041">
        <v>5</v>
      </c>
      <c r="U4041">
        <v>0</v>
      </c>
      <c r="V4041">
        <v>2</v>
      </c>
      <c r="W4041">
        <v>2</v>
      </c>
      <c r="X4041">
        <v>67</v>
      </c>
      <c r="Y4041">
        <v>0</v>
      </c>
      <c r="Z4041">
        <v>2</v>
      </c>
      <c r="AA4041">
        <v>0</v>
      </c>
      <c r="AB4041">
        <v>1</v>
      </c>
      <c r="AD4041">
        <v>0</v>
      </c>
      <c r="AE4041">
        <v>0</v>
      </c>
      <c r="AF4041">
        <v>0</v>
      </c>
      <c r="AG4041">
        <v>0</v>
      </c>
      <c r="AI4041">
        <v>0</v>
      </c>
      <c r="AJ4041">
        <v>5</v>
      </c>
      <c r="AK4041">
        <v>116</v>
      </c>
      <c r="AL4041">
        <v>116</v>
      </c>
      <c r="AM4041">
        <v>139</v>
      </c>
      <c r="AN4041">
        <v>46</v>
      </c>
      <c r="AP4041">
        <v>1</v>
      </c>
      <c r="AR4041" t="s">
        <v>4140</v>
      </c>
      <c r="AS4041" s="1">
        <v>44354.143055555556</v>
      </c>
      <c r="AT4041" s="1">
        <v>44354.144421296296</v>
      </c>
      <c r="AU4041" s="1">
        <v>44354.145138888889</v>
      </c>
      <c r="AV4041" t="s">
        <v>71</v>
      </c>
      <c r="AW4041" t="s">
        <v>72</v>
      </c>
      <c r="AX4041" t="s">
        <v>73</v>
      </c>
    </row>
    <row r="4042" spans="1:50" x14ac:dyDescent="0.3">
      <c r="A4042" t="str">
        <f>"201871E0100"</f>
        <v>201871E0100</v>
      </c>
      <c r="B4042" t="str">
        <f>"201871E01002"</f>
        <v>201871E01002</v>
      </c>
      <c r="C4042" t="str">
        <f t="shared" si="208"/>
        <v>20</v>
      </c>
      <c r="D4042" t="s">
        <v>67</v>
      </c>
      <c r="E4042" t="str">
        <f t="shared" si="209"/>
        <v>018</v>
      </c>
      <c r="F4042" t="s">
        <v>4075</v>
      </c>
      <c r="G4042" t="str">
        <f>"1871"</f>
        <v>1871</v>
      </c>
      <c r="H4042" t="str">
        <f>"0001"</f>
        <v>0001</v>
      </c>
      <c r="I4042" t="s">
        <v>109</v>
      </c>
      <c r="J4042">
        <v>0</v>
      </c>
      <c r="K4042">
        <v>1</v>
      </c>
      <c r="L4042">
        <v>2</v>
      </c>
      <c r="M4042">
        <v>183</v>
      </c>
      <c r="N4042">
        <v>453</v>
      </c>
      <c r="O4042">
        <v>5</v>
      </c>
      <c r="P4042">
        <v>448</v>
      </c>
      <c r="Q4042">
        <v>2</v>
      </c>
      <c r="R4042">
        <v>96</v>
      </c>
      <c r="S4042">
        <v>4</v>
      </c>
      <c r="T4042">
        <v>19</v>
      </c>
      <c r="U4042">
        <v>6</v>
      </c>
      <c r="V4042">
        <v>3</v>
      </c>
      <c r="W4042">
        <v>33</v>
      </c>
      <c r="X4042">
        <v>268</v>
      </c>
      <c r="Y4042">
        <v>0</v>
      </c>
      <c r="Z4042">
        <v>7</v>
      </c>
      <c r="AA4042">
        <v>1</v>
      </c>
      <c r="AB4042">
        <v>0</v>
      </c>
      <c r="AD4042">
        <v>0</v>
      </c>
      <c r="AE4042">
        <v>0</v>
      </c>
      <c r="AF4042">
        <v>0</v>
      </c>
      <c r="AG4042">
        <v>0</v>
      </c>
      <c r="AI4042">
        <v>0</v>
      </c>
      <c r="AJ4042">
        <v>8</v>
      </c>
      <c r="AK4042">
        <v>448</v>
      </c>
      <c r="AL4042">
        <v>447</v>
      </c>
      <c r="AM4042">
        <v>590</v>
      </c>
      <c r="AN4042">
        <v>46</v>
      </c>
      <c r="AP4042">
        <v>1</v>
      </c>
      <c r="AR4042" t="s">
        <v>4141</v>
      </c>
      <c r="AS4042" s="1">
        <v>44354.145138888889</v>
      </c>
      <c r="AT4042" s="1">
        <v>44354.148217592592</v>
      </c>
      <c r="AU4042" s="1">
        <v>44354.148692129631</v>
      </c>
      <c r="AV4042" t="s">
        <v>71</v>
      </c>
      <c r="AW4042" t="s">
        <v>72</v>
      </c>
      <c r="AX4042" t="s">
        <v>73</v>
      </c>
    </row>
    <row r="4043" spans="1:50" x14ac:dyDescent="0.3">
      <c r="A4043" t="str">
        <f>"201872B0000"</f>
        <v>201872B0000</v>
      </c>
      <c r="B4043" t="str">
        <f>"201872B00002"</f>
        <v>201872B00002</v>
      </c>
      <c r="C4043" t="str">
        <f t="shared" si="208"/>
        <v>20</v>
      </c>
      <c r="D4043" t="s">
        <v>67</v>
      </c>
      <c r="E4043" t="str">
        <f t="shared" si="209"/>
        <v>018</v>
      </c>
      <c r="F4043" t="s">
        <v>4075</v>
      </c>
      <c r="G4043" t="str">
        <f>"1872"</f>
        <v>1872</v>
      </c>
      <c r="H4043" t="str">
        <f>"0000"</f>
        <v>0000</v>
      </c>
      <c r="I4043" t="s">
        <v>69</v>
      </c>
      <c r="J4043">
        <v>0</v>
      </c>
      <c r="K4043">
        <v>1</v>
      </c>
      <c r="L4043">
        <v>2</v>
      </c>
      <c r="M4043">
        <v>181</v>
      </c>
      <c r="N4043">
        <v>527</v>
      </c>
      <c r="O4043">
        <v>1</v>
      </c>
      <c r="P4043">
        <v>527</v>
      </c>
      <c r="Q4043">
        <v>0</v>
      </c>
      <c r="R4043">
        <v>148</v>
      </c>
      <c r="S4043">
        <v>3</v>
      </c>
      <c r="T4043">
        <v>16</v>
      </c>
      <c r="U4043">
        <v>2</v>
      </c>
      <c r="V4043">
        <v>17</v>
      </c>
      <c r="W4043">
        <v>30</v>
      </c>
      <c r="X4043">
        <v>276</v>
      </c>
      <c r="Y4043">
        <v>2</v>
      </c>
      <c r="Z4043">
        <v>3</v>
      </c>
      <c r="AA4043">
        <v>11</v>
      </c>
      <c r="AB4043">
        <v>2</v>
      </c>
      <c r="AD4043">
        <v>0</v>
      </c>
      <c r="AE4043">
        <v>0</v>
      </c>
      <c r="AF4043">
        <v>0</v>
      </c>
      <c r="AG4043">
        <v>0</v>
      </c>
      <c r="AI4043">
        <v>0</v>
      </c>
      <c r="AJ4043">
        <v>17</v>
      </c>
      <c r="AK4043">
        <v>0</v>
      </c>
      <c r="AL4043">
        <v>527</v>
      </c>
      <c r="AM4043">
        <v>663</v>
      </c>
      <c r="AN4043">
        <v>46</v>
      </c>
      <c r="AP4043">
        <v>1</v>
      </c>
      <c r="AR4043" t="s">
        <v>4142</v>
      </c>
      <c r="AS4043" s="1">
        <v>44354.177777777775</v>
      </c>
      <c r="AT4043" s="1">
        <v>44354.180798611109</v>
      </c>
      <c r="AU4043" s="1">
        <v>44354.181469907409</v>
      </c>
      <c r="AV4043" t="s">
        <v>71</v>
      </c>
      <c r="AW4043" t="s">
        <v>72</v>
      </c>
      <c r="AX4043" t="s">
        <v>73</v>
      </c>
    </row>
    <row r="4044" spans="1:50" x14ac:dyDescent="0.3">
      <c r="A4044" t="str">
        <f>"201872E0100"</f>
        <v>201872E0100</v>
      </c>
      <c r="B4044" t="str">
        <f>"201872E01002"</f>
        <v>201872E01002</v>
      </c>
      <c r="C4044" t="str">
        <f t="shared" si="208"/>
        <v>20</v>
      </c>
      <c r="D4044" t="s">
        <v>67</v>
      </c>
      <c r="E4044" t="str">
        <f t="shared" si="209"/>
        <v>018</v>
      </c>
      <c r="F4044" t="s">
        <v>4075</v>
      </c>
      <c r="G4044" t="str">
        <f>"1872"</f>
        <v>1872</v>
      </c>
      <c r="H4044" t="str">
        <f>"0001"</f>
        <v>0001</v>
      </c>
      <c r="I4044" t="s">
        <v>109</v>
      </c>
      <c r="J4044">
        <v>0</v>
      </c>
      <c r="K4044">
        <v>1</v>
      </c>
      <c r="L4044">
        <v>2</v>
      </c>
      <c r="M4044">
        <v>154</v>
      </c>
      <c r="N4044">
        <v>1</v>
      </c>
      <c r="O4044" t="s">
        <v>80</v>
      </c>
      <c r="P4044">
        <v>307</v>
      </c>
      <c r="Q4044">
        <v>0</v>
      </c>
      <c r="R4044">
        <v>43</v>
      </c>
      <c r="S4044">
        <v>2</v>
      </c>
      <c r="T4044">
        <v>3</v>
      </c>
      <c r="U4044">
        <v>5</v>
      </c>
      <c r="V4044">
        <v>4</v>
      </c>
      <c r="W4044">
        <v>52</v>
      </c>
      <c r="X4044">
        <v>176</v>
      </c>
      <c r="Y4044">
        <v>1</v>
      </c>
      <c r="Z4044">
        <v>5</v>
      </c>
      <c r="AA4044">
        <v>2</v>
      </c>
      <c r="AB4044">
        <v>5</v>
      </c>
      <c r="AD4044">
        <v>0</v>
      </c>
      <c r="AE4044">
        <v>0</v>
      </c>
      <c r="AF4044">
        <v>0</v>
      </c>
      <c r="AG4044">
        <v>0</v>
      </c>
      <c r="AI4044">
        <v>0</v>
      </c>
      <c r="AJ4044">
        <v>9</v>
      </c>
      <c r="AK4044">
        <v>307</v>
      </c>
      <c r="AL4044">
        <v>307</v>
      </c>
      <c r="AM4044">
        <v>415</v>
      </c>
      <c r="AN4044">
        <v>46</v>
      </c>
      <c r="AP4044">
        <v>1</v>
      </c>
      <c r="AR4044" t="s">
        <v>4143</v>
      </c>
      <c r="AS4044" s="1">
        <v>44354.176388888889</v>
      </c>
      <c r="AT4044" s="1">
        <v>44354.178564814814</v>
      </c>
      <c r="AU4044" s="1">
        <v>44354.179120370369</v>
      </c>
      <c r="AV4044" t="s">
        <v>71</v>
      </c>
      <c r="AW4044" t="s">
        <v>72</v>
      </c>
      <c r="AX4044" t="s">
        <v>73</v>
      </c>
    </row>
    <row r="4045" spans="1:50" x14ac:dyDescent="0.3">
      <c r="A4045" t="str">
        <f>"201875B0000"</f>
        <v>201875B0000</v>
      </c>
      <c r="B4045" t="str">
        <f>"201875B00002"</f>
        <v>201875B00002</v>
      </c>
      <c r="C4045" t="str">
        <f t="shared" si="208"/>
        <v>20</v>
      </c>
      <c r="D4045" t="s">
        <v>67</v>
      </c>
      <c r="E4045" t="str">
        <f t="shared" si="209"/>
        <v>018</v>
      </c>
      <c r="F4045" t="s">
        <v>4075</v>
      </c>
      <c r="G4045" t="str">
        <f>"1875"</f>
        <v>1875</v>
      </c>
      <c r="H4045" t="str">
        <f>"0000"</f>
        <v>0000</v>
      </c>
      <c r="I4045" t="s">
        <v>69</v>
      </c>
      <c r="J4045">
        <v>0</v>
      </c>
      <c r="K4045">
        <v>1</v>
      </c>
      <c r="L4045">
        <v>2</v>
      </c>
      <c r="AM4045">
        <v>491</v>
      </c>
      <c r="AN4045">
        <v>44</v>
      </c>
      <c r="AO4045" t="s">
        <v>352</v>
      </c>
      <c r="AP4045">
        <v>0</v>
      </c>
      <c r="AR4045" t="s">
        <v>4144</v>
      </c>
      <c r="AS4045" s="1">
        <v>44354.431944444441</v>
      </c>
      <c r="AT4045" s="1">
        <v>44354.446215277778</v>
      </c>
      <c r="AU4045" s="1">
        <v>44354.446215277778</v>
      </c>
      <c r="AV4045" t="s">
        <v>71</v>
      </c>
      <c r="AW4045" t="s">
        <v>72</v>
      </c>
      <c r="AX4045" t="s">
        <v>73</v>
      </c>
    </row>
    <row r="4046" spans="1:50" x14ac:dyDescent="0.3">
      <c r="A4046" t="str">
        <f>"201875C0100"</f>
        <v>201875C0100</v>
      </c>
      <c r="B4046" t="str">
        <f>"201875C01002"</f>
        <v>201875C01002</v>
      </c>
      <c r="C4046" t="str">
        <f t="shared" si="208"/>
        <v>20</v>
      </c>
      <c r="D4046" t="s">
        <v>67</v>
      </c>
      <c r="E4046" t="str">
        <f t="shared" si="209"/>
        <v>018</v>
      </c>
      <c r="F4046" t="s">
        <v>4075</v>
      </c>
      <c r="G4046" t="str">
        <f>"1875"</f>
        <v>1875</v>
      </c>
      <c r="H4046" t="str">
        <f>"0001"</f>
        <v>0001</v>
      </c>
      <c r="I4046" t="s">
        <v>75</v>
      </c>
      <c r="J4046">
        <v>0</v>
      </c>
      <c r="K4046">
        <v>1</v>
      </c>
      <c r="L4046">
        <v>2</v>
      </c>
      <c r="AM4046">
        <v>491</v>
      </c>
      <c r="AN4046">
        <v>44</v>
      </c>
      <c r="AO4046" t="s">
        <v>352</v>
      </c>
      <c r="AP4046">
        <v>0</v>
      </c>
      <c r="AR4046" t="s">
        <v>4145</v>
      </c>
      <c r="AS4046" s="1">
        <v>44354.431944444441</v>
      </c>
      <c r="AT4046" s="1">
        <v>44354.44599537037</v>
      </c>
      <c r="AU4046" s="1">
        <v>44354.44599537037</v>
      </c>
      <c r="AV4046" t="s">
        <v>71</v>
      </c>
      <c r="AW4046" t="s">
        <v>72</v>
      </c>
      <c r="AX4046" t="s">
        <v>73</v>
      </c>
    </row>
    <row r="4047" spans="1:50" x14ac:dyDescent="0.3">
      <c r="A4047" t="str">
        <f>"201876B0000"</f>
        <v>201876B0000</v>
      </c>
      <c r="B4047" t="str">
        <f>"201876B00002"</f>
        <v>201876B00002</v>
      </c>
      <c r="C4047" t="str">
        <f t="shared" si="208"/>
        <v>20</v>
      </c>
      <c r="D4047" t="s">
        <v>67</v>
      </c>
      <c r="E4047" t="str">
        <f t="shared" si="209"/>
        <v>018</v>
      </c>
      <c r="F4047" t="s">
        <v>4075</v>
      </c>
      <c r="G4047" t="str">
        <f>"1876"</f>
        <v>1876</v>
      </c>
      <c r="H4047" t="str">
        <f>"0000"</f>
        <v>0000</v>
      </c>
      <c r="I4047" t="s">
        <v>69</v>
      </c>
      <c r="J4047">
        <v>0</v>
      </c>
      <c r="K4047">
        <v>1</v>
      </c>
      <c r="L4047">
        <v>2</v>
      </c>
      <c r="AM4047">
        <v>720</v>
      </c>
      <c r="AN4047">
        <v>44</v>
      </c>
      <c r="AO4047" t="s">
        <v>352</v>
      </c>
      <c r="AP4047">
        <v>0</v>
      </c>
      <c r="AR4047" t="s">
        <v>4146</v>
      </c>
      <c r="AS4047" s="1">
        <v>44354.431944444441</v>
      </c>
      <c r="AT4047" s="1">
        <v>44354.446435185186</v>
      </c>
      <c r="AU4047" s="1">
        <v>44354.446435185186</v>
      </c>
      <c r="AV4047" t="s">
        <v>71</v>
      </c>
      <c r="AW4047" t="s">
        <v>72</v>
      </c>
      <c r="AX4047" t="s">
        <v>73</v>
      </c>
    </row>
    <row r="4048" spans="1:50" x14ac:dyDescent="0.3">
      <c r="A4048" t="str">
        <f>"201876C0100"</f>
        <v>201876C0100</v>
      </c>
      <c r="B4048" t="str">
        <f>"201876C01002"</f>
        <v>201876C01002</v>
      </c>
      <c r="C4048" t="str">
        <f t="shared" si="208"/>
        <v>20</v>
      </c>
      <c r="D4048" t="s">
        <v>67</v>
      </c>
      <c r="E4048" t="str">
        <f t="shared" si="209"/>
        <v>018</v>
      </c>
      <c r="F4048" t="s">
        <v>4075</v>
      </c>
      <c r="G4048" t="str">
        <f>"1876"</f>
        <v>1876</v>
      </c>
      <c r="H4048" t="str">
        <f>"0001"</f>
        <v>0001</v>
      </c>
      <c r="I4048" t="s">
        <v>75</v>
      </c>
      <c r="J4048">
        <v>0</v>
      </c>
      <c r="K4048">
        <v>1</v>
      </c>
      <c r="L4048">
        <v>2</v>
      </c>
      <c r="AM4048">
        <v>720</v>
      </c>
      <c r="AN4048">
        <v>44</v>
      </c>
      <c r="AO4048" t="s">
        <v>352</v>
      </c>
      <c r="AP4048">
        <v>0</v>
      </c>
      <c r="AR4048" t="s">
        <v>4147</v>
      </c>
      <c r="AS4048" s="1">
        <v>44354.431944444441</v>
      </c>
      <c r="AT4048" s="1">
        <v>44354.445763888885</v>
      </c>
      <c r="AU4048" s="1">
        <v>44354.445763888885</v>
      </c>
      <c r="AV4048" t="s">
        <v>71</v>
      </c>
      <c r="AW4048" t="s">
        <v>72</v>
      </c>
      <c r="AX4048" t="s">
        <v>73</v>
      </c>
    </row>
    <row r="4049" spans="1:50" x14ac:dyDescent="0.3">
      <c r="A4049" t="str">
        <f>"201877B0000"</f>
        <v>201877B0000</v>
      </c>
      <c r="B4049" t="str">
        <f>"201877B00002"</f>
        <v>201877B00002</v>
      </c>
      <c r="C4049" t="str">
        <f t="shared" si="208"/>
        <v>20</v>
      </c>
      <c r="D4049" t="s">
        <v>67</v>
      </c>
      <c r="E4049" t="str">
        <f t="shared" si="209"/>
        <v>018</v>
      </c>
      <c r="F4049" t="s">
        <v>4075</v>
      </c>
      <c r="G4049" t="str">
        <f>"1877"</f>
        <v>1877</v>
      </c>
      <c r="H4049" t="str">
        <f>"0000"</f>
        <v>0000</v>
      </c>
      <c r="I4049" t="s">
        <v>69</v>
      </c>
      <c r="J4049">
        <v>0</v>
      </c>
      <c r="K4049">
        <v>1</v>
      </c>
      <c r="L4049">
        <v>2</v>
      </c>
      <c r="AM4049">
        <v>574</v>
      </c>
      <c r="AN4049">
        <v>44</v>
      </c>
      <c r="AO4049" t="s">
        <v>352</v>
      </c>
      <c r="AP4049">
        <v>0</v>
      </c>
      <c r="AR4049" t="s">
        <v>4148</v>
      </c>
      <c r="AS4049" s="1">
        <v>44354.431944444441</v>
      </c>
      <c r="AT4049" s="1">
        <v>44354.446620370371</v>
      </c>
      <c r="AU4049" s="1">
        <v>44354.446620370371</v>
      </c>
      <c r="AV4049" t="s">
        <v>71</v>
      </c>
      <c r="AW4049" t="s">
        <v>72</v>
      </c>
      <c r="AX4049" t="s">
        <v>73</v>
      </c>
    </row>
    <row r="4050" spans="1:50" x14ac:dyDescent="0.3">
      <c r="A4050" t="str">
        <f>"201877C0100"</f>
        <v>201877C0100</v>
      </c>
      <c r="B4050" t="str">
        <f>"201877C01002"</f>
        <v>201877C01002</v>
      </c>
      <c r="C4050" t="str">
        <f t="shared" si="208"/>
        <v>20</v>
      </c>
      <c r="D4050" t="s">
        <v>67</v>
      </c>
      <c r="E4050" t="str">
        <f t="shared" si="209"/>
        <v>018</v>
      </c>
      <c r="F4050" t="s">
        <v>4075</v>
      </c>
      <c r="G4050" t="str">
        <f>"1877"</f>
        <v>1877</v>
      </c>
      <c r="H4050" t="str">
        <f>"0001"</f>
        <v>0001</v>
      </c>
      <c r="I4050" t="s">
        <v>75</v>
      </c>
      <c r="J4050">
        <v>0</v>
      </c>
      <c r="K4050">
        <v>1</v>
      </c>
      <c r="L4050">
        <v>2</v>
      </c>
      <c r="AM4050">
        <v>574</v>
      </c>
      <c r="AN4050">
        <v>44</v>
      </c>
      <c r="AO4050" t="s">
        <v>352</v>
      </c>
      <c r="AP4050">
        <v>0</v>
      </c>
      <c r="AR4050" t="s">
        <v>4149</v>
      </c>
      <c r="AS4050" s="1">
        <v>44354.432638888888</v>
      </c>
      <c r="AT4050" s="1">
        <v>44354.446759259263</v>
      </c>
      <c r="AU4050" s="1">
        <v>44354.446759259263</v>
      </c>
      <c r="AV4050" t="s">
        <v>71</v>
      </c>
      <c r="AW4050" t="s">
        <v>72</v>
      </c>
      <c r="AX4050" t="s">
        <v>73</v>
      </c>
    </row>
    <row r="4051" spans="1:50" x14ac:dyDescent="0.3">
      <c r="A4051" t="str">
        <f>"201928B0000"</f>
        <v>201928B0000</v>
      </c>
      <c r="B4051" t="str">
        <f>"201928B00002"</f>
        <v>201928B00002</v>
      </c>
      <c r="C4051" t="str">
        <f t="shared" si="208"/>
        <v>20</v>
      </c>
      <c r="D4051" t="s">
        <v>67</v>
      </c>
      <c r="E4051" t="str">
        <f t="shared" si="209"/>
        <v>018</v>
      </c>
      <c r="F4051" t="s">
        <v>4075</v>
      </c>
      <c r="G4051" t="str">
        <f>"1928"</f>
        <v>1928</v>
      </c>
      <c r="H4051" t="str">
        <f>"0000"</f>
        <v>0000</v>
      </c>
      <c r="I4051" t="s">
        <v>69</v>
      </c>
      <c r="J4051">
        <v>0</v>
      </c>
      <c r="K4051">
        <v>1</v>
      </c>
      <c r="L4051">
        <v>2</v>
      </c>
      <c r="M4051">
        <v>313</v>
      </c>
      <c r="N4051">
        <v>410</v>
      </c>
      <c r="O4051">
        <v>1</v>
      </c>
      <c r="P4051">
        <v>410</v>
      </c>
      <c r="Q4051">
        <v>2</v>
      </c>
      <c r="R4051">
        <v>8</v>
      </c>
      <c r="S4051">
        <v>5</v>
      </c>
      <c r="T4051">
        <v>2</v>
      </c>
      <c r="U4051">
        <v>15</v>
      </c>
      <c r="V4051">
        <v>6</v>
      </c>
      <c r="W4051">
        <v>8</v>
      </c>
      <c r="X4051">
        <v>337</v>
      </c>
      <c r="Y4051">
        <v>2</v>
      </c>
      <c r="Z4051">
        <v>6</v>
      </c>
      <c r="AA4051">
        <v>6</v>
      </c>
      <c r="AB4051">
        <v>3</v>
      </c>
      <c r="AD4051">
        <v>0</v>
      </c>
      <c r="AE4051">
        <v>0</v>
      </c>
      <c r="AF4051">
        <v>0</v>
      </c>
      <c r="AG4051">
        <v>0</v>
      </c>
      <c r="AI4051">
        <v>0</v>
      </c>
      <c r="AJ4051">
        <v>10</v>
      </c>
      <c r="AK4051">
        <v>410</v>
      </c>
      <c r="AL4051">
        <v>410</v>
      </c>
      <c r="AM4051">
        <v>679</v>
      </c>
      <c r="AN4051">
        <v>44</v>
      </c>
      <c r="AP4051">
        <v>1</v>
      </c>
      <c r="AR4051" t="s">
        <v>4150</v>
      </c>
      <c r="AS4051" s="1">
        <v>44354.14166666667</v>
      </c>
      <c r="AT4051" s="1">
        <v>44354.143125000002</v>
      </c>
      <c r="AU4051" s="1">
        <v>44354.143518518518</v>
      </c>
      <c r="AV4051" t="s">
        <v>71</v>
      </c>
      <c r="AW4051" t="s">
        <v>72</v>
      </c>
      <c r="AX4051" t="s">
        <v>73</v>
      </c>
    </row>
    <row r="4052" spans="1:50" x14ac:dyDescent="0.3">
      <c r="A4052" t="str">
        <f>"201965B0000"</f>
        <v>201965B0000</v>
      </c>
      <c r="B4052" t="str">
        <f>"201965B00002"</f>
        <v>201965B00002</v>
      </c>
      <c r="C4052" t="str">
        <f t="shared" si="208"/>
        <v>20</v>
      </c>
      <c r="D4052" t="s">
        <v>67</v>
      </c>
      <c r="E4052" t="str">
        <f t="shared" si="209"/>
        <v>018</v>
      </c>
      <c r="F4052" t="s">
        <v>4075</v>
      </c>
      <c r="G4052" t="str">
        <f>"1965"</f>
        <v>1965</v>
      </c>
      <c r="H4052" t="str">
        <f>"0000"</f>
        <v>0000</v>
      </c>
      <c r="I4052" t="s">
        <v>69</v>
      </c>
      <c r="J4052">
        <v>0</v>
      </c>
      <c r="K4052">
        <v>1</v>
      </c>
      <c r="L4052">
        <v>2</v>
      </c>
      <c r="M4052">
        <v>368</v>
      </c>
      <c r="N4052">
        <v>205</v>
      </c>
      <c r="O4052">
        <v>0</v>
      </c>
      <c r="P4052" t="s">
        <v>80</v>
      </c>
      <c r="Q4052">
        <v>1</v>
      </c>
      <c r="R4052">
        <v>14</v>
      </c>
      <c r="S4052">
        <v>0</v>
      </c>
      <c r="T4052">
        <v>0</v>
      </c>
      <c r="U4052">
        <v>2</v>
      </c>
      <c r="V4052">
        <v>1</v>
      </c>
      <c r="W4052">
        <v>1</v>
      </c>
      <c r="X4052">
        <v>171</v>
      </c>
      <c r="Y4052">
        <v>1</v>
      </c>
      <c r="Z4052">
        <v>3</v>
      </c>
      <c r="AA4052">
        <v>1</v>
      </c>
      <c r="AB4052">
        <v>1</v>
      </c>
      <c r="AD4052">
        <v>0</v>
      </c>
      <c r="AE4052">
        <v>0</v>
      </c>
      <c r="AF4052">
        <v>0</v>
      </c>
      <c r="AG4052">
        <v>0</v>
      </c>
      <c r="AI4052">
        <v>0</v>
      </c>
      <c r="AJ4052">
        <v>6</v>
      </c>
      <c r="AK4052">
        <v>205</v>
      </c>
      <c r="AL4052">
        <v>202</v>
      </c>
      <c r="AM4052">
        <v>529</v>
      </c>
      <c r="AN4052">
        <v>44</v>
      </c>
      <c r="AP4052">
        <v>1</v>
      </c>
      <c r="AR4052" t="s">
        <v>4151</v>
      </c>
      <c r="AS4052" s="1">
        <v>44354.037499999999</v>
      </c>
      <c r="AT4052" s="1">
        <v>44354.045474537037</v>
      </c>
      <c r="AU4052" s="1">
        <v>44354.04619212963</v>
      </c>
      <c r="AV4052" t="s">
        <v>71</v>
      </c>
      <c r="AW4052" t="s">
        <v>72</v>
      </c>
      <c r="AX4052" t="s">
        <v>73</v>
      </c>
    </row>
    <row r="4053" spans="1:50" x14ac:dyDescent="0.3">
      <c r="A4053" t="str">
        <f>"201965C0100"</f>
        <v>201965C0100</v>
      </c>
      <c r="B4053" t="str">
        <f>"201965C01002"</f>
        <v>201965C01002</v>
      </c>
      <c r="C4053" t="str">
        <f t="shared" si="208"/>
        <v>20</v>
      </c>
      <c r="D4053" t="s">
        <v>67</v>
      </c>
      <c r="E4053" t="str">
        <f t="shared" si="209"/>
        <v>018</v>
      </c>
      <c r="F4053" t="s">
        <v>4075</v>
      </c>
      <c r="G4053" t="str">
        <f>"1965"</f>
        <v>1965</v>
      </c>
      <c r="H4053" t="str">
        <f>"0001"</f>
        <v>0001</v>
      </c>
      <c r="I4053" t="s">
        <v>75</v>
      </c>
      <c r="J4053">
        <v>0</v>
      </c>
      <c r="K4053">
        <v>1</v>
      </c>
      <c r="L4053">
        <v>2</v>
      </c>
      <c r="M4053">
        <v>353</v>
      </c>
      <c r="N4053">
        <v>219</v>
      </c>
      <c r="O4053">
        <v>0</v>
      </c>
      <c r="P4053">
        <v>219</v>
      </c>
      <c r="Q4053">
        <v>3</v>
      </c>
      <c r="R4053">
        <v>26</v>
      </c>
      <c r="S4053">
        <v>2</v>
      </c>
      <c r="T4053">
        <v>0</v>
      </c>
      <c r="U4053">
        <v>2</v>
      </c>
      <c r="V4053">
        <v>0</v>
      </c>
      <c r="W4053">
        <v>3</v>
      </c>
      <c r="X4053">
        <v>167</v>
      </c>
      <c r="Y4053">
        <v>2</v>
      </c>
      <c r="Z4053">
        <v>3</v>
      </c>
      <c r="AA4053">
        <v>1</v>
      </c>
      <c r="AB4053">
        <v>2</v>
      </c>
      <c r="AD4053">
        <v>0</v>
      </c>
      <c r="AE4053">
        <v>0</v>
      </c>
      <c r="AF4053">
        <v>0</v>
      </c>
      <c r="AG4053">
        <v>1</v>
      </c>
      <c r="AI4053">
        <v>0</v>
      </c>
      <c r="AJ4053">
        <v>7</v>
      </c>
      <c r="AK4053">
        <v>219</v>
      </c>
      <c r="AL4053">
        <v>219</v>
      </c>
      <c r="AM4053">
        <v>528</v>
      </c>
      <c r="AN4053">
        <v>44</v>
      </c>
      <c r="AP4053">
        <v>1</v>
      </c>
      <c r="AR4053" t="s">
        <v>4152</v>
      </c>
      <c r="AS4053" s="1">
        <v>44354.037499999999</v>
      </c>
      <c r="AT4053" s="1">
        <v>44354.045231481483</v>
      </c>
      <c r="AU4053" s="1">
        <v>44354.045949074076</v>
      </c>
      <c r="AV4053" t="s">
        <v>71</v>
      </c>
      <c r="AW4053" t="s">
        <v>72</v>
      </c>
      <c r="AX4053" t="s">
        <v>73</v>
      </c>
    </row>
    <row r="4054" spans="1:50" x14ac:dyDescent="0.3">
      <c r="A4054" t="str">
        <f>"201966B0000"</f>
        <v>201966B0000</v>
      </c>
      <c r="B4054" t="str">
        <f>"201966B00002"</f>
        <v>201966B00002</v>
      </c>
      <c r="C4054" t="str">
        <f t="shared" si="208"/>
        <v>20</v>
      </c>
      <c r="D4054" t="s">
        <v>67</v>
      </c>
      <c r="E4054" t="str">
        <f t="shared" si="209"/>
        <v>018</v>
      </c>
      <c r="F4054" t="s">
        <v>4075</v>
      </c>
      <c r="G4054" t="str">
        <f>"1966"</f>
        <v>1966</v>
      </c>
      <c r="H4054" t="str">
        <f>"0000"</f>
        <v>0000</v>
      </c>
      <c r="I4054" t="s">
        <v>69</v>
      </c>
      <c r="J4054">
        <v>0</v>
      </c>
      <c r="K4054">
        <v>1</v>
      </c>
      <c r="L4054">
        <v>2</v>
      </c>
      <c r="M4054" t="s">
        <v>99</v>
      </c>
      <c r="N4054">
        <v>167</v>
      </c>
      <c r="O4054">
        <v>0</v>
      </c>
      <c r="P4054">
        <v>167</v>
      </c>
      <c r="Q4054">
        <v>5</v>
      </c>
      <c r="R4054">
        <v>16</v>
      </c>
      <c r="S4054">
        <v>0</v>
      </c>
      <c r="T4054">
        <v>2</v>
      </c>
      <c r="U4054">
        <v>3</v>
      </c>
      <c r="V4054">
        <v>4</v>
      </c>
      <c r="W4054">
        <v>0</v>
      </c>
      <c r="X4054">
        <v>127</v>
      </c>
      <c r="Y4054">
        <v>0</v>
      </c>
      <c r="Z4054">
        <v>3</v>
      </c>
      <c r="AA4054">
        <v>2</v>
      </c>
      <c r="AB4054">
        <v>0</v>
      </c>
      <c r="AD4054">
        <v>0</v>
      </c>
      <c r="AE4054">
        <v>0</v>
      </c>
      <c r="AF4054">
        <v>0</v>
      </c>
      <c r="AG4054">
        <v>0</v>
      </c>
      <c r="AI4054" t="s">
        <v>77</v>
      </c>
      <c r="AJ4054">
        <v>4</v>
      </c>
      <c r="AK4054">
        <v>167</v>
      </c>
      <c r="AL4054">
        <v>166</v>
      </c>
      <c r="AM4054">
        <v>399</v>
      </c>
      <c r="AN4054">
        <v>44</v>
      </c>
      <c r="AO4054" t="s">
        <v>78</v>
      </c>
      <c r="AP4054">
        <v>1</v>
      </c>
      <c r="AR4054" t="s">
        <v>4153</v>
      </c>
      <c r="AS4054" s="1">
        <v>44353.536111111112</v>
      </c>
      <c r="AT4054" s="1">
        <v>44354.042638888888</v>
      </c>
      <c r="AU4054" s="1">
        <v>44354.043124999997</v>
      </c>
      <c r="AV4054" t="s">
        <v>71</v>
      </c>
      <c r="AW4054" t="s">
        <v>72</v>
      </c>
      <c r="AX4054" t="s">
        <v>73</v>
      </c>
    </row>
    <row r="4055" spans="1:50" x14ac:dyDescent="0.3">
      <c r="A4055" t="str">
        <f>"201966C0100"</f>
        <v>201966C0100</v>
      </c>
      <c r="B4055" t="str">
        <f>"201966C01002"</f>
        <v>201966C01002</v>
      </c>
      <c r="C4055" t="str">
        <f t="shared" si="208"/>
        <v>20</v>
      </c>
      <c r="D4055" t="s">
        <v>67</v>
      </c>
      <c r="E4055" t="str">
        <f t="shared" si="209"/>
        <v>018</v>
      </c>
      <c r="F4055" t="s">
        <v>4075</v>
      </c>
      <c r="G4055" t="str">
        <f>"1966"</f>
        <v>1966</v>
      </c>
      <c r="H4055" t="str">
        <f>"0001"</f>
        <v>0001</v>
      </c>
      <c r="I4055" t="s">
        <v>75</v>
      </c>
      <c r="J4055">
        <v>0</v>
      </c>
      <c r="K4055">
        <v>1</v>
      </c>
      <c r="L4055">
        <v>2</v>
      </c>
      <c r="M4055">
        <v>251</v>
      </c>
      <c r="N4055">
        <v>191</v>
      </c>
      <c r="O4055">
        <v>0</v>
      </c>
      <c r="P4055">
        <v>191</v>
      </c>
      <c r="Q4055">
        <v>5</v>
      </c>
      <c r="R4055">
        <v>23</v>
      </c>
      <c r="S4055">
        <v>1</v>
      </c>
      <c r="T4055" t="s">
        <v>77</v>
      </c>
      <c r="U4055">
        <v>4</v>
      </c>
      <c r="V4055" t="s">
        <v>77</v>
      </c>
      <c r="W4055">
        <v>4</v>
      </c>
      <c r="X4055">
        <v>151</v>
      </c>
      <c r="Y4055" t="s">
        <v>77</v>
      </c>
      <c r="Z4055">
        <v>1</v>
      </c>
      <c r="AA4055" t="s">
        <v>77</v>
      </c>
      <c r="AB4055">
        <v>1</v>
      </c>
      <c r="AD4055" t="s">
        <v>77</v>
      </c>
      <c r="AE4055" t="s">
        <v>77</v>
      </c>
      <c r="AF4055" t="s">
        <v>77</v>
      </c>
      <c r="AG4055" t="s">
        <v>77</v>
      </c>
      <c r="AI4055" t="s">
        <v>77</v>
      </c>
      <c r="AJ4055" t="s">
        <v>77</v>
      </c>
      <c r="AK4055" t="s">
        <v>77</v>
      </c>
      <c r="AL4055">
        <v>190</v>
      </c>
      <c r="AM4055">
        <v>398</v>
      </c>
      <c r="AN4055">
        <v>44</v>
      </c>
      <c r="AO4055" t="s">
        <v>78</v>
      </c>
      <c r="AP4055">
        <v>1</v>
      </c>
      <c r="AR4055" t="s">
        <v>4154</v>
      </c>
      <c r="AS4055" s="1">
        <v>44354.034722222219</v>
      </c>
      <c r="AT4055" s="1">
        <v>44354.04184027778</v>
      </c>
      <c r="AU4055" s="1">
        <v>44354.042523148149</v>
      </c>
      <c r="AV4055" t="s">
        <v>71</v>
      </c>
      <c r="AW4055" t="s">
        <v>72</v>
      </c>
      <c r="AX4055" t="s">
        <v>73</v>
      </c>
    </row>
    <row r="4056" spans="1:50" x14ac:dyDescent="0.3">
      <c r="A4056" t="str">
        <f>"201967B0000"</f>
        <v>201967B0000</v>
      </c>
      <c r="B4056" t="str">
        <f>"201967B00002"</f>
        <v>201967B00002</v>
      </c>
      <c r="C4056" t="str">
        <f t="shared" si="208"/>
        <v>20</v>
      </c>
      <c r="D4056" t="s">
        <v>67</v>
      </c>
      <c r="E4056" t="str">
        <f t="shared" si="209"/>
        <v>018</v>
      </c>
      <c r="F4056" t="s">
        <v>4075</v>
      </c>
      <c r="G4056" t="str">
        <f>"1967"</f>
        <v>1967</v>
      </c>
      <c r="H4056" t="str">
        <f>"0000"</f>
        <v>0000</v>
      </c>
      <c r="I4056" t="s">
        <v>69</v>
      </c>
      <c r="J4056">
        <v>0</v>
      </c>
      <c r="K4056">
        <v>1</v>
      </c>
      <c r="L4056">
        <v>2</v>
      </c>
      <c r="M4056">
        <v>130</v>
      </c>
      <c r="N4056">
        <v>146</v>
      </c>
      <c r="O4056">
        <v>0</v>
      </c>
      <c r="P4056">
        <v>146</v>
      </c>
      <c r="Q4056">
        <v>0</v>
      </c>
      <c r="R4056">
        <v>25</v>
      </c>
      <c r="S4056">
        <v>1</v>
      </c>
      <c r="T4056">
        <v>0</v>
      </c>
      <c r="U4056">
        <v>0</v>
      </c>
      <c r="V4056">
        <v>1</v>
      </c>
      <c r="W4056">
        <v>0</v>
      </c>
      <c r="X4056">
        <v>110</v>
      </c>
      <c r="Y4056">
        <v>0</v>
      </c>
      <c r="Z4056">
        <v>2</v>
      </c>
      <c r="AA4056">
        <v>4</v>
      </c>
      <c r="AB4056">
        <v>1</v>
      </c>
      <c r="AD4056">
        <v>0</v>
      </c>
      <c r="AE4056">
        <v>0</v>
      </c>
      <c r="AF4056">
        <v>0</v>
      </c>
      <c r="AG4056">
        <v>0</v>
      </c>
      <c r="AI4056">
        <v>0</v>
      </c>
      <c r="AJ4056">
        <v>2</v>
      </c>
      <c r="AK4056">
        <v>146</v>
      </c>
      <c r="AL4056">
        <v>146</v>
      </c>
      <c r="AM4056">
        <v>232</v>
      </c>
      <c r="AN4056">
        <v>44</v>
      </c>
      <c r="AP4056">
        <v>1</v>
      </c>
      <c r="AR4056" t="s">
        <v>4155</v>
      </c>
      <c r="AS4056" s="1">
        <v>44354.036111111112</v>
      </c>
      <c r="AT4056" s="1">
        <v>44354.046863425923</v>
      </c>
      <c r="AU4056" s="1">
        <v>44354.048009259262</v>
      </c>
      <c r="AV4056" t="s">
        <v>71</v>
      </c>
      <c r="AW4056" t="s">
        <v>72</v>
      </c>
      <c r="AX4056" t="s">
        <v>73</v>
      </c>
    </row>
    <row r="4057" spans="1:50" x14ac:dyDescent="0.3">
      <c r="A4057" t="str">
        <f>"201968B0000"</f>
        <v>201968B0000</v>
      </c>
      <c r="B4057" t="str">
        <f>"201968B00002"</f>
        <v>201968B00002</v>
      </c>
      <c r="C4057" t="str">
        <f t="shared" si="208"/>
        <v>20</v>
      </c>
      <c r="D4057" t="s">
        <v>67</v>
      </c>
      <c r="E4057" t="str">
        <f t="shared" si="209"/>
        <v>018</v>
      </c>
      <c r="F4057" t="s">
        <v>4075</v>
      </c>
      <c r="G4057" t="str">
        <f>"1968"</f>
        <v>1968</v>
      </c>
      <c r="H4057" t="str">
        <f>"0000"</f>
        <v>0000</v>
      </c>
      <c r="I4057" t="s">
        <v>69</v>
      </c>
      <c r="J4057">
        <v>0</v>
      </c>
      <c r="K4057">
        <v>1</v>
      </c>
      <c r="L4057">
        <v>2</v>
      </c>
      <c r="M4057">
        <v>357</v>
      </c>
      <c r="N4057">
        <v>134</v>
      </c>
      <c r="O4057">
        <v>0</v>
      </c>
      <c r="P4057">
        <v>134</v>
      </c>
      <c r="Q4057">
        <v>2</v>
      </c>
      <c r="R4057">
        <v>14</v>
      </c>
      <c r="S4057">
        <v>1</v>
      </c>
      <c r="T4057">
        <v>1</v>
      </c>
      <c r="U4057">
        <v>5</v>
      </c>
      <c r="V4057">
        <v>4</v>
      </c>
      <c r="W4057">
        <v>1</v>
      </c>
      <c r="X4057">
        <v>90</v>
      </c>
      <c r="Y4057">
        <v>0</v>
      </c>
      <c r="Z4057">
        <v>7</v>
      </c>
      <c r="AA4057">
        <v>2</v>
      </c>
      <c r="AB4057">
        <v>1</v>
      </c>
      <c r="AD4057">
        <v>0</v>
      </c>
      <c r="AE4057">
        <v>0</v>
      </c>
      <c r="AF4057">
        <v>0</v>
      </c>
      <c r="AG4057">
        <v>0</v>
      </c>
      <c r="AI4057">
        <v>0</v>
      </c>
      <c r="AJ4057">
        <v>3</v>
      </c>
      <c r="AK4057">
        <v>134</v>
      </c>
      <c r="AL4057">
        <v>131</v>
      </c>
      <c r="AM4057">
        <v>447</v>
      </c>
      <c r="AN4057">
        <v>44</v>
      </c>
      <c r="AP4057">
        <v>1</v>
      </c>
      <c r="AR4057" t="s">
        <v>4156</v>
      </c>
      <c r="AS4057" s="1">
        <v>44354.22152777778</v>
      </c>
      <c r="AT4057" s="1">
        <v>44354.223055555558</v>
      </c>
      <c r="AU4057" s="1">
        <v>44354.22351851852</v>
      </c>
      <c r="AV4057" t="s">
        <v>71</v>
      </c>
      <c r="AW4057" t="s">
        <v>72</v>
      </c>
      <c r="AX4057" t="s">
        <v>73</v>
      </c>
    </row>
    <row r="4058" spans="1:50" x14ac:dyDescent="0.3">
      <c r="A4058" t="str">
        <f>"201968C0100"</f>
        <v>201968C0100</v>
      </c>
      <c r="B4058" t="str">
        <f>"201968C01002"</f>
        <v>201968C01002</v>
      </c>
      <c r="C4058" t="str">
        <f t="shared" si="208"/>
        <v>20</v>
      </c>
      <c r="D4058" t="s">
        <v>67</v>
      </c>
      <c r="E4058" t="str">
        <f t="shared" si="209"/>
        <v>018</v>
      </c>
      <c r="F4058" t="s">
        <v>4075</v>
      </c>
      <c r="G4058" t="str">
        <f>"1968"</f>
        <v>1968</v>
      </c>
      <c r="H4058" t="str">
        <f>"0001"</f>
        <v>0001</v>
      </c>
      <c r="I4058" t="s">
        <v>75</v>
      </c>
      <c r="J4058">
        <v>0</v>
      </c>
      <c r="K4058">
        <v>1</v>
      </c>
      <c r="L4058">
        <v>2</v>
      </c>
      <c r="M4058">
        <v>387</v>
      </c>
      <c r="N4058">
        <v>103</v>
      </c>
      <c r="O4058">
        <v>1</v>
      </c>
      <c r="P4058">
        <v>103</v>
      </c>
      <c r="Q4058">
        <v>0</v>
      </c>
      <c r="R4058">
        <v>12</v>
      </c>
      <c r="S4058">
        <v>1</v>
      </c>
      <c r="T4058">
        <v>1</v>
      </c>
      <c r="U4058">
        <v>8</v>
      </c>
      <c r="V4058">
        <v>7</v>
      </c>
      <c r="W4058">
        <v>2</v>
      </c>
      <c r="X4058">
        <v>66</v>
      </c>
      <c r="Y4058">
        <v>1</v>
      </c>
      <c r="Z4058">
        <v>1</v>
      </c>
      <c r="AA4058">
        <v>1</v>
      </c>
      <c r="AB4058">
        <v>0</v>
      </c>
      <c r="AD4058">
        <v>0</v>
      </c>
      <c r="AE4058">
        <v>0</v>
      </c>
      <c r="AF4058">
        <v>0</v>
      </c>
      <c r="AG4058">
        <v>0</v>
      </c>
      <c r="AI4058">
        <v>0</v>
      </c>
      <c r="AJ4058">
        <v>3</v>
      </c>
      <c r="AK4058">
        <v>103</v>
      </c>
      <c r="AL4058">
        <v>103</v>
      </c>
      <c r="AM4058">
        <v>447</v>
      </c>
      <c r="AN4058">
        <v>44</v>
      </c>
      <c r="AP4058">
        <v>1</v>
      </c>
      <c r="AR4058" t="s">
        <v>4157</v>
      </c>
      <c r="AS4058" s="1">
        <v>44354.222222222219</v>
      </c>
      <c r="AT4058" s="1">
        <v>44354.223981481482</v>
      </c>
      <c r="AU4058" s="1">
        <v>44354.224409722221</v>
      </c>
      <c r="AV4058" t="s">
        <v>71</v>
      </c>
      <c r="AW4058" t="s">
        <v>72</v>
      </c>
      <c r="AX4058" t="s">
        <v>73</v>
      </c>
    </row>
    <row r="4059" spans="1:50" x14ac:dyDescent="0.3">
      <c r="A4059" t="str">
        <f>"202050B0000"</f>
        <v>202050B0000</v>
      </c>
      <c r="B4059" t="str">
        <f>"202050B00002"</f>
        <v>202050B00002</v>
      </c>
      <c r="C4059" t="str">
        <f t="shared" si="208"/>
        <v>20</v>
      </c>
      <c r="D4059" t="s">
        <v>67</v>
      </c>
      <c r="E4059" t="str">
        <f t="shared" si="209"/>
        <v>018</v>
      </c>
      <c r="F4059" t="s">
        <v>4075</v>
      </c>
      <c r="G4059" t="str">
        <f>"2050"</f>
        <v>2050</v>
      </c>
      <c r="H4059" t="str">
        <f>"0000"</f>
        <v>0000</v>
      </c>
      <c r="I4059" t="s">
        <v>69</v>
      </c>
      <c r="J4059">
        <v>0</v>
      </c>
      <c r="K4059">
        <v>1</v>
      </c>
      <c r="L4059">
        <v>2</v>
      </c>
      <c r="M4059">
        <v>352</v>
      </c>
      <c r="N4059">
        <v>265</v>
      </c>
      <c r="O4059" t="s">
        <v>80</v>
      </c>
      <c r="P4059">
        <v>265</v>
      </c>
      <c r="Q4059">
        <v>3</v>
      </c>
      <c r="R4059">
        <v>85</v>
      </c>
      <c r="S4059">
        <v>5</v>
      </c>
      <c r="T4059">
        <v>2</v>
      </c>
      <c r="U4059">
        <v>2</v>
      </c>
      <c r="V4059">
        <v>2</v>
      </c>
      <c r="W4059">
        <v>2</v>
      </c>
      <c r="X4059">
        <v>147</v>
      </c>
      <c r="Y4059">
        <v>1</v>
      </c>
      <c r="Z4059">
        <v>2</v>
      </c>
      <c r="AA4059">
        <v>11</v>
      </c>
      <c r="AB4059">
        <v>0</v>
      </c>
      <c r="AD4059">
        <v>0</v>
      </c>
      <c r="AE4059">
        <v>0</v>
      </c>
      <c r="AF4059">
        <v>0</v>
      </c>
      <c r="AG4059">
        <v>0</v>
      </c>
      <c r="AI4059">
        <v>0</v>
      </c>
      <c r="AJ4059">
        <v>3</v>
      </c>
      <c r="AK4059">
        <v>265</v>
      </c>
      <c r="AL4059">
        <v>265</v>
      </c>
      <c r="AM4059">
        <v>573</v>
      </c>
      <c r="AN4059">
        <v>44</v>
      </c>
      <c r="AP4059">
        <v>1</v>
      </c>
      <c r="AR4059" t="s">
        <v>4158</v>
      </c>
      <c r="AS4059" s="1">
        <v>44354.043749999997</v>
      </c>
      <c r="AT4059" s="1">
        <v>44354.052025462966</v>
      </c>
      <c r="AU4059" s="1">
        <v>44354.05263888889</v>
      </c>
      <c r="AV4059" t="s">
        <v>71</v>
      </c>
      <c r="AW4059" t="s">
        <v>72</v>
      </c>
      <c r="AX4059" t="s">
        <v>73</v>
      </c>
    </row>
    <row r="4060" spans="1:50" x14ac:dyDescent="0.3">
      <c r="A4060" t="str">
        <f>"202050C0100"</f>
        <v>202050C0100</v>
      </c>
      <c r="B4060" t="str">
        <f>"202050C01002"</f>
        <v>202050C01002</v>
      </c>
      <c r="C4060" t="str">
        <f t="shared" si="208"/>
        <v>20</v>
      </c>
      <c r="D4060" t="s">
        <v>67</v>
      </c>
      <c r="E4060" t="str">
        <f t="shared" si="209"/>
        <v>018</v>
      </c>
      <c r="F4060" t="s">
        <v>4075</v>
      </c>
      <c r="G4060" t="str">
        <f>"2050"</f>
        <v>2050</v>
      </c>
      <c r="H4060" t="str">
        <f>"0001"</f>
        <v>0001</v>
      </c>
      <c r="I4060" t="s">
        <v>75</v>
      </c>
      <c r="J4060">
        <v>0</v>
      </c>
      <c r="K4060">
        <v>1</v>
      </c>
      <c r="L4060">
        <v>2</v>
      </c>
      <c r="M4060">
        <v>379</v>
      </c>
      <c r="N4060">
        <v>237</v>
      </c>
      <c r="O4060">
        <v>4</v>
      </c>
      <c r="P4060">
        <v>237</v>
      </c>
      <c r="Q4060">
        <v>3</v>
      </c>
      <c r="R4060">
        <v>98</v>
      </c>
      <c r="S4060">
        <v>2</v>
      </c>
      <c r="T4060">
        <v>0</v>
      </c>
      <c r="U4060">
        <v>2</v>
      </c>
      <c r="V4060">
        <v>1</v>
      </c>
      <c r="W4060">
        <v>4</v>
      </c>
      <c r="X4060">
        <v>113</v>
      </c>
      <c r="Y4060">
        <v>0</v>
      </c>
      <c r="Z4060">
        <v>3</v>
      </c>
      <c r="AA4060">
        <v>7</v>
      </c>
      <c r="AB4060">
        <v>1</v>
      </c>
      <c r="AD4060" t="s">
        <v>77</v>
      </c>
      <c r="AE4060" t="s">
        <v>77</v>
      </c>
      <c r="AF4060" t="s">
        <v>77</v>
      </c>
      <c r="AG4060" t="s">
        <v>77</v>
      </c>
      <c r="AI4060" t="s">
        <v>77</v>
      </c>
      <c r="AJ4060">
        <v>3</v>
      </c>
      <c r="AK4060">
        <v>237</v>
      </c>
      <c r="AL4060">
        <v>237</v>
      </c>
      <c r="AM4060">
        <v>572</v>
      </c>
      <c r="AN4060">
        <v>44</v>
      </c>
      <c r="AO4060" t="s">
        <v>78</v>
      </c>
      <c r="AP4060">
        <v>1</v>
      </c>
      <c r="AR4060" t="s">
        <v>4159</v>
      </c>
      <c r="AS4060" s="1">
        <v>44354.043749999997</v>
      </c>
      <c r="AT4060" s="1">
        <v>44354.050949074073</v>
      </c>
      <c r="AU4060" s="1">
        <v>44354.051550925928</v>
      </c>
      <c r="AV4060" t="s">
        <v>71</v>
      </c>
      <c r="AW4060" t="s">
        <v>72</v>
      </c>
      <c r="AX4060" t="s">
        <v>73</v>
      </c>
    </row>
    <row r="4061" spans="1:50" x14ac:dyDescent="0.3">
      <c r="A4061" t="str">
        <f>"202051B0000"</f>
        <v>202051B0000</v>
      </c>
      <c r="B4061" t="str">
        <f>"202051B00002"</f>
        <v>202051B00002</v>
      </c>
      <c r="C4061" t="str">
        <f t="shared" si="208"/>
        <v>20</v>
      </c>
      <c r="D4061" t="s">
        <v>67</v>
      </c>
      <c r="E4061" t="str">
        <f t="shared" si="209"/>
        <v>018</v>
      </c>
      <c r="F4061" t="s">
        <v>4075</v>
      </c>
      <c r="G4061" t="str">
        <f>"2051"</f>
        <v>2051</v>
      </c>
      <c r="H4061" t="str">
        <f>"0000"</f>
        <v>0000</v>
      </c>
      <c r="I4061" t="s">
        <v>69</v>
      </c>
      <c r="J4061">
        <v>0</v>
      </c>
      <c r="K4061">
        <v>1</v>
      </c>
      <c r="L4061">
        <v>2</v>
      </c>
      <c r="M4061">
        <v>233</v>
      </c>
      <c r="N4061">
        <v>189</v>
      </c>
      <c r="O4061">
        <v>0</v>
      </c>
      <c r="P4061">
        <v>189</v>
      </c>
      <c r="Q4061">
        <v>2</v>
      </c>
      <c r="R4061">
        <v>76</v>
      </c>
      <c r="S4061">
        <v>2</v>
      </c>
      <c r="T4061">
        <v>0</v>
      </c>
      <c r="U4061">
        <v>2</v>
      </c>
      <c r="V4061">
        <v>1</v>
      </c>
      <c r="W4061">
        <v>2</v>
      </c>
      <c r="X4061">
        <v>86</v>
      </c>
      <c r="Y4061">
        <v>0</v>
      </c>
      <c r="Z4061">
        <v>3</v>
      </c>
      <c r="AA4061">
        <v>5</v>
      </c>
      <c r="AB4061">
        <v>0</v>
      </c>
      <c r="AD4061">
        <v>0</v>
      </c>
      <c r="AE4061">
        <v>1</v>
      </c>
      <c r="AF4061">
        <v>0</v>
      </c>
      <c r="AG4061">
        <v>1</v>
      </c>
      <c r="AI4061">
        <v>0</v>
      </c>
      <c r="AJ4061">
        <v>8</v>
      </c>
      <c r="AK4061">
        <v>189</v>
      </c>
      <c r="AL4061">
        <v>189</v>
      </c>
      <c r="AM4061">
        <v>378</v>
      </c>
      <c r="AN4061">
        <v>44</v>
      </c>
      <c r="AP4061">
        <v>1</v>
      </c>
      <c r="AR4061" t="s">
        <v>4160</v>
      </c>
      <c r="AS4061" s="1">
        <v>44353.495138888888</v>
      </c>
      <c r="AT4061" s="1">
        <v>44354.000451388885</v>
      </c>
      <c r="AU4061" s="1">
        <v>44354.000740740739</v>
      </c>
      <c r="AV4061" t="s">
        <v>71</v>
      </c>
      <c r="AW4061" t="s">
        <v>72</v>
      </c>
      <c r="AX4061" t="s">
        <v>73</v>
      </c>
    </row>
    <row r="4062" spans="1:50" x14ac:dyDescent="0.3">
      <c r="A4062" t="str">
        <f>"202051C0100"</f>
        <v>202051C0100</v>
      </c>
      <c r="B4062" t="str">
        <f>"202051C01002"</f>
        <v>202051C01002</v>
      </c>
      <c r="C4062" t="str">
        <f t="shared" si="208"/>
        <v>20</v>
      </c>
      <c r="D4062" t="s">
        <v>67</v>
      </c>
      <c r="E4062" t="str">
        <f t="shared" si="209"/>
        <v>018</v>
      </c>
      <c r="F4062" t="s">
        <v>4075</v>
      </c>
      <c r="G4062" t="str">
        <f>"2051"</f>
        <v>2051</v>
      </c>
      <c r="H4062" t="str">
        <f>"0001"</f>
        <v>0001</v>
      </c>
      <c r="I4062" t="s">
        <v>75</v>
      </c>
      <c r="J4062">
        <v>0</v>
      </c>
      <c r="K4062">
        <v>1</v>
      </c>
      <c r="L4062">
        <v>2</v>
      </c>
      <c r="M4062">
        <v>229</v>
      </c>
      <c r="N4062">
        <v>193</v>
      </c>
      <c r="O4062">
        <v>2</v>
      </c>
      <c r="P4062">
        <v>193</v>
      </c>
      <c r="Q4062">
        <v>1</v>
      </c>
      <c r="R4062">
        <v>87</v>
      </c>
      <c r="S4062">
        <v>0</v>
      </c>
      <c r="T4062">
        <v>1</v>
      </c>
      <c r="U4062">
        <v>0</v>
      </c>
      <c r="V4062">
        <v>1</v>
      </c>
      <c r="W4062">
        <v>2</v>
      </c>
      <c r="X4062">
        <v>95</v>
      </c>
      <c r="Y4062">
        <v>0</v>
      </c>
      <c r="Z4062">
        <v>0</v>
      </c>
      <c r="AA4062">
        <v>4</v>
      </c>
      <c r="AB4062">
        <v>0</v>
      </c>
      <c r="AD4062">
        <v>0</v>
      </c>
      <c r="AE4062">
        <v>0</v>
      </c>
      <c r="AF4062">
        <v>0</v>
      </c>
      <c r="AG4062">
        <v>1</v>
      </c>
      <c r="AI4062">
        <v>0</v>
      </c>
      <c r="AJ4062">
        <v>1</v>
      </c>
      <c r="AK4062">
        <v>193</v>
      </c>
      <c r="AL4062">
        <v>193</v>
      </c>
      <c r="AM4062">
        <v>378</v>
      </c>
      <c r="AN4062">
        <v>44</v>
      </c>
      <c r="AP4062">
        <v>1</v>
      </c>
      <c r="AR4062" t="s">
        <v>4161</v>
      </c>
      <c r="AS4062" s="1">
        <v>44353.49722222222</v>
      </c>
      <c r="AT4062" s="1">
        <v>44354.001921296294</v>
      </c>
      <c r="AU4062" s="1">
        <v>44354.00236111111</v>
      </c>
      <c r="AV4062" t="s">
        <v>71</v>
      </c>
      <c r="AW4062" t="s">
        <v>72</v>
      </c>
      <c r="AX4062" t="s">
        <v>73</v>
      </c>
    </row>
    <row r="4063" spans="1:50" x14ac:dyDescent="0.3">
      <c r="A4063" t="str">
        <f>"202052B0000"</f>
        <v>202052B0000</v>
      </c>
      <c r="B4063" t="str">
        <f>"202052B00002"</f>
        <v>202052B00002</v>
      </c>
      <c r="C4063" t="str">
        <f t="shared" si="208"/>
        <v>20</v>
      </c>
      <c r="D4063" t="s">
        <v>67</v>
      </c>
      <c r="E4063" t="str">
        <f t="shared" si="209"/>
        <v>018</v>
      </c>
      <c r="F4063" t="s">
        <v>4075</v>
      </c>
      <c r="G4063" t="str">
        <f>"2052"</f>
        <v>2052</v>
      </c>
      <c r="H4063" t="str">
        <f>"0000"</f>
        <v>0000</v>
      </c>
      <c r="I4063" t="s">
        <v>69</v>
      </c>
      <c r="J4063">
        <v>0</v>
      </c>
      <c r="K4063">
        <v>1</v>
      </c>
      <c r="L4063">
        <v>2</v>
      </c>
      <c r="M4063">
        <v>334</v>
      </c>
      <c r="N4063">
        <v>219</v>
      </c>
      <c r="O4063">
        <v>0</v>
      </c>
      <c r="P4063">
        <v>219</v>
      </c>
      <c r="Q4063">
        <v>3</v>
      </c>
      <c r="R4063">
        <v>30</v>
      </c>
      <c r="S4063">
        <v>3</v>
      </c>
      <c r="T4063">
        <v>2</v>
      </c>
      <c r="U4063">
        <v>1</v>
      </c>
      <c r="V4063">
        <v>7</v>
      </c>
      <c r="W4063">
        <v>1</v>
      </c>
      <c r="X4063">
        <v>155</v>
      </c>
      <c r="Y4063">
        <v>0</v>
      </c>
      <c r="Z4063">
        <v>7</v>
      </c>
      <c r="AA4063">
        <v>5</v>
      </c>
      <c r="AB4063">
        <v>0</v>
      </c>
      <c r="AD4063">
        <v>0</v>
      </c>
      <c r="AE4063">
        <v>0</v>
      </c>
      <c r="AF4063">
        <v>0</v>
      </c>
      <c r="AG4063">
        <v>0</v>
      </c>
      <c r="AI4063">
        <v>0</v>
      </c>
      <c r="AJ4063">
        <v>5</v>
      </c>
      <c r="AK4063">
        <v>219</v>
      </c>
      <c r="AL4063">
        <v>219</v>
      </c>
      <c r="AM4063">
        <v>509</v>
      </c>
      <c r="AN4063">
        <v>44</v>
      </c>
      <c r="AP4063">
        <v>1</v>
      </c>
      <c r="AR4063" t="s">
        <v>4162</v>
      </c>
      <c r="AS4063" s="1">
        <v>44354.290277777778</v>
      </c>
      <c r="AT4063" s="1">
        <v>44354.292210648149</v>
      </c>
      <c r="AU4063" s="1">
        <v>44354.29478009259</v>
      </c>
      <c r="AV4063" t="s">
        <v>71</v>
      </c>
      <c r="AW4063" t="s">
        <v>72</v>
      </c>
      <c r="AX4063" t="s">
        <v>73</v>
      </c>
    </row>
    <row r="4064" spans="1:50" x14ac:dyDescent="0.3">
      <c r="A4064" t="str">
        <f>"202052E0100"</f>
        <v>202052E0100</v>
      </c>
      <c r="B4064" t="str">
        <f>"202052E01002"</f>
        <v>202052E01002</v>
      </c>
      <c r="C4064" t="str">
        <f t="shared" si="208"/>
        <v>20</v>
      </c>
      <c r="D4064" t="s">
        <v>67</v>
      </c>
      <c r="E4064" t="str">
        <f t="shared" si="209"/>
        <v>018</v>
      </c>
      <c r="F4064" t="s">
        <v>4075</v>
      </c>
      <c r="G4064" t="str">
        <f>"2052"</f>
        <v>2052</v>
      </c>
      <c r="H4064" t="str">
        <f>"0001"</f>
        <v>0001</v>
      </c>
      <c r="I4064" t="s">
        <v>109</v>
      </c>
      <c r="J4064">
        <v>0</v>
      </c>
      <c r="K4064">
        <v>1</v>
      </c>
      <c r="L4064">
        <v>2</v>
      </c>
      <c r="M4064">
        <v>87</v>
      </c>
      <c r="N4064">
        <v>151</v>
      </c>
      <c r="O4064">
        <v>0</v>
      </c>
      <c r="P4064">
        <v>151</v>
      </c>
      <c r="Q4064">
        <v>2</v>
      </c>
      <c r="R4064">
        <v>71</v>
      </c>
      <c r="S4064">
        <v>3</v>
      </c>
      <c r="T4064">
        <v>0</v>
      </c>
      <c r="U4064">
        <v>1</v>
      </c>
      <c r="V4064">
        <v>0</v>
      </c>
      <c r="W4064">
        <v>2</v>
      </c>
      <c r="X4064">
        <v>60</v>
      </c>
      <c r="Y4064">
        <v>0</v>
      </c>
      <c r="Z4064">
        <v>3</v>
      </c>
      <c r="AA4064">
        <v>0</v>
      </c>
      <c r="AB4064">
        <v>2</v>
      </c>
      <c r="AD4064">
        <v>0</v>
      </c>
      <c r="AE4064">
        <v>0</v>
      </c>
      <c r="AF4064">
        <v>0</v>
      </c>
      <c r="AG4064">
        <v>0</v>
      </c>
      <c r="AI4064">
        <v>0</v>
      </c>
      <c r="AJ4064">
        <v>7</v>
      </c>
      <c r="AK4064">
        <v>151</v>
      </c>
      <c r="AL4064">
        <v>151</v>
      </c>
      <c r="AM4064">
        <v>194</v>
      </c>
      <c r="AN4064">
        <v>44</v>
      </c>
      <c r="AP4064">
        <v>1</v>
      </c>
      <c r="AR4064" t="s">
        <v>4163</v>
      </c>
      <c r="AS4064" s="1">
        <v>44354.290972222225</v>
      </c>
      <c r="AT4064" s="1">
        <v>44354.292905092596</v>
      </c>
      <c r="AU4064" s="1">
        <v>44354.293414351851</v>
      </c>
      <c r="AV4064" t="s">
        <v>71</v>
      </c>
      <c r="AW4064" t="s">
        <v>72</v>
      </c>
      <c r="AX4064" t="s">
        <v>73</v>
      </c>
    </row>
    <row r="4065" spans="1:50" x14ac:dyDescent="0.3">
      <c r="A4065" t="str">
        <f>"202053B0000"</f>
        <v>202053B0000</v>
      </c>
      <c r="B4065" t="str">
        <f>"202053B00002"</f>
        <v>202053B00002</v>
      </c>
      <c r="C4065" t="str">
        <f t="shared" si="208"/>
        <v>20</v>
      </c>
      <c r="D4065" t="s">
        <v>67</v>
      </c>
      <c r="E4065" t="str">
        <f t="shared" si="209"/>
        <v>018</v>
      </c>
      <c r="F4065" t="s">
        <v>4075</v>
      </c>
      <c r="G4065" t="str">
        <f>"2053"</f>
        <v>2053</v>
      </c>
      <c r="H4065" t="str">
        <f>"0000"</f>
        <v>0000</v>
      </c>
      <c r="I4065" t="s">
        <v>69</v>
      </c>
      <c r="J4065">
        <v>0</v>
      </c>
      <c r="K4065">
        <v>1</v>
      </c>
      <c r="L4065">
        <v>2</v>
      </c>
      <c r="M4065">
        <v>237</v>
      </c>
      <c r="N4065">
        <v>228</v>
      </c>
      <c r="O4065">
        <v>0</v>
      </c>
      <c r="P4065">
        <v>228</v>
      </c>
      <c r="Q4065">
        <v>2</v>
      </c>
      <c r="R4065">
        <v>98</v>
      </c>
      <c r="S4065">
        <v>1</v>
      </c>
      <c r="T4065">
        <v>2</v>
      </c>
      <c r="U4065">
        <v>0</v>
      </c>
      <c r="V4065">
        <v>2</v>
      </c>
      <c r="W4065">
        <v>1</v>
      </c>
      <c r="X4065">
        <v>110</v>
      </c>
      <c r="Y4065">
        <v>1</v>
      </c>
      <c r="Z4065">
        <v>3</v>
      </c>
      <c r="AA4065">
        <v>2</v>
      </c>
      <c r="AB4065">
        <v>1</v>
      </c>
      <c r="AD4065">
        <v>0</v>
      </c>
      <c r="AE4065">
        <v>1</v>
      </c>
      <c r="AF4065">
        <v>0</v>
      </c>
      <c r="AG4065">
        <v>0</v>
      </c>
      <c r="AI4065">
        <v>0</v>
      </c>
      <c r="AJ4065">
        <v>4</v>
      </c>
      <c r="AK4065">
        <v>228</v>
      </c>
      <c r="AL4065">
        <v>228</v>
      </c>
      <c r="AM4065">
        <v>421</v>
      </c>
      <c r="AN4065">
        <v>44</v>
      </c>
      <c r="AP4065">
        <v>1</v>
      </c>
      <c r="AR4065" t="s">
        <v>4164</v>
      </c>
      <c r="AS4065" s="1">
        <v>44354.291666666664</v>
      </c>
      <c r="AT4065" s="1">
        <v>44354.293981481482</v>
      </c>
      <c r="AU4065" s="1">
        <v>44354.294699074075</v>
      </c>
      <c r="AV4065" t="s">
        <v>71</v>
      </c>
      <c r="AW4065" t="s">
        <v>72</v>
      </c>
      <c r="AX4065" t="s">
        <v>73</v>
      </c>
    </row>
    <row r="4066" spans="1:50" x14ac:dyDescent="0.3">
      <c r="A4066" t="str">
        <f>"202054B0000"</f>
        <v>202054B0000</v>
      </c>
      <c r="B4066" t="str">
        <f>"202054B00002"</f>
        <v>202054B00002</v>
      </c>
      <c r="C4066" t="str">
        <f t="shared" si="208"/>
        <v>20</v>
      </c>
      <c r="D4066" t="s">
        <v>67</v>
      </c>
      <c r="E4066" t="str">
        <f t="shared" si="209"/>
        <v>018</v>
      </c>
      <c r="F4066" t="s">
        <v>4075</v>
      </c>
      <c r="G4066" t="str">
        <f>"2054"</f>
        <v>2054</v>
      </c>
      <c r="H4066" t="str">
        <f>"0000"</f>
        <v>0000</v>
      </c>
      <c r="I4066" t="s">
        <v>69</v>
      </c>
      <c r="J4066">
        <v>0</v>
      </c>
      <c r="K4066">
        <v>1</v>
      </c>
      <c r="L4066">
        <v>2</v>
      </c>
      <c r="M4066">
        <v>186</v>
      </c>
      <c r="N4066">
        <v>464</v>
      </c>
      <c r="O4066">
        <v>2</v>
      </c>
      <c r="P4066">
        <v>464</v>
      </c>
      <c r="Q4066">
        <v>19</v>
      </c>
      <c r="R4066">
        <v>49</v>
      </c>
      <c r="S4066">
        <v>6</v>
      </c>
      <c r="T4066">
        <v>12</v>
      </c>
      <c r="U4066">
        <v>18</v>
      </c>
      <c r="V4066">
        <v>9</v>
      </c>
      <c r="W4066">
        <v>3</v>
      </c>
      <c r="X4066">
        <v>317</v>
      </c>
      <c r="Y4066">
        <v>0</v>
      </c>
      <c r="Z4066">
        <v>8</v>
      </c>
      <c r="AA4066">
        <v>6</v>
      </c>
      <c r="AB4066">
        <v>6</v>
      </c>
      <c r="AD4066">
        <v>1</v>
      </c>
      <c r="AE4066">
        <v>0</v>
      </c>
      <c r="AF4066">
        <v>0</v>
      </c>
      <c r="AG4066">
        <v>0</v>
      </c>
      <c r="AI4066">
        <v>0</v>
      </c>
      <c r="AJ4066">
        <v>10</v>
      </c>
      <c r="AK4066">
        <v>464</v>
      </c>
      <c r="AL4066">
        <v>464</v>
      </c>
      <c r="AM4066">
        <v>606</v>
      </c>
      <c r="AN4066">
        <v>44</v>
      </c>
      <c r="AP4066">
        <v>1</v>
      </c>
      <c r="AR4066" t="s">
        <v>4165</v>
      </c>
      <c r="AS4066" s="1">
        <v>44354.531944444447</v>
      </c>
      <c r="AT4066" s="1">
        <v>44354.533622685187</v>
      </c>
      <c r="AU4066" s="1">
        <v>44354.534108796295</v>
      </c>
      <c r="AV4066" t="s">
        <v>71</v>
      </c>
      <c r="AW4066" t="s">
        <v>72</v>
      </c>
      <c r="AX4066" t="s">
        <v>73</v>
      </c>
    </row>
    <row r="4067" spans="1:50" x14ac:dyDescent="0.3">
      <c r="A4067" t="str">
        <f>"202055B0000"</f>
        <v>202055B0000</v>
      </c>
      <c r="B4067" t="str">
        <f>"202055B00002"</f>
        <v>202055B00002</v>
      </c>
      <c r="C4067" t="str">
        <f t="shared" si="208"/>
        <v>20</v>
      </c>
      <c r="D4067" t="s">
        <v>67</v>
      </c>
      <c r="E4067" t="str">
        <f t="shared" si="209"/>
        <v>018</v>
      </c>
      <c r="F4067" t="s">
        <v>4075</v>
      </c>
      <c r="G4067" t="str">
        <f>"2055"</f>
        <v>2055</v>
      </c>
      <c r="H4067" t="str">
        <f>"0000"</f>
        <v>0000</v>
      </c>
      <c r="I4067" t="s">
        <v>69</v>
      </c>
      <c r="J4067">
        <v>0</v>
      </c>
      <c r="K4067">
        <v>1</v>
      </c>
      <c r="L4067">
        <v>2</v>
      </c>
      <c r="M4067">
        <v>358</v>
      </c>
      <c r="N4067">
        <v>250</v>
      </c>
      <c r="O4067">
        <v>3</v>
      </c>
      <c r="P4067">
        <v>2</v>
      </c>
      <c r="Q4067">
        <v>2</v>
      </c>
      <c r="R4067">
        <v>94</v>
      </c>
      <c r="S4067">
        <v>4</v>
      </c>
      <c r="T4067">
        <v>1</v>
      </c>
      <c r="U4067">
        <v>2</v>
      </c>
      <c r="V4067">
        <v>0</v>
      </c>
      <c r="W4067">
        <v>4</v>
      </c>
      <c r="X4067">
        <v>115</v>
      </c>
      <c r="Y4067">
        <v>0</v>
      </c>
      <c r="Z4067">
        <v>8</v>
      </c>
      <c r="AA4067">
        <v>6</v>
      </c>
      <c r="AB4067">
        <v>0</v>
      </c>
      <c r="AD4067">
        <v>0</v>
      </c>
      <c r="AE4067">
        <v>3</v>
      </c>
      <c r="AF4067">
        <v>0</v>
      </c>
      <c r="AG4067">
        <v>0</v>
      </c>
      <c r="AI4067">
        <v>0</v>
      </c>
      <c r="AJ4067">
        <v>12</v>
      </c>
      <c r="AK4067">
        <v>251</v>
      </c>
      <c r="AL4067">
        <v>251</v>
      </c>
      <c r="AM4067">
        <v>565</v>
      </c>
      <c r="AN4067">
        <v>44</v>
      </c>
      <c r="AP4067">
        <v>1</v>
      </c>
      <c r="AR4067" t="s">
        <v>4166</v>
      </c>
      <c r="AS4067" s="1">
        <v>44354.043055555558</v>
      </c>
      <c r="AT4067" s="1">
        <v>44354.051134259258</v>
      </c>
      <c r="AU4067" s="1">
        <v>44354.052071759259</v>
      </c>
      <c r="AV4067" t="s">
        <v>71</v>
      </c>
      <c r="AW4067" t="s">
        <v>72</v>
      </c>
      <c r="AX4067" t="s">
        <v>73</v>
      </c>
    </row>
    <row r="4068" spans="1:50" x14ac:dyDescent="0.3">
      <c r="A4068" t="str">
        <f>"202057B0000"</f>
        <v>202057B0000</v>
      </c>
      <c r="B4068" t="str">
        <f>"202057B00002"</f>
        <v>202057B00002</v>
      </c>
      <c r="C4068" t="str">
        <f t="shared" si="208"/>
        <v>20</v>
      </c>
      <c r="D4068" t="s">
        <v>67</v>
      </c>
      <c r="E4068" t="str">
        <f t="shared" si="209"/>
        <v>018</v>
      </c>
      <c r="F4068" t="s">
        <v>4075</v>
      </c>
      <c r="G4068" t="str">
        <f>"2057"</f>
        <v>2057</v>
      </c>
      <c r="H4068" t="str">
        <f>"0000"</f>
        <v>0000</v>
      </c>
      <c r="I4068" t="s">
        <v>69</v>
      </c>
      <c r="J4068">
        <v>0</v>
      </c>
      <c r="K4068">
        <v>1</v>
      </c>
      <c r="L4068">
        <v>2</v>
      </c>
      <c r="AM4068">
        <v>445</v>
      </c>
      <c r="AN4068">
        <v>44</v>
      </c>
      <c r="AO4068" t="s">
        <v>352</v>
      </c>
      <c r="AP4068">
        <v>0</v>
      </c>
      <c r="AR4068" t="s">
        <v>4167</v>
      </c>
      <c r="AS4068" s="1">
        <v>44354.519444444442</v>
      </c>
      <c r="AT4068" s="1">
        <v>44354.533055555556</v>
      </c>
      <c r="AU4068" s="1">
        <v>44354.533055555556</v>
      </c>
      <c r="AV4068" t="s">
        <v>71</v>
      </c>
      <c r="AW4068" t="s">
        <v>72</v>
      </c>
      <c r="AX4068" t="s">
        <v>73</v>
      </c>
    </row>
    <row r="4069" spans="1:50" x14ac:dyDescent="0.3">
      <c r="A4069" t="str">
        <f>"202057C0100"</f>
        <v>202057C0100</v>
      </c>
      <c r="B4069" t="str">
        <f>"202057C01002"</f>
        <v>202057C01002</v>
      </c>
      <c r="C4069" t="str">
        <f t="shared" si="208"/>
        <v>20</v>
      </c>
      <c r="D4069" t="s">
        <v>67</v>
      </c>
      <c r="E4069" t="str">
        <f t="shared" si="209"/>
        <v>018</v>
      </c>
      <c r="F4069" t="s">
        <v>4075</v>
      </c>
      <c r="G4069" t="str">
        <f>"2057"</f>
        <v>2057</v>
      </c>
      <c r="H4069" t="str">
        <f>"0001"</f>
        <v>0001</v>
      </c>
      <c r="I4069" t="s">
        <v>75</v>
      </c>
      <c r="J4069">
        <v>0</v>
      </c>
      <c r="K4069">
        <v>1</v>
      </c>
      <c r="L4069">
        <v>2</v>
      </c>
      <c r="AM4069">
        <v>444</v>
      </c>
      <c r="AN4069">
        <v>44</v>
      </c>
      <c r="AO4069" t="s">
        <v>352</v>
      </c>
      <c r="AP4069">
        <v>0</v>
      </c>
      <c r="AR4069" t="s">
        <v>4168</v>
      </c>
      <c r="AS4069" s="1">
        <v>44354.520138888889</v>
      </c>
      <c r="AT4069" s="1">
        <v>44354.533229166664</v>
      </c>
      <c r="AU4069" s="1">
        <v>44354.533229166664</v>
      </c>
      <c r="AV4069" t="s">
        <v>71</v>
      </c>
      <c r="AW4069" t="s">
        <v>72</v>
      </c>
      <c r="AX4069" t="s">
        <v>73</v>
      </c>
    </row>
    <row r="4070" spans="1:50" x14ac:dyDescent="0.3">
      <c r="A4070" t="str">
        <f>"202058B0000"</f>
        <v>202058B0000</v>
      </c>
      <c r="B4070" t="str">
        <f>"202058B00002"</f>
        <v>202058B00002</v>
      </c>
      <c r="C4070" t="str">
        <f t="shared" si="208"/>
        <v>20</v>
      </c>
      <c r="D4070" t="s">
        <v>67</v>
      </c>
      <c r="E4070" t="str">
        <f t="shared" si="209"/>
        <v>018</v>
      </c>
      <c r="F4070" t="s">
        <v>4075</v>
      </c>
      <c r="G4070" t="str">
        <f>"2058"</f>
        <v>2058</v>
      </c>
      <c r="H4070" t="str">
        <f>"0000"</f>
        <v>0000</v>
      </c>
      <c r="I4070" t="s">
        <v>69</v>
      </c>
      <c r="J4070">
        <v>0</v>
      </c>
      <c r="K4070">
        <v>1</v>
      </c>
      <c r="L4070">
        <v>2</v>
      </c>
      <c r="AM4070">
        <v>563</v>
      </c>
      <c r="AN4070">
        <v>44</v>
      </c>
      <c r="AO4070" t="s">
        <v>352</v>
      </c>
      <c r="AP4070">
        <v>0</v>
      </c>
      <c r="AR4070" t="s">
        <v>4169</v>
      </c>
      <c r="AS4070" s="1">
        <v>44354.520833333336</v>
      </c>
      <c r="AT4070" s="1">
        <v>44354.536770833336</v>
      </c>
      <c r="AU4070" s="1">
        <v>44354.536770833336</v>
      </c>
      <c r="AV4070" t="s">
        <v>71</v>
      </c>
      <c r="AW4070" t="s">
        <v>72</v>
      </c>
      <c r="AX4070" t="s">
        <v>73</v>
      </c>
    </row>
    <row r="4071" spans="1:50" x14ac:dyDescent="0.3">
      <c r="A4071" t="str">
        <f>"202058C0100"</f>
        <v>202058C0100</v>
      </c>
      <c r="B4071" t="str">
        <f>"202058C01002"</f>
        <v>202058C01002</v>
      </c>
      <c r="C4071" t="str">
        <f t="shared" si="208"/>
        <v>20</v>
      </c>
      <c r="D4071" t="s">
        <v>67</v>
      </c>
      <c r="E4071" t="str">
        <f t="shared" si="209"/>
        <v>018</v>
      </c>
      <c r="F4071" t="s">
        <v>4075</v>
      </c>
      <c r="G4071" t="str">
        <f>"2058"</f>
        <v>2058</v>
      </c>
      <c r="H4071" t="str">
        <f>"0001"</f>
        <v>0001</v>
      </c>
      <c r="I4071" t="s">
        <v>75</v>
      </c>
      <c r="J4071">
        <v>0</v>
      </c>
      <c r="K4071">
        <v>1</v>
      </c>
      <c r="L4071">
        <v>2</v>
      </c>
      <c r="AM4071">
        <v>563</v>
      </c>
      <c r="AN4071">
        <v>44</v>
      </c>
      <c r="AO4071" t="s">
        <v>352</v>
      </c>
      <c r="AP4071">
        <v>0</v>
      </c>
      <c r="AR4071" t="s">
        <v>4170</v>
      </c>
      <c r="AS4071" s="1">
        <v>44354.520833333336</v>
      </c>
      <c r="AT4071" s="1">
        <v>44354.53701388889</v>
      </c>
      <c r="AU4071" s="1">
        <v>44354.53701388889</v>
      </c>
      <c r="AV4071" t="s">
        <v>71</v>
      </c>
      <c r="AW4071" t="s">
        <v>72</v>
      </c>
      <c r="AX4071" t="s">
        <v>73</v>
      </c>
    </row>
    <row r="4072" spans="1:50" x14ac:dyDescent="0.3">
      <c r="A4072" t="str">
        <f>"202058C0200"</f>
        <v>202058C0200</v>
      </c>
      <c r="B4072" t="str">
        <f>"202058C02002"</f>
        <v>202058C02002</v>
      </c>
      <c r="C4072" t="str">
        <f t="shared" si="208"/>
        <v>20</v>
      </c>
      <c r="D4072" t="s">
        <v>67</v>
      </c>
      <c r="E4072" t="str">
        <f t="shared" si="209"/>
        <v>018</v>
      </c>
      <c r="F4072" t="s">
        <v>4075</v>
      </c>
      <c r="G4072" t="str">
        <f>"2058"</f>
        <v>2058</v>
      </c>
      <c r="H4072" t="str">
        <f>"0002"</f>
        <v>0002</v>
      </c>
      <c r="I4072" t="s">
        <v>75</v>
      </c>
      <c r="J4072">
        <v>0</v>
      </c>
      <c r="K4072">
        <v>1</v>
      </c>
      <c r="L4072">
        <v>2</v>
      </c>
      <c r="AM4072">
        <v>562</v>
      </c>
      <c r="AN4072">
        <v>44</v>
      </c>
      <c r="AO4072" t="s">
        <v>352</v>
      </c>
      <c r="AP4072">
        <v>0</v>
      </c>
      <c r="AR4072" t="s">
        <v>4171</v>
      </c>
      <c r="AS4072" s="1">
        <v>44354.520833333336</v>
      </c>
      <c r="AT4072" s="1">
        <v>44354.537175925929</v>
      </c>
      <c r="AU4072" s="1">
        <v>44354.537175925929</v>
      </c>
      <c r="AV4072" t="s">
        <v>71</v>
      </c>
      <c r="AW4072" t="s">
        <v>72</v>
      </c>
      <c r="AX4072" t="s">
        <v>73</v>
      </c>
    </row>
    <row r="4073" spans="1:50" x14ac:dyDescent="0.3">
      <c r="A4073" t="str">
        <f>"202059B0000"</f>
        <v>202059B0000</v>
      </c>
      <c r="B4073" t="str">
        <f>"202059B00002"</f>
        <v>202059B00002</v>
      </c>
      <c r="C4073" t="str">
        <f t="shared" si="208"/>
        <v>20</v>
      </c>
      <c r="D4073" t="s">
        <v>67</v>
      </c>
      <c r="E4073" t="str">
        <f t="shared" si="209"/>
        <v>018</v>
      </c>
      <c r="F4073" t="s">
        <v>4075</v>
      </c>
      <c r="G4073" t="str">
        <f>"2059"</f>
        <v>2059</v>
      </c>
      <c r="H4073" t="str">
        <f>"0000"</f>
        <v>0000</v>
      </c>
      <c r="I4073" t="s">
        <v>69</v>
      </c>
      <c r="J4073">
        <v>0</v>
      </c>
      <c r="K4073">
        <v>1</v>
      </c>
      <c r="L4073">
        <v>2</v>
      </c>
      <c r="M4073" t="s">
        <v>99</v>
      </c>
      <c r="N4073">
        <v>193</v>
      </c>
      <c r="O4073">
        <v>0</v>
      </c>
      <c r="P4073">
        <v>193</v>
      </c>
      <c r="Q4073">
        <v>0</v>
      </c>
      <c r="R4073">
        <v>2</v>
      </c>
      <c r="S4073">
        <v>0</v>
      </c>
      <c r="T4073">
        <v>1</v>
      </c>
      <c r="U4073">
        <v>0</v>
      </c>
      <c r="V4073">
        <v>0</v>
      </c>
      <c r="W4073">
        <v>2</v>
      </c>
      <c r="X4073">
        <v>179</v>
      </c>
      <c r="Y4073">
        <v>0</v>
      </c>
      <c r="Z4073">
        <v>2</v>
      </c>
      <c r="AA4073">
        <v>1</v>
      </c>
      <c r="AB4073">
        <v>0</v>
      </c>
      <c r="AD4073">
        <v>0</v>
      </c>
      <c r="AE4073">
        <v>0</v>
      </c>
      <c r="AF4073">
        <v>0</v>
      </c>
      <c r="AG4073">
        <v>0</v>
      </c>
      <c r="AI4073">
        <v>0</v>
      </c>
      <c r="AJ4073">
        <v>6</v>
      </c>
      <c r="AK4073">
        <v>193</v>
      </c>
      <c r="AL4073">
        <v>193</v>
      </c>
      <c r="AM4073">
        <v>304</v>
      </c>
      <c r="AN4073">
        <v>44</v>
      </c>
      <c r="AP4073">
        <v>1</v>
      </c>
      <c r="AR4073" t="s">
        <v>4172</v>
      </c>
      <c r="AS4073" s="1">
        <v>44354.213194444441</v>
      </c>
      <c r="AT4073" s="1">
        <v>44354.214629629627</v>
      </c>
      <c r="AU4073" s="1">
        <v>44354.215254629627</v>
      </c>
      <c r="AV4073" t="s">
        <v>71</v>
      </c>
      <c r="AW4073" t="s">
        <v>72</v>
      </c>
      <c r="AX4073" t="s">
        <v>73</v>
      </c>
    </row>
    <row r="4074" spans="1:50" x14ac:dyDescent="0.3">
      <c r="A4074" t="str">
        <f>"202175B0000"</f>
        <v>202175B0000</v>
      </c>
      <c r="B4074" t="str">
        <f>"202175B00002"</f>
        <v>202175B00002</v>
      </c>
      <c r="C4074" t="str">
        <f t="shared" si="208"/>
        <v>20</v>
      </c>
      <c r="D4074" t="s">
        <v>67</v>
      </c>
      <c r="E4074" t="str">
        <f t="shared" si="209"/>
        <v>018</v>
      </c>
      <c r="F4074" t="s">
        <v>4075</v>
      </c>
      <c r="G4074" t="str">
        <f>"2175"</f>
        <v>2175</v>
      </c>
      <c r="H4074" t="str">
        <f>"0000"</f>
        <v>0000</v>
      </c>
      <c r="I4074" t="s">
        <v>69</v>
      </c>
      <c r="J4074">
        <v>0</v>
      </c>
      <c r="K4074">
        <v>1</v>
      </c>
      <c r="L4074">
        <v>2</v>
      </c>
      <c r="M4074">
        <v>202</v>
      </c>
      <c r="N4074">
        <v>518</v>
      </c>
      <c r="O4074">
        <v>0</v>
      </c>
      <c r="P4074">
        <v>518</v>
      </c>
      <c r="Q4074">
        <v>0</v>
      </c>
      <c r="R4074">
        <v>182</v>
      </c>
      <c r="S4074">
        <v>2</v>
      </c>
      <c r="T4074">
        <v>1</v>
      </c>
      <c r="U4074">
        <v>3</v>
      </c>
      <c r="V4074">
        <v>1</v>
      </c>
      <c r="W4074">
        <v>1</v>
      </c>
      <c r="X4074">
        <v>224</v>
      </c>
      <c r="Y4074">
        <v>1</v>
      </c>
      <c r="Z4074">
        <v>18</v>
      </c>
      <c r="AA4074">
        <v>4</v>
      </c>
      <c r="AB4074">
        <v>43</v>
      </c>
      <c r="AD4074">
        <v>3</v>
      </c>
      <c r="AE4074">
        <v>0</v>
      </c>
      <c r="AF4074">
        <v>0</v>
      </c>
      <c r="AG4074">
        <v>0</v>
      </c>
      <c r="AI4074">
        <v>22</v>
      </c>
      <c r="AJ4074">
        <v>0</v>
      </c>
      <c r="AK4074">
        <v>518</v>
      </c>
      <c r="AL4074">
        <v>505</v>
      </c>
      <c r="AM4074">
        <v>676</v>
      </c>
      <c r="AN4074">
        <v>44</v>
      </c>
      <c r="AP4074">
        <v>1</v>
      </c>
      <c r="AR4074" t="s">
        <v>4173</v>
      </c>
      <c r="AS4074" s="1">
        <v>44354.00439814815</v>
      </c>
      <c r="AT4074" s="1">
        <v>44354.009502314817</v>
      </c>
      <c r="AU4074" s="1">
        <v>44354.010011574072</v>
      </c>
      <c r="AV4074" t="s">
        <v>269</v>
      </c>
      <c r="AW4074" t="s">
        <v>270</v>
      </c>
      <c r="AX4074" t="s">
        <v>73</v>
      </c>
    </row>
    <row r="4075" spans="1:50" x14ac:dyDescent="0.3">
      <c r="A4075" t="str">
        <f>"202175C0100"</f>
        <v>202175C0100</v>
      </c>
      <c r="B4075" t="str">
        <f>"202175C01002"</f>
        <v>202175C01002</v>
      </c>
      <c r="C4075" t="str">
        <f t="shared" si="208"/>
        <v>20</v>
      </c>
      <c r="D4075" t="s">
        <v>67</v>
      </c>
      <c r="E4075" t="str">
        <f t="shared" si="209"/>
        <v>018</v>
      </c>
      <c r="F4075" t="s">
        <v>4075</v>
      </c>
      <c r="G4075" t="str">
        <f>"2175"</f>
        <v>2175</v>
      </c>
      <c r="H4075" t="str">
        <f>"0001"</f>
        <v>0001</v>
      </c>
      <c r="I4075" t="s">
        <v>75</v>
      </c>
      <c r="J4075">
        <v>0</v>
      </c>
      <c r="K4075">
        <v>1</v>
      </c>
      <c r="L4075">
        <v>2</v>
      </c>
      <c r="M4075">
        <v>200</v>
      </c>
      <c r="N4075">
        <v>520</v>
      </c>
      <c r="O4075">
        <v>0</v>
      </c>
      <c r="P4075">
        <v>520</v>
      </c>
      <c r="Q4075">
        <v>0</v>
      </c>
      <c r="R4075">
        <v>185</v>
      </c>
      <c r="S4075">
        <v>1</v>
      </c>
      <c r="T4075">
        <v>0</v>
      </c>
      <c r="U4075">
        <v>4</v>
      </c>
      <c r="V4075">
        <v>4</v>
      </c>
      <c r="W4075">
        <v>4</v>
      </c>
      <c r="X4075">
        <v>262</v>
      </c>
      <c r="Y4075">
        <v>0</v>
      </c>
      <c r="Z4075">
        <v>19</v>
      </c>
      <c r="AA4075">
        <v>0</v>
      </c>
      <c r="AB4075">
        <v>30</v>
      </c>
      <c r="AD4075">
        <v>0</v>
      </c>
      <c r="AE4075">
        <v>0</v>
      </c>
      <c r="AF4075">
        <v>0</v>
      </c>
      <c r="AG4075">
        <v>0</v>
      </c>
      <c r="AI4075">
        <v>0</v>
      </c>
      <c r="AJ4075">
        <v>11</v>
      </c>
      <c r="AK4075">
        <v>520</v>
      </c>
      <c r="AL4075">
        <v>520</v>
      </c>
      <c r="AM4075">
        <v>676</v>
      </c>
      <c r="AN4075">
        <v>44</v>
      </c>
      <c r="AP4075">
        <v>1</v>
      </c>
      <c r="AR4075" t="s">
        <v>4174</v>
      </c>
      <c r="AS4075" s="1">
        <v>44354.07675925926</v>
      </c>
      <c r="AT4075" s="1">
        <v>44354.082789351851</v>
      </c>
      <c r="AU4075" s="1">
        <v>44354.083460648151</v>
      </c>
      <c r="AV4075" t="s">
        <v>269</v>
      </c>
      <c r="AW4075" t="s">
        <v>270</v>
      </c>
      <c r="AX4075" t="s">
        <v>73</v>
      </c>
    </row>
    <row r="4076" spans="1:50" x14ac:dyDescent="0.3">
      <c r="A4076" t="str">
        <f>"202190B0000"</f>
        <v>202190B0000</v>
      </c>
      <c r="B4076" t="str">
        <f>"202190B00002"</f>
        <v>202190B00002</v>
      </c>
      <c r="C4076" t="str">
        <f t="shared" si="208"/>
        <v>20</v>
      </c>
      <c r="D4076" t="s">
        <v>67</v>
      </c>
      <c r="E4076" t="str">
        <f t="shared" si="209"/>
        <v>018</v>
      </c>
      <c r="F4076" t="s">
        <v>4075</v>
      </c>
      <c r="G4076" t="str">
        <f>"2190"</f>
        <v>2190</v>
      </c>
      <c r="H4076" t="str">
        <f>"0000"</f>
        <v>0000</v>
      </c>
      <c r="I4076" t="s">
        <v>69</v>
      </c>
      <c r="J4076">
        <v>0</v>
      </c>
      <c r="K4076">
        <v>1</v>
      </c>
      <c r="L4076">
        <v>2</v>
      </c>
      <c r="M4076">
        <v>169</v>
      </c>
      <c r="N4076">
        <v>316</v>
      </c>
      <c r="O4076">
        <v>2</v>
      </c>
      <c r="P4076">
        <v>316</v>
      </c>
      <c r="Q4076">
        <v>1</v>
      </c>
      <c r="R4076">
        <v>103</v>
      </c>
      <c r="S4076">
        <v>1</v>
      </c>
      <c r="T4076">
        <v>24</v>
      </c>
      <c r="U4076">
        <v>5</v>
      </c>
      <c r="V4076">
        <v>1</v>
      </c>
      <c r="W4076">
        <v>0</v>
      </c>
      <c r="X4076">
        <v>170</v>
      </c>
      <c r="Y4076">
        <v>0</v>
      </c>
      <c r="Z4076">
        <v>0</v>
      </c>
      <c r="AA4076">
        <v>0</v>
      </c>
      <c r="AB4076">
        <v>11</v>
      </c>
      <c r="AD4076">
        <v>0</v>
      </c>
      <c r="AE4076">
        <v>0</v>
      </c>
      <c r="AF4076">
        <v>0</v>
      </c>
      <c r="AG4076">
        <v>0</v>
      </c>
      <c r="AI4076">
        <v>0</v>
      </c>
      <c r="AJ4076">
        <v>0</v>
      </c>
      <c r="AK4076">
        <v>316</v>
      </c>
      <c r="AL4076">
        <v>316</v>
      </c>
      <c r="AM4076">
        <v>441</v>
      </c>
      <c r="AN4076">
        <v>44</v>
      </c>
      <c r="AP4076">
        <v>1</v>
      </c>
      <c r="AR4076" t="s">
        <v>4175</v>
      </c>
      <c r="AS4076" s="1">
        <v>44354.25277777778</v>
      </c>
      <c r="AT4076" s="1">
        <v>44354.254317129627</v>
      </c>
      <c r="AU4076" s="1">
        <v>44354.25513888889</v>
      </c>
      <c r="AV4076" t="s">
        <v>71</v>
      </c>
      <c r="AW4076" t="s">
        <v>72</v>
      </c>
      <c r="AX4076" t="s">
        <v>73</v>
      </c>
    </row>
    <row r="4077" spans="1:50" x14ac:dyDescent="0.3">
      <c r="A4077" t="str">
        <f>"202190C0100"</f>
        <v>202190C0100</v>
      </c>
      <c r="B4077" t="str">
        <f>"202190C01002"</f>
        <v>202190C01002</v>
      </c>
      <c r="C4077" t="str">
        <f t="shared" si="208"/>
        <v>20</v>
      </c>
      <c r="D4077" t="s">
        <v>67</v>
      </c>
      <c r="E4077" t="str">
        <f t="shared" si="209"/>
        <v>018</v>
      </c>
      <c r="F4077" t="s">
        <v>4075</v>
      </c>
      <c r="G4077" t="str">
        <f>"2190"</f>
        <v>2190</v>
      </c>
      <c r="H4077" t="str">
        <f>"0001"</f>
        <v>0001</v>
      </c>
      <c r="I4077" t="s">
        <v>75</v>
      </c>
      <c r="J4077">
        <v>0</v>
      </c>
      <c r="K4077">
        <v>1</v>
      </c>
      <c r="L4077">
        <v>2</v>
      </c>
      <c r="M4077">
        <v>144</v>
      </c>
      <c r="N4077">
        <v>341</v>
      </c>
      <c r="O4077">
        <v>1</v>
      </c>
      <c r="P4077" t="s">
        <v>80</v>
      </c>
      <c r="Q4077">
        <v>0</v>
      </c>
      <c r="R4077">
        <v>92</v>
      </c>
      <c r="S4077">
        <v>0</v>
      </c>
      <c r="T4077">
        <v>34</v>
      </c>
      <c r="U4077">
        <v>4</v>
      </c>
      <c r="V4077">
        <v>2</v>
      </c>
      <c r="W4077">
        <v>0</v>
      </c>
      <c r="X4077">
        <v>194</v>
      </c>
      <c r="Y4077">
        <v>0</v>
      </c>
      <c r="Z4077">
        <v>0</v>
      </c>
      <c r="AA4077">
        <v>0</v>
      </c>
      <c r="AB4077">
        <v>10</v>
      </c>
      <c r="AD4077">
        <v>0</v>
      </c>
      <c r="AE4077">
        <v>0</v>
      </c>
      <c r="AF4077">
        <v>0</v>
      </c>
      <c r="AG4077">
        <v>0</v>
      </c>
      <c r="AI4077" t="s">
        <v>77</v>
      </c>
      <c r="AJ4077">
        <v>2</v>
      </c>
      <c r="AK4077">
        <v>341</v>
      </c>
      <c r="AL4077">
        <v>338</v>
      </c>
      <c r="AM4077">
        <v>441</v>
      </c>
      <c r="AN4077">
        <v>44</v>
      </c>
      <c r="AO4077" t="s">
        <v>78</v>
      </c>
      <c r="AP4077">
        <v>1</v>
      </c>
      <c r="AR4077" t="s">
        <v>4176</v>
      </c>
      <c r="AS4077" s="1">
        <v>44354.252083333333</v>
      </c>
      <c r="AT4077" s="1">
        <v>44354.253599537034</v>
      </c>
      <c r="AU4077" s="1">
        <v>44354.254340277781</v>
      </c>
      <c r="AV4077" t="s">
        <v>71</v>
      </c>
      <c r="AW4077" t="s">
        <v>72</v>
      </c>
      <c r="AX4077" t="s">
        <v>73</v>
      </c>
    </row>
    <row r="4078" spans="1:50" x14ac:dyDescent="0.3">
      <c r="A4078" t="str">
        <f>"202191B0000"</f>
        <v>202191B0000</v>
      </c>
      <c r="B4078" t="str">
        <f>"202191B00002"</f>
        <v>202191B00002</v>
      </c>
      <c r="C4078" t="str">
        <f t="shared" si="208"/>
        <v>20</v>
      </c>
      <c r="D4078" t="s">
        <v>67</v>
      </c>
      <c r="E4078" t="str">
        <f t="shared" si="209"/>
        <v>018</v>
      </c>
      <c r="F4078" t="s">
        <v>4075</v>
      </c>
      <c r="G4078" t="str">
        <f>"2191"</f>
        <v>2191</v>
      </c>
      <c r="H4078" t="str">
        <f>"0000"</f>
        <v>0000</v>
      </c>
      <c r="I4078" t="s">
        <v>69</v>
      </c>
      <c r="J4078">
        <v>0</v>
      </c>
      <c r="K4078">
        <v>1</v>
      </c>
      <c r="L4078">
        <v>2</v>
      </c>
      <c r="M4078">
        <v>224</v>
      </c>
      <c r="N4078">
        <v>459</v>
      </c>
      <c r="O4078">
        <v>0</v>
      </c>
      <c r="P4078">
        <v>459</v>
      </c>
      <c r="Q4078">
        <v>3</v>
      </c>
      <c r="R4078">
        <v>135</v>
      </c>
      <c r="S4078">
        <v>40</v>
      </c>
      <c r="T4078">
        <v>40</v>
      </c>
      <c r="U4078">
        <v>11</v>
      </c>
      <c r="V4078">
        <v>1</v>
      </c>
      <c r="W4078">
        <v>0</v>
      </c>
      <c r="X4078">
        <v>249</v>
      </c>
      <c r="Y4078">
        <v>0</v>
      </c>
      <c r="Z4078">
        <v>1</v>
      </c>
      <c r="AA4078">
        <v>0</v>
      </c>
      <c r="AB4078">
        <v>11</v>
      </c>
      <c r="AD4078">
        <v>2</v>
      </c>
      <c r="AE4078">
        <v>0</v>
      </c>
      <c r="AF4078">
        <v>0</v>
      </c>
      <c r="AG4078">
        <v>0</v>
      </c>
      <c r="AI4078">
        <v>0</v>
      </c>
      <c r="AJ4078">
        <v>7</v>
      </c>
      <c r="AK4078">
        <v>459</v>
      </c>
      <c r="AL4078">
        <v>500</v>
      </c>
      <c r="AM4078">
        <v>639</v>
      </c>
      <c r="AN4078">
        <v>44</v>
      </c>
      <c r="AP4078">
        <v>1</v>
      </c>
      <c r="AR4078" t="s">
        <v>4177</v>
      </c>
      <c r="AS4078" s="1">
        <v>44354.254861111112</v>
      </c>
      <c r="AT4078" s="1">
        <v>44354.256909722222</v>
      </c>
      <c r="AU4078" s="1">
        <v>44354.257719907408</v>
      </c>
      <c r="AV4078" t="s">
        <v>71</v>
      </c>
      <c r="AW4078" t="s">
        <v>72</v>
      </c>
      <c r="AX4078" t="s">
        <v>73</v>
      </c>
    </row>
    <row r="4079" spans="1:50" x14ac:dyDescent="0.3">
      <c r="A4079" t="str">
        <f>"202191C0100"</f>
        <v>202191C0100</v>
      </c>
      <c r="B4079" t="str">
        <f>"202191C01002"</f>
        <v>202191C01002</v>
      </c>
      <c r="C4079" t="str">
        <f t="shared" si="208"/>
        <v>20</v>
      </c>
      <c r="D4079" t="s">
        <v>67</v>
      </c>
      <c r="E4079" t="str">
        <f t="shared" si="209"/>
        <v>018</v>
      </c>
      <c r="F4079" t="s">
        <v>4075</v>
      </c>
      <c r="G4079" t="str">
        <f>"2191"</f>
        <v>2191</v>
      </c>
      <c r="H4079" t="str">
        <f>"0001"</f>
        <v>0001</v>
      </c>
      <c r="I4079" t="s">
        <v>75</v>
      </c>
      <c r="J4079">
        <v>0</v>
      </c>
      <c r="K4079">
        <v>1</v>
      </c>
      <c r="L4079">
        <v>2</v>
      </c>
      <c r="M4079">
        <v>200</v>
      </c>
      <c r="N4079">
        <v>482</v>
      </c>
      <c r="O4079">
        <v>0</v>
      </c>
      <c r="P4079">
        <v>482</v>
      </c>
      <c r="Q4079">
        <v>1</v>
      </c>
      <c r="R4079">
        <v>129</v>
      </c>
      <c r="S4079">
        <v>0</v>
      </c>
      <c r="T4079">
        <v>51</v>
      </c>
      <c r="U4079">
        <v>9</v>
      </c>
      <c r="V4079">
        <v>1</v>
      </c>
      <c r="W4079" t="s">
        <v>77</v>
      </c>
      <c r="X4079">
        <v>272</v>
      </c>
      <c r="Y4079" t="s">
        <v>77</v>
      </c>
      <c r="Z4079" t="s">
        <v>77</v>
      </c>
      <c r="AA4079" t="s">
        <v>77</v>
      </c>
      <c r="AB4079">
        <v>17</v>
      </c>
      <c r="AD4079" t="s">
        <v>77</v>
      </c>
      <c r="AE4079" t="s">
        <v>77</v>
      </c>
      <c r="AF4079" t="s">
        <v>77</v>
      </c>
      <c r="AG4079" t="s">
        <v>77</v>
      </c>
      <c r="AI4079" t="s">
        <v>77</v>
      </c>
      <c r="AJ4079" t="s">
        <v>77</v>
      </c>
      <c r="AK4079" t="s">
        <v>77</v>
      </c>
      <c r="AL4079">
        <v>480</v>
      </c>
      <c r="AM4079">
        <v>638</v>
      </c>
      <c r="AN4079">
        <v>44</v>
      </c>
      <c r="AO4079" t="s">
        <v>78</v>
      </c>
      <c r="AP4079">
        <v>1</v>
      </c>
      <c r="AR4079" t="s">
        <v>4178</v>
      </c>
      <c r="AS4079" s="1">
        <v>44354.249305555553</v>
      </c>
      <c r="AT4079" s="1">
        <v>44354.250879629632</v>
      </c>
      <c r="AU4079" s="1">
        <v>44354.252222222225</v>
      </c>
      <c r="AV4079" t="s">
        <v>71</v>
      </c>
      <c r="AW4079" t="s">
        <v>72</v>
      </c>
      <c r="AX4079" t="s">
        <v>73</v>
      </c>
    </row>
    <row r="4080" spans="1:50" x14ac:dyDescent="0.3">
      <c r="A4080" t="str">
        <f>"202192B0000"</f>
        <v>202192B0000</v>
      </c>
      <c r="B4080" t="str">
        <f>"202192B00002"</f>
        <v>202192B00002</v>
      </c>
      <c r="C4080" t="str">
        <f t="shared" si="208"/>
        <v>20</v>
      </c>
      <c r="D4080" t="s">
        <v>67</v>
      </c>
      <c r="E4080" t="str">
        <f t="shared" si="209"/>
        <v>018</v>
      </c>
      <c r="F4080" t="s">
        <v>4075</v>
      </c>
      <c r="G4080" t="str">
        <f>"2192"</f>
        <v>2192</v>
      </c>
      <c r="H4080" t="str">
        <f>"0000"</f>
        <v>0000</v>
      </c>
      <c r="I4080" t="s">
        <v>69</v>
      </c>
      <c r="J4080">
        <v>0</v>
      </c>
      <c r="K4080">
        <v>1</v>
      </c>
      <c r="L4080">
        <v>2</v>
      </c>
      <c r="M4080">
        <v>196</v>
      </c>
      <c r="N4080">
        <v>540</v>
      </c>
      <c r="O4080">
        <v>0</v>
      </c>
      <c r="P4080">
        <v>540</v>
      </c>
      <c r="Q4080">
        <v>5</v>
      </c>
      <c r="R4080">
        <v>181</v>
      </c>
      <c r="S4080">
        <v>2</v>
      </c>
      <c r="T4080">
        <v>28</v>
      </c>
      <c r="U4080">
        <v>3</v>
      </c>
      <c r="V4080">
        <v>1</v>
      </c>
      <c r="W4080">
        <v>1</v>
      </c>
      <c r="X4080">
        <v>300</v>
      </c>
      <c r="Y4080">
        <v>0</v>
      </c>
      <c r="Z4080">
        <v>0</v>
      </c>
      <c r="AA4080">
        <v>2</v>
      </c>
      <c r="AB4080">
        <v>14</v>
      </c>
      <c r="AD4080">
        <v>0</v>
      </c>
      <c r="AE4080">
        <v>0</v>
      </c>
      <c r="AF4080">
        <v>0</v>
      </c>
      <c r="AG4080">
        <v>0</v>
      </c>
      <c r="AI4080">
        <v>0</v>
      </c>
      <c r="AJ4080">
        <v>3</v>
      </c>
      <c r="AK4080">
        <v>540</v>
      </c>
      <c r="AL4080">
        <v>540</v>
      </c>
      <c r="AM4080">
        <v>692</v>
      </c>
      <c r="AN4080">
        <v>44</v>
      </c>
      <c r="AP4080">
        <v>1</v>
      </c>
      <c r="AR4080" t="s">
        <v>4179</v>
      </c>
      <c r="AS4080" s="1">
        <v>44354.252083333333</v>
      </c>
      <c r="AT4080" s="1">
        <v>44354.254270833335</v>
      </c>
      <c r="AU4080" s="1">
        <v>44354.255254629628</v>
      </c>
      <c r="AV4080" t="s">
        <v>71</v>
      </c>
      <c r="AW4080" t="s">
        <v>72</v>
      </c>
      <c r="AX4080" t="s">
        <v>73</v>
      </c>
    </row>
    <row r="4081" spans="1:50" x14ac:dyDescent="0.3">
      <c r="A4081" t="str">
        <f>"202192C0100"</f>
        <v>202192C0100</v>
      </c>
      <c r="B4081" t="str">
        <f>"202192C01002"</f>
        <v>202192C01002</v>
      </c>
      <c r="C4081" t="str">
        <f t="shared" si="208"/>
        <v>20</v>
      </c>
      <c r="D4081" t="s">
        <v>67</v>
      </c>
      <c r="E4081" t="str">
        <f t="shared" si="209"/>
        <v>018</v>
      </c>
      <c r="F4081" t="s">
        <v>4075</v>
      </c>
      <c r="G4081" t="str">
        <f>"2192"</f>
        <v>2192</v>
      </c>
      <c r="H4081" t="str">
        <f>"0001"</f>
        <v>0001</v>
      </c>
      <c r="I4081" t="s">
        <v>75</v>
      </c>
      <c r="J4081">
        <v>0</v>
      </c>
      <c r="K4081">
        <v>1</v>
      </c>
      <c r="L4081">
        <v>2</v>
      </c>
      <c r="M4081">
        <v>184</v>
      </c>
      <c r="N4081">
        <v>551</v>
      </c>
      <c r="O4081">
        <v>3</v>
      </c>
      <c r="P4081">
        <v>551</v>
      </c>
      <c r="Q4081">
        <v>1</v>
      </c>
      <c r="R4081">
        <v>160</v>
      </c>
      <c r="S4081">
        <v>1</v>
      </c>
      <c r="T4081">
        <v>46</v>
      </c>
      <c r="U4081">
        <v>13</v>
      </c>
      <c r="V4081">
        <v>1</v>
      </c>
      <c r="W4081">
        <v>3</v>
      </c>
      <c r="X4081">
        <v>306</v>
      </c>
      <c r="Y4081">
        <v>0</v>
      </c>
      <c r="Z4081">
        <v>0</v>
      </c>
      <c r="AA4081">
        <v>0</v>
      </c>
      <c r="AB4081">
        <v>16</v>
      </c>
      <c r="AD4081">
        <v>2</v>
      </c>
      <c r="AE4081">
        <v>0</v>
      </c>
      <c r="AF4081">
        <v>0</v>
      </c>
      <c r="AG4081">
        <v>0</v>
      </c>
      <c r="AI4081">
        <v>0</v>
      </c>
      <c r="AJ4081">
        <v>2</v>
      </c>
      <c r="AK4081">
        <v>551</v>
      </c>
      <c r="AL4081">
        <v>551</v>
      </c>
      <c r="AM4081">
        <v>691</v>
      </c>
      <c r="AN4081">
        <v>44</v>
      </c>
      <c r="AP4081">
        <v>1</v>
      </c>
      <c r="AR4081" t="s">
        <v>4180</v>
      </c>
      <c r="AS4081" s="1">
        <v>44354.253472222219</v>
      </c>
      <c r="AT4081" s="1">
        <v>44354.256249999999</v>
      </c>
      <c r="AU4081" s="1">
        <v>44354.256874999999</v>
      </c>
      <c r="AV4081" t="s">
        <v>71</v>
      </c>
      <c r="AW4081" t="s">
        <v>72</v>
      </c>
      <c r="AX4081" t="s">
        <v>73</v>
      </c>
    </row>
    <row r="4082" spans="1:50" x14ac:dyDescent="0.3">
      <c r="A4082" t="str">
        <f>"202193B0000"</f>
        <v>202193B0000</v>
      </c>
      <c r="B4082" t="str">
        <f>"202193B00002"</f>
        <v>202193B00002</v>
      </c>
      <c r="C4082" t="str">
        <f t="shared" si="208"/>
        <v>20</v>
      </c>
      <c r="D4082" t="s">
        <v>67</v>
      </c>
      <c r="E4082" t="str">
        <f t="shared" si="209"/>
        <v>018</v>
      </c>
      <c r="F4082" t="s">
        <v>4075</v>
      </c>
      <c r="G4082" t="str">
        <f>"2193"</f>
        <v>2193</v>
      </c>
      <c r="H4082" t="str">
        <f>"0000"</f>
        <v>0000</v>
      </c>
      <c r="I4082" t="s">
        <v>69</v>
      </c>
      <c r="J4082">
        <v>0</v>
      </c>
      <c r="K4082">
        <v>1</v>
      </c>
      <c r="L4082">
        <v>2</v>
      </c>
      <c r="M4082">
        <v>172</v>
      </c>
      <c r="N4082">
        <v>468</v>
      </c>
      <c r="O4082">
        <v>1</v>
      </c>
      <c r="P4082">
        <v>468</v>
      </c>
      <c r="Q4082">
        <v>0</v>
      </c>
      <c r="R4082">
        <v>146</v>
      </c>
      <c r="S4082">
        <v>2</v>
      </c>
      <c r="T4082">
        <v>80</v>
      </c>
      <c r="U4082">
        <v>9</v>
      </c>
      <c r="V4082">
        <v>3</v>
      </c>
      <c r="W4082">
        <v>0</v>
      </c>
      <c r="X4082">
        <v>217</v>
      </c>
      <c r="Y4082">
        <v>0</v>
      </c>
      <c r="Z4082">
        <v>0</v>
      </c>
      <c r="AA4082">
        <v>0</v>
      </c>
      <c r="AB4082">
        <v>13</v>
      </c>
      <c r="AD4082" t="s">
        <v>77</v>
      </c>
      <c r="AE4082" t="s">
        <v>77</v>
      </c>
      <c r="AF4082" t="s">
        <v>77</v>
      </c>
      <c r="AG4082" t="s">
        <v>77</v>
      </c>
      <c r="AI4082" t="s">
        <v>77</v>
      </c>
      <c r="AJ4082" t="s">
        <v>77</v>
      </c>
      <c r="AK4082">
        <v>468</v>
      </c>
      <c r="AL4082">
        <v>470</v>
      </c>
      <c r="AM4082">
        <v>596</v>
      </c>
      <c r="AN4082">
        <v>44</v>
      </c>
      <c r="AO4082" t="s">
        <v>78</v>
      </c>
      <c r="AP4082">
        <v>1</v>
      </c>
      <c r="AR4082" t="s">
        <v>4181</v>
      </c>
      <c r="AS4082" s="1">
        <v>44354.250694444447</v>
      </c>
      <c r="AT4082" s="1">
        <v>44354.252349537041</v>
      </c>
      <c r="AU4082" s="1">
        <v>44354.252905092595</v>
      </c>
      <c r="AV4082" t="s">
        <v>71</v>
      </c>
      <c r="AW4082" t="s">
        <v>72</v>
      </c>
      <c r="AX4082" t="s">
        <v>73</v>
      </c>
    </row>
    <row r="4083" spans="1:50" x14ac:dyDescent="0.3">
      <c r="A4083" t="str">
        <f>"202193C0100"</f>
        <v>202193C0100</v>
      </c>
      <c r="B4083" t="str">
        <f>"202193C01002"</f>
        <v>202193C01002</v>
      </c>
      <c r="C4083" t="str">
        <f t="shared" si="208"/>
        <v>20</v>
      </c>
      <c r="D4083" t="s">
        <v>67</v>
      </c>
      <c r="E4083" t="str">
        <f t="shared" si="209"/>
        <v>018</v>
      </c>
      <c r="F4083" t="s">
        <v>4075</v>
      </c>
      <c r="G4083" t="str">
        <f>"2193"</f>
        <v>2193</v>
      </c>
      <c r="H4083" t="str">
        <f>"0001"</f>
        <v>0001</v>
      </c>
      <c r="I4083" t="s">
        <v>75</v>
      </c>
      <c r="J4083">
        <v>0</v>
      </c>
      <c r="K4083">
        <v>1</v>
      </c>
      <c r="L4083">
        <v>2</v>
      </c>
      <c r="M4083">
        <v>170</v>
      </c>
      <c r="N4083">
        <v>471</v>
      </c>
      <c r="O4083">
        <v>9</v>
      </c>
      <c r="P4083">
        <v>470</v>
      </c>
      <c r="Q4083">
        <v>1</v>
      </c>
      <c r="R4083">
        <v>163</v>
      </c>
      <c r="S4083">
        <v>0</v>
      </c>
      <c r="T4083">
        <v>53</v>
      </c>
      <c r="U4083">
        <v>4</v>
      </c>
      <c r="V4083">
        <v>4</v>
      </c>
      <c r="W4083">
        <v>0</v>
      </c>
      <c r="X4083">
        <v>224</v>
      </c>
      <c r="Y4083">
        <v>0</v>
      </c>
      <c r="Z4083">
        <v>1</v>
      </c>
      <c r="AA4083">
        <v>0</v>
      </c>
      <c r="AB4083">
        <v>15</v>
      </c>
      <c r="AD4083">
        <v>0</v>
      </c>
      <c r="AE4083">
        <v>0</v>
      </c>
      <c r="AF4083">
        <v>0</v>
      </c>
      <c r="AG4083">
        <v>0</v>
      </c>
      <c r="AI4083">
        <v>0</v>
      </c>
      <c r="AJ4083">
        <v>5</v>
      </c>
      <c r="AK4083">
        <v>470</v>
      </c>
      <c r="AL4083">
        <v>470</v>
      </c>
      <c r="AM4083">
        <v>596</v>
      </c>
      <c r="AN4083">
        <v>44</v>
      </c>
      <c r="AP4083">
        <v>1</v>
      </c>
      <c r="AR4083" t="s">
        <v>4182</v>
      </c>
      <c r="AS4083" s="1">
        <v>44354.254166666666</v>
      </c>
      <c r="AT4083" s="1">
        <v>44354.257650462961</v>
      </c>
      <c r="AU4083" s="1">
        <v>44354.258263888885</v>
      </c>
      <c r="AV4083" t="s">
        <v>71</v>
      </c>
      <c r="AW4083" t="s">
        <v>72</v>
      </c>
      <c r="AX4083" t="s">
        <v>73</v>
      </c>
    </row>
    <row r="4084" spans="1:50" x14ac:dyDescent="0.3">
      <c r="A4084" t="str">
        <f>"202194B0000"</f>
        <v>202194B0000</v>
      </c>
      <c r="B4084" t="str">
        <f>"202194B00002"</f>
        <v>202194B00002</v>
      </c>
      <c r="C4084" t="str">
        <f t="shared" si="208"/>
        <v>20</v>
      </c>
      <c r="D4084" t="s">
        <v>67</v>
      </c>
      <c r="E4084" t="str">
        <f t="shared" si="209"/>
        <v>018</v>
      </c>
      <c r="F4084" t="s">
        <v>4075</v>
      </c>
      <c r="G4084" t="str">
        <f>"2194"</f>
        <v>2194</v>
      </c>
      <c r="H4084" t="str">
        <f>"0000"</f>
        <v>0000</v>
      </c>
      <c r="I4084" t="s">
        <v>69</v>
      </c>
      <c r="J4084">
        <v>0</v>
      </c>
      <c r="K4084">
        <v>1</v>
      </c>
      <c r="L4084">
        <v>2</v>
      </c>
      <c r="M4084">
        <v>190</v>
      </c>
      <c r="N4084" t="s">
        <v>99</v>
      </c>
      <c r="O4084" t="s">
        <v>99</v>
      </c>
      <c r="P4084">
        <v>580</v>
      </c>
      <c r="Q4084">
        <v>2</v>
      </c>
      <c r="R4084">
        <v>245</v>
      </c>
      <c r="S4084">
        <v>2</v>
      </c>
      <c r="T4084">
        <v>46</v>
      </c>
      <c r="U4084" t="s">
        <v>99</v>
      </c>
      <c r="V4084">
        <v>1</v>
      </c>
      <c r="W4084" t="s">
        <v>77</v>
      </c>
      <c r="X4084">
        <v>266</v>
      </c>
      <c r="Y4084">
        <v>1</v>
      </c>
      <c r="Z4084">
        <v>3</v>
      </c>
      <c r="AA4084">
        <v>4</v>
      </c>
      <c r="AB4084" t="s">
        <v>77</v>
      </c>
      <c r="AD4084">
        <v>3</v>
      </c>
      <c r="AE4084" t="s">
        <v>77</v>
      </c>
      <c r="AF4084" t="s">
        <v>77</v>
      </c>
      <c r="AG4084" t="s">
        <v>77</v>
      </c>
      <c r="AI4084" t="s">
        <v>77</v>
      </c>
      <c r="AJ4084">
        <v>5</v>
      </c>
      <c r="AK4084">
        <v>580</v>
      </c>
      <c r="AL4084">
        <v>578</v>
      </c>
      <c r="AM4084">
        <v>727</v>
      </c>
      <c r="AN4084">
        <v>44</v>
      </c>
      <c r="AO4084" t="s">
        <v>78</v>
      </c>
      <c r="AP4084">
        <v>1</v>
      </c>
      <c r="AR4084" t="s">
        <v>4183</v>
      </c>
      <c r="AS4084" s="1">
        <v>44354.256944444445</v>
      </c>
      <c r="AT4084" s="1">
        <v>44354.259467592594</v>
      </c>
      <c r="AU4084" s="1">
        <v>44354.260439814818</v>
      </c>
      <c r="AV4084" t="s">
        <v>71</v>
      </c>
      <c r="AW4084" t="s">
        <v>72</v>
      </c>
      <c r="AX4084" t="s">
        <v>73</v>
      </c>
    </row>
    <row r="4085" spans="1:50" x14ac:dyDescent="0.3">
      <c r="A4085" t="str">
        <f>"202195B0000"</f>
        <v>202195B0000</v>
      </c>
      <c r="B4085" t="str">
        <f>"202195B00002"</f>
        <v>202195B00002</v>
      </c>
      <c r="C4085" t="str">
        <f t="shared" si="208"/>
        <v>20</v>
      </c>
      <c r="D4085" t="s">
        <v>67</v>
      </c>
      <c r="E4085" t="str">
        <f t="shared" si="209"/>
        <v>018</v>
      </c>
      <c r="F4085" t="s">
        <v>4075</v>
      </c>
      <c r="G4085" t="str">
        <f>"2195"</f>
        <v>2195</v>
      </c>
      <c r="H4085" t="str">
        <f>"0000"</f>
        <v>0000</v>
      </c>
      <c r="I4085" t="s">
        <v>69</v>
      </c>
      <c r="J4085">
        <v>0</v>
      </c>
      <c r="K4085">
        <v>1</v>
      </c>
      <c r="L4085">
        <v>2</v>
      </c>
      <c r="M4085">
        <v>91</v>
      </c>
      <c r="N4085">
        <v>0</v>
      </c>
      <c r="O4085">
        <v>0</v>
      </c>
      <c r="P4085">
        <v>248</v>
      </c>
      <c r="Q4085">
        <v>0</v>
      </c>
      <c r="R4085">
        <v>78</v>
      </c>
      <c r="S4085">
        <v>2</v>
      </c>
      <c r="T4085">
        <v>25</v>
      </c>
      <c r="U4085">
        <v>0</v>
      </c>
      <c r="V4085">
        <v>2</v>
      </c>
      <c r="W4085">
        <v>0</v>
      </c>
      <c r="X4085">
        <v>136</v>
      </c>
      <c r="Y4085">
        <v>0</v>
      </c>
      <c r="Z4085">
        <v>0</v>
      </c>
      <c r="AA4085">
        <v>0</v>
      </c>
      <c r="AB4085">
        <v>3</v>
      </c>
      <c r="AD4085">
        <v>0</v>
      </c>
      <c r="AE4085">
        <v>0</v>
      </c>
      <c r="AF4085">
        <v>0</v>
      </c>
      <c r="AG4085">
        <v>0</v>
      </c>
      <c r="AI4085">
        <v>0</v>
      </c>
      <c r="AJ4085">
        <v>2</v>
      </c>
      <c r="AK4085">
        <v>248</v>
      </c>
      <c r="AL4085">
        <v>248</v>
      </c>
      <c r="AM4085">
        <v>295</v>
      </c>
      <c r="AN4085">
        <v>44</v>
      </c>
      <c r="AP4085">
        <v>1</v>
      </c>
      <c r="AR4085" t="s">
        <v>4184</v>
      </c>
      <c r="AS4085" s="1">
        <v>44354.254166666666</v>
      </c>
      <c r="AT4085" s="1">
        <v>44354.256238425929</v>
      </c>
      <c r="AU4085" s="1">
        <v>44354.25681712963</v>
      </c>
      <c r="AV4085" t="s">
        <v>71</v>
      </c>
      <c r="AW4085" t="s">
        <v>72</v>
      </c>
      <c r="AX4085" t="s">
        <v>73</v>
      </c>
    </row>
    <row r="4086" spans="1:50" x14ac:dyDescent="0.3">
      <c r="A4086" t="str">
        <f>"202195E0100"</f>
        <v>202195E0100</v>
      </c>
      <c r="B4086" t="str">
        <f>"202195E01002"</f>
        <v>202195E01002</v>
      </c>
      <c r="C4086" t="str">
        <f t="shared" si="208"/>
        <v>20</v>
      </c>
      <c r="D4086" t="s">
        <v>67</v>
      </c>
      <c r="E4086" t="str">
        <f t="shared" si="209"/>
        <v>018</v>
      </c>
      <c r="F4086" t="s">
        <v>4075</v>
      </c>
      <c r="G4086" t="str">
        <f>"2195"</f>
        <v>2195</v>
      </c>
      <c r="H4086" t="str">
        <f>"0001"</f>
        <v>0001</v>
      </c>
      <c r="I4086" t="s">
        <v>109</v>
      </c>
      <c r="J4086">
        <v>0</v>
      </c>
      <c r="K4086">
        <v>1</v>
      </c>
      <c r="L4086">
        <v>2</v>
      </c>
      <c r="M4086">
        <v>84</v>
      </c>
      <c r="N4086">
        <v>268</v>
      </c>
      <c r="O4086">
        <v>0</v>
      </c>
      <c r="P4086">
        <v>268</v>
      </c>
      <c r="Q4086" t="s">
        <v>99</v>
      </c>
      <c r="R4086">
        <v>125</v>
      </c>
      <c r="S4086" t="s">
        <v>77</v>
      </c>
      <c r="T4086">
        <v>55</v>
      </c>
      <c r="U4086">
        <v>0</v>
      </c>
      <c r="V4086">
        <v>0</v>
      </c>
      <c r="W4086">
        <v>0</v>
      </c>
      <c r="X4086">
        <v>84</v>
      </c>
      <c r="Y4086">
        <v>0</v>
      </c>
      <c r="Z4086">
        <v>0</v>
      </c>
      <c r="AA4086">
        <v>0</v>
      </c>
      <c r="AB4086">
        <v>1</v>
      </c>
      <c r="AD4086">
        <v>1</v>
      </c>
      <c r="AE4086">
        <v>0</v>
      </c>
      <c r="AF4086">
        <v>0</v>
      </c>
      <c r="AG4086">
        <v>0</v>
      </c>
      <c r="AI4086">
        <v>0</v>
      </c>
      <c r="AJ4086">
        <v>2</v>
      </c>
      <c r="AK4086">
        <v>268</v>
      </c>
      <c r="AL4086">
        <v>268</v>
      </c>
      <c r="AM4086">
        <v>308</v>
      </c>
      <c r="AN4086">
        <v>44</v>
      </c>
      <c r="AO4086" t="s">
        <v>78</v>
      </c>
      <c r="AP4086">
        <v>1</v>
      </c>
      <c r="AR4086" t="s">
        <v>4185</v>
      </c>
      <c r="AS4086" s="1">
        <v>44354.25</v>
      </c>
      <c r="AT4086" s="1">
        <v>44354.253877314812</v>
      </c>
      <c r="AU4086" s="1">
        <v>44354.254791666666</v>
      </c>
      <c r="AV4086" t="s">
        <v>71</v>
      </c>
      <c r="AW4086" t="s">
        <v>72</v>
      </c>
      <c r="AX4086" t="s">
        <v>73</v>
      </c>
    </row>
    <row r="4087" spans="1:50" x14ac:dyDescent="0.3">
      <c r="A4087" t="str">
        <f>"202196B0000"</f>
        <v>202196B0000</v>
      </c>
      <c r="B4087" t="str">
        <f>"202196B00002"</f>
        <v>202196B00002</v>
      </c>
      <c r="C4087" t="str">
        <f t="shared" si="208"/>
        <v>20</v>
      </c>
      <c r="D4087" t="s">
        <v>67</v>
      </c>
      <c r="E4087" t="str">
        <f t="shared" si="209"/>
        <v>018</v>
      </c>
      <c r="F4087" t="s">
        <v>4075</v>
      </c>
      <c r="G4087" t="str">
        <f>"2196"</f>
        <v>2196</v>
      </c>
      <c r="H4087" t="str">
        <f>"0000"</f>
        <v>0000</v>
      </c>
      <c r="I4087" t="s">
        <v>69</v>
      </c>
      <c r="J4087">
        <v>0</v>
      </c>
      <c r="K4087">
        <v>1</v>
      </c>
      <c r="L4087">
        <v>2</v>
      </c>
      <c r="M4087">
        <v>77</v>
      </c>
      <c r="N4087">
        <v>303</v>
      </c>
      <c r="O4087">
        <v>0</v>
      </c>
      <c r="P4087">
        <v>303</v>
      </c>
      <c r="Q4087">
        <v>0</v>
      </c>
      <c r="R4087">
        <v>118</v>
      </c>
      <c r="S4087">
        <v>0</v>
      </c>
      <c r="T4087">
        <v>10</v>
      </c>
      <c r="U4087">
        <v>0</v>
      </c>
      <c r="V4087">
        <v>0</v>
      </c>
      <c r="W4087">
        <v>0</v>
      </c>
      <c r="X4087">
        <v>172</v>
      </c>
      <c r="Y4087">
        <v>0</v>
      </c>
      <c r="Z4087">
        <v>0</v>
      </c>
      <c r="AA4087">
        <v>0</v>
      </c>
      <c r="AB4087">
        <v>2</v>
      </c>
      <c r="AD4087">
        <v>0</v>
      </c>
      <c r="AE4087">
        <v>0</v>
      </c>
      <c r="AF4087">
        <v>0</v>
      </c>
      <c r="AG4087">
        <v>0</v>
      </c>
      <c r="AI4087">
        <v>0</v>
      </c>
      <c r="AJ4087">
        <v>1</v>
      </c>
      <c r="AK4087">
        <v>303</v>
      </c>
      <c r="AL4087">
        <v>303</v>
      </c>
      <c r="AM4087">
        <v>336</v>
      </c>
      <c r="AN4087">
        <v>44</v>
      </c>
      <c r="AP4087">
        <v>1</v>
      </c>
      <c r="AR4087" t="s">
        <v>4186</v>
      </c>
      <c r="AS4087" s="1">
        <v>44354.251388888886</v>
      </c>
      <c r="AT4087" s="1">
        <v>44354.25371527778</v>
      </c>
      <c r="AU4087" s="1">
        <v>44354.254201388889</v>
      </c>
      <c r="AV4087" t="s">
        <v>71</v>
      </c>
      <c r="AW4087" t="s">
        <v>72</v>
      </c>
      <c r="AX4087" t="s">
        <v>73</v>
      </c>
    </row>
    <row r="4088" spans="1:50" x14ac:dyDescent="0.3">
      <c r="A4088" t="str">
        <f>"202197B0000"</f>
        <v>202197B0000</v>
      </c>
      <c r="B4088" t="str">
        <f>"202197B00002"</f>
        <v>202197B00002</v>
      </c>
      <c r="C4088" t="str">
        <f t="shared" si="208"/>
        <v>20</v>
      </c>
      <c r="D4088" t="s">
        <v>67</v>
      </c>
      <c r="E4088" t="str">
        <f t="shared" si="209"/>
        <v>018</v>
      </c>
      <c r="F4088" t="s">
        <v>4075</v>
      </c>
      <c r="G4088" t="str">
        <f>"2197"</f>
        <v>2197</v>
      </c>
      <c r="H4088" t="str">
        <f>"0000"</f>
        <v>0000</v>
      </c>
      <c r="I4088" t="s">
        <v>69</v>
      </c>
      <c r="J4088">
        <v>0</v>
      </c>
      <c r="K4088">
        <v>1</v>
      </c>
      <c r="L4088">
        <v>2</v>
      </c>
      <c r="M4088">
        <v>67</v>
      </c>
      <c r="N4088">
        <v>134</v>
      </c>
      <c r="O4088">
        <v>0</v>
      </c>
      <c r="P4088">
        <v>134</v>
      </c>
      <c r="Q4088">
        <v>0</v>
      </c>
      <c r="R4088">
        <v>57</v>
      </c>
      <c r="S4088">
        <v>0</v>
      </c>
      <c r="T4088">
        <v>21</v>
      </c>
      <c r="U4088">
        <v>0</v>
      </c>
      <c r="V4088">
        <v>1</v>
      </c>
      <c r="W4088">
        <v>0</v>
      </c>
      <c r="X4088">
        <v>47</v>
      </c>
      <c r="Y4088">
        <v>1</v>
      </c>
      <c r="Z4088">
        <v>0</v>
      </c>
      <c r="AA4088">
        <v>0</v>
      </c>
      <c r="AB4088">
        <v>6</v>
      </c>
      <c r="AD4088">
        <v>0</v>
      </c>
      <c r="AE4088">
        <v>0</v>
      </c>
      <c r="AF4088">
        <v>0</v>
      </c>
      <c r="AG4088">
        <v>0</v>
      </c>
      <c r="AI4088">
        <v>0</v>
      </c>
      <c r="AJ4088">
        <v>1</v>
      </c>
      <c r="AK4088">
        <v>134</v>
      </c>
      <c r="AL4088">
        <v>134</v>
      </c>
      <c r="AM4088">
        <v>157</v>
      </c>
      <c r="AN4088">
        <v>44</v>
      </c>
      <c r="AP4088">
        <v>1</v>
      </c>
      <c r="AR4088" t="s">
        <v>4187</v>
      </c>
      <c r="AS4088" s="1">
        <v>44354.251388888886</v>
      </c>
      <c r="AT4088" s="1">
        <v>44354.253692129627</v>
      </c>
      <c r="AU4088" s="1">
        <v>44354.254050925927</v>
      </c>
      <c r="AV4088" t="s">
        <v>71</v>
      </c>
      <c r="AW4088" t="s">
        <v>72</v>
      </c>
      <c r="AX4088" t="s">
        <v>73</v>
      </c>
    </row>
    <row r="4089" spans="1:50" x14ac:dyDescent="0.3">
      <c r="A4089" t="str">
        <f>"202198B0000"</f>
        <v>202198B0000</v>
      </c>
      <c r="B4089" t="str">
        <f>"202198B00002"</f>
        <v>202198B00002</v>
      </c>
      <c r="C4089" t="str">
        <f t="shared" si="208"/>
        <v>20</v>
      </c>
      <c r="D4089" t="s">
        <v>67</v>
      </c>
      <c r="E4089" t="str">
        <f t="shared" si="209"/>
        <v>018</v>
      </c>
      <c r="F4089" t="s">
        <v>4075</v>
      </c>
      <c r="G4089" t="str">
        <f>"2198"</f>
        <v>2198</v>
      </c>
      <c r="H4089" t="str">
        <f>"0000"</f>
        <v>0000</v>
      </c>
      <c r="I4089" t="s">
        <v>69</v>
      </c>
      <c r="J4089">
        <v>0</v>
      </c>
      <c r="K4089">
        <v>1</v>
      </c>
      <c r="L4089">
        <v>2</v>
      </c>
      <c r="M4089">
        <v>66</v>
      </c>
      <c r="N4089">
        <v>211</v>
      </c>
      <c r="O4089">
        <v>2</v>
      </c>
      <c r="P4089">
        <v>211</v>
      </c>
      <c r="Q4089">
        <v>0</v>
      </c>
      <c r="R4089">
        <v>62</v>
      </c>
      <c r="S4089">
        <v>0</v>
      </c>
      <c r="T4089">
        <v>11</v>
      </c>
      <c r="U4089">
        <v>5</v>
      </c>
      <c r="V4089">
        <v>1</v>
      </c>
      <c r="W4089">
        <v>1</v>
      </c>
      <c r="X4089">
        <v>126</v>
      </c>
      <c r="Y4089">
        <v>0</v>
      </c>
      <c r="Z4089">
        <v>1</v>
      </c>
      <c r="AA4089">
        <v>2</v>
      </c>
      <c r="AB4089">
        <v>2</v>
      </c>
      <c r="AD4089" t="s">
        <v>77</v>
      </c>
      <c r="AE4089" t="s">
        <v>77</v>
      </c>
      <c r="AF4089" t="s">
        <v>77</v>
      </c>
      <c r="AG4089" t="s">
        <v>77</v>
      </c>
      <c r="AI4089" t="s">
        <v>77</v>
      </c>
      <c r="AJ4089" t="s">
        <v>77</v>
      </c>
      <c r="AK4089">
        <v>211</v>
      </c>
      <c r="AL4089">
        <v>211</v>
      </c>
      <c r="AM4089">
        <v>233</v>
      </c>
      <c r="AN4089">
        <v>44</v>
      </c>
      <c r="AO4089" t="s">
        <v>78</v>
      </c>
      <c r="AP4089">
        <v>1</v>
      </c>
      <c r="AR4089" t="s">
        <v>4188</v>
      </c>
      <c r="AS4089" s="1">
        <v>44354.252083333333</v>
      </c>
      <c r="AT4089" s="1">
        <v>44354.254166666666</v>
      </c>
      <c r="AU4089" s="1">
        <v>44354.255219907405</v>
      </c>
      <c r="AV4089" t="s">
        <v>71</v>
      </c>
      <c r="AW4089" t="s">
        <v>72</v>
      </c>
      <c r="AX4089" t="s">
        <v>73</v>
      </c>
    </row>
    <row r="4090" spans="1:50" x14ac:dyDescent="0.3">
      <c r="A4090" t="str">
        <f>"202200B0000"</f>
        <v>202200B0000</v>
      </c>
      <c r="B4090" t="str">
        <f>"202200B00002"</f>
        <v>202200B00002</v>
      </c>
      <c r="C4090" t="str">
        <f t="shared" si="208"/>
        <v>20</v>
      </c>
      <c r="D4090" t="s">
        <v>67</v>
      </c>
      <c r="E4090" t="str">
        <f t="shared" si="209"/>
        <v>018</v>
      </c>
      <c r="F4090" t="s">
        <v>4075</v>
      </c>
      <c r="G4090" t="str">
        <f t="shared" ref="G4090:G4095" si="210">"2200"</f>
        <v>2200</v>
      </c>
      <c r="H4090" t="str">
        <f>"0000"</f>
        <v>0000</v>
      </c>
      <c r="I4090" t="s">
        <v>69</v>
      </c>
      <c r="J4090">
        <v>0</v>
      </c>
      <c r="K4090">
        <v>1</v>
      </c>
      <c r="L4090">
        <v>2</v>
      </c>
      <c r="M4090">
        <v>273</v>
      </c>
      <c r="N4090">
        <v>330</v>
      </c>
      <c r="O4090">
        <v>8</v>
      </c>
      <c r="P4090">
        <v>330</v>
      </c>
      <c r="Q4090">
        <v>4</v>
      </c>
      <c r="R4090">
        <v>41</v>
      </c>
      <c r="S4090">
        <v>13</v>
      </c>
      <c r="T4090">
        <v>25</v>
      </c>
      <c r="U4090">
        <v>7</v>
      </c>
      <c r="V4090">
        <v>6</v>
      </c>
      <c r="W4090">
        <v>10</v>
      </c>
      <c r="X4090">
        <v>200</v>
      </c>
      <c r="Y4090">
        <v>2</v>
      </c>
      <c r="Z4090">
        <v>1</v>
      </c>
      <c r="AA4090">
        <v>4</v>
      </c>
      <c r="AB4090">
        <v>4</v>
      </c>
      <c r="AD4090">
        <v>1</v>
      </c>
      <c r="AE4090">
        <v>0</v>
      </c>
      <c r="AF4090">
        <v>0</v>
      </c>
      <c r="AG4090">
        <v>0</v>
      </c>
      <c r="AI4090">
        <v>0</v>
      </c>
      <c r="AJ4090">
        <v>12</v>
      </c>
      <c r="AK4090">
        <v>330</v>
      </c>
      <c r="AL4090">
        <v>330</v>
      </c>
      <c r="AM4090">
        <v>559</v>
      </c>
      <c r="AN4090">
        <v>44</v>
      </c>
      <c r="AP4090">
        <v>1</v>
      </c>
      <c r="AR4090" t="s">
        <v>4189</v>
      </c>
      <c r="AS4090" s="1">
        <v>44354.026087962964</v>
      </c>
      <c r="AT4090" s="1">
        <v>44354.032141203701</v>
      </c>
      <c r="AU4090" s="1">
        <v>44354.032743055555</v>
      </c>
      <c r="AV4090" t="s">
        <v>269</v>
      </c>
      <c r="AW4090" t="s">
        <v>270</v>
      </c>
      <c r="AX4090" t="s">
        <v>73</v>
      </c>
    </row>
    <row r="4091" spans="1:50" x14ac:dyDescent="0.3">
      <c r="A4091" t="str">
        <f>"202200C0100"</f>
        <v>202200C0100</v>
      </c>
      <c r="B4091" t="str">
        <f>"202200C01002"</f>
        <v>202200C01002</v>
      </c>
      <c r="C4091" t="str">
        <f t="shared" si="208"/>
        <v>20</v>
      </c>
      <c r="D4091" t="s">
        <v>67</v>
      </c>
      <c r="E4091" t="str">
        <f t="shared" si="209"/>
        <v>018</v>
      </c>
      <c r="F4091" t="s">
        <v>4075</v>
      </c>
      <c r="G4091" t="str">
        <f t="shared" si="210"/>
        <v>2200</v>
      </c>
      <c r="H4091" t="str">
        <f>"0001"</f>
        <v>0001</v>
      </c>
      <c r="I4091" t="s">
        <v>75</v>
      </c>
      <c r="J4091">
        <v>0</v>
      </c>
      <c r="K4091">
        <v>1</v>
      </c>
      <c r="L4091">
        <v>2</v>
      </c>
      <c r="M4091">
        <v>254</v>
      </c>
      <c r="N4091">
        <v>349</v>
      </c>
      <c r="O4091">
        <v>10</v>
      </c>
      <c r="P4091">
        <v>349</v>
      </c>
      <c r="Q4091">
        <v>6</v>
      </c>
      <c r="R4091">
        <v>46</v>
      </c>
      <c r="S4091">
        <v>24</v>
      </c>
      <c r="T4091">
        <v>26</v>
      </c>
      <c r="U4091">
        <v>24</v>
      </c>
      <c r="V4091">
        <v>10</v>
      </c>
      <c r="W4091">
        <v>5</v>
      </c>
      <c r="X4091">
        <v>175</v>
      </c>
      <c r="Y4091">
        <v>2</v>
      </c>
      <c r="Z4091">
        <v>7</v>
      </c>
      <c r="AA4091">
        <v>9</v>
      </c>
      <c r="AB4091">
        <v>3</v>
      </c>
      <c r="AD4091">
        <v>0</v>
      </c>
      <c r="AE4091">
        <v>0</v>
      </c>
      <c r="AF4091">
        <v>0</v>
      </c>
      <c r="AG4091">
        <v>1</v>
      </c>
      <c r="AI4091">
        <v>0</v>
      </c>
      <c r="AJ4091">
        <v>11</v>
      </c>
      <c r="AK4091">
        <v>349</v>
      </c>
      <c r="AL4091">
        <v>349</v>
      </c>
      <c r="AM4091">
        <v>559</v>
      </c>
      <c r="AN4091">
        <v>44</v>
      </c>
      <c r="AP4091">
        <v>1</v>
      </c>
      <c r="AR4091" t="s">
        <v>4190</v>
      </c>
      <c r="AS4091" s="1">
        <v>44354.088194444441</v>
      </c>
      <c r="AT4091" s="1">
        <v>44354.094386574077</v>
      </c>
      <c r="AU4091" s="1">
        <v>44354.095104166663</v>
      </c>
      <c r="AV4091" t="s">
        <v>71</v>
      </c>
      <c r="AW4091" t="s">
        <v>72</v>
      </c>
      <c r="AX4091" t="s">
        <v>73</v>
      </c>
    </row>
    <row r="4092" spans="1:50" x14ac:dyDescent="0.3">
      <c r="A4092" t="str">
        <f>"202200E0100"</f>
        <v>202200E0100</v>
      </c>
      <c r="B4092" t="str">
        <f>"202200E01002"</f>
        <v>202200E01002</v>
      </c>
      <c r="C4092" t="str">
        <f t="shared" si="208"/>
        <v>20</v>
      </c>
      <c r="D4092" t="s">
        <v>67</v>
      </c>
      <c r="E4092" t="str">
        <f t="shared" si="209"/>
        <v>018</v>
      </c>
      <c r="F4092" t="s">
        <v>4075</v>
      </c>
      <c r="G4092" t="str">
        <f t="shared" si="210"/>
        <v>2200</v>
      </c>
      <c r="H4092" t="str">
        <f>"0001"</f>
        <v>0001</v>
      </c>
      <c r="I4092" t="s">
        <v>109</v>
      </c>
      <c r="J4092">
        <v>0</v>
      </c>
      <c r="K4092">
        <v>1</v>
      </c>
      <c r="L4092">
        <v>2</v>
      </c>
      <c r="M4092">
        <v>220</v>
      </c>
      <c r="N4092">
        <v>226</v>
      </c>
      <c r="O4092">
        <v>2</v>
      </c>
      <c r="P4092" t="s">
        <v>80</v>
      </c>
      <c r="Q4092">
        <v>6</v>
      </c>
      <c r="R4092">
        <v>58</v>
      </c>
      <c r="S4092">
        <v>4</v>
      </c>
      <c r="T4092">
        <v>6</v>
      </c>
      <c r="U4092">
        <v>2</v>
      </c>
      <c r="V4092">
        <v>3</v>
      </c>
      <c r="W4092">
        <v>2</v>
      </c>
      <c r="X4092">
        <v>121</v>
      </c>
      <c r="Y4092">
        <v>0</v>
      </c>
      <c r="Z4092">
        <v>2</v>
      </c>
      <c r="AA4092">
        <v>6</v>
      </c>
      <c r="AB4092">
        <v>2</v>
      </c>
      <c r="AD4092">
        <v>0</v>
      </c>
      <c r="AE4092">
        <v>0</v>
      </c>
      <c r="AF4092">
        <v>0</v>
      </c>
      <c r="AG4092">
        <v>0</v>
      </c>
      <c r="AI4092">
        <v>0</v>
      </c>
      <c r="AJ4092">
        <v>14</v>
      </c>
      <c r="AK4092">
        <v>226</v>
      </c>
      <c r="AL4092">
        <v>226</v>
      </c>
      <c r="AM4092">
        <v>402</v>
      </c>
      <c r="AN4092">
        <v>44</v>
      </c>
      <c r="AP4092">
        <v>1</v>
      </c>
      <c r="AR4092" t="s">
        <v>4191</v>
      </c>
      <c r="AS4092" s="1">
        <v>44353.928553240738</v>
      </c>
      <c r="AT4092" s="1">
        <v>44353.931516203702</v>
      </c>
      <c r="AU4092" s="1">
        <v>44353.932152777779</v>
      </c>
      <c r="AV4092" t="s">
        <v>269</v>
      </c>
      <c r="AW4092" t="s">
        <v>270</v>
      </c>
      <c r="AX4092" t="s">
        <v>73</v>
      </c>
    </row>
    <row r="4093" spans="1:50" x14ac:dyDescent="0.3">
      <c r="A4093" t="str">
        <f>"202200E0101"</f>
        <v>202200E0101</v>
      </c>
      <c r="B4093" t="str">
        <f>"202200E01012"</f>
        <v>202200E01012</v>
      </c>
      <c r="C4093" t="str">
        <f t="shared" si="208"/>
        <v>20</v>
      </c>
      <c r="D4093" t="s">
        <v>67</v>
      </c>
      <c r="E4093" t="str">
        <f t="shared" si="209"/>
        <v>018</v>
      </c>
      <c r="F4093" t="s">
        <v>4075</v>
      </c>
      <c r="G4093" t="str">
        <f t="shared" si="210"/>
        <v>2200</v>
      </c>
      <c r="H4093" t="str">
        <f>"0001"</f>
        <v>0001</v>
      </c>
      <c r="I4093" t="s">
        <v>109</v>
      </c>
      <c r="J4093">
        <v>1</v>
      </c>
      <c r="K4093">
        <v>1</v>
      </c>
      <c r="L4093">
        <v>2</v>
      </c>
      <c r="M4093">
        <v>176</v>
      </c>
      <c r="N4093">
        <v>270</v>
      </c>
      <c r="O4093">
        <v>1</v>
      </c>
      <c r="P4093">
        <v>270</v>
      </c>
      <c r="Q4093">
        <v>1</v>
      </c>
      <c r="R4093">
        <v>70</v>
      </c>
      <c r="S4093">
        <v>1</v>
      </c>
      <c r="T4093">
        <v>13</v>
      </c>
      <c r="U4093">
        <v>11</v>
      </c>
      <c r="V4093">
        <v>8</v>
      </c>
      <c r="W4093">
        <v>1</v>
      </c>
      <c r="X4093">
        <v>146</v>
      </c>
      <c r="Y4093">
        <v>0</v>
      </c>
      <c r="Z4093">
        <v>5</v>
      </c>
      <c r="AA4093">
        <v>3</v>
      </c>
      <c r="AB4093">
        <v>6</v>
      </c>
      <c r="AD4093">
        <v>1</v>
      </c>
      <c r="AE4093">
        <v>0</v>
      </c>
      <c r="AF4093">
        <v>0</v>
      </c>
      <c r="AG4093">
        <v>0</v>
      </c>
      <c r="AI4093">
        <v>0</v>
      </c>
      <c r="AJ4093">
        <v>4</v>
      </c>
      <c r="AK4093">
        <v>270</v>
      </c>
      <c r="AL4093">
        <v>270</v>
      </c>
      <c r="AM4093">
        <v>402</v>
      </c>
      <c r="AN4093">
        <v>44</v>
      </c>
      <c r="AP4093">
        <v>1</v>
      </c>
      <c r="AR4093" t="s">
        <v>4192</v>
      </c>
      <c r="AS4093" s="1">
        <v>44353.899826388886</v>
      </c>
      <c r="AT4093" s="1">
        <v>44353.901701388888</v>
      </c>
      <c r="AU4093" s="1">
        <v>44353.902303240742</v>
      </c>
      <c r="AV4093" t="s">
        <v>269</v>
      </c>
      <c r="AW4093" t="s">
        <v>270</v>
      </c>
      <c r="AX4093" t="s">
        <v>73</v>
      </c>
    </row>
    <row r="4094" spans="1:50" x14ac:dyDescent="0.3">
      <c r="A4094" t="str">
        <f>"202200E0200"</f>
        <v>202200E0200</v>
      </c>
      <c r="B4094" t="str">
        <f>"202200E02002"</f>
        <v>202200E02002</v>
      </c>
      <c r="C4094" t="str">
        <f t="shared" si="208"/>
        <v>20</v>
      </c>
      <c r="D4094" t="s">
        <v>67</v>
      </c>
      <c r="E4094" t="str">
        <f t="shared" si="209"/>
        <v>018</v>
      </c>
      <c r="F4094" t="s">
        <v>4075</v>
      </c>
      <c r="G4094" t="str">
        <f t="shared" si="210"/>
        <v>2200</v>
      </c>
      <c r="H4094" t="str">
        <f>"0002"</f>
        <v>0002</v>
      </c>
      <c r="I4094" t="s">
        <v>109</v>
      </c>
      <c r="J4094">
        <v>0</v>
      </c>
      <c r="K4094">
        <v>1</v>
      </c>
      <c r="L4094">
        <v>2</v>
      </c>
      <c r="M4094">
        <v>209</v>
      </c>
      <c r="N4094">
        <v>233</v>
      </c>
      <c r="O4094">
        <v>5</v>
      </c>
      <c r="P4094">
        <v>233</v>
      </c>
      <c r="Q4094">
        <v>6</v>
      </c>
      <c r="R4094">
        <v>42</v>
      </c>
      <c r="S4094">
        <v>10</v>
      </c>
      <c r="T4094">
        <v>4</v>
      </c>
      <c r="U4094">
        <v>32</v>
      </c>
      <c r="V4094">
        <v>14</v>
      </c>
      <c r="W4094">
        <v>8</v>
      </c>
      <c r="X4094">
        <v>96</v>
      </c>
      <c r="Y4094">
        <v>0</v>
      </c>
      <c r="Z4094">
        <v>2</v>
      </c>
      <c r="AA4094">
        <v>4</v>
      </c>
      <c r="AB4094">
        <v>6</v>
      </c>
      <c r="AD4094">
        <v>1</v>
      </c>
      <c r="AE4094">
        <v>0</v>
      </c>
      <c r="AF4094">
        <v>0</v>
      </c>
      <c r="AG4094">
        <v>0</v>
      </c>
      <c r="AI4094">
        <v>2</v>
      </c>
      <c r="AJ4094">
        <v>6</v>
      </c>
      <c r="AK4094">
        <v>233</v>
      </c>
      <c r="AL4094">
        <v>233</v>
      </c>
      <c r="AM4094">
        <v>398</v>
      </c>
      <c r="AN4094">
        <v>44</v>
      </c>
      <c r="AP4094">
        <v>1</v>
      </c>
      <c r="AR4094" t="s">
        <v>4193</v>
      </c>
      <c r="AS4094" s="1">
        <v>44353.910520833335</v>
      </c>
      <c r="AT4094" s="1">
        <v>44353.912638888891</v>
      </c>
      <c r="AU4094" s="1">
        <v>44353.913703703707</v>
      </c>
      <c r="AV4094" t="s">
        <v>269</v>
      </c>
      <c r="AW4094" t="s">
        <v>270</v>
      </c>
      <c r="AX4094" t="s">
        <v>73</v>
      </c>
    </row>
    <row r="4095" spans="1:50" x14ac:dyDescent="0.3">
      <c r="A4095" t="str">
        <f>"202200E0201"</f>
        <v>202200E0201</v>
      </c>
      <c r="B4095" t="str">
        <f>"202200E02012"</f>
        <v>202200E02012</v>
      </c>
      <c r="C4095" t="str">
        <f t="shared" si="208"/>
        <v>20</v>
      </c>
      <c r="D4095" t="s">
        <v>67</v>
      </c>
      <c r="E4095" t="str">
        <f t="shared" si="209"/>
        <v>018</v>
      </c>
      <c r="F4095" t="s">
        <v>4075</v>
      </c>
      <c r="G4095" t="str">
        <f t="shared" si="210"/>
        <v>2200</v>
      </c>
      <c r="H4095" t="str">
        <f>"0002"</f>
        <v>0002</v>
      </c>
      <c r="I4095" t="s">
        <v>109</v>
      </c>
      <c r="J4095">
        <v>1</v>
      </c>
      <c r="K4095">
        <v>1</v>
      </c>
      <c r="L4095">
        <v>2</v>
      </c>
      <c r="M4095">
        <v>194</v>
      </c>
      <c r="N4095">
        <v>247</v>
      </c>
      <c r="O4095">
        <v>1</v>
      </c>
      <c r="P4095">
        <v>247</v>
      </c>
      <c r="Q4095">
        <v>8</v>
      </c>
      <c r="R4095">
        <v>46</v>
      </c>
      <c r="S4095">
        <v>11</v>
      </c>
      <c r="T4095">
        <v>15</v>
      </c>
      <c r="U4095">
        <v>16</v>
      </c>
      <c r="V4095">
        <v>24</v>
      </c>
      <c r="W4095">
        <v>9</v>
      </c>
      <c r="X4095">
        <v>105</v>
      </c>
      <c r="Y4095">
        <v>3</v>
      </c>
      <c r="Z4095">
        <v>1</v>
      </c>
      <c r="AA4095">
        <v>1</v>
      </c>
      <c r="AB4095">
        <v>6</v>
      </c>
      <c r="AD4095">
        <v>0</v>
      </c>
      <c r="AE4095">
        <v>0</v>
      </c>
      <c r="AF4095">
        <v>0</v>
      </c>
      <c r="AG4095">
        <v>0</v>
      </c>
      <c r="AI4095">
        <v>0</v>
      </c>
      <c r="AJ4095">
        <v>2</v>
      </c>
      <c r="AK4095">
        <v>247</v>
      </c>
      <c r="AL4095">
        <v>247</v>
      </c>
      <c r="AM4095">
        <v>397</v>
      </c>
      <c r="AN4095">
        <v>44</v>
      </c>
      <c r="AP4095">
        <v>1</v>
      </c>
      <c r="AR4095" t="s">
        <v>4194</v>
      </c>
      <c r="AS4095" s="1">
        <v>44353.933981481481</v>
      </c>
      <c r="AT4095" s="1">
        <v>44353.935393518521</v>
      </c>
      <c r="AU4095" s="1">
        <v>44353.936412037037</v>
      </c>
      <c r="AV4095" t="s">
        <v>269</v>
      </c>
      <c r="AW4095" t="s">
        <v>270</v>
      </c>
      <c r="AX4095" t="s">
        <v>73</v>
      </c>
    </row>
    <row r="4096" spans="1:50" x14ac:dyDescent="0.3">
      <c r="A4096" t="str">
        <f>"202201B0000"</f>
        <v>202201B0000</v>
      </c>
      <c r="B4096" t="str">
        <f>"202201B00002"</f>
        <v>202201B00002</v>
      </c>
      <c r="C4096" t="str">
        <f t="shared" si="208"/>
        <v>20</v>
      </c>
      <c r="D4096" t="s">
        <v>67</v>
      </c>
      <c r="E4096" t="str">
        <f t="shared" si="209"/>
        <v>018</v>
      </c>
      <c r="F4096" t="s">
        <v>4075</v>
      </c>
      <c r="G4096" t="str">
        <f>"2201"</f>
        <v>2201</v>
      </c>
      <c r="H4096" t="str">
        <f>"0000"</f>
        <v>0000</v>
      </c>
      <c r="I4096" t="s">
        <v>69</v>
      </c>
      <c r="J4096">
        <v>0</v>
      </c>
      <c r="K4096">
        <v>1</v>
      </c>
      <c r="L4096">
        <v>2</v>
      </c>
      <c r="M4096">
        <v>291</v>
      </c>
      <c r="N4096">
        <v>335</v>
      </c>
      <c r="O4096">
        <v>7</v>
      </c>
      <c r="P4096">
        <v>334</v>
      </c>
      <c r="Q4096">
        <v>14</v>
      </c>
      <c r="R4096">
        <v>42</v>
      </c>
      <c r="S4096">
        <v>8</v>
      </c>
      <c r="T4096">
        <v>24</v>
      </c>
      <c r="U4096">
        <v>11</v>
      </c>
      <c r="V4096">
        <v>9</v>
      </c>
      <c r="W4096">
        <v>15</v>
      </c>
      <c r="X4096">
        <v>185</v>
      </c>
      <c r="Y4096">
        <v>0</v>
      </c>
      <c r="Z4096">
        <v>3</v>
      </c>
      <c r="AA4096">
        <v>4</v>
      </c>
      <c r="AB4096">
        <v>14</v>
      </c>
      <c r="AD4096" t="s">
        <v>77</v>
      </c>
      <c r="AE4096" t="s">
        <v>77</v>
      </c>
      <c r="AF4096" t="s">
        <v>77</v>
      </c>
      <c r="AG4096" t="s">
        <v>77</v>
      </c>
      <c r="AI4096" t="s">
        <v>77</v>
      </c>
      <c r="AJ4096">
        <v>5</v>
      </c>
      <c r="AK4096">
        <v>334</v>
      </c>
      <c r="AL4096">
        <v>334</v>
      </c>
      <c r="AM4096">
        <v>584</v>
      </c>
      <c r="AN4096">
        <v>44</v>
      </c>
      <c r="AO4096" t="s">
        <v>78</v>
      </c>
      <c r="AP4096">
        <v>1</v>
      </c>
      <c r="AR4096" t="s">
        <v>4195</v>
      </c>
      <c r="AS4096" s="1">
        <v>44354.2</v>
      </c>
      <c r="AT4096" s="1">
        <v>44354.202002314814</v>
      </c>
      <c r="AU4096" s="1">
        <v>44354.202592592592</v>
      </c>
      <c r="AV4096" t="s">
        <v>71</v>
      </c>
      <c r="AW4096" t="s">
        <v>72</v>
      </c>
      <c r="AX4096" t="s">
        <v>73</v>
      </c>
    </row>
    <row r="4097" spans="1:50" x14ac:dyDescent="0.3">
      <c r="A4097" t="str">
        <f>"202201C0100"</f>
        <v>202201C0100</v>
      </c>
      <c r="B4097" t="str">
        <f>"202201C01002"</f>
        <v>202201C01002</v>
      </c>
      <c r="C4097" t="str">
        <f t="shared" si="208"/>
        <v>20</v>
      </c>
      <c r="D4097" t="s">
        <v>67</v>
      </c>
      <c r="E4097" t="str">
        <f t="shared" si="209"/>
        <v>018</v>
      </c>
      <c r="F4097" t="s">
        <v>4075</v>
      </c>
      <c r="G4097" t="str">
        <f>"2201"</f>
        <v>2201</v>
      </c>
      <c r="H4097" t="str">
        <f>"0001"</f>
        <v>0001</v>
      </c>
      <c r="I4097" t="s">
        <v>75</v>
      </c>
      <c r="J4097">
        <v>0</v>
      </c>
      <c r="K4097">
        <v>1</v>
      </c>
      <c r="L4097">
        <v>2</v>
      </c>
      <c r="M4097">
        <v>270</v>
      </c>
      <c r="N4097">
        <v>357</v>
      </c>
      <c r="O4097">
        <v>8</v>
      </c>
      <c r="P4097">
        <v>363</v>
      </c>
      <c r="Q4097">
        <v>13</v>
      </c>
      <c r="R4097">
        <v>34</v>
      </c>
      <c r="S4097">
        <v>7</v>
      </c>
      <c r="T4097">
        <v>26</v>
      </c>
      <c r="U4097">
        <v>14</v>
      </c>
      <c r="V4097">
        <v>10</v>
      </c>
      <c r="W4097">
        <v>13</v>
      </c>
      <c r="X4097">
        <v>206</v>
      </c>
      <c r="Y4097">
        <v>5</v>
      </c>
      <c r="Z4097">
        <v>4</v>
      </c>
      <c r="AA4097">
        <v>3</v>
      </c>
      <c r="AB4097">
        <v>9</v>
      </c>
      <c r="AD4097">
        <v>1</v>
      </c>
      <c r="AE4097">
        <v>1</v>
      </c>
      <c r="AF4097">
        <v>0</v>
      </c>
      <c r="AG4097">
        <v>0</v>
      </c>
      <c r="AI4097">
        <v>1</v>
      </c>
      <c r="AJ4097">
        <v>16</v>
      </c>
      <c r="AK4097">
        <v>363</v>
      </c>
      <c r="AL4097">
        <v>363</v>
      </c>
      <c r="AM4097">
        <v>584</v>
      </c>
      <c r="AN4097">
        <v>44</v>
      </c>
      <c r="AP4097">
        <v>1</v>
      </c>
      <c r="AR4097" t="s">
        <v>4196</v>
      </c>
      <c r="AS4097" s="1">
        <v>44354.195833333331</v>
      </c>
      <c r="AT4097" s="1">
        <v>44354.197777777779</v>
      </c>
      <c r="AU4097" s="1">
        <v>44354.198564814818</v>
      </c>
      <c r="AV4097" t="s">
        <v>71</v>
      </c>
      <c r="AW4097" t="s">
        <v>72</v>
      </c>
      <c r="AX4097" t="s">
        <v>73</v>
      </c>
    </row>
    <row r="4098" spans="1:50" x14ac:dyDescent="0.3">
      <c r="A4098" t="str">
        <f>"202201C0200"</f>
        <v>202201C0200</v>
      </c>
      <c r="B4098" t="str">
        <f>"202201C02002"</f>
        <v>202201C02002</v>
      </c>
      <c r="C4098" t="str">
        <f t="shared" si="208"/>
        <v>20</v>
      </c>
      <c r="D4098" t="s">
        <v>67</v>
      </c>
      <c r="E4098" t="str">
        <f t="shared" si="209"/>
        <v>018</v>
      </c>
      <c r="F4098" t="s">
        <v>4075</v>
      </c>
      <c r="G4098" t="str">
        <f>"2201"</f>
        <v>2201</v>
      </c>
      <c r="H4098" t="str">
        <f>"0002"</f>
        <v>0002</v>
      </c>
      <c r="I4098" t="s">
        <v>75</v>
      </c>
      <c r="J4098">
        <v>0</v>
      </c>
      <c r="K4098">
        <v>1</v>
      </c>
      <c r="L4098">
        <v>2</v>
      </c>
      <c r="M4098">
        <v>282</v>
      </c>
      <c r="N4098">
        <v>345</v>
      </c>
      <c r="O4098">
        <v>7</v>
      </c>
      <c r="P4098">
        <v>342</v>
      </c>
      <c r="Q4098">
        <v>13</v>
      </c>
      <c r="R4098">
        <v>28</v>
      </c>
      <c r="S4098">
        <v>6</v>
      </c>
      <c r="T4098">
        <v>24</v>
      </c>
      <c r="U4098">
        <v>13</v>
      </c>
      <c r="V4098">
        <v>6</v>
      </c>
      <c r="W4098">
        <v>16</v>
      </c>
      <c r="X4098">
        <v>213</v>
      </c>
      <c r="Y4098">
        <v>2</v>
      </c>
      <c r="Z4098">
        <v>3</v>
      </c>
      <c r="AA4098">
        <v>1</v>
      </c>
      <c r="AB4098">
        <v>7</v>
      </c>
      <c r="AD4098">
        <v>0</v>
      </c>
      <c r="AE4098">
        <v>0</v>
      </c>
      <c r="AF4098">
        <v>0</v>
      </c>
      <c r="AG4098">
        <v>0</v>
      </c>
      <c r="AI4098">
        <v>0</v>
      </c>
      <c r="AJ4098">
        <v>10</v>
      </c>
      <c r="AK4098">
        <v>342</v>
      </c>
      <c r="AL4098">
        <v>342</v>
      </c>
      <c r="AM4098">
        <v>583</v>
      </c>
      <c r="AN4098">
        <v>44</v>
      </c>
      <c r="AP4098">
        <v>1</v>
      </c>
      <c r="AR4098" t="s">
        <v>4197</v>
      </c>
      <c r="AS4098" s="1">
        <v>44354.214583333334</v>
      </c>
      <c r="AT4098" s="1">
        <v>44354.216678240744</v>
      </c>
      <c r="AU4098" s="1">
        <v>44354.217430555553</v>
      </c>
      <c r="AV4098" t="s">
        <v>71</v>
      </c>
      <c r="AW4098" t="s">
        <v>72</v>
      </c>
      <c r="AX4098" t="s">
        <v>73</v>
      </c>
    </row>
    <row r="4099" spans="1:50" x14ac:dyDescent="0.3">
      <c r="A4099" t="str">
        <f>"202202B0000"</f>
        <v>202202B0000</v>
      </c>
      <c r="B4099" t="str">
        <f>"202202B00002"</f>
        <v>202202B00002</v>
      </c>
      <c r="C4099" t="str">
        <f t="shared" si="208"/>
        <v>20</v>
      </c>
      <c r="D4099" t="s">
        <v>67</v>
      </c>
      <c r="E4099" t="str">
        <f t="shared" si="209"/>
        <v>018</v>
      </c>
      <c r="F4099" t="s">
        <v>4075</v>
      </c>
      <c r="G4099" t="str">
        <f>"2202"</f>
        <v>2202</v>
      </c>
      <c r="H4099" t="str">
        <f>"0000"</f>
        <v>0000</v>
      </c>
      <c r="I4099" t="s">
        <v>69</v>
      </c>
      <c r="J4099">
        <v>0</v>
      </c>
      <c r="K4099">
        <v>1</v>
      </c>
      <c r="L4099">
        <v>2</v>
      </c>
      <c r="M4099">
        <v>328</v>
      </c>
      <c r="N4099">
        <v>385</v>
      </c>
      <c r="O4099">
        <v>3</v>
      </c>
      <c r="P4099">
        <v>382</v>
      </c>
      <c r="Q4099">
        <v>15</v>
      </c>
      <c r="R4099">
        <v>44</v>
      </c>
      <c r="S4099">
        <v>10</v>
      </c>
      <c r="T4099">
        <v>31</v>
      </c>
      <c r="U4099">
        <v>16</v>
      </c>
      <c r="V4099">
        <v>12</v>
      </c>
      <c r="W4099">
        <v>8</v>
      </c>
      <c r="X4099">
        <v>207</v>
      </c>
      <c r="Y4099">
        <v>2</v>
      </c>
      <c r="Z4099">
        <v>0</v>
      </c>
      <c r="AA4099">
        <v>11</v>
      </c>
      <c r="AB4099">
        <v>13</v>
      </c>
      <c r="AD4099">
        <v>2</v>
      </c>
      <c r="AE4099" t="s">
        <v>77</v>
      </c>
      <c r="AF4099" t="s">
        <v>77</v>
      </c>
      <c r="AG4099" t="s">
        <v>77</v>
      </c>
      <c r="AI4099" t="s">
        <v>77</v>
      </c>
      <c r="AJ4099">
        <v>11</v>
      </c>
      <c r="AK4099">
        <v>382</v>
      </c>
      <c r="AL4099">
        <v>382</v>
      </c>
      <c r="AM4099">
        <v>670</v>
      </c>
      <c r="AN4099">
        <v>44</v>
      </c>
      <c r="AO4099" t="s">
        <v>78</v>
      </c>
      <c r="AP4099">
        <v>1</v>
      </c>
      <c r="AR4099" t="s">
        <v>4198</v>
      </c>
      <c r="AS4099" s="1">
        <v>44354.198611111111</v>
      </c>
      <c r="AT4099" s="1">
        <v>44354.200428240743</v>
      </c>
      <c r="AU4099" s="1">
        <v>44354.200787037036</v>
      </c>
      <c r="AV4099" t="s">
        <v>71</v>
      </c>
      <c r="AW4099" t="s">
        <v>72</v>
      </c>
      <c r="AX4099" t="s">
        <v>73</v>
      </c>
    </row>
    <row r="4100" spans="1:50" x14ac:dyDescent="0.3">
      <c r="A4100" t="str">
        <f>"202202C0100"</f>
        <v>202202C0100</v>
      </c>
      <c r="B4100" t="str">
        <f>"202202C01002"</f>
        <v>202202C01002</v>
      </c>
      <c r="C4100" t="str">
        <f t="shared" si="208"/>
        <v>20</v>
      </c>
      <c r="D4100" t="s">
        <v>67</v>
      </c>
      <c r="E4100" t="str">
        <f t="shared" si="209"/>
        <v>018</v>
      </c>
      <c r="F4100" t="s">
        <v>4075</v>
      </c>
      <c r="G4100" t="str">
        <f>"2202"</f>
        <v>2202</v>
      </c>
      <c r="H4100" t="str">
        <f>"0001"</f>
        <v>0001</v>
      </c>
      <c r="I4100" t="s">
        <v>75</v>
      </c>
      <c r="J4100">
        <v>0</v>
      </c>
      <c r="K4100">
        <v>1</v>
      </c>
      <c r="L4100">
        <v>2</v>
      </c>
      <c r="M4100">
        <v>317</v>
      </c>
      <c r="N4100">
        <v>397</v>
      </c>
      <c r="O4100">
        <v>4</v>
      </c>
      <c r="P4100">
        <v>400</v>
      </c>
      <c r="Q4100">
        <v>12</v>
      </c>
      <c r="R4100">
        <v>59</v>
      </c>
      <c r="S4100">
        <v>11</v>
      </c>
      <c r="T4100">
        <v>43</v>
      </c>
      <c r="U4100">
        <v>11</v>
      </c>
      <c r="V4100">
        <v>6</v>
      </c>
      <c r="W4100">
        <v>4</v>
      </c>
      <c r="X4100">
        <v>219</v>
      </c>
      <c r="Y4100">
        <v>4</v>
      </c>
      <c r="Z4100">
        <v>2</v>
      </c>
      <c r="AA4100">
        <v>7</v>
      </c>
      <c r="AB4100">
        <v>5</v>
      </c>
      <c r="AD4100">
        <v>0</v>
      </c>
      <c r="AE4100">
        <v>0</v>
      </c>
      <c r="AF4100">
        <v>0</v>
      </c>
      <c r="AG4100">
        <v>0</v>
      </c>
      <c r="AI4100">
        <v>0</v>
      </c>
      <c r="AJ4100">
        <v>17</v>
      </c>
      <c r="AK4100">
        <v>400</v>
      </c>
      <c r="AL4100">
        <v>400</v>
      </c>
      <c r="AM4100">
        <v>670</v>
      </c>
      <c r="AN4100">
        <v>44</v>
      </c>
      <c r="AP4100">
        <v>1</v>
      </c>
      <c r="AR4100" t="s">
        <v>4199</v>
      </c>
      <c r="AS4100" s="1">
        <v>44354.256249999999</v>
      </c>
      <c r="AT4100" s="1">
        <v>44354.258090277777</v>
      </c>
      <c r="AU4100" s="1">
        <v>44354.258657407408</v>
      </c>
      <c r="AV4100" t="s">
        <v>71</v>
      </c>
      <c r="AW4100" t="s">
        <v>72</v>
      </c>
      <c r="AX4100" t="s">
        <v>73</v>
      </c>
    </row>
    <row r="4101" spans="1:50" x14ac:dyDescent="0.3">
      <c r="A4101" t="str">
        <f>"202203B0000"</f>
        <v>202203B0000</v>
      </c>
      <c r="B4101" t="str">
        <f>"202203B00002"</f>
        <v>202203B00002</v>
      </c>
      <c r="C4101" t="str">
        <f t="shared" si="208"/>
        <v>20</v>
      </c>
      <c r="D4101" t="s">
        <v>67</v>
      </c>
      <c r="E4101" t="str">
        <f t="shared" si="209"/>
        <v>018</v>
      </c>
      <c r="F4101" t="s">
        <v>4075</v>
      </c>
      <c r="G4101" t="str">
        <f>"2203"</f>
        <v>2203</v>
      </c>
      <c r="H4101" t="str">
        <f>"0000"</f>
        <v>0000</v>
      </c>
      <c r="I4101" t="s">
        <v>69</v>
      </c>
      <c r="J4101">
        <v>0</v>
      </c>
      <c r="K4101">
        <v>1</v>
      </c>
      <c r="L4101">
        <v>2</v>
      </c>
      <c r="M4101">
        <v>203</v>
      </c>
      <c r="N4101">
        <v>280</v>
      </c>
      <c r="O4101">
        <v>9</v>
      </c>
      <c r="P4101">
        <v>280</v>
      </c>
      <c r="Q4101">
        <v>7</v>
      </c>
      <c r="R4101">
        <v>37</v>
      </c>
      <c r="S4101">
        <v>2</v>
      </c>
      <c r="T4101">
        <v>21</v>
      </c>
      <c r="U4101">
        <v>15</v>
      </c>
      <c r="V4101">
        <v>15</v>
      </c>
      <c r="W4101">
        <v>5</v>
      </c>
      <c r="X4101">
        <v>154</v>
      </c>
      <c r="Y4101">
        <v>2</v>
      </c>
      <c r="Z4101">
        <v>1</v>
      </c>
      <c r="AA4101">
        <v>4</v>
      </c>
      <c r="AB4101">
        <v>1</v>
      </c>
      <c r="AD4101">
        <v>0</v>
      </c>
      <c r="AE4101">
        <v>0</v>
      </c>
      <c r="AF4101">
        <v>0</v>
      </c>
      <c r="AG4101">
        <v>0</v>
      </c>
      <c r="AI4101">
        <v>1</v>
      </c>
      <c r="AJ4101">
        <v>15</v>
      </c>
      <c r="AK4101">
        <v>280</v>
      </c>
      <c r="AL4101">
        <v>280</v>
      </c>
      <c r="AM4101">
        <v>439</v>
      </c>
      <c r="AN4101">
        <v>44</v>
      </c>
      <c r="AP4101">
        <v>1</v>
      </c>
      <c r="AR4101" t="s">
        <v>4200</v>
      </c>
      <c r="AS4101" s="1">
        <v>44353.844872685186</v>
      </c>
      <c r="AT4101" s="1">
        <v>44353.846875000003</v>
      </c>
      <c r="AU4101" s="1">
        <v>44353.848263888889</v>
      </c>
      <c r="AV4101" t="s">
        <v>269</v>
      </c>
      <c r="AW4101" t="s">
        <v>270</v>
      </c>
      <c r="AX4101" t="s">
        <v>73</v>
      </c>
    </row>
    <row r="4102" spans="1:50" x14ac:dyDescent="0.3">
      <c r="A4102" t="str">
        <f>"202203C0100"</f>
        <v>202203C0100</v>
      </c>
      <c r="B4102" t="str">
        <f>"202203C01002"</f>
        <v>202203C01002</v>
      </c>
      <c r="C4102" t="str">
        <f t="shared" si="208"/>
        <v>20</v>
      </c>
      <c r="D4102" t="s">
        <v>67</v>
      </c>
      <c r="E4102" t="str">
        <f t="shared" si="209"/>
        <v>018</v>
      </c>
      <c r="F4102" t="s">
        <v>4075</v>
      </c>
      <c r="G4102" t="str">
        <f>"2203"</f>
        <v>2203</v>
      </c>
      <c r="H4102" t="str">
        <f>"0001"</f>
        <v>0001</v>
      </c>
      <c r="I4102" t="s">
        <v>75</v>
      </c>
      <c r="J4102">
        <v>0</v>
      </c>
      <c r="K4102">
        <v>1</v>
      </c>
      <c r="L4102">
        <v>2</v>
      </c>
      <c r="M4102">
        <v>194</v>
      </c>
      <c r="N4102">
        <v>288</v>
      </c>
      <c r="O4102">
        <v>9</v>
      </c>
      <c r="P4102" t="s">
        <v>80</v>
      </c>
      <c r="Q4102">
        <v>9</v>
      </c>
      <c r="R4102">
        <v>36</v>
      </c>
      <c r="S4102">
        <v>3</v>
      </c>
      <c r="T4102">
        <v>35</v>
      </c>
      <c r="U4102">
        <v>9</v>
      </c>
      <c r="V4102">
        <v>11</v>
      </c>
      <c r="W4102">
        <v>5</v>
      </c>
      <c r="X4102">
        <v>157</v>
      </c>
      <c r="Y4102">
        <v>1</v>
      </c>
      <c r="Z4102">
        <v>1</v>
      </c>
      <c r="AA4102">
        <v>7</v>
      </c>
      <c r="AB4102">
        <v>6</v>
      </c>
      <c r="AD4102">
        <v>1</v>
      </c>
      <c r="AE4102">
        <v>0</v>
      </c>
      <c r="AF4102">
        <v>0</v>
      </c>
      <c r="AG4102">
        <v>0</v>
      </c>
      <c r="AI4102">
        <v>0</v>
      </c>
      <c r="AJ4102">
        <v>7</v>
      </c>
      <c r="AK4102">
        <v>288</v>
      </c>
      <c r="AL4102">
        <v>288</v>
      </c>
      <c r="AM4102">
        <v>438</v>
      </c>
      <c r="AN4102">
        <v>44</v>
      </c>
      <c r="AP4102">
        <v>1</v>
      </c>
      <c r="AR4102" t="s">
        <v>4201</v>
      </c>
      <c r="AS4102" s="1">
        <v>44353.847372685188</v>
      </c>
      <c r="AT4102" s="1">
        <v>44353.850717592592</v>
      </c>
      <c r="AU4102" s="1">
        <v>44353.851435185185</v>
      </c>
      <c r="AV4102" t="s">
        <v>269</v>
      </c>
      <c r="AW4102" t="s">
        <v>270</v>
      </c>
      <c r="AX4102" t="s">
        <v>73</v>
      </c>
    </row>
    <row r="4103" spans="1:50" x14ac:dyDescent="0.3">
      <c r="A4103" t="str">
        <f>"202204B0000"</f>
        <v>202204B0000</v>
      </c>
      <c r="B4103" t="str">
        <f>"202204B00002"</f>
        <v>202204B00002</v>
      </c>
      <c r="C4103" t="str">
        <f t="shared" ref="C4103:C4166" si="211">"20"</f>
        <v>20</v>
      </c>
      <c r="D4103" t="s">
        <v>67</v>
      </c>
      <c r="E4103" t="str">
        <f t="shared" si="209"/>
        <v>018</v>
      </c>
      <c r="F4103" t="s">
        <v>4075</v>
      </c>
      <c r="G4103" t="str">
        <f>"2204"</f>
        <v>2204</v>
      </c>
      <c r="H4103" t="str">
        <f>"0000"</f>
        <v>0000</v>
      </c>
      <c r="I4103" t="s">
        <v>69</v>
      </c>
      <c r="J4103">
        <v>0</v>
      </c>
      <c r="K4103">
        <v>1</v>
      </c>
      <c r="L4103">
        <v>2</v>
      </c>
      <c r="M4103">
        <v>223</v>
      </c>
      <c r="N4103">
        <v>338</v>
      </c>
      <c r="O4103">
        <v>5</v>
      </c>
      <c r="P4103" t="s">
        <v>80</v>
      </c>
      <c r="Q4103">
        <v>11</v>
      </c>
      <c r="R4103">
        <v>28</v>
      </c>
      <c r="S4103">
        <v>2</v>
      </c>
      <c r="T4103">
        <v>26</v>
      </c>
      <c r="U4103">
        <v>9</v>
      </c>
      <c r="V4103">
        <v>6</v>
      </c>
      <c r="W4103">
        <v>5</v>
      </c>
      <c r="X4103">
        <v>215</v>
      </c>
      <c r="Y4103">
        <v>3</v>
      </c>
      <c r="Z4103">
        <v>1</v>
      </c>
      <c r="AA4103">
        <v>4</v>
      </c>
      <c r="AB4103">
        <v>15</v>
      </c>
      <c r="AD4103" t="s">
        <v>77</v>
      </c>
      <c r="AE4103" t="s">
        <v>77</v>
      </c>
      <c r="AF4103" t="s">
        <v>77</v>
      </c>
      <c r="AG4103" t="s">
        <v>77</v>
      </c>
      <c r="AI4103" t="s">
        <v>77</v>
      </c>
      <c r="AJ4103">
        <v>10</v>
      </c>
      <c r="AK4103">
        <v>338</v>
      </c>
      <c r="AL4103">
        <v>335</v>
      </c>
      <c r="AM4103">
        <v>517</v>
      </c>
      <c r="AN4103">
        <v>44</v>
      </c>
      <c r="AO4103" t="s">
        <v>78</v>
      </c>
      <c r="AP4103">
        <v>1</v>
      </c>
      <c r="AR4103" t="s">
        <v>4202</v>
      </c>
      <c r="AS4103" s="1">
        <v>44354.024467592593</v>
      </c>
      <c r="AT4103" s="1">
        <v>44354.031307870369</v>
      </c>
      <c r="AU4103" s="1">
        <v>44354.031747685185</v>
      </c>
      <c r="AV4103" t="s">
        <v>269</v>
      </c>
      <c r="AW4103" t="s">
        <v>270</v>
      </c>
      <c r="AX4103" t="s">
        <v>73</v>
      </c>
    </row>
    <row r="4104" spans="1:50" x14ac:dyDescent="0.3">
      <c r="A4104" t="str">
        <f>"202204C0100"</f>
        <v>202204C0100</v>
      </c>
      <c r="B4104" t="str">
        <f>"202204C01002"</f>
        <v>202204C01002</v>
      </c>
      <c r="C4104" t="str">
        <f t="shared" si="211"/>
        <v>20</v>
      </c>
      <c r="D4104" t="s">
        <v>67</v>
      </c>
      <c r="E4104" t="str">
        <f t="shared" si="209"/>
        <v>018</v>
      </c>
      <c r="F4104" t="s">
        <v>4075</v>
      </c>
      <c r="G4104" t="str">
        <f>"2204"</f>
        <v>2204</v>
      </c>
      <c r="H4104" t="str">
        <f>"0001"</f>
        <v>0001</v>
      </c>
      <c r="I4104" t="s">
        <v>75</v>
      </c>
      <c r="J4104">
        <v>0</v>
      </c>
      <c r="K4104">
        <v>1</v>
      </c>
      <c r="L4104">
        <v>2</v>
      </c>
      <c r="M4104">
        <v>256</v>
      </c>
      <c r="N4104">
        <v>304</v>
      </c>
      <c r="O4104">
        <v>3</v>
      </c>
      <c r="P4104">
        <v>304</v>
      </c>
      <c r="Q4104">
        <v>9</v>
      </c>
      <c r="R4104">
        <v>33</v>
      </c>
      <c r="S4104">
        <v>1</v>
      </c>
      <c r="T4104">
        <v>26</v>
      </c>
      <c r="U4104">
        <v>13</v>
      </c>
      <c r="V4104">
        <v>3</v>
      </c>
      <c r="W4104">
        <v>2</v>
      </c>
      <c r="X4104">
        <v>195</v>
      </c>
      <c r="Y4104">
        <v>0</v>
      </c>
      <c r="Z4104">
        <v>2</v>
      </c>
      <c r="AA4104">
        <v>4</v>
      </c>
      <c r="AB4104">
        <v>6</v>
      </c>
      <c r="AD4104">
        <v>0</v>
      </c>
      <c r="AE4104">
        <v>0</v>
      </c>
      <c r="AF4104">
        <v>0</v>
      </c>
      <c r="AG4104">
        <v>0</v>
      </c>
      <c r="AI4104">
        <v>1</v>
      </c>
      <c r="AJ4104">
        <v>4</v>
      </c>
      <c r="AK4104">
        <v>304</v>
      </c>
      <c r="AL4104">
        <v>299</v>
      </c>
      <c r="AM4104">
        <v>516</v>
      </c>
      <c r="AN4104">
        <v>44</v>
      </c>
      <c r="AP4104">
        <v>1</v>
      </c>
      <c r="AR4104" t="s">
        <v>4203</v>
      </c>
      <c r="AS4104" s="1">
        <v>44354.025277777779</v>
      </c>
      <c r="AT4104" s="1">
        <v>44354.031469907408</v>
      </c>
      <c r="AU4104" s="1">
        <v>44354.032013888886</v>
      </c>
      <c r="AV4104" t="s">
        <v>269</v>
      </c>
      <c r="AW4104" t="s">
        <v>270</v>
      </c>
      <c r="AX4104" t="s">
        <v>73</v>
      </c>
    </row>
    <row r="4105" spans="1:50" x14ac:dyDescent="0.3">
      <c r="A4105" t="str">
        <f>"202205B0000"</f>
        <v>202205B0000</v>
      </c>
      <c r="B4105" t="str">
        <f>"202205B00002"</f>
        <v>202205B00002</v>
      </c>
      <c r="C4105" t="str">
        <f t="shared" si="211"/>
        <v>20</v>
      </c>
      <c r="D4105" t="s">
        <v>67</v>
      </c>
      <c r="E4105" t="str">
        <f t="shared" ref="E4105:E4168" si="212">"018"</f>
        <v>018</v>
      </c>
      <c r="F4105" t="s">
        <v>4075</v>
      </c>
      <c r="G4105" t="str">
        <f>"2205"</f>
        <v>2205</v>
      </c>
      <c r="H4105" t="str">
        <f>"0000"</f>
        <v>0000</v>
      </c>
      <c r="I4105" t="s">
        <v>69</v>
      </c>
      <c r="J4105">
        <v>0</v>
      </c>
      <c r="K4105">
        <v>1</v>
      </c>
      <c r="L4105">
        <v>2</v>
      </c>
      <c r="M4105">
        <v>209</v>
      </c>
      <c r="N4105">
        <v>376</v>
      </c>
      <c r="O4105">
        <v>3</v>
      </c>
      <c r="P4105">
        <v>375</v>
      </c>
      <c r="Q4105">
        <v>7</v>
      </c>
      <c r="R4105">
        <v>38</v>
      </c>
      <c r="S4105">
        <v>7</v>
      </c>
      <c r="T4105">
        <v>14</v>
      </c>
      <c r="U4105">
        <v>15</v>
      </c>
      <c r="V4105">
        <v>9</v>
      </c>
      <c r="W4105">
        <v>0</v>
      </c>
      <c r="X4105">
        <v>253</v>
      </c>
      <c r="Y4105">
        <v>2</v>
      </c>
      <c r="Z4105">
        <v>4</v>
      </c>
      <c r="AA4105">
        <v>5</v>
      </c>
      <c r="AB4105">
        <v>9</v>
      </c>
      <c r="AD4105" t="s">
        <v>77</v>
      </c>
      <c r="AE4105">
        <v>1</v>
      </c>
      <c r="AF4105" t="s">
        <v>77</v>
      </c>
      <c r="AG4105" t="s">
        <v>77</v>
      </c>
      <c r="AI4105" t="s">
        <v>77</v>
      </c>
      <c r="AJ4105">
        <v>11</v>
      </c>
      <c r="AK4105">
        <v>375</v>
      </c>
      <c r="AL4105">
        <v>375</v>
      </c>
      <c r="AM4105">
        <v>541</v>
      </c>
      <c r="AN4105">
        <v>44</v>
      </c>
      <c r="AO4105" t="s">
        <v>78</v>
      </c>
      <c r="AP4105">
        <v>1</v>
      </c>
      <c r="AR4105" t="s">
        <v>4204</v>
      </c>
      <c r="AS4105" s="1">
        <v>44353.936782407407</v>
      </c>
      <c r="AT4105" s="1">
        <v>44353.939733796295</v>
      </c>
      <c r="AU4105" s="1">
        <v>44353.940648148149</v>
      </c>
      <c r="AV4105" t="s">
        <v>269</v>
      </c>
      <c r="AW4105" t="s">
        <v>270</v>
      </c>
      <c r="AX4105" t="s">
        <v>73</v>
      </c>
    </row>
    <row r="4106" spans="1:50" x14ac:dyDescent="0.3">
      <c r="A4106" t="str">
        <f>"202205C0100"</f>
        <v>202205C0100</v>
      </c>
      <c r="B4106" t="str">
        <f>"202205C01002"</f>
        <v>202205C01002</v>
      </c>
      <c r="C4106" t="str">
        <f t="shared" si="211"/>
        <v>20</v>
      </c>
      <c r="D4106" t="s">
        <v>67</v>
      </c>
      <c r="E4106" t="str">
        <f t="shared" si="212"/>
        <v>018</v>
      </c>
      <c r="F4106" t="s">
        <v>4075</v>
      </c>
      <c r="G4106" t="str">
        <f>"2205"</f>
        <v>2205</v>
      </c>
      <c r="H4106" t="str">
        <f>"0001"</f>
        <v>0001</v>
      </c>
      <c r="I4106" t="s">
        <v>75</v>
      </c>
      <c r="J4106">
        <v>0</v>
      </c>
      <c r="K4106">
        <v>1</v>
      </c>
      <c r="L4106">
        <v>2</v>
      </c>
      <c r="M4106">
        <v>214</v>
      </c>
      <c r="N4106">
        <v>371</v>
      </c>
      <c r="O4106">
        <v>1</v>
      </c>
      <c r="P4106">
        <v>369</v>
      </c>
      <c r="Q4106">
        <v>9</v>
      </c>
      <c r="R4106">
        <v>25</v>
      </c>
      <c r="S4106">
        <v>6</v>
      </c>
      <c r="T4106">
        <v>18</v>
      </c>
      <c r="U4106">
        <v>8</v>
      </c>
      <c r="V4106">
        <v>4</v>
      </c>
      <c r="W4106">
        <v>3</v>
      </c>
      <c r="X4106">
        <v>269</v>
      </c>
      <c r="Y4106">
        <v>3</v>
      </c>
      <c r="Z4106">
        <v>5</v>
      </c>
      <c r="AA4106">
        <v>4</v>
      </c>
      <c r="AB4106">
        <v>5</v>
      </c>
      <c r="AD4106" t="s">
        <v>77</v>
      </c>
      <c r="AE4106" t="s">
        <v>77</v>
      </c>
      <c r="AF4106" t="s">
        <v>77</v>
      </c>
      <c r="AG4106" t="s">
        <v>77</v>
      </c>
      <c r="AI4106">
        <v>2</v>
      </c>
      <c r="AJ4106">
        <v>8</v>
      </c>
      <c r="AK4106">
        <v>369</v>
      </c>
      <c r="AL4106">
        <v>369</v>
      </c>
      <c r="AM4106">
        <v>541</v>
      </c>
      <c r="AN4106">
        <v>44</v>
      </c>
      <c r="AO4106" t="s">
        <v>78</v>
      </c>
      <c r="AP4106">
        <v>1</v>
      </c>
      <c r="AR4106" t="s">
        <v>4205</v>
      </c>
      <c r="AS4106" s="1">
        <v>44353.938900462963</v>
      </c>
      <c r="AT4106" s="1">
        <v>44353.941064814811</v>
      </c>
      <c r="AU4106" s="1">
        <v>44353.941620370373</v>
      </c>
      <c r="AV4106" t="s">
        <v>269</v>
      </c>
      <c r="AW4106" t="s">
        <v>270</v>
      </c>
      <c r="AX4106" t="s">
        <v>73</v>
      </c>
    </row>
    <row r="4107" spans="1:50" x14ac:dyDescent="0.3">
      <c r="A4107" t="str">
        <f>"202205C0200"</f>
        <v>202205C0200</v>
      </c>
      <c r="B4107" t="str">
        <f>"202205C02002"</f>
        <v>202205C02002</v>
      </c>
      <c r="C4107" t="str">
        <f t="shared" si="211"/>
        <v>20</v>
      </c>
      <c r="D4107" t="s">
        <v>67</v>
      </c>
      <c r="E4107" t="str">
        <f t="shared" si="212"/>
        <v>018</v>
      </c>
      <c r="F4107" t="s">
        <v>4075</v>
      </c>
      <c r="G4107" t="str">
        <f>"2205"</f>
        <v>2205</v>
      </c>
      <c r="H4107" t="str">
        <f>"0002"</f>
        <v>0002</v>
      </c>
      <c r="I4107" t="s">
        <v>75</v>
      </c>
      <c r="J4107">
        <v>0</v>
      </c>
      <c r="K4107">
        <v>1</v>
      </c>
      <c r="L4107">
        <v>2</v>
      </c>
      <c r="M4107">
        <v>203</v>
      </c>
      <c r="N4107">
        <v>382</v>
      </c>
      <c r="O4107">
        <v>0</v>
      </c>
      <c r="P4107">
        <v>371</v>
      </c>
      <c r="Q4107">
        <v>2</v>
      </c>
      <c r="R4107">
        <v>39</v>
      </c>
      <c r="S4107">
        <v>7</v>
      </c>
      <c r="T4107">
        <v>18</v>
      </c>
      <c r="U4107">
        <v>10</v>
      </c>
      <c r="V4107">
        <v>7</v>
      </c>
      <c r="W4107">
        <v>7</v>
      </c>
      <c r="X4107">
        <v>246</v>
      </c>
      <c r="Y4107">
        <v>4</v>
      </c>
      <c r="Z4107">
        <v>5</v>
      </c>
      <c r="AA4107">
        <v>5</v>
      </c>
      <c r="AB4107">
        <v>21</v>
      </c>
      <c r="AD4107">
        <v>0</v>
      </c>
      <c r="AE4107">
        <v>0</v>
      </c>
      <c r="AF4107">
        <v>0</v>
      </c>
      <c r="AG4107">
        <v>0</v>
      </c>
      <c r="AI4107" t="s">
        <v>77</v>
      </c>
      <c r="AJ4107">
        <v>12</v>
      </c>
      <c r="AK4107" t="s">
        <v>77</v>
      </c>
      <c r="AL4107">
        <v>383</v>
      </c>
      <c r="AM4107">
        <v>541</v>
      </c>
      <c r="AN4107">
        <v>44</v>
      </c>
      <c r="AO4107" t="s">
        <v>78</v>
      </c>
      <c r="AP4107">
        <v>1</v>
      </c>
      <c r="AR4107" t="s">
        <v>4206</v>
      </c>
      <c r="AS4107" s="1">
        <v>44353.974293981482</v>
      </c>
      <c r="AT4107" s="1">
        <v>44353.975451388891</v>
      </c>
      <c r="AU4107" s="1">
        <v>44353.976863425924</v>
      </c>
      <c r="AV4107" t="s">
        <v>269</v>
      </c>
      <c r="AW4107" t="s">
        <v>270</v>
      </c>
      <c r="AX4107" t="s">
        <v>73</v>
      </c>
    </row>
    <row r="4108" spans="1:50" x14ac:dyDescent="0.3">
      <c r="A4108" t="str">
        <f>"202206B0000"</f>
        <v>202206B0000</v>
      </c>
      <c r="B4108" t="str">
        <f>"202206B00002"</f>
        <v>202206B00002</v>
      </c>
      <c r="C4108" t="str">
        <f t="shared" si="211"/>
        <v>20</v>
      </c>
      <c r="D4108" t="s">
        <v>67</v>
      </c>
      <c r="E4108" t="str">
        <f t="shared" si="212"/>
        <v>018</v>
      </c>
      <c r="F4108" t="s">
        <v>4075</v>
      </c>
      <c r="G4108" t="str">
        <f>"2206"</f>
        <v>2206</v>
      </c>
      <c r="H4108" t="str">
        <f>"0000"</f>
        <v>0000</v>
      </c>
      <c r="I4108" t="s">
        <v>69</v>
      </c>
      <c r="J4108">
        <v>0</v>
      </c>
      <c r="K4108">
        <v>1</v>
      </c>
      <c r="L4108">
        <v>2</v>
      </c>
      <c r="M4108">
        <v>256</v>
      </c>
      <c r="N4108">
        <v>393</v>
      </c>
      <c r="O4108">
        <v>8</v>
      </c>
      <c r="P4108">
        <v>403</v>
      </c>
      <c r="Q4108">
        <v>6</v>
      </c>
      <c r="R4108">
        <v>47</v>
      </c>
      <c r="S4108">
        <v>10</v>
      </c>
      <c r="T4108">
        <v>14</v>
      </c>
      <c r="U4108">
        <v>18</v>
      </c>
      <c r="V4108">
        <v>13</v>
      </c>
      <c r="W4108">
        <v>13</v>
      </c>
      <c r="X4108">
        <v>258</v>
      </c>
      <c r="Y4108">
        <v>4</v>
      </c>
      <c r="Z4108">
        <v>3</v>
      </c>
      <c r="AA4108">
        <v>2</v>
      </c>
      <c r="AB4108">
        <v>6</v>
      </c>
      <c r="AD4108">
        <v>0</v>
      </c>
      <c r="AE4108">
        <v>0</v>
      </c>
      <c r="AF4108">
        <v>0</v>
      </c>
      <c r="AG4108">
        <v>0</v>
      </c>
      <c r="AI4108">
        <v>1</v>
      </c>
      <c r="AJ4108">
        <v>8</v>
      </c>
      <c r="AK4108">
        <v>403</v>
      </c>
      <c r="AL4108">
        <v>403</v>
      </c>
      <c r="AM4108">
        <v>705</v>
      </c>
      <c r="AN4108">
        <v>44</v>
      </c>
      <c r="AP4108">
        <v>1</v>
      </c>
      <c r="AR4108" t="s">
        <v>4207</v>
      </c>
      <c r="AS4108" s="1">
        <v>44354.078472222223</v>
      </c>
      <c r="AT4108" s="1">
        <v>44354.084652777776</v>
      </c>
      <c r="AU4108" s="1">
        <v>44354.085219907407</v>
      </c>
      <c r="AV4108" t="s">
        <v>71</v>
      </c>
      <c r="AW4108" t="s">
        <v>72</v>
      </c>
      <c r="AX4108" t="s">
        <v>73</v>
      </c>
    </row>
    <row r="4109" spans="1:50" x14ac:dyDescent="0.3">
      <c r="A4109" t="str">
        <f>"202206C0100"</f>
        <v>202206C0100</v>
      </c>
      <c r="B4109" t="str">
        <f>"202206C01002"</f>
        <v>202206C01002</v>
      </c>
      <c r="C4109" t="str">
        <f t="shared" si="211"/>
        <v>20</v>
      </c>
      <c r="D4109" t="s">
        <v>67</v>
      </c>
      <c r="E4109" t="str">
        <f t="shared" si="212"/>
        <v>018</v>
      </c>
      <c r="F4109" t="s">
        <v>4075</v>
      </c>
      <c r="G4109" t="str">
        <f>"2206"</f>
        <v>2206</v>
      </c>
      <c r="H4109" t="str">
        <f>"0001"</f>
        <v>0001</v>
      </c>
      <c r="I4109" t="s">
        <v>75</v>
      </c>
      <c r="J4109">
        <v>0</v>
      </c>
      <c r="K4109">
        <v>1</v>
      </c>
      <c r="L4109">
        <v>2</v>
      </c>
      <c r="M4109">
        <v>330</v>
      </c>
      <c r="N4109">
        <v>419</v>
      </c>
      <c r="O4109">
        <v>5</v>
      </c>
      <c r="P4109">
        <v>416</v>
      </c>
      <c r="Q4109">
        <v>11</v>
      </c>
      <c r="R4109">
        <v>35</v>
      </c>
      <c r="S4109">
        <v>23</v>
      </c>
      <c r="T4109">
        <v>13</v>
      </c>
      <c r="U4109">
        <v>16</v>
      </c>
      <c r="V4109">
        <v>14</v>
      </c>
      <c r="W4109">
        <v>15</v>
      </c>
      <c r="X4109">
        <v>237</v>
      </c>
      <c r="Y4109">
        <v>8</v>
      </c>
      <c r="Z4109">
        <v>1</v>
      </c>
      <c r="AA4109">
        <v>8</v>
      </c>
      <c r="AB4109">
        <v>24</v>
      </c>
      <c r="AD4109">
        <v>2</v>
      </c>
      <c r="AE4109">
        <v>0</v>
      </c>
      <c r="AF4109">
        <v>0</v>
      </c>
      <c r="AG4109">
        <v>0</v>
      </c>
      <c r="AI4109">
        <v>2</v>
      </c>
      <c r="AJ4109">
        <v>7</v>
      </c>
      <c r="AK4109">
        <v>416</v>
      </c>
      <c r="AL4109">
        <v>416</v>
      </c>
      <c r="AM4109">
        <v>704</v>
      </c>
      <c r="AN4109">
        <v>44</v>
      </c>
      <c r="AP4109">
        <v>1</v>
      </c>
      <c r="AR4109" t="s">
        <v>4208</v>
      </c>
      <c r="AS4109" s="1">
        <v>44354.078472222223</v>
      </c>
      <c r="AT4109" s="1">
        <v>44354.085243055553</v>
      </c>
      <c r="AU4109" s="1">
        <v>44354.085821759261</v>
      </c>
      <c r="AV4109" t="s">
        <v>71</v>
      </c>
      <c r="AW4109" t="s">
        <v>72</v>
      </c>
      <c r="AX4109" t="s">
        <v>73</v>
      </c>
    </row>
    <row r="4110" spans="1:50" x14ac:dyDescent="0.3">
      <c r="A4110" t="str">
        <f>"202207B0000"</f>
        <v>202207B0000</v>
      </c>
      <c r="B4110" t="str">
        <f>"202207B00002"</f>
        <v>202207B00002</v>
      </c>
      <c r="C4110" t="str">
        <f t="shared" si="211"/>
        <v>20</v>
      </c>
      <c r="D4110" t="s">
        <v>67</v>
      </c>
      <c r="E4110" t="str">
        <f t="shared" si="212"/>
        <v>018</v>
      </c>
      <c r="F4110" t="s">
        <v>4075</v>
      </c>
      <c r="G4110" t="str">
        <f t="shared" ref="G4110:G4115" si="213">"2207"</f>
        <v>2207</v>
      </c>
      <c r="H4110" t="str">
        <f>"0000"</f>
        <v>0000</v>
      </c>
      <c r="I4110" t="s">
        <v>69</v>
      </c>
      <c r="J4110">
        <v>0</v>
      </c>
      <c r="K4110">
        <v>1</v>
      </c>
      <c r="L4110">
        <v>2</v>
      </c>
      <c r="M4110">
        <v>221</v>
      </c>
      <c r="N4110">
        <v>325</v>
      </c>
      <c r="O4110">
        <v>6</v>
      </c>
      <c r="P4110" t="s">
        <v>99</v>
      </c>
      <c r="Q4110">
        <v>16</v>
      </c>
      <c r="R4110">
        <v>37</v>
      </c>
      <c r="S4110">
        <v>5</v>
      </c>
      <c r="T4110">
        <v>29</v>
      </c>
      <c r="U4110">
        <v>8</v>
      </c>
      <c r="V4110">
        <v>4</v>
      </c>
      <c r="W4110">
        <v>2</v>
      </c>
      <c r="X4110">
        <v>191</v>
      </c>
      <c r="Y4110">
        <v>6</v>
      </c>
      <c r="Z4110">
        <v>1</v>
      </c>
      <c r="AA4110">
        <v>9</v>
      </c>
      <c r="AB4110">
        <v>5</v>
      </c>
      <c r="AD4110" t="s">
        <v>77</v>
      </c>
      <c r="AE4110" t="s">
        <v>77</v>
      </c>
      <c r="AF4110" t="s">
        <v>77</v>
      </c>
      <c r="AG4110" t="s">
        <v>77</v>
      </c>
      <c r="AI4110" t="s">
        <v>77</v>
      </c>
      <c r="AJ4110">
        <v>6</v>
      </c>
      <c r="AK4110" t="s">
        <v>99</v>
      </c>
      <c r="AL4110">
        <v>319</v>
      </c>
      <c r="AM4110">
        <v>502</v>
      </c>
      <c r="AN4110">
        <v>44</v>
      </c>
      <c r="AO4110" t="s">
        <v>78</v>
      </c>
      <c r="AP4110">
        <v>1</v>
      </c>
      <c r="AR4110" t="s">
        <v>4209</v>
      </c>
      <c r="AS4110" s="1">
        <v>44354.179166666669</v>
      </c>
      <c r="AT4110" s="1">
        <v>44354.191400462965</v>
      </c>
      <c r="AU4110" s="1">
        <v>44354.200740740744</v>
      </c>
      <c r="AV4110" t="s">
        <v>71</v>
      </c>
      <c r="AW4110" t="s">
        <v>72</v>
      </c>
      <c r="AX4110" t="s">
        <v>73</v>
      </c>
    </row>
    <row r="4111" spans="1:50" x14ac:dyDescent="0.3">
      <c r="A4111" t="str">
        <f>"202207C0100"</f>
        <v>202207C0100</v>
      </c>
      <c r="B4111" t="str">
        <f>"202207C01002"</f>
        <v>202207C01002</v>
      </c>
      <c r="C4111" t="str">
        <f t="shared" si="211"/>
        <v>20</v>
      </c>
      <c r="D4111" t="s">
        <v>67</v>
      </c>
      <c r="E4111" t="str">
        <f t="shared" si="212"/>
        <v>018</v>
      </c>
      <c r="F4111" t="s">
        <v>4075</v>
      </c>
      <c r="G4111" t="str">
        <f t="shared" si="213"/>
        <v>2207</v>
      </c>
      <c r="H4111" t="str">
        <f>"0001"</f>
        <v>0001</v>
      </c>
      <c r="I4111" t="s">
        <v>75</v>
      </c>
      <c r="J4111">
        <v>0</v>
      </c>
      <c r="K4111">
        <v>1</v>
      </c>
      <c r="L4111">
        <v>2</v>
      </c>
      <c r="M4111">
        <v>222</v>
      </c>
      <c r="N4111">
        <v>324</v>
      </c>
      <c r="O4111">
        <v>7</v>
      </c>
      <c r="P4111">
        <v>323</v>
      </c>
      <c r="Q4111">
        <v>12</v>
      </c>
      <c r="R4111">
        <v>48</v>
      </c>
      <c r="S4111">
        <v>3</v>
      </c>
      <c r="T4111">
        <v>20</v>
      </c>
      <c r="U4111">
        <v>10</v>
      </c>
      <c r="V4111">
        <v>3</v>
      </c>
      <c r="W4111">
        <v>2</v>
      </c>
      <c r="X4111">
        <v>200</v>
      </c>
      <c r="Y4111">
        <v>2</v>
      </c>
      <c r="Z4111">
        <v>0</v>
      </c>
      <c r="AA4111">
        <v>7</v>
      </c>
      <c r="AB4111">
        <v>7</v>
      </c>
      <c r="AD4111" t="s">
        <v>77</v>
      </c>
      <c r="AE4111" t="s">
        <v>77</v>
      </c>
      <c r="AF4111" t="s">
        <v>77</v>
      </c>
      <c r="AG4111" t="s">
        <v>77</v>
      </c>
      <c r="AI4111" t="s">
        <v>77</v>
      </c>
      <c r="AJ4111">
        <v>9</v>
      </c>
      <c r="AK4111">
        <v>323</v>
      </c>
      <c r="AL4111">
        <v>323</v>
      </c>
      <c r="AM4111">
        <v>502</v>
      </c>
      <c r="AN4111">
        <v>44</v>
      </c>
      <c r="AO4111" t="s">
        <v>78</v>
      </c>
      <c r="AP4111">
        <v>1</v>
      </c>
      <c r="AR4111" t="s">
        <v>4210</v>
      </c>
      <c r="AS4111" s="1">
        <v>44354.380555555559</v>
      </c>
      <c r="AT4111" s="1">
        <v>44354.382627314815</v>
      </c>
      <c r="AU4111" s="1">
        <v>44354.382928240739</v>
      </c>
      <c r="AV4111" t="s">
        <v>71</v>
      </c>
      <c r="AW4111" t="s">
        <v>72</v>
      </c>
      <c r="AX4111" t="s">
        <v>73</v>
      </c>
    </row>
    <row r="4112" spans="1:50" x14ac:dyDescent="0.3">
      <c r="A4112" t="str">
        <f>"202207E0100"</f>
        <v>202207E0100</v>
      </c>
      <c r="B4112" t="str">
        <f>"202207E01002"</f>
        <v>202207E01002</v>
      </c>
      <c r="C4112" t="str">
        <f t="shared" si="211"/>
        <v>20</v>
      </c>
      <c r="D4112" t="s">
        <v>67</v>
      </c>
      <c r="E4112" t="str">
        <f t="shared" si="212"/>
        <v>018</v>
      </c>
      <c r="F4112" t="s">
        <v>4075</v>
      </c>
      <c r="G4112" t="str">
        <f t="shared" si="213"/>
        <v>2207</v>
      </c>
      <c r="H4112" t="str">
        <f>"0001"</f>
        <v>0001</v>
      </c>
      <c r="I4112" t="s">
        <v>109</v>
      </c>
      <c r="J4112">
        <v>0</v>
      </c>
      <c r="K4112">
        <v>1</v>
      </c>
      <c r="L4112">
        <v>2</v>
      </c>
      <c r="M4112">
        <v>242</v>
      </c>
      <c r="N4112">
        <v>335</v>
      </c>
      <c r="O4112">
        <v>1</v>
      </c>
      <c r="P4112">
        <v>334</v>
      </c>
      <c r="Q4112">
        <v>7</v>
      </c>
      <c r="R4112">
        <v>49</v>
      </c>
      <c r="S4112">
        <v>44</v>
      </c>
      <c r="T4112">
        <v>9</v>
      </c>
      <c r="U4112">
        <v>12</v>
      </c>
      <c r="V4112">
        <v>6</v>
      </c>
      <c r="W4112">
        <v>4</v>
      </c>
      <c r="X4112">
        <v>172</v>
      </c>
      <c r="Y4112">
        <v>6</v>
      </c>
      <c r="Z4112">
        <v>0</v>
      </c>
      <c r="AA4112">
        <v>4</v>
      </c>
      <c r="AB4112">
        <v>4</v>
      </c>
      <c r="AD4112" t="s">
        <v>77</v>
      </c>
      <c r="AE4112" t="s">
        <v>77</v>
      </c>
      <c r="AF4112" t="s">
        <v>77</v>
      </c>
      <c r="AG4112" t="s">
        <v>77</v>
      </c>
      <c r="AI4112">
        <v>1</v>
      </c>
      <c r="AJ4112">
        <v>16</v>
      </c>
      <c r="AK4112" t="s">
        <v>77</v>
      </c>
      <c r="AL4112">
        <v>334</v>
      </c>
      <c r="AM4112">
        <v>532</v>
      </c>
      <c r="AN4112">
        <v>44</v>
      </c>
      <c r="AO4112" t="s">
        <v>78</v>
      </c>
      <c r="AP4112">
        <v>1</v>
      </c>
      <c r="AR4112" t="s">
        <v>4211</v>
      </c>
      <c r="AS4112" s="1">
        <v>44353.938136574077</v>
      </c>
      <c r="AT4112" s="1">
        <v>44353.940150462964</v>
      </c>
      <c r="AU4112" s="1">
        <v>44353.941041666665</v>
      </c>
      <c r="AV4112" t="s">
        <v>269</v>
      </c>
      <c r="AW4112" t="s">
        <v>270</v>
      </c>
      <c r="AX4112" t="s">
        <v>73</v>
      </c>
    </row>
    <row r="4113" spans="1:50" x14ac:dyDescent="0.3">
      <c r="A4113" t="str">
        <f>"202207E0101"</f>
        <v>202207E0101</v>
      </c>
      <c r="B4113" t="str">
        <f>"202207E01012"</f>
        <v>202207E01012</v>
      </c>
      <c r="C4113" t="str">
        <f t="shared" si="211"/>
        <v>20</v>
      </c>
      <c r="D4113" t="s">
        <v>67</v>
      </c>
      <c r="E4113" t="str">
        <f t="shared" si="212"/>
        <v>018</v>
      </c>
      <c r="F4113" t="s">
        <v>4075</v>
      </c>
      <c r="G4113" t="str">
        <f t="shared" si="213"/>
        <v>2207</v>
      </c>
      <c r="H4113" t="str">
        <f>"0001"</f>
        <v>0001</v>
      </c>
      <c r="I4113" t="s">
        <v>109</v>
      </c>
      <c r="J4113">
        <v>1</v>
      </c>
      <c r="K4113">
        <v>1</v>
      </c>
      <c r="L4113">
        <v>2</v>
      </c>
      <c r="M4113">
        <v>210</v>
      </c>
      <c r="N4113">
        <v>366</v>
      </c>
      <c r="O4113">
        <v>4</v>
      </c>
      <c r="P4113">
        <v>366</v>
      </c>
      <c r="Q4113">
        <v>10</v>
      </c>
      <c r="R4113">
        <v>60</v>
      </c>
      <c r="S4113">
        <v>30</v>
      </c>
      <c r="T4113">
        <v>7</v>
      </c>
      <c r="U4113">
        <v>23</v>
      </c>
      <c r="V4113">
        <v>3</v>
      </c>
      <c r="W4113">
        <v>6</v>
      </c>
      <c r="X4113">
        <v>187</v>
      </c>
      <c r="Y4113">
        <v>10</v>
      </c>
      <c r="Z4113">
        <v>3</v>
      </c>
      <c r="AA4113">
        <v>2</v>
      </c>
      <c r="AB4113">
        <v>3</v>
      </c>
      <c r="AD4113" t="s">
        <v>77</v>
      </c>
      <c r="AE4113" t="s">
        <v>77</v>
      </c>
      <c r="AF4113" t="s">
        <v>77</v>
      </c>
      <c r="AG4113" t="s">
        <v>77</v>
      </c>
      <c r="AI4113" t="s">
        <v>77</v>
      </c>
      <c r="AJ4113">
        <v>22</v>
      </c>
      <c r="AK4113">
        <v>366</v>
      </c>
      <c r="AL4113">
        <v>366</v>
      </c>
      <c r="AM4113">
        <v>532</v>
      </c>
      <c r="AN4113">
        <v>44</v>
      </c>
      <c r="AO4113" t="s">
        <v>78</v>
      </c>
      <c r="AP4113">
        <v>1</v>
      </c>
      <c r="AR4113" t="s">
        <v>4212</v>
      </c>
      <c r="AS4113" s="1">
        <v>44353.959502314814</v>
      </c>
      <c r="AT4113" s="1">
        <v>44353.961018518516</v>
      </c>
      <c r="AU4113" s="1">
        <v>44353.961296296293</v>
      </c>
      <c r="AV4113" t="s">
        <v>269</v>
      </c>
      <c r="AW4113" t="s">
        <v>270</v>
      </c>
      <c r="AX4113" t="s">
        <v>73</v>
      </c>
    </row>
    <row r="4114" spans="1:50" x14ac:dyDescent="0.3">
      <c r="A4114" t="str">
        <f>"202207S0100"</f>
        <v>202207S0100</v>
      </c>
      <c r="B4114" t="str">
        <f>"202207S01002EMR"</f>
        <v>202207S01002EMR</v>
      </c>
      <c r="C4114" t="str">
        <f t="shared" si="211"/>
        <v>20</v>
      </c>
      <c r="D4114" t="s">
        <v>67</v>
      </c>
      <c r="E4114" t="str">
        <f t="shared" si="212"/>
        <v>018</v>
      </c>
      <c r="F4114" t="s">
        <v>4075</v>
      </c>
      <c r="G4114" t="str">
        <f t="shared" si="213"/>
        <v>2207</v>
      </c>
      <c r="H4114" t="str">
        <f>"0001"</f>
        <v>0001</v>
      </c>
      <c r="I4114" t="s">
        <v>85</v>
      </c>
      <c r="J4114">
        <v>0</v>
      </c>
      <c r="K4114">
        <v>1</v>
      </c>
      <c r="L4114" t="s">
        <v>86</v>
      </c>
      <c r="M4114">
        <v>901</v>
      </c>
      <c r="N4114">
        <v>42</v>
      </c>
      <c r="O4114">
        <v>0</v>
      </c>
      <c r="P4114">
        <v>41</v>
      </c>
      <c r="Q4114">
        <v>1</v>
      </c>
      <c r="R4114">
        <v>10</v>
      </c>
      <c r="S4114">
        <v>0</v>
      </c>
      <c r="T4114">
        <v>2</v>
      </c>
      <c r="U4114">
        <v>2</v>
      </c>
      <c r="V4114">
        <v>0</v>
      </c>
      <c r="W4114">
        <v>1</v>
      </c>
      <c r="X4114">
        <v>19</v>
      </c>
      <c r="Y4114">
        <v>0</v>
      </c>
      <c r="Z4114">
        <v>1</v>
      </c>
      <c r="AA4114">
        <v>1</v>
      </c>
      <c r="AB4114">
        <v>2</v>
      </c>
      <c r="AD4114">
        <v>1</v>
      </c>
      <c r="AE4114" t="s">
        <v>77</v>
      </c>
      <c r="AF4114" t="s">
        <v>77</v>
      </c>
      <c r="AG4114" t="s">
        <v>77</v>
      </c>
      <c r="AI4114" t="s">
        <v>77</v>
      </c>
      <c r="AJ4114" t="s">
        <v>77</v>
      </c>
      <c r="AK4114">
        <v>41</v>
      </c>
      <c r="AL4114">
        <v>40</v>
      </c>
      <c r="AM4114">
        <v>0</v>
      </c>
      <c r="AN4114">
        <v>44</v>
      </c>
      <c r="AO4114" t="s">
        <v>78</v>
      </c>
      <c r="AP4114">
        <v>1</v>
      </c>
      <c r="AR4114" t="s">
        <v>4213</v>
      </c>
      <c r="AS4114" s="1">
        <v>44354.582638888889</v>
      </c>
      <c r="AT4114" s="1">
        <v>44354.588807870372</v>
      </c>
      <c r="AU4114" s="1">
        <v>44354.589490740742</v>
      </c>
      <c r="AV4114" t="s">
        <v>71</v>
      </c>
      <c r="AW4114" t="s">
        <v>72</v>
      </c>
      <c r="AX4114" t="s">
        <v>73</v>
      </c>
    </row>
    <row r="4115" spans="1:50" x14ac:dyDescent="0.3">
      <c r="A4115" t="str">
        <f>"202207S0200"</f>
        <v>202207S0200</v>
      </c>
      <c r="B4115" t="str">
        <f>"202207S02002EMR"</f>
        <v>202207S02002EMR</v>
      </c>
      <c r="C4115" t="str">
        <f t="shared" si="211"/>
        <v>20</v>
      </c>
      <c r="D4115" t="s">
        <v>67</v>
      </c>
      <c r="E4115" t="str">
        <f t="shared" si="212"/>
        <v>018</v>
      </c>
      <c r="F4115" t="s">
        <v>4075</v>
      </c>
      <c r="G4115" t="str">
        <f t="shared" si="213"/>
        <v>2207</v>
      </c>
      <c r="H4115" t="str">
        <f>"0002"</f>
        <v>0002</v>
      </c>
      <c r="I4115" t="s">
        <v>85</v>
      </c>
      <c r="J4115">
        <v>0</v>
      </c>
      <c r="K4115">
        <v>1</v>
      </c>
      <c r="L4115" t="s">
        <v>86</v>
      </c>
      <c r="M4115">
        <v>759</v>
      </c>
      <c r="N4115">
        <v>3</v>
      </c>
      <c r="O4115">
        <v>0</v>
      </c>
      <c r="P4115">
        <v>3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1</v>
      </c>
      <c r="W4115">
        <v>0</v>
      </c>
      <c r="X4115">
        <v>2</v>
      </c>
      <c r="Y4115">
        <v>0</v>
      </c>
      <c r="Z4115">
        <v>0</v>
      </c>
      <c r="AA4115">
        <v>0</v>
      </c>
      <c r="AB4115">
        <v>0</v>
      </c>
      <c r="AD4115">
        <v>0</v>
      </c>
      <c r="AE4115">
        <v>0</v>
      </c>
      <c r="AF4115">
        <v>0</v>
      </c>
      <c r="AG4115">
        <v>0</v>
      </c>
      <c r="AI4115">
        <v>0</v>
      </c>
      <c r="AJ4115">
        <v>0</v>
      </c>
      <c r="AK4115">
        <v>3</v>
      </c>
      <c r="AL4115">
        <v>3</v>
      </c>
      <c r="AM4115">
        <v>0</v>
      </c>
      <c r="AN4115">
        <v>44</v>
      </c>
      <c r="AP4115">
        <v>1</v>
      </c>
      <c r="AR4115" t="s">
        <v>4214</v>
      </c>
      <c r="AS4115" s="1">
        <v>44354.583333333336</v>
      </c>
      <c r="AT4115" s="1">
        <v>44354.5856712963</v>
      </c>
      <c r="AU4115" s="1">
        <v>44354.586168981485</v>
      </c>
      <c r="AV4115" t="s">
        <v>71</v>
      </c>
      <c r="AW4115" t="s">
        <v>72</v>
      </c>
      <c r="AX4115" t="s">
        <v>73</v>
      </c>
    </row>
    <row r="4116" spans="1:50" x14ac:dyDescent="0.3">
      <c r="A4116" t="str">
        <f>"202208B0000"</f>
        <v>202208B0000</v>
      </c>
      <c r="B4116" t="str">
        <f>"202208B00002"</f>
        <v>202208B00002</v>
      </c>
      <c r="C4116" t="str">
        <f t="shared" si="211"/>
        <v>20</v>
      </c>
      <c r="D4116" t="s">
        <v>67</v>
      </c>
      <c r="E4116" t="str">
        <f t="shared" si="212"/>
        <v>018</v>
      </c>
      <c r="F4116" t="s">
        <v>4075</v>
      </c>
      <c r="G4116" t="str">
        <f>"2208"</f>
        <v>2208</v>
      </c>
      <c r="H4116" t="str">
        <f>"0000"</f>
        <v>0000</v>
      </c>
      <c r="I4116" t="s">
        <v>69</v>
      </c>
      <c r="J4116">
        <v>0</v>
      </c>
      <c r="K4116">
        <v>1</v>
      </c>
      <c r="L4116">
        <v>2</v>
      </c>
      <c r="M4116">
        <v>167</v>
      </c>
      <c r="N4116">
        <v>289</v>
      </c>
      <c r="O4116">
        <v>3</v>
      </c>
      <c r="P4116">
        <v>289</v>
      </c>
      <c r="Q4116">
        <v>10</v>
      </c>
      <c r="R4116">
        <v>44</v>
      </c>
      <c r="S4116">
        <v>6</v>
      </c>
      <c r="T4116">
        <v>16</v>
      </c>
      <c r="U4116">
        <v>8</v>
      </c>
      <c r="V4116">
        <v>4</v>
      </c>
      <c r="W4116">
        <v>6</v>
      </c>
      <c r="X4116">
        <v>177</v>
      </c>
      <c r="Y4116">
        <v>3</v>
      </c>
      <c r="Z4116">
        <v>1</v>
      </c>
      <c r="AA4116">
        <v>4</v>
      </c>
      <c r="AB4116">
        <v>1</v>
      </c>
      <c r="AD4116">
        <v>1</v>
      </c>
      <c r="AE4116">
        <v>0</v>
      </c>
      <c r="AF4116">
        <v>0</v>
      </c>
      <c r="AG4116">
        <v>2</v>
      </c>
      <c r="AI4116">
        <v>0</v>
      </c>
      <c r="AJ4116">
        <v>6</v>
      </c>
      <c r="AK4116">
        <v>289</v>
      </c>
      <c r="AL4116">
        <v>289</v>
      </c>
      <c r="AM4116">
        <v>412</v>
      </c>
      <c r="AN4116">
        <v>44</v>
      </c>
      <c r="AP4116">
        <v>1</v>
      </c>
      <c r="AR4116" t="s">
        <v>4215</v>
      </c>
      <c r="AS4116" s="1">
        <v>44353.910405092596</v>
      </c>
      <c r="AT4116" s="1">
        <v>44353.911851851852</v>
      </c>
      <c r="AU4116" s="1">
        <v>44353.912708333337</v>
      </c>
      <c r="AV4116" t="s">
        <v>269</v>
      </c>
      <c r="AW4116" t="s">
        <v>270</v>
      </c>
      <c r="AX4116" t="s">
        <v>73</v>
      </c>
    </row>
    <row r="4117" spans="1:50" x14ac:dyDescent="0.3">
      <c r="A4117" t="str">
        <f>"202208C0100"</f>
        <v>202208C0100</v>
      </c>
      <c r="B4117" t="str">
        <f>"202208C01002"</f>
        <v>202208C01002</v>
      </c>
      <c r="C4117" t="str">
        <f t="shared" si="211"/>
        <v>20</v>
      </c>
      <c r="D4117" t="s">
        <v>67</v>
      </c>
      <c r="E4117" t="str">
        <f t="shared" si="212"/>
        <v>018</v>
      </c>
      <c r="F4117" t="s">
        <v>4075</v>
      </c>
      <c r="G4117" t="str">
        <f>"2208"</f>
        <v>2208</v>
      </c>
      <c r="H4117" t="str">
        <f>"0001"</f>
        <v>0001</v>
      </c>
      <c r="I4117" t="s">
        <v>75</v>
      </c>
      <c r="J4117">
        <v>0</v>
      </c>
      <c r="K4117">
        <v>1</v>
      </c>
      <c r="L4117">
        <v>2</v>
      </c>
      <c r="M4117">
        <v>182</v>
      </c>
      <c r="N4117">
        <v>274</v>
      </c>
      <c r="O4117">
        <v>1</v>
      </c>
      <c r="P4117">
        <v>274</v>
      </c>
      <c r="Q4117">
        <v>13</v>
      </c>
      <c r="R4117">
        <v>59</v>
      </c>
      <c r="S4117">
        <v>7</v>
      </c>
      <c r="T4117">
        <v>14</v>
      </c>
      <c r="U4117">
        <v>5</v>
      </c>
      <c r="V4117">
        <v>4</v>
      </c>
      <c r="W4117">
        <v>4</v>
      </c>
      <c r="X4117">
        <v>156</v>
      </c>
      <c r="Y4117">
        <v>2</v>
      </c>
      <c r="Z4117">
        <v>2</v>
      </c>
      <c r="AA4117">
        <v>1</v>
      </c>
      <c r="AB4117">
        <v>1</v>
      </c>
      <c r="AD4117">
        <v>0</v>
      </c>
      <c r="AE4117">
        <v>0</v>
      </c>
      <c r="AF4117">
        <v>0</v>
      </c>
      <c r="AG4117">
        <v>0</v>
      </c>
      <c r="AI4117">
        <v>0</v>
      </c>
      <c r="AJ4117">
        <v>6</v>
      </c>
      <c r="AK4117">
        <v>274</v>
      </c>
      <c r="AL4117">
        <v>274</v>
      </c>
      <c r="AM4117">
        <v>412</v>
      </c>
      <c r="AN4117">
        <v>44</v>
      </c>
      <c r="AP4117">
        <v>1</v>
      </c>
      <c r="AR4117" t="s">
        <v>4216</v>
      </c>
      <c r="AS4117" s="1">
        <v>44353.872546296298</v>
      </c>
      <c r="AT4117" s="1">
        <v>44353.875219907408</v>
      </c>
      <c r="AU4117" s="1">
        <v>44353.875925925924</v>
      </c>
      <c r="AV4117" t="s">
        <v>269</v>
      </c>
      <c r="AW4117" t="s">
        <v>270</v>
      </c>
      <c r="AX4117" t="s">
        <v>73</v>
      </c>
    </row>
    <row r="4118" spans="1:50" x14ac:dyDescent="0.3">
      <c r="A4118" t="str">
        <f>"202209B0000"</f>
        <v>202209B0000</v>
      </c>
      <c r="B4118" t="str">
        <f>"202209B00002"</f>
        <v>202209B00002</v>
      </c>
      <c r="C4118" t="str">
        <f t="shared" si="211"/>
        <v>20</v>
      </c>
      <c r="D4118" t="s">
        <v>67</v>
      </c>
      <c r="E4118" t="str">
        <f t="shared" si="212"/>
        <v>018</v>
      </c>
      <c r="F4118" t="s">
        <v>4075</v>
      </c>
      <c r="G4118" t="str">
        <f>"2209"</f>
        <v>2209</v>
      </c>
      <c r="H4118" t="str">
        <f>"0000"</f>
        <v>0000</v>
      </c>
      <c r="I4118" t="s">
        <v>69</v>
      </c>
      <c r="J4118">
        <v>0</v>
      </c>
      <c r="K4118">
        <v>1</v>
      </c>
      <c r="L4118">
        <v>2</v>
      </c>
      <c r="M4118">
        <v>209</v>
      </c>
      <c r="N4118">
        <v>342</v>
      </c>
      <c r="O4118">
        <v>3</v>
      </c>
      <c r="P4118">
        <v>340</v>
      </c>
      <c r="Q4118">
        <v>6</v>
      </c>
      <c r="R4118">
        <v>23</v>
      </c>
      <c r="S4118">
        <v>8</v>
      </c>
      <c r="T4118">
        <v>19</v>
      </c>
      <c r="U4118">
        <v>17</v>
      </c>
      <c r="V4118">
        <v>7</v>
      </c>
      <c r="W4118">
        <v>5</v>
      </c>
      <c r="X4118">
        <v>205</v>
      </c>
      <c r="Y4118">
        <v>12</v>
      </c>
      <c r="Z4118">
        <v>0</v>
      </c>
      <c r="AA4118">
        <v>0</v>
      </c>
      <c r="AB4118">
        <v>14</v>
      </c>
      <c r="AD4118">
        <v>1</v>
      </c>
      <c r="AE4118">
        <v>1</v>
      </c>
      <c r="AF4118">
        <v>0</v>
      </c>
      <c r="AG4118">
        <v>0</v>
      </c>
      <c r="AI4118">
        <v>0</v>
      </c>
      <c r="AJ4118">
        <v>22</v>
      </c>
      <c r="AK4118">
        <v>340</v>
      </c>
      <c r="AL4118">
        <v>340</v>
      </c>
      <c r="AM4118">
        <v>507</v>
      </c>
      <c r="AN4118">
        <v>44</v>
      </c>
      <c r="AP4118">
        <v>1</v>
      </c>
      <c r="AR4118" t="s">
        <v>4217</v>
      </c>
      <c r="AS4118" s="1">
        <v>44354.049305555556</v>
      </c>
      <c r="AT4118" s="1">
        <v>44354.054849537039</v>
      </c>
      <c r="AU4118" s="1">
        <v>44354.055474537039</v>
      </c>
      <c r="AV4118" t="s">
        <v>71</v>
      </c>
      <c r="AW4118" t="s">
        <v>72</v>
      </c>
      <c r="AX4118" t="s">
        <v>73</v>
      </c>
    </row>
    <row r="4119" spans="1:50" x14ac:dyDescent="0.3">
      <c r="A4119" t="str">
        <f>"202209C0100"</f>
        <v>202209C0100</v>
      </c>
      <c r="B4119" t="str">
        <f>"202209C01002"</f>
        <v>202209C01002</v>
      </c>
      <c r="C4119" t="str">
        <f t="shared" si="211"/>
        <v>20</v>
      </c>
      <c r="D4119" t="s">
        <v>67</v>
      </c>
      <c r="E4119" t="str">
        <f t="shared" si="212"/>
        <v>018</v>
      </c>
      <c r="F4119" t="s">
        <v>4075</v>
      </c>
      <c r="G4119" t="str">
        <f>"2209"</f>
        <v>2209</v>
      </c>
      <c r="H4119" t="str">
        <f>"0001"</f>
        <v>0001</v>
      </c>
      <c r="I4119" t="s">
        <v>75</v>
      </c>
      <c r="J4119">
        <v>0</v>
      </c>
      <c r="K4119">
        <v>1</v>
      </c>
      <c r="L4119">
        <v>2</v>
      </c>
      <c r="M4119">
        <v>217</v>
      </c>
      <c r="N4119">
        <v>333</v>
      </c>
      <c r="O4119">
        <v>2</v>
      </c>
      <c r="P4119">
        <v>334</v>
      </c>
      <c r="Q4119">
        <v>9</v>
      </c>
      <c r="R4119">
        <v>27</v>
      </c>
      <c r="S4119">
        <v>12</v>
      </c>
      <c r="T4119">
        <v>16</v>
      </c>
      <c r="U4119">
        <v>14</v>
      </c>
      <c r="V4119">
        <v>13</v>
      </c>
      <c r="W4119">
        <v>6</v>
      </c>
      <c r="X4119">
        <v>210</v>
      </c>
      <c r="Y4119">
        <v>5</v>
      </c>
      <c r="Z4119">
        <v>1</v>
      </c>
      <c r="AA4119">
        <v>7</v>
      </c>
      <c r="AB4119">
        <v>6</v>
      </c>
      <c r="AD4119">
        <v>0</v>
      </c>
      <c r="AE4119">
        <v>0</v>
      </c>
      <c r="AF4119">
        <v>0</v>
      </c>
      <c r="AG4119">
        <v>0</v>
      </c>
      <c r="AI4119">
        <v>0</v>
      </c>
      <c r="AJ4119">
        <v>8</v>
      </c>
      <c r="AK4119">
        <v>334</v>
      </c>
      <c r="AL4119">
        <v>334</v>
      </c>
      <c r="AM4119">
        <v>506</v>
      </c>
      <c r="AN4119">
        <v>44</v>
      </c>
      <c r="AP4119">
        <v>1</v>
      </c>
      <c r="AR4119" t="s">
        <v>4218</v>
      </c>
      <c r="AS4119" s="1">
        <v>44354.050694444442</v>
      </c>
      <c r="AT4119" s="1">
        <v>44354.05672453704</v>
      </c>
      <c r="AU4119" s="1">
        <v>44354.057395833333</v>
      </c>
      <c r="AV4119" t="s">
        <v>71</v>
      </c>
      <c r="AW4119" t="s">
        <v>72</v>
      </c>
      <c r="AX4119" t="s">
        <v>73</v>
      </c>
    </row>
    <row r="4120" spans="1:50" x14ac:dyDescent="0.3">
      <c r="A4120" t="str">
        <f>"202210B0000"</f>
        <v>202210B0000</v>
      </c>
      <c r="B4120" t="str">
        <f>"202210B00002"</f>
        <v>202210B00002</v>
      </c>
      <c r="C4120" t="str">
        <f t="shared" si="211"/>
        <v>20</v>
      </c>
      <c r="D4120" t="s">
        <v>67</v>
      </c>
      <c r="E4120" t="str">
        <f t="shared" si="212"/>
        <v>018</v>
      </c>
      <c r="F4120" t="s">
        <v>4075</v>
      </c>
      <c r="G4120" t="str">
        <f>"2210"</f>
        <v>2210</v>
      </c>
      <c r="H4120" t="str">
        <f>"0000"</f>
        <v>0000</v>
      </c>
      <c r="I4120" t="s">
        <v>69</v>
      </c>
      <c r="J4120">
        <v>0</v>
      </c>
      <c r="K4120">
        <v>1</v>
      </c>
      <c r="L4120">
        <v>2</v>
      </c>
      <c r="M4120" t="s">
        <v>99</v>
      </c>
      <c r="N4120" t="s">
        <v>99</v>
      </c>
      <c r="O4120" t="s">
        <v>99</v>
      </c>
      <c r="P4120">
        <v>162</v>
      </c>
      <c r="Q4120">
        <v>8</v>
      </c>
      <c r="R4120">
        <v>43</v>
      </c>
      <c r="S4120">
        <v>12</v>
      </c>
      <c r="T4120">
        <v>19</v>
      </c>
      <c r="U4120">
        <v>18</v>
      </c>
      <c r="V4120">
        <v>3</v>
      </c>
      <c r="W4120">
        <v>5</v>
      </c>
      <c r="X4120">
        <v>317</v>
      </c>
      <c r="Y4120">
        <v>13</v>
      </c>
      <c r="Z4120">
        <v>1</v>
      </c>
      <c r="AA4120">
        <v>7</v>
      </c>
      <c r="AB4120">
        <v>8</v>
      </c>
      <c r="AD4120">
        <v>0</v>
      </c>
      <c r="AE4120">
        <v>0</v>
      </c>
      <c r="AF4120">
        <v>0</v>
      </c>
      <c r="AG4120">
        <v>0</v>
      </c>
      <c r="AI4120">
        <v>0</v>
      </c>
      <c r="AJ4120">
        <v>8</v>
      </c>
      <c r="AK4120">
        <v>462</v>
      </c>
      <c r="AL4120">
        <v>462</v>
      </c>
      <c r="AM4120">
        <v>630</v>
      </c>
      <c r="AN4120">
        <v>44</v>
      </c>
      <c r="AP4120">
        <v>1</v>
      </c>
      <c r="AR4120" t="s">
        <v>4219</v>
      </c>
      <c r="AS4120" s="1">
        <v>44353.537499999999</v>
      </c>
      <c r="AT4120" s="1">
        <v>44354.046643518515</v>
      </c>
      <c r="AU4120" s="1">
        <v>44354.047256944446</v>
      </c>
      <c r="AV4120" t="s">
        <v>71</v>
      </c>
      <c r="AW4120" t="s">
        <v>72</v>
      </c>
      <c r="AX4120" t="s">
        <v>73</v>
      </c>
    </row>
    <row r="4121" spans="1:50" x14ac:dyDescent="0.3">
      <c r="A4121" t="str">
        <f>"202210C0100"</f>
        <v>202210C0100</v>
      </c>
      <c r="B4121" t="str">
        <f>"202210C01002"</f>
        <v>202210C01002</v>
      </c>
      <c r="C4121" t="str">
        <f t="shared" si="211"/>
        <v>20</v>
      </c>
      <c r="D4121" t="s">
        <v>67</v>
      </c>
      <c r="E4121" t="str">
        <f t="shared" si="212"/>
        <v>018</v>
      </c>
      <c r="F4121" t="s">
        <v>4075</v>
      </c>
      <c r="G4121" t="str">
        <f>"2210"</f>
        <v>2210</v>
      </c>
      <c r="H4121" t="str">
        <f>"0001"</f>
        <v>0001</v>
      </c>
      <c r="I4121" t="s">
        <v>75</v>
      </c>
      <c r="J4121">
        <v>0</v>
      </c>
      <c r="K4121">
        <v>1</v>
      </c>
      <c r="L4121">
        <v>2</v>
      </c>
      <c r="M4121" t="s">
        <v>80</v>
      </c>
      <c r="N4121" t="s">
        <v>80</v>
      </c>
      <c r="O4121" t="s">
        <v>80</v>
      </c>
      <c r="P4121" t="s">
        <v>80</v>
      </c>
      <c r="Q4121">
        <v>4</v>
      </c>
      <c r="R4121">
        <v>31</v>
      </c>
      <c r="S4121">
        <v>5</v>
      </c>
      <c r="T4121">
        <v>16</v>
      </c>
      <c r="U4121">
        <v>12</v>
      </c>
      <c r="V4121">
        <v>5</v>
      </c>
      <c r="W4121">
        <v>2</v>
      </c>
      <c r="X4121">
        <v>309</v>
      </c>
      <c r="Y4121">
        <v>7</v>
      </c>
      <c r="Z4121">
        <v>1</v>
      </c>
      <c r="AA4121">
        <v>8</v>
      </c>
      <c r="AB4121">
        <v>11</v>
      </c>
      <c r="AD4121">
        <v>1</v>
      </c>
      <c r="AE4121" t="s">
        <v>77</v>
      </c>
      <c r="AF4121" t="s">
        <v>77</v>
      </c>
      <c r="AG4121" t="s">
        <v>77</v>
      </c>
      <c r="AI4121" t="s">
        <v>77</v>
      </c>
      <c r="AJ4121">
        <v>18</v>
      </c>
      <c r="AK4121">
        <v>430</v>
      </c>
      <c r="AL4121">
        <v>430</v>
      </c>
      <c r="AM4121">
        <v>630</v>
      </c>
      <c r="AN4121">
        <v>44</v>
      </c>
      <c r="AO4121" t="s">
        <v>78</v>
      </c>
      <c r="AP4121">
        <v>1</v>
      </c>
      <c r="AR4121" t="s">
        <v>4220</v>
      </c>
      <c r="AS4121" s="1">
        <v>44354.036805555559</v>
      </c>
      <c r="AT4121" s="1">
        <v>44354.044166666667</v>
      </c>
      <c r="AU4121" s="1">
        <v>44354.044618055559</v>
      </c>
      <c r="AV4121" t="s">
        <v>71</v>
      </c>
      <c r="AW4121" t="s">
        <v>72</v>
      </c>
      <c r="AX4121" t="s">
        <v>73</v>
      </c>
    </row>
    <row r="4122" spans="1:50" x14ac:dyDescent="0.3">
      <c r="A4122" t="str">
        <f>"202210C0200"</f>
        <v>202210C0200</v>
      </c>
      <c r="B4122" t="str">
        <f>"202210C02002"</f>
        <v>202210C02002</v>
      </c>
      <c r="C4122" t="str">
        <f t="shared" si="211"/>
        <v>20</v>
      </c>
      <c r="D4122" t="s">
        <v>67</v>
      </c>
      <c r="E4122" t="str">
        <f t="shared" si="212"/>
        <v>018</v>
      </c>
      <c r="F4122" t="s">
        <v>4075</v>
      </c>
      <c r="G4122" t="str">
        <f>"2210"</f>
        <v>2210</v>
      </c>
      <c r="H4122" t="str">
        <f>"0002"</f>
        <v>0002</v>
      </c>
      <c r="I4122" t="s">
        <v>75</v>
      </c>
      <c r="J4122">
        <v>0</v>
      </c>
      <c r="K4122">
        <v>1</v>
      </c>
      <c r="L4122">
        <v>2</v>
      </c>
      <c r="M4122">
        <v>250</v>
      </c>
      <c r="N4122">
        <v>424</v>
      </c>
      <c r="O4122">
        <v>5</v>
      </c>
      <c r="P4122">
        <v>424</v>
      </c>
      <c r="Q4122">
        <v>14</v>
      </c>
      <c r="R4122">
        <v>40</v>
      </c>
      <c r="S4122">
        <v>9</v>
      </c>
      <c r="T4122">
        <v>30</v>
      </c>
      <c r="U4122">
        <v>11</v>
      </c>
      <c r="V4122">
        <v>9</v>
      </c>
      <c r="W4122">
        <v>3</v>
      </c>
      <c r="X4122">
        <v>269</v>
      </c>
      <c r="Y4122">
        <v>3</v>
      </c>
      <c r="Z4122">
        <v>5</v>
      </c>
      <c r="AA4122">
        <v>5</v>
      </c>
      <c r="AB4122">
        <v>11</v>
      </c>
      <c r="AD4122">
        <v>1</v>
      </c>
      <c r="AE4122" t="s">
        <v>77</v>
      </c>
      <c r="AF4122" t="s">
        <v>77</v>
      </c>
      <c r="AG4122" t="s">
        <v>77</v>
      </c>
      <c r="AI4122" t="s">
        <v>77</v>
      </c>
      <c r="AJ4122">
        <v>14</v>
      </c>
      <c r="AK4122" t="s">
        <v>77</v>
      </c>
      <c r="AL4122">
        <v>424</v>
      </c>
      <c r="AM4122">
        <v>629</v>
      </c>
      <c r="AN4122">
        <v>44</v>
      </c>
      <c r="AO4122" t="s">
        <v>78</v>
      </c>
      <c r="AP4122">
        <v>1</v>
      </c>
      <c r="AR4122" t="s">
        <v>4221</v>
      </c>
      <c r="AS4122" s="1">
        <v>44353.538888888892</v>
      </c>
      <c r="AT4122" s="1">
        <v>44354.048298611109</v>
      </c>
      <c r="AU4122" s="1">
        <v>44354.049120370371</v>
      </c>
      <c r="AV4122" t="s">
        <v>71</v>
      </c>
      <c r="AW4122" t="s">
        <v>72</v>
      </c>
      <c r="AX4122" t="s">
        <v>73</v>
      </c>
    </row>
    <row r="4123" spans="1:50" x14ac:dyDescent="0.3">
      <c r="A4123" t="str">
        <f>"202211B0000"</f>
        <v>202211B0000</v>
      </c>
      <c r="B4123" t="str">
        <f>"202211B00002"</f>
        <v>202211B00002</v>
      </c>
      <c r="C4123" t="str">
        <f t="shared" si="211"/>
        <v>20</v>
      </c>
      <c r="D4123" t="s">
        <v>67</v>
      </c>
      <c r="E4123" t="str">
        <f t="shared" si="212"/>
        <v>018</v>
      </c>
      <c r="F4123" t="s">
        <v>4075</v>
      </c>
      <c r="G4123" t="str">
        <f>"2211"</f>
        <v>2211</v>
      </c>
      <c r="H4123" t="str">
        <f>"0000"</f>
        <v>0000</v>
      </c>
      <c r="I4123" t="s">
        <v>69</v>
      </c>
      <c r="J4123">
        <v>0</v>
      </c>
      <c r="K4123">
        <v>1</v>
      </c>
      <c r="L4123">
        <v>2</v>
      </c>
      <c r="M4123">
        <v>210</v>
      </c>
      <c r="N4123">
        <v>280</v>
      </c>
      <c r="O4123">
        <v>5</v>
      </c>
      <c r="P4123">
        <v>275</v>
      </c>
      <c r="Q4123">
        <v>5</v>
      </c>
      <c r="R4123">
        <v>48</v>
      </c>
      <c r="S4123">
        <v>8</v>
      </c>
      <c r="T4123">
        <v>6</v>
      </c>
      <c r="U4123">
        <v>21</v>
      </c>
      <c r="V4123">
        <v>5</v>
      </c>
      <c r="W4123">
        <v>4</v>
      </c>
      <c r="X4123">
        <v>144</v>
      </c>
      <c r="Y4123">
        <v>17</v>
      </c>
      <c r="Z4123">
        <v>2</v>
      </c>
      <c r="AA4123">
        <v>2</v>
      </c>
      <c r="AB4123">
        <v>13</v>
      </c>
      <c r="AD4123" t="s">
        <v>77</v>
      </c>
      <c r="AE4123" t="s">
        <v>77</v>
      </c>
      <c r="AF4123" t="s">
        <v>77</v>
      </c>
      <c r="AG4123" t="s">
        <v>77</v>
      </c>
      <c r="AI4123" t="s">
        <v>77</v>
      </c>
      <c r="AJ4123">
        <v>4</v>
      </c>
      <c r="AK4123">
        <v>275</v>
      </c>
      <c r="AL4123">
        <v>279</v>
      </c>
      <c r="AM4123">
        <v>446</v>
      </c>
      <c r="AN4123">
        <v>44</v>
      </c>
      <c r="AO4123" t="s">
        <v>78</v>
      </c>
      <c r="AP4123">
        <v>1</v>
      </c>
      <c r="AR4123" t="s">
        <v>4222</v>
      </c>
      <c r="AS4123" s="1">
        <v>44354.07708333333</v>
      </c>
      <c r="AT4123" s="1">
        <v>44354.08320601852</v>
      </c>
      <c r="AU4123" s="1">
        <v>44354.084039351852</v>
      </c>
      <c r="AV4123" t="s">
        <v>71</v>
      </c>
      <c r="AW4123" t="s">
        <v>72</v>
      </c>
      <c r="AX4123" t="s">
        <v>73</v>
      </c>
    </row>
    <row r="4124" spans="1:50" x14ac:dyDescent="0.3">
      <c r="A4124" t="str">
        <f>"202212B0000"</f>
        <v>202212B0000</v>
      </c>
      <c r="B4124" t="str">
        <f>"202212B00002"</f>
        <v>202212B00002</v>
      </c>
      <c r="C4124" t="str">
        <f t="shared" si="211"/>
        <v>20</v>
      </c>
      <c r="D4124" t="s">
        <v>67</v>
      </c>
      <c r="E4124" t="str">
        <f t="shared" si="212"/>
        <v>018</v>
      </c>
      <c r="F4124" t="s">
        <v>4075</v>
      </c>
      <c r="G4124" t="str">
        <f>"2212"</f>
        <v>2212</v>
      </c>
      <c r="H4124" t="str">
        <f>"0000"</f>
        <v>0000</v>
      </c>
      <c r="I4124" t="s">
        <v>69</v>
      </c>
      <c r="J4124">
        <v>0</v>
      </c>
      <c r="K4124">
        <v>1</v>
      </c>
      <c r="L4124">
        <v>2</v>
      </c>
      <c r="M4124">
        <v>178</v>
      </c>
      <c r="N4124">
        <v>321</v>
      </c>
      <c r="O4124">
        <v>3</v>
      </c>
      <c r="P4124">
        <v>321</v>
      </c>
      <c r="Q4124">
        <v>4</v>
      </c>
      <c r="R4124">
        <v>48</v>
      </c>
      <c r="S4124">
        <v>7</v>
      </c>
      <c r="T4124">
        <v>11</v>
      </c>
      <c r="U4124">
        <v>25</v>
      </c>
      <c r="V4124">
        <v>3</v>
      </c>
      <c r="W4124">
        <v>6</v>
      </c>
      <c r="X4124">
        <v>196</v>
      </c>
      <c r="Y4124">
        <v>2</v>
      </c>
      <c r="Z4124">
        <v>0</v>
      </c>
      <c r="AA4124">
        <v>7</v>
      </c>
      <c r="AB4124">
        <v>6</v>
      </c>
      <c r="AD4124">
        <v>1</v>
      </c>
      <c r="AE4124">
        <v>0</v>
      </c>
      <c r="AF4124">
        <v>0</v>
      </c>
      <c r="AG4124">
        <v>0</v>
      </c>
      <c r="AI4124">
        <v>0</v>
      </c>
      <c r="AJ4124">
        <v>6</v>
      </c>
      <c r="AK4124">
        <v>321</v>
      </c>
      <c r="AL4124">
        <v>322</v>
      </c>
      <c r="AM4124">
        <v>455</v>
      </c>
      <c r="AN4124">
        <v>44</v>
      </c>
      <c r="AP4124">
        <v>1</v>
      </c>
      <c r="AR4124" t="s">
        <v>4223</v>
      </c>
      <c r="AS4124" s="1">
        <v>44353.904942129629</v>
      </c>
      <c r="AT4124" s="1">
        <v>44353.907627314817</v>
      </c>
      <c r="AU4124" s="1">
        <v>44353.908067129632</v>
      </c>
      <c r="AV4124" t="s">
        <v>269</v>
      </c>
      <c r="AW4124" t="s">
        <v>270</v>
      </c>
      <c r="AX4124" t="s">
        <v>73</v>
      </c>
    </row>
    <row r="4125" spans="1:50" x14ac:dyDescent="0.3">
      <c r="A4125" t="str">
        <f>"202212C0100"</f>
        <v>202212C0100</v>
      </c>
      <c r="B4125" t="str">
        <f>"202212C01002"</f>
        <v>202212C01002</v>
      </c>
      <c r="C4125" t="str">
        <f t="shared" si="211"/>
        <v>20</v>
      </c>
      <c r="D4125" t="s">
        <v>67</v>
      </c>
      <c r="E4125" t="str">
        <f t="shared" si="212"/>
        <v>018</v>
      </c>
      <c r="F4125" t="s">
        <v>4075</v>
      </c>
      <c r="G4125" t="str">
        <f>"2212"</f>
        <v>2212</v>
      </c>
      <c r="H4125" t="str">
        <f>"0001"</f>
        <v>0001</v>
      </c>
      <c r="I4125" t="s">
        <v>75</v>
      </c>
      <c r="J4125">
        <v>0</v>
      </c>
      <c r="K4125">
        <v>1</v>
      </c>
      <c r="L4125">
        <v>2</v>
      </c>
      <c r="M4125">
        <v>179</v>
      </c>
      <c r="N4125">
        <v>319</v>
      </c>
      <c r="O4125">
        <v>6</v>
      </c>
      <c r="P4125">
        <v>319</v>
      </c>
      <c r="Q4125">
        <v>6</v>
      </c>
      <c r="R4125">
        <v>27</v>
      </c>
      <c r="S4125">
        <v>5</v>
      </c>
      <c r="T4125">
        <v>11</v>
      </c>
      <c r="U4125">
        <v>22</v>
      </c>
      <c r="V4125">
        <v>4</v>
      </c>
      <c r="W4125">
        <v>6</v>
      </c>
      <c r="X4125">
        <v>210</v>
      </c>
      <c r="Y4125">
        <v>5</v>
      </c>
      <c r="Z4125">
        <v>1</v>
      </c>
      <c r="AA4125">
        <v>5</v>
      </c>
      <c r="AB4125">
        <v>4</v>
      </c>
      <c r="AD4125">
        <v>1</v>
      </c>
      <c r="AE4125">
        <v>0</v>
      </c>
      <c r="AF4125">
        <v>0</v>
      </c>
      <c r="AG4125">
        <v>0</v>
      </c>
      <c r="AI4125">
        <v>0</v>
      </c>
      <c r="AJ4125">
        <v>12</v>
      </c>
      <c r="AK4125">
        <v>319</v>
      </c>
      <c r="AL4125">
        <v>319</v>
      </c>
      <c r="AM4125">
        <v>454</v>
      </c>
      <c r="AN4125">
        <v>44</v>
      </c>
      <c r="AP4125">
        <v>1</v>
      </c>
      <c r="AR4125" t="s">
        <v>4224</v>
      </c>
      <c r="AS4125" s="1">
        <v>44353.882384259261</v>
      </c>
      <c r="AT4125" s="1">
        <v>44353.884502314817</v>
      </c>
      <c r="AU4125" s="1">
        <v>44353.885462962964</v>
      </c>
      <c r="AV4125" t="s">
        <v>269</v>
      </c>
      <c r="AW4125" t="s">
        <v>270</v>
      </c>
      <c r="AX4125" t="s">
        <v>73</v>
      </c>
    </row>
    <row r="4126" spans="1:50" x14ac:dyDescent="0.3">
      <c r="A4126" t="str">
        <f>"202213B0000"</f>
        <v>202213B0000</v>
      </c>
      <c r="B4126" t="str">
        <f>"202213B00002"</f>
        <v>202213B00002</v>
      </c>
      <c r="C4126" t="str">
        <f t="shared" si="211"/>
        <v>20</v>
      </c>
      <c r="D4126" t="s">
        <v>67</v>
      </c>
      <c r="E4126" t="str">
        <f t="shared" si="212"/>
        <v>018</v>
      </c>
      <c r="F4126" t="s">
        <v>4075</v>
      </c>
      <c r="G4126" t="str">
        <f>"2213"</f>
        <v>2213</v>
      </c>
      <c r="H4126" t="str">
        <f>"0000"</f>
        <v>0000</v>
      </c>
      <c r="I4126" t="s">
        <v>69</v>
      </c>
      <c r="J4126">
        <v>0</v>
      </c>
      <c r="K4126">
        <v>1</v>
      </c>
      <c r="L4126">
        <v>2</v>
      </c>
      <c r="M4126">
        <v>283</v>
      </c>
      <c r="N4126">
        <v>424</v>
      </c>
      <c r="O4126">
        <v>3</v>
      </c>
      <c r="P4126" t="s">
        <v>80</v>
      </c>
      <c r="Q4126">
        <v>9</v>
      </c>
      <c r="R4126">
        <v>48</v>
      </c>
      <c r="S4126">
        <v>13</v>
      </c>
      <c r="T4126">
        <v>15</v>
      </c>
      <c r="U4126">
        <v>14</v>
      </c>
      <c r="V4126">
        <v>3</v>
      </c>
      <c r="W4126">
        <v>9</v>
      </c>
      <c r="X4126">
        <v>261</v>
      </c>
      <c r="Y4126">
        <v>7</v>
      </c>
      <c r="Z4126">
        <v>2</v>
      </c>
      <c r="AA4126">
        <v>7</v>
      </c>
      <c r="AB4126">
        <v>11</v>
      </c>
      <c r="AD4126">
        <v>2</v>
      </c>
      <c r="AE4126">
        <v>0</v>
      </c>
      <c r="AF4126">
        <v>0</v>
      </c>
      <c r="AG4126">
        <v>0</v>
      </c>
      <c r="AI4126">
        <v>0</v>
      </c>
      <c r="AJ4126">
        <v>26</v>
      </c>
      <c r="AK4126">
        <v>427</v>
      </c>
      <c r="AL4126">
        <v>427</v>
      </c>
      <c r="AM4126">
        <v>665</v>
      </c>
      <c r="AN4126">
        <v>44</v>
      </c>
      <c r="AP4126">
        <v>1</v>
      </c>
      <c r="AR4126" t="s">
        <v>4225</v>
      </c>
      <c r="AS4126" s="1">
        <v>44353.902395833335</v>
      </c>
      <c r="AT4126" s="1">
        <v>44353.903912037036</v>
      </c>
      <c r="AU4126" s="1">
        <v>44353.904560185183</v>
      </c>
      <c r="AV4126" t="s">
        <v>269</v>
      </c>
      <c r="AW4126" t="s">
        <v>270</v>
      </c>
      <c r="AX4126" t="s">
        <v>73</v>
      </c>
    </row>
    <row r="4127" spans="1:50" x14ac:dyDescent="0.3">
      <c r="A4127" t="str">
        <f>"202213C0100"</f>
        <v>202213C0100</v>
      </c>
      <c r="B4127" t="str">
        <f>"202213C01002"</f>
        <v>202213C01002</v>
      </c>
      <c r="C4127" t="str">
        <f t="shared" si="211"/>
        <v>20</v>
      </c>
      <c r="D4127" t="s">
        <v>67</v>
      </c>
      <c r="E4127" t="str">
        <f t="shared" si="212"/>
        <v>018</v>
      </c>
      <c r="F4127" t="s">
        <v>4075</v>
      </c>
      <c r="G4127" t="str">
        <f>"2213"</f>
        <v>2213</v>
      </c>
      <c r="H4127" t="str">
        <f>"0001"</f>
        <v>0001</v>
      </c>
      <c r="I4127" t="s">
        <v>75</v>
      </c>
      <c r="J4127">
        <v>0</v>
      </c>
      <c r="K4127">
        <v>1</v>
      </c>
      <c r="L4127">
        <v>2</v>
      </c>
      <c r="M4127">
        <v>292</v>
      </c>
      <c r="N4127">
        <v>417</v>
      </c>
      <c r="O4127">
        <v>4</v>
      </c>
      <c r="P4127">
        <v>416</v>
      </c>
      <c r="Q4127">
        <v>7</v>
      </c>
      <c r="R4127">
        <v>81</v>
      </c>
      <c r="S4127">
        <v>10</v>
      </c>
      <c r="T4127">
        <v>12</v>
      </c>
      <c r="U4127">
        <v>26</v>
      </c>
      <c r="V4127">
        <v>4</v>
      </c>
      <c r="W4127">
        <v>15</v>
      </c>
      <c r="X4127">
        <v>227</v>
      </c>
      <c r="Y4127">
        <v>6</v>
      </c>
      <c r="Z4127">
        <v>2</v>
      </c>
      <c r="AA4127">
        <v>4</v>
      </c>
      <c r="AB4127">
        <v>8</v>
      </c>
      <c r="AD4127">
        <v>2</v>
      </c>
      <c r="AE4127">
        <v>1</v>
      </c>
      <c r="AF4127">
        <v>0</v>
      </c>
      <c r="AG4127">
        <v>0</v>
      </c>
      <c r="AI4127">
        <v>0</v>
      </c>
      <c r="AJ4127">
        <v>11</v>
      </c>
      <c r="AK4127">
        <v>416</v>
      </c>
      <c r="AL4127">
        <v>416</v>
      </c>
      <c r="AM4127">
        <v>665</v>
      </c>
      <c r="AN4127">
        <v>44</v>
      </c>
      <c r="AP4127">
        <v>1</v>
      </c>
      <c r="AR4127" t="s">
        <v>4226</v>
      </c>
      <c r="AS4127" s="1">
        <v>44353.96234953704</v>
      </c>
      <c r="AT4127" s="1">
        <v>44353.963530092595</v>
      </c>
      <c r="AU4127" s="1">
        <v>44353.964074074072</v>
      </c>
      <c r="AV4127" t="s">
        <v>269</v>
      </c>
      <c r="AW4127" t="s">
        <v>270</v>
      </c>
      <c r="AX4127" t="s">
        <v>73</v>
      </c>
    </row>
    <row r="4128" spans="1:50" x14ac:dyDescent="0.3">
      <c r="A4128" t="str">
        <f>"202213C0200"</f>
        <v>202213C0200</v>
      </c>
      <c r="B4128" t="str">
        <f>"202213C02002"</f>
        <v>202213C02002</v>
      </c>
      <c r="C4128" t="str">
        <f t="shared" si="211"/>
        <v>20</v>
      </c>
      <c r="D4128" t="s">
        <v>67</v>
      </c>
      <c r="E4128" t="str">
        <f t="shared" si="212"/>
        <v>018</v>
      </c>
      <c r="F4128" t="s">
        <v>4075</v>
      </c>
      <c r="G4128" t="str">
        <f>"2213"</f>
        <v>2213</v>
      </c>
      <c r="H4128" t="str">
        <f>"0002"</f>
        <v>0002</v>
      </c>
      <c r="I4128" t="s">
        <v>75</v>
      </c>
      <c r="J4128">
        <v>0</v>
      </c>
      <c r="K4128">
        <v>1</v>
      </c>
      <c r="L4128">
        <v>2</v>
      </c>
      <c r="M4128">
        <v>292</v>
      </c>
      <c r="N4128">
        <v>416</v>
      </c>
      <c r="O4128">
        <v>4</v>
      </c>
      <c r="P4128">
        <v>416</v>
      </c>
      <c r="Q4128">
        <v>11</v>
      </c>
      <c r="R4128">
        <v>55</v>
      </c>
      <c r="S4128">
        <v>11</v>
      </c>
      <c r="T4128">
        <v>16</v>
      </c>
      <c r="U4128">
        <v>24</v>
      </c>
      <c r="V4128">
        <v>3</v>
      </c>
      <c r="W4128">
        <v>4</v>
      </c>
      <c r="X4128">
        <v>248</v>
      </c>
      <c r="Y4128">
        <v>6</v>
      </c>
      <c r="Z4128">
        <v>2</v>
      </c>
      <c r="AA4128">
        <v>5</v>
      </c>
      <c r="AB4128">
        <v>15</v>
      </c>
      <c r="AD4128">
        <v>1</v>
      </c>
      <c r="AE4128">
        <v>0</v>
      </c>
      <c r="AF4128">
        <v>0</v>
      </c>
      <c r="AG4128">
        <v>0</v>
      </c>
      <c r="AI4128">
        <v>1</v>
      </c>
      <c r="AJ4128">
        <v>14</v>
      </c>
      <c r="AK4128">
        <v>416</v>
      </c>
      <c r="AL4128">
        <v>416</v>
      </c>
      <c r="AM4128">
        <v>664</v>
      </c>
      <c r="AN4128">
        <v>44</v>
      </c>
      <c r="AP4128">
        <v>1</v>
      </c>
      <c r="AR4128" t="s">
        <v>4227</v>
      </c>
      <c r="AS4128" s="1">
        <v>44353.910902777781</v>
      </c>
      <c r="AT4128" s="1">
        <v>44353.912164351852</v>
      </c>
      <c r="AU4128" s="1">
        <v>44353.91265046296</v>
      </c>
      <c r="AV4128" t="s">
        <v>269</v>
      </c>
      <c r="AW4128" t="s">
        <v>270</v>
      </c>
      <c r="AX4128" t="s">
        <v>73</v>
      </c>
    </row>
    <row r="4129" spans="1:50" x14ac:dyDescent="0.3">
      <c r="A4129" t="str">
        <f>"202214B0000"</f>
        <v>202214B0000</v>
      </c>
      <c r="B4129" t="str">
        <f>"202214B00002"</f>
        <v>202214B00002</v>
      </c>
      <c r="C4129" t="str">
        <f t="shared" si="211"/>
        <v>20</v>
      </c>
      <c r="D4129" t="s">
        <v>67</v>
      </c>
      <c r="E4129" t="str">
        <f t="shared" si="212"/>
        <v>018</v>
      </c>
      <c r="F4129" t="s">
        <v>4075</v>
      </c>
      <c r="G4129" t="str">
        <f>"2214"</f>
        <v>2214</v>
      </c>
      <c r="H4129" t="str">
        <f>"0000"</f>
        <v>0000</v>
      </c>
      <c r="I4129" t="s">
        <v>69</v>
      </c>
      <c r="J4129">
        <v>0</v>
      </c>
      <c r="K4129">
        <v>1</v>
      </c>
      <c r="L4129">
        <v>2</v>
      </c>
      <c r="M4129">
        <v>269</v>
      </c>
      <c r="N4129">
        <v>408</v>
      </c>
      <c r="O4129">
        <v>8</v>
      </c>
      <c r="P4129">
        <v>408</v>
      </c>
      <c r="Q4129">
        <v>8</v>
      </c>
      <c r="R4129">
        <v>39</v>
      </c>
      <c r="S4129">
        <v>7</v>
      </c>
      <c r="T4129">
        <v>10</v>
      </c>
      <c r="U4129">
        <v>17</v>
      </c>
      <c r="V4129">
        <v>7</v>
      </c>
      <c r="W4129">
        <v>8</v>
      </c>
      <c r="X4129">
        <v>263</v>
      </c>
      <c r="Y4129">
        <v>14</v>
      </c>
      <c r="Z4129">
        <v>4</v>
      </c>
      <c r="AA4129">
        <v>10</v>
      </c>
      <c r="AB4129">
        <v>8</v>
      </c>
      <c r="AD4129">
        <v>0</v>
      </c>
      <c r="AE4129">
        <v>1</v>
      </c>
      <c r="AF4129">
        <v>0</v>
      </c>
      <c r="AG4129">
        <v>0</v>
      </c>
      <c r="AI4129">
        <v>1</v>
      </c>
      <c r="AJ4129">
        <v>11</v>
      </c>
      <c r="AK4129">
        <v>408</v>
      </c>
      <c r="AL4129">
        <v>408</v>
      </c>
      <c r="AM4129">
        <v>633</v>
      </c>
      <c r="AN4129">
        <v>44</v>
      </c>
      <c r="AP4129">
        <v>1</v>
      </c>
      <c r="AR4129" t="s">
        <v>4228</v>
      </c>
      <c r="AS4129" s="1">
        <v>44353.927268518521</v>
      </c>
      <c r="AT4129" s="1">
        <v>44353.948252314818</v>
      </c>
      <c r="AU4129" s="1">
        <v>44353.949918981481</v>
      </c>
      <c r="AV4129" t="s">
        <v>269</v>
      </c>
      <c r="AW4129" t="s">
        <v>270</v>
      </c>
      <c r="AX4129" t="s">
        <v>73</v>
      </c>
    </row>
    <row r="4130" spans="1:50" x14ac:dyDescent="0.3">
      <c r="A4130" t="str">
        <f>"202214C0100"</f>
        <v>202214C0100</v>
      </c>
      <c r="B4130" t="str">
        <f>"202214C01002"</f>
        <v>202214C01002</v>
      </c>
      <c r="C4130" t="str">
        <f t="shared" si="211"/>
        <v>20</v>
      </c>
      <c r="D4130" t="s">
        <v>67</v>
      </c>
      <c r="E4130" t="str">
        <f t="shared" si="212"/>
        <v>018</v>
      </c>
      <c r="F4130" t="s">
        <v>4075</v>
      </c>
      <c r="G4130" t="str">
        <f>"2214"</f>
        <v>2214</v>
      </c>
      <c r="H4130" t="str">
        <f>"0001"</f>
        <v>0001</v>
      </c>
      <c r="I4130" t="s">
        <v>75</v>
      </c>
      <c r="J4130">
        <v>0</v>
      </c>
      <c r="K4130">
        <v>1</v>
      </c>
      <c r="L4130">
        <v>2</v>
      </c>
      <c r="M4130">
        <v>294</v>
      </c>
      <c r="N4130">
        <v>383</v>
      </c>
      <c r="O4130">
        <v>4</v>
      </c>
      <c r="P4130">
        <v>0</v>
      </c>
      <c r="Q4130">
        <v>9</v>
      </c>
      <c r="R4130">
        <v>42</v>
      </c>
      <c r="S4130">
        <v>6</v>
      </c>
      <c r="T4130">
        <v>8</v>
      </c>
      <c r="U4130">
        <v>9</v>
      </c>
      <c r="V4130">
        <v>6</v>
      </c>
      <c r="W4130">
        <v>5</v>
      </c>
      <c r="X4130">
        <v>265</v>
      </c>
      <c r="Y4130">
        <v>6</v>
      </c>
      <c r="Z4130">
        <v>4</v>
      </c>
      <c r="AA4130">
        <v>5</v>
      </c>
      <c r="AB4130">
        <v>11</v>
      </c>
      <c r="AD4130">
        <v>1</v>
      </c>
      <c r="AE4130">
        <v>1</v>
      </c>
      <c r="AF4130">
        <v>0</v>
      </c>
      <c r="AG4130">
        <v>0</v>
      </c>
      <c r="AI4130">
        <v>1</v>
      </c>
      <c r="AJ4130">
        <v>4</v>
      </c>
      <c r="AK4130">
        <v>383</v>
      </c>
      <c r="AL4130">
        <v>383</v>
      </c>
      <c r="AM4130">
        <v>633</v>
      </c>
      <c r="AN4130">
        <v>44</v>
      </c>
      <c r="AP4130">
        <v>1</v>
      </c>
      <c r="AR4130" t="s">
        <v>4229</v>
      </c>
      <c r="AS4130" s="1">
        <v>44354.056250000001</v>
      </c>
      <c r="AT4130" s="1">
        <v>44354.061805555553</v>
      </c>
      <c r="AU4130" s="1">
        <v>44354.062268518515</v>
      </c>
      <c r="AV4130" t="s">
        <v>71</v>
      </c>
      <c r="AW4130" t="s">
        <v>72</v>
      </c>
      <c r="AX4130" t="s">
        <v>73</v>
      </c>
    </row>
    <row r="4131" spans="1:50" x14ac:dyDescent="0.3">
      <c r="A4131" t="str">
        <f>"202214C0200"</f>
        <v>202214C0200</v>
      </c>
      <c r="B4131" t="str">
        <f>"202214C02002"</f>
        <v>202214C02002</v>
      </c>
      <c r="C4131" t="str">
        <f t="shared" si="211"/>
        <v>20</v>
      </c>
      <c r="D4131" t="s">
        <v>67</v>
      </c>
      <c r="E4131" t="str">
        <f t="shared" si="212"/>
        <v>018</v>
      </c>
      <c r="F4131" t="s">
        <v>4075</v>
      </c>
      <c r="G4131" t="str">
        <f>"2214"</f>
        <v>2214</v>
      </c>
      <c r="H4131" t="str">
        <f>"0002"</f>
        <v>0002</v>
      </c>
      <c r="I4131" t="s">
        <v>75</v>
      </c>
      <c r="J4131">
        <v>0</v>
      </c>
      <c r="K4131">
        <v>1</v>
      </c>
      <c r="L4131">
        <v>2</v>
      </c>
      <c r="M4131">
        <v>289</v>
      </c>
      <c r="N4131">
        <v>388</v>
      </c>
      <c r="O4131">
        <v>10</v>
      </c>
      <c r="P4131">
        <v>388</v>
      </c>
      <c r="Q4131">
        <v>6</v>
      </c>
      <c r="R4131">
        <v>40</v>
      </c>
      <c r="S4131">
        <v>8</v>
      </c>
      <c r="T4131">
        <v>4</v>
      </c>
      <c r="U4131">
        <v>18</v>
      </c>
      <c r="V4131">
        <v>10</v>
      </c>
      <c r="W4131">
        <v>11</v>
      </c>
      <c r="X4131">
        <v>251</v>
      </c>
      <c r="Y4131">
        <v>10</v>
      </c>
      <c r="Z4131">
        <v>2</v>
      </c>
      <c r="AA4131">
        <v>4</v>
      </c>
      <c r="AB4131">
        <v>12</v>
      </c>
      <c r="AD4131">
        <v>1</v>
      </c>
      <c r="AE4131">
        <v>1</v>
      </c>
      <c r="AF4131">
        <v>0</v>
      </c>
      <c r="AG4131">
        <v>0</v>
      </c>
      <c r="AI4131">
        <v>0</v>
      </c>
      <c r="AJ4131">
        <v>10</v>
      </c>
      <c r="AK4131">
        <v>388</v>
      </c>
      <c r="AL4131">
        <v>388</v>
      </c>
      <c r="AM4131">
        <v>633</v>
      </c>
      <c r="AN4131">
        <v>44</v>
      </c>
      <c r="AP4131">
        <v>1</v>
      </c>
      <c r="AR4131" t="s">
        <v>4230</v>
      </c>
      <c r="AS4131" s="1">
        <v>44353.985312500001</v>
      </c>
      <c r="AT4131" s="1">
        <v>44353.986435185187</v>
      </c>
      <c r="AU4131" s="1">
        <v>44353.987175925926</v>
      </c>
      <c r="AV4131" t="s">
        <v>269</v>
      </c>
      <c r="AW4131" t="s">
        <v>270</v>
      </c>
      <c r="AX4131" t="s">
        <v>73</v>
      </c>
    </row>
    <row r="4132" spans="1:50" x14ac:dyDescent="0.3">
      <c r="A4132" t="str">
        <f>"202215B0000"</f>
        <v>202215B0000</v>
      </c>
      <c r="B4132" t="str">
        <f>"202215B00002"</f>
        <v>202215B00002</v>
      </c>
      <c r="C4132" t="str">
        <f t="shared" si="211"/>
        <v>20</v>
      </c>
      <c r="D4132" t="s">
        <v>67</v>
      </c>
      <c r="E4132" t="str">
        <f t="shared" si="212"/>
        <v>018</v>
      </c>
      <c r="F4132" t="s">
        <v>4075</v>
      </c>
      <c r="G4132" t="str">
        <f>"2215"</f>
        <v>2215</v>
      </c>
      <c r="H4132" t="str">
        <f>"0000"</f>
        <v>0000</v>
      </c>
      <c r="I4132" t="s">
        <v>69</v>
      </c>
      <c r="J4132">
        <v>0</v>
      </c>
      <c r="K4132">
        <v>1</v>
      </c>
      <c r="L4132">
        <v>2</v>
      </c>
      <c r="M4132">
        <v>308</v>
      </c>
      <c r="N4132">
        <v>431</v>
      </c>
      <c r="O4132">
        <v>3</v>
      </c>
      <c r="P4132">
        <v>431</v>
      </c>
      <c r="Q4132">
        <v>3</v>
      </c>
      <c r="R4132">
        <v>54</v>
      </c>
      <c r="S4132">
        <v>7</v>
      </c>
      <c r="T4132">
        <v>14</v>
      </c>
      <c r="U4132">
        <v>21</v>
      </c>
      <c r="V4132">
        <v>8</v>
      </c>
      <c r="W4132">
        <v>7</v>
      </c>
      <c r="X4132">
        <v>279</v>
      </c>
      <c r="Y4132">
        <v>9</v>
      </c>
      <c r="Z4132">
        <v>0</v>
      </c>
      <c r="AA4132">
        <v>7</v>
      </c>
      <c r="AB4132">
        <v>12</v>
      </c>
      <c r="AD4132">
        <v>0</v>
      </c>
      <c r="AE4132">
        <v>0</v>
      </c>
      <c r="AF4132">
        <v>0</v>
      </c>
      <c r="AG4132">
        <v>0</v>
      </c>
      <c r="AI4132">
        <v>0</v>
      </c>
      <c r="AJ4132">
        <v>10</v>
      </c>
      <c r="AK4132">
        <v>431</v>
      </c>
      <c r="AL4132">
        <v>431</v>
      </c>
      <c r="AM4132">
        <v>695</v>
      </c>
      <c r="AN4132">
        <v>44</v>
      </c>
      <c r="AP4132">
        <v>1</v>
      </c>
      <c r="AR4132" t="s">
        <v>4231</v>
      </c>
      <c r="AS4132" s="1">
        <v>44353.932858796295</v>
      </c>
      <c r="AT4132" s="1">
        <v>44353.934351851851</v>
      </c>
      <c r="AU4132" s="1">
        <v>44353.935648148145</v>
      </c>
      <c r="AV4132" t="s">
        <v>269</v>
      </c>
      <c r="AW4132" t="s">
        <v>270</v>
      </c>
      <c r="AX4132" t="s">
        <v>73</v>
      </c>
    </row>
    <row r="4133" spans="1:50" x14ac:dyDescent="0.3">
      <c r="A4133" t="str">
        <f>"202215C0100"</f>
        <v>202215C0100</v>
      </c>
      <c r="B4133" t="str">
        <f>"202215C01002"</f>
        <v>202215C01002</v>
      </c>
      <c r="C4133" t="str">
        <f t="shared" si="211"/>
        <v>20</v>
      </c>
      <c r="D4133" t="s">
        <v>67</v>
      </c>
      <c r="E4133" t="str">
        <f t="shared" si="212"/>
        <v>018</v>
      </c>
      <c r="F4133" t="s">
        <v>4075</v>
      </c>
      <c r="G4133" t="str">
        <f>"2215"</f>
        <v>2215</v>
      </c>
      <c r="H4133" t="str">
        <f>"0001"</f>
        <v>0001</v>
      </c>
      <c r="I4133" t="s">
        <v>75</v>
      </c>
      <c r="J4133">
        <v>0</v>
      </c>
      <c r="K4133">
        <v>1</v>
      </c>
      <c r="L4133">
        <v>2</v>
      </c>
      <c r="M4133">
        <v>307</v>
      </c>
      <c r="N4133">
        <v>437</v>
      </c>
      <c r="O4133">
        <v>4</v>
      </c>
      <c r="P4133">
        <v>431</v>
      </c>
      <c r="Q4133">
        <v>0</v>
      </c>
      <c r="R4133">
        <v>54</v>
      </c>
      <c r="S4133">
        <v>5</v>
      </c>
      <c r="T4133">
        <v>9</v>
      </c>
      <c r="U4133">
        <v>20</v>
      </c>
      <c r="V4133">
        <v>11</v>
      </c>
      <c r="W4133">
        <v>4</v>
      </c>
      <c r="X4133">
        <v>279</v>
      </c>
      <c r="Y4133">
        <v>8</v>
      </c>
      <c r="Z4133">
        <v>7</v>
      </c>
      <c r="AA4133">
        <v>3</v>
      </c>
      <c r="AB4133">
        <v>12</v>
      </c>
      <c r="AD4133" t="s">
        <v>77</v>
      </c>
      <c r="AE4133">
        <v>1</v>
      </c>
      <c r="AF4133" t="s">
        <v>77</v>
      </c>
      <c r="AG4133" t="s">
        <v>77</v>
      </c>
      <c r="AI4133" t="s">
        <v>77</v>
      </c>
      <c r="AJ4133">
        <v>10</v>
      </c>
      <c r="AK4133" t="s">
        <v>77</v>
      </c>
      <c r="AL4133">
        <v>423</v>
      </c>
      <c r="AM4133">
        <v>695</v>
      </c>
      <c r="AN4133">
        <v>44</v>
      </c>
      <c r="AO4133" t="s">
        <v>78</v>
      </c>
      <c r="AP4133">
        <v>1</v>
      </c>
      <c r="AR4133" t="s">
        <v>4232</v>
      </c>
      <c r="AS4133" s="1">
        <v>44354.171527777777</v>
      </c>
      <c r="AT4133" s="1">
        <v>44354.175405092596</v>
      </c>
      <c r="AU4133" s="1">
        <v>44354.178032407406</v>
      </c>
      <c r="AV4133" t="s">
        <v>71</v>
      </c>
      <c r="AW4133" t="s">
        <v>72</v>
      </c>
      <c r="AX4133" t="s">
        <v>73</v>
      </c>
    </row>
    <row r="4134" spans="1:50" x14ac:dyDescent="0.3">
      <c r="A4134" t="str">
        <f>"202215C0200"</f>
        <v>202215C0200</v>
      </c>
      <c r="B4134" t="str">
        <f>"202215C02002"</f>
        <v>202215C02002</v>
      </c>
      <c r="C4134" t="str">
        <f t="shared" si="211"/>
        <v>20</v>
      </c>
      <c r="D4134" t="s">
        <v>67</v>
      </c>
      <c r="E4134" t="str">
        <f t="shared" si="212"/>
        <v>018</v>
      </c>
      <c r="F4134" t="s">
        <v>4075</v>
      </c>
      <c r="G4134" t="str">
        <f>"2215"</f>
        <v>2215</v>
      </c>
      <c r="H4134" t="str">
        <f>"0002"</f>
        <v>0002</v>
      </c>
      <c r="I4134" t="s">
        <v>75</v>
      </c>
      <c r="J4134">
        <v>0</v>
      </c>
      <c r="K4134">
        <v>1</v>
      </c>
      <c r="L4134">
        <v>2</v>
      </c>
      <c r="M4134">
        <v>302</v>
      </c>
      <c r="N4134">
        <v>437</v>
      </c>
      <c r="O4134">
        <v>5</v>
      </c>
      <c r="P4134">
        <v>438</v>
      </c>
      <c r="Q4134">
        <v>12</v>
      </c>
      <c r="R4134">
        <v>54</v>
      </c>
      <c r="S4134">
        <v>6</v>
      </c>
      <c r="T4134">
        <v>10</v>
      </c>
      <c r="U4134">
        <v>16</v>
      </c>
      <c r="V4134">
        <v>6</v>
      </c>
      <c r="W4134">
        <v>6</v>
      </c>
      <c r="X4134">
        <v>274</v>
      </c>
      <c r="Y4134">
        <v>9</v>
      </c>
      <c r="Z4134">
        <v>7</v>
      </c>
      <c r="AA4134">
        <v>7</v>
      </c>
      <c r="AB4134">
        <v>17</v>
      </c>
      <c r="AD4134">
        <v>0</v>
      </c>
      <c r="AE4134">
        <v>1</v>
      </c>
      <c r="AF4134">
        <v>0</v>
      </c>
      <c r="AG4134">
        <v>0</v>
      </c>
      <c r="AI4134">
        <v>1</v>
      </c>
      <c r="AJ4134">
        <v>12</v>
      </c>
      <c r="AK4134">
        <v>438</v>
      </c>
      <c r="AL4134">
        <v>438</v>
      </c>
      <c r="AM4134">
        <v>694</v>
      </c>
      <c r="AN4134">
        <v>44</v>
      </c>
      <c r="AP4134">
        <v>1</v>
      </c>
      <c r="AR4134" t="s">
        <v>4233</v>
      </c>
      <c r="AS4134" s="1">
        <v>44353.941979166666</v>
      </c>
      <c r="AT4134" s="1">
        <v>44353.943240740744</v>
      </c>
      <c r="AU4134" s="1">
        <v>44353.943784722222</v>
      </c>
      <c r="AV4134" t="s">
        <v>269</v>
      </c>
      <c r="AW4134" t="s">
        <v>270</v>
      </c>
      <c r="AX4134" t="s">
        <v>73</v>
      </c>
    </row>
    <row r="4135" spans="1:50" x14ac:dyDescent="0.3">
      <c r="A4135" t="str">
        <f>"202216B0000"</f>
        <v>202216B0000</v>
      </c>
      <c r="B4135" t="str">
        <f>"202216B00002"</f>
        <v>202216B00002</v>
      </c>
      <c r="C4135" t="str">
        <f t="shared" si="211"/>
        <v>20</v>
      </c>
      <c r="D4135" t="s">
        <v>67</v>
      </c>
      <c r="E4135" t="str">
        <f t="shared" si="212"/>
        <v>018</v>
      </c>
      <c r="F4135" t="s">
        <v>4075</v>
      </c>
      <c r="G4135" t="str">
        <f>"2216"</f>
        <v>2216</v>
      </c>
      <c r="H4135" t="str">
        <f>"0000"</f>
        <v>0000</v>
      </c>
      <c r="I4135" t="s">
        <v>69</v>
      </c>
      <c r="J4135">
        <v>0</v>
      </c>
      <c r="K4135">
        <v>1</v>
      </c>
      <c r="L4135">
        <v>2</v>
      </c>
      <c r="M4135">
        <v>269</v>
      </c>
      <c r="N4135">
        <v>498</v>
      </c>
      <c r="O4135">
        <v>7</v>
      </c>
      <c r="P4135">
        <v>519</v>
      </c>
      <c r="Q4135">
        <v>12</v>
      </c>
      <c r="R4135">
        <v>51</v>
      </c>
      <c r="S4135">
        <v>6</v>
      </c>
      <c r="T4135">
        <v>13</v>
      </c>
      <c r="U4135">
        <v>17</v>
      </c>
      <c r="V4135">
        <v>3</v>
      </c>
      <c r="W4135">
        <v>11</v>
      </c>
      <c r="X4135">
        <v>344</v>
      </c>
      <c r="Y4135">
        <v>5</v>
      </c>
      <c r="Z4135">
        <v>2</v>
      </c>
      <c r="AA4135">
        <v>6</v>
      </c>
      <c r="AB4135">
        <v>34</v>
      </c>
      <c r="AD4135" t="s">
        <v>77</v>
      </c>
      <c r="AE4135" t="s">
        <v>77</v>
      </c>
      <c r="AF4135" t="s">
        <v>77</v>
      </c>
      <c r="AG4135" t="s">
        <v>77</v>
      </c>
      <c r="AI4135" t="s">
        <v>77</v>
      </c>
      <c r="AJ4135">
        <v>15</v>
      </c>
      <c r="AK4135">
        <v>519</v>
      </c>
      <c r="AL4135">
        <v>519</v>
      </c>
      <c r="AM4135">
        <v>744</v>
      </c>
      <c r="AN4135">
        <v>44</v>
      </c>
      <c r="AO4135" t="s">
        <v>78</v>
      </c>
      <c r="AP4135">
        <v>1</v>
      </c>
      <c r="AR4135" t="s">
        <v>4234</v>
      </c>
      <c r="AS4135" s="1">
        <v>44353.95579861111</v>
      </c>
      <c r="AT4135" s="1">
        <v>44353.95857638889</v>
      </c>
      <c r="AU4135" s="1">
        <v>44353.959131944444</v>
      </c>
      <c r="AV4135" t="s">
        <v>269</v>
      </c>
      <c r="AW4135" t="s">
        <v>270</v>
      </c>
      <c r="AX4135" t="s">
        <v>73</v>
      </c>
    </row>
    <row r="4136" spans="1:50" x14ac:dyDescent="0.3">
      <c r="A4136" t="str">
        <f>"202216C0100"</f>
        <v>202216C0100</v>
      </c>
      <c r="B4136" t="str">
        <f>"202216C01002"</f>
        <v>202216C01002</v>
      </c>
      <c r="C4136" t="str">
        <f t="shared" si="211"/>
        <v>20</v>
      </c>
      <c r="D4136" t="s">
        <v>67</v>
      </c>
      <c r="E4136" t="str">
        <f t="shared" si="212"/>
        <v>018</v>
      </c>
      <c r="F4136" t="s">
        <v>4075</v>
      </c>
      <c r="G4136" t="str">
        <f>"2216"</f>
        <v>2216</v>
      </c>
      <c r="H4136" t="str">
        <f>"0001"</f>
        <v>0001</v>
      </c>
      <c r="I4136" t="s">
        <v>75</v>
      </c>
      <c r="J4136">
        <v>0</v>
      </c>
      <c r="K4136">
        <v>1</v>
      </c>
      <c r="L4136">
        <v>2</v>
      </c>
      <c r="M4136">
        <v>275</v>
      </c>
      <c r="N4136">
        <v>510</v>
      </c>
      <c r="O4136">
        <v>3</v>
      </c>
      <c r="P4136">
        <v>510</v>
      </c>
      <c r="Q4136">
        <v>8</v>
      </c>
      <c r="R4136">
        <v>48</v>
      </c>
      <c r="S4136">
        <v>12</v>
      </c>
      <c r="T4136">
        <v>19</v>
      </c>
      <c r="U4136">
        <v>15</v>
      </c>
      <c r="V4136">
        <v>4</v>
      </c>
      <c r="W4136">
        <v>9</v>
      </c>
      <c r="X4136">
        <v>330</v>
      </c>
      <c r="Y4136">
        <v>9</v>
      </c>
      <c r="Z4136">
        <v>2</v>
      </c>
      <c r="AA4136">
        <v>3</v>
      </c>
      <c r="AB4136">
        <v>43</v>
      </c>
      <c r="AD4136" t="s">
        <v>77</v>
      </c>
      <c r="AE4136" t="s">
        <v>77</v>
      </c>
      <c r="AF4136" t="s">
        <v>77</v>
      </c>
      <c r="AG4136" t="s">
        <v>77</v>
      </c>
      <c r="AI4136" t="s">
        <v>77</v>
      </c>
      <c r="AJ4136">
        <v>11</v>
      </c>
      <c r="AK4136" t="s">
        <v>77</v>
      </c>
      <c r="AL4136">
        <v>513</v>
      </c>
      <c r="AM4136">
        <v>743</v>
      </c>
      <c r="AN4136">
        <v>44</v>
      </c>
      <c r="AO4136" t="s">
        <v>78</v>
      </c>
      <c r="AP4136">
        <v>1</v>
      </c>
      <c r="AR4136" t="s">
        <v>4235</v>
      </c>
      <c r="AS4136" s="1">
        <v>44353.994444444441</v>
      </c>
      <c r="AT4136" s="1">
        <v>44353.998749999999</v>
      </c>
      <c r="AU4136" s="1">
        <v>44353.999328703707</v>
      </c>
      <c r="AV4136" t="s">
        <v>71</v>
      </c>
      <c r="AW4136" t="s">
        <v>72</v>
      </c>
      <c r="AX4136" t="s">
        <v>73</v>
      </c>
    </row>
    <row r="4137" spans="1:50" x14ac:dyDescent="0.3">
      <c r="A4137" t="str">
        <f>"202217B0000"</f>
        <v>202217B0000</v>
      </c>
      <c r="B4137" t="str">
        <f>"202217B00002"</f>
        <v>202217B00002</v>
      </c>
      <c r="C4137" t="str">
        <f t="shared" si="211"/>
        <v>20</v>
      </c>
      <c r="D4137" t="s">
        <v>67</v>
      </c>
      <c r="E4137" t="str">
        <f t="shared" si="212"/>
        <v>018</v>
      </c>
      <c r="F4137" t="s">
        <v>4075</v>
      </c>
      <c r="G4137" t="str">
        <f>"2217"</f>
        <v>2217</v>
      </c>
      <c r="H4137" t="str">
        <f>"0000"</f>
        <v>0000</v>
      </c>
      <c r="I4137" t="s">
        <v>69</v>
      </c>
      <c r="J4137">
        <v>0</v>
      </c>
      <c r="K4137">
        <v>1</v>
      </c>
      <c r="L4137">
        <v>2</v>
      </c>
      <c r="M4137">
        <v>256</v>
      </c>
      <c r="N4137">
        <v>512</v>
      </c>
      <c r="O4137">
        <v>1</v>
      </c>
      <c r="P4137">
        <v>512</v>
      </c>
      <c r="Q4137">
        <v>10</v>
      </c>
      <c r="R4137">
        <v>33</v>
      </c>
      <c r="S4137">
        <v>20</v>
      </c>
      <c r="T4137">
        <v>27</v>
      </c>
      <c r="U4137">
        <v>24</v>
      </c>
      <c r="V4137">
        <v>8</v>
      </c>
      <c r="W4137">
        <v>13</v>
      </c>
      <c r="X4137">
        <v>321</v>
      </c>
      <c r="Y4137">
        <v>14</v>
      </c>
      <c r="Z4137">
        <v>5</v>
      </c>
      <c r="AA4137">
        <v>4</v>
      </c>
      <c r="AB4137">
        <v>20</v>
      </c>
      <c r="AD4137">
        <v>2</v>
      </c>
      <c r="AE4137">
        <v>0</v>
      </c>
      <c r="AF4137">
        <v>0</v>
      </c>
      <c r="AG4137">
        <v>0</v>
      </c>
      <c r="AI4137">
        <v>4</v>
      </c>
      <c r="AJ4137">
        <v>7</v>
      </c>
      <c r="AK4137">
        <v>512</v>
      </c>
      <c r="AL4137">
        <v>512</v>
      </c>
      <c r="AM4137">
        <v>723</v>
      </c>
      <c r="AN4137">
        <v>44</v>
      </c>
      <c r="AP4137">
        <v>1</v>
      </c>
      <c r="AR4137" t="s">
        <v>4236</v>
      </c>
      <c r="AS4137" s="1">
        <v>44353.989386574074</v>
      </c>
      <c r="AT4137" s="1">
        <v>44353.993333333332</v>
      </c>
      <c r="AU4137" s="1">
        <v>44353.994490740741</v>
      </c>
      <c r="AV4137" t="s">
        <v>269</v>
      </c>
      <c r="AW4137" t="s">
        <v>270</v>
      </c>
      <c r="AX4137" t="s">
        <v>73</v>
      </c>
    </row>
    <row r="4138" spans="1:50" x14ac:dyDescent="0.3">
      <c r="A4138" t="str">
        <f>"202217C0100"</f>
        <v>202217C0100</v>
      </c>
      <c r="B4138" t="str">
        <f>"202217C01002"</f>
        <v>202217C01002</v>
      </c>
      <c r="C4138" t="str">
        <f t="shared" si="211"/>
        <v>20</v>
      </c>
      <c r="D4138" t="s">
        <v>67</v>
      </c>
      <c r="E4138" t="str">
        <f t="shared" si="212"/>
        <v>018</v>
      </c>
      <c r="F4138" t="s">
        <v>4075</v>
      </c>
      <c r="G4138" t="str">
        <f>"2217"</f>
        <v>2217</v>
      </c>
      <c r="H4138" t="str">
        <f>"0001"</f>
        <v>0001</v>
      </c>
      <c r="I4138" t="s">
        <v>75</v>
      </c>
      <c r="J4138">
        <v>0</v>
      </c>
      <c r="K4138">
        <v>1</v>
      </c>
      <c r="L4138">
        <v>2</v>
      </c>
      <c r="M4138">
        <v>299</v>
      </c>
      <c r="N4138">
        <v>467</v>
      </c>
      <c r="O4138">
        <v>1</v>
      </c>
      <c r="P4138">
        <v>467</v>
      </c>
      <c r="Q4138">
        <v>9</v>
      </c>
      <c r="R4138">
        <v>33</v>
      </c>
      <c r="S4138">
        <v>11</v>
      </c>
      <c r="T4138">
        <v>17</v>
      </c>
      <c r="U4138">
        <v>34</v>
      </c>
      <c r="V4138">
        <v>5</v>
      </c>
      <c r="W4138">
        <v>7</v>
      </c>
      <c r="X4138">
        <v>307</v>
      </c>
      <c r="Y4138">
        <v>17</v>
      </c>
      <c r="Z4138">
        <v>1</v>
      </c>
      <c r="AA4138">
        <v>4</v>
      </c>
      <c r="AB4138">
        <v>8</v>
      </c>
      <c r="AD4138">
        <v>0</v>
      </c>
      <c r="AE4138">
        <v>0</v>
      </c>
      <c r="AF4138">
        <v>0</v>
      </c>
      <c r="AG4138">
        <v>0</v>
      </c>
      <c r="AI4138">
        <v>0</v>
      </c>
      <c r="AJ4138">
        <v>14</v>
      </c>
      <c r="AK4138">
        <v>467</v>
      </c>
      <c r="AL4138">
        <v>467</v>
      </c>
      <c r="AM4138">
        <v>722</v>
      </c>
      <c r="AN4138">
        <v>44</v>
      </c>
      <c r="AP4138">
        <v>1</v>
      </c>
      <c r="AR4138" t="s">
        <v>4237</v>
      </c>
      <c r="AS4138" s="1">
        <v>44353.994074074071</v>
      </c>
      <c r="AT4138" s="1">
        <v>44353.998726851853</v>
      </c>
      <c r="AU4138" s="1">
        <v>44353.999583333331</v>
      </c>
      <c r="AV4138" t="s">
        <v>269</v>
      </c>
      <c r="AW4138" t="s">
        <v>270</v>
      </c>
      <c r="AX4138" t="s">
        <v>73</v>
      </c>
    </row>
    <row r="4139" spans="1:50" x14ac:dyDescent="0.3">
      <c r="A4139" t="str">
        <f>"202217C0200"</f>
        <v>202217C0200</v>
      </c>
      <c r="B4139" t="str">
        <f>"202217C02002"</f>
        <v>202217C02002</v>
      </c>
      <c r="C4139" t="str">
        <f t="shared" si="211"/>
        <v>20</v>
      </c>
      <c r="D4139" t="s">
        <v>67</v>
      </c>
      <c r="E4139" t="str">
        <f t="shared" si="212"/>
        <v>018</v>
      </c>
      <c r="F4139" t="s">
        <v>4075</v>
      </c>
      <c r="G4139" t="str">
        <f>"2217"</f>
        <v>2217</v>
      </c>
      <c r="H4139" t="str">
        <f>"0002"</f>
        <v>0002</v>
      </c>
      <c r="I4139" t="s">
        <v>75</v>
      </c>
      <c r="J4139">
        <v>0</v>
      </c>
      <c r="K4139">
        <v>1</v>
      </c>
      <c r="L4139">
        <v>2</v>
      </c>
      <c r="M4139">
        <v>302</v>
      </c>
      <c r="N4139">
        <v>464</v>
      </c>
      <c r="O4139">
        <v>2</v>
      </c>
      <c r="P4139">
        <v>464</v>
      </c>
      <c r="Q4139">
        <v>14</v>
      </c>
      <c r="R4139">
        <v>50</v>
      </c>
      <c r="S4139">
        <v>15</v>
      </c>
      <c r="T4139">
        <v>15</v>
      </c>
      <c r="U4139">
        <v>14</v>
      </c>
      <c r="V4139">
        <v>6</v>
      </c>
      <c r="W4139">
        <v>10</v>
      </c>
      <c r="X4139">
        <v>282</v>
      </c>
      <c r="Y4139">
        <v>21</v>
      </c>
      <c r="Z4139">
        <v>3</v>
      </c>
      <c r="AA4139">
        <v>0</v>
      </c>
      <c r="AB4139">
        <v>24</v>
      </c>
      <c r="AD4139">
        <v>1</v>
      </c>
      <c r="AE4139">
        <v>0</v>
      </c>
      <c r="AF4139">
        <v>0</v>
      </c>
      <c r="AG4139">
        <v>0</v>
      </c>
      <c r="AI4139">
        <v>0</v>
      </c>
      <c r="AJ4139">
        <v>9</v>
      </c>
      <c r="AK4139">
        <v>464</v>
      </c>
      <c r="AL4139">
        <v>464</v>
      </c>
      <c r="AM4139">
        <v>722</v>
      </c>
      <c r="AN4139">
        <v>44</v>
      </c>
      <c r="AP4139">
        <v>1</v>
      </c>
      <c r="AR4139" t="s">
        <v>4238</v>
      </c>
      <c r="AS4139" s="1">
        <v>44354.015034722222</v>
      </c>
      <c r="AT4139" s="1">
        <v>44354.022523148145</v>
      </c>
      <c r="AU4139" s="1">
        <v>44354.023159722223</v>
      </c>
      <c r="AV4139" t="s">
        <v>269</v>
      </c>
      <c r="AW4139" t="s">
        <v>270</v>
      </c>
      <c r="AX4139" t="s">
        <v>73</v>
      </c>
    </row>
    <row r="4140" spans="1:50" x14ac:dyDescent="0.3">
      <c r="A4140" t="str">
        <f>"202218B0000"</f>
        <v>202218B0000</v>
      </c>
      <c r="B4140" t="str">
        <f>"202218B00002"</f>
        <v>202218B00002</v>
      </c>
      <c r="C4140" t="str">
        <f t="shared" si="211"/>
        <v>20</v>
      </c>
      <c r="D4140" t="s">
        <v>67</v>
      </c>
      <c r="E4140" t="str">
        <f t="shared" si="212"/>
        <v>018</v>
      </c>
      <c r="F4140" t="s">
        <v>4075</v>
      </c>
      <c r="G4140" t="str">
        <f t="shared" ref="G4140:G4145" si="214">"2218"</f>
        <v>2218</v>
      </c>
      <c r="H4140" t="str">
        <f>"0000"</f>
        <v>0000</v>
      </c>
      <c r="I4140" t="s">
        <v>69</v>
      </c>
      <c r="J4140">
        <v>0</v>
      </c>
      <c r="K4140">
        <v>1</v>
      </c>
      <c r="L4140">
        <v>2</v>
      </c>
      <c r="M4140">
        <v>292</v>
      </c>
      <c r="N4140">
        <v>402</v>
      </c>
      <c r="O4140">
        <v>3</v>
      </c>
      <c r="P4140">
        <v>402</v>
      </c>
      <c r="Q4140">
        <v>9</v>
      </c>
      <c r="R4140">
        <v>50</v>
      </c>
      <c r="S4140">
        <v>20</v>
      </c>
      <c r="T4140">
        <v>21</v>
      </c>
      <c r="U4140">
        <v>37</v>
      </c>
      <c r="V4140">
        <v>9</v>
      </c>
      <c r="W4140">
        <v>7</v>
      </c>
      <c r="X4140">
        <v>216</v>
      </c>
      <c r="Y4140" t="s">
        <v>77</v>
      </c>
      <c r="Z4140">
        <v>3</v>
      </c>
      <c r="AA4140">
        <v>2</v>
      </c>
      <c r="AB4140">
        <v>11</v>
      </c>
      <c r="AD4140" t="s">
        <v>77</v>
      </c>
      <c r="AE4140" t="s">
        <v>77</v>
      </c>
      <c r="AF4140" t="s">
        <v>77</v>
      </c>
      <c r="AG4140" t="s">
        <v>77</v>
      </c>
      <c r="AI4140" t="s">
        <v>77</v>
      </c>
      <c r="AJ4140">
        <v>14</v>
      </c>
      <c r="AK4140">
        <v>402</v>
      </c>
      <c r="AL4140">
        <v>399</v>
      </c>
      <c r="AM4140">
        <v>650</v>
      </c>
      <c r="AN4140">
        <v>44</v>
      </c>
      <c r="AO4140" t="s">
        <v>78</v>
      </c>
      <c r="AP4140">
        <v>1</v>
      </c>
      <c r="AR4140" t="s">
        <v>4239</v>
      </c>
      <c r="AS4140" s="1">
        <v>44353.942685185182</v>
      </c>
      <c r="AT4140" s="1">
        <v>44353.944895833331</v>
      </c>
      <c r="AU4140" s="1">
        <v>44353.9455787037</v>
      </c>
      <c r="AV4140" t="s">
        <v>269</v>
      </c>
      <c r="AW4140" t="s">
        <v>270</v>
      </c>
      <c r="AX4140" t="s">
        <v>73</v>
      </c>
    </row>
    <row r="4141" spans="1:50" x14ac:dyDescent="0.3">
      <c r="A4141" t="str">
        <f>"202218C0100"</f>
        <v>202218C0100</v>
      </c>
      <c r="B4141" t="str">
        <f>"202218C01002"</f>
        <v>202218C01002</v>
      </c>
      <c r="C4141" t="str">
        <f t="shared" si="211"/>
        <v>20</v>
      </c>
      <c r="D4141" t="s">
        <v>67</v>
      </c>
      <c r="E4141" t="str">
        <f t="shared" si="212"/>
        <v>018</v>
      </c>
      <c r="F4141" t="s">
        <v>4075</v>
      </c>
      <c r="G4141" t="str">
        <f t="shared" si="214"/>
        <v>2218</v>
      </c>
      <c r="H4141" t="str">
        <f>"0001"</f>
        <v>0001</v>
      </c>
      <c r="I4141" t="s">
        <v>75</v>
      </c>
      <c r="J4141">
        <v>0</v>
      </c>
      <c r="K4141">
        <v>1</v>
      </c>
      <c r="L4141">
        <v>2</v>
      </c>
      <c r="M4141">
        <v>299</v>
      </c>
      <c r="N4141">
        <v>395</v>
      </c>
      <c r="O4141">
        <v>0</v>
      </c>
      <c r="P4141" t="s">
        <v>80</v>
      </c>
      <c r="Q4141">
        <v>7</v>
      </c>
      <c r="R4141">
        <v>47</v>
      </c>
      <c r="S4141">
        <v>20</v>
      </c>
      <c r="T4141">
        <v>18</v>
      </c>
      <c r="U4141">
        <v>26</v>
      </c>
      <c r="V4141">
        <v>9</v>
      </c>
      <c r="W4141">
        <v>8</v>
      </c>
      <c r="X4141">
        <v>219</v>
      </c>
      <c r="Y4141">
        <v>1</v>
      </c>
      <c r="Z4141">
        <v>2</v>
      </c>
      <c r="AA4141">
        <v>10</v>
      </c>
      <c r="AB4141">
        <v>13</v>
      </c>
      <c r="AD4141" t="s">
        <v>77</v>
      </c>
      <c r="AE4141" t="s">
        <v>77</v>
      </c>
      <c r="AF4141" t="s">
        <v>77</v>
      </c>
      <c r="AG4141" t="s">
        <v>77</v>
      </c>
      <c r="AI4141" t="s">
        <v>77</v>
      </c>
      <c r="AJ4141" t="s">
        <v>77</v>
      </c>
      <c r="AK4141" t="s">
        <v>77</v>
      </c>
      <c r="AL4141">
        <v>380</v>
      </c>
      <c r="AM4141">
        <v>650</v>
      </c>
      <c r="AN4141">
        <v>44</v>
      </c>
      <c r="AO4141" t="s">
        <v>78</v>
      </c>
      <c r="AP4141">
        <v>1</v>
      </c>
      <c r="AR4141" t="s">
        <v>4240</v>
      </c>
      <c r="AS4141" s="1">
        <v>44353.94027777778</v>
      </c>
      <c r="AT4141" s="1">
        <v>44353.94195601852</v>
      </c>
      <c r="AU4141" s="1">
        <v>44353.942175925928</v>
      </c>
      <c r="AV4141" t="s">
        <v>269</v>
      </c>
      <c r="AW4141" t="s">
        <v>270</v>
      </c>
      <c r="AX4141" t="s">
        <v>73</v>
      </c>
    </row>
    <row r="4142" spans="1:50" x14ac:dyDescent="0.3">
      <c r="A4142" t="str">
        <f>"202218C0200"</f>
        <v>202218C0200</v>
      </c>
      <c r="B4142" t="str">
        <f>"202218C02002"</f>
        <v>202218C02002</v>
      </c>
      <c r="C4142" t="str">
        <f t="shared" si="211"/>
        <v>20</v>
      </c>
      <c r="D4142" t="s">
        <v>67</v>
      </c>
      <c r="E4142" t="str">
        <f t="shared" si="212"/>
        <v>018</v>
      </c>
      <c r="F4142" t="s">
        <v>4075</v>
      </c>
      <c r="G4142" t="str">
        <f t="shared" si="214"/>
        <v>2218</v>
      </c>
      <c r="H4142" t="str">
        <f>"0002"</f>
        <v>0002</v>
      </c>
      <c r="I4142" t="s">
        <v>75</v>
      </c>
      <c r="J4142">
        <v>0</v>
      </c>
      <c r="K4142">
        <v>1</v>
      </c>
      <c r="L4142">
        <v>2</v>
      </c>
      <c r="M4142">
        <v>279</v>
      </c>
      <c r="N4142">
        <v>414</v>
      </c>
      <c r="O4142">
        <v>4</v>
      </c>
      <c r="P4142">
        <v>414</v>
      </c>
      <c r="Q4142">
        <v>8</v>
      </c>
      <c r="R4142">
        <v>56</v>
      </c>
      <c r="S4142">
        <v>20</v>
      </c>
      <c r="T4142">
        <v>18</v>
      </c>
      <c r="U4142">
        <v>28</v>
      </c>
      <c r="V4142">
        <v>8</v>
      </c>
      <c r="W4142">
        <v>3</v>
      </c>
      <c r="X4142">
        <v>238</v>
      </c>
      <c r="Y4142">
        <v>5</v>
      </c>
      <c r="Z4142">
        <v>6</v>
      </c>
      <c r="AA4142">
        <v>6</v>
      </c>
      <c r="AB4142">
        <v>13</v>
      </c>
      <c r="AD4142">
        <v>0</v>
      </c>
      <c r="AE4142">
        <v>0</v>
      </c>
      <c r="AF4142">
        <v>0</v>
      </c>
      <c r="AG4142">
        <v>0</v>
      </c>
      <c r="AI4142">
        <v>0</v>
      </c>
      <c r="AJ4142">
        <v>5</v>
      </c>
      <c r="AK4142">
        <v>414</v>
      </c>
      <c r="AL4142">
        <v>414</v>
      </c>
      <c r="AM4142">
        <v>649</v>
      </c>
      <c r="AN4142">
        <v>44</v>
      </c>
      <c r="AP4142">
        <v>1</v>
      </c>
      <c r="AR4142" t="s">
        <v>4241</v>
      </c>
      <c r="AS4142" s="1">
        <v>44353.504861111112</v>
      </c>
      <c r="AT4142" s="1">
        <v>44354.011076388888</v>
      </c>
      <c r="AU4142" s="1">
        <v>44354.011770833335</v>
      </c>
      <c r="AV4142" t="s">
        <v>71</v>
      </c>
      <c r="AW4142" t="s">
        <v>72</v>
      </c>
      <c r="AX4142" t="s">
        <v>73</v>
      </c>
    </row>
    <row r="4143" spans="1:50" x14ac:dyDescent="0.3">
      <c r="A4143" t="str">
        <f>"202218C0300"</f>
        <v>202218C0300</v>
      </c>
      <c r="B4143" t="str">
        <f>"202218C03002"</f>
        <v>202218C03002</v>
      </c>
      <c r="C4143" t="str">
        <f t="shared" si="211"/>
        <v>20</v>
      </c>
      <c r="D4143" t="s">
        <v>67</v>
      </c>
      <c r="E4143" t="str">
        <f t="shared" si="212"/>
        <v>018</v>
      </c>
      <c r="F4143" t="s">
        <v>4075</v>
      </c>
      <c r="G4143" t="str">
        <f t="shared" si="214"/>
        <v>2218</v>
      </c>
      <c r="H4143" t="str">
        <f>"0003"</f>
        <v>0003</v>
      </c>
      <c r="I4143" t="s">
        <v>75</v>
      </c>
      <c r="J4143">
        <v>0</v>
      </c>
      <c r="K4143">
        <v>1</v>
      </c>
      <c r="L4143">
        <v>2</v>
      </c>
      <c r="M4143">
        <v>285</v>
      </c>
      <c r="N4143">
        <v>408</v>
      </c>
      <c r="O4143">
        <v>1</v>
      </c>
      <c r="P4143">
        <v>408</v>
      </c>
      <c r="Q4143">
        <v>11</v>
      </c>
      <c r="R4143">
        <v>58</v>
      </c>
      <c r="S4143">
        <v>17</v>
      </c>
      <c r="T4143">
        <v>21</v>
      </c>
      <c r="U4143">
        <v>18</v>
      </c>
      <c r="V4143">
        <v>11</v>
      </c>
      <c r="W4143">
        <v>4</v>
      </c>
      <c r="X4143">
        <v>225</v>
      </c>
      <c r="Y4143">
        <v>7</v>
      </c>
      <c r="Z4143">
        <v>4</v>
      </c>
      <c r="AA4143">
        <v>12</v>
      </c>
      <c r="AB4143">
        <v>5</v>
      </c>
      <c r="AD4143">
        <v>0</v>
      </c>
      <c r="AE4143">
        <v>0</v>
      </c>
      <c r="AF4143">
        <v>0</v>
      </c>
      <c r="AG4143">
        <v>0</v>
      </c>
      <c r="AI4143">
        <v>0</v>
      </c>
      <c r="AJ4143">
        <v>15</v>
      </c>
      <c r="AK4143">
        <v>408</v>
      </c>
      <c r="AL4143">
        <v>408</v>
      </c>
      <c r="AM4143">
        <v>649</v>
      </c>
      <c r="AN4143">
        <v>44</v>
      </c>
      <c r="AP4143">
        <v>1</v>
      </c>
      <c r="AR4143" t="s">
        <v>4242</v>
      </c>
      <c r="AS4143" s="1">
        <v>44353.931828703702</v>
      </c>
      <c r="AT4143" s="1">
        <v>44353.933425925927</v>
      </c>
      <c r="AU4143" s="1">
        <v>44353.934374999997</v>
      </c>
      <c r="AV4143" t="s">
        <v>269</v>
      </c>
      <c r="AW4143" t="s">
        <v>270</v>
      </c>
      <c r="AX4143" t="s">
        <v>73</v>
      </c>
    </row>
    <row r="4144" spans="1:50" x14ac:dyDescent="0.3">
      <c r="A4144" t="str">
        <f>"202218C0400"</f>
        <v>202218C0400</v>
      </c>
      <c r="B4144" t="str">
        <f>"202218C04002"</f>
        <v>202218C04002</v>
      </c>
      <c r="C4144" t="str">
        <f t="shared" si="211"/>
        <v>20</v>
      </c>
      <c r="D4144" t="s">
        <v>67</v>
      </c>
      <c r="E4144" t="str">
        <f t="shared" si="212"/>
        <v>018</v>
      </c>
      <c r="F4144" t="s">
        <v>4075</v>
      </c>
      <c r="G4144" t="str">
        <f t="shared" si="214"/>
        <v>2218</v>
      </c>
      <c r="H4144" t="str">
        <f>"0004"</f>
        <v>0004</v>
      </c>
      <c r="I4144" t="s">
        <v>75</v>
      </c>
      <c r="J4144">
        <v>0</v>
      </c>
      <c r="K4144">
        <v>1</v>
      </c>
      <c r="L4144">
        <v>2</v>
      </c>
      <c r="M4144">
        <v>276</v>
      </c>
      <c r="N4144">
        <v>416</v>
      </c>
      <c r="O4144">
        <v>0</v>
      </c>
      <c r="P4144">
        <v>416</v>
      </c>
      <c r="Q4144">
        <v>8</v>
      </c>
      <c r="R4144">
        <v>50</v>
      </c>
      <c r="S4144">
        <v>26</v>
      </c>
      <c r="T4144">
        <v>13</v>
      </c>
      <c r="U4144">
        <v>19</v>
      </c>
      <c r="V4144">
        <v>3</v>
      </c>
      <c r="W4144">
        <v>3</v>
      </c>
      <c r="X4144">
        <v>245</v>
      </c>
      <c r="Y4144">
        <v>3</v>
      </c>
      <c r="Z4144">
        <v>3</v>
      </c>
      <c r="AA4144">
        <v>9</v>
      </c>
      <c r="AB4144">
        <v>14</v>
      </c>
      <c r="AD4144">
        <v>2</v>
      </c>
      <c r="AE4144">
        <v>0</v>
      </c>
      <c r="AF4144">
        <v>0</v>
      </c>
      <c r="AG4144">
        <v>0</v>
      </c>
      <c r="AI4144">
        <v>0</v>
      </c>
      <c r="AJ4144">
        <v>18</v>
      </c>
      <c r="AK4144">
        <v>416</v>
      </c>
      <c r="AL4144">
        <v>416</v>
      </c>
      <c r="AM4144">
        <v>649</v>
      </c>
      <c r="AN4144">
        <v>44</v>
      </c>
      <c r="AP4144">
        <v>1</v>
      </c>
      <c r="AR4144" t="s">
        <v>4243</v>
      </c>
      <c r="AS4144" s="1">
        <v>44353.912060185183</v>
      </c>
      <c r="AT4144" s="1">
        <v>44353.914537037039</v>
      </c>
      <c r="AU4144" s="1">
        <v>44353.914965277778</v>
      </c>
      <c r="AV4144" t="s">
        <v>269</v>
      </c>
      <c r="AW4144" t="s">
        <v>270</v>
      </c>
      <c r="AX4144" t="s">
        <v>73</v>
      </c>
    </row>
    <row r="4145" spans="1:50" x14ac:dyDescent="0.3">
      <c r="A4145" t="str">
        <f>"202218C0500"</f>
        <v>202218C0500</v>
      </c>
      <c r="B4145" t="str">
        <f>"202218C05002"</f>
        <v>202218C05002</v>
      </c>
      <c r="C4145" t="str">
        <f t="shared" si="211"/>
        <v>20</v>
      </c>
      <c r="D4145" t="s">
        <v>67</v>
      </c>
      <c r="E4145" t="str">
        <f t="shared" si="212"/>
        <v>018</v>
      </c>
      <c r="F4145" t="s">
        <v>4075</v>
      </c>
      <c r="G4145" t="str">
        <f t="shared" si="214"/>
        <v>2218</v>
      </c>
      <c r="H4145" t="str">
        <f>"0005"</f>
        <v>0005</v>
      </c>
      <c r="I4145" t="s">
        <v>75</v>
      </c>
      <c r="J4145">
        <v>0</v>
      </c>
      <c r="K4145">
        <v>1</v>
      </c>
      <c r="L4145">
        <v>2</v>
      </c>
      <c r="M4145">
        <v>283</v>
      </c>
      <c r="N4145">
        <v>410</v>
      </c>
      <c r="O4145">
        <v>2</v>
      </c>
      <c r="P4145">
        <v>410</v>
      </c>
      <c r="Q4145">
        <v>5</v>
      </c>
      <c r="R4145">
        <v>3</v>
      </c>
      <c r="S4145">
        <v>17</v>
      </c>
      <c r="T4145">
        <v>20</v>
      </c>
      <c r="U4145">
        <v>29</v>
      </c>
      <c r="V4145">
        <v>9</v>
      </c>
      <c r="W4145">
        <v>4</v>
      </c>
      <c r="X4145">
        <v>227</v>
      </c>
      <c r="Y4145">
        <v>4</v>
      </c>
      <c r="Z4145">
        <v>3</v>
      </c>
      <c r="AA4145">
        <v>4</v>
      </c>
      <c r="AB4145">
        <v>8</v>
      </c>
      <c r="AD4145">
        <v>1</v>
      </c>
      <c r="AE4145">
        <v>0</v>
      </c>
      <c r="AF4145">
        <v>0</v>
      </c>
      <c r="AG4145">
        <v>0</v>
      </c>
      <c r="AI4145">
        <v>0</v>
      </c>
      <c r="AJ4145">
        <v>16</v>
      </c>
      <c r="AK4145">
        <v>410</v>
      </c>
      <c r="AL4145">
        <v>350</v>
      </c>
      <c r="AM4145">
        <v>649</v>
      </c>
      <c r="AN4145">
        <v>44</v>
      </c>
      <c r="AP4145">
        <v>1</v>
      </c>
      <c r="AR4145" t="s">
        <v>4244</v>
      </c>
      <c r="AS4145" s="1">
        <v>44353.893587962964</v>
      </c>
      <c r="AT4145" s="1">
        <v>44353.897881944446</v>
      </c>
      <c r="AU4145" s="1">
        <v>44353.898645833331</v>
      </c>
      <c r="AV4145" t="s">
        <v>269</v>
      </c>
      <c r="AW4145" t="s">
        <v>270</v>
      </c>
      <c r="AX4145" t="s">
        <v>73</v>
      </c>
    </row>
    <row r="4146" spans="1:50" x14ac:dyDescent="0.3">
      <c r="A4146" t="str">
        <f>"202219B0000"</f>
        <v>202219B0000</v>
      </c>
      <c r="B4146" t="str">
        <f>"202219B00002"</f>
        <v>202219B00002</v>
      </c>
      <c r="C4146" t="str">
        <f t="shared" si="211"/>
        <v>20</v>
      </c>
      <c r="D4146" t="s">
        <v>67</v>
      </c>
      <c r="E4146" t="str">
        <f t="shared" si="212"/>
        <v>018</v>
      </c>
      <c r="F4146" t="s">
        <v>4075</v>
      </c>
      <c r="G4146" t="str">
        <f t="shared" ref="G4146:G4151" si="215">"2219"</f>
        <v>2219</v>
      </c>
      <c r="H4146" t="str">
        <f>"0000"</f>
        <v>0000</v>
      </c>
      <c r="I4146" t="s">
        <v>69</v>
      </c>
      <c r="J4146">
        <v>0</v>
      </c>
      <c r="K4146">
        <v>1</v>
      </c>
      <c r="L4146">
        <v>2</v>
      </c>
      <c r="M4146">
        <v>339</v>
      </c>
      <c r="N4146">
        <v>391</v>
      </c>
      <c r="O4146">
        <v>4</v>
      </c>
      <c r="P4146">
        <v>390</v>
      </c>
      <c r="Q4146">
        <v>8</v>
      </c>
      <c r="R4146">
        <v>40</v>
      </c>
      <c r="S4146">
        <v>14</v>
      </c>
      <c r="T4146">
        <v>12</v>
      </c>
      <c r="U4146">
        <v>21</v>
      </c>
      <c r="V4146">
        <v>10</v>
      </c>
      <c r="W4146">
        <v>4</v>
      </c>
      <c r="X4146">
        <v>241</v>
      </c>
      <c r="Y4146">
        <v>4</v>
      </c>
      <c r="Z4146">
        <v>6</v>
      </c>
      <c r="AA4146">
        <v>5</v>
      </c>
      <c r="AB4146">
        <v>12</v>
      </c>
      <c r="AD4146">
        <v>1</v>
      </c>
      <c r="AE4146">
        <v>0</v>
      </c>
      <c r="AF4146">
        <v>0</v>
      </c>
      <c r="AG4146">
        <v>0</v>
      </c>
      <c r="AI4146">
        <v>1</v>
      </c>
      <c r="AJ4146">
        <v>11</v>
      </c>
      <c r="AK4146">
        <v>390</v>
      </c>
      <c r="AL4146">
        <v>390</v>
      </c>
      <c r="AM4146">
        <v>686</v>
      </c>
      <c r="AN4146">
        <v>44</v>
      </c>
      <c r="AP4146">
        <v>1</v>
      </c>
      <c r="AR4146" t="s">
        <v>4245</v>
      </c>
      <c r="AS4146" s="1">
        <v>44354.011724537035</v>
      </c>
      <c r="AT4146" s="1">
        <v>44354.018229166664</v>
      </c>
      <c r="AU4146" s="1">
        <v>44354.019004629627</v>
      </c>
      <c r="AV4146" t="s">
        <v>269</v>
      </c>
      <c r="AW4146" t="s">
        <v>270</v>
      </c>
      <c r="AX4146" t="s">
        <v>73</v>
      </c>
    </row>
    <row r="4147" spans="1:50" x14ac:dyDescent="0.3">
      <c r="A4147" t="str">
        <f>"202219C0100"</f>
        <v>202219C0100</v>
      </c>
      <c r="B4147" t="str">
        <f>"202219C01002"</f>
        <v>202219C01002</v>
      </c>
      <c r="C4147" t="str">
        <f t="shared" si="211"/>
        <v>20</v>
      </c>
      <c r="D4147" t="s">
        <v>67</v>
      </c>
      <c r="E4147" t="str">
        <f t="shared" si="212"/>
        <v>018</v>
      </c>
      <c r="F4147" t="s">
        <v>4075</v>
      </c>
      <c r="G4147" t="str">
        <f t="shared" si="215"/>
        <v>2219</v>
      </c>
      <c r="H4147" t="str">
        <f>"0001"</f>
        <v>0001</v>
      </c>
      <c r="I4147" t="s">
        <v>75</v>
      </c>
      <c r="J4147">
        <v>0</v>
      </c>
      <c r="K4147">
        <v>1</v>
      </c>
      <c r="L4147">
        <v>2</v>
      </c>
      <c r="M4147">
        <v>311</v>
      </c>
      <c r="N4147">
        <v>419</v>
      </c>
      <c r="O4147">
        <v>0</v>
      </c>
      <c r="P4147">
        <v>420</v>
      </c>
      <c r="Q4147">
        <v>18</v>
      </c>
      <c r="R4147">
        <v>35</v>
      </c>
      <c r="S4147">
        <v>16</v>
      </c>
      <c r="T4147">
        <v>12</v>
      </c>
      <c r="U4147">
        <v>14</v>
      </c>
      <c r="V4147">
        <v>22</v>
      </c>
      <c r="W4147">
        <v>4</v>
      </c>
      <c r="X4147">
        <v>266</v>
      </c>
      <c r="Y4147">
        <v>5</v>
      </c>
      <c r="Z4147">
        <v>2</v>
      </c>
      <c r="AA4147">
        <v>7</v>
      </c>
      <c r="AB4147">
        <v>11</v>
      </c>
      <c r="AD4147">
        <v>0</v>
      </c>
      <c r="AE4147">
        <v>0</v>
      </c>
      <c r="AF4147">
        <v>0</v>
      </c>
      <c r="AG4147">
        <v>0</v>
      </c>
      <c r="AI4147">
        <v>1</v>
      </c>
      <c r="AJ4147">
        <v>7</v>
      </c>
      <c r="AK4147">
        <v>420</v>
      </c>
      <c r="AL4147">
        <v>420</v>
      </c>
      <c r="AM4147">
        <v>686</v>
      </c>
      <c r="AN4147">
        <v>44</v>
      </c>
      <c r="AP4147">
        <v>1</v>
      </c>
      <c r="AR4147" t="s">
        <v>4246</v>
      </c>
      <c r="AS4147" s="1">
        <v>44354.014479166668</v>
      </c>
      <c r="AT4147" s="1">
        <v>44354.021539351852</v>
      </c>
      <c r="AU4147" s="1">
        <v>44354.022233796299</v>
      </c>
      <c r="AV4147" t="s">
        <v>269</v>
      </c>
      <c r="AW4147" t="s">
        <v>270</v>
      </c>
      <c r="AX4147" t="s">
        <v>73</v>
      </c>
    </row>
    <row r="4148" spans="1:50" x14ac:dyDescent="0.3">
      <c r="A4148" t="str">
        <f>"202219C0200"</f>
        <v>202219C0200</v>
      </c>
      <c r="B4148" t="str">
        <f>"202219C02002"</f>
        <v>202219C02002</v>
      </c>
      <c r="C4148" t="str">
        <f t="shared" si="211"/>
        <v>20</v>
      </c>
      <c r="D4148" t="s">
        <v>67</v>
      </c>
      <c r="E4148" t="str">
        <f t="shared" si="212"/>
        <v>018</v>
      </c>
      <c r="F4148" t="s">
        <v>4075</v>
      </c>
      <c r="G4148" t="str">
        <f t="shared" si="215"/>
        <v>2219</v>
      </c>
      <c r="H4148" t="str">
        <f>"0002"</f>
        <v>0002</v>
      </c>
      <c r="I4148" t="s">
        <v>75</v>
      </c>
      <c r="J4148">
        <v>0</v>
      </c>
      <c r="K4148">
        <v>1</v>
      </c>
      <c r="L4148">
        <v>2</v>
      </c>
      <c r="M4148">
        <v>332</v>
      </c>
      <c r="N4148">
        <v>398</v>
      </c>
      <c r="O4148" t="s">
        <v>80</v>
      </c>
      <c r="P4148">
        <v>398</v>
      </c>
      <c r="Q4148">
        <v>7</v>
      </c>
      <c r="R4148">
        <v>30</v>
      </c>
      <c r="S4148">
        <v>8</v>
      </c>
      <c r="T4148">
        <v>11</v>
      </c>
      <c r="U4148">
        <v>24</v>
      </c>
      <c r="V4148">
        <v>16</v>
      </c>
      <c r="W4148">
        <v>4</v>
      </c>
      <c r="X4148">
        <v>258</v>
      </c>
      <c r="Y4148">
        <v>5</v>
      </c>
      <c r="Z4148">
        <v>5</v>
      </c>
      <c r="AA4148">
        <v>5</v>
      </c>
      <c r="AB4148">
        <v>11</v>
      </c>
      <c r="AD4148">
        <v>2</v>
      </c>
      <c r="AE4148">
        <v>1</v>
      </c>
      <c r="AF4148">
        <v>0</v>
      </c>
      <c r="AG4148">
        <v>0</v>
      </c>
      <c r="AI4148">
        <v>2</v>
      </c>
      <c r="AJ4148">
        <v>9</v>
      </c>
      <c r="AK4148">
        <v>398</v>
      </c>
      <c r="AL4148">
        <v>398</v>
      </c>
      <c r="AM4148">
        <v>686</v>
      </c>
      <c r="AN4148">
        <v>44</v>
      </c>
      <c r="AP4148">
        <v>1</v>
      </c>
      <c r="AR4148" t="s">
        <v>4247</v>
      </c>
      <c r="AS4148" s="1">
        <v>44354.007060185184</v>
      </c>
      <c r="AT4148" s="1">
        <v>44354.012430555558</v>
      </c>
      <c r="AU4148" s="1">
        <v>44354.013206018521</v>
      </c>
      <c r="AV4148" t="s">
        <v>269</v>
      </c>
      <c r="AW4148" t="s">
        <v>270</v>
      </c>
      <c r="AX4148" t="s">
        <v>73</v>
      </c>
    </row>
    <row r="4149" spans="1:50" x14ac:dyDescent="0.3">
      <c r="A4149" t="str">
        <f>"202219C0300"</f>
        <v>202219C0300</v>
      </c>
      <c r="B4149" t="str">
        <f>"202219C03002"</f>
        <v>202219C03002</v>
      </c>
      <c r="C4149" t="str">
        <f t="shared" si="211"/>
        <v>20</v>
      </c>
      <c r="D4149" t="s">
        <v>67</v>
      </c>
      <c r="E4149" t="str">
        <f t="shared" si="212"/>
        <v>018</v>
      </c>
      <c r="F4149" t="s">
        <v>4075</v>
      </c>
      <c r="G4149" t="str">
        <f t="shared" si="215"/>
        <v>2219</v>
      </c>
      <c r="H4149" t="str">
        <f>"0003"</f>
        <v>0003</v>
      </c>
      <c r="I4149" t="s">
        <v>75</v>
      </c>
      <c r="J4149">
        <v>0</v>
      </c>
      <c r="K4149">
        <v>1</v>
      </c>
      <c r="L4149">
        <v>2</v>
      </c>
      <c r="M4149">
        <v>341</v>
      </c>
      <c r="N4149">
        <v>389</v>
      </c>
      <c r="O4149">
        <v>7</v>
      </c>
      <c r="P4149">
        <v>389</v>
      </c>
      <c r="Q4149">
        <v>8</v>
      </c>
      <c r="R4149">
        <v>35</v>
      </c>
      <c r="S4149">
        <v>7</v>
      </c>
      <c r="T4149">
        <v>13</v>
      </c>
      <c r="U4149">
        <v>21</v>
      </c>
      <c r="V4149">
        <v>19</v>
      </c>
      <c r="W4149">
        <v>4</v>
      </c>
      <c r="X4149">
        <v>247</v>
      </c>
      <c r="Y4149">
        <v>7</v>
      </c>
      <c r="Z4149">
        <v>1</v>
      </c>
      <c r="AA4149">
        <v>5</v>
      </c>
      <c r="AB4149">
        <v>15</v>
      </c>
      <c r="AD4149">
        <v>0</v>
      </c>
      <c r="AE4149">
        <v>0</v>
      </c>
      <c r="AF4149">
        <v>0</v>
      </c>
      <c r="AG4149">
        <v>0</v>
      </c>
      <c r="AI4149">
        <v>2</v>
      </c>
      <c r="AJ4149">
        <v>6</v>
      </c>
      <c r="AK4149">
        <v>390</v>
      </c>
      <c r="AL4149">
        <v>390</v>
      </c>
      <c r="AM4149">
        <v>686</v>
      </c>
      <c r="AN4149">
        <v>44</v>
      </c>
      <c r="AP4149">
        <v>1</v>
      </c>
      <c r="AR4149" t="s">
        <v>4248</v>
      </c>
      <c r="AS4149" s="1">
        <v>44354.001400462963</v>
      </c>
      <c r="AT4149" s="1">
        <v>44354.006064814814</v>
      </c>
      <c r="AU4149" s="1">
        <v>44354.00677083333</v>
      </c>
      <c r="AV4149" t="s">
        <v>269</v>
      </c>
      <c r="AW4149" t="s">
        <v>270</v>
      </c>
      <c r="AX4149" t="s">
        <v>73</v>
      </c>
    </row>
    <row r="4150" spans="1:50" x14ac:dyDescent="0.3">
      <c r="A4150" t="str">
        <f>"202219C0400"</f>
        <v>202219C0400</v>
      </c>
      <c r="B4150" t="str">
        <f>"202219C04002"</f>
        <v>202219C04002</v>
      </c>
      <c r="C4150" t="str">
        <f t="shared" si="211"/>
        <v>20</v>
      </c>
      <c r="D4150" t="s">
        <v>67</v>
      </c>
      <c r="E4150" t="str">
        <f t="shared" si="212"/>
        <v>018</v>
      </c>
      <c r="F4150" t="s">
        <v>4075</v>
      </c>
      <c r="G4150" t="str">
        <f t="shared" si="215"/>
        <v>2219</v>
      </c>
      <c r="H4150" t="str">
        <f>"0004"</f>
        <v>0004</v>
      </c>
      <c r="I4150" t="s">
        <v>75</v>
      </c>
      <c r="J4150">
        <v>0</v>
      </c>
      <c r="K4150">
        <v>1</v>
      </c>
      <c r="L4150">
        <v>2</v>
      </c>
      <c r="M4150">
        <v>316</v>
      </c>
      <c r="N4150">
        <v>414</v>
      </c>
      <c r="O4150">
        <v>1</v>
      </c>
      <c r="P4150">
        <v>412</v>
      </c>
      <c r="Q4150">
        <v>13</v>
      </c>
      <c r="R4150">
        <v>45</v>
      </c>
      <c r="S4150">
        <v>15</v>
      </c>
      <c r="T4150">
        <v>9</v>
      </c>
      <c r="U4150">
        <v>15</v>
      </c>
      <c r="V4150">
        <v>14</v>
      </c>
      <c r="W4150">
        <v>7</v>
      </c>
      <c r="X4150">
        <v>263</v>
      </c>
      <c r="Y4150">
        <v>5</v>
      </c>
      <c r="Z4150">
        <v>1</v>
      </c>
      <c r="AA4150">
        <v>5</v>
      </c>
      <c r="AB4150">
        <v>12</v>
      </c>
      <c r="AD4150" t="s">
        <v>77</v>
      </c>
      <c r="AE4150" t="s">
        <v>77</v>
      </c>
      <c r="AF4150" t="s">
        <v>77</v>
      </c>
      <c r="AG4150" t="s">
        <v>77</v>
      </c>
      <c r="AI4150">
        <v>2</v>
      </c>
      <c r="AJ4150">
        <v>6</v>
      </c>
      <c r="AK4150">
        <v>412</v>
      </c>
      <c r="AL4150">
        <v>412</v>
      </c>
      <c r="AM4150">
        <v>686</v>
      </c>
      <c r="AN4150">
        <v>44</v>
      </c>
      <c r="AO4150" t="s">
        <v>78</v>
      </c>
      <c r="AP4150">
        <v>1</v>
      </c>
      <c r="AR4150" t="s">
        <v>4249</v>
      </c>
      <c r="AS4150" s="1">
        <v>44353.967060185183</v>
      </c>
      <c r="AT4150" s="1">
        <v>44353.969189814816</v>
      </c>
      <c r="AU4150" s="1">
        <v>44353.969733796293</v>
      </c>
      <c r="AV4150" t="s">
        <v>269</v>
      </c>
      <c r="AW4150" t="s">
        <v>270</v>
      </c>
      <c r="AX4150" t="s">
        <v>73</v>
      </c>
    </row>
    <row r="4151" spans="1:50" x14ac:dyDescent="0.3">
      <c r="A4151" t="str">
        <f>"202219C0500"</f>
        <v>202219C0500</v>
      </c>
      <c r="B4151" t="str">
        <f>"202219C05002"</f>
        <v>202219C05002</v>
      </c>
      <c r="C4151" t="str">
        <f t="shared" si="211"/>
        <v>20</v>
      </c>
      <c r="D4151" t="s">
        <v>67</v>
      </c>
      <c r="E4151" t="str">
        <f t="shared" si="212"/>
        <v>018</v>
      </c>
      <c r="F4151" t="s">
        <v>4075</v>
      </c>
      <c r="G4151" t="str">
        <f t="shared" si="215"/>
        <v>2219</v>
      </c>
      <c r="H4151" t="str">
        <f>"0005"</f>
        <v>0005</v>
      </c>
      <c r="I4151" t="s">
        <v>75</v>
      </c>
      <c r="J4151">
        <v>0</v>
      </c>
      <c r="K4151">
        <v>1</v>
      </c>
      <c r="L4151">
        <v>2</v>
      </c>
      <c r="M4151">
        <v>358</v>
      </c>
      <c r="N4151">
        <v>371</v>
      </c>
      <c r="O4151">
        <v>0</v>
      </c>
      <c r="P4151">
        <v>371</v>
      </c>
      <c r="Q4151">
        <v>10</v>
      </c>
      <c r="R4151">
        <v>38</v>
      </c>
      <c r="S4151">
        <v>14</v>
      </c>
      <c r="T4151">
        <v>10</v>
      </c>
      <c r="U4151">
        <v>27</v>
      </c>
      <c r="V4151">
        <v>9</v>
      </c>
      <c r="W4151">
        <v>8</v>
      </c>
      <c r="X4151">
        <v>216</v>
      </c>
      <c r="Y4151">
        <v>6</v>
      </c>
      <c r="Z4151">
        <v>5</v>
      </c>
      <c r="AA4151">
        <v>5</v>
      </c>
      <c r="AB4151">
        <v>9</v>
      </c>
      <c r="AD4151">
        <v>0</v>
      </c>
      <c r="AE4151">
        <v>0</v>
      </c>
      <c r="AF4151">
        <v>0</v>
      </c>
      <c r="AG4151">
        <v>0</v>
      </c>
      <c r="AI4151">
        <v>0</v>
      </c>
      <c r="AJ4151">
        <v>14</v>
      </c>
      <c r="AK4151">
        <v>371</v>
      </c>
      <c r="AL4151">
        <v>371</v>
      </c>
      <c r="AM4151">
        <v>685</v>
      </c>
      <c r="AN4151">
        <v>44</v>
      </c>
      <c r="AP4151">
        <v>1</v>
      </c>
      <c r="AR4151" t="s">
        <v>4250</v>
      </c>
      <c r="AS4151" s="1">
        <v>44353.948738425926</v>
      </c>
      <c r="AT4151" s="1">
        <v>44353.950810185182</v>
      </c>
      <c r="AU4151" s="1">
        <v>44353.95140046296</v>
      </c>
      <c r="AV4151" t="s">
        <v>269</v>
      </c>
      <c r="AW4151" t="s">
        <v>270</v>
      </c>
      <c r="AX4151" t="s">
        <v>73</v>
      </c>
    </row>
    <row r="4152" spans="1:50" x14ac:dyDescent="0.3">
      <c r="A4152" t="str">
        <f>"202220B0000"</f>
        <v>202220B0000</v>
      </c>
      <c r="B4152" t="str">
        <f>"202220B00002"</f>
        <v>202220B00002</v>
      </c>
      <c r="C4152" t="str">
        <f t="shared" si="211"/>
        <v>20</v>
      </c>
      <c r="D4152" t="s">
        <v>67</v>
      </c>
      <c r="E4152" t="str">
        <f t="shared" si="212"/>
        <v>018</v>
      </c>
      <c r="F4152" t="s">
        <v>4075</v>
      </c>
      <c r="G4152" t="str">
        <f>"2220"</f>
        <v>2220</v>
      </c>
      <c r="H4152" t="str">
        <f>"0000"</f>
        <v>0000</v>
      </c>
      <c r="I4152" t="s">
        <v>69</v>
      </c>
      <c r="J4152">
        <v>0</v>
      </c>
      <c r="K4152">
        <v>1</v>
      </c>
      <c r="L4152">
        <v>2</v>
      </c>
      <c r="AM4152">
        <v>585</v>
      </c>
      <c r="AN4152">
        <v>44</v>
      </c>
      <c r="AO4152" t="s">
        <v>143</v>
      </c>
      <c r="AP4152">
        <v>0</v>
      </c>
      <c r="AR4152" t="s">
        <v>4251</v>
      </c>
      <c r="AS4152" s="1">
        <v>44354.583333333336</v>
      </c>
      <c r="AT4152" s="1">
        <v>44354.585266203707</v>
      </c>
      <c r="AU4152" s="1">
        <v>44354.585266203707</v>
      </c>
      <c r="AV4152" t="s">
        <v>71</v>
      </c>
      <c r="AW4152" t="s">
        <v>72</v>
      </c>
      <c r="AX4152" t="s">
        <v>73</v>
      </c>
    </row>
    <row r="4153" spans="1:50" x14ac:dyDescent="0.3">
      <c r="A4153" t="str">
        <f>"202220C0100"</f>
        <v>202220C0100</v>
      </c>
      <c r="B4153" t="str">
        <f>"202220C01002"</f>
        <v>202220C01002</v>
      </c>
      <c r="C4153" t="str">
        <f t="shared" si="211"/>
        <v>20</v>
      </c>
      <c r="D4153" t="s">
        <v>67</v>
      </c>
      <c r="E4153" t="str">
        <f t="shared" si="212"/>
        <v>018</v>
      </c>
      <c r="F4153" t="s">
        <v>4075</v>
      </c>
      <c r="G4153" t="str">
        <f>"2220"</f>
        <v>2220</v>
      </c>
      <c r="H4153" t="str">
        <f>"0001"</f>
        <v>0001</v>
      </c>
      <c r="I4153" t="s">
        <v>75</v>
      </c>
      <c r="J4153">
        <v>0</v>
      </c>
      <c r="K4153">
        <v>1</v>
      </c>
      <c r="L4153">
        <v>2</v>
      </c>
      <c r="M4153">
        <v>280</v>
      </c>
      <c r="N4153">
        <v>349</v>
      </c>
      <c r="O4153">
        <v>4</v>
      </c>
      <c r="P4153">
        <v>349</v>
      </c>
      <c r="Q4153">
        <v>12</v>
      </c>
      <c r="R4153">
        <v>34</v>
      </c>
      <c r="S4153">
        <v>2</v>
      </c>
      <c r="T4153">
        <v>17</v>
      </c>
      <c r="U4153">
        <v>11</v>
      </c>
      <c r="V4153">
        <v>6</v>
      </c>
      <c r="W4153">
        <v>6</v>
      </c>
      <c r="X4153">
        <v>231</v>
      </c>
      <c r="Y4153">
        <v>5</v>
      </c>
      <c r="Z4153">
        <v>1</v>
      </c>
      <c r="AA4153">
        <v>3</v>
      </c>
      <c r="AB4153">
        <v>16</v>
      </c>
      <c r="AD4153">
        <v>1</v>
      </c>
      <c r="AE4153">
        <v>0</v>
      </c>
      <c r="AF4153">
        <v>0</v>
      </c>
      <c r="AG4153">
        <v>0</v>
      </c>
      <c r="AI4153">
        <v>0</v>
      </c>
      <c r="AJ4153">
        <v>4</v>
      </c>
      <c r="AK4153" t="s">
        <v>99</v>
      </c>
      <c r="AL4153">
        <v>349</v>
      </c>
      <c r="AM4153">
        <v>585</v>
      </c>
      <c r="AN4153">
        <v>44</v>
      </c>
      <c r="AP4153">
        <v>1</v>
      </c>
      <c r="AR4153" t="s">
        <v>4252</v>
      </c>
      <c r="AS4153" s="1">
        <v>44354.23541666667</v>
      </c>
      <c r="AT4153" s="1">
        <v>44354.236851851849</v>
      </c>
      <c r="AU4153" s="1">
        <v>44354.237164351849</v>
      </c>
      <c r="AV4153" t="s">
        <v>71</v>
      </c>
      <c r="AW4153" t="s">
        <v>72</v>
      </c>
      <c r="AX4153" t="s">
        <v>73</v>
      </c>
    </row>
    <row r="4154" spans="1:50" x14ac:dyDescent="0.3">
      <c r="A4154" t="str">
        <f>"202220C0200"</f>
        <v>202220C0200</v>
      </c>
      <c r="B4154" t="str">
        <f>"202220C02002"</f>
        <v>202220C02002</v>
      </c>
      <c r="C4154" t="str">
        <f t="shared" si="211"/>
        <v>20</v>
      </c>
      <c r="D4154" t="s">
        <v>67</v>
      </c>
      <c r="E4154" t="str">
        <f t="shared" si="212"/>
        <v>018</v>
      </c>
      <c r="F4154" t="s">
        <v>4075</v>
      </c>
      <c r="G4154" t="str">
        <f>"2220"</f>
        <v>2220</v>
      </c>
      <c r="H4154" t="str">
        <f>"0002"</f>
        <v>0002</v>
      </c>
      <c r="I4154" t="s">
        <v>75</v>
      </c>
      <c r="J4154">
        <v>0</v>
      </c>
      <c r="K4154">
        <v>1</v>
      </c>
      <c r="L4154">
        <v>2</v>
      </c>
      <c r="M4154">
        <v>282</v>
      </c>
      <c r="N4154">
        <v>346</v>
      </c>
      <c r="O4154">
        <v>6</v>
      </c>
      <c r="P4154">
        <v>346</v>
      </c>
      <c r="Q4154">
        <v>9</v>
      </c>
      <c r="R4154">
        <v>45</v>
      </c>
      <c r="S4154">
        <v>6</v>
      </c>
      <c r="T4154">
        <v>13</v>
      </c>
      <c r="U4154">
        <v>12</v>
      </c>
      <c r="V4154">
        <v>2</v>
      </c>
      <c r="W4154">
        <v>10</v>
      </c>
      <c r="X4154">
        <v>216</v>
      </c>
      <c r="Y4154">
        <v>4</v>
      </c>
      <c r="Z4154">
        <v>2</v>
      </c>
      <c r="AA4154">
        <v>7</v>
      </c>
      <c r="AB4154">
        <v>7</v>
      </c>
      <c r="AD4154">
        <v>0</v>
      </c>
      <c r="AE4154">
        <v>1</v>
      </c>
      <c r="AF4154">
        <v>0</v>
      </c>
      <c r="AG4154">
        <v>0</v>
      </c>
      <c r="AI4154">
        <v>0</v>
      </c>
      <c r="AJ4154">
        <v>12</v>
      </c>
      <c r="AK4154">
        <v>346</v>
      </c>
      <c r="AL4154">
        <v>346</v>
      </c>
      <c r="AM4154">
        <v>584</v>
      </c>
      <c r="AN4154">
        <v>44</v>
      </c>
      <c r="AP4154">
        <v>1</v>
      </c>
      <c r="AR4154" t="s">
        <v>4253</v>
      </c>
      <c r="AS4154" s="1">
        <v>44354.256249999999</v>
      </c>
      <c r="AT4154" s="1">
        <v>44354.259409722225</v>
      </c>
      <c r="AU4154" s="1">
        <v>44354.259953703702</v>
      </c>
      <c r="AV4154" t="s">
        <v>71</v>
      </c>
      <c r="AW4154" t="s">
        <v>72</v>
      </c>
      <c r="AX4154" t="s">
        <v>73</v>
      </c>
    </row>
    <row r="4155" spans="1:50" x14ac:dyDescent="0.3">
      <c r="A4155" t="str">
        <f>"202221B0000"</f>
        <v>202221B0000</v>
      </c>
      <c r="B4155" t="str">
        <f>"202221B00002"</f>
        <v>202221B00002</v>
      </c>
      <c r="C4155" t="str">
        <f t="shared" si="211"/>
        <v>20</v>
      </c>
      <c r="D4155" t="s">
        <v>67</v>
      </c>
      <c r="E4155" t="str">
        <f t="shared" si="212"/>
        <v>018</v>
      </c>
      <c r="F4155" t="s">
        <v>4075</v>
      </c>
      <c r="G4155" t="str">
        <f>"2221"</f>
        <v>2221</v>
      </c>
      <c r="H4155" t="str">
        <f>"0000"</f>
        <v>0000</v>
      </c>
      <c r="I4155" t="s">
        <v>69</v>
      </c>
      <c r="J4155">
        <v>0</v>
      </c>
      <c r="K4155">
        <v>1</v>
      </c>
      <c r="L4155">
        <v>2</v>
      </c>
      <c r="M4155">
        <v>305</v>
      </c>
      <c r="N4155">
        <v>365</v>
      </c>
      <c r="O4155">
        <v>4</v>
      </c>
      <c r="P4155">
        <v>364</v>
      </c>
      <c r="Q4155">
        <v>6</v>
      </c>
      <c r="R4155">
        <v>23</v>
      </c>
      <c r="S4155">
        <v>5</v>
      </c>
      <c r="T4155">
        <v>7</v>
      </c>
      <c r="U4155">
        <v>10</v>
      </c>
      <c r="V4155">
        <v>6</v>
      </c>
      <c r="W4155">
        <v>2</v>
      </c>
      <c r="X4155">
        <v>280</v>
      </c>
      <c r="Y4155">
        <v>1</v>
      </c>
      <c r="Z4155">
        <v>4</v>
      </c>
      <c r="AA4155">
        <v>4</v>
      </c>
      <c r="AB4155">
        <v>6</v>
      </c>
      <c r="AD4155">
        <v>0</v>
      </c>
      <c r="AE4155">
        <v>0</v>
      </c>
      <c r="AF4155">
        <v>0</v>
      </c>
      <c r="AG4155">
        <v>0</v>
      </c>
      <c r="AI4155">
        <v>0</v>
      </c>
      <c r="AJ4155">
        <v>10</v>
      </c>
      <c r="AK4155">
        <v>364</v>
      </c>
      <c r="AL4155">
        <v>364</v>
      </c>
      <c r="AM4155">
        <v>625</v>
      </c>
      <c r="AN4155">
        <v>44</v>
      </c>
      <c r="AP4155">
        <v>1</v>
      </c>
      <c r="AR4155" t="s">
        <v>4254</v>
      </c>
      <c r="AS4155" s="1">
        <v>44354.193749999999</v>
      </c>
      <c r="AT4155" s="1">
        <v>44354.195486111108</v>
      </c>
      <c r="AU4155" s="1">
        <v>44354.199502314812</v>
      </c>
      <c r="AV4155" t="s">
        <v>71</v>
      </c>
      <c r="AW4155" t="s">
        <v>72</v>
      </c>
      <c r="AX4155" t="s">
        <v>73</v>
      </c>
    </row>
    <row r="4156" spans="1:50" x14ac:dyDescent="0.3">
      <c r="A4156" t="str">
        <f>"202221C0100"</f>
        <v>202221C0100</v>
      </c>
      <c r="B4156" t="str">
        <f>"202221C01002"</f>
        <v>202221C01002</v>
      </c>
      <c r="C4156" t="str">
        <f t="shared" si="211"/>
        <v>20</v>
      </c>
      <c r="D4156" t="s">
        <v>67</v>
      </c>
      <c r="E4156" t="str">
        <f t="shared" si="212"/>
        <v>018</v>
      </c>
      <c r="F4156" t="s">
        <v>4075</v>
      </c>
      <c r="G4156" t="str">
        <f>"2221"</f>
        <v>2221</v>
      </c>
      <c r="H4156" t="str">
        <f>"0001"</f>
        <v>0001</v>
      </c>
      <c r="I4156" t="s">
        <v>75</v>
      </c>
      <c r="J4156">
        <v>0</v>
      </c>
      <c r="K4156">
        <v>1</v>
      </c>
      <c r="L4156">
        <v>2</v>
      </c>
      <c r="M4156">
        <v>288</v>
      </c>
      <c r="N4156">
        <v>379</v>
      </c>
      <c r="O4156">
        <v>3</v>
      </c>
      <c r="P4156">
        <v>379</v>
      </c>
      <c r="Q4156">
        <v>12</v>
      </c>
      <c r="R4156">
        <v>23</v>
      </c>
      <c r="S4156">
        <v>4</v>
      </c>
      <c r="T4156">
        <v>12</v>
      </c>
      <c r="U4156">
        <v>4</v>
      </c>
      <c r="V4156">
        <v>8</v>
      </c>
      <c r="W4156">
        <v>4</v>
      </c>
      <c r="X4156">
        <v>294</v>
      </c>
      <c r="Y4156">
        <v>3</v>
      </c>
      <c r="Z4156">
        <v>4</v>
      </c>
      <c r="AA4156">
        <v>2</v>
      </c>
      <c r="AB4156">
        <v>3</v>
      </c>
      <c r="AD4156">
        <v>0</v>
      </c>
      <c r="AE4156">
        <v>0</v>
      </c>
      <c r="AF4156">
        <v>0</v>
      </c>
      <c r="AG4156">
        <v>0</v>
      </c>
      <c r="AI4156">
        <v>0</v>
      </c>
      <c r="AJ4156">
        <v>6</v>
      </c>
      <c r="AK4156">
        <v>379</v>
      </c>
      <c r="AL4156">
        <v>379</v>
      </c>
      <c r="AM4156">
        <v>624</v>
      </c>
      <c r="AN4156">
        <v>44</v>
      </c>
      <c r="AP4156">
        <v>1</v>
      </c>
      <c r="AR4156" t="s">
        <v>4255</v>
      </c>
      <c r="AS4156" s="1">
        <v>44354.200694444444</v>
      </c>
      <c r="AT4156" s="1">
        <v>44354.202210648145</v>
      </c>
      <c r="AU4156" s="1">
        <v>44354.202916666669</v>
      </c>
      <c r="AV4156" t="s">
        <v>71</v>
      </c>
      <c r="AW4156" t="s">
        <v>72</v>
      </c>
      <c r="AX4156" t="s">
        <v>73</v>
      </c>
    </row>
    <row r="4157" spans="1:50" x14ac:dyDescent="0.3">
      <c r="A4157" t="str">
        <f>"202221C0200"</f>
        <v>202221C0200</v>
      </c>
      <c r="B4157" t="str">
        <f>"202221C02002"</f>
        <v>202221C02002</v>
      </c>
      <c r="C4157" t="str">
        <f t="shared" si="211"/>
        <v>20</v>
      </c>
      <c r="D4157" t="s">
        <v>67</v>
      </c>
      <c r="E4157" t="str">
        <f t="shared" si="212"/>
        <v>018</v>
      </c>
      <c r="F4157" t="s">
        <v>4075</v>
      </c>
      <c r="G4157" t="str">
        <f>"2221"</f>
        <v>2221</v>
      </c>
      <c r="H4157" t="str">
        <f>"0002"</f>
        <v>0002</v>
      </c>
      <c r="I4157" t="s">
        <v>75</v>
      </c>
      <c r="J4157">
        <v>0</v>
      </c>
      <c r="K4157">
        <v>1</v>
      </c>
      <c r="L4157">
        <v>2</v>
      </c>
      <c r="M4157">
        <v>309</v>
      </c>
      <c r="N4157">
        <v>359</v>
      </c>
      <c r="O4157">
        <v>4</v>
      </c>
      <c r="P4157">
        <v>359</v>
      </c>
      <c r="Q4157">
        <v>7</v>
      </c>
      <c r="R4157">
        <v>22</v>
      </c>
      <c r="S4157">
        <v>4</v>
      </c>
      <c r="T4157">
        <v>7</v>
      </c>
      <c r="U4157">
        <v>8</v>
      </c>
      <c r="V4157">
        <v>2</v>
      </c>
      <c r="W4157">
        <v>8</v>
      </c>
      <c r="X4157">
        <v>275</v>
      </c>
      <c r="Y4157">
        <v>2</v>
      </c>
      <c r="Z4157">
        <v>4</v>
      </c>
      <c r="AA4157">
        <v>6</v>
      </c>
      <c r="AB4157">
        <v>2</v>
      </c>
      <c r="AD4157">
        <v>1</v>
      </c>
      <c r="AE4157">
        <v>0</v>
      </c>
      <c r="AF4157">
        <v>0</v>
      </c>
      <c r="AG4157">
        <v>0</v>
      </c>
      <c r="AI4157">
        <v>0</v>
      </c>
      <c r="AJ4157">
        <v>11</v>
      </c>
      <c r="AK4157">
        <v>359</v>
      </c>
      <c r="AL4157">
        <v>359</v>
      </c>
      <c r="AM4157">
        <v>624</v>
      </c>
      <c r="AN4157">
        <v>44</v>
      </c>
      <c r="AP4157">
        <v>1</v>
      </c>
      <c r="AR4157" t="s">
        <v>4256</v>
      </c>
      <c r="AS4157" s="1">
        <v>44354.213888888888</v>
      </c>
      <c r="AT4157" s="1">
        <v>44354.215104166666</v>
      </c>
      <c r="AU4157" s="1">
        <v>44354.215381944443</v>
      </c>
      <c r="AV4157" t="s">
        <v>71</v>
      </c>
      <c r="AW4157" t="s">
        <v>72</v>
      </c>
      <c r="AX4157" t="s">
        <v>73</v>
      </c>
    </row>
    <row r="4158" spans="1:50" x14ac:dyDescent="0.3">
      <c r="A4158" t="str">
        <f>"202222B0000"</f>
        <v>202222B0000</v>
      </c>
      <c r="B4158" t="str">
        <f>"202222B00002"</f>
        <v>202222B00002</v>
      </c>
      <c r="C4158" t="str">
        <f t="shared" si="211"/>
        <v>20</v>
      </c>
      <c r="D4158" t="s">
        <v>67</v>
      </c>
      <c r="E4158" t="str">
        <f t="shared" si="212"/>
        <v>018</v>
      </c>
      <c r="F4158" t="s">
        <v>4075</v>
      </c>
      <c r="G4158" t="str">
        <f>"2222"</f>
        <v>2222</v>
      </c>
      <c r="H4158" t="str">
        <f>"0000"</f>
        <v>0000</v>
      </c>
      <c r="I4158" t="s">
        <v>69</v>
      </c>
      <c r="J4158">
        <v>0</v>
      </c>
      <c r="K4158">
        <v>1</v>
      </c>
      <c r="L4158">
        <v>2</v>
      </c>
      <c r="M4158">
        <v>211</v>
      </c>
      <c r="N4158">
        <v>427</v>
      </c>
      <c r="O4158">
        <v>1</v>
      </c>
      <c r="P4158">
        <v>427</v>
      </c>
      <c r="Q4158">
        <v>8</v>
      </c>
      <c r="R4158">
        <v>232</v>
      </c>
      <c r="S4158">
        <v>16</v>
      </c>
      <c r="T4158">
        <v>5</v>
      </c>
      <c r="U4158">
        <v>68</v>
      </c>
      <c r="V4158">
        <v>1</v>
      </c>
      <c r="W4158">
        <v>1</v>
      </c>
      <c r="X4158">
        <v>60</v>
      </c>
      <c r="Y4158">
        <v>0</v>
      </c>
      <c r="Z4158">
        <v>1</v>
      </c>
      <c r="AA4158">
        <v>1</v>
      </c>
      <c r="AB4158">
        <v>3</v>
      </c>
      <c r="AD4158">
        <v>3</v>
      </c>
      <c r="AE4158">
        <v>0</v>
      </c>
      <c r="AF4158">
        <v>0</v>
      </c>
      <c r="AG4158">
        <v>0</v>
      </c>
      <c r="AI4158">
        <v>0</v>
      </c>
      <c r="AJ4158">
        <v>28</v>
      </c>
      <c r="AK4158">
        <v>427</v>
      </c>
      <c r="AL4158">
        <v>427</v>
      </c>
      <c r="AM4158">
        <v>595</v>
      </c>
      <c r="AN4158">
        <v>44</v>
      </c>
      <c r="AP4158">
        <v>1</v>
      </c>
      <c r="AR4158" t="s">
        <v>4257</v>
      </c>
      <c r="AS4158" s="1">
        <v>44354.53125</v>
      </c>
      <c r="AT4158" s="1">
        <v>44354.533912037034</v>
      </c>
      <c r="AU4158" s="1">
        <v>44354.535358796296</v>
      </c>
      <c r="AV4158" t="s">
        <v>71</v>
      </c>
      <c r="AW4158" t="s">
        <v>72</v>
      </c>
      <c r="AX4158" t="s">
        <v>73</v>
      </c>
    </row>
    <row r="4159" spans="1:50" x14ac:dyDescent="0.3">
      <c r="A4159" t="str">
        <f>"202222E0100"</f>
        <v>202222E0100</v>
      </c>
      <c r="B4159" t="str">
        <f>"202222E01002"</f>
        <v>202222E01002</v>
      </c>
      <c r="C4159" t="str">
        <f t="shared" si="211"/>
        <v>20</v>
      </c>
      <c r="D4159" t="s">
        <v>67</v>
      </c>
      <c r="E4159" t="str">
        <f t="shared" si="212"/>
        <v>018</v>
      </c>
      <c r="F4159" t="s">
        <v>4075</v>
      </c>
      <c r="G4159" t="str">
        <f>"2222"</f>
        <v>2222</v>
      </c>
      <c r="H4159" t="str">
        <f>"0001"</f>
        <v>0001</v>
      </c>
      <c r="I4159" t="s">
        <v>109</v>
      </c>
      <c r="J4159">
        <v>0</v>
      </c>
      <c r="K4159">
        <v>1</v>
      </c>
      <c r="L4159">
        <v>2</v>
      </c>
      <c r="M4159">
        <v>103</v>
      </c>
      <c r="N4159">
        <v>227</v>
      </c>
      <c r="O4159">
        <v>7</v>
      </c>
      <c r="P4159" t="s">
        <v>80</v>
      </c>
      <c r="Q4159">
        <v>3</v>
      </c>
      <c r="R4159">
        <v>85</v>
      </c>
      <c r="S4159">
        <v>6</v>
      </c>
      <c r="T4159">
        <v>6</v>
      </c>
      <c r="U4159">
        <v>24</v>
      </c>
      <c r="V4159">
        <v>3</v>
      </c>
      <c r="W4159">
        <v>1</v>
      </c>
      <c r="X4159">
        <v>71</v>
      </c>
      <c r="Y4159">
        <v>0</v>
      </c>
      <c r="Z4159">
        <v>0</v>
      </c>
      <c r="AA4159">
        <v>1</v>
      </c>
      <c r="AB4159">
        <v>1</v>
      </c>
      <c r="AD4159">
        <v>1</v>
      </c>
      <c r="AE4159">
        <v>0</v>
      </c>
      <c r="AF4159">
        <v>0</v>
      </c>
      <c r="AG4159">
        <v>0</v>
      </c>
      <c r="AI4159">
        <v>0</v>
      </c>
      <c r="AJ4159">
        <v>25</v>
      </c>
      <c r="AK4159" t="s">
        <v>77</v>
      </c>
      <c r="AL4159">
        <v>227</v>
      </c>
      <c r="AM4159">
        <v>286</v>
      </c>
      <c r="AN4159">
        <v>44</v>
      </c>
      <c r="AP4159">
        <v>1</v>
      </c>
      <c r="AR4159" t="s">
        <v>4258</v>
      </c>
      <c r="AS4159" s="1">
        <v>44354.530555555553</v>
      </c>
      <c r="AT4159" s="1">
        <v>44354.532650462963</v>
      </c>
      <c r="AU4159" s="1">
        <v>44354.533043981479</v>
      </c>
      <c r="AV4159" t="s">
        <v>71</v>
      </c>
      <c r="AW4159" t="s">
        <v>72</v>
      </c>
      <c r="AX4159" t="s">
        <v>73</v>
      </c>
    </row>
    <row r="4160" spans="1:50" x14ac:dyDescent="0.3">
      <c r="A4160" t="str">
        <f>"202223B0000"</f>
        <v>202223B0000</v>
      </c>
      <c r="B4160" t="str">
        <f>"202223B00002"</f>
        <v>202223B00002</v>
      </c>
      <c r="C4160" t="str">
        <f t="shared" si="211"/>
        <v>20</v>
      </c>
      <c r="D4160" t="s">
        <v>67</v>
      </c>
      <c r="E4160" t="str">
        <f t="shared" si="212"/>
        <v>018</v>
      </c>
      <c r="F4160" t="s">
        <v>4075</v>
      </c>
      <c r="G4160" t="str">
        <f>"2223"</f>
        <v>2223</v>
      </c>
      <c r="H4160" t="str">
        <f>"0000"</f>
        <v>0000</v>
      </c>
      <c r="I4160" t="s">
        <v>69</v>
      </c>
      <c r="J4160">
        <v>0</v>
      </c>
      <c r="K4160">
        <v>1</v>
      </c>
      <c r="L4160">
        <v>2</v>
      </c>
      <c r="M4160">
        <v>147</v>
      </c>
      <c r="N4160">
        <v>258</v>
      </c>
      <c r="O4160">
        <v>1</v>
      </c>
      <c r="P4160">
        <v>258</v>
      </c>
      <c r="Q4160">
        <v>16</v>
      </c>
      <c r="R4160">
        <v>47</v>
      </c>
      <c r="S4160">
        <v>5</v>
      </c>
      <c r="T4160">
        <v>6</v>
      </c>
      <c r="U4160">
        <v>6</v>
      </c>
      <c r="V4160">
        <v>9</v>
      </c>
      <c r="W4160">
        <v>4</v>
      </c>
      <c r="X4160">
        <v>127</v>
      </c>
      <c r="Y4160">
        <v>0</v>
      </c>
      <c r="Z4160">
        <v>1</v>
      </c>
      <c r="AA4160">
        <v>9</v>
      </c>
      <c r="AB4160">
        <v>18</v>
      </c>
      <c r="AD4160">
        <v>0</v>
      </c>
      <c r="AE4160">
        <v>0</v>
      </c>
      <c r="AF4160">
        <v>0</v>
      </c>
      <c r="AG4160">
        <v>0</v>
      </c>
      <c r="AI4160">
        <v>0</v>
      </c>
      <c r="AJ4160">
        <v>10</v>
      </c>
      <c r="AK4160">
        <v>258</v>
      </c>
      <c r="AL4160">
        <v>258</v>
      </c>
      <c r="AM4160">
        <v>361</v>
      </c>
      <c r="AN4160">
        <v>44</v>
      </c>
      <c r="AP4160">
        <v>1</v>
      </c>
      <c r="AR4160" t="s">
        <v>4259</v>
      </c>
      <c r="AS4160" s="1">
        <v>44354.06527777778</v>
      </c>
      <c r="AT4160" s="1">
        <v>44354.069976851853</v>
      </c>
      <c r="AU4160" s="1">
        <v>44354.070729166669</v>
      </c>
      <c r="AV4160" t="s">
        <v>71</v>
      </c>
      <c r="AW4160" t="s">
        <v>72</v>
      </c>
      <c r="AX4160" t="s">
        <v>73</v>
      </c>
    </row>
    <row r="4161" spans="1:50" x14ac:dyDescent="0.3">
      <c r="A4161" t="str">
        <f>"202223E0100"</f>
        <v>202223E0100</v>
      </c>
      <c r="B4161" t="str">
        <f>"202223E01002"</f>
        <v>202223E01002</v>
      </c>
      <c r="C4161" t="str">
        <f t="shared" si="211"/>
        <v>20</v>
      </c>
      <c r="D4161" t="s">
        <v>67</v>
      </c>
      <c r="E4161" t="str">
        <f t="shared" si="212"/>
        <v>018</v>
      </c>
      <c r="F4161" t="s">
        <v>4075</v>
      </c>
      <c r="G4161" t="str">
        <f>"2223"</f>
        <v>2223</v>
      </c>
      <c r="H4161" t="str">
        <f>"0001"</f>
        <v>0001</v>
      </c>
      <c r="I4161" t="s">
        <v>109</v>
      </c>
      <c r="J4161">
        <v>0</v>
      </c>
      <c r="K4161">
        <v>1</v>
      </c>
      <c r="L4161">
        <v>2</v>
      </c>
      <c r="M4161">
        <v>133</v>
      </c>
      <c r="N4161">
        <v>292</v>
      </c>
      <c r="O4161">
        <v>3</v>
      </c>
      <c r="P4161">
        <v>292</v>
      </c>
      <c r="Q4161">
        <v>13</v>
      </c>
      <c r="R4161">
        <v>77</v>
      </c>
      <c r="S4161">
        <v>18</v>
      </c>
      <c r="T4161">
        <v>8</v>
      </c>
      <c r="U4161">
        <v>1</v>
      </c>
      <c r="V4161">
        <v>10</v>
      </c>
      <c r="W4161">
        <v>7</v>
      </c>
      <c r="X4161" t="s">
        <v>99</v>
      </c>
      <c r="Y4161">
        <v>1</v>
      </c>
      <c r="Z4161">
        <v>4</v>
      </c>
      <c r="AA4161">
        <v>1</v>
      </c>
      <c r="AB4161">
        <v>18</v>
      </c>
      <c r="AD4161">
        <v>1</v>
      </c>
      <c r="AE4161" t="s">
        <v>77</v>
      </c>
      <c r="AF4161" t="s">
        <v>77</v>
      </c>
      <c r="AG4161" t="s">
        <v>77</v>
      </c>
      <c r="AI4161" t="s">
        <v>77</v>
      </c>
      <c r="AJ4161">
        <v>12</v>
      </c>
      <c r="AK4161">
        <v>292</v>
      </c>
      <c r="AL4161">
        <v>171</v>
      </c>
      <c r="AM4161">
        <v>381</v>
      </c>
      <c r="AN4161">
        <v>44</v>
      </c>
      <c r="AO4161" t="s">
        <v>78</v>
      </c>
      <c r="AP4161">
        <v>1</v>
      </c>
      <c r="AR4161" t="s">
        <v>4260</v>
      </c>
      <c r="AS4161" s="1">
        <v>44354.065972222219</v>
      </c>
      <c r="AT4161" s="1">
        <v>44354.070590277777</v>
      </c>
      <c r="AU4161" s="1">
        <v>44354.071319444447</v>
      </c>
      <c r="AV4161" t="s">
        <v>71</v>
      </c>
      <c r="AW4161" t="s">
        <v>72</v>
      </c>
      <c r="AX4161" t="s">
        <v>73</v>
      </c>
    </row>
    <row r="4162" spans="1:50" x14ac:dyDescent="0.3">
      <c r="A4162" t="str">
        <f>"202224B0000"</f>
        <v>202224B0000</v>
      </c>
      <c r="B4162" t="str">
        <f>"202224B00002"</f>
        <v>202224B00002</v>
      </c>
      <c r="C4162" t="str">
        <f t="shared" si="211"/>
        <v>20</v>
      </c>
      <c r="D4162" t="s">
        <v>67</v>
      </c>
      <c r="E4162" t="str">
        <f t="shared" si="212"/>
        <v>018</v>
      </c>
      <c r="F4162" t="s">
        <v>4075</v>
      </c>
      <c r="G4162" t="str">
        <f t="shared" ref="G4162:G4167" si="216">"2224"</f>
        <v>2224</v>
      </c>
      <c r="H4162" t="str">
        <f>"0000"</f>
        <v>0000</v>
      </c>
      <c r="I4162" t="s">
        <v>69</v>
      </c>
      <c r="J4162">
        <v>0</v>
      </c>
      <c r="K4162">
        <v>1</v>
      </c>
      <c r="L4162">
        <v>2</v>
      </c>
      <c r="M4162">
        <v>177</v>
      </c>
      <c r="N4162">
        <v>304</v>
      </c>
      <c r="O4162">
        <v>0</v>
      </c>
      <c r="P4162">
        <v>304</v>
      </c>
      <c r="Q4162">
        <v>11</v>
      </c>
      <c r="R4162">
        <v>61</v>
      </c>
      <c r="S4162">
        <v>7</v>
      </c>
      <c r="T4162">
        <v>32</v>
      </c>
      <c r="U4162">
        <v>16</v>
      </c>
      <c r="V4162">
        <v>3</v>
      </c>
      <c r="W4162">
        <v>0</v>
      </c>
      <c r="X4162">
        <v>126</v>
      </c>
      <c r="Y4162">
        <v>10</v>
      </c>
      <c r="Z4162">
        <v>4</v>
      </c>
      <c r="AA4162">
        <v>2</v>
      </c>
      <c r="AB4162">
        <v>6</v>
      </c>
      <c r="AD4162">
        <v>1</v>
      </c>
      <c r="AE4162">
        <v>0</v>
      </c>
      <c r="AF4162">
        <v>0</v>
      </c>
      <c r="AG4162">
        <v>0</v>
      </c>
      <c r="AI4162">
        <v>0</v>
      </c>
      <c r="AJ4162">
        <v>25</v>
      </c>
      <c r="AK4162">
        <v>304</v>
      </c>
      <c r="AL4162">
        <v>304</v>
      </c>
      <c r="AM4162">
        <v>437</v>
      </c>
      <c r="AN4162">
        <v>44</v>
      </c>
      <c r="AP4162">
        <v>1</v>
      </c>
      <c r="AR4162" t="s">
        <v>4261</v>
      </c>
      <c r="AS4162" s="1">
        <v>44354.0309837963</v>
      </c>
      <c r="AT4162" s="1">
        <v>44354.039027777777</v>
      </c>
      <c r="AU4162" s="1">
        <v>44354.039699074077</v>
      </c>
      <c r="AV4162" t="s">
        <v>269</v>
      </c>
      <c r="AW4162" t="s">
        <v>270</v>
      </c>
      <c r="AX4162" t="s">
        <v>73</v>
      </c>
    </row>
    <row r="4163" spans="1:50" x14ac:dyDescent="0.3">
      <c r="A4163" t="str">
        <f>"202224C0100"</f>
        <v>202224C0100</v>
      </c>
      <c r="B4163" t="str">
        <f>"202224C01002"</f>
        <v>202224C01002</v>
      </c>
      <c r="C4163" t="str">
        <f t="shared" si="211"/>
        <v>20</v>
      </c>
      <c r="D4163" t="s">
        <v>67</v>
      </c>
      <c r="E4163" t="str">
        <f t="shared" si="212"/>
        <v>018</v>
      </c>
      <c r="F4163" t="s">
        <v>4075</v>
      </c>
      <c r="G4163" t="str">
        <f t="shared" si="216"/>
        <v>2224</v>
      </c>
      <c r="H4163" t="str">
        <f>"0001"</f>
        <v>0001</v>
      </c>
      <c r="I4163" t="s">
        <v>75</v>
      </c>
      <c r="J4163">
        <v>0</v>
      </c>
      <c r="K4163">
        <v>1</v>
      </c>
      <c r="L4163">
        <v>2</v>
      </c>
      <c r="M4163">
        <v>167</v>
      </c>
      <c r="N4163">
        <v>313</v>
      </c>
      <c r="O4163">
        <v>0</v>
      </c>
      <c r="P4163">
        <v>313</v>
      </c>
      <c r="Q4163">
        <v>5</v>
      </c>
      <c r="R4163">
        <v>58</v>
      </c>
      <c r="S4163">
        <v>7</v>
      </c>
      <c r="T4163">
        <v>21</v>
      </c>
      <c r="U4163">
        <v>19</v>
      </c>
      <c r="V4163">
        <v>4</v>
      </c>
      <c r="W4163">
        <v>4</v>
      </c>
      <c r="X4163">
        <v>129</v>
      </c>
      <c r="Y4163">
        <v>19</v>
      </c>
      <c r="Z4163">
        <v>3</v>
      </c>
      <c r="AA4163">
        <v>6</v>
      </c>
      <c r="AB4163">
        <v>14</v>
      </c>
      <c r="AD4163">
        <v>0</v>
      </c>
      <c r="AE4163">
        <v>0</v>
      </c>
      <c r="AF4163">
        <v>0</v>
      </c>
      <c r="AG4163">
        <v>0</v>
      </c>
      <c r="AI4163">
        <v>0</v>
      </c>
      <c r="AJ4163">
        <v>24</v>
      </c>
      <c r="AK4163">
        <v>313</v>
      </c>
      <c r="AL4163">
        <v>313</v>
      </c>
      <c r="AM4163">
        <v>436</v>
      </c>
      <c r="AN4163">
        <v>44</v>
      </c>
      <c r="AP4163">
        <v>1</v>
      </c>
      <c r="AR4163" t="s">
        <v>4262</v>
      </c>
      <c r="AS4163" s="1">
        <v>44354.033900462964</v>
      </c>
      <c r="AT4163" s="1">
        <v>44354.040995370371</v>
      </c>
      <c r="AU4163" s="1">
        <v>44354.041631944441</v>
      </c>
      <c r="AV4163" t="s">
        <v>269</v>
      </c>
      <c r="AW4163" t="s">
        <v>270</v>
      </c>
      <c r="AX4163" t="s">
        <v>73</v>
      </c>
    </row>
    <row r="4164" spans="1:50" x14ac:dyDescent="0.3">
      <c r="A4164" t="str">
        <f>"202224E0100"</f>
        <v>202224E0100</v>
      </c>
      <c r="B4164" t="str">
        <f>"202224E01002"</f>
        <v>202224E01002</v>
      </c>
      <c r="C4164" t="str">
        <f t="shared" si="211"/>
        <v>20</v>
      </c>
      <c r="D4164" t="s">
        <v>67</v>
      </c>
      <c r="E4164" t="str">
        <f t="shared" si="212"/>
        <v>018</v>
      </c>
      <c r="F4164" t="s">
        <v>4075</v>
      </c>
      <c r="G4164" t="str">
        <f t="shared" si="216"/>
        <v>2224</v>
      </c>
      <c r="H4164" t="str">
        <f>"0001"</f>
        <v>0001</v>
      </c>
      <c r="I4164" t="s">
        <v>109</v>
      </c>
      <c r="J4164">
        <v>0</v>
      </c>
      <c r="K4164">
        <v>1</v>
      </c>
      <c r="L4164">
        <v>2</v>
      </c>
      <c r="M4164">
        <v>185</v>
      </c>
      <c r="N4164">
        <v>300</v>
      </c>
      <c r="O4164">
        <v>1</v>
      </c>
      <c r="P4164">
        <v>1</v>
      </c>
      <c r="Q4164">
        <v>7</v>
      </c>
      <c r="R4164">
        <v>63</v>
      </c>
      <c r="S4164">
        <v>2</v>
      </c>
      <c r="T4164">
        <v>23</v>
      </c>
      <c r="U4164">
        <v>10</v>
      </c>
      <c r="V4164">
        <v>5</v>
      </c>
      <c r="W4164">
        <v>1</v>
      </c>
      <c r="X4164">
        <v>167</v>
      </c>
      <c r="Y4164">
        <v>4</v>
      </c>
      <c r="Z4164">
        <v>2</v>
      </c>
      <c r="AA4164">
        <v>6</v>
      </c>
      <c r="AB4164">
        <v>2</v>
      </c>
      <c r="AD4164">
        <v>1</v>
      </c>
      <c r="AE4164">
        <v>0</v>
      </c>
      <c r="AF4164">
        <v>0</v>
      </c>
      <c r="AG4164">
        <v>0</v>
      </c>
      <c r="AI4164">
        <v>0</v>
      </c>
      <c r="AJ4164">
        <v>7</v>
      </c>
      <c r="AK4164">
        <v>300</v>
      </c>
      <c r="AL4164">
        <v>300</v>
      </c>
      <c r="AM4164">
        <v>441</v>
      </c>
      <c r="AN4164">
        <v>44</v>
      </c>
      <c r="AP4164">
        <v>1</v>
      </c>
      <c r="AR4164" t="s">
        <v>4263</v>
      </c>
      <c r="AS4164" s="1">
        <v>44353.927928240744</v>
      </c>
      <c r="AT4164" s="1">
        <v>44353.930358796293</v>
      </c>
      <c r="AU4164" s="1">
        <v>44353.931030092594</v>
      </c>
      <c r="AV4164" t="s">
        <v>269</v>
      </c>
      <c r="AW4164" t="s">
        <v>270</v>
      </c>
      <c r="AX4164" t="s">
        <v>73</v>
      </c>
    </row>
    <row r="4165" spans="1:50" x14ac:dyDescent="0.3">
      <c r="A4165" t="str">
        <f>"202224E0200"</f>
        <v>202224E0200</v>
      </c>
      <c r="B4165" t="str">
        <f>"202224E02002"</f>
        <v>202224E02002</v>
      </c>
      <c r="C4165" t="str">
        <f t="shared" si="211"/>
        <v>20</v>
      </c>
      <c r="D4165" t="s">
        <v>67</v>
      </c>
      <c r="E4165" t="str">
        <f t="shared" si="212"/>
        <v>018</v>
      </c>
      <c r="F4165" t="s">
        <v>4075</v>
      </c>
      <c r="G4165" t="str">
        <f t="shared" si="216"/>
        <v>2224</v>
      </c>
      <c r="H4165" t="str">
        <f>"0002"</f>
        <v>0002</v>
      </c>
      <c r="I4165" t="s">
        <v>109</v>
      </c>
      <c r="J4165">
        <v>0</v>
      </c>
      <c r="K4165">
        <v>1</v>
      </c>
      <c r="L4165">
        <v>2</v>
      </c>
      <c r="M4165">
        <v>243</v>
      </c>
      <c r="N4165">
        <v>254</v>
      </c>
      <c r="O4165">
        <v>3</v>
      </c>
      <c r="P4165">
        <v>251</v>
      </c>
      <c r="Q4165">
        <v>18</v>
      </c>
      <c r="R4165">
        <v>18</v>
      </c>
      <c r="S4165">
        <v>3</v>
      </c>
      <c r="T4165">
        <v>15</v>
      </c>
      <c r="U4165">
        <v>2</v>
      </c>
      <c r="V4165">
        <v>5</v>
      </c>
      <c r="W4165">
        <v>7</v>
      </c>
      <c r="X4165">
        <v>163</v>
      </c>
      <c r="Y4165">
        <v>6</v>
      </c>
      <c r="Z4165">
        <v>2</v>
      </c>
      <c r="AA4165">
        <v>2</v>
      </c>
      <c r="AB4165">
        <v>5</v>
      </c>
      <c r="AD4165">
        <v>0</v>
      </c>
      <c r="AE4165">
        <v>0</v>
      </c>
      <c r="AF4165">
        <v>0</v>
      </c>
      <c r="AG4165">
        <v>0</v>
      </c>
      <c r="AI4165">
        <v>0</v>
      </c>
      <c r="AJ4165">
        <v>1</v>
      </c>
      <c r="AK4165">
        <v>247</v>
      </c>
      <c r="AL4165">
        <v>247</v>
      </c>
      <c r="AM4165">
        <v>450</v>
      </c>
      <c r="AN4165">
        <v>44</v>
      </c>
      <c r="AP4165">
        <v>1</v>
      </c>
      <c r="AR4165" t="s">
        <v>4264</v>
      </c>
      <c r="AS4165" s="1">
        <v>44353.84648148148</v>
      </c>
      <c r="AT4165" s="1">
        <v>44353.849212962959</v>
      </c>
      <c r="AU4165" s="1">
        <v>44353.851712962962</v>
      </c>
      <c r="AV4165" t="s">
        <v>269</v>
      </c>
      <c r="AW4165" t="s">
        <v>270</v>
      </c>
      <c r="AX4165" t="s">
        <v>73</v>
      </c>
    </row>
    <row r="4166" spans="1:50" x14ac:dyDescent="0.3">
      <c r="A4166" t="str">
        <f>"202224E0201"</f>
        <v>202224E0201</v>
      </c>
      <c r="B4166" t="str">
        <f>"202224E02012"</f>
        <v>202224E02012</v>
      </c>
      <c r="C4166" t="str">
        <f t="shared" si="211"/>
        <v>20</v>
      </c>
      <c r="D4166" t="s">
        <v>67</v>
      </c>
      <c r="E4166" t="str">
        <f t="shared" si="212"/>
        <v>018</v>
      </c>
      <c r="F4166" t="s">
        <v>4075</v>
      </c>
      <c r="G4166" t="str">
        <f t="shared" si="216"/>
        <v>2224</v>
      </c>
      <c r="H4166" t="str">
        <f>"0002"</f>
        <v>0002</v>
      </c>
      <c r="I4166" t="s">
        <v>109</v>
      </c>
      <c r="J4166">
        <v>1</v>
      </c>
      <c r="K4166">
        <v>1</v>
      </c>
      <c r="L4166">
        <v>2</v>
      </c>
      <c r="M4166">
        <v>247</v>
      </c>
      <c r="N4166">
        <v>247</v>
      </c>
      <c r="O4166">
        <v>0</v>
      </c>
      <c r="P4166">
        <v>245</v>
      </c>
      <c r="Q4166">
        <v>7</v>
      </c>
      <c r="R4166">
        <v>33</v>
      </c>
      <c r="S4166">
        <v>3</v>
      </c>
      <c r="T4166">
        <v>12</v>
      </c>
      <c r="U4166">
        <v>4</v>
      </c>
      <c r="V4166">
        <v>5</v>
      </c>
      <c r="W4166">
        <v>4</v>
      </c>
      <c r="X4166">
        <v>166</v>
      </c>
      <c r="Y4166">
        <v>4</v>
      </c>
      <c r="Z4166">
        <v>3</v>
      </c>
      <c r="AA4166">
        <v>0</v>
      </c>
      <c r="AB4166">
        <v>3</v>
      </c>
      <c r="AD4166">
        <v>0</v>
      </c>
      <c r="AE4166">
        <v>0</v>
      </c>
      <c r="AF4166">
        <v>0</v>
      </c>
      <c r="AG4166">
        <v>0</v>
      </c>
      <c r="AI4166">
        <v>0</v>
      </c>
      <c r="AJ4166">
        <v>1</v>
      </c>
      <c r="AK4166">
        <v>245</v>
      </c>
      <c r="AL4166">
        <v>245</v>
      </c>
      <c r="AM4166">
        <v>450</v>
      </c>
      <c r="AN4166">
        <v>44</v>
      </c>
      <c r="AP4166">
        <v>1</v>
      </c>
      <c r="AR4166" t="s">
        <v>4265</v>
      </c>
      <c r="AS4166" s="1">
        <v>44353.889768518522</v>
      </c>
      <c r="AT4166" s="1">
        <v>44353.892685185187</v>
      </c>
      <c r="AU4166" s="1">
        <v>44353.893634259257</v>
      </c>
      <c r="AV4166" t="s">
        <v>269</v>
      </c>
      <c r="AW4166" t="s">
        <v>270</v>
      </c>
      <c r="AX4166" t="s">
        <v>73</v>
      </c>
    </row>
    <row r="4167" spans="1:50" x14ac:dyDescent="0.3">
      <c r="A4167" t="str">
        <f>"202224E0300"</f>
        <v>202224E0300</v>
      </c>
      <c r="B4167" t="str">
        <f>"202224E03002"</f>
        <v>202224E03002</v>
      </c>
      <c r="C4167" t="str">
        <f t="shared" ref="C4167:C4230" si="217">"20"</f>
        <v>20</v>
      </c>
      <c r="D4167" t="s">
        <v>67</v>
      </c>
      <c r="E4167" t="str">
        <f t="shared" si="212"/>
        <v>018</v>
      </c>
      <c r="F4167" t="s">
        <v>4075</v>
      </c>
      <c r="G4167" t="str">
        <f t="shared" si="216"/>
        <v>2224</v>
      </c>
      <c r="H4167" t="str">
        <f>"0003"</f>
        <v>0003</v>
      </c>
      <c r="I4167" t="s">
        <v>109</v>
      </c>
      <c r="J4167">
        <v>0</v>
      </c>
      <c r="K4167">
        <v>1</v>
      </c>
      <c r="L4167">
        <v>2</v>
      </c>
      <c r="M4167">
        <v>386</v>
      </c>
      <c r="N4167">
        <v>359</v>
      </c>
      <c r="O4167">
        <v>1</v>
      </c>
      <c r="P4167">
        <v>359</v>
      </c>
      <c r="Q4167">
        <v>4</v>
      </c>
      <c r="R4167">
        <v>33</v>
      </c>
      <c r="S4167">
        <v>7</v>
      </c>
      <c r="T4167">
        <v>19</v>
      </c>
      <c r="U4167">
        <v>10</v>
      </c>
      <c r="V4167">
        <v>7</v>
      </c>
      <c r="W4167">
        <v>10</v>
      </c>
      <c r="X4167">
        <v>222</v>
      </c>
      <c r="Y4167">
        <v>2</v>
      </c>
      <c r="Z4167">
        <v>5</v>
      </c>
      <c r="AA4167">
        <v>2</v>
      </c>
      <c r="AB4167">
        <v>26</v>
      </c>
      <c r="AD4167">
        <v>0</v>
      </c>
      <c r="AE4167">
        <v>0</v>
      </c>
      <c r="AF4167">
        <v>0</v>
      </c>
      <c r="AG4167">
        <v>0</v>
      </c>
      <c r="AI4167">
        <v>0</v>
      </c>
      <c r="AJ4167">
        <v>12</v>
      </c>
      <c r="AK4167">
        <v>359</v>
      </c>
      <c r="AL4167">
        <v>359</v>
      </c>
      <c r="AM4167">
        <v>692</v>
      </c>
      <c r="AN4167">
        <v>44</v>
      </c>
      <c r="AP4167">
        <v>1</v>
      </c>
      <c r="AR4167" t="s">
        <v>4266</v>
      </c>
      <c r="AS4167" s="1">
        <v>44353.966921296298</v>
      </c>
      <c r="AT4167" s="1">
        <v>44353.968333333331</v>
      </c>
      <c r="AU4167" s="1">
        <v>44353.9687037037</v>
      </c>
      <c r="AV4167" t="s">
        <v>269</v>
      </c>
      <c r="AW4167" t="s">
        <v>270</v>
      </c>
      <c r="AX4167" t="s">
        <v>73</v>
      </c>
    </row>
    <row r="4168" spans="1:50" x14ac:dyDescent="0.3">
      <c r="A4168" t="str">
        <f>"202225B0000"</f>
        <v>202225B0000</v>
      </c>
      <c r="B4168" t="str">
        <f>"202225B00002"</f>
        <v>202225B00002</v>
      </c>
      <c r="C4168" t="str">
        <f t="shared" si="217"/>
        <v>20</v>
      </c>
      <c r="D4168" t="s">
        <v>67</v>
      </c>
      <c r="E4168" t="str">
        <f t="shared" si="212"/>
        <v>018</v>
      </c>
      <c r="F4168" t="s">
        <v>4075</v>
      </c>
      <c r="G4168" t="str">
        <f>"2225"</f>
        <v>2225</v>
      </c>
      <c r="H4168" t="str">
        <f>"0000"</f>
        <v>0000</v>
      </c>
      <c r="I4168" t="s">
        <v>69</v>
      </c>
      <c r="J4168">
        <v>0</v>
      </c>
      <c r="K4168">
        <v>1</v>
      </c>
      <c r="L4168">
        <v>2</v>
      </c>
      <c r="M4168" t="s">
        <v>80</v>
      </c>
      <c r="N4168" t="s">
        <v>80</v>
      </c>
      <c r="O4168" t="s">
        <v>80</v>
      </c>
      <c r="P4168" t="s">
        <v>80</v>
      </c>
      <c r="Q4168">
        <v>2</v>
      </c>
      <c r="R4168">
        <v>8</v>
      </c>
      <c r="S4168">
        <v>1</v>
      </c>
      <c r="T4168">
        <v>19</v>
      </c>
      <c r="U4168">
        <v>29</v>
      </c>
      <c r="V4168">
        <v>3</v>
      </c>
      <c r="W4168">
        <v>5</v>
      </c>
      <c r="X4168">
        <v>229</v>
      </c>
      <c r="Y4168">
        <v>1</v>
      </c>
      <c r="Z4168">
        <v>4</v>
      </c>
      <c r="AA4168">
        <v>7</v>
      </c>
      <c r="AB4168">
        <v>12</v>
      </c>
      <c r="AD4168" t="s">
        <v>77</v>
      </c>
      <c r="AE4168" t="s">
        <v>77</v>
      </c>
      <c r="AF4168" t="s">
        <v>77</v>
      </c>
      <c r="AG4168" t="s">
        <v>77</v>
      </c>
      <c r="AI4168" t="s">
        <v>77</v>
      </c>
      <c r="AJ4168" t="s">
        <v>77</v>
      </c>
      <c r="AK4168" t="s">
        <v>77</v>
      </c>
      <c r="AL4168">
        <v>320</v>
      </c>
      <c r="AM4168">
        <v>456</v>
      </c>
      <c r="AN4168">
        <v>44</v>
      </c>
      <c r="AO4168" t="s">
        <v>78</v>
      </c>
      <c r="AP4168">
        <v>1</v>
      </c>
      <c r="AR4168" t="s">
        <v>4267</v>
      </c>
      <c r="AS4168" s="1">
        <v>44353.509722222225</v>
      </c>
      <c r="AT4168" s="1">
        <v>44354.015092592592</v>
      </c>
      <c r="AU4168" s="1">
        <v>44354.015543981484</v>
      </c>
      <c r="AV4168" t="s">
        <v>71</v>
      </c>
      <c r="AW4168" t="s">
        <v>72</v>
      </c>
      <c r="AX4168" t="s">
        <v>73</v>
      </c>
    </row>
    <row r="4169" spans="1:50" x14ac:dyDescent="0.3">
      <c r="A4169" t="str">
        <f>"202226B0000"</f>
        <v>202226B0000</v>
      </c>
      <c r="B4169" t="str">
        <f>"202226B00002"</f>
        <v>202226B00002</v>
      </c>
      <c r="C4169" t="str">
        <f t="shared" si="217"/>
        <v>20</v>
      </c>
      <c r="D4169" t="s">
        <v>67</v>
      </c>
      <c r="E4169" t="str">
        <f t="shared" ref="E4169:E4178" si="218">"018"</f>
        <v>018</v>
      </c>
      <c r="F4169" t="s">
        <v>4075</v>
      </c>
      <c r="G4169" t="str">
        <f>"2226"</f>
        <v>2226</v>
      </c>
      <c r="H4169" t="str">
        <f>"0000"</f>
        <v>0000</v>
      </c>
      <c r="I4169" t="s">
        <v>69</v>
      </c>
      <c r="J4169">
        <v>0</v>
      </c>
      <c r="K4169">
        <v>1</v>
      </c>
      <c r="L4169">
        <v>2</v>
      </c>
      <c r="M4169">
        <v>148</v>
      </c>
      <c r="N4169">
        <v>290</v>
      </c>
      <c r="O4169">
        <v>0</v>
      </c>
      <c r="P4169" t="s">
        <v>99</v>
      </c>
      <c r="Q4169">
        <v>8</v>
      </c>
      <c r="R4169">
        <v>5</v>
      </c>
      <c r="S4169">
        <v>5</v>
      </c>
      <c r="T4169">
        <v>11</v>
      </c>
      <c r="U4169">
        <v>12</v>
      </c>
      <c r="V4169">
        <v>0</v>
      </c>
      <c r="W4169">
        <v>0</v>
      </c>
      <c r="X4169">
        <v>224</v>
      </c>
      <c r="Y4169">
        <v>2</v>
      </c>
      <c r="Z4169">
        <v>2</v>
      </c>
      <c r="AA4169">
        <v>5</v>
      </c>
      <c r="AB4169">
        <v>4</v>
      </c>
      <c r="AD4169" t="s">
        <v>77</v>
      </c>
      <c r="AE4169" t="s">
        <v>77</v>
      </c>
      <c r="AF4169" t="s">
        <v>77</v>
      </c>
      <c r="AG4169" t="s">
        <v>77</v>
      </c>
      <c r="AI4169" t="s">
        <v>77</v>
      </c>
      <c r="AJ4169">
        <v>11</v>
      </c>
      <c r="AK4169">
        <v>289</v>
      </c>
      <c r="AL4169">
        <v>289</v>
      </c>
      <c r="AM4169">
        <v>395</v>
      </c>
      <c r="AN4169">
        <v>44</v>
      </c>
      <c r="AO4169" t="s">
        <v>78</v>
      </c>
      <c r="AP4169">
        <v>1</v>
      </c>
      <c r="AR4169" t="s">
        <v>4268</v>
      </c>
      <c r="AS4169" s="1">
        <v>44354.03402777778</v>
      </c>
      <c r="AT4169" s="1">
        <v>44354.040902777779</v>
      </c>
      <c r="AU4169" s="1">
        <v>44354.041562500002</v>
      </c>
      <c r="AV4169" t="s">
        <v>71</v>
      </c>
      <c r="AW4169" t="s">
        <v>72</v>
      </c>
      <c r="AX4169" t="s">
        <v>73</v>
      </c>
    </row>
    <row r="4170" spans="1:50" x14ac:dyDescent="0.3">
      <c r="A4170" t="str">
        <f>"202226C0100"</f>
        <v>202226C0100</v>
      </c>
      <c r="B4170" t="str">
        <f>"202226C01002"</f>
        <v>202226C01002</v>
      </c>
      <c r="C4170" t="str">
        <f t="shared" si="217"/>
        <v>20</v>
      </c>
      <c r="D4170" t="s">
        <v>67</v>
      </c>
      <c r="E4170" t="str">
        <f t="shared" si="218"/>
        <v>018</v>
      </c>
      <c r="F4170" t="s">
        <v>4075</v>
      </c>
      <c r="G4170" t="str">
        <f>"2226"</f>
        <v>2226</v>
      </c>
      <c r="H4170" t="str">
        <f>"0001"</f>
        <v>0001</v>
      </c>
      <c r="I4170" t="s">
        <v>75</v>
      </c>
      <c r="J4170">
        <v>0</v>
      </c>
      <c r="K4170">
        <v>1</v>
      </c>
      <c r="L4170">
        <v>2</v>
      </c>
      <c r="M4170">
        <v>133</v>
      </c>
      <c r="N4170">
        <v>306</v>
      </c>
      <c r="O4170">
        <v>1</v>
      </c>
      <c r="P4170">
        <v>306</v>
      </c>
      <c r="Q4170">
        <v>8</v>
      </c>
      <c r="R4170">
        <v>6</v>
      </c>
      <c r="S4170">
        <v>15</v>
      </c>
      <c r="T4170">
        <v>15</v>
      </c>
      <c r="U4170">
        <v>24</v>
      </c>
      <c r="V4170">
        <v>4</v>
      </c>
      <c r="W4170">
        <v>0</v>
      </c>
      <c r="X4170">
        <v>208</v>
      </c>
      <c r="Y4170">
        <v>0</v>
      </c>
      <c r="Z4170">
        <v>3</v>
      </c>
      <c r="AA4170">
        <v>6</v>
      </c>
      <c r="AB4170">
        <v>3</v>
      </c>
      <c r="AD4170">
        <v>0</v>
      </c>
      <c r="AE4170">
        <v>0</v>
      </c>
      <c r="AF4170">
        <v>0</v>
      </c>
      <c r="AG4170">
        <v>0</v>
      </c>
      <c r="AI4170">
        <v>0</v>
      </c>
      <c r="AJ4170">
        <v>14</v>
      </c>
      <c r="AK4170">
        <v>306</v>
      </c>
      <c r="AL4170">
        <v>306</v>
      </c>
      <c r="AM4170">
        <v>395</v>
      </c>
      <c r="AN4170">
        <v>44</v>
      </c>
      <c r="AP4170">
        <v>1</v>
      </c>
      <c r="AR4170" t="s">
        <v>4269</v>
      </c>
      <c r="AS4170" s="1">
        <v>44353.472222222219</v>
      </c>
      <c r="AT4170" s="1">
        <v>44354.021458333336</v>
      </c>
      <c r="AU4170" s="1">
        <v>44354.02202546296</v>
      </c>
      <c r="AV4170" t="s">
        <v>71</v>
      </c>
      <c r="AW4170" t="s">
        <v>72</v>
      </c>
      <c r="AX4170" t="s">
        <v>73</v>
      </c>
    </row>
    <row r="4171" spans="1:50" x14ac:dyDescent="0.3">
      <c r="A4171" t="str">
        <f>"202226E0100"</f>
        <v>202226E0100</v>
      </c>
      <c r="B4171" t="str">
        <f>"202226E01002"</f>
        <v>202226E01002</v>
      </c>
      <c r="C4171" t="str">
        <f t="shared" si="217"/>
        <v>20</v>
      </c>
      <c r="D4171" t="s">
        <v>67</v>
      </c>
      <c r="E4171" t="str">
        <f t="shared" si="218"/>
        <v>018</v>
      </c>
      <c r="F4171" t="s">
        <v>4075</v>
      </c>
      <c r="G4171" t="str">
        <f>"2226"</f>
        <v>2226</v>
      </c>
      <c r="H4171" t="str">
        <f>"0001"</f>
        <v>0001</v>
      </c>
      <c r="I4171" t="s">
        <v>109</v>
      </c>
      <c r="J4171">
        <v>0</v>
      </c>
      <c r="K4171">
        <v>1</v>
      </c>
      <c r="L4171">
        <v>2</v>
      </c>
      <c r="AM4171">
        <v>588</v>
      </c>
      <c r="AN4171">
        <v>44</v>
      </c>
      <c r="AO4171" t="s">
        <v>352</v>
      </c>
      <c r="AP4171">
        <v>0</v>
      </c>
      <c r="AR4171" t="s">
        <v>4270</v>
      </c>
      <c r="AS4171" s="1">
        <v>44354.443749999999</v>
      </c>
      <c r="AT4171" s="1">
        <v>44354.462071759262</v>
      </c>
      <c r="AU4171" s="1">
        <v>44354.462071759262</v>
      </c>
      <c r="AV4171" t="s">
        <v>71</v>
      </c>
      <c r="AW4171" t="s">
        <v>72</v>
      </c>
      <c r="AX4171" t="s">
        <v>73</v>
      </c>
    </row>
    <row r="4172" spans="1:50" x14ac:dyDescent="0.3">
      <c r="A4172" t="str">
        <f>"202226E0101"</f>
        <v>202226E0101</v>
      </c>
      <c r="B4172" t="str">
        <f>"202226E01012"</f>
        <v>202226E01012</v>
      </c>
      <c r="C4172" t="str">
        <f t="shared" si="217"/>
        <v>20</v>
      </c>
      <c r="D4172" t="s">
        <v>67</v>
      </c>
      <c r="E4172" t="str">
        <f t="shared" si="218"/>
        <v>018</v>
      </c>
      <c r="F4172" t="s">
        <v>4075</v>
      </c>
      <c r="G4172" t="str">
        <f>"2226"</f>
        <v>2226</v>
      </c>
      <c r="H4172" t="str">
        <f>"0001"</f>
        <v>0001</v>
      </c>
      <c r="I4172" t="s">
        <v>109</v>
      </c>
      <c r="J4172">
        <v>1</v>
      </c>
      <c r="K4172">
        <v>1</v>
      </c>
      <c r="L4172">
        <v>2</v>
      </c>
      <c r="AM4172">
        <v>588</v>
      </c>
      <c r="AN4172">
        <v>44</v>
      </c>
      <c r="AO4172" t="s">
        <v>352</v>
      </c>
      <c r="AP4172">
        <v>0</v>
      </c>
      <c r="AR4172" t="s">
        <v>4271</v>
      </c>
      <c r="AS4172" s="1">
        <v>44354.443055555559</v>
      </c>
      <c r="AT4172" s="1">
        <v>44354.459756944445</v>
      </c>
      <c r="AU4172" s="1">
        <v>44354.459756944445</v>
      </c>
      <c r="AV4172" t="s">
        <v>71</v>
      </c>
      <c r="AW4172" t="s">
        <v>72</v>
      </c>
      <c r="AX4172" t="s">
        <v>73</v>
      </c>
    </row>
    <row r="4173" spans="1:50" x14ac:dyDescent="0.3">
      <c r="A4173" t="str">
        <f>"202227B0000"</f>
        <v>202227B0000</v>
      </c>
      <c r="B4173" t="str">
        <f>"202227B00002"</f>
        <v>202227B00002</v>
      </c>
      <c r="C4173" t="str">
        <f t="shared" si="217"/>
        <v>20</v>
      </c>
      <c r="D4173" t="s">
        <v>67</v>
      </c>
      <c r="E4173" t="str">
        <f t="shared" si="218"/>
        <v>018</v>
      </c>
      <c r="F4173" t="s">
        <v>4075</v>
      </c>
      <c r="G4173" t="str">
        <f>"2227"</f>
        <v>2227</v>
      </c>
      <c r="H4173" t="str">
        <f>"0000"</f>
        <v>0000</v>
      </c>
      <c r="I4173" t="s">
        <v>69</v>
      </c>
      <c r="J4173">
        <v>0</v>
      </c>
      <c r="K4173">
        <v>1</v>
      </c>
      <c r="L4173">
        <v>2</v>
      </c>
      <c r="M4173">
        <v>230</v>
      </c>
      <c r="N4173">
        <v>479</v>
      </c>
      <c r="O4173">
        <v>3</v>
      </c>
      <c r="P4173">
        <v>476</v>
      </c>
      <c r="Q4173">
        <v>6</v>
      </c>
      <c r="R4173">
        <v>59</v>
      </c>
      <c r="S4173">
        <v>3</v>
      </c>
      <c r="T4173">
        <v>16</v>
      </c>
      <c r="U4173">
        <v>35</v>
      </c>
      <c r="V4173">
        <v>3</v>
      </c>
      <c r="W4173">
        <v>20</v>
      </c>
      <c r="X4173">
        <v>256</v>
      </c>
      <c r="Y4173">
        <v>0</v>
      </c>
      <c r="Z4173">
        <v>63</v>
      </c>
      <c r="AA4173">
        <v>16</v>
      </c>
      <c r="AB4173">
        <v>32</v>
      </c>
      <c r="AD4173">
        <v>0</v>
      </c>
      <c r="AE4173">
        <v>0</v>
      </c>
      <c r="AF4173">
        <v>2</v>
      </c>
      <c r="AG4173">
        <v>0</v>
      </c>
      <c r="AI4173" t="s">
        <v>77</v>
      </c>
      <c r="AJ4173">
        <v>25</v>
      </c>
      <c r="AK4173">
        <v>476</v>
      </c>
      <c r="AL4173">
        <v>536</v>
      </c>
      <c r="AM4173">
        <v>666</v>
      </c>
      <c r="AN4173">
        <v>44</v>
      </c>
      <c r="AO4173" t="s">
        <v>78</v>
      </c>
      <c r="AP4173">
        <v>1</v>
      </c>
      <c r="AR4173" t="s">
        <v>4272</v>
      </c>
      <c r="AS4173" s="1">
        <v>44354.147222222222</v>
      </c>
      <c r="AT4173" s="1">
        <v>44354.149317129632</v>
      </c>
      <c r="AU4173" s="1">
        <v>44354.149976851855</v>
      </c>
      <c r="AV4173" t="s">
        <v>71</v>
      </c>
      <c r="AW4173" t="s">
        <v>72</v>
      </c>
      <c r="AX4173" t="s">
        <v>73</v>
      </c>
    </row>
    <row r="4174" spans="1:50" x14ac:dyDescent="0.3">
      <c r="A4174" t="str">
        <f>"202227C0100"</f>
        <v>202227C0100</v>
      </c>
      <c r="B4174" t="str">
        <f>"202227C01002"</f>
        <v>202227C01002</v>
      </c>
      <c r="C4174" t="str">
        <f t="shared" si="217"/>
        <v>20</v>
      </c>
      <c r="D4174" t="s">
        <v>67</v>
      </c>
      <c r="E4174" t="str">
        <f t="shared" si="218"/>
        <v>018</v>
      </c>
      <c r="F4174" t="s">
        <v>4075</v>
      </c>
      <c r="G4174" t="str">
        <f>"2227"</f>
        <v>2227</v>
      </c>
      <c r="H4174" t="str">
        <f>"0001"</f>
        <v>0001</v>
      </c>
      <c r="I4174" t="s">
        <v>75</v>
      </c>
      <c r="J4174">
        <v>0</v>
      </c>
      <c r="K4174">
        <v>1</v>
      </c>
      <c r="L4174">
        <v>2</v>
      </c>
      <c r="M4174">
        <v>178</v>
      </c>
      <c r="N4174">
        <v>532</v>
      </c>
      <c r="O4174">
        <v>1</v>
      </c>
      <c r="P4174" t="s">
        <v>80</v>
      </c>
      <c r="Q4174">
        <v>4</v>
      </c>
      <c r="R4174">
        <v>55</v>
      </c>
      <c r="S4174">
        <v>3</v>
      </c>
      <c r="T4174">
        <v>20</v>
      </c>
      <c r="U4174">
        <v>39</v>
      </c>
      <c r="V4174">
        <v>4</v>
      </c>
      <c r="W4174">
        <v>8</v>
      </c>
      <c r="X4174">
        <v>282</v>
      </c>
      <c r="Y4174">
        <v>0</v>
      </c>
      <c r="Z4174">
        <v>9</v>
      </c>
      <c r="AA4174">
        <v>40</v>
      </c>
      <c r="AB4174">
        <v>47</v>
      </c>
      <c r="AD4174">
        <v>1</v>
      </c>
      <c r="AE4174">
        <v>0</v>
      </c>
      <c r="AF4174">
        <v>0</v>
      </c>
      <c r="AG4174">
        <v>0</v>
      </c>
      <c r="AI4174">
        <v>0</v>
      </c>
      <c r="AJ4174">
        <v>15</v>
      </c>
      <c r="AK4174">
        <v>527</v>
      </c>
      <c r="AL4174">
        <v>527</v>
      </c>
      <c r="AM4174">
        <v>666</v>
      </c>
      <c r="AN4174">
        <v>44</v>
      </c>
      <c r="AP4174">
        <v>1</v>
      </c>
      <c r="AR4174" t="s">
        <v>4273</v>
      </c>
      <c r="AS4174" s="1">
        <v>44354.152083333334</v>
      </c>
      <c r="AT4174" s="1">
        <v>44354.154618055552</v>
      </c>
      <c r="AU4174" s="1">
        <v>44354.155358796299</v>
      </c>
      <c r="AV4174" t="s">
        <v>71</v>
      </c>
      <c r="AW4174" t="s">
        <v>72</v>
      </c>
      <c r="AX4174" t="s">
        <v>73</v>
      </c>
    </row>
    <row r="4175" spans="1:50" x14ac:dyDescent="0.3">
      <c r="A4175" t="str">
        <f>"202227E0100"</f>
        <v>202227E0100</v>
      </c>
      <c r="B4175" t="str">
        <f>"202227E01002"</f>
        <v>202227E01002</v>
      </c>
      <c r="C4175" t="str">
        <f t="shared" si="217"/>
        <v>20</v>
      </c>
      <c r="D4175" t="s">
        <v>67</v>
      </c>
      <c r="E4175" t="str">
        <f t="shared" si="218"/>
        <v>018</v>
      </c>
      <c r="F4175" t="s">
        <v>4075</v>
      </c>
      <c r="G4175" t="str">
        <f>"2227"</f>
        <v>2227</v>
      </c>
      <c r="H4175" t="str">
        <f>"0001"</f>
        <v>0001</v>
      </c>
      <c r="I4175" t="s">
        <v>109</v>
      </c>
      <c r="J4175">
        <v>0</v>
      </c>
      <c r="K4175">
        <v>1</v>
      </c>
      <c r="L4175">
        <v>2</v>
      </c>
      <c r="M4175">
        <v>151</v>
      </c>
      <c r="N4175">
        <v>183</v>
      </c>
      <c r="O4175">
        <v>2</v>
      </c>
      <c r="P4175">
        <v>183</v>
      </c>
      <c r="Q4175">
        <v>2</v>
      </c>
      <c r="R4175">
        <v>44</v>
      </c>
      <c r="S4175">
        <v>1</v>
      </c>
      <c r="T4175">
        <v>8</v>
      </c>
      <c r="U4175">
        <v>16</v>
      </c>
      <c r="V4175">
        <v>1</v>
      </c>
      <c r="W4175">
        <v>0</v>
      </c>
      <c r="X4175">
        <v>90</v>
      </c>
      <c r="Y4175">
        <v>1</v>
      </c>
      <c r="Z4175">
        <v>0</v>
      </c>
      <c r="AA4175">
        <v>9</v>
      </c>
      <c r="AB4175">
        <v>3</v>
      </c>
      <c r="AD4175" t="s">
        <v>77</v>
      </c>
      <c r="AE4175" t="s">
        <v>77</v>
      </c>
      <c r="AF4175" t="s">
        <v>77</v>
      </c>
      <c r="AG4175">
        <v>1</v>
      </c>
      <c r="AI4175" t="s">
        <v>77</v>
      </c>
      <c r="AJ4175">
        <v>7</v>
      </c>
      <c r="AK4175">
        <v>183</v>
      </c>
      <c r="AL4175">
        <v>183</v>
      </c>
      <c r="AM4175">
        <v>290</v>
      </c>
      <c r="AN4175">
        <v>44</v>
      </c>
      <c r="AO4175" t="s">
        <v>78</v>
      </c>
      <c r="AP4175">
        <v>1</v>
      </c>
      <c r="AR4175" t="s">
        <v>4274</v>
      </c>
      <c r="AS4175" s="1">
        <v>44354.15347222222</v>
      </c>
      <c r="AT4175" s="1">
        <v>44354.156886574077</v>
      </c>
      <c r="AU4175" s="1">
        <v>44354.157719907409</v>
      </c>
      <c r="AV4175" t="s">
        <v>71</v>
      </c>
      <c r="AW4175" t="s">
        <v>72</v>
      </c>
      <c r="AX4175" t="s">
        <v>73</v>
      </c>
    </row>
    <row r="4176" spans="1:50" x14ac:dyDescent="0.3">
      <c r="A4176" t="str">
        <f>"202228B0000"</f>
        <v>202228B0000</v>
      </c>
      <c r="B4176" t="str">
        <f>"202228B00002"</f>
        <v>202228B00002</v>
      </c>
      <c r="C4176" t="str">
        <f t="shared" si="217"/>
        <v>20</v>
      </c>
      <c r="D4176" t="s">
        <v>67</v>
      </c>
      <c r="E4176" t="str">
        <f t="shared" si="218"/>
        <v>018</v>
      </c>
      <c r="F4176" t="s">
        <v>4075</v>
      </c>
      <c r="G4176" t="str">
        <f>"2228"</f>
        <v>2228</v>
      </c>
      <c r="H4176" t="str">
        <f>"0000"</f>
        <v>0000</v>
      </c>
      <c r="I4176" t="s">
        <v>69</v>
      </c>
      <c r="J4176">
        <v>0</v>
      </c>
      <c r="K4176">
        <v>1</v>
      </c>
      <c r="L4176">
        <v>2</v>
      </c>
      <c r="M4176">
        <v>222</v>
      </c>
      <c r="N4176">
        <v>505</v>
      </c>
      <c r="O4176">
        <v>0</v>
      </c>
      <c r="P4176">
        <v>505</v>
      </c>
      <c r="Q4176">
        <v>10</v>
      </c>
      <c r="R4176">
        <v>26</v>
      </c>
      <c r="S4176">
        <v>19</v>
      </c>
      <c r="T4176">
        <v>28</v>
      </c>
      <c r="U4176">
        <v>31</v>
      </c>
      <c r="V4176">
        <v>7</v>
      </c>
      <c r="W4176">
        <v>3</v>
      </c>
      <c r="X4176">
        <v>346</v>
      </c>
      <c r="Y4176">
        <v>2</v>
      </c>
      <c r="Z4176">
        <v>3</v>
      </c>
      <c r="AA4176">
        <v>4</v>
      </c>
      <c r="AB4176">
        <v>4</v>
      </c>
      <c r="AD4176">
        <v>0</v>
      </c>
      <c r="AE4176">
        <v>0</v>
      </c>
      <c r="AF4176">
        <v>0</v>
      </c>
      <c r="AG4176">
        <v>0</v>
      </c>
      <c r="AI4176">
        <v>1</v>
      </c>
      <c r="AJ4176">
        <v>21</v>
      </c>
      <c r="AK4176">
        <v>505</v>
      </c>
      <c r="AL4176">
        <v>505</v>
      </c>
      <c r="AM4176">
        <v>683</v>
      </c>
      <c r="AN4176">
        <v>44</v>
      </c>
      <c r="AP4176">
        <v>1</v>
      </c>
      <c r="AR4176" t="s">
        <v>4275</v>
      </c>
      <c r="AS4176" s="1">
        <v>44354.145833333336</v>
      </c>
      <c r="AT4176" s="1">
        <v>44354.148125</v>
      </c>
      <c r="AU4176" s="1">
        <v>44354.148506944446</v>
      </c>
      <c r="AV4176" t="s">
        <v>71</v>
      </c>
      <c r="AW4176" t="s">
        <v>72</v>
      </c>
      <c r="AX4176" t="s">
        <v>73</v>
      </c>
    </row>
    <row r="4177" spans="1:50" x14ac:dyDescent="0.3">
      <c r="A4177" t="str">
        <f>"202228C0100"</f>
        <v>202228C0100</v>
      </c>
      <c r="B4177" t="str">
        <f>"202228C01002"</f>
        <v>202228C01002</v>
      </c>
      <c r="C4177" t="str">
        <f t="shared" si="217"/>
        <v>20</v>
      </c>
      <c r="D4177" t="s">
        <v>67</v>
      </c>
      <c r="E4177" t="str">
        <f t="shared" si="218"/>
        <v>018</v>
      </c>
      <c r="F4177" t="s">
        <v>4075</v>
      </c>
      <c r="G4177" t="str">
        <f>"2228"</f>
        <v>2228</v>
      </c>
      <c r="H4177" t="str">
        <f>"0001"</f>
        <v>0001</v>
      </c>
      <c r="I4177" t="s">
        <v>75</v>
      </c>
      <c r="J4177">
        <v>0</v>
      </c>
      <c r="K4177">
        <v>1</v>
      </c>
      <c r="L4177">
        <v>2</v>
      </c>
      <c r="M4177">
        <v>207</v>
      </c>
      <c r="N4177">
        <v>519</v>
      </c>
      <c r="O4177">
        <v>1</v>
      </c>
      <c r="P4177">
        <v>519</v>
      </c>
      <c r="Q4177">
        <v>12</v>
      </c>
      <c r="R4177">
        <v>32</v>
      </c>
      <c r="S4177">
        <v>12</v>
      </c>
      <c r="T4177">
        <v>28</v>
      </c>
      <c r="U4177">
        <v>31</v>
      </c>
      <c r="V4177">
        <v>0</v>
      </c>
      <c r="W4177">
        <v>2</v>
      </c>
      <c r="X4177">
        <v>373</v>
      </c>
      <c r="Y4177">
        <v>0</v>
      </c>
      <c r="Z4177">
        <v>2</v>
      </c>
      <c r="AA4177">
        <v>6</v>
      </c>
      <c r="AB4177">
        <v>3</v>
      </c>
      <c r="AD4177">
        <v>0</v>
      </c>
      <c r="AE4177">
        <v>0</v>
      </c>
      <c r="AF4177">
        <v>1</v>
      </c>
      <c r="AG4177">
        <v>0</v>
      </c>
      <c r="AI4177">
        <v>0</v>
      </c>
      <c r="AJ4177">
        <v>17</v>
      </c>
      <c r="AK4177">
        <v>519</v>
      </c>
      <c r="AL4177">
        <v>519</v>
      </c>
      <c r="AM4177">
        <v>682</v>
      </c>
      <c r="AN4177">
        <v>44</v>
      </c>
      <c r="AP4177">
        <v>1</v>
      </c>
      <c r="AR4177" t="s">
        <v>4276</v>
      </c>
      <c r="AS4177" s="1">
        <v>44354.152777777781</v>
      </c>
      <c r="AT4177" s="1">
        <v>44354.155405092592</v>
      </c>
      <c r="AU4177" s="1">
        <v>44354.156053240738</v>
      </c>
      <c r="AV4177" t="s">
        <v>71</v>
      </c>
      <c r="AW4177" t="s">
        <v>72</v>
      </c>
      <c r="AX4177" t="s">
        <v>73</v>
      </c>
    </row>
    <row r="4178" spans="1:50" x14ac:dyDescent="0.3">
      <c r="A4178" t="str">
        <f>"202228E0100"</f>
        <v>202228E0100</v>
      </c>
      <c r="B4178" t="str">
        <f>"202228E01002"</f>
        <v>202228E01002</v>
      </c>
      <c r="C4178" t="str">
        <f t="shared" si="217"/>
        <v>20</v>
      </c>
      <c r="D4178" t="s">
        <v>67</v>
      </c>
      <c r="E4178" t="str">
        <f t="shared" si="218"/>
        <v>018</v>
      </c>
      <c r="F4178" t="s">
        <v>4075</v>
      </c>
      <c r="G4178" t="str">
        <f>"2228"</f>
        <v>2228</v>
      </c>
      <c r="H4178" t="str">
        <f>"0001"</f>
        <v>0001</v>
      </c>
      <c r="I4178" t="s">
        <v>109</v>
      </c>
      <c r="J4178">
        <v>0</v>
      </c>
      <c r="K4178">
        <v>1</v>
      </c>
      <c r="L4178">
        <v>2</v>
      </c>
      <c r="M4178">
        <v>167</v>
      </c>
      <c r="N4178">
        <v>413</v>
      </c>
      <c r="O4178">
        <v>0</v>
      </c>
      <c r="P4178">
        <v>413</v>
      </c>
      <c r="Q4178">
        <v>2</v>
      </c>
      <c r="R4178">
        <v>42</v>
      </c>
      <c r="S4178">
        <v>14</v>
      </c>
      <c r="T4178">
        <v>23</v>
      </c>
      <c r="U4178">
        <v>37</v>
      </c>
      <c r="V4178">
        <v>7</v>
      </c>
      <c r="W4178">
        <v>1</v>
      </c>
      <c r="X4178">
        <v>221</v>
      </c>
      <c r="Y4178">
        <v>0</v>
      </c>
      <c r="Z4178">
        <v>8</v>
      </c>
      <c r="AA4178">
        <v>29</v>
      </c>
      <c r="AB4178">
        <v>6</v>
      </c>
      <c r="AD4178">
        <v>1</v>
      </c>
      <c r="AE4178">
        <v>1</v>
      </c>
      <c r="AF4178">
        <v>0</v>
      </c>
      <c r="AG4178">
        <v>0</v>
      </c>
      <c r="AI4178">
        <v>0</v>
      </c>
      <c r="AJ4178">
        <v>21</v>
      </c>
      <c r="AK4178">
        <v>413</v>
      </c>
      <c r="AL4178">
        <v>413</v>
      </c>
      <c r="AM4178">
        <v>536</v>
      </c>
      <c r="AN4178">
        <v>44</v>
      </c>
      <c r="AP4178">
        <v>1</v>
      </c>
      <c r="AR4178" t="s">
        <v>4277</v>
      </c>
      <c r="AS4178" s="1">
        <v>44354.143750000003</v>
      </c>
      <c r="AT4178" s="1">
        <v>44354.146585648145</v>
      </c>
      <c r="AU4178" s="1">
        <v>44354.146967592591</v>
      </c>
      <c r="AV4178" t="s">
        <v>71</v>
      </c>
      <c r="AW4178" t="s">
        <v>72</v>
      </c>
      <c r="AX4178" t="s">
        <v>73</v>
      </c>
    </row>
    <row r="4179" spans="1:50" x14ac:dyDescent="0.3">
      <c r="A4179" t="str">
        <f>"200043B0000"</f>
        <v>200043B0000</v>
      </c>
      <c r="B4179" t="str">
        <f>"200043B00002"</f>
        <v>200043B00002</v>
      </c>
      <c r="C4179" t="str">
        <f t="shared" si="217"/>
        <v>20</v>
      </c>
      <c r="D4179" t="s">
        <v>67</v>
      </c>
      <c r="E4179" t="str">
        <f t="shared" ref="E4179:E4242" si="219">"019"</f>
        <v>019</v>
      </c>
      <c r="F4179" t="s">
        <v>4278</v>
      </c>
      <c r="G4179" t="str">
        <f>"0043"</f>
        <v>0043</v>
      </c>
      <c r="H4179" t="str">
        <f>"0000"</f>
        <v>0000</v>
      </c>
      <c r="I4179" t="s">
        <v>69</v>
      </c>
      <c r="J4179">
        <v>0</v>
      </c>
      <c r="K4179">
        <v>1</v>
      </c>
      <c r="L4179">
        <v>2</v>
      </c>
      <c r="M4179">
        <v>128</v>
      </c>
      <c r="N4179">
        <v>307</v>
      </c>
      <c r="O4179">
        <v>3</v>
      </c>
      <c r="P4179">
        <v>307</v>
      </c>
      <c r="Q4179">
        <v>0</v>
      </c>
      <c r="R4179">
        <v>142</v>
      </c>
      <c r="S4179">
        <v>3</v>
      </c>
      <c r="T4179">
        <v>0</v>
      </c>
      <c r="U4179">
        <v>13</v>
      </c>
      <c r="V4179">
        <v>0</v>
      </c>
      <c r="W4179">
        <v>0</v>
      </c>
      <c r="X4179">
        <v>135</v>
      </c>
      <c r="Y4179">
        <v>0</v>
      </c>
      <c r="Z4179">
        <v>1</v>
      </c>
      <c r="AA4179">
        <v>1</v>
      </c>
      <c r="AB4179">
        <v>2</v>
      </c>
      <c r="AD4179">
        <v>4</v>
      </c>
      <c r="AE4179">
        <v>0</v>
      </c>
      <c r="AF4179">
        <v>0</v>
      </c>
      <c r="AG4179">
        <v>0</v>
      </c>
      <c r="AI4179">
        <v>0</v>
      </c>
      <c r="AJ4179">
        <v>6</v>
      </c>
      <c r="AK4179">
        <v>307</v>
      </c>
      <c r="AL4179">
        <v>307</v>
      </c>
      <c r="AM4179">
        <v>391</v>
      </c>
      <c r="AN4179">
        <v>44</v>
      </c>
      <c r="AP4179">
        <v>1</v>
      </c>
      <c r="AR4179" t="s">
        <v>4279</v>
      </c>
      <c r="AS4179" s="1">
        <v>44354.14166666667</v>
      </c>
      <c r="AT4179" s="1">
        <v>44354.143437500003</v>
      </c>
      <c r="AU4179" s="1">
        <v>44354.143935185188</v>
      </c>
      <c r="AV4179" t="s">
        <v>71</v>
      </c>
      <c r="AW4179" t="s">
        <v>72</v>
      </c>
      <c r="AX4179" t="s">
        <v>73</v>
      </c>
    </row>
    <row r="4180" spans="1:50" x14ac:dyDescent="0.3">
      <c r="A4180" t="str">
        <f>"200043C0100"</f>
        <v>200043C0100</v>
      </c>
      <c r="B4180" t="str">
        <f>"200043C01002"</f>
        <v>200043C01002</v>
      </c>
      <c r="C4180" t="str">
        <f t="shared" si="217"/>
        <v>20</v>
      </c>
      <c r="D4180" t="s">
        <v>67</v>
      </c>
      <c r="E4180" t="str">
        <f t="shared" si="219"/>
        <v>019</v>
      </c>
      <c r="F4180" t="s">
        <v>4278</v>
      </c>
      <c r="G4180" t="str">
        <f>"0043"</f>
        <v>0043</v>
      </c>
      <c r="H4180" t="str">
        <f>"0001"</f>
        <v>0001</v>
      </c>
      <c r="I4180" t="s">
        <v>75</v>
      </c>
      <c r="J4180">
        <v>0</v>
      </c>
      <c r="K4180">
        <v>1</v>
      </c>
      <c r="L4180">
        <v>2</v>
      </c>
      <c r="M4180">
        <v>121</v>
      </c>
      <c r="N4180">
        <v>319</v>
      </c>
      <c r="O4180">
        <v>7</v>
      </c>
      <c r="P4180">
        <v>314</v>
      </c>
      <c r="Q4180">
        <v>0</v>
      </c>
      <c r="R4180">
        <v>139</v>
      </c>
      <c r="S4180">
        <v>0</v>
      </c>
      <c r="T4180">
        <v>1</v>
      </c>
      <c r="U4180">
        <v>17</v>
      </c>
      <c r="V4180">
        <v>0</v>
      </c>
      <c r="W4180">
        <v>0</v>
      </c>
      <c r="X4180">
        <v>141</v>
      </c>
      <c r="Y4180">
        <v>1</v>
      </c>
      <c r="Z4180">
        <v>2</v>
      </c>
      <c r="AA4180">
        <v>1</v>
      </c>
      <c r="AB4180">
        <v>0</v>
      </c>
      <c r="AD4180">
        <v>2</v>
      </c>
      <c r="AE4180">
        <v>0</v>
      </c>
      <c r="AF4180">
        <v>0</v>
      </c>
      <c r="AG4180">
        <v>1</v>
      </c>
      <c r="AI4180">
        <v>0</v>
      </c>
      <c r="AJ4180">
        <v>8</v>
      </c>
      <c r="AK4180">
        <v>314</v>
      </c>
      <c r="AL4180">
        <v>313</v>
      </c>
      <c r="AM4180">
        <v>391</v>
      </c>
      <c r="AN4180">
        <v>44</v>
      </c>
      <c r="AP4180">
        <v>1</v>
      </c>
      <c r="AR4180" t="s">
        <v>4280</v>
      </c>
      <c r="AS4180" s="1">
        <v>44354.518055555556</v>
      </c>
      <c r="AT4180" s="1">
        <v>44354.519803240742</v>
      </c>
      <c r="AU4180" s="1">
        <v>44354.520925925928</v>
      </c>
      <c r="AV4180" t="s">
        <v>71</v>
      </c>
      <c r="AW4180" t="s">
        <v>72</v>
      </c>
      <c r="AX4180" t="s">
        <v>73</v>
      </c>
    </row>
    <row r="4181" spans="1:50" x14ac:dyDescent="0.3">
      <c r="A4181" t="str">
        <f>"200044B0000"</f>
        <v>200044B0000</v>
      </c>
      <c r="B4181" t="str">
        <f>"200044B00002"</f>
        <v>200044B00002</v>
      </c>
      <c r="C4181" t="str">
        <f t="shared" si="217"/>
        <v>20</v>
      </c>
      <c r="D4181" t="s">
        <v>67</v>
      </c>
      <c r="E4181" t="str">
        <f t="shared" si="219"/>
        <v>019</v>
      </c>
      <c r="F4181" t="s">
        <v>4278</v>
      </c>
      <c r="G4181" t="str">
        <f>"0044"</f>
        <v>0044</v>
      </c>
      <c r="H4181" t="str">
        <f>"0000"</f>
        <v>0000</v>
      </c>
      <c r="I4181" t="s">
        <v>69</v>
      </c>
      <c r="J4181">
        <v>0</v>
      </c>
      <c r="K4181">
        <v>1</v>
      </c>
      <c r="L4181">
        <v>2</v>
      </c>
      <c r="M4181">
        <v>180</v>
      </c>
      <c r="N4181">
        <v>311</v>
      </c>
      <c r="O4181">
        <v>1</v>
      </c>
      <c r="P4181">
        <v>311</v>
      </c>
      <c r="Q4181">
        <v>4</v>
      </c>
      <c r="R4181">
        <v>100</v>
      </c>
      <c r="S4181">
        <v>3</v>
      </c>
      <c r="T4181">
        <v>3</v>
      </c>
      <c r="U4181">
        <v>10</v>
      </c>
      <c r="V4181">
        <v>0</v>
      </c>
      <c r="W4181">
        <v>0</v>
      </c>
      <c r="X4181">
        <v>168</v>
      </c>
      <c r="Y4181">
        <v>0</v>
      </c>
      <c r="Z4181">
        <v>0</v>
      </c>
      <c r="AA4181">
        <v>8</v>
      </c>
      <c r="AB4181">
        <v>3</v>
      </c>
      <c r="AD4181">
        <v>4</v>
      </c>
      <c r="AE4181">
        <v>1</v>
      </c>
      <c r="AF4181">
        <v>0</v>
      </c>
      <c r="AG4181">
        <v>0</v>
      </c>
      <c r="AI4181">
        <v>0</v>
      </c>
      <c r="AJ4181">
        <v>7</v>
      </c>
      <c r="AK4181">
        <v>311</v>
      </c>
      <c r="AL4181">
        <v>311</v>
      </c>
      <c r="AM4181">
        <v>447</v>
      </c>
      <c r="AN4181">
        <v>44</v>
      </c>
      <c r="AP4181">
        <v>1</v>
      </c>
      <c r="AR4181" t="s">
        <v>4281</v>
      </c>
      <c r="AS4181" s="1">
        <v>44354.172222222223</v>
      </c>
      <c r="AT4181" s="1">
        <v>44354.173541666663</v>
      </c>
      <c r="AU4181" s="1">
        <v>44354.174224537041</v>
      </c>
      <c r="AV4181" t="s">
        <v>71</v>
      </c>
      <c r="AW4181" t="s">
        <v>72</v>
      </c>
      <c r="AX4181" t="s">
        <v>73</v>
      </c>
    </row>
    <row r="4182" spans="1:50" x14ac:dyDescent="0.3">
      <c r="A4182" t="str">
        <f>"200044C0100"</f>
        <v>200044C0100</v>
      </c>
      <c r="B4182" t="str">
        <f>"200044C01002"</f>
        <v>200044C01002</v>
      </c>
      <c r="C4182" t="str">
        <f t="shared" si="217"/>
        <v>20</v>
      </c>
      <c r="D4182" t="s">
        <v>67</v>
      </c>
      <c r="E4182" t="str">
        <f t="shared" si="219"/>
        <v>019</v>
      </c>
      <c r="F4182" t="s">
        <v>4278</v>
      </c>
      <c r="G4182" t="str">
        <f>"0044"</f>
        <v>0044</v>
      </c>
      <c r="H4182" t="str">
        <f>"0001"</f>
        <v>0001</v>
      </c>
      <c r="I4182" t="s">
        <v>75</v>
      </c>
      <c r="J4182">
        <v>0</v>
      </c>
      <c r="K4182">
        <v>1</v>
      </c>
      <c r="L4182">
        <v>2</v>
      </c>
      <c r="M4182">
        <v>168</v>
      </c>
      <c r="N4182">
        <v>322</v>
      </c>
      <c r="O4182">
        <v>2</v>
      </c>
      <c r="P4182">
        <v>322</v>
      </c>
      <c r="Q4182">
        <v>8</v>
      </c>
      <c r="R4182">
        <v>107</v>
      </c>
      <c r="S4182">
        <v>1</v>
      </c>
      <c r="T4182">
        <v>4</v>
      </c>
      <c r="U4182">
        <v>19</v>
      </c>
      <c r="V4182" t="s">
        <v>77</v>
      </c>
      <c r="W4182" t="s">
        <v>77</v>
      </c>
      <c r="X4182">
        <v>161</v>
      </c>
      <c r="Y4182">
        <v>2</v>
      </c>
      <c r="Z4182">
        <v>1</v>
      </c>
      <c r="AA4182">
        <v>3</v>
      </c>
      <c r="AB4182">
        <v>4</v>
      </c>
      <c r="AD4182">
        <v>2</v>
      </c>
      <c r="AE4182" t="s">
        <v>77</v>
      </c>
      <c r="AF4182" t="s">
        <v>77</v>
      </c>
      <c r="AG4182">
        <v>1</v>
      </c>
      <c r="AI4182" t="s">
        <v>77</v>
      </c>
      <c r="AJ4182">
        <v>9</v>
      </c>
      <c r="AK4182" t="s">
        <v>77</v>
      </c>
      <c r="AL4182">
        <v>322</v>
      </c>
      <c r="AM4182">
        <v>446</v>
      </c>
      <c r="AN4182">
        <v>44</v>
      </c>
      <c r="AO4182" t="s">
        <v>78</v>
      </c>
      <c r="AP4182">
        <v>1</v>
      </c>
      <c r="AR4182" t="s">
        <v>4282</v>
      </c>
      <c r="AS4182" s="1">
        <v>44354.527083333334</v>
      </c>
      <c r="AT4182" s="1">
        <v>44354.529120370367</v>
      </c>
      <c r="AU4182" s="1">
        <v>44354.529849537037</v>
      </c>
      <c r="AV4182" t="s">
        <v>71</v>
      </c>
      <c r="AW4182" t="s">
        <v>72</v>
      </c>
      <c r="AX4182" t="s">
        <v>73</v>
      </c>
    </row>
    <row r="4183" spans="1:50" x14ac:dyDescent="0.3">
      <c r="A4183" t="str">
        <f>"200045B0000"</f>
        <v>200045B0000</v>
      </c>
      <c r="B4183" t="str">
        <f>"200045B00002"</f>
        <v>200045B00002</v>
      </c>
      <c r="C4183" t="str">
        <f t="shared" si="217"/>
        <v>20</v>
      </c>
      <c r="D4183" t="s">
        <v>67</v>
      </c>
      <c r="E4183" t="str">
        <f t="shared" si="219"/>
        <v>019</v>
      </c>
      <c r="F4183" t="s">
        <v>4278</v>
      </c>
      <c r="G4183" t="str">
        <f>"0045"</f>
        <v>0045</v>
      </c>
      <c r="H4183" t="str">
        <f>"0000"</f>
        <v>0000</v>
      </c>
      <c r="I4183" t="s">
        <v>69</v>
      </c>
      <c r="J4183">
        <v>0</v>
      </c>
      <c r="K4183">
        <v>1</v>
      </c>
      <c r="L4183">
        <v>2</v>
      </c>
      <c r="M4183">
        <v>131</v>
      </c>
      <c r="N4183">
        <v>310</v>
      </c>
      <c r="O4183">
        <v>1</v>
      </c>
      <c r="P4183" t="s">
        <v>80</v>
      </c>
      <c r="Q4183">
        <v>1</v>
      </c>
      <c r="R4183">
        <v>97</v>
      </c>
      <c r="S4183">
        <v>1</v>
      </c>
      <c r="T4183">
        <v>0</v>
      </c>
      <c r="U4183">
        <v>13</v>
      </c>
      <c r="V4183">
        <v>2</v>
      </c>
      <c r="W4183">
        <v>0</v>
      </c>
      <c r="X4183">
        <v>181</v>
      </c>
      <c r="Y4183">
        <v>1</v>
      </c>
      <c r="Z4183">
        <v>2</v>
      </c>
      <c r="AA4183">
        <v>0</v>
      </c>
      <c r="AB4183">
        <v>3</v>
      </c>
      <c r="AD4183">
        <v>3</v>
      </c>
      <c r="AE4183">
        <v>0</v>
      </c>
      <c r="AF4183">
        <v>0</v>
      </c>
      <c r="AG4183">
        <v>0</v>
      </c>
      <c r="AI4183">
        <v>0</v>
      </c>
      <c r="AJ4183">
        <v>6</v>
      </c>
      <c r="AK4183">
        <v>310</v>
      </c>
      <c r="AL4183">
        <v>310</v>
      </c>
      <c r="AM4183">
        <v>397</v>
      </c>
      <c r="AN4183">
        <v>44</v>
      </c>
      <c r="AP4183">
        <v>1</v>
      </c>
      <c r="AR4183" t="s">
        <v>4283</v>
      </c>
      <c r="AS4183" s="1">
        <v>44354.469444444447</v>
      </c>
      <c r="AT4183" s="1">
        <v>44354.471585648149</v>
      </c>
      <c r="AU4183" s="1">
        <v>44354.472453703704</v>
      </c>
      <c r="AV4183" t="s">
        <v>71</v>
      </c>
      <c r="AW4183" t="s">
        <v>72</v>
      </c>
      <c r="AX4183" t="s">
        <v>73</v>
      </c>
    </row>
    <row r="4184" spans="1:50" x14ac:dyDescent="0.3">
      <c r="A4184" t="str">
        <f>"200045C0100"</f>
        <v>200045C0100</v>
      </c>
      <c r="B4184" t="str">
        <f>"200045C01002"</f>
        <v>200045C01002</v>
      </c>
      <c r="C4184" t="str">
        <f t="shared" si="217"/>
        <v>20</v>
      </c>
      <c r="D4184" t="s">
        <v>67</v>
      </c>
      <c r="E4184" t="str">
        <f t="shared" si="219"/>
        <v>019</v>
      </c>
      <c r="F4184" t="s">
        <v>4278</v>
      </c>
      <c r="G4184" t="str">
        <f>"0045"</f>
        <v>0045</v>
      </c>
      <c r="H4184" t="str">
        <f>"0001"</f>
        <v>0001</v>
      </c>
      <c r="I4184" t="s">
        <v>75</v>
      </c>
      <c r="J4184">
        <v>0</v>
      </c>
      <c r="K4184">
        <v>1</v>
      </c>
      <c r="L4184">
        <v>2</v>
      </c>
      <c r="M4184">
        <v>137</v>
      </c>
      <c r="N4184">
        <v>303</v>
      </c>
      <c r="O4184">
        <v>0</v>
      </c>
      <c r="P4184" t="s">
        <v>80</v>
      </c>
      <c r="Q4184">
        <v>3</v>
      </c>
      <c r="R4184">
        <v>113</v>
      </c>
      <c r="S4184">
        <v>3</v>
      </c>
      <c r="T4184">
        <v>0</v>
      </c>
      <c r="U4184">
        <v>13</v>
      </c>
      <c r="V4184">
        <v>0</v>
      </c>
      <c r="W4184" t="s">
        <v>77</v>
      </c>
      <c r="X4184">
        <v>160</v>
      </c>
      <c r="Y4184" t="s">
        <v>77</v>
      </c>
      <c r="Z4184">
        <v>1</v>
      </c>
      <c r="AA4184">
        <v>1</v>
      </c>
      <c r="AB4184">
        <v>4</v>
      </c>
      <c r="AD4184" t="s">
        <v>77</v>
      </c>
      <c r="AE4184" t="s">
        <v>77</v>
      </c>
      <c r="AF4184" t="s">
        <v>77</v>
      </c>
      <c r="AG4184" t="s">
        <v>77</v>
      </c>
      <c r="AI4184" t="s">
        <v>77</v>
      </c>
      <c r="AJ4184">
        <v>5</v>
      </c>
      <c r="AK4184">
        <v>303</v>
      </c>
      <c r="AL4184">
        <v>303</v>
      </c>
      <c r="AM4184">
        <v>396</v>
      </c>
      <c r="AN4184">
        <v>44</v>
      </c>
      <c r="AO4184" t="s">
        <v>78</v>
      </c>
      <c r="AP4184">
        <v>1</v>
      </c>
      <c r="AR4184" t="s">
        <v>4284</v>
      </c>
      <c r="AS4184" s="1">
        <v>44354.356944444444</v>
      </c>
      <c r="AT4184" s="1">
        <v>44354.360208333332</v>
      </c>
      <c r="AU4184" s="1">
        <v>44354.360891203702</v>
      </c>
      <c r="AV4184" t="s">
        <v>71</v>
      </c>
      <c r="AW4184" t="s">
        <v>72</v>
      </c>
      <c r="AX4184" t="s">
        <v>73</v>
      </c>
    </row>
    <row r="4185" spans="1:50" x14ac:dyDescent="0.3">
      <c r="A4185" t="str">
        <f>"200046B0000"</f>
        <v>200046B0000</v>
      </c>
      <c r="B4185" t="str">
        <f>"200046B00002"</f>
        <v>200046B00002</v>
      </c>
      <c r="C4185" t="str">
        <f t="shared" si="217"/>
        <v>20</v>
      </c>
      <c r="D4185" t="s">
        <v>67</v>
      </c>
      <c r="E4185" t="str">
        <f t="shared" si="219"/>
        <v>019</v>
      </c>
      <c r="F4185" t="s">
        <v>4278</v>
      </c>
      <c r="G4185" t="str">
        <f>"0046"</f>
        <v>0046</v>
      </c>
      <c r="H4185" t="str">
        <f>"0000"</f>
        <v>0000</v>
      </c>
      <c r="I4185" t="s">
        <v>69</v>
      </c>
      <c r="J4185">
        <v>0</v>
      </c>
      <c r="K4185">
        <v>1</v>
      </c>
      <c r="L4185">
        <v>2</v>
      </c>
      <c r="M4185">
        <v>182</v>
      </c>
      <c r="N4185">
        <v>366</v>
      </c>
      <c r="O4185">
        <v>1</v>
      </c>
      <c r="P4185">
        <v>366</v>
      </c>
      <c r="Q4185">
        <v>4</v>
      </c>
      <c r="R4185">
        <v>118</v>
      </c>
      <c r="S4185">
        <v>3</v>
      </c>
      <c r="T4185">
        <v>1</v>
      </c>
      <c r="U4185">
        <v>24</v>
      </c>
      <c r="V4185">
        <v>2</v>
      </c>
      <c r="W4185">
        <v>0</v>
      </c>
      <c r="X4185">
        <v>183</v>
      </c>
      <c r="Y4185">
        <v>0</v>
      </c>
      <c r="Z4185">
        <v>2</v>
      </c>
      <c r="AA4185">
        <v>2</v>
      </c>
      <c r="AB4185">
        <v>4</v>
      </c>
      <c r="AD4185">
        <v>3</v>
      </c>
      <c r="AE4185">
        <v>1</v>
      </c>
      <c r="AF4185">
        <v>1</v>
      </c>
      <c r="AG4185">
        <v>0</v>
      </c>
      <c r="AI4185">
        <v>0</v>
      </c>
      <c r="AJ4185">
        <v>18</v>
      </c>
      <c r="AK4185">
        <v>366</v>
      </c>
      <c r="AL4185">
        <v>366</v>
      </c>
      <c r="AM4185">
        <v>504</v>
      </c>
      <c r="AN4185">
        <v>44</v>
      </c>
      <c r="AP4185">
        <v>1</v>
      </c>
      <c r="AR4185" t="s">
        <v>4285</v>
      </c>
      <c r="AS4185" s="1">
        <v>44354.470138888886</v>
      </c>
      <c r="AT4185" s="1">
        <v>44354.471655092595</v>
      </c>
      <c r="AU4185" s="1">
        <v>44354.472962962966</v>
      </c>
      <c r="AV4185" t="s">
        <v>71</v>
      </c>
      <c r="AW4185" t="s">
        <v>72</v>
      </c>
      <c r="AX4185" t="s">
        <v>73</v>
      </c>
    </row>
    <row r="4186" spans="1:50" x14ac:dyDescent="0.3">
      <c r="A4186" t="str">
        <f>"200046C0100"</f>
        <v>200046C0100</v>
      </c>
      <c r="B4186" t="str">
        <f>"200046C01002"</f>
        <v>200046C01002</v>
      </c>
      <c r="C4186" t="str">
        <f t="shared" si="217"/>
        <v>20</v>
      </c>
      <c r="D4186" t="s">
        <v>67</v>
      </c>
      <c r="E4186" t="str">
        <f t="shared" si="219"/>
        <v>019</v>
      </c>
      <c r="F4186" t="s">
        <v>4278</v>
      </c>
      <c r="G4186" t="str">
        <f>"0046"</f>
        <v>0046</v>
      </c>
      <c r="H4186" t="str">
        <f>"0001"</f>
        <v>0001</v>
      </c>
      <c r="I4186" t="s">
        <v>75</v>
      </c>
      <c r="J4186">
        <v>0</v>
      </c>
      <c r="K4186">
        <v>1</v>
      </c>
      <c r="L4186">
        <v>2</v>
      </c>
      <c r="M4186">
        <v>174</v>
      </c>
      <c r="N4186">
        <v>372</v>
      </c>
      <c r="O4186">
        <v>0</v>
      </c>
      <c r="P4186">
        <v>372</v>
      </c>
      <c r="Q4186">
        <v>3</v>
      </c>
      <c r="R4186">
        <v>130</v>
      </c>
      <c r="S4186">
        <v>2</v>
      </c>
      <c r="T4186">
        <v>2</v>
      </c>
      <c r="U4186">
        <v>34</v>
      </c>
      <c r="V4186">
        <v>3</v>
      </c>
      <c r="W4186">
        <v>0</v>
      </c>
      <c r="X4186">
        <v>181</v>
      </c>
      <c r="Y4186">
        <v>0</v>
      </c>
      <c r="Z4186">
        <v>3</v>
      </c>
      <c r="AA4186">
        <v>1</v>
      </c>
      <c r="AB4186">
        <v>3</v>
      </c>
      <c r="AD4186">
        <v>1</v>
      </c>
      <c r="AE4186">
        <v>0</v>
      </c>
      <c r="AF4186">
        <v>0</v>
      </c>
      <c r="AG4186">
        <v>0</v>
      </c>
      <c r="AI4186">
        <v>0</v>
      </c>
      <c r="AJ4186">
        <v>9</v>
      </c>
      <c r="AK4186">
        <v>372</v>
      </c>
      <c r="AL4186">
        <v>372</v>
      </c>
      <c r="AM4186">
        <v>503</v>
      </c>
      <c r="AN4186">
        <v>44</v>
      </c>
      <c r="AP4186">
        <v>1</v>
      </c>
      <c r="AR4186" t="s">
        <v>4286</v>
      </c>
      <c r="AS4186" s="1">
        <v>44354.148611111108</v>
      </c>
      <c r="AT4186" s="1">
        <v>44354.150347222225</v>
      </c>
      <c r="AU4186" s="1">
        <v>44354.151064814818</v>
      </c>
      <c r="AV4186" t="s">
        <v>71</v>
      </c>
      <c r="AW4186" t="s">
        <v>72</v>
      </c>
      <c r="AX4186" t="s">
        <v>73</v>
      </c>
    </row>
    <row r="4187" spans="1:50" x14ac:dyDescent="0.3">
      <c r="A4187" t="str">
        <f>"200047B0000"</f>
        <v>200047B0000</v>
      </c>
      <c r="B4187" t="str">
        <f>"200047B00002"</f>
        <v>200047B00002</v>
      </c>
      <c r="C4187" t="str">
        <f t="shared" si="217"/>
        <v>20</v>
      </c>
      <c r="D4187" t="s">
        <v>67</v>
      </c>
      <c r="E4187" t="str">
        <f t="shared" si="219"/>
        <v>019</v>
      </c>
      <c r="F4187" t="s">
        <v>4278</v>
      </c>
      <c r="G4187" t="str">
        <f>"0047"</f>
        <v>0047</v>
      </c>
      <c r="H4187" t="str">
        <f>"0000"</f>
        <v>0000</v>
      </c>
      <c r="I4187" t="s">
        <v>69</v>
      </c>
      <c r="J4187">
        <v>0</v>
      </c>
      <c r="K4187">
        <v>1</v>
      </c>
      <c r="L4187">
        <v>2</v>
      </c>
      <c r="M4187">
        <v>245</v>
      </c>
      <c r="N4187">
        <v>459</v>
      </c>
      <c r="O4187">
        <v>0</v>
      </c>
      <c r="P4187">
        <v>459</v>
      </c>
      <c r="Q4187">
        <v>6</v>
      </c>
      <c r="R4187">
        <v>184</v>
      </c>
      <c r="S4187">
        <v>5</v>
      </c>
      <c r="T4187">
        <v>2</v>
      </c>
      <c r="U4187">
        <v>22</v>
      </c>
      <c r="V4187">
        <v>2</v>
      </c>
      <c r="W4187">
        <v>0</v>
      </c>
      <c r="X4187">
        <v>219</v>
      </c>
      <c r="Y4187">
        <v>0</v>
      </c>
      <c r="Z4187">
        <v>2</v>
      </c>
      <c r="AA4187">
        <v>0</v>
      </c>
      <c r="AB4187">
        <v>3</v>
      </c>
      <c r="AD4187">
        <v>3</v>
      </c>
      <c r="AE4187">
        <v>0</v>
      </c>
      <c r="AF4187">
        <v>0</v>
      </c>
      <c r="AG4187">
        <v>0</v>
      </c>
      <c r="AI4187">
        <v>0</v>
      </c>
      <c r="AJ4187">
        <v>11</v>
      </c>
      <c r="AK4187">
        <v>0</v>
      </c>
      <c r="AL4187">
        <v>459</v>
      </c>
      <c r="AM4187">
        <v>660</v>
      </c>
      <c r="AN4187">
        <v>44</v>
      </c>
      <c r="AP4187">
        <v>1</v>
      </c>
      <c r="AR4187" t="s">
        <v>4287</v>
      </c>
      <c r="AS4187" s="1">
        <v>44354.493055555555</v>
      </c>
      <c r="AT4187" s="1">
        <v>44354.494687500002</v>
      </c>
      <c r="AU4187" s="1">
        <v>44354.49560185185</v>
      </c>
      <c r="AV4187" t="s">
        <v>71</v>
      </c>
      <c r="AW4187" t="s">
        <v>72</v>
      </c>
      <c r="AX4187" t="s">
        <v>73</v>
      </c>
    </row>
    <row r="4188" spans="1:50" x14ac:dyDescent="0.3">
      <c r="A4188" t="str">
        <f>"200047C0100"</f>
        <v>200047C0100</v>
      </c>
      <c r="B4188" t="str">
        <f>"200047C01002"</f>
        <v>200047C01002</v>
      </c>
      <c r="C4188" t="str">
        <f t="shared" si="217"/>
        <v>20</v>
      </c>
      <c r="D4188" t="s">
        <v>67</v>
      </c>
      <c r="E4188" t="str">
        <f t="shared" si="219"/>
        <v>019</v>
      </c>
      <c r="F4188" t="s">
        <v>4278</v>
      </c>
      <c r="G4188" t="str">
        <f>"0047"</f>
        <v>0047</v>
      </c>
      <c r="H4188" t="str">
        <f>"0001"</f>
        <v>0001</v>
      </c>
      <c r="I4188" t="s">
        <v>75</v>
      </c>
      <c r="J4188">
        <v>0</v>
      </c>
      <c r="K4188">
        <v>1</v>
      </c>
      <c r="L4188">
        <v>2</v>
      </c>
      <c r="M4188">
        <v>236</v>
      </c>
      <c r="N4188">
        <v>466</v>
      </c>
      <c r="O4188">
        <v>1</v>
      </c>
      <c r="P4188">
        <v>466</v>
      </c>
      <c r="Q4188">
        <v>6</v>
      </c>
      <c r="R4188">
        <v>169</v>
      </c>
      <c r="S4188">
        <v>3</v>
      </c>
      <c r="T4188">
        <v>1</v>
      </c>
      <c r="U4188">
        <v>16</v>
      </c>
      <c r="V4188">
        <v>1</v>
      </c>
      <c r="W4188">
        <v>1</v>
      </c>
      <c r="X4188">
        <v>251</v>
      </c>
      <c r="Y4188">
        <v>2</v>
      </c>
      <c r="Z4188">
        <v>1</v>
      </c>
      <c r="AA4188">
        <v>1</v>
      </c>
      <c r="AB4188">
        <v>5</v>
      </c>
      <c r="AD4188">
        <v>1</v>
      </c>
      <c r="AE4188" t="s">
        <v>77</v>
      </c>
      <c r="AF4188" t="s">
        <v>77</v>
      </c>
      <c r="AG4188">
        <v>1</v>
      </c>
      <c r="AI4188" t="s">
        <v>77</v>
      </c>
      <c r="AJ4188">
        <v>7</v>
      </c>
      <c r="AK4188">
        <v>465</v>
      </c>
      <c r="AL4188">
        <v>466</v>
      </c>
      <c r="AM4188">
        <v>659</v>
      </c>
      <c r="AN4188">
        <v>44</v>
      </c>
      <c r="AO4188" t="s">
        <v>78</v>
      </c>
      <c r="AP4188">
        <v>1</v>
      </c>
      <c r="AR4188" t="s">
        <v>4288</v>
      </c>
      <c r="AS4188" s="1">
        <v>44354.495833333334</v>
      </c>
      <c r="AT4188" s="1">
        <v>44354.498148148145</v>
      </c>
      <c r="AU4188" s="1">
        <v>44354.499351851853</v>
      </c>
      <c r="AV4188" t="s">
        <v>71</v>
      </c>
      <c r="AW4188" t="s">
        <v>72</v>
      </c>
      <c r="AX4188" t="s">
        <v>73</v>
      </c>
    </row>
    <row r="4189" spans="1:50" x14ac:dyDescent="0.3">
      <c r="A4189" t="str">
        <f>"200048B0000"</f>
        <v>200048B0000</v>
      </c>
      <c r="B4189" t="str">
        <f>"200048B00002"</f>
        <v>200048B00002</v>
      </c>
      <c r="C4189" t="str">
        <f t="shared" si="217"/>
        <v>20</v>
      </c>
      <c r="D4189" t="s">
        <v>67</v>
      </c>
      <c r="E4189" t="str">
        <f t="shared" si="219"/>
        <v>019</v>
      </c>
      <c r="F4189" t="s">
        <v>4278</v>
      </c>
      <c r="G4189" t="str">
        <f>"0048"</f>
        <v>0048</v>
      </c>
      <c r="H4189" t="str">
        <f>"0000"</f>
        <v>0000</v>
      </c>
      <c r="I4189" t="s">
        <v>69</v>
      </c>
      <c r="J4189">
        <v>0</v>
      </c>
      <c r="K4189">
        <v>1</v>
      </c>
      <c r="L4189">
        <v>2</v>
      </c>
      <c r="M4189">
        <v>147</v>
      </c>
      <c r="N4189">
        <v>293</v>
      </c>
      <c r="O4189">
        <v>4</v>
      </c>
      <c r="P4189">
        <v>293</v>
      </c>
      <c r="Q4189">
        <v>1</v>
      </c>
      <c r="R4189">
        <v>90</v>
      </c>
      <c r="S4189">
        <v>2</v>
      </c>
      <c r="T4189">
        <v>5</v>
      </c>
      <c r="U4189">
        <v>10</v>
      </c>
      <c r="V4189">
        <v>1</v>
      </c>
      <c r="W4189">
        <v>1</v>
      </c>
      <c r="X4189">
        <v>155</v>
      </c>
      <c r="Y4189">
        <v>0</v>
      </c>
      <c r="Z4189">
        <v>1</v>
      </c>
      <c r="AA4189">
        <v>2</v>
      </c>
      <c r="AB4189">
        <v>4</v>
      </c>
      <c r="AD4189">
        <v>4</v>
      </c>
      <c r="AE4189">
        <v>0</v>
      </c>
      <c r="AF4189">
        <v>1</v>
      </c>
      <c r="AG4189">
        <v>2</v>
      </c>
      <c r="AI4189">
        <v>0</v>
      </c>
      <c r="AJ4189">
        <v>14</v>
      </c>
      <c r="AK4189">
        <v>293</v>
      </c>
      <c r="AL4189">
        <v>293</v>
      </c>
      <c r="AM4189">
        <v>397</v>
      </c>
      <c r="AN4189">
        <v>44</v>
      </c>
      <c r="AP4189">
        <v>1</v>
      </c>
      <c r="AR4189" t="s">
        <v>4289</v>
      </c>
      <c r="AS4189" s="1">
        <v>44354.142361111109</v>
      </c>
      <c r="AT4189" s="1">
        <v>44354.143136574072</v>
      </c>
      <c r="AU4189" s="1">
        <v>44354.143796296295</v>
      </c>
      <c r="AV4189" t="s">
        <v>71</v>
      </c>
      <c r="AW4189" t="s">
        <v>72</v>
      </c>
      <c r="AX4189" t="s">
        <v>73</v>
      </c>
    </row>
    <row r="4190" spans="1:50" x14ac:dyDescent="0.3">
      <c r="A4190" t="str">
        <f>"200048C0100"</f>
        <v>200048C0100</v>
      </c>
      <c r="B4190" t="str">
        <f>"200048C01002"</f>
        <v>200048C01002</v>
      </c>
      <c r="C4190" t="str">
        <f t="shared" si="217"/>
        <v>20</v>
      </c>
      <c r="D4190" t="s">
        <v>67</v>
      </c>
      <c r="E4190" t="str">
        <f t="shared" si="219"/>
        <v>019</v>
      </c>
      <c r="F4190" t="s">
        <v>4278</v>
      </c>
      <c r="G4190" t="str">
        <f>"0048"</f>
        <v>0048</v>
      </c>
      <c r="H4190" t="str">
        <f>"0001"</f>
        <v>0001</v>
      </c>
      <c r="I4190" t="s">
        <v>75</v>
      </c>
      <c r="J4190">
        <v>0</v>
      </c>
      <c r="K4190">
        <v>1</v>
      </c>
      <c r="L4190">
        <v>2</v>
      </c>
      <c r="M4190">
        <v>133</v>
      </c>
      <c r="N4190">
        <v>308</v>
      </c>
      <c r="O4190">
        <v>0</v>
      </c>
      <c r="P4190">
        <v>308</v>
      </c>
      <c r="Q4190">
        <v>3</v>
      </c>
      <c r="R4190">
        <v>84</v>
      </c>
      <c r="S4190">
        <v>1</v>
      </c>
      <c r="T4190">
        <v>3</v>
      </c>
      <c r="U4190">
        <v>9</v>
      </c>
      <c r="V4190">
        <v>0</v>
      </c>
      <c r="W4190">
        <v>1</v>
      </c>
      <c r="X4190">
        <v>198</v>
      </c>
      <c r="Y4190">
        <v>0</v>
      </c>
      <c r="Z4190">
        <v>0</v>
      </c>
      <c r="AA4190">
        <v>2</v>
      </c>
      <c r="AB4190">
        <v>1</v>
      </c>
      <c r="AD4190">
        <v>1</v>
      </c>
      <c r="AE4190">
        <v>0</v>
      </c>
      <c r="AF4190">
        <v>0</v>
      </c>
      <c r="AG4190">
        <v>0</v>
      </c>
      <c r="AI4190">
        <v>0</v>
      </c>
      <c r="AJ4190">
        <v>5</v>
      </c>
      <c r="AK4190">
        <v>308</v>
      </c>
      <c r="AL4190">
        <v>308</v>
      </c>
      <c r="AM4190">
        <v>397</v>
      </c>
      <c r="AN4190">
        <v>44</v>
      </c>
      <c r="AP4190">
        <v>1</v>
      </c>
      <c r="AR4190" t="s">
        <v>4290</v>
      </c>
      <c r="AS4190" s="1">
        <v>44354.470138888886</v>
      </c>
      <c r="AT4190" s="1">
        <v>44354.478668981479</v>
      </c>
      <c r="AU4190" s="1">
        <v>44354.47928240741</v>
      </c>
      <c r="AV4190" t="s">
        <v>71</v>
      </c>
      <c r="AW4190" t="s">
        <v>72</v>
      </c>
      <c r="AX4190" t="s">
        <v>73</v>
      </c>
    </row>
    <row r="4191" spans="1:50" x14ac:dyDescent="0.3">
      <c r="A4191" t="str">
        <f>"200049B0000"</f>
        <v>200049B0000</v>
      </c>
      <c r="B4191" t="str">
        <f>"200049B00002"</f>
        <v>200049B00002</v>
      </c>
      <c r="C4191" t="str">
        <f t="shared" si="217"/>
        <v>20</v>
      </c>
      <c r="D4191" t="s">
        <v>67</v>
      </c>
      <c r="E4191" t="str">
        <f t="shared" si="219"/>
        <v>019</v>
      </c>
      <c r="F4191" t="s">
        <v>4278</v>
      </c>
      <c r="G4191" t="str">
        <f>"0049"</f>
        <v>0049</v>
      </c>
      <c r="H4191" t="str">
        <f>"0000"</f>
        <v>0000</v>
      </c>
      <c r="I4191" t="s">
        <v>69</v>
      </c>
      <c r="J4191">
        <v>0</v>
      </c>
      <c r="K4191">
        <v>1</v>
      </c>
      <c r="L4191">
        <v>2</v>
      </c>
      <c r="M4191">
        <v>203</v>
      </c>
      <c r="N4191">
        <v>371</v>
      </c>
      <c r="O4191">
        <v>2</v>
      </c>
      <c r="P4191">
        <v>371</v>
      </c>
      <c r="Q4191">
        <v>2</v>
      </c>
      <c r="R4191">
        <v>94</v>
      </c>
      <c r="S4191">
        <v>0</v>
      </c>
      <c r="T4191">
        <v>2</v>
      </c>
      <c r="U4191">
        <v>17</v>
      </c>
      <c r="V4191">
        <v>1</v>
      </c>
      <c r="W4191">
        <v>1</v>
      </c>
      <c r="X4191">
        <v>227</v>
      </c>
      <c r="Y4191">
        <v>1</v>
      </c>
      <c r="Z4191">
        <v>2</v>
      </c>
      <c r="AA4191">
        <v>5</v>
      </c>
      <c r="AB4191">
        <v>5</v>
      </c>
      <c r="AD4191" t="s">
        <v>77</v>
      </c>
      <c r="AE4191" t="s">
        <v>77</v>
      </c>
      <c r="AF4191" t="s">
        <v>77</v>
      </c>
      <c r="AG4191" t="s">
        <v>77</v>
      </c>
      <c r="AI4191" t="s">
        <v>77</v>
      </c>
      <c r="AJ4191">
        <v>14</v>
      </c>
      <c r="AK4191">
        <v>371</v>
      </c>
      <c r="AL4191">
        <v>371</v>
      </c>
      <c r="AM4191">
        <v>530</v>
      </c>
      <c r="AN4191">
        <v>44</v>
      </c>
      <c r="AO4191" t="s">
        <v>78</v>
      </c>
      <c r="AP4191">
        <v>1</v>
      </c>
      <c r="AR4191" t="s">
        <v>4291</v>
      </c>
      <c r="AS4191" s="1">
        <v>44354.495833333334</v>
      </c>
      <c r="AT4191" s="1">
        <v>44354.497418981482</v>
      </c>
      <c r="AU4191" s="1">
        <v>44354.498124999998</v>
      </c>
      <c r="AV4191" t="s">
        <v>71</v>
      </c>
      <c r="AW4191" t="s">
        <v>72</v>
      </c>
      <c r="AX4191" t="s">
        <v>73</v>
      </c>
    </row>
    <row r="4192" spans="1:50" x14ac:dyDescent="0.3">
      <c r="A4192" t="str">
        <f>"200049C0100"</f>
        <v>200049C0100</v>
      </c>
      <c r="B4192" t="str">
        <f>"200049C01002"</f>
        <v>200049C01002</v>
      </c>
      <c r="C4192" t="str">
        <f t="shared" si="217"/>
        <v>20</v>
      </c>
      <c r="D4192" t="s">
        <v>67</v>
      </c>
      <c r="E4192" t="str">
        <f t="shared" si="219"/>
        <v>019</v>
      </c>
      <c r="F4192" t="s">
        <v>4278</v>
      </c>
      <c r="G4192" t="str">
        <f>"0049"</f>
        <v>0049</v>
      </c>
      <c r="H4192" t="str">
        <f>"0001"</f>
        <v>0001</v>
      </c>
      <c r="I4192" t="s">
        <v>75</v>
      </c>
      <c r="J4192">
        <v>0</v>
      </c>
      <c r="K4192">
        <v>1</v>
      </c>
      <c r="L4192">
        <v>2</v>
      </c>
      <c r="AM4192">
        <v>529</v>
      </c>
      <c r="AN4192">
        <v>44</v>
      </c>
      <c r="AO4192" t="s">
        <v>352</v>
      </c>
      <c r="AP4192">
        <v>0</v>
      </c>
      <c r="AR4192" t="s">
        <v>4292</v>
      </c>
      <c r="AS4192" s="1">
        <v>44354.654166666667</v>
      </c>
      <c r="AT4192" s="1">
        <v>44354.657337962963</v>
      </c>
      <c r="AU4192" s="1">
        <v>44354.657337962963</v>
      </c>
      <c r="AV4192" t="s">
        <v>71</v>
      </c>
      <c r="AW4192" t="s">
        <v>72</v>
      </c>
      <c r="AX4192" t="s">
        <v>73</v>
      </c>
    </row>
    <row r="4193" spans="1:50" x14ac:dyDescent="0.3">
      <c r="A4193" t="str">
        <f>"200050B0000"</f>
        <v>200050B0000</v>
      </c>
      <c r="B4193" t="str">
        <f>"200050B00002"</f>
        <v>200050B00002</v>
      </c>
      <c r="C4193" t="str">
        <f t="shared" si="217"/>
        <v>20</v>
      </c>
      <c r="D4193" t="s">
        <v>67</v>
      </c>
      <c r="E4193" t="str">
        <f t="shared" si="219"/>
        <v>019</v>
      </c>
      <c r="F4193" t="s">
        <v>4278</v>
      </c>
      <c r="G4193" t="str">
        <f>"0050"</f>
        <v>0050</v>
      </c>
      <c r="H4193" t="str">
        <f>"0000"</f>
        <v>0000</v>
      </c>
      <c r="I4193" t="s">
        <v>69</v>
      </c>
      <c r="J4193">
        <v>0</v>
      </c>
      <c r="K4193">
        <v>1</v>
      </c>
      <c r="L4193">
        <v>2</v>
      </c>
      <c r="M4193">
        <v>252</v>
      </c>
      <c r="N4193">
        <v>517</v>
      </c>
      <c r="O4193">
        <v>1</v>
      </c>
      <c r="P4193">
        <v>517</v>
      </c>
      <c r="Q4193">
        <v>8</v>
      </c>
      <c r="R4193">
        <v>171</v>
      </c>
      <c r="S4193">
        <v>2</v>
      </c>
      <c r="T4193">
        <v>9</v>
      </c>
      <c r="U4193">
        <v>11</v>
      </c>
      <c r="V4193">
        <v>2</v>
      </c>
      <c r="W4193">
        <v>3</v>
      </c>
      <c r="X4193">
        <v>255</v>
      </c>
      <c r="Y4193">
        <v>0</v>
      </c>
      <c r="Z4193">
        <v>4</v>
      </c>
      <c r="AA4193">
        <v>5</v>
      </c>
      <c r="AB4193">
        <v>26</v>
      </c>
      <c r="AD4193">
        <v>3</v>
      </c>
      <c r="AE4193">
        <v>0</v>
      </c>
      <c r="AF4193">
        <v>0</v>
      </c>
      <c r="AG4193">
        <v>1</v>
      </c>
      <c r="AI4193">
        <v>0</v>
      </c>
      <c r="AJ4193">
        <v>17</v>
      </c>
      <c r="AK4193">
        <v>517</v>
      </c>
      <c r="AL4193">
        <v>517</v>
      </c>
      <c r="AM4193">
        <v>725</v>
      </c>
      <c r="AN4193">
        <v>44</v>
      </c>
      <c r="AP4193">
        <v>1</v>
      </c>
      <c r="AR4193" t="s">
        <v>4293</v>
      </c>
      <c r="AS4193" s="1">
        <v>44354.152083333334</v>
      </c>
      <c r="AT4193" s="1">
        <v>44354.154861111114</v>
      </c>
      <c r="AU4193" s="1">
        <v>44354.155543981484</v>
      </c>
      <c r="AV4193" t="s">
        <v>71</v>
      </c>
      <c r="AW4193" t="s">
        <v>72</v>
      </c>
      <c r="AX4193" t="s">
        <v>73</v>
      </c>
    </row>
    <row r="4194" spans="1:50" x14ac:dyDescent="0.3">
      <c r="A4194" t="str">
        <f>"200051B0000"</f>
        <v>200051B0000</v>
      </c>
      <c r="B4194" t="str">
        <f>"200051B00002"</f>
        <v>200051B00002</v>
      </c>
      <c r="C4194" t="str">
        <f t="shared" si="217"/>
        <v>20</v>
      </c>
      <c r="D4194" t="s">
        <v>67</v>
      </c>
      <c r="E4194" t="str">
        <f t="shared" si="219"/>
        <v>019</v>
      </c>
      <c r="F4194" t="s">
        <v>4278</v>
      </c>
      <c r="G4194" t="str">
        <f>"0051"</f>
        <v>0051</v>
      </c>
      <c r="H4194" t="str">
        <f>"0000"</f>
        <v>0000</v>
      </c>
      <c r="I4194" t="s">
        <v>69</v>
      </c>
      <c r="J4194">
        <v>0</v>
      </c>
      <c r="K4194">
        <v>1</v>
      </c>
      <c r="L4194">
        <v>2</v>
      </c>
      <c r="M4194">
        <v>121</v>
      </c>
      <c r="N4194">
        <v>427</v>
      </c>
      <c r="O4194">
        <v>1</v>
      </c>
      <c r="P4194" t="s">
        <v>80</v>
      </c>
      <c r="Q4194">
        <v>1</v>
      </c>
      <c r="R4194">
        <v>254</v>
      </c>
      <c r="S4194">
        <v>6</v>
      </c>
      <c r="T4194">
        <v>7</v>
      </c>
      <c r="U4194">
        <v>6</v>
      </c>
      <c r="V4194">
        <v>2</v>
      </c>
      <c r="W4194">
        <v>0</v>
      </c>
      <c r="X4194">
        <v>124</v>
      </c>
      <c r="Y4194">
        <v>0</v>
      </c>
      <c r="Z4194">
        <v>8</v>
      </c>
      <c r="AA4194">
        <v>8</v>
      </c>
      <c r="AB4194">
        <v>2</v>
      </c>
      <c r="AD4194">
        <v>2</v>
      </c>
      <c r="AE4194">
        <v>0</v>
      </c>
      <c r="AF4194">
        <v>0</v>
      </c>
      <c r="AG4194">
        <v>0</v>
      </c>
      <c r="AI4194">
        <v>0</v>
      </c>
      <c r="AJ4194">
        <v>6</v>
      </c>
      <c r="AK4194">
        <v>426</v>
      </c>
      <c r="AL4194">
        <v>426</v>
      </c>
      <c r="AM4194">
        <v>504</v>
      </c>
      <c r="AN4194">
        <v>44</v>
      </c>
      <c r="AP4194">
        <v>1</v>
      </c>
      <c r="AR4194" t="s">
        <v>4294</v>
      </c>
      <c r="AS4194" s="1">
        <v>44354.495138888888</v>
      </c>
      <c r="AT4194" s="1">
        <v>44354.496539351851</v>
      </c>
      <c r="AU4194" s="1">
        <v>44354.497627314813</v>
      </c>
      <c r="AV4194" t="s">
        <v>71</v>
      </c>
      <c r="AW4194" t="s">
        <v>72</v>
      </c>
      <c r="AX4194" t="s">
        <v>73</v>
      </c>
    </row>
    <row r="4195" spans="1:50" x14ac:dyDescent="0.3">
      <c r="A4195" t="str">
        <f>"200051C0100"</f>
        <v>200051C0100</v>
      </c>
      <c r="B4195" t="str">
        <f>"200051C01002"</f>
        <v>200051C01002</v>
      </c>
      <c r="C4195" t="str">
        <f t="shared" si="217"/>
        <v>20</v>
      </c>
      <c r="D4195" t="s">
        <v>67</v>
      </c>
      <c r="E4195" t="str">
        <f t="shared" si="219"/>
        <v>019</v>
      </c>
      <c r="F4195" t="s">
        <v>4278</v>
      </c>
      <c r="G4195" t="str">
        <f>"0051"</f>
        <v>0051</v>
      </c>
      <c r="H4195" t="str">
        <f>"0001"</f>
        <v>0001</v>
      </c>
      <c r="I4195" t="s">
        <v>75</v>
      </c>
      <c r="J4195">
        <v>0</v>
      </c>
      <c r="K4195">
        <v>1</v>
      </c>
      <c r="L4195">
        <v>2</v>
      </c>
      <c r="M4195">
        <v>144</v>
      </c>
      <c r="N4195" t="s">
        <v>99</v>
      </c>
      <c r="O4195" t="s">
        <v>99</v>
      </c>
      <c r="P4195" t="s">
        <v>99</v>
      </c>
      <c r="Q4195">
        <v>4</v>
      </c>
      <c r="R4195" t="s">
        <v>99</v>
      </c>
      <c r="S4195">
        <v>2</v>
      </c>
      <c r="T4195">
        <v>1</v>
      </c>
      <c r="U4195">
        <v>7</v>
      </c>
      <c r="V4195">
        <v>0</v>
      </c>
      <c r="W4195">
        <v>0</v>
      </c>
      <c r="X4195">
        <v>116</v>
      </c>
      <c r="Y4195">
        <v>0</v>
      </c>
      <c r="Z4195">
        <v>3</v>
      </c>
      <c r="AA4195">
        <v>1</v>
      </c>
      <c r="AB4195">
        <v>3</v>
      </c>
      <c r="AD4195">
        <v>3</v>
      </c>
      <c r="AE4195">
        <v>0</v>
      </c>
      <c r="AF4195">
        <v>0</v>
      </c>
      <c r="AG4195">
        <v>1</v>
      </c>
      <c r="AI4195">
        <v>0</v>
      </c>
      <c r="AJ4195">
        <v>4</v>
      </c>
      <c r="AK4195">
        <v>401</v>
      </c>
      <c r="AL4195">
        <v>145</v>
      </c>
      <c r="AM4195">
        <v>504</v>
      </c>
      <c r="AN4195">
        <v>44</v>
      </c>
      <c r="AO4195" t="s">
        <v>78</v>
      </c>
      <c r="AP4195">
        <v>1</v>
      </c>
      <c r="AR4195" t="s">
        <v>4295</v>
      </c>
      <c r="AS4195" s="1">
        <v>44354.495833333334</v>
      </c>
      <c r="AT4195" s="1">
        <v>44354.536597222221</v>
      </c>
      <c r="AU4195" s="1">
        <v>44354.542222222219</v>
      </c>
      <c r="AV4195" t="s">
        <v>71</v>
      </c>
      <c r="AW4195" t="s">
        <v>72</v>
      </c>
      <c r="AX4195" t="s">
        <v>73</v>
      </c>
    </row>
    <row r="4196" spans="1:50" x14ac:dyDescent="0.3">
      <c r="A4196" t="str">
        <f>"200052B0000"</f>
        <v>200052B0000</v>
      </c>
      <c r="B4196" t="str">
        <f>"200052B00002"</f>
        <v>200052B00002</v>
      </c>
      <c r="C4196" t="str">
        <f t="shared" si="217"/>
        <v>20</v>
      </c>
      <c r="D4196" t="s">
        <v>67</v>
      </c>
      <c r="E4196" t="str">
        <f t="shared" si="219"/>
        <v>019</v>
      </c>
      <c r="F4196" t="s">
        <v>4278</v>
      </c>
      <c r="G4196" t="str">
        <f>"0052"</f>
        <v>0052</v>
      </c>
      <c r="H4196" t="str">
        <f>"0000"</f>
        <v>0000</v>
      </c>
      <c r="I4196" t="s">
        <v>69</v>
      </c>
      <c r="J4196">
        <v>0</v>
      </c>
      <c r="K4196">
        <v>1</v>
      </c>
      <c r="L4196">
        <v>2</v>
      </c>
      <c r="M4196">
        <v>165</v>
      </c>
      <c r="N4196">
        <v>314</v>
      </c>
      <c r="O4196">
        <v>0</v>
      </c>
      <c r="P4196">
        <v>314</v>
      </c>
      <c r="Q4196">
        <v>1</v>
      </c>
      <c r="R4196">
        <v>105</v>
      </c>
      <c r="S4196">
        <v>2</v>
      </c>
      <c r="T4196">
        <v>1</v>
      </c>
      <c r="U4196">
        <v>3</v>
      </c>
      <c r="V4196">
        <v>0</v>
      </c>
      <c r="W4196">
        <v>0</v>
      </c>
      <c r="X4196">
        <v>181</v>
      </c>
      <c r="Y4196">
        <v>0</v>
      </c>
      <c r="Z4196">
        <v>2</v>
      </c>
      <c r="AA4196">
        <v>0</v>
      </c>
      <c r="AB4196">
        <v>5</v>
      </c>
      <c r="AD4196">
        <v>0</v>
      </c>
      <c r="AE4196">
        <v>0</v>
      </c>
      <c r="AF4196">
        <v>0</v>
      </c>
      <c r="AG4196">
        <v>0</v>
      </c>
      <c r="AI4196">
        <v>1</v>
      </c>
      <c r="AJ4196">
        <v>13</v>
      </c>
      <c r="AK4196">
        <v>314</v>
      </c>
      <c r="AL4196">
        <v>314</v>
      </c>
      <c r="AM4196">
        <v>435</v>
      </c>
      <c r="AN4196">
        <v>44</v>
      </c>
      <c r="AP4196">
        <v>1</v>
      </c>
      <c r="AR4196" t="s">
        <v>4296</v>
      </c>
      <c r="AS4196" s="1">
        <v>44354.49722222222</v>
      </c>
      <c r="AT4196" s="1">
        <v>44354.498483796298</v>
      </c>
      <c r="AU4196" s="1">
        <v>44354.498969907407</v>
      </c>
      <c r="AV4196" t="s">
        <v>71</v>
      </c>
      <c r="AW4196" t="s">
        <v>72</v>
      </c>
      <c r="AX4196" t="s">
        <v>73</v>
      </c>
    </row>
    <row r="4197" spans="1:50" x14ac:dyDescent="0.3">
      <c r="A4197" t="str">
        <f>"200052C0100"</f>
        <v>200052C0100</v>
      </c>
      <c r="B4197" t="str">
        <f>"200052C01002"</f>
        <v>200052C01002</v>
      </c>
      <c r="C4197" t="str">
        <f t="shared" si="217"/>
        <v>20</v>
      </c>
      <c r="D4197" t="s">
        <v>67</v>
      </c>
      <c r="E4197" t="str">
        <f t="shared" si="219"/>
        <v>019</v>
      </c>
      <c r="F4197" t="s">
        <v>4278</v>
      </c>
      <c r="G4197" t="str">
        <f>"0052"</f>
        <v>0052</v>
      </c>
      <c r="H4197" t="str">
        <f>"0001"</f>
        <v>0001</v>
      </c>
      <c r="I4197" t="s">
        <v>75</v>
      </c>
      <c r="J4197">
        <v>0</v>
      </c>
      <c r="K4197">
        <v>1</v>
      </c>
      <c r="L4197">
        <v>2</v>
      </c>
      <c r="M4197">
        <v>153</v>
      </c>
      <c r="N4197">
        <v>326</v>
      </c>
      <c r="O4197">
        <v>0</v>
      </c>
      <c r="P4197">
        <v>326</v>
      </c>
      <c r="Q4197">
        <v>0</v>
      </c>
      <c r="R4197">
        <v>112</v>
      </c>
      <c r="S4197">
        <v>0</v>
      </c>
      <c r="T4197">
        <v>2</v>
      </c>
      <c r="U4197">
        <v>4</v>
      </c>
      <c r="V4197">
        <v>0</v>
      </c>
      <c r="W4197">
        <v>0</v>
      </c>
      <c r="X4197">
        <v>188</v>
      </c>
      <c r="Y4197">
        <v>0</v>
      </c>
      <c r="Z4197">
        <v>3</v>
      </c>
      <c r="AA4197">
        <v>3</v>
      </c>
      <c r="AB4197">
        <v>6</v>
      </c>
      <c r="AD4197">
        <v>2</v>
      </c>
      <c r="AE4197">
        <v>0</v>
      </c>
      <c r="AF4197">
        <v>0</v>
      </c>
      <c r="AG4197">
        <v>0</v>
      </c>
      <c r="AI4197">
        <v>0</v>
      </c>
      <c r="AJ4197">
        <v>6</v>
      </c>
      <c r="AK4197">
        <v>326</v>
      </c>
      <c r="AL4197">
        <v>326</v>
      </c>
      <c r="AM4197">
        <v>435</v>
      </c>
      <c r="AN4197">
        <v>44</v>
      </c>
      <c r="AP4197">
        <v>1</v>
      </c>
      <c r="AR4197" t="s">
        <v>4297</v>
      </c>
      <c r="AS4197" s="1">
        <v>44354.352777777778</v>
      </c>
      <c r="AT4197" s="1">
        <v>44354.353645833333</v>
      </c>
      <c r="AU4197" s="1">
        <v>44354.354594907411</v>
      </c>
      <c r="AV4197" t="s">
        <v>71</v>
      </c>
      <c r="AW4197" t="s">
        <v>72</v>
      </c>
      <c r="AX4197" t="s">
        <v>73</v>
      </c>
    </row>
    <row r="4198" spans="1:50" x14ac:dyDescent="0.3">
      <c r="A4198" t="str">
        <f>"200053B0000"</f>
        <v>200053B0000</v>
      </c>
      <c r="B4198" t="str">
        <f>"200053B00002"</f>
        <v>200053B00002</v>
      </c>
      <c r="C4198" t="str">
        <f t="shared" si="217"/>
        <v>20</v>
      </c>
      <c r="D4198" t="s">
        <v>67</v>
      </c>
      <c r="E4198" t="str">
        <f t="shared" si="219"/>
        <v>019</v>
      </c>
      <c r="F4198" t="s">
        <v>4278</v>
      </c>
      <c r="G4198" t="str">
        <f>"0053"</f>
        <v>0053</v>
      </c>
      <c r="H4198" t="str">
        <f>"0000"</f>
        <v>0000</v>
      </c>
      <c r="I4198" t="s">
        <v>69</v>
      </c>
      <c r="J4198">
        <v>0</v>
      </c>
      <c r="K4198">
        <v>1</v>
      </c>
      <c r="L4198">
        <v>2</v>
      </c>
      <c r="M4198">
        <v>193</v>
      </c>
      <c r="N4198">
        <v>525</v>
      </c>
      <c r="O4198">
        <v>0</v>
      </c>
      <c r="P4198">
        <v>527</v>
      </c>
      <c r="Q4198">
        <v>1</v>
      </c>
      <c r="R4198">
        <v>271</v>
      </c>
      <c r="S4198">
        <v>1</v>
      </c>
      <c r="T4198">
        <v>4</v>
      </c>
      <c r="U4198">
        <v>33</v>
      </c>
      <c r="V4198">
        <v>3</v>
      </c>
      <c r="W4198">
        <v>2</v>
      </c>
      <c r="X4198">
        <v>193</v>
      </c>
      <c r="Y4198" t="s">
        <v>77</v>
      </c>
      <c r="Z4198">
        <v>2</v>
      </c>
      <c r="AA4198">
        <v>8</v>
      </c>
      <c r="AB4198" t="s">
        <v>77</v>
      </c>
      <c r="AD4198">
        <v>0</v>
      </c>
      <c r="AE4198">
        <v>0</v>
      </c>
      <c r="AF4198">
        <v>0</v>
      </c>
      <c r="AG4198">
        <v>0</v>
      </c>
      <c r="AI4198">
        <v>0</v>
      </c>
      <c r="AJ4198">
        <v>9</v>
      </c>
      <c r="AK4198" t="s">
        <v>99</v>
      </c>
      <c r="AL4198">
        <v>527</v>
      </c>
      <c r="AM4198">
        <v>676</v>
      </c>
      <c r="AN4198">
        <v>44</v>
      </c>
      <c r="AO4198" t="s">
        <v>78</v>
      </c>
      <c r="AP4198">
        <v>1</v>
      </c>
      <c r="AR4198" t="s">
        <v>4298</v>
      </c>
      <c r="AS4198" s="1">
        <v>44354.519444444442</v>
      </c>
      <c r="AT4198" s="1">
        <v>44354.520740740743</v>
      </c>
      <c r="AU4198" s="1">
        <v>44354.52202546296</v>
      </c>
      <c r="AV4198" t="s">
        <v>71</v>
      </c>
      <c r="AW4198" t="s">
        <v>72</v>
      </c>
      <c r="AX4198" t="s">
        <v>73</v>
      </c>
    </row>
    <row r="4199" spans="1:50" x14ac:dyDescent="0.3">
      <c r="A4199" t="str">
        <f>"200053E0100"</f>
        <v>200053E0100</v>
      </c>
      <c r="B4199" t="str">
        <f>"200053E01002"</f>
        <v>200053E01002</v>
      </c>
      <c r="C4199" t="str">
        <f t="shared" si="217"/>
        <v>20</v>
      </c>
      <c r="D4199" t="s">
        <v>67</v>
      </c>
      <c r="E4199" t="str">
        <f t="shared" si="219"/>
        <v>019</v>
      </c>
      <c r="F4199" t="s">
        <v>4278</v>
      </c>
      <c r="G4199" t="str">
        <f>"0053"</f>
        <v>0053</v>
      </c>
      <c r="H4199" t="str">
        <f>"0001"</f>
        <v>0001</v>
      </c>
      <c r="I4199" t="s">
        <v>109</v>
      </c>
      <c r="J4199">
        <v>0</v>
      </c>
      <c r="K4199">
        <v>1</v>
      </c>
      <c r="L4199">
        <v>2</v>
      </c>
      <c r="M4199">
        <v>140</v>
      </c>
      <c r="N4199">
        <v>182</v>
      </c>
      <c r="O4199">
        <v>5</v>
      </c>
      <c r="P4199">
        <v>182</v>
      </c>
      <c r="Q4199">
        <v>5</v>
      </c>
      <c r="R4199">
        <v>49</v>
      </c>
      <c r="S4199">
        <v>0</v>
      </c>
      <c r="T4199">
        <v>0</v>
      </c>
      <c r="U4199">
        <v>33</v>
      </c>
      <c r="V4199">
        <v>0</v>
      </c>
      <c r="W4199">
        <v>1</v>
      </c>
      <c r="X4199">
        <v>75</v>
      </c>
      <c r="Y4199">
        <v>1</v>
      </c>
      <c r="Z4199">
        <v>1</v>
      </c>
      <c r="AA4199">
        <v>8</v>
      </c>
      <c r="AB4199">
        <v>8</v>
      </c>
      <c r="AD4199">
        <v>0</v>
      </c>
      <c r="AE4199">
        <v>0</v>
      </c>
      <c r="AF4199">
        <v>0</v>
      </c>
      <c r="AG4199">
        <v>0</v>
      </c>
      <c r="AI4199">
        <v>0</v>
      </c>
      <c r="AJ4199">
        <v>8</v>
      </c>
      <c r="AK4199">
        <v>182</v>
      </c>
      <c r="AL4199">
        <v>189</v>
      </c>
      <c r="AM4199">
        <v>278</v>
      </c>
      <c r="AN4199">
        <v>44</v>
      </c>
      <c r="AP4199">
        <v>1</v>
      </c>
      <c r="AR4199" t="s">
        <v>4299</v>
      </c>
      <c r="AS4199" s="1">
        <v>44354.51666666667</v>
      </c>
      <c r="AT4199" s="1">
        <v>44354.51803240741</v>
      </c>
      <c r="AU4199" s="1">
        <v>44354.518923611111</v>
      </c>
      <c r="AV4199" t="s">
        <v>71</v>
      </c>
      <c r="AW4199" t="s">
        <v>72</v>
      </c>
      <c r="AX4199" t="s">
        <v>73</v>
      </c>
    </row>
    <row r="4200" spans="1:50" x14ac:dyDescent="0.3">
      <c r="A4200" t="str">
        <f>"200054B0000"</f>
        <v>200054B0000</v>
      </c>
      <c r="B4200" t="str">
        <f>"200054B00002"</f>
        <v>200054B00002</v>
      </c>
      <c r="C4200" t="str">
        <f t="shared" si="217"/>
        <v>20</v>
      </c>
      <c r="D4200" t="s">
        <v>67</v>
      </c>
      <c r="E4200" t="str">
        <f t="shared" si="219"/>
        <v>019</v>
      </c>
      <c r="F4200" t="s">
        <v>4278</v>
      </c>
      <c r="G4200" t="str">
        <f>"0054"</f>
        <v>0054</v>
      </c>
      <c r="H4200" t="str">
        <f>"0000"</f>
        <v>0000</v>
      </c>
      <c r="I4200" t="s">
        <v>69</v>
      </c>
      <c r="J4200">
        <v>0</v>
      </c>
      <c r="K4200">
        <v>1</v>
      </c>
      <c r="L4200">
        <v>2</v>
      </c>
      <c r="M4200">
        <v>184</v>
      </c>
      <c r="N4200">
        <v>529</v>
      </c>
      <c r="O4200">
        <v>1</v>
      </c>
      <c r="P4200">
        <v>0</v>
      </c>
      <c r="Q4200">
        <v>8</v>
      </c>
      <c r="R4200">
        <v>200</v>
      </c>
      <c r="S4200">
        <v>2</v>
      </c>
      <c r="T4200">
        <v>3</v>
      </c>
      <c r="U4200">
        <v>10</v>
      </c>
      <c r="V4200">
        <v>0</v>
      </c>
      <c r="W4200">
        <v>1</v>
      </c>
      <c r="X4200">
        <v>274</v>
      </c>
      <c r="Y4200">
        <v>0</v>
      </c>
      <c r="Z4200">
        <v>1</v>
      </c>
      <c r="AA4200">
        <v>1</v>
      </c>
      <c r="AB4200">
        <v>8</v>
      </c>
      <c r="AD4200">
        <v>7</v>
      </c>
      <c r="AE4200">
        <v>0</v>
      </c>
      <c r="AF4200">
        <v>0</v>
      </c>
      <c r="AG4200">
        <v>0</v>
      </c>
      <c r="AI4200">
        <v>0</v>
      </c>
      <c r="AJ4200">
        <v>14</v>
      </c>
      <c r="AK4200">
        <v>529</v>
      </c>
      <c r="AL4200">
        <v>529</v>
      </c>
      <c r="AM4200">
        <v>669</v>
      </c>
      <c r="AN4200">
        <v>44</v>
      </c>
      <c r="AP4200">
        <v>1</v>
      </c>
      <c r="AR4200" t="s">
        <v>4300</v>
      </c>
      <c r="AS4200" s="1">
        <v>44354.527083333334</v>
      </c>
      <c r="AT4200" s="1">
        <v>44354.529467592591</v>
      </c>
      <c r="AU4200" s="1">
        <v>44354.530752314815</v>
      </c>
      <c r="AV4200" t="s">
        <v>71</v>
      </c>
      <c r="AW4200" t="s">
        <v>72</v>
      </c>
      <c r="AX4200" t="s">
        <v>73</v>
      </c>
    </row>
    <row r="4201" spans="1:50" x14ac:dyDescent="0.3">
      <c r="A4201" t="str">
        <f>"200054E0100"</f>
        <v>200054E0100</v>
      </c>
      <c r="B4201" t="str">
        <f>"200054E01002"</f>
        <v>200054E01002</v>
      </c>
      <c r="C4201" t="str">
        <f t="shared" si="217"/>
        <v>20</v>
      </c>
      <c r="D4201" t="s">
        <v>67</v>
      </c>
      <c r="E4201" t="str">
        <f t="shared" si="219"/>
        <v>019</v>
      </c>
      <c r="F4201" t="s">
        <v>4278</v>
      </c>
      <c r="G4201" t="str">
        <f>"0054"</f>
        <v>0054</v>
      </c>
      <c r="H4201" t="str">
        <f>"0001"</f>
        <v>0001</v>
      </c>
      <c r="I4201" t="s">
        <v>109</v>
      </c>
      <c r="J4201">
        <v>0</v>
      </c>
      <c r="K4201">
        <v>1</v>
      </c>
      <c r="L4201">
        <v>2</v>
      </c>
      <c r="M4201">
        <v>82</v>
      </c>
      <c r="N4201">
        <v>214</v>
      </c>
      <c r="O4201">
        <v>1</v>
      </c>
      <c r="P4201">
        <v>214</v>
      </c>
      <c r="Q4201">
        <v>1</v>
      </c>
      <c r="R4201">
        <v>128</v>
      </c>
      <c r="S4201">
        <v>2</v>
      </c>
      <c r="T4201">
        <v>0</v>
      </c>
      <c r="U4201">
        <v>6</v>
      </c>
      <c r="V4201">
        <v>0</v>
      </c>
      <c r="W4201">
        <v>0</v>
      </c>
      <c r="X4201">
        <v>71</v>
      </c>
      <c r="Y4201">
        <v>0</v>
      </c>
      <c r="Z4201">
        <v>0</v>
      </c>
      <c r="AA4201">
        <v>2</v>
      </c>
      <c r="AB4201">
        <v>0</v>
      </c>
      <c r="AD4201">
        <v>1</v>
      </c>
      <c r="AE4201">
        <v>0</v>
      </c>
      <c r="AF4201">
        <v>0</v>
      </c>
      <c r="AG4201">
        <v>1</v>
      </c>
      <c r="AI4201">
        <v>0</v>
      </c>
      <c r="AJ4201">
        <v>2</v>
      </c>
      <c r="AK4201">
        <v>214</v>
      </c>
      <c r="AL4201">
        <v>214</v>
      </c>
      <c r="AM4201">
        <v>252</v>
      </c>
      <c r="AN4201">
        <v>44</v>
      </c>
      <c r="AP4201">
        <v>1</v>
      </c>
      <c r="AR4201" t="s">
        <v>4301</v>
      </c>
      <c r="AS4201" s="1">
        <v>44354.470138888886</v>
      </c>
      <c r="AT4201" s="1">
        <v>44354.471446759257</v>
      </c>
      <c r="AU4201" s="1">
        <v>44354.47216435185</v>
      </c>
      <c r="AV4201" t="s">
        <v>71</v>
      </c>
      <c r="AW4201" t="s">
        <v>72</v>
      </c>
      <c r="AX4201" t="s">
        <v>73</v>
      </c>
    </row>
    <row r="4202" spans="1:50" x14ac:dyDescent="0.3">
      <c r="A4202" t="str">
        <f>"200055B0000"</f>
        <v>200055B0000</v>
      </c>
      <c r="B4202" t="str">
        <f>"200055B00002"</f>
        <v>200055B00002</v>
      </c>
      <c r="C4202" t="str">
        <f t="shared" si="217"/>
        <v>20</v>
      </c>
      <c r="D4202" t="s">
        <v>67</v>
      </c>
      <c r="E4202" t="str">
        <f t="shared" si="219"/>
        <v>019</v>
      </c>
      <c r="F4202" t="s">
        <v>4278</v>
      </c>
      <c r="G4202" t="str">
        <f>"0055"</f>
        <v>0055</v>
      </c>
      <c r="H4202" t="str">
        <f>"0000"</f>
        <v>0000</v>
      </c>
      <c r="I4202" t="s">
        <v>69</v>
      </c>
      <c r="J4202">
        <v>0</v>
      </c>
      <c r="K4202">
        <v>1</v>
      </c>
      <c r="L4202">
        <v>2</v>
      </c>
      <c r="M4202">
        <v>83</v>
      </c>
      <c r="N4202">
        <v>174</v>
      </c>
      <c r="O4202">
        <v>2</v>
      </c>
      <c r="P4202">
        <v>174</v>
      </c>
      <c r="Q4202">
        <v>3</v>
      </c>
      <c r="R4202">
        <v>48</v>
      </c>
      <c r="S4202">
        <v>0</v>
      </c>
      <c r="T4202">
        <v>1</v>
      </c>
      <c r="U4202">
        <v>1</v>
      </c>
      <c r="V4202">
        <v>3</v>
      </c>
      <c r="W4202">
        <v>0</v>
      </c>
      <c r="X4202">
        <v>110</v>
      </c>
      <c r="Y4202">
        <v>0</v>
      </c>
      <c r="Z4202">
        <v>2</v>
      </c>
      <c r="AA4202">
        <v>0</v>
      </c>
      <c r="AB4202">
        <v>0</v>
      </c>
      <c r="AD4202">
        <v>1</v>
      </c>
      <c r="AE4202">
        <v>0</v>
      </c>
      <c r="AF4202">
        <v>0</v>
      </c>
      <c r="AG4202">
        <v>1</v>
      </c>
      <c r="AI4202">
        <v>0</v>
      </c>
      <c r="AJ4202">
        <v>4</v>
      </c>
      <c r="AK4202">
        <v>174</v>
      </c>
      <c r="AL4202">
        <v>174</v>
      </c>
      <c r="AM4202">
        <v>213</v>
      </c>
      <c r="AN4202">
        <v>44</v>
      </c>
      <c r="AP4202">
        <v>1</v>
      </c>
      <c r="AR4202" t="s">
        <v>4302</v>
      </c>
      <c r="AS4202" s="1">
        <v>44354.470138888886</v>
      </c>
      <c r="AT4202" s="1">
        <v>44354.471701388888</v>
      </c>
      <c r="AU4202" s="1">
        <v>44354.472187500003</v>
      </c>
      <c r="AV4202" t="s">
        <v>71</v>
      </c>
      <c r="AW4202" t="s">
        <v>72</v>
      </c>
      <c r="AX4202" t="s">
        <v>73</v>
      </c>
    </row>
    <row r="4203" spans="1:50" x14ac:dyDescent="0.3">
      <c r="A4203" t="str">
        <f>"200056B0000"</f>
        <v>200056B0000</v>
      </c>
      <c r="B4203" t="str">
        <f>"200056B00002"</f>
        <v>200056B00002</v>
      </c>
      <c r="C4203" t="str">
        <f t="shared" si="217"/>
        <v>20</v>
      </c>
      <c r="D4203" t="s">
        <v>67</v>
      </c>
      <c r="E4203" t="str">
        <f t="shared" si="219"/>
        <v>019</v>
      </c>
      <c r="F4203" t="s">
        <v>4278</v>
      </c>
      <c r="G4203" t="str">
        <f>"0056"</f>
        <v>0056</v>
      </c>
      <c r="H4203" t="str">
        <f>"0000"</f>
        <v>0000</v>
      </c>
      <c r="I4203" t="s">
        <v>69</v>
      </c>
      <c r="J4203">
        <v>0</v>
      </c>
      <c r="K4203">
        <v>1</v>
      </c>
      <c r="L4203">
        <v>2</v>
      </c>
      <c r="M4203">
        <v>164</v>
      </c>
      <c r="N4203">
        <v>323</v>
      </c>
      <c r="O4203">
        <v>1</v>
      </c>
      <c r="P4203">
        <v>323</v>
      </c>
      <c r="Q4203">
        <v>3</v>
      </c>
      <c r="R4203" t="s">
        <v>99</v>
      </c>
      <c r="S4203">
        <v>1</v>
      </c>
      <c r="T4203">
        <v>1</v>
      </c>
      <c r="U4203" t="s">
        <v>99</v>
      </c>
      <c r="V4203">
        <v>2</v>
      </c>
      <c r="W4203">
        <v>1</v>
      </c>
      <c r="X4203">
        <v>137</v>
      </c>
      <c r="Y4203">
        <v>1</v>
      </c>
      <c r="Z4203" t="s">
        <v>77</v>
      </c>
      <c r="AA4203">
        <v>3</v>
      </c>
      <c r="AB4203">
        <v>3</v>
      </c>
      <c r="AD4203">
        <v>7</v>
      </c>
      <c r="AE4203" t="s">
        <v>77</v>
      </c>
      <c r="AF4203" t="s">
        <v>77</v>
      </c>
      <c r="AG4203">
        <v>1</v>
      </c>
      <c r="AI4203" t="s">
        <v>77</v>
      </c>
      <c r="AJ4203">
        <v>13</v>
      </c>
      <c r="AK4203">
        <v>323</v>
      </c>
      <c r="AL4203">
        <v>173</v>
      </c>
      <c r="AM4203">
        <v>443</v>
      </c>
      <c r="AN4203">
        <v>44</v>
      </c>
      <c r="AO4203" t="s">
        <v>78</v>
      </c>
      <c r="AP4203">
        <v>1</v>
      </c>
      <c r="AR4203" s="2" t="s">
        <v>4303</v>
      </c>
      <c r="AS4203" s="1">
        <v>44354.470138888886</v>
      </c>
      <c r="AT4203" s="1">
        <v>44354.473402777781</v>
      </c>
      <c r="AU4203" s="1">
        <v>44354.47451388889</v>
      </c>
      <c r="AV4203" t="s">
        <v>71</v>
      </c>
      <c r="AW4203" t="s">
        <v>72</v>
      </c>
      <c r="AX4203" t="s">
        <v>73</v>
      </c>
    </row>
    <row r="4204" spans="1:50" x14ac:dyDescent="0.3">
      <c r="A4204" t="str">
        <f>"200056C0100"</f>
        <v>200056C0100</v>
      </c>
      <c r="B4204" t="str">
        <f>"200056C01002"</f>
        <v>200056C01002</v>
      </c>
      <c r="C4204" t="str">
        <f t="shared" si="217"/>
        <v>20</v>
      </c>
      <c r="D4204" t="s">
        <v>67</v>
      </c>
      <c r="E4204" t="str">
        <f t="shared" si="219"/>
        <v>019</v>
      </c>
      <c r="F4204" t="s">
        <v>4278</v>
      </c>
      <c r="G4204" t="str">
        <f>"0056"</f>
        <v>0056</v>
      </c>
      <c r="H4204" t="str">
        <f>"0001"</f>
        <v>0001</v>
      </c>
      <c r="I4204" t="s">
        <v>75</v>
      </c>
      <c r="J4204">
        <v>0</v>
      </c>
      <c r="K4204">
        <v>1</v>
      </c>
      <c r="L4204">
        <v>2</v>
      </c>
      <c r="M4204">
        <v>171</v>
      </c>
      <c r="N4204">
        <v>315</v>
      </c>
      <c r="O4204">
        <v>0</v>
      </c>
      <c r="P4204">
        <v>315</v>
      </c>
      <c r="Q4204">
        <v>3</v>
      </c>
      <c r="R4204">
        <v>147</v>
      </c>
      <c r="S4204">
        <v>4</v>
      </c>
      <c r="T4204">
        <v>1</v>
      </c>
      <c r="U4204">
        <v>13</v>
      </c>
      <c r="V4204">
        <v>1</v>
      </c>
      <c r="W4204">
        <v>0</v>
      </c>
      <c r="X4204">
        <v>133</v>
      </c>
      <c r="Y4204">
        <v>0</v>
      </c>
      <c r="Z4204">
        <v>0</v>
      </c>
      <c r="AA4204">
        <v>1</v>
      </c>
      <c r="AB4204">
        <v>1</v>
      </c>
      <c r="AD4204">
        <v>3</v>
      </c>
      <c r="AE4204">
        <v>1</v>
      </c>
      <c r="AF4204">
        <v>0</v>
      </c>
      <c r="AG4204">
        <v>1</v>
      </c>
      <c r="AI4204">
        <v>0</v>
      </c>
      <c r="AJ4204">
        <v>6</v>
      </c>
      <c r="AK4204">
        <v>315</v>
      </c>
      <c r="AL4204">
        <v>315</v>
      </c>
      <c r="AM4204">
        <v>442</v>
      </c>
      <c r="AN4204">
        <v>44</v>
      </c>
      <c r="AP4204">
        <v>1</v>
      </c>
      <c r="AR4204" t="s">
        <v>4304</v>
      </c>
      <c r="AS4204" s="1">
        <v>44354.149305555555</v>
      </c>
      <c r="AT4204" s="1">
        <v>44354.150567129633</v>
      </c>
      <c r="AU4204" s="1">
        <v>44354.150914351849</v>
      </c>
      <c r="AV4204" t="s">
        <v>71</v>
      </c>
      <c r="AW4204" t="s">
        <v>72</v>
      </c>
      <c r="AX4204" t="s">
        <v>73</v>
      </c>
    </row>
    <row r="4205" spans="1:50" x14ac:dyDescent="0.3">
      <c r="A4205" t="str">
        <f>"200258B0000"</f>
        <v>200258B0000</v>
      </c>
      <c r="B4205" t="str">
        <f>"200258B00002"</f>
        <v>200258B00002</v>
      </c>
      <c r="C4205" t="str">
        <f t="shared" si="217"/>
        <v>20</v>
      </c>
      <c r="D4205" t="s">
        <v>67</v>
      </c>
      <c r="E4205" t="str">
        <f t="shared" si="219"/>
        <v>019</v>
      </c>
      <c r="F4205" t="s">
        <v>4278</v>
      </c>
      <c r="G4205" t="str">
        <f>"0258"</f>
        <v>0258</v>
      </c>
      <c r="H4205" t="str">
        <f>"0000"</f>
        <v>0000</v>
      </c>
      <c r="I4205" t="s">
        <v>69</v>
      </c>
      <c r="J4205">
        <v>0</v>
      </c>
      <c r="K4205">
        <v>1</v>
      </c>
      <c r="L4205">
        <v>2</v>
      </c>
      <c r="M4205">
        <v>236</v>
      </c>
      <c r="N4205">
        <v>459</v>
      </c>
      <c r="O4205">
        <v>5</v>
      </c>
      <c r="P4205">
        <v>461</v>
      </c>
      <c r="Q4205">
        <v>4</v>
      </c>
      <c r="R4205">
        <v>98</v>
      </c>
      <c r="S4205">
        <v>7</v>
      </c>
      <c r="T4205">
        <v>3</v>
      </c>
      <c r="U4205">
        <v>58</v>
      </c>
      <c r="V4205">
        <v>5</v>
      </c>
      <c r="W4205">
        <v>9</v>
      </c>
      <c r="X4205">
        <v>238</v>
      </c>
      <c r="Y4205">
        <v>1</v>
      </c>
      <c r="Z4205">
        <v>3</v>
      </c>
      <c r="AA4205">
        <v>2</v>
      </c>
      <c r="AB4205">
        <v>13</v>
      </c>
      <c r="AD4205">
        <v>2</v>
      </c>
      <c r="AE4205">
        <v>0</v>
      </c>
      <c r="AF4205">
        <v>0</v>
      </c>
      <c r="AG4205">
        <v>0</v>
      </c>
      <c r="AI4205">
        <v>0</v>
      </c>
      <c r="AJ4205">
        <v>18</v>
      </c>
      <c r="AK4205">
        <v>461</v>
      </c>
      <c r="AL4205">
        <v>461</v>
      </c>
      <c r="AM4205">
        <v>650</v>
      </c>
      <c r="AN4205">
        <v>46</v>
      </c>
      <c r="AP4205">
        <v>1</v>
      </c>
      <c r="AR4205" s="2" t="s">
        <v>4305</v>
      </c>
      <c r="AS4205" s="1">
        <v>44354.172222222223</v>
      </c>
      <c r="AT4205" s="1">
        <v>44354.174027777779</v>
      </c>
      <c r="AU4205" s="1">
        <v>44354.174456018518</v>
      </c>
      <c r="AV4205" t="s">
        <v>71</v>
      </c>
      <c r="AW4205" t="s">
        <v>72</v>
      </c>
      <c r="AX4205" t="s">
        <v>73</v>
      </c>
    </row>
    <row r="4206" spans="1:50" x14ac:dyDescent="0.3">
      <c r="A4206" t="str">
        <f>"200258C0100"</f>
        <v>200258C0100</v>
      </c>
      <c r="B4206" t="str">
        <f>"200258C01002"</f>
        <v>200258C01002</v>
      </c>
      <c r="C4206" t="str">
        <f t="shared" si="217"/>
        <v>20</v>
      </c>
      <c r="D4206" t="s">
        <v>67</v>
      </c>
      <c r="E4206" t="str">
        <f t="shared" si="219"/>
        <v>019</v>
      </c>
      <c r="F4206" t="s">
        <v>4278</v>
      </c>
      <c r="G4206" t="str">
        <f>"0258"</f>
        <v>0258</v>
      </c>
      <c r="H4206" t="str">
        <f>"0001"</f>
        <v>0001</v>
      </c>
      <c r="I4206" t="s">
        <v>75</v>
      </c>
      <c r="J4206">
        <v>0</v>
      </c>
      <c r="K4206">
        <v>1</v>
      </c>
      <c r="L4206">
        <v>2</v>
      </c>
      <c r="M4206">
        <v>233</v>
      </c>
      <c r="N4206">
        <v>462</v>
      </c>
      <c r="O4206">
        <v>1</v>
      </c>
      <c r="P4206">
        <v>0</v>
      </c>
      <c r="Q4206">
        <v>9</v>
      </c>
      <c r="R4206">
        <v>108</v>
      </c>
      <c r="S4206">
        <v>3</v>
      </c>
      <c r="T4206">
        <v>1</v>
      </c>
      <c r="U4206">
        <v>70</v>
      </c>
      <c r="V4206">
        <v>14</v>
      </c>
      <c r="W4206">
        <v>4</v>
      </c>
      <c r="X4206">
        <v>206</v>
      </c>
      <c r="Y4206">
        <v>3</v>
      </c>
      <c r="Z4206">
        <v>4</v>
      </c>
      <c r="AA4206">
        <v>2</v>
      </c>
      <c r="AB4206">
        <v>17</v>
      </c>
      <c r="AD4206">
        <v>1</v>
      </c>
      <c r="AE4206">
        <v>0</v>
      </c>
      <c r="AF4206">
        <v>0</v>
      </c>
      <c r="AG4206">
        <v>0</v>
      </c>
      <c r="AI4206">
        <v>0</v>
      </c>
      <c r="AJ4206">
        <v>10</v>
      </c>
      <c r="AK4206">
        <v>470</v>
      </c>
      <c r="AL4206">
        <v>452</v>
      </c>
      <c r="AM4206">
        <v>649</v>
      </c>
      <c r="AN4206">
        <v>46</v>
      </c>
      <c r="AP4206">
        <v>1</v>
      </c>
      <c r="AR4206" t="s">
        <v>4306</v>
      </c>
      <c r="AS4206" s="1">
        <v>44354.19027777778</v>
      </c>
      <c r="AT4206" s="1">
        <v>44354.194826388892</v>
      </c>
      <c r="AU4206" s="1">
        <v>44354.195555555554</v>
      </c>
      <c r="AV4206" t="s">
        <v>71</v>
      </c>
      <c r="AW4206" t="s">
        <v>72</v>
      </c>
      <c r="AX4206" t="s">
        <v>73</v>
      </c>
    </row>
    <row r="4207" spans="1:50" x14ac:dyDescent="0.3">
      <c r="A4207" t="str">
        <f>"200258C0200"</f>
        <v>200258C0200</v>
      </c>
      <c r="B4207" t="str">
        <f>"200258C02002"</f>
        <v>200258C02002</v>
      </c>
      <c r="C4207" t="str">
        <f t="shared" si="217"/>
        <v>20</v>
      </c>
      <c r="D4207" t="s">
        <v>67</v>
      </c>
      <c r="E4207" t="str">
        <f t="shared" si="219"/>
        <v>019</v>
      </c>
      <c r="F4207" t="s">
        <v>4278</v>
      </c>
      <c r="G4207" t="str">
        <f>"0258"</f>
        <v>0258</v>
      </c>
      <c r="H4207" t="str">
        <f>"0002"</f>
        <v>0002</v>
      </c>
      <c r="I4207" t="s">
        <v>75</v>
      </c>
      <c r="J4207">
        <v>0</v>
      </c>
      <c r="K4207">
        <v>1</v>
      </c>
      <c r="L4207">
        <v>2</v>
      </c>
      <c r="M4207">
        <v>223</v>
      </c>
      <c r="N4207">
        <v>471</v>
      </c>
      <c r="O4207">
        <v>1</v>
      </c>
      <c r="P4207">
        <v>470</v>
      </c>
      <c r="Q4207">
        <v>4</v>
      </c>
      <c r="R4207">
        <v>98</v>
      </c>
      <c r="S4207">
        <v>3</v>
      </c>
      <c r="T4207">
        <v>6</v>
      </c>
      <c r="U4207">
        <v>79</v>
      </c>
      <c r="V4207">
        <v>3</v>
      </c>
      <c r="W4207">
        <v>2</v>
      </c>
      <c r="X4207">
        <v>231</v>
      </c>
      <c r="Y4207">
        <v>0</v>
      </c>
      <c r="Z4207">
        <v>2</v>
      </c>
      <c r="AA4207">
        <v>4</v>
      </c>
      <c r="AB4207">
        <v>19</v>
      </c>
      <c r="AD4207">
        <v>1</v>
      </c>
      <c r="AE4207">
        <v>1</v>
      </c>
      <c r="AF4207">
        <v>0</v>
      </c>
      <c r="AG4207">
        <v>0</v>
      </c>
      <c r="AI4207">
        <v>0</v>
      </c>
      <c r="AJ4207">
        <v>17</v>
      </c>
      <c r="AK4207">
        <v>470</v>
      </c>
      <c r="AL4207">
        <v>470</v>
      </c>
      <c r="AM4207">
        <v>649</v>
      </c>
      <c r="AN4207">
        <v>46</v>
      </c>
      <c r="AP4207">
        <v>1</v>
      </c>
      <c r="AR4207" t="s">
        <v>4307</v>
      </c>
      <c r="AS4207" s="1">
        <v>44354.279861111114</v>
      </c>
      <c r="AT4207" s="1">
        <v>44354.281354166669</v>
      </c>
      <c r="AU4207" s="1">
        <v>44354.281863425924</v>
      </c>
      <c r="AV4207" t="s">
        <v>71</v>
      </c>
      <c r="AW4207" t="s">
        <v>72</v>
      </c>
      <c r="AX4207" t="s">
        <v>73</v>
      </c>
    </row>
    <row r="4208" spans="1:50" x14ac:dyDescent="0.3">
      <c r="A4208" t="str">
        <f>"200259B0000"</f>
        <v>200259B0000</v>
      </c>
      <c r="B4208" t="str">
        <f>"200259B00002"</f>
        <v>200259B00002</v>
      </c>
      <c r="C4208" t="str">
        <f t="shared" si="217"/>
        <v>20</v>
      </c>
      <c r="D4208" t="s">
        <v>67</v>
      </c>
      <c r="E4208" t="str">
        <f t="shared" si="219"/>
        <v>019</v>
      </c>
      <c r="F4208" t="s">
        <v>4278</v>
      </c>
      <c r="G4208" t="str">
        <f>"0259"</f>
        <v>0259</v>
      </c>
      <c r="H4208" t="str">
        <f>"0000"</f>
        <v>0000</v>
      </c>
      <c r="I4208" t="s">
        <v>69</v>
      </c>
      <c r="J4208">
        <v>0</v>
      </c>
      <c r="K4208">
        <v>1</v>
      </c>
      <c r="L4208">
        <v>2</v>
      </c>
      <c r="AM4208">
        <v>494</v>
      </c>
      <c r="AN4208">
        <v>46</v>
      </c>
      <c r="AO4208" t="s">
        <v>352</v>
      </c>
      <c r="AP4208">
        <v>0</v>
      </c>
      <c r="AR4208" t="s">
        <v>4308</v>
      </c>
      <c r="AS4208" s="1">
        <v>44354.625</v>
      </c>
      <c r="AT4208" s="1">
        <v>44354.644305555557</v>
      </c>
      <c r="AU4208" s="1">
        <v>44354.644305555557</v>
      </c>
      <c r="AV4208" t="s">
        <v>71</v>
      </c>
      <c r="AW4208" t="s">
        <v>72</v>
      </c>
      <c r="AX4208" t="s">
        <v>73</v>
      </c>
    </row>
    <row r="4209" spans="1:50" x14ac:dyDescent="0.3">
      <c r="A4209" t="str">
        <f>"200259C0100"</f>
        <v>200259C0100</v>
      </c>
      <c r="B4209" t="str">
        <f>"200259C01002"</f>
        <v>200259C01002</v>
      </c>
      <c r="C4209" t="str">
        <f t="shared" si="217"/>
        <v>20</v>
      </c>
      <c r="D4209" t="s">
        <v>67</v>
      </c>
      <c r="E4209" t="str">
        <f t="shared" si="219"/>
        <v>019</v>
      </c>
      <c r="F4209" t="s">
        <v>4278</v>
      </c>
      <c r="G4209" t="str">
        <f>"0259"</f>
        <v>0259</v>
      </c>
      <c r="H4209" t="str">
        <f>"0001"</f>
        <v>0001</v>
      </c>
      <c r="I4209" t="s">
        <v>75</v>
      </c>
      <c r="J4209">
        <v>0</v>
      </c>
      <c r="K4209">
        <v>1</v>
      </c>
      <c r="L4209">
        <v>2</v>
      </c>
      <c r="AM4209">
        <v>493</v>
      </c>
      <c r="AN4209">
        <v>46</v>
      </c>
      <c r="AO4209" t="s">
        <v>352</v>
      </c>
      <c r="AP4209">
        <v>0</v>
      </c>
      <c r="AR4209" t="s">
        <v>4309</v>
      </c>
      <c r="AS4209" s="1">
        <v>44354.654166666667</v>
      </c>
      <c r="AT4209" s="1">
        <v>44354.658356481479</v>
      </c>
      <c r="AU4209" s="1">
        <v>44354.658356481479</v>
      </c>
      <c r="AV4209" t="s">
        <v>71</v>
      </c>
      <c r="AW4209" t="s">
        <v>72</v>
      </c>
      <c r="AX4209" t="s">
        <v>73</v>
      </c>
    </row>
    <row r="4210" spans="1:50" x14ac:dyDescent="0.3">
      <c r="A4210" t="str">
        <f>"200260B0000"</f>
        <v>200260B0000</v>
      </c>
      <c r="B4210" t="str">
        <f>"200260B00002"</f>
        <v>200260B00002</v>
      </c>
      <c r="C4210" t="str">
        <f t="shared" si="217"/>
        <v>20</v>
      </c>
      <c r="D4210" t="s">
        <v>67</v>
      </c>
      <c r="E4210" t="str">
        <f t="shared" si="219"/>
        <v>019</v>
      </c>
      <c r="F4210" t="s">
        <v>4278</v>
      </c>
      <c r="G4210" t="str">
        <f>"0260"</f>
        <v>0260</v>
      </c>
      <c r="H4210" t="str">
        <f>"0000"</f>
        <v>0000</v>
      </c>
      <c r="I4210" t="s">
        <v>69</v>
      </c>
      <c r="J4210">
        <v>0</v>
      </c>
      <c r="K4210">
        <v>1</v>
      </c>
      <c r="L4210">
        <v>2</v>
      </c>
      <c r="M4210">
        <v>148</v>
      </c>
      <c r="N4210">
        <v>290</v>
      </c>
      <c r="O4210">
        <v>12</v>
      </c>
      <c r="P4210">
        <v>290</v>
      </c>
      <c r="Q4210">
        <v>2</v>
      </c>
      <c r="R4210">
        <v>46</v>
      </c>
      <c r="S4210">
        <v>2</v>
      </c>
      <c r="T4210">
        <v>3</v>
      </c>
      <c r="U4210">
        <v>20</v>
      </c>
      <c r="V4210">
        <v>5</v>
      </c>
      <c r="W4210">
        <v>1</v>
      </c>
      <c r="X4210">
        <v>172</v>
      </c>
      <c r="Y4210">
        <v>3</v>
      </c>
      <c r="Z4210">
        <v>0</v>
      </c>
      <c r="AA4210">
        <v>3</v>
      </c>
      <c r="AB4210">
        <v>19</v>
      </c>
      <c r="AD4210">
        <v>1</v>
      </c>
      <c r="AE4210">
        <v>0</v>
      </c>
      <c r="AF4210">
        <v>0</v>
      </c>
      <c r="AG4210">
        <v>0</v>
      </c>
      <c r="AI4210">
        <v>0</v>
      </c>
      <c r="AJ4210">
        <v>13</v>
      </c>
      <c r="AK4210">
        <v>290</v>
      </c>
      <c r="AL4210">
        <v>290</v>
      </c>
      <c r="AM4210">
        <v>392</v>
      </c>
      <c r="AN4210">
        <v>46</v>
      </c>
      <c r="AP4210">
        <v>1</v>
      </c>
      <c r="AR4210" t="s">
        <v>4310</v>
      </c>
      <c r="AS4210" s="1">
        <v>44354.442361111112</v>
      </c>
      <c r="AT4210" s="1">
        <v>44354.444340277776</v>
      </c>
      <c r="AU4210" s="1">
        <v>44354.444861111115</v>
      </c>
      <c r="AV4210" t="s">
        <v>71</v>
      </c>
      <c r="AW4210" t="s">
        <v>72</v>
      </c>
      <c r="AX4210" t="s">
        <v>73</v>
      </c>
    </row>
    <row r="4211" spans="1:50" x14ac:dyDescent="0.3">
      <c r="A4211" t="str">
        <f>"200260C0100"</f>
        <v>200260C0100</v>
      </c>
      <c r="B4211" t="str">
        <f>"200260C01002"</f>
        <v>200260C01002</v>
      </c>
      <c r="C4211" t="str">
        <f t="shared" si="217"/>
        <v>20</v>
      </c>
      <c r="D4211" t="s">
        <v>67</v>
      </c>
      <c r="E4211" t="str">
        <f t="shared" si="219"/>
        <v>019</v>
      </c>
      <c r="F4211" t="s">
        <v>4278</v>
      </c>
      <c r="G4211" t="str">
        <f>"0260"</f>
        <v>0260</v>
      </c>
      <c r="H4211" t="str">
        <f>"0001"</f>
        <v>0001</v>
      </c>
      <c r="I4211" t="s">
        <v>75</v>
      </c>
      <c r="J4211">
        <v>0</v>
      </c>
      <c r="K4211">
        <v>1</v>
      </c>
      <c r="L4211">
        <v>2</v>
      </c>
      <c r="AM4211">
        <v>392</v>
      </c>
      <c r="AN4211">
        <v>46</v>
      </c>
      <c r="AO4211" t="s">
        <v>352</v>
      </c>
      <c r="AP4211">
        <v>0</v>
      </c>
      <c r="AR4211" t="s">
        <v>4311</v>
      </c>
      <c r="AS4211" s="1">
        <v>44354.625</v>
      </c>
      <c r="AT4211" s="1">
        <v>44354.643043981479</v>
      </c>
      <c r="AU4211" s="1">
        <v>44354.643043981479</v>
      </c>
      <c r="AV4211" t="s">
        <v>71</v>
      </c>
      <c r="AW4211" t="s">
        <v>72</v>
      </c>
      <c r="AX4211" t="s">
        <v>73</v>
      </c>
    </row>
    <row r="4212" spans="1:50" x14ac:dyDescent="0.3">
      <c r="A4212" t="str">
        <f>"200261B0000"</f>
        <v>200261B0000</v>
      </c>
      <c r="B4212" t="str">
        <f>"200261B00002"</f>
        <v>200261B00002</v>
      </c>
      <c r="C4212" t="str">
        <f t="shared" si="217"/>
        <v>20</v>
      </c>
      <c r="D4212" t="s">
        <v>67</v>
      </c>
      <c r="E4212" t="str">
        <f t="shared" si="219"/>
        <v>019</v>
      </c>
      <c r="F4212" t="s">
        <v>4278</v>
      </c>
      <c r="G4212" t="str">
        <f>"0261"</f>
        <v>0261</v>
      </c>
      <c r="H4212" t="str">
        <f>"0000"</f>
        <v>0000</v>
      </c>
      <c r="I4212" t="s">
        <v>69</v>
      </c>
      <c r="J4212">
        <v>0</v>
      </c>
      <c r="K4212">
        <v>1</v>
      </c>
      <c r="L4212">
        <v>2</v>
      </c>
      <c r="M4212">
        <v>194</v>
      </c>
      <c r="N4212">
        <v>467</v>
      </c>
      <c r="O4212">
        <v>8</v>
      </c>
      <c r="P4212">
        <v>467</v>
      </c>
      <c r="Q4212">
        <v>4</v>
      </c>
      <c r="R4212">
        <v>119</v>
      </c>
      <c r="S4212">
        <v>4</v>
      </c>
      <c r="T4212">
        <v>4</v>
      </c>
      <c r="U4212">
        <v>54</v>
      </c>
      <c r="V4212">
        <v>5</v>
      </c>
      <c r="W4212">
        <v>2</v>
      </c>
      <c r="X4212">
        <v>239</v>
      </c>
      <c r="Y4212">
        <v>13</v>
      </c>
      <c r="Z4212">
        <v>1</v>
      </c>
      <c r="AA4212">
        <v>2</v>
      </c>
      <c r="AB4212">
        <v>4</v>
      </c>
      <c r="AD4212">
        <v>2</v>
      </c>
      <c r="AE4212">
        <v>1</v>
      </c>
      <c r="AF4212">
        <v>0</v>
      </c>
      <c r="AG4212">
        <v>0</v>
      </c>
      <c r="AI4212">
        <v>1</v>
      </c>
      <c r="AJ4212">
        <v>13</v>
      </c>
      <c r="AK4212">
        <v>467</v>
      </c>
      <c r="AL4212">
        <v>468</v>
      </c>
      <c r="AM4212">
        <v>616</v>
      </c>
      <c r="AN4212">
        <v>46</v>
      </c>
      <c r="AP4212">
        <v>1</v>
      </c>
      <c r="AR4212" t="s">
        <v>4312</v>
      </c>
      <c r="AS4212" s="1">
        <v>44354.18472222222</v>
      </c>
      <c r="AT4212" s="1">
        <v>44354.187395833331</v>
      </c>
      <c r="AU4212" s="1">
        <v>44354.188240740739</v>
      </c>
      <c r="AV4212" t="s">
        <v>71</v>
      </c>
      <c r="AW4212" t="s">
        <v>72</v>
      </c>
      <c r="AX4212" t="s">
        <v>73</v>
      </c>
    </row>
    <row r="4213" spans="1:50" x14ac:dyDescent="0.3">
      <c r="A4213" t="str">
        <f>"200261C0100"</f>
        <v>200261C0100</v>
      </c>
      <c r="B4213" t="str">
        <f>"200261C01002"</f>
        <v>200261C01002</v>
      </c>
      <c r="C4213" t="str">
        <f t="shared" si="217"/>
        <v>20</v>
      </c>
      <c r="D4213" t="s">
        <v>67</v>
      </c>
      <c r="E4213" t="str">
        <f t="shared" si="219"/>
        <v>019</v>
      </c>
      <c r="F4213" t="s">
        <v>4278</v>
      </c>
      <c r="G4213" t="str">
        <f>"0261"</f>
        <v>0261</v>
      </c>
      <c r="H4213" t="str">
        <f>"0001"</f>
        <v>0001</v>
      </c>
      <c r="I4213" t="s">
        <v>75</v>
      </c>
      <c r="J4213">
        <v>0</v>
      </c>
      <c r="K4213">
        <v>1</v>
      </c>
      <c r="L4213">
        <v>2</v>
      </c>
      <c r="M4213">
        <v>185</v>
      </c>
      <c r="N4213">
        <v>464</v>
      </c>
      <c r="O4213">
        <v>2</v>
      </c>
      <c r="P4213">
        <v>464</v>
      </c>
      <c r="Q4213">
        <v>1</v>
      </c>
      <c r="R4213">
        <v>116</v>
      </c>
      <c r="S4213">
        <v>2</v>
      </c>
      <c r="T4213">
        <v>0</v>
      </c>
      <c r="U4213">
        <v>47</v>
      </c>
      <c r="V4213">
        <v>1</v>
      </c>
      <c r="W4213">
        <v>4</v>
      </c>
      <c r="X4213">
        <v>258</v>
      </c>
      <c r="Y4213">
        <v>17</v>
      </c>
      <c r="Z4213">
        <v>1</v>
      </c>
      <c r="AA4213">
        <v>2</v>
      </c>
      <c r="AB4213">
        <v>11</v>
      </c>
      <c r="AD4213">
        <v>4</v>
      </c>
      <c r="AE4213">
        <v>0</v>
      </c>
      <c r="AF4213">
        <v>0</v>
      </c>
      <c r="AG4213">
        <v>0</v>
      </c>
      <c r="AI4213">
        <v>0</v>
      </c>
      <c r="AJ4213">
        <v>13</v>
      </c>
      <c r="AK4213">
        <v>477</v>
      </c>
      <c r="AL4213">
        <v>477</v>
      </c>
      <c r="AM4213">
        <v>616</v>
      </c>
      <c r="AN4213">
        <v>46</v>
      </c>
      <c r="AP4213">
        <v>1</v>
      </c>
      <c r="AR4213" t="s">
        <v>4313</v>
      </c>
      <c r="AS4213" s="1">
        <v>44354.378472222219</v>
      </c>
      <c r="AT4213" s="1">
        <v>44354.379351851851</v>
      </c>
      <c r="AU4213" s="1">
        <v>44354.379895833335</v>
      </c>
      <c r="AV4213" t="s">
        <v>71</v>
      </c>
      <c r="AW4213" t="s">
        <v>72</v>
      </c>
      <c r="AX4213" t="s">
        <v>73</v>
      </c>
    </row>
    <row r="4214" spans="1:50" x14ac:dyDescent="0.3">
      <c r="A4214" t="str">
        <f>"200262B0000"</f>
        <v>200262B0000</v>
      </c>
      <c r="B4214" t="str">
        <f>"200262B00002"</f>
        <v>200262B00002</v>
      </c>
      <c r="C4214" t="str">
        <f t="shared" si="217"/>
        <v>20</v>
      </c>
      <c r="D4214" t="s">
        <v>67</v>
      </c>
      <c r="E4214" t="str">
        <f t="shared" si="219"/>
        <v>019</v>
      </c>
      <c r="F4214" t="s">
        <v>4278</v>
      </c>
      <c r="G4214" t="str">
        <f>"0262"</f>
        <v>0262</v>
      </c>
      <c r="H4214" t="str">
        <f>"0000"</f>
        <v>0000</v>
      </c>
      <c r="I4214" t="s">
        <v>69</v>
      </c>
      <c r="J4214">
        <v>0</v>
      </c>
      <c r="K4214">
        <v>1</v>
      </c>
      <c r="L4214">
        <v>2</v>
      </c>
      <c r="M4214">
        <v>206</v>
      </c>
      <c r="N4214">
        <v>396</v>
      </c>
      <c r="O4214">
        <v>5</v>
      </c>
      <c r="P4214">
        <v>396</v>
      </c>
      <c r="Q4214">
        <v>5</v>
      </c>
      <c r="R4214">
        <v>100</v>
      </c>
      <c r="S4214">
        <v>2</v>
      </c>
      <c r="T4214">
        <v>3</v>
      </c>
      <c r="U4214">
        <v>37</v>
      </c>
      <c r="V4214">
        <v>5</v>
      </c>
      <c r="W4214">
        <v>5</v>
      </c>
      <c r="X4214">
        <v>204</v>
      </c>
      <c r="Y4214">
        <v>7</v>
      </c>
      <c r="Z4214">
        <v>2</v>
      </c>
      <c r="AA4214">
        <v>3</v>
      </c>
      <c r="AB4214">
        <v>16</v>
      </c>
      <c r="AD4214" t="s">
        <v>77</v>
      </c>
      <c r="AE4214" t="s">
        <v>77</v>
      </c>
      <c r="AF4214" t="s">
        <v>77</v>
      </c>
      <c r="AG4214" t="s">
        <v>77</v>
      </c>
      <c r="AI4214" t="s">
        <v>77</v>
      </c>
      <c r="AJ4214">
        <v>7</v>
      </c>
      <c r="AK4214">
        <v>396</v>
      </c>
      <c r="AL4214">
        <v>396</v>
      </c>
      <c r="AM4214">
        <v>556</v>
      </c>
      <c r="AN4214">
        <v>46</v>
      </c>
      <c r="AO4214" t="s">
        <v>78</v>
      </c>
      <c r="AP4214">
        <v>1</v>
      </c>
      <c r="AR4214" t="s">
        <v>4314</v>
      </c>
      <c r="AS4214" s="1">
        <v>44354.18472222222</v>
      </c>
      <c r="AT4214" s="1">
        <v>44354.185914351852</v>
      </c>
      <c r="AU4214" s="1">
        <v>44354.186261574076</v>
      </c>
      <c r="AV4214" t="s">
        <v>71</v>
      </c>
      <c r="AW4214" t="s">
        <v>72</v>
      </c>
      <c r="AX4214" t="s">
        <v>73</v>
      </c>
    </row>
    <row r="4215" spans="1:50" x14ac:dyDescent="0.3">
      <c r="A4215" t="str">
        <f>"200262C0100"</f>
        <v>200262C0100</v>
      </c>
      <c r="B4215" t="str">
        <f>"200262C01002"</f>
        <v>200262C01002</v>
      </c>
      <c r="C4215" t="str">
        <f t="shared" si="217"/>
        <v>20</v>
      </c>
      <c r="D4215" t="s">
        <v>67</v>
      </c>
      <c r="E4215" t="str">
        <f t="shared" si="219"/>
        <v>019</v>
      </c>
      <c r="F4215" t="s">
        <v>4278</v>
      </c>
      <c r="G4215" t="str">
        <f>"0262"</f>
        <v>0262</v>
      </c>
      <c r="H4215" t="str">
        <f>"0001"</f>
        <v>0001</v>
      </c>
      <c r="I4215" t="s">
        <v>75</v>
      </c>
      <c r="J4215">
        <v>0</v>
      </c>
      <c r="K4215">
        <v>1</v>
      </c>
      <c r="L4215">
        <v>2</v>
      </c>
      <c r="M4215">
        <v>212</v>
      </c>
      <c r="N4215">
        <v>390</v>
      </c>
      <c r="O4215">
        <v>5</v>
      </c>
      <c r="P4215">
        <v>390</v>
      </c>
      <c r="Q4215">
        <v>4</v>
      </c>
      <c r="R4215">
        <v>109</v>
      </c>
      <c r="S4215">
        <v>4</v>
      </c>
      <c r="T4215">
        <v>4</v>
      </c>
      <c r="U4215">
        <v>42</v>
      </c>
      <c r="V4215">
        <v>2</v>
      </c>
      <c r="W4215">
        <v>3</v>
      </c>
      <c r="X4215">
        <v>188</v>
      </c>
      <c r="Y4215">
        <v>8</v>
      </c>
      <c r="Z4215">
        <v>5</v>
      </c>
      <c r="AA4215">
        <v>2</v>
      </c>
      <c r="AB4215">
        <v>9</v>
      </c>
      <c r="AD4215">
        <v>1</v>
      </c>
      <c r="AE4215">
        <v>1</v>
      </c>
      <c r="AF4215" t="s">
        <v>77</v>
      </c>
      <c r="AG4215" t="s">
        <v>77</v>
      </c>
      <c r="AI4215" t="s">
        <v>77</v>
      </c>
      <c r="AJ4215">
        <v>8</v>
      </c>
      <c r="AK4215">
        <v>390</v>
      </c>
      <c r="AL4215">
        <v>390</v>
      </c>
      <c r="AM4215">
        <v>556</v>
      </c>
      <c r="AN4215">
        <v>46</v>
      </c>
      <c r="AO4215" t="s">
        <v>78</v>
      </c>
      <c r="AP4215">
        <v>1</v>
      </c>
      <c r="AR4215" t="s">
        <v>4315</v>
      </c>
      <c r="AS4215" s="1">
        <v>44354.279166666667</v>
      </c>
      <c r="AT4215" s="1">
        <v>44354.281145833331</v>
      </c>
      <c r="AU4215" s="1">
        <v>44354.281666666669</v>
      </c>
      <c r="AV4215" t="s">
        <v>71</v>
      </c>
      <c r="AW4215" t="s">
        <v>72</v>
      </c>
      <c r="AX4215" t="s">
        <v>73</v>
      </c>
    </row>
    <row r="4216" spans="1:50" x14ac:dyDescent="0.3">
      <c r="A4216" t="str">
        <f>"200262C0200"</f>
        <v>200262C0200</v>
      </c>
      <c r="B4216" t="str">
        <f>"200262C02002"</f>
        <v>200262C02002</v>
      </c>
      <c r="C4216" t="str">
        <f t="shared" si="217"/>
        <v>20</v>
      </c>
      <c r="D4216" t="s">
        <v>67</v>
      </c>
      <c r="E4216" t="str">
        <f t="shared" si="219"/>
        <v>019</v>
      </c>
      <c r="F4216" t="s">
        <v>4278</v>
      </c>
      <c r="G4216" t="str">
        <f>"0262"</f>
        <v>0262</v>
      </c>
      <c r="H4216" t="str">
        <f>"0002"</f>
        <v>0002</v>
      </c>
      <c r="I4216" t="s">
        <v>75</v>
      </c>
      <c r="J4216">
        <v>0</v>
      </c>
      <c r="K4216">
        <v>1</v>
      </c>
      <c r="L4216">
        <v>2</v>
      </c>
      <c r="M4216">
        <v>196</v>
      </c>
      <c r="N4216">
        <v>406</v>
      </c>
      <c r="O4216">
        <v>5</v>
      </c>
      <c r="P4216">
        <v>406</v>
      </c>
      <c r="Q4216">
        <v>5</v>
      </c>
      <c r="R4216">
        <v>91</v>
      </c>
      <c r="S4216">
        <v>8</v>
      </c>
      <c r="T4216">
        <v>2</v>
      </c>
      <c r="U4216">
        <v>51</v>
      </c>
      <c r="V4216">
        <v>2</v>
      </c>
      <c r="W4216">
        <v>4</v>
      </c>
      <c r="X4216">
        <v>199</v>
      </c>
      <c r="Y4216">
        <v>2</v>
      </c>
      <c r="Z4216">
        <v>1</v>
      </c>
      <c r="AA4216">
        <v>4</v>
      </c>
      <c r="AB4216">
        <v>23</v>
      </c>
      <c r="AD4216">
        <v>1</v>
      </c>
      <c r="AE4216">
        <v>0</v>
      </c>
      <c r="AF4216">
        <v>0</v>
      </c>
      <c r="AG4216">
        <v>0</v>
      </c>
      <c r="AI4216">
        <v>0</v>
      </c>
      <c r="AJ4216">
        <v>13</v>
      </c>
      <c r="AK4216">
        <v>406</v>
      </c>
      <c r="AL4216">
        <v>406</v>
      </c>
      <c r="AM4216">
        <v>556</v>
      </c>
      <c r="AN4216">
        <v>46</v>
      </c>
      <c r="AP4216">
        <v>1</v>
      </c>
      <c r="AR4216" t="s">
        <v>4316</v>
      </c>
      <c r="AS4216" s="1">
        <v>44354.18472222222</v>
      </c>
      <c r="AT4216" s="1">
        <v>44354.185868055552</v>
      </c>
      <c r="AU4216" s="1">
        <v>44354.186620370368</v>
      </c>
      <c r="AV4216" t="s">
        <v>71</v>
      </c>
      <c r="AW4216" t="s">
        <v>72</v>
      </c>
      <c r="AX4216" t="s">
        <v>73</v>
      </c>
    </row>
    <row r="4217" spans="1:50" x14ac:dyDescent="0.3">
      <c r="A4217" t="str">
        <f>"200263B0000"</f>
        <v>200263B0000</v>
      </c>
      <c r="B4217" t="str">
        <f>"200263B00002"</f>
        <v>200263B00002</v>
      </c>
      <c r="C4217" t="str">
        <f t="shared" si="217"/>
        <v>20</v>
      </c>
      <c r="D4217" t="s">
        <v>67</v>
      </c>
      <c r="E4217" t="str">
        <f t="shared" si="219"/>
        <v>019</v>
      </c>
      <c r="F4217" t="s">
        <v>4278</v>
      </c>
      <c r="G4217" t="str">
        <f>"0263"</f>
        <v>0263</v>
      </c>
      <c r="H4217" t="str">
        <f>"0000"</f>
        <v>0000</v>
      </c>
      <c r="I4217" t="s">
        <v>69</v>
      </c>
      <c r="J4217">
        <v>0</v>
      </c>
      <c r="K4217">
        <v>1</v>
      </c>
      <c r="L4217">
        <v>2</v>
      </c>
      <c r="M4217">
        <v>168</v>
      </c>
      <c r="N4217">
        <v>272</v>
      </c>
      <c r="O4217">
        <v>4</v>
      </c>
      <c r="P4217">
        <v>272</v>
      </c>
      <c r="Q4217">
        <v>6</v>
      </c>
      <c r="R4217">
        <v>63</v>
      </c>
      <c r="S4217">
        <v>5</v>
      </c>
      <c r="T4217">
        <v>4</v>
      </c>
      <c r="U4217">
        <v>29</v>
      </c>
      <c r="V4217">
        <v>6</v>
      </c>
      <c r="W4217">
        <v>2</v>
      </c>
      <c r="X4217">
        <v>141</v>
      </c>
      <c r="Y4217">
        <v>0</v>
      </c>
      <c r="Z4217">
        <v>0</v>
      </c>
      <c r="AA4217">
        <v>2</v>
      </c>
      <c r="AB4217">
        <v>5</v>
      </c>
      <c r="AD4217">
        <v>2</v>
      </c>
      <c r="AE4217">
        <v>0</v>
      </c>
      <c r="AF4217">
        <v>0</v>
      </c>
      <c r="AG4217">
        <v>0</v>
      </c>
      <c r="AI4217">
        <v>0</v>
      </c>
      <c r="AJ4217">
        <v>7</v>
      </c>
      <c r="AK4217">
        <v>272</v>
      </c>
      <c r="AL4217">
        <v>272</v>
      </c>
      <c r="AM4217">
        <v>394</v>
      </c>
      <c r="AN4217">
        <v>46</v>
      </c>
      <c r="AP4217">
        <v>1</v>
      </c>
      <c r="AR4217" t="s">
        <v>4317</v>
      </c>
      <c r="AS4217" s="1">
        <v>44354.188888888886</v>
      </c>
      <c r="AT4217" s="1">
        <v>44354.19122685185</v>
      </c>
      <c r="AU4217" s="1">
        <v>44354.193124999998</v>
      </c>
      <c r="AV4217" t="s">
        <v>71</v>
      </c>
      <c r="AW4217" t="s">
        <v>72</v>
      </c>
      <c r="AX4217" t="s">
        <v>73</v>
      </c>
    </row>
    <row r="4218" spans="1:50" x14ac:dyDescent="0.3">
      <c r="A4218" t="str">
        <f>"200263C0100"</f>
        <v>200263C0100</v>
      </c>
      <c r="B4218" t="str">
        <f>"200263C01002"</f>
        <v>200263C01002</v>
      </c>
      <c r="C4218" t="str">
        <f t="shared" si="217"/>
        <v>20</v>
      </c>
      <c r="D4218" t="s">
        <v>67</v>
      </c>
      <c r="E4218" t="str">
        <f t="shared" si="219"/>
        <v>019</v>
      </c>
      <c r="F4218" t="s">
        <v>4278</v>
      </c>
      <c r="G4218" t="str">
        <f>"0263"</f>
        <v>0263</v>
      </c>
      <c r="H4218" t="str">
        <f>"0001"</f>
        <v>0001</v>
      </c>
      <c r="I4218" t="s">
        <v>75</v>
      </c>
      <c r="J4218">
        <v>0</v>
      </c>
      <c r="K4218">
        <v>1</v>
      </c>
      <c r="L4218">
        <v>2</v>
      </c>
      <c r="M4218">
        <v>161</v>
      </c>
      <c r="N4218">
        <v>278</v>
      </c>
      <c r="O4218">
        <v>2</v>
      </c>
      <c r="P4218">
        <v>278</v>
      </c>
      <c r="Q4218">
        <v>2</v>
      </c>
      <c r="R4218">
        <v>77</v>
      </c>
      <c r="S4218">
        <v>7</v>
      </c>
      <c r="T4218">
        <v>6</v>
      </c>
      <c r="U4218">
        <v>47</v>
      </c>
      <c r="V4218">
        <v>4</v>
      </c>
      <c r="W4218">
        <v>2</v>
      </c>
      <c r="X4218">
        <v>109</v>
      </c>
      <c r="Y4218">
        <v>1</v>
      </c>
      <c r="Z4218">
        <v>0</v>
      </c>
      <c r="AA4218">
        <v>1</v>
      </c>
      <c r="AB4218">
        <v>8</v>
      </c>
      <c r="AD4218">
        <v>1</v>
      </c>
      <c r="AE4218">
        <v>0</v>
      </c>
      <c r="AF4218">
        <v>0</v>
      </c>
      <c r="AG4218">
        <v>0</v>
      </c>
      <c r="AI4218">
        <v>0</v>
      </c>
      <c r="AJ4218">
        <v>1</v>
      </c>
      <c r="AK4218">
        <v>6</v>
      </c>
      <c r="AL4218">
        <v>266</v>
      </c>
      <c r="AM4218">
        <v>393</v>
      </c>
      <c r="AN4218">
        <v>46</v>
      </c>
      <c r="AP4218">
        <v>1</v>
      </c>
      <c r="AR4218" t="s">
        <v>4318</v>
      </c>
      <c r="AS4218" s="1">
        <v>44354.440972222219</v>
      </c>
      <c r="AT4218" s="1">
        <v>44354.443888888891</v>
      </c>
      <c r="AU4218" s="1">
        <v>44354.444560185184</v>
      </c>
      <c r="AV4218" t="s">
        <v>71</v>
      </c>
      <c r="AW4218" t="s">
        <v>72</v>
      </c>
      <c r="AX4218" t="s">
        <v>73</v>
      </c>
    </row>
    <row r="4219" spans="1:50" x14ac:dyDescent="0.3">
      <c r="A4219" t="str">
        <f>"200264B0000"</f>
        <v>200264B0000</v>
      </c>
      <c r="B4219" t="str">
        <f>"200264B00002"</f>
        <v>200264B00002</v>
      </c>
      <c r="C4219" t="str">
        <f t="shared" si="217"/>
        <v>20</v>
      </c>
      <c r="D4219" t="s">
        <v>67</v>
      </c>
      <c r="E4219" t="str">
        <f t="shared" si="219"/>
        <v>019</v>
      </c>
      <c r="F4219" t="s">
        <v>4278</v>
      </c>
      <c r="G4219" t="str">
        <f>"0264"</f>
        <v>0264</v>
      </c>
      <c r="H4219" t="str">
        <f>"0000"</f>
        <v>0000</v>
      </c>
      <c r="I4219" t="s">
        <v>69</v>
      </c>
      <c r="J4219">
        <v>0</v>
      </c>
      <c r="K4219">
        <v>1</v>
      </c>
      <c r="L4219">
        <v>2</v>
      </c>
      <c r="AM4219">
        <v>508</v>
      </c>
      <c r="AN4219">
        <v>46</v>
      </c>
      <c r="AO4219" t="s">
        <v>352</v>
      </c>
      <c r="AP4219">
        <v>0</v>
      </c>
      <c r="AR4219" t="s">
        <v>4319</v>
      </c>
      <c r="AS4219" s="1">
        <v>44354.625</v>
      </c>
      <c r="AT4219" s="1">
        <v>44354.64340277778</v>
      </c>
      <c r="AU4219" s="1">
        <v>44354.64340277778</v>
      </c>
      <c r="AV4219" t="s">
        <v>71</v>
      </c>
      <c r="AW4219" t="s">
        <v>72</v>
      </c>
      <c r="AX4219" t="s">
        <v>73</v>
      </c>
    </row>
    <row r="4220" spans="1:50" x14ac:dyDescent="0.3">
      <c r="A4220" t="str">
        <f>"200264C0100"</f>
        <v>200264C0100</v>
      </c>
      <c r="B4220" t="str">
        <f>"200264C01002"</f>
        <v>200264C01002</v>
      </c>
      <c r="C4220" t="str">
        <f t="shared" si="217"/>
        <v>20</v>
      </c>
      <c r="D4220" t="s">
        <v>67</v>
      </c>
      <c r="E4220" t="str">
        <f t="shared" si="219"/>
        <v>019</v>
      </c>
      <c r="F4220" t="s">
        <v>4278</v>
      </c>
      <c r="G4220" t="str">
        <f>"0264"</f>
        <v>0264</v>
      </c>
      <c r="H4220" t="str">
        <f>"0001"</f>
        <v>0001</v>
      </c>
      <c r="I4220" t="s">
        <v>75</v>
      </c>
      <c r="J4220">
        <v>0</v>
      </c>
      <c r="K4220">
        <v>1</v>
      </c>
      <c r="L4220">
        <v>2</v>
      </c>
      <c r="M4220">
        <v>209</v>
      </c>
      <c r="N4220">
        <v>345</v>
      </c>
      <c r="O4220" t="s">
        <v>99</v>
      </c>
      <c r="P4220" t="s">
        <v>80</v>
      </c>
      <c r="Q4220">
        <v>9</v>
      </c>
      <c r="R4220">
        <v>103</v>
      </c>
      <c r="S4220">
        <v>2</v>
      </c>
      <c r="T4220">
        <v>2</v>
      </c>
      <c r="U4220">
        <v>23</v>
      </c>
      <c r="V4220">
        <v>5</v>
      </c>
      <c r="W4220">
        <v>176</v>
      </c>
      <c r="X4220" t="s">
        <v>77</v>
      </c>
      <c r="Y4220" t="s">
        <v>77</v>
      </c>
      <c r="Z4220" t="s">
        <v>77</v>
      </c>
      <c r="AA4220" t="s">
        <v>77</v>
      </c>
      <c r="AB4220" t="s">
        <v>77</v>
      </c>
      <c r="AD4220" t="s">
        <v>77</v>
      </c>
      <c r="AE4220" t="s">
        <v>77</v>
      </c>
      <c r="AF4220" t="s">
        <v>77</v>
      </c>
      <c r="AG4220" t="s">
        <v>77</v>
      </c>
      <c r="AI4220" t="s">
        <v>77</v>
      </c>
      <c r="AJ4220" t="s">
        <v>77</v>
      </c>
      <c r="AK4220" t="s">
        <v>77</v>
      </c>
      <c r="AL4220">
        <v>320</v>
      </c>
      <c r="AM4220">
        <v>508</v>
      </c>
      <c r="AN4220">
        <v>46</v>
      </c>
      <c r="AO4220" t="s">
        <v>78</v>
      </c>
      <c r="AP4220">
        <v>1</v>
      </c>
      <c r="AR4220" t="s">
        <v>4320</v>
      </c>
      <c r="AS4220" s="1">
        <v>44354.30972222222</v>
      </c>
      <c r="AT4220" s="1">
        <v>44354.311064814814</v>
      </c>
      <c r="AU4220" s="1">
        <v>44354.312083333331</v>
      </c>
      <c r="AV4220" t="s">
        <v>71</v>
      </c>
      <c r="AW4220" t="s">
        <v>72</v>
      </c>
      <c r="AX4220" t="s">
        <v>73</v>
      </c>
    </row>
    <row r="4221" spans="1:50" x14ac:dyDescent="0.3">
      <c r="A4221" t="str">
        <f>"200265B0000"</f>
        <v>200265B0000</v>
      </c>
      <c r="B4221" t="str">
        <f>"200265B00002"</f>
        <v>200265B00002</v>
      </c>
      <c r="C4221" t="str">
        <f t="shared" si="217"/>
        <v>20</v>
      </c>
      <c r="D4221" t="s">
        <v>67</v>
      </c>
      <c r="E4221" t="str">
        <f t="shared" si="219"/>
        <v>019</v>
      </c>
      <c r="F4221" t="s">
        <v>4278</v>
      </c>
      <c r="G4221" t="str">
        <f>"0265"</f>
        <v>0265</v>
      </c>
      <c r="H4221" t="str">
        <f>"0000"</f>
        <v>0000</v>
      </c>
      <c r="I4221" t="s">
        <v>69</v>
      </c>
      <c r="J4221">
        <v>0</v>
      </c>
      <c r="K4221">
        <v>1</v>
      </c>
      <c r="L4221">
        <v>2</v>
      </c>
      <c r="M4221">
        <v>317</v>
      </c>
      <c r="N4221">
        <v>356</v>
      </c>
      <c r="O4221">
        <v>1</v>
      </c>
      <c r="P4221">
        <v>356</v>
      </c>
      <c r="Q4221">
        <v>5</v>
      </c>
      <c r="R4221">
        <v>71</v>
      </c>
      <c r="S4221">
        <v>4</v>
      </c>
      <c r="T4221">
        <v>0</v>
      </c>
      <c r="U4221">
        <v>42</v>
      </c>
      <c r="V4221">
        <v>2</v>
      </c>
      <c r="W4221">
        <v>10</v>
      </c>
      <c r="X4221">
        <v>189</v>
      </c>
      <c r="Y4221">
        <v>3</v>
      </c>
      <c r="Z4221">
        <v>1</v>
      </c>
      <c r="AA4221">
        <v>1</v>
      </c>
      <c r="AB4221">
        <v>13</v>
      </c>
      <c r="AD4221">
        <v>1</v>
      </c>
      <c r="AE4221">
        <v>1</v>
      </c>
      <c r="AF4221">
        <v>0</v>
      </c>
      <c r="AG4221">
        <v>0</v>
      </c>
      <c r="AI4221">
        <v>0</v>
      </c>
      <c r="AJ4221">
        <v>13</v>
      </c>
      <c r="AK4221">
        <v>356</v>
      </c>
      <c r="AL4221">
        <v>356</v>
      </c>
      <c r="AM4221">
        <v>627</v>
      </c>
      <c r="AN4221">
        <v>46</v>
      </c>
      <c r="AP4221">
        <v>1</v>
      </c>
      <c r="AR4221" t="s">
        <v>4321</v>
      </c>
      <c r="AS4221" s="1">
        <v>44354.179861111108</v>
      </c>
      <c r="AT4221" s="1">
        <v>44354.18173611111</v>
      </c>
      <c r="AU4221" s="1">
        <v>44354.182384259257</v>
      </c>
      <c r="AV4221" t="s">
        <v>71</v>
      </c>
      <c r="AW4221" t="s">
        <v>72</v>
      </c>
      <c r="AX4221" t="s">
        <v>73</v>
      </c>
    </row>
    <row r="4222" spans="1:50" x14ac:dyDescent="0.3">
      <c r="A4222" t="str">
        <f>"200265C0100"</f>
        <v>200265C0100</v>
      </c>
      <c r="B4222" t="str">
        <f>"200265C01002"</f>
        <v>200265C01002</v>
      </c>
      <c r="C4222" t="str">
        <f t="shared" si="217"/>
        <v>20</v>
      </c>
      <c r="D4222" t="s">
        <v>67</v>
      </c>
      <c r="E4222" t="str">
        <f t="shared" si="219"/>
        <v>019</v>
      </c>
      <c r="F4222" t="s">
        <v>4278</v>
      </c>
      <c r="G4222" t="str">
        <f>"0265"</f>
        <v>0265</v>
      </c>
      <c r="H4222" t="str">
        <f>"0001"</f>
        <v>0001</v>
      </c>
      <c r="I4222" t="s">
        <v>75</v>
      </c>
      <c r="J4222">
        <v>0</v>
      </c>
      <c r="K4222">
        <v>1</v>
      </c>
      <c r="L4222">
        <v>2</v>
      </c>
      <c r="M4222">
        <v>291</v>
      </c>
      <c r="N4222">
        <v>382</v>
      </c>
      <c r="O4222">
        <v>9</v>
      </c>
      <c r="P4222">
        <v>382</v>
      </c>
      <c r="Q4222">
        <v>5</v>
      </c>
      <c r="R4222">
        <v>84</v>
      </c>
      <c r="S4222">
        <v>6</v>
      </c>
      <c r="T4222">
        <v>5</v>
      </c>
      <c r="U4222">
        <v>44</v>
      </c>
      <c r="V4222">
        <v>0</v>
      </c>
      <c r="W4222">
        <v>8</v>
      </c>
      <c r="X4222">
        <v>196</v>
      </c>
      <c r="Y4222">
        <v>0</v>
      </c>
      <c r="Z4222">
        <v>3</v>
      </c>
      <c r="AA4222">
        <v>1</v>
      </c>
      <c r="AB4222">
        <v>11</v>
      </c>
      <c r="AD4222">
        <v>7</v>
      </c>
      <c r="AE4222">
        <v>0</v>
      </c>
      <c r="AF4222">
        <v>0</v>
      </c>
      <c r="AG4222">
        <v>0</v>
      </c>
      <c r="AI4222">
        <v>0</v>
      </c>
      <c r="AJ4222">
        <v>12</v>
      </c>
      <c r="AK4222">
        <v>382</v>
      </c>
      <c r="AL4222">
        <v>382</v>
      </c>
      <c r="AM4222">
        <v>627</v>
      </c>
      <c r="AN4222">
        <v>46</v>
      </c>
      <c r="AP4222">
        <v>1</v>
      </c>
      <c r="AR4222" t="s">
        <v>4322</v>
      </c>
      <c r="AS4222" s="1">
        <v>44354.205555555556</v>
      </c>
      <c r="AT4222" s="1">
        <v>44354.208078703705</v>
      </c>
      <c r="AU4222" s="1">
        <v>44354.208599537036</v>
      </c>
      <c r="AV4222" t="s">
        <v>71</v>
      </c>
      <c r="AW4222" t="s">
        <v>72</v>
      </c>
      <c r="AX4222" t="s">
        <v>73</v>
      </c>
    </row>
    <row r="4223" spans="1:50" x14ac:dyDescent="0.3">
      <c r="A4223" t="str">
        <f>"200265C0200"</f>
        <v>200265C0200</v>
      </c>
      <c r="B4223" t="str">
        <f>"200265C02002"</f>
        <v>200265C02002</v>
      </c>
      <c r="C4223" t="str">
        <f t="shared" si="217"/>
        <v>20</v>
      </c>
      <c r="D4223" t="s">
        <v>67</v>
      </c>
      <c r="E4223" t="str">
        <f t="shared" si="219"/>
        <v>019</v>
      </c>
      <c r="F4223" t="s">
        <v>4278</v>
      </c>
      <c r="G4223" t="str">
        <f>"0265"</f>
        <v>0265</v>
      </c>
      <c r="H4223" t="str">
        <f>"0002"</f>
        <v>0002</v>
      </c>
      <c r="I4223" t="s">
        <v>75</v>
      </c>
      <c r="J4223">
        <v>0</v>
      </c>
      <c r="K4223">
        <v>1</v>
      </c>
      <c r="L4223">
        <v>2</v>
      </c>
      <c r="M4223">
        <v>303</v>
      </c>
      <c r="N4223">
        <v>369</v>
      </c>
      <c r="O4223">
        <v>0</v>
      </c>
      <c r="P4223">
        <v>368</v>
      </c>
      <c r="Q4223">
        <v>8</v>
      </c>
      <c r="R4223">
        <v>61</v>
      </c>
      <c r="S4223">
        <v>5</v>
      </c>
      <c r="T4223">
        <v>3</v>
      </c>
      <c r="U4223">
        <v>59</v>
      </c>
      <c r="V4223">
        <v>4</v>
      </c>
      <c r="W4223">
        <v>4</v>
      </c>
      <c r="X4223">
        <v>184</v>
      </c>
      <c r="Y4223">
        <v>1</v>
      </c>
      <c r="Z4223">
        <v>2</v>
      </c>
      <c r="AA4223">
        <v>1</v>
      </c>
      <c r="AB4223">
        <v>16</v>
      </c>
      <c r="AD4223">
        <v>0</v>
      </c>
      <c r="AE4223">
        <v>0</v>
      </c>
      <c r="AF4223">
        <v>1</v>
      </c>
      <c r="AG4223">
        <v>0</v>
      </c>
      <c r="AI4223">
        <v>0</v>
      </c>
      <c r="AJ4223">
        <v>20</v>
      </c>
      <c r="AK4223">
        <v>369</v>
      </c>
      <c r="AL4223">
        <v>369</v>
      </c>
      <c r="AM4223">
        <v>626</v>
      </c>
      <c r="AN4223">
        <v>46</v>
      </c>
      <c r="AP4223">
        <v>1</v>
      </c>
      <c r="AR4223" t="s">
        <v>4323</v>
      </c>
      <c r="AS4223" s="1">
        <v>44354.198611111111</v>
      </c>
      <c r="AT4223" s="1">
        <v>44354.200092592589</v>
      </c>
      <c r="AU4223" s="1">
        <v>44354.200810185182</v>
      </c>
      <c r="AV4223" t="s">
        <v>71</v>
      </c>
      <c r="AW4223" t="s">
        <v>72</v>
      </c>
      <c r="AX4223" t="s">
        <v>73</v>
      </c>
    </row>
    <row r="4224" spans="1:50" x14ac:dyDescent="0.3">
      <c r="A4224" t="str">
        <f>"200265C0300"</f>
        <v>200265C0300</v>
      </c>
      <c r="B4224" t="str">
        <f>"200265C03002"</f>
        <v>200265C03002</v>
      </c>
      <c r="C4224" t="str">
        <f t="shared" si="217"/>
        <v>20</v>
      </c>
      <c r="D4224" t="s">
        <v>67</v>
      </c>
      <c r="E4224" t="str">
        <f t="shared" si="219"/>
        <v>019</v>
      </c>
      <c r="F4224" t="s">
        <v>4278</v>
      </c>
      <c r="G4224" t="str">
        <f>"0265"</f>
        <v>0265</v>
      </c>
      <c r="H4224" t="str">
        <f>"0003"</f>
        <v>0003</v>
      </c>
      <c r="I4224" t="s">
        <v>75</v>
      </c>
      <c r="J4224">
        <v>0</v>
      </c>
      <c r="K4224">
        <v>1</v>
      </c>
      <c r="L4224">
        <v>2</v>
      </c>
      <c r="M4224">
        <v>276</v>
      </c>
      <c r="N4224">
        <v>396</v>
      </c>
      <c r="O4224">
        <v>1</v>
      </c>
      <c r="P4224">
        <v>396</v>
      </c>
      <c r="Q4224">
        <v>7</v>
      </c>
      <c r="R4224">
        <v>77</v>
      </c>
      <c r="S4224">
        <v>7</v>
      </c>
      <c r="T4224">
        <v>2</v>
      </c>
      <c r="U4224">
        <v>58</v>
      </c>
      <c r="V4224">
        <v>2</v>
      </c>
      <c r="W4224">
        <v>4</v>
      </c>
      <c r="X4224">
        <v>210</v>
      </c>
      <c r="Y4224">
        <v>1</v>
      </c>
      <c r="Z4224">
        <v>1</v>
      </c>
      <c r="AA4224">
        <v>1</v>
      </c>
      <c r="AB4224">
        <v>11</v>
      </c>
      <c r="AD4224">
        <v>2</v>
      </c>
      <c r="AE4224">
        <v>0</v>
      </c>
      <c r="AF4224">
        <v>0</v>
      </c>
      <c r="AG4224">
        <v>0</v>
      </c>
      <c r="AI4224">
        <v>0</v>
      </c>
      <c r="AJ4224">
        <v>13</v>
      </c>
      <c r="AK4224">
        <v>396</v>
      </c>
      <c r="AL4224">
        <v>396</v>
      </c>
      <c r="AM4224">
        <v>626</v>
      </c>
      <c r="AN4224">
        <v>46</v>
      </c>
      <c r="AP4224">
        <v>1</v>
      </c>
      <c r="AR4224" t="s">
        <v>4324</v>
      </c>
      <c r="AS4224" s="1">
        <v>44354.179861111108</v>
      </c>
      <c r="AT4224" s="1">
        <v>44354.181331018517</v>
      </c>
      <c r="AU4224" s="1">
        <v>44354.181990740741</v>
      </c>
      <c r="AV4224" t="s">
        <v>71</v>
      </c>
      <c r="AW4224" t="s">
        <v>72</v>
      </c>
      <c r="AX4224" t="s">
        <v>73</v>
      </c>
    </row>
    <row r="4225" spans="1:50" x14ac:dyDescent="0.3">
      <c r="A4225" t="str">
        <f>"200266B0000"</f>
        <v>200266B0000</v>
      </c>
      <c r="B4225" t="str">
        <f>"200266B00002"</f>
        <v>200266B00002</v>
      </c>
      <c r="C4225" t="str">
        <f t="shared" si="217"/>
        <v>20</v>
      </c>
      <c r="D4225" t="s">
        <v>67</v>
      </c>
      <c r="E4225" t="str">
        <f t="shared" si="219"/>
        <v>019</v>
      </c>
      <c r="F4225" t="s">
        <v>4278</v>
      </c>
      <c r="G4225" t="str">
        <f>"0266"</f>
        <v>0266</v>
      </c>
      <c r="H4225" t="str">
        <f>"0000"</f>
        <v>0000</v>
      </c>
      <c r="I4225" t="s">
        <v>69</v>
      </c>
      <c r="J4225">
        <v>0</v>
      </c>
      <c r="K4225">
        <v>1</v>
      </c>
      <c r="L4225">
        <v>2</v>
      </c>
      <c r="M4225">
        <v>249</v>
      </c>
      <c r="N4225">
        <v>422</v>
      </c>
      <c r="O4225">
        <v>6</v>
      </c>
      <c r="P4225">
        <v>422</v>
      </c>
      <c r="Q4225">
        <v>4</v>
      </c>
      <c r="R4225">
        <v>64</v>
      </c>
      <c r="S4225">
        <v>2</v>
      </c>
      <c r="T4225">
        <v>2</v>
      </c>
      <c r="U4225">
        <v>50</v>
      </c>
      <c r="V4225">
        <v>15</v>
      </c>
      <c r="W4225">
        <v>5</v>
      </c>
      <c r="X4225">
        <v>252</v>
      </c>
      <c r="Y4225">
        <v>2</v>
      </c>
      <c r="Z4225">
        <v>2</v>
      </c>
      <c r="AA4225">
        <v>1</v>
      </c>
      <c r="AB4225">
        <v>9</v>
      </c>
      <c r="AD4225">
        <v>2</v>
      </c>
      <c r="AE4225">
        <v>0</v>
      </c>
      <c r="AF4225">
        <v>0</v>
      </c>
      <c r="AG4225">
        <v>0</v>
      </c>
      <c r="AI4225">
        <v>0</v>
      </c>
      <c r="AJ4225">
        <v>12</v>
      </c>
      <c r="AK4225">
        <v>422</v>
      </c>
      <c r="AL4225">
        <v>422</v>
      </c>
      <c r="AM4225">
        <v>625</v>
      </c>
      <c r="AN4225">
        <v>46</v>
      </c>
      <c r="AP4225">
        <v>1</v>
      </c>
      <c r="AR4225" t="s">
        <v>4325</v>
      </c>
      <c r="AS4225" s="1">
        <v>44354.272222222222</v>
      </c>
      <c r="AT4225" s="1">
        <v>44354.273344907408</v>
      </c>
      <c r="AU4225" s="1">
        <v>44354.274560185186</v>
      </c>
      <c r="AV4225" t="s">
        <v>71</v>
      </c>
      <c r="AW4225" t="s">
        <v>72</v>
      </c>
      <c r="AX4225" t="s">
        <v>73</v>
      </c>
    </row>
    <row r="4226" spans="1:50" x14ac:dyDescent="0.3">
      <c r="A4226" t="str">
        <f>"200267B0000"</f>
        <v>200267B0000</v>
      </c>
      <c r="B4226" t="str">
        <f>"200267B00002"</f>
        <v>200267B00002</v>
      </c>
      <c r="C4226" t="str">
        <f t="shared" si="217"/>
        <v>20</v>
      </c>
      <c r="D4226" t="s">
        <v>67</v>
      </c>
      <c r="E4226" t="str">
        <f t="shared" si="219"/>
        <v>019</v>
      </c>
      <c r="F4226" t="s">
        <v>4278</v>
      </c>
      <c r="G4226" t="str">
        <f>"0267"</f>
        <v>0267</v>
      </c>
      <c r="H4226" t="str">
        <f>"0000"</f>
        <v>0000</v>
      </c>
      <c r="I4226" t="s">
        <v>69</v>
      </c>
      <c r="J4226">
        <v>0</v>
      </c>
      <c r="K4226">
        <v>1</v>
      </c>
      <c r="L4226">
        <v>2</v>
      </c>
      <c r="M4226">
        <v>244</v>
      </c>
      <c r="N4226">
        <v>225</v>
      </c>
      <c r="O4226">
        <v>9</v>
      </c>
      <c r="P4226">
        <v>225</v>
      </c>
      <c r="Q4226">
        <v>7</v>
      </c>
      <c r="R4226">
        <v>41</v>
      </c>
      <c r="S4226">
        <v>0</v>
      </c>
      <c r="T4226">
        <v>4</v>
      </c>
      <c r="U4226">
        <v>25</v>
      </c>
      <c r="V4226">
        <v>4</v>
      </c>
      <c r="W4226">
        <v>0</v>
      </c>
      <c r="X4226">
        <v>125</v>
      </c>
      <c r="Y4226">
        <v>0</v>
      </c>
      <c r="Z4226">
        <v>1</v>
      </c>
      <c r="AA4226">
        <v>1</v>
      </c>
      <c r="AB4226">
        <v>5</v>
      </c>
      <c r="AD4226">
        <v>0</v>
      </c>
      <c r="AE4226">
        <v>0</v>
      </c>
      <c r="AF4226">
        <v>0</v>
      </c>
      <c r="AG4226">
        <v>0</v>
      </c>
      <c r="AI4226">
        <v>0</v>
      </c>
      <c r="AJ4226">
        <v>12</v>
      </c>
      <c r="AK4226">
        <v>225</v>
      </c>
      <c r="AL4226">
        <v>225</v>
      </c>
      <c r="AM4226">
        <v>423</v>
      </c>
      <c r="AN4226">
        <v>46</v>
      </c>
      <c r="AP4226">
        <v>1</v>
      </c>
      <c r="AR4226" t="s">
        <v>4326</v>
      </c>
      <c r="AS4226" s="1">
        <v>44354.308333333334</v>
      </c>
      <c r="AT4226" s="1">
        <v>44354.309791666667</v>
      </c>
      <c r="AU4226" s="1">
        <v>44354.310590277775</v>
      </c>
      <c r="AV4226" t="s">
        <v>71</v>
      </c>
      <c r="AW4226" t="s">
        <v>72</v>
      </c>
      <c r="AX4226" t="s">
        <v>73</v>
      </c>
    </row>
    <row r="4227" spans="1:50" x14ac:dyDescent="0.3">
      <c r="A4227" t="str">
        <f>"200267C0100"</f>
        <v>200267C0100</v>
      </c>
      <c r="B4227" t="str">
        <f>"200267C01002"</f>
        <v>200267C01002</v>
      </c>
      <c r="C4227" t="str">
        <f t="shared" si="217"/>
        <v>20</v>
      </c>
      <c r="D4227" t="s">
        <v>67</v>
      </c>
      <c r="E4227" t="str">
        <f t="shared" si="219"/>
        <v>019</v>
      </c>
      <c r="F4227" t="s">
        <v>4278</v>
      </c>
      <c r="G4227" t="str">
        <f>"0267"</f>
        <v>0267</v>
      </c>
      <c r="H4227" t="str">
        <f>"0001"</f>
        <v>0001</v>
      </c>
      <c r="I4227" t="s">
        <v>75</v>
      </c>
      <c r="J4227">
        <v>0</v>
      </c>
      <c r="K4227">
        <v>1</v>
      </c>
      <c r="L4227">
        <v>2</v>
      </c>
      <c r="M4227">
        <v>221</v>
      </c>
      <c r="N4227">
        <v>247</v>
      </c>
      <c r="O4227">
        <v>7</v>
      </c>
      <c r="P4227">
        <v>247</v>
      </c>
      <c r="Q4227">
        <v>10</v>
      </c>
      <c r="R4227">
        <v>66</v>
      </c>
      <c r="S4227">
        <v>2</v>
      </c>
      <c r="T4227">
        <v>3</v>
      </c>
      <c r="U4227">
        <v>28</v>
      </c>
      <c r="V4227">
        <v>4</v>
      </c>
      <c r="W4227">
        <v>2</v>
      </c>
      <c r="X4227">
        <v>97</v>
      </c>
      <c r="Y4227">
        <v>1</v>
      </c>
      <c r="Z4227">
        <v>2</v>
      </c>
      <c r="AA4227">
        <v>0</v>
      </c>
      <c r="AB4227">
        <v>14</v>
      </c>
      <c r="AD4227">
        <v>2</v>
      </c>
      <c r="AE4227">
        <v>0</v>
      </c>
      <c r="AF4227">
        <v>0</v>
      </c>
      <c r="AG4227">
        <v>0</v>
      </c>
      <c r="AI4227">
        <v>0</v>
      </c>
      <c r="AJ4227">
        <v>16</v>
      </c>
      <c r="AK4227">
        <v>247</v>
      </c>
      <c r="AL4227">
        <v>247</v>
      </c>
      <c r="AM4227">
        <v>422</v>
      </c>
      <c r="AN4227">
        <v>46</v>
      </c>
      <c r="AP4227">
        <v>1</v>
      </c>
      <c r="AR4227" t="s">
        <v>4327</v>
      </c>
      <c r="AS4227" s="1">
        <v>44354.279166666667</v>
      </c>
      <c r="AT4227" s="1">
        <v>44354.281273148146</v>
      </c>
      <c r="AU4227" s="1">
        <v>44354.281898148147</v>
      </c>
      <c r="AV4227" t="s">
        <v>71</v>
      </c>
      <c r="AW4227" t="s">
        <v>72</v>
      </c>
      <c r="AX4227" t="s">
        <v>73</v>
      </c>
    </row>
    <row r="4228" spans="1:50" x14ac:dyDescent="0.3">
      <c r="A4228" t="str">
        <f>"200267S0100"</f>
        <v>200267S0100</v>
      </c>
      <c r="B4228" t="str">
        <f>"200267S01002EMR"</f>
        <v>200267S01002EMR</v>
      </c>
      <c r="C4228" t="str">
        <f t="shared" si="217"/>
        <v>20</v>
      </c>
      <c r="D4228" t="s">
        <v>67</v>
      </c>
      <c r="E4228" t="str">
        <f t="shared" si="219"/>
        <v>019</v>
      </c>
      <c r="F4228" t="s">
        <v>4278</v>
      </c>
      <c r="G4228" t="str">
        <f>"0267"</f>
        <v>0267</v>
      </c>
      <c r="H4228" t="str">
        <f>"0001"</f>
        <v>0001</v>
      </c>
      <c r="I4228" t="s">
        <v>85</v>
      </c>
      <c r="J4228">
        <v>0</v>
      </c>
      <c r="K4228">
        <v>1</v>
      </c>
      <c r="L4228" t="s">
        <v>86</v>
      </c>
      <c r="AM4228">
        <v>0</v>
      </c>
      <c r="AN4228">
        <v>46</v>
      </c>
      <c r="AO4228" t="s">
        <v>352</v>
      </c>
      <c r="AP4228">
        <v>0</v>
      </c>
      <c r="AR4228" t="s">
        <v>4328</v>
      </c>
      <c r="AS4228" s="1">
        <v>44354.625</v>
      </c>
      <c r="AT4228" s="1">
        <v>44354.643576388888</v>
      </c>
      <c r="AU4228" s="1">
        <v>44354.643576388888</v>
      </c>
      <c r="AV4228" t="s">
        <v>71</v>
      </c>
      <c r="AW4228" t="s">
        <v>72</v>
      </c>
      <c r="AX4228" t="s">
        <v>73</v>
      </c>
    </row>
    <row r="4229" spans="1:50" x14ac:dyDescent="0.3">
      <c r="A4229" t="str">
        <f>"200268B0000"</f>
        <v>200268B0000</v>
      </c>
      <c r="B4229" t="str">
        <f>"200268B00002"</f>
        <v>200268B00002</v>
      </c>
      <c r="C4229" t="str">
        <f t="shared" si="217"/>
        <v>20</v>
      </c>
      <c r="D4229" t="s">
        <v>67</v>
      </c>
      <c r="E4229" t="str">
        <f t="shared" si="219"/>
        <v>019</v>
      </c>
      <c r="F4229" t="s">
        <v>4278</v>
      </c>
      <c r="G4229" t="str">
        <f>"0268"</f>
        <v>0268</v>
      </c>
      <c r="H4229" t="str">
        <f>"0000"</f>
        <v>0000</v>
      </c>
      <c r="I4229" t="s">
        <v>69</v>
      </c>
      <c r="J4229">
        <v>0</v>
      </c>
      <c r="K4229">
        <v>1</v>
      </c>
      <c r="L4229">
        <v>2</v>
      </c>
      <c r="M4229">
        <v>162</v>
      </c>
      <c r="N4229">
        <v>290</v>
      </c>
      <c r="O4229">
        <v>6</v>
      </c>
      <c r="P4229">
        <v>290</v>
      </c>
      <c r="Q4229">
        <v>4</v>
      </c>
      <c r="R4229">
        <v>59</v>
      </c>
      <c r="S4229">
        <v>1</v>
      </c>
      <c r="T4229">
        <v>4</v>
      </c>
      <c r="U4229">
        <v>47</v>
      </c>
      <c r="V4229">
        <v>4</v>
      </c>
      <c r="W4229">
        <v>2</v>
      </c>
      <c r="X4229">
        <v>157</v>
      </c>
      <c r="Y4229">
        <v>0</v>
      </c>
      <c r="Z4229">
        <v>0</v>
      </c>
      <c r="AA4229">
        <v>0</v>
      </c>
      <c r="AB4229">
        <v>0</v>
      </c>
      <c r="AD4229">
        <v>0</v>
      </c>
      <c r="AE4229">
        <v>0</v>
      </c>
      <c r="AF4229">
        <v>0</v>
      </c>
      <c r="AG4229">
        <v>0</v>
      </c>
      <c r="AI4229">
        <v>0</v>
      </c>
      <c r="AJ4229">
        <v>8</v>
      </c>
      <c r="AK4229">
        <v>290</v>
      </c>
      <c r="AL4229">
        <v>286</v>
      </c>
      <c r="AM4229">
        <v>406</v>
      </c>
      <c r="AN4229">
        <v>46</v>
      </c>
      <c r="AP4229">
        <v>1</v>
      </c>
      <c r="AR4229" t="s">
        <v>4329</v>
      </c>
      <c r="AS4229" s="1">
        <v>44354.440972222219</v>
      </c>
      <c r="AT4229" s="1">
        <v>44354.443472222221</v>
      </c>
      <c r="AU4229" s="1">
        <v>44354.443749999999</v>
      </c>
      <c r="AV4229" t="s">
        <v>71</v>
      </c>
      <c r="AW4229" t="s">
        <v>72</v>
      </c>
      <c r="AX4229" t="s">
        <v>73</v>
      </c>
    </row>
    <row r="4230" spans="1:50" x14ac:dyDescent="0.3">
      <c r="A4230" t="str">
        <f>"200268C0100"</f>
        <v>200268C0100</v>
      </c>
      <c r="B4230" t="str">
        <f>"200268C01002"</f>
        <v>200268C01002</v>
      </c>
      <c r="C4230" t="str">
        <f t="shared" si="217"/>
        <v>20</v>
      </c>
      <c r="D4230" t="s">
        <v>67</v>
      </c>
      <c r="E4230" t="str">
        <f t="shared" si="219"/>
        <v>019</v>
      </c>
      <c r="F4230" t="s">
        <v>4278</v>
      </c>
      <c r="G4230" t="str">
        <f>"0268"</f>
        <v>0268</v>
      </c>
      <c r="H4230" t="str">
        <f>"0001"</f>
        <v>0001</v>
      </c>
      <c r="I4230" t="s">
        <v>75</v>
      </c>
      <c r="J4230">
        <v>0</v>
      </c>
      <c r="K4230">
        <v>1</v>
      </c>
      <c r="L4230">
        <v>2</v>
      </c>
      <c r="M4230">
        <v>170</v>
      </c>
      <c r="N4230">
        <v>282</v>
      </c>
      <c r="O4230">
        <v>5</v>
      </c>
      <c r="P4230">
        <v>282</v>
      </c>
      <c r="Q4230">
        <v>2</v>
      </c>
      <c r="R4230">
        <v>62</v>
      </c>
      <c r="S4230">
        <v>3</v>
      </c>
      <c r="T4230">
        <v>1</v>
      </c>
      <c r="U4230">
        <v>29</v>
      </c>
      <c r="V4230">
        <v>2</v>
      </c>
      <c r="W4230">
        <v>0</v>
      </c>
      <c r="X4230">
        <v>169</v>
      </c>
      <c r="Y4230">
        <v>0</v>
      </c>
      <c r="Z4230">
        <v>0</v>
      </c>
      <c r="AA4230">
        <v>0</v>
      </c>
      <c r="AB4230">
        <v>2</v>
      </c>
      <c r="AD4230">
        <v>0</v>
      </c>
      <c r="AE4230">
        <v>0</v>
      </c>
      <c r="AF4230">
        <v>0</v>
      </c>
      <c r="AG4230">
        <v>0</v>
      </c>
      <c r="AI4230">
        <v>0</v>
      </c>
      <c r="AJ4230">
        <v>12</v>
      </c>
      <c r="AK4230">
        <v>282</v>
      </c>
      <c r="AL4230">
        <v>282</v>
      </c>
      <c r="AM4230">
        <v>406</v>
      </c>
      <c r="AN4230">
        <v>46</v>
      </c>
      <c r="AP4230">
        <v>1</v>
      </c>
      <c r="AR4230" t="s">
        <v>4330</v>
      </c>
      <c r="AS4230" s="1">
        <v>44354.206250000003</v>
      </c>
      <c r="AT4230" s="1">
        <v>44354.207858796297</v>
      </c>
      <c r="AU4230" s="1">
        <v>44354.208495370367</v>
      </c>
      <c r="AV4230" t="s">
        <v>71</v>
      </c>
      <c r="AW4230" t="s">
        <v>72</v>
      </c>
      <c r="AX4230" t="s">
        <v>73</v>
      </c>
    </row>
    <row r="4231" spans="1:50" x14ac:dyDescent="0.3">
      <c r="A4231" t="str">
        <f>"200269B0000"</f>
        <v>200269B0000</v>
      </c>
      <c r="B4231" t="str">
        <f>"200269B00002"</f>
        <v>200269B00002</v>
      </c>
      <c r="C4231" t="str">
        <f t="shared" ref="C4231:C4294" si="220">"20"</f>
        <v>20</v>
      </c>
      <c r="D4231" t="s">
        <v>67</v>
      </c>
      <c r="E4231" t="str">
        <f t="shared" si="219"/>
        <v>019</v>
      </c>
      <c r="F4231" t="s">
        <v>4278</v>
      </c>
      <c r="G4231" t="str">
        <f>"0269"</f>
        <v>0269</v>
      </c>
      <c r="H4231" t="str">
        <f>"0000"</f>
        <v>0000</v>
      </c>
      <c r="I4231" t="s">
        <v>69</v>
      </c>
      <c r="J4231">
        <v>0</v>
      </c>
      <c r="K4231">
        <v>1</v>
      </c>
      <c r="L4231">
        <v>2</v>
      </c>
      <c r="M4231">
        <v>314</v>
      </c>
      <c r="N4231">
        <v>453</v>
      </c>
      <c r="O4231">
        <v>2</v>
      </c>
      <c r="P4231">
        <v>453</v>
      </c>
      <c r="Q4231">
        <v>5</v>
      </c>
      <c r="R4231">
        <v>80</v>
      </c>
      <c r="S4231">
        <v>5</v>
      </c>
      <c r="T4231">
        <v>2</v>
      </c>
      <c r="U4231">
        <v>60</v>
      </c>
      <c r="V4231">
        <v>13</v>
      </c>
      <c r="W4231">
        <v>1</v>
      </c>
      <c r="X4231">
        <v>254</v>
      </c>
      <c r="Y4231">
        <v>3</v>
      </c>
      <c r="Z4231">
        <v>2</v>
      </c>
      <c r="AA4231">
        <v>5</v>
      </c>
      <c r="AB4231">
        <v>4</v>
      </c>
      <c r="AD4231" t="s">
        <v>77</v>
      </c>
      <c r="AE4231" t="s">
        <v>77</v>
      </c>
      <c r="AF4231" t="s">
        <v>77</v>
      </c>
      <c r="AG4231" t="s">
        <v>77</v>
      </c>
      <c r="AI4231" t="s">
        <v>77</v>
      </c>
      <c r="AJ4231">
        <v>19</v>
      </c>
      <c r="AK4231">
        <v>453</v>
      </c>
      <c r="AL4231">
        <v>453</v>
      </c>
      <c r="AM4231">
        <v>721</v>
      </c>
      <c r="AN4231">
        <v>46</v>
      </c>
      <c r="AO4231" t="s">
        <v>78</v>
      </c>
      <c r="AP4231">
        <v>1</v>
      </c>
      <c r="AR4231" t="s">
        <v>4331</v>
      </c>
      <c r="AS4231" s="1">
        <v>44354.231249999997</v>
      </c>
      <c r="AT4231" s="1">
        <v>44354.233113425929</v>
      </c>
      <c r="AU4231" s="1">
        <v>44354.233680555553</v>
      </c>
      <c r="AV4231" t="s">
        <v>71</v>
      </c>
      <c r="AW4231" t="s">
        <v>72</v>
      </c>
      <c r="AX4231" t="s">
        <v>73</v>
      </c>
    </row>
    <row r="4232" spans="1:50" x14ac:dyDescent="0.3">
      <c r="A4232" t="str">
        <f>"200269C0100"</f>
        <v>200269C0100</v>
      </c>
      <c r="B4232" t="str">
        <f>"200269C01002"</f>
        <v>200269C01002</v>
      </c>
      <c r="C4232" t="str">
        <f t="shared" si="220"/>
        <v>20</v>
      </c>
      <c r="D4232" t="s">
        <v>67</v>
      </c>
      <c r="E4232" t="str">
        <f t="shared" si="219"/>
        <v>019</v>
      </c>
      <c r="F4232" t="s">
        <v>4278</v>
      </c>
      <c r="G4232" t="str">
        <f>"0269"</f>
        <v>0269</v>
      </c>
      <c r="H4232" t="str">
        <f>"0001"</f>
        <v>0001</v>
      </c>
      <c r="I4232" t="s">
        <v>75</v>
      </c>
      <c r="J4232">
        <v>0</v>
      </c>
      <c r="K4232">
        <v>1</v>
      </c>
      <c r="L4232">
        <v>2</v>
      </c>
      <c r="M4232">
        <v>336</v>
      </c>
      <c r="N4232">
        <v>430</v>
      </c>
      <c r="O4232">
        <v>2</v>
      </c>
      <c r="P4232">
        <v>430</v>
      </c>
      <c r="Q4232">
        <v>7</v>
      </c>
      <c r="R4232">
        <v>69</v>
      </c>
      <c r="S4232">
        <v>1</v>
      </c>
      <c r="T4232">
        <v>4</v>
      </c>
      <c r="U4232">
        <v>72</v>
      </c>
      <c r="V4232">
        <v>6</v>
      </c>
      <c r="W4232">
        <v>2</v>
      </c>
      <c r="X4232">
        <v>234</v>
      </c>
      <c r="Y4232">
        <v>0</v>
      </c>
      <c r="Z4232">
        <v>4</v>
      </c>
      <c r="AA4232">
        <v>2</v>
      </c>
      <c r="AB4232">
        <v>7</v>
      </c>
      <c r="AD4232">
        <v>3</v>
      </c>
      <c r="AE4232">
        <v>1</v>
      </c>
      <c r="AF4232">
        <v>0</v>
      </c>
      <c r="AG4232">
        <v>0</v>
      </c>
      <c r="AI4232">
        <v>0</v>
      </c>
      <c r="AJ4232">
        <v>18</v>
      </c>
      <c r="AK4232">
        <v>430</v>
      </c>
      <c r="AL4232">
        <v>430</v>
      </c>
      <c r="AM4232">
        <v>720</v>
      </c>
      <c r="AN4232">
        <v>46</v>
      </c>
      <c r="AP4232">
        <v>1</v>
      </c>
      <c r="AR4232" t="s">
        <v>4332</v>
      </c>
      <c r="AS4232" s="1">
        <v>44354.231249999997</v>
      </c>
      <c r="AT4232" s="1">
        <v>44354.23474537037</v>
      </c>
      <c r="AU4232" s="1">
        <v>44354.235127314816</v>
      </c>
      <c r="AV4232" t="s">
        <v>71</v>
      </c>
      <c r="AW4232" t="s">
        <v>72</v>
      </c>
      <c r="AX4232" t="s">
        <v>73</v>
      </c>
    </row>
    <row r="4233" spans="1:50" x14ac:dyDescent="0.3">
      <c r="A4233" t="str">
        <f>"200270B0000"</f>
        <v>200270B0000</v>
      </c>
      <c r="B4233" t="str">
        <f>"200270B00002"</f>
        <v>200270B00002</v>
      </c>
      <c r="C4233" t="str">
        <f t="shared" si="220"/>
        <v>20</v>
      </c>
      <c r="D4233" t="s">
        <v>67</v>
      </c>
      <c r="E4233" t="str">
        <f t="shared" si="219"/>
        <v>019</v>
      </c>
      <c r="F4233" t="s">
        <v>4278</v>
      </c>
      <c r="G4233" t="str">
        <f>"0270"</f>
        <v>0270</v>
      </c>
      <c r="H4233" t="str">
        <f>"0000"</f>
        <v>0000</v>
      </c>
      <c r="I4233" t="s">
        <v>69</v>
      </c>
      <c r="J4233">
        <v>0</v>
      </c>
      <c r="K4233">
        <v>1</v>
      </c>
      <c r="L4233">
        <v>2</v>
      </c>
      <c r="M4233">
        <v>331</v>
      </c>
      <c r="N4233">
        <v>365</v>
      </c>
      <c r="O4233">
        <v>1</v>
      </c>
      <c r="P4233">
        <v>364</v>
      </c>
      <c r="Q4233">
        <v>3</v>
      </c>
      <c r="R4233">
        <v>62</v>
      </c>
      <c r="S4233">
        <v>5</v>
      </c>
      <c r="T4233">
        <v>4</v>
      </c>
      <c r="U4233">
        <v>54</v>
      </c>
      <c r="V4233">
        <v>7</v>
      </c>
      <c r="W4233">
        <v>1</v>
      </c>
      <c r="X4233">
        <v>204</v>
      </c>
      <c r="Y4233">
        <v>1</v>
      </c>
      <c r="Z4233">
        <v>3</v>
      </c>
      <c r="AA4233">
        <v>4</v>
      </c>
      <c r="AB4233">
        <v>10</v>
      </c>
      <c r="AD4233">
        <v>1</v>
      </c>
      <c r="AE4233">
        <v>0</v>
      </c>
      <c r="AF4233">
        <v>0</v>
      </c>
      <c r="AG4233">
        <v>0</v>
      </c>
      <c r="AI4233">
        <v>0</v>
      </c>
      <c r="AJ4233">
        <v>5</v>
      </c>
      <c r="AK4233">
        <v>364</v>
      </c>
      <c r="AL4233">
        <v>364</v>
      </c>
      <c r="AM4233">
        <v>650</v>
      </c>
      <c r="AN4233">
        <v>46</v>
      </c>
      <c r="AP4233">
        <v>1</v>
      </c>
      <c r="AR4233" t="s">
        <v>4333</v>
      </c>
      <c r="AS4233" s="1">
        <v>44354.122916666667</v>
      </c>
      <c r="AT4233" s="1">
        <v>44354.124259259261</v>
      </c>
      <c r="AU4233" s="1">
        <v>44354.125289351854</v>
      </c>
      <c r="AV4233" t="s">
        <v>71</v>
      </c>
      <c r="AW4233" t="s">
        <v>72</v>
      </c>
      <c r="AX4233" t="s">
        <v>73</v>
      </c>
    </row>
    <row r="4234" spans="1:50" x14ac:dyDescent="0.3">
      <c r="A4234" t="str">
        <f>"200270C0100"</f>
        <v>200270C0100</v>
      </c>
      <c r="B4234" t="str">
        <f>"200270C01002"</f>
        <v>200270C01002</v>
      </c>
      <c r="C4234" t="str">
        <f t="shared" si="220"/>
        <v>20</v>
      </c>
      <c r="D4234" t="s">
        <v>67</v>
      </c>
      <c r="E4234" t="str">
        <f t="shared" si="219"/>
        <v>019</v>
      </c>
      <c r="F4234" t="s">
        <v>4278</v>
      </c>
      <c r="G4234" t="str">
        <f>"0270"</f>
        <v>0270</v>
      </c>
      <c r="H4234" t="str">
        <f>"0001"</f>
        <v>0001</v>
      </c>
      <c r="I4234" t="s">
        <v>75</v>
      </c>
      <c r="J4234">
        <v>0</v>
      </c>
      <c r="K4234">
        <v>1</v>
      </c>
      <c r="L4234">
        <v>2</v>
      </c>
      <c r="M4234">
        <v>321</v>
      </c>
      <c r="N4234">
        <v>693</v>
      </c>
      <c r="O4234">
        <v>1</v>
      </c>
      <c r="P4234">
        <v>371</v>
      </c>
      <c r="Q4234">
        <v>3</v>
      </c>
      <c r="R4234">
        <v>41</v>
      </c>
      <c r="S4234">
        <v>3</v>
      </c>
      <c r="T4234">
        <v>2</v>
      </c>
      <c r="U4234">
        <v>50</v>
      </c>
      <c r="V4234">
        <v>6</v>
      </c>
      <c r="W4234">
        <v>2</v>
      </c>
      <c r="X4234">
        <v>222</v>
      </c>
      <c r="Y4234">
        <v>2</v>
      </c>
      <c r="Z4234">
        <v>5</v>
      </c>
      <c r="AA4234">
        <v>2</v>
      </c>
      <c r="AB4234">
        <v>20</v>
      </c>
      <c r="AD4234">
        <v>2</v>
      </c>
      <c r="AE4234">
        <v>0</v>
      </c>
      <c r="AF4234">
        <v>0</v>
      </c>
      <c r="AG4234">
        <v>0</v>
      </c>
      <c r="AI4234">
        <v>1</v>
      </c>
      <c r="AJ4234">
        <v>10</v>
      </c>
      <c r="AK4234">
        <v>371</v>
      </c>
      <c r="AL4234">
        <v>371</v>
      </c>
      <c r="AM4234">
        <v>649</v>
      </c>
      <c r="AN4234">
        <v>46</v>
      </c>
      <c r="AP4234">
        <v>1</v>
      </c>
      <c r="AR4234" t="s">
        <v>4334</v>
      </c>
      <c r="AS4234" s="1">
        <v>44354.14166666667</v>
      </c>
      <c r="AT4234" s="1">
        <v>44354.143078703702</v>
      </c>
      <c r="AU4234" s="1">
        <v>44354.143622685187</v>
      </c>
      <c r="AV4234" t="s">
        <v>71</v>
      </c>
      <c r="AW4234" t="s">
        <v>72</v>
      </c>
      <c r="AX4234" t="s">
        <v>73</v>
      </c>
    </row>
    <row r="4235" spans="1:50" x14ac:dyDescent="0.3">
      <c r="A4235" t="str">
        <f>"200270C0200"</f>
        <v>200270C0200</v>
      </c>
      <c r="B4235" t="str">
        <f>"200270C02002"</f>
        <v>200270C02002</v>
      </c>
      <c r="C4235" t="str">
        <f t="shared" si="220"/>
        <v>20</v>
      </c>
      <c r="D4235" t="s">
        <v>67</v>
      </c>
      <c r="E4235" t="str">
        <f t="shared" si="219"/>
        <v>019</v>
      </c>
      <c r="F4235" t="s">
        <v>4278</v>
      </c>
      <c r="G4235" t="str">
        <f>"0270"</f>
        <v>0270</v>
      </c>
      <c r="H4235" t="str">
        <f>"0002"</f>
        <v>0002</v>
      </c>
      <c r="I4235" t="s">
        <v>75</v>
      </c>
      <c r="J4235">
        <v>0</v>
      </c>
      <c r="K4235">
        <v>1</v>
      </c>
      <c r="L4235">
        <v>2</v>
      </c>
      <c r="M4235">
        <v>335</v>
      </c>
      <c r="N4235">
        <v>359</v>
      </c>
      <c r="O4235">
        <v>0</v>
      </c>
      <c r="P4235">
        <v>359</v>
      </c>
      <c r="Q4235">
        <v>5</v>
      </c>
      <c r="R4235">
        <v>48</v>
      </c>
      <c r="S4235">
        <v>4</v>
      </c>
      <c r="T4235">
        <v>4</v>
      </c>
      <c r="U4235">
        <v>55</v>
      </c>
      <c r="V4235">
        <v>4</v>
      </c>
      <c r="W4235">
        <v>2</v>
      </c>
      <c r="X4235">
        <v>208</v>
      </c>
      <c r="Y4235">
        <v>2</v>
      </c>
      <c r="Z4235">
        <v>1</v>
      </c>
      <c r="AA4235">
        <v>1</v>
      </c>
      <c r="AB4235">
        <v>15</v>
      </c>
      <c r="AD4235">
        <v>0</v>
      </c>
      <c r="AE4235">
        <v>0</v>
      </c>
      <c r="AF4235">
        <v>0</v>
      </c>
      <c r="AG4235">
        <v>0</v>
      </c>
      <c r="AI4235">
        <v>0</v>
      </c>
      <c r="AJ4235">
        <v>10</v>
      </c>
      <c r="AK4235">
        <v>359</v>
      </c>
      <c r="AL4235">
        <v>359</v>
      </c>
      <c r="AM4235">
        <v>649</v>
      </c>
      <c r="AN4235">
        <v>46</v>
      </c>
      <c r="AP4235">
        <v>1</v>
      </c>
      <c r="AR4235" t="s">
        <v>4335</v>
      </c>
      <c r="AS4235" s="1">
        <v>44354.507638888892</v>
      </c>
      <c r="AT4235" s="1">
        <v>44354.509305555555</v>
      </c>
      <c r="AU4235" s="1">
        <v>44354.510277777779</v>
      </c>
      <c r="AV4235" t="s">
        <v>71</v>
      </c>
      <c r="AW4235" t="s">
        <v>72</v>
      </c>
      <c r="AX4235" t="s">
        <v>73</v>
      </c>
    </row>
    <row r="4236" spans="1:50" x14ac:dyDescent="0.3">
      <c r="A4236" t="str">
        <f>"200270S0100"</f>
        <v>200270S0100</v>
      </c>
      <c r="B4236" t="str">
        <f>"200270S01002EMR"</f>
        <v>200270S01002EMR</v>
      </c>
      <c r="C4236" t="str">
        <f t="shared" si="220"/>
        <v>20</v>
      </c>
      <c r="D4236" t="s">
        <v>67</v>
      </c>
      <c r="E4236" t="str">
        <f t="shared" si="219"/>
        <v>019</v>
      </c>
      <c r="F4236" t="s">
        <v>4278</v>
      </c>
      <c r="G4236" t="str">
        <f>"0270"</f>
        <v>0270</v>
      </c>
      <c r="H4236" t="str">
        <f>"0001"</f>
        <v>0001</v>
      </c>
      <c r="I4236" t="s">
        <v>85</v>
      </c>
      <c r="J4236">
        <v>0</v>
      </c>
      <c r="K4236">
        <v>1</v>
      </c>
      <c r="L4236" t="s">
        <v>86</v>
      </c>
      <c r="AM4236">
        <v>0</v>
      </c>
      <c r="AN4236">
        <v>46</v>
      </c>
      <c r="AO4236" t="s">
        <v>352</v>
      </c>
      <c r="AP4236">
        <v>0</v>
      </c>
      <c r="AR4236" t="s">
        <v>4336</v>
      </c>
      <c r="AS4236" s="1">
        <v>44354.655555555553</v>
      </c>
      <c r="AT4236" s="1">
        <v>44354.658553240741</v>
      </c>
      <c r="AU4236" s="1">
        <v>44354.658553240741</v>
      </c>
      <c r="AV4236" t="s">
        <v>71</v>
      </c>
      <c r="AW4236" t="s">
        <v>72</v>
      </c>
      <c r="AX4236" t="s">
        <v>73</v>
      </c>
    </row>
    <row r="4237" spans="1:50" x14ac:dyDescent="0.3">
      <c r="A4237" t="str">
        <f>"200271B0000"</f>
        <v>200271B0000</v>
      </c>
      <c r="B4237" t="str">
        <f>"200271B00002"</f>
        <v>200271B00002</v>
      </c>
      <c r="C4237" t="str">
        <f t="shared" si="220"/>
        <v>20</v>
      </c>
      <c r="D4237" t="s">
        <v>67</v>
      </c>
      <c r="E4237" t="str">
        <f t="shared" si="219"/>
        <v>019</v>
      </c>
      <c r="F4237" t="s">
        <v>4278</v>
      </c>
      <c r="G4237" t="str">
        <f>"0271"</f>
        <v>0271</v>
      </c>
      <c r="H4237" t="str">
        <f>"0000"</f>
        <v>0000</v>
      </c>
      <c r="I4237" t="s">
        <v>69</v>
      </c>
      <c r="J4237">
        <v>0</v>
      </c>
      <c r="K4237">
        <v>1</v>
      </c>
      <c r="L4237">
        <v>2</v>
      </c>
      <c r="AM4237">
        <v>558</v>
      </c>
      <c r="AN4237">
        <v>46</v>
      </c>
      <c r="AO4237" t="s">
        <v>352</v>
      </c>
      <c r="AP4237">
        <v>0</v>
      </c>
      <c r="AR4237" t="s">
        <v>4337</v>
      </c>
      <c r="AS4237" s="1">
        <v>44354.625</v>
      </c>
      <c r="AT4237" s="1">
        <v>44354.642488425925</v>
      </c>
      <c r="AU4237" s="1">
        <v>44354.642488425925</v>
      </c>
      <c r="AV4237" t="s">
        <v>71</v>
      </c>
      <c r="AW4237" t="s">
        <v>72</v>
      </c>
      <c r="AX4237" t="s">
        <v>73</v>
      </c>
    </row>
    <row r="4238" spans="1:50" x14ac:dyDescent="0.3">
      <c r="A4238" t="str">
        <f>"200271C0100"</f>
        <v>200271C0100</v>
      </c>
      <c r="B4238" t="str">
        <f>"200271C01002"</f>
        <v>200271C01002</v>
      </c>
      <c r="C4238" t="str">
        <f t="shared" si="220"/>
        <v>20</v>
      </c>
      <c r="D4238" t="s">
        <v>67</v>
      </c>
      <c r="E4238" t="str">
        <f t="shared" si="219"/>
        <v>019</v>
      </c>
      <c r="F4238" t="s">
        <v>4278</v>
      </c>
      <c r="G4238" t="str">
        <f>"0271"</f>
        <v>0271</v>
      </c>
      <c r="H4238" t="str">
        <f>"0001"</f>
        <v>0001</v>
      </c>
      <c r="I4238" t="s">
        <v>75</v>
      </c>
      <c r="J4238">
        <v>0</v>
      </c>
      <c r="K4238">
        <v>1</v>
      </c>
      <c r="L4238">
        <v>2</v>
      </c>
      <c r="AM4238">
        <v>558</v>
      </c>
      <c r="AN4238">
        <v>46</v>
      </c>
      <c r="AO4238" t="s">
        <v>352</v>
      </c>
      <c r="AP4238">
        <v>0</v>
      </c>
      <c r="AR4238" t="s">
        <v>4338</v>
      </c>
      <c r="AS4238" s="1">
        <v>44354.625</v>
      </c>
      <c r="AT4238" s="1">
        <v>44354.643240740741</v>
      </c>
      <c r="AU4238" s="1">
        <v>44354.643240740741</v>
      </c>
      <c r="AV4238" t="s">
        <v>71</v>
      </c>
      <c r="AW4238" t="s">
        <v>72</v>
      </c>
      <c r="AX4238" t="s">
        <v>73</v>
      </c>
    </row>
    <row r="4239" spans="1:50" x14ac:dyDescent="0.3">
      <c r="A4239" t="str">
        <f>"200272B0000"</f>
        <v>200272B0000</v>
      </c>
      <c r="B4239" t="str">
        <f>"200272B00002"</f>
        <v>200272B00002</v>
      </c>
      <c r="C4239" t="str">
        <f t="shared" si="220"/>
        <v>20</v>
      </c>
      <c r="D4239" t="s">
        <v>67</v>
      </c>
      <c r="E4239" t="str">
        <f t="shared" si="219"/>
        <v>019</v>
      </c>
      <c r="F4239" t="s">
        <v>4278</v>
      </c>
      <c r="G4239" t="str">
        <f>"0272"</f>
        <v>0272</v>
      </c>
      <c r="H4239" t="str">
        <f>"0000"</f>
        <v>0000</v>
      </c>
      <c r="I4239" t="s">
        <v>69</v>
      </c>
      <c r="J4239">
        <v>0</v>
      </c>
      <c r="K4239">
        <v>1</v>
      </c>
      <c r="L4239">
        <v>2</v>
      </c>
      <c r="M4239">
        <v>247</v>
      </c>
      <c r="N4239">
        <v>416</v>
      </c>
      <c r="O4239">
        <v>0</v>
      </c>
      <c r="P4239">
        <v>416</v>
      </c>
      <c r="Q4239">
        <v>3</v>
      </c>
      <c r="R4239">
        <v>82</v>
      </c>
      <c r="S4239">
        <v>6</v>
      </c>
      <c r="T4239">
        <v>2</v>
      </c>
      <c r="U4239">
        <v>51</v>
      </c>
      <c r="V4239">
        <v>6</v>
      </c>
      <c r="W4239">
        <v>0</v>
      </c>
      <c r="X4239">
        <v>230</v>
      </c>
      <c r="Y4239">
        <v>4</v>
      </c>
      <c r="Z4239">
        <v>1</v>
      </c>
      <c r="AA4239">
        <v>2</v>
      </c>
      <c r="AB4239">
        <v>9</v>
      </c>
      <c r="AD4239">
        <v>2</v>
      </c>
      <c r="AE4239">
        <v>0</v>
      </c>
      <c r="AF4239">
        <v>0</v>
      </c>
      <c r="AG4239">
        <v>0</v>
      </c>
      <c r="AI4239">
        <v>0</v>
      </c>
      <c r="AJ4239">
        <v>18</v>
      </c>
      <c r="AK4239">
        <v>416</v>
      </c>
      <c r="AL4239">
        <v>416</v>
      </c>
      <c r="AM4239">
        <v>617</v>
      </c>
      <c r="AN4239">
        <v>46</v>
      </c>
      <c r="AP4239">
        <v>1</v>
      </c>
      <c r="AR4239" t="s">
        <v>4339</v>
      </c>
      <c r="AS4239" s="1">
        <v>44354.122916666667</v>
      </c>
      <c r="AT4239" s="1">
        <v>44354.123622685183</v>
      </c>
      <c r="AU4239" s="1">
        <v>44354.124212962961</v>
      </c>
      <c r="AV4239" t="s">
        <v>71</v>
      </c>
      <c r="AW4239" t="s">
        <v>72</v>
      </c>
      <c r="AX4239" t="s">
        <v>73</v>
      </c>
    </row>
    <row r="4240" spans="1:50" x14ac:dyDescent="0.3">
      <c r="A4240" t="str">
        <f>"200272C0100"</f>
        <v>200272C0100</v>
      </c>
      <c r="B4240" t="str">
        <f>"200272C01002"</f>
        <v>200272C01002</v>
      </c>
      <c r="C4240" t="str">
        <f t="shared" si="220"/>
        <v>20</v>
      </c>
      <c r="D4240" t="s">
        <v>67</v>
      </c>
      <c r="E4240" t="str">
        <f t="shared" si="219"/>
        <v>019</v>
      </c>
      <c r="F4240" t="s">
        <v>4278</v>
      </c>
      <c r="G4240" t="str">
        <f>"0272"</f>
        <v>0272</v>
      </c>
      <c r="H4240" t="str">
        <f>"0001"</f>
        <v>0001</v>
      </c>
      <c r="I4240" t="s">
        <v>75</v>
      </c>
      <c r="J4240">
        <v>0</v>
      </c>
      <c r="K4240">
        <v>1</v>
      </c>
      <c r="L4240">
        <v>2</v>
      </c>
      <c r="M4240">
        <v>269</v>
      </c>
      <c r="N4240">
        <v>393</v>
      </c>
      <c r="O4240">
        <v>1</v>
      </c>
      <c r="P4240" t="s">
        <v>80</v>
      </c>
      <c r="Q4240">
        <v>8</v>
      </c>
      <c r="R4240">
        <v>66</v>
      </c>
      <c r="S4240">
        <v>4</v>
      </c>
      <c r="T4240">
        <v>3</v>
      </c>
      <c r="U4240">
        <v>43</v>
      </c>
      <c r="V4240">
        <v>3</v>
      </c>
      <c r="W4240">
        <v>2</v>
      </c>
      <c r="X4240">
        <v>219</v>
      </c>
      <c r="Y4240">
        <v>6</v>
      </c>
      <c r="Z4240">
        <v>0</v>
      </c>
      <c r="AA4240">
        <v>2</v>
      </c>
      <c r="AB4240">
        <v>18</v>
      </c>
      <c r="AD4240">
        <v>0</v>
      </c>
      <c r="AE4240">
        <v>0</v>
      </c>
      <c r="AF4240">
        <v>0</v>
      </c>
      <c r="AG4240">
        <v>0</v>
      </c>
      <c r="AI4240">
        <v>0</v>
      </c>
      <c r="AJ4240">
        <v>19</v>
      </c>
      <c r="AK4240">
        <v>393</v>
      </c>
      <c r="AL4240">
        <v>393</v>
      </c>
      <c r="AM4240">
        <v>616</v>
      </c>
      <c r="AN4240">
        <v>46</v>
      </c>
      <c r="AP4240">
        <v>1</v>
      </c>
      <c r="AR4240" t="s">
        <v>4340</v>
      </c>
      <c r="AS4240" s="1">
        <v>44354.134027777778</v>
      </c>
      <c r="AT4240" s="1">
        <v>44354.135046296295</v>
      </c>
      <c r="AU4240" s="1">
        <v>44354.135601851849</v>
      </c>
      <c r="AV4240" t="s">
        <v>71</v>
      </c>
      <c r="AW4240" t="s">
        <v>72</v>
      </c>
      <c r="AX4240" t="s">
        <v>73</v>
      </c>
    </row>
    <row r="4241" spans="1:50" x14ac:dyDescent="0.3">
      <c r="A4241" t="str">
        <f>"200273B0000"</f>
        <v>200273B0000</v>
      </c>
      <c r="B4241" t="str">
        <f>"200273B00002"</f>
        <v>200273B00002</v>
      </c>
      <c r="C4241" t="str">
        <f t="shared" si="220"/>
        <v>20</v>
      </c>
      <c r="D4241" t="s">
        <v>67</v>
      </c>
      <c r="E4241" t="str">
        <f t="shared" si="219"/>
        <v>019</v>
      </c>
      <c r="F4241" t="s">
        <v>4278</v>
      </c>
      <c r="G4241" t="str">
        <f>"0273"</f>
        <v>0273</v>
      </c>
      <c r="H4241" t="str">
        <f>"0000"</f>
        <v>0000</v>
      </c>
      <c r="I4241" t="s">
        <v>69</v>
      </c>
      <c r="J4241">
        <v>0</v>
      </c>
      <c r="K4241">
        <v>1</v>
      </c>
      <c r="L4241">
        <v>2</v>
      </c>
      <c r="M4241">
        <v>286</v>
      </c>
      <c r="N4241">
        <v>343</v>
      </c>
      <c r="O4241">
        <v>3</v>
      </c>
      <c r="P4241">
        <v>350</v>
      </c>
      <c r="Q4241">
        <v>1</v>
      </c>
      <c r="R4241">
        <v>104</v>
      </c>
      <c r="S4241">
        <v>2</v>
      </c>
      <c r="T4241">
        <v>2</v>
      </c>
      <c r="U4241">
        <v>45</v>
      </c>
      <c r="V4241">
        <v>7</v>
      </c>
      <c r="W4241">
        <v>2</v>
      </c>
      <c r="X4241">
        <v>156</v>
      </c>
      <c r="Y4241">
        <v>3</v>
      </c>
      <c r="Z4241">
        <v>3</v>
      </c>
      <c r="AA4241">
        <v>4</v>
      </c>
      <c r="AB4241">
        <v>8</v>
      </c>
      <c r="AD4241">
        <v>3</v>
      </c>
      <c r="AE4241">
        <v>0</v>
      </c>
      <c r="AF4241">
        <v>0</v>
      </c>
      <c r="AG4241">
        <v>0</v>
      </c>
      <c r="AI4241" t="s">
        <v>77</v>
      </c>
      <c r="AJ4241">
        <v>10</v>
      </c>
      <c r="AK4241">
        <v>340</v>
      </c>
      <c r="AL4241">
        <v>350</v>
      </c>
      <c r="AM4241">
        <v>587</v>
      </c>
      <c r="AN4241">
        <v>46</v>
      </c>
      <c r="AO4241" t="s">
        <v>78</v>
      </c>
      <c r="AP4241">
        <v>1</v>
      </c>
      <c r="AR4241" t="s">
        <v>4341</v>
      </c>
      <c r="AS4241" s="1">
        <v>44354.191666666666</v>
      </c>
      <c r="AT4241" s="1">
        <v>44354.193043981482</v>
      </c>
      <c r="AU4241" s="1">
        <v>44354.194490740738</v>
      </c>
      <c r="AV4241" t="s">
        <v>71</v>
      </c>
      <c r="AW4241" t="s">
        <v>72</v>
      </c>
      <c r="AX4241" t="s">
        <v>73</v>
      </c>
    </row>
    <row r="4242" spans="1:50" x14ac:dyDescent="0.3">
      <c r="A4242" t="str">
        <f>"200273C0100"</f>
        <v>200273C0100</v>
      </c>
      <c r="B4242" t="str">
        <f>"200273C01002"</f>
        <v>200273C01002</v>
      </c>
      <c r="C4242" t="str">
        <f t="shared" si="220"/>
        <v>20</v>
      </c>
      <c r="D4242" t="s">
        <v>67</v>
      </c>
      <c r="E4242" t="str">
        <f t="shared" si="219"/>
        <v>019</v>
      </c>
      <c r="F4242" t="s">
        <v>4278</v>
      </c>
      <c r="G4242" t="str">
        <f>"0273"</f>
        <v>0273</v>
      </c>
      <c r="H4242" t="str">
        <f>"0001"</f>
        <v>0001</v>
      </c>
      <c r="I4242" t="s">
        <v>75</v>
      </c>
      <c r="J4242">
        <v>0</v>
      </c>
      <c r="K4242">
        <v>1</v>
      </c>
      <c r="L4242">
        <v>2</v>
      </c>
      <c r="AM4242">
        <v>586</v>
      </c>
      <c r="AN4242">
        <v>46</v>
      </c>
      <c r="AO4242" t="s">
        <v>352</v>
      </c>
      <c r="AP4242">
        <v>0</v>
      </c>
      <c r="AR4242" t="s">
        <v>4342</v>
      </c>
      <c r="AS4242" s="1">
        <v>44354.625</v>
      </c>
      <c r="AT4242" s="1">
        <v>44354.643622685187</v>
      </c>
      <c r="AU4242" s="1">
        <v>44354.643622685187</v>
      </c>
      <c r="AV4242" t="s">
        <v>71</v>
      </c>
      <c r="AW4242" t="s">
        <v>72</v>
      </c>
      <c r="AX4242" t="s">
        <v>73</v>
      </c>
    </row>
    <row r="4243" spans="1:50" x14ac:dyDescent="0.3">
      <c r="A4243" t="str">
        <f>"200274B0000"</f>
        <v>200274B0000</v>
      </c>
      <c r="B4243" t="str">
        <f>"200274B00002"</f>
        <v>200274B00002</v>
      </c>
      <c r="C4243" t="str">
        <f t="shared" si="220"/>
        <v>20</v>
      </c>
      <c r="D4243" t="s">
        <v>67</v>
      </c>
      <c r="E4243" t="str">
        <f t="shared" ref="E4243:E4306" si="221">"019"</f>
        <v>019</v>
      </c>
      <c r="F4243" t="s">
        <v>4278</v>
      </c>
      <c r="G4243" t="str">
        <f>"0274"</f>
        <v>0274</v>
      </c>
      <c r="H4243" t="str">
        <f>"0000"</f>
        <v>0000</v>
      </c>
      <c r="I4243" t="s">
        <v>69</v>
      </c>
      <c r="J4243">
        <v>0</v>
      </c>
      <c r="K4243">
        <v>1</v>
      </c>
      <c r="L4243">
        <v>2</v>
      </c>
      <c r="M4243">
        <v>294</v>
      </c>
      <c r="N4243">
        <v>323</v>
      </c>
      <c r="O4243">
        <v>3</v>
      </c>
      <c r="P4243">
        <v>323</v>
      </c>
      <c r="Q4243">
        <v>5</v>
      </c>
      <c r="R4243">
        <v>53</v>
      </c>
      <c r="S4243">
        <v>3</v>
      </c>
      <c r="T4243">
        <v>4</v>
      </c>
      <c r="U4243">
        <v>56</v>
      </c>
      <c r="V4243">
        <v>4</v>
      </c>
      <c r="W4243">
        <v>8</v>
      </c>
      <c r="X4243">
        <v>157</v>
      </c>
      <c r="Y4243">
        <v>3</v>
      </c>
      <c r="Z4243">
        <v>4</v>
      </c>
      <c r="AA4243">
        <v>3</v>
      </c>
      <c r="AB4243">
        <v>4</v>
      </c>
      <c r="AD4243" t="s">
        <v>99</v>
      </c>
      <c r="AE4243" t="s">
        <v>77</v>
      </c>
      <c r="AF4243" t="s">
        <v>77</v>
      </c>
      <c r="AG4243" t="s">
        <v>77</v>
      </c>
      <c r="AI4243" t="s">
        <v>77</v>
      </c>
      <c r="AJ4243">
        <v>17</v>
      </c>
      <c r="AK4243">
        <v>323</v>
      </c>
      <c r="AL4243">
        <v>321</v>
      </c>
      <c r="AM4243">
        <v>571</v>
      </c>
      <c r="AN4243">
        <v>46</v>
      </c>
      <c r="AO4243" t="s">
        <v>78</v>
      </c>
      <c r="AP4243">
        <v>1</v>
      </c>
      <c r="AR4243" t="s">
        <v>4343</v>
      </c>
      <c r="AS4243" s="1">
        <v>44354.37777777778</v>
      </c>
      <c r="AT4243" s="1">
        <v>44354.38</v>
      </c>
      <c r="AU4243" s="1">
        <v>44354.38040509259</v>
      </c>
      <c r="AV4243" t="s">
        <v>71</v>
      </c>
      <c r="AW4243" t="s">
        <v>72</v>
      </c>
      <c r="AX4243" t="s">
        <v>73</v>
      </c>
    </row>
    <row r="4244" spans="1:50" x14ac:dyDescent="0.3">
      <c r="A4244" t="str">
        <f>"200274C0100"</f>
        <v>200274C0100</v>
      </c>
      <c r="B4244" t="str">
        <f>"200274C01002"</f>
        <v>200274C01002</v>
      </c>
      <c r="C4244" t="str">
        <f t="shared" si="220"/>
        <v>20</v>
      </c>
      <c r="D4244" t="s">
        <v>67</v>
      </c>
      <c r="E4244" t="str">
        <f t="shared" si="221"/>
        <v>019</v>
      </c>
      <c r="F4244" t="s">
        <v>4278</v>
      </c>
      <c r="G4244" t="str">
        <f>"0274"</f>
        <v>0274</v>
      </c>
      <c r="H4244" t="str">
        <f>"0001"</f>
        <v>0001</v>
      </c>
      <c r="I4244" t="s">
        <v>75</v>
      </c>
      <c r="J4244">
        <v>0</v>
      </c>
      <c r="K4244">
        <v>1</v>
      </c>
      <c r="L4244">
        <v>2</v>
      </c>
      <c r="M4244">
        <v>270</v>
      </c>
      <c r="N4244">
        <v>346</v>
      </c>
      <c r="O4244">
        <v>1</v>
      </c>
      <c r="P4244">
        <v>346</v>
      </c>
      <c r="Q4244">
        <v>1</v>
      </c>
      <c r="R4244">
        <v>55</v>
      </c>
      <c r="S4244">
        <v>2</v>
      </c>
      <c r="T4244">
        <v>2</v>
      </c>
      <c r="U4244">
        <v>50</v>
      </c>
      <c r="V4244">
        <v>5</v>
      </c>
      <c r="W4244">
        <v>10</v>
      </c>
      <c r="X4244">
        <v>180</v>
      </c>
      <c r="Y4244">
        <v>4</v>
      </c>
      <c r="Z4244">
        <v>2</v>
      </c>
      <c r="AA4244">
        <v>2</v>
      </c>
      <c r="AB4244">
        <v>9</v>
      </c>
      <c r="AD4244">
        <v>4</v>
      </c>
      <c r="AE4244" t="s">
        <v>77</v>
      </c>
      <c r="AF4244" t="s">
        <v>77</v>
      </c>
      <c r="AG4244" t="s">
        <v>77</v>
      </c>
      <c r="AI4244" t="s">
        <v>77</v>
      </c>
      <c r="AJ4244">
        <v>19</v>
      </c>
      <c r="AK4244">
        <v>346</v>
      </c>
      <c r="AL4244">
        <v>345</v>
      </c>
      <c r="AM4244">
        <v>570</v>
      </c>
      <c r="AN4244">
        <v>46</v>
      </c>
      <c r="AO4244" t="s">
        <v>78</v>
      </c>
      <c r="AP4244">
        <v>1</v>
      </c>
      <c r="AR4244" t="s">
        <v>4344</v>
      </c>
      <c r="AS4244" s="1">
        <v>44354.378472222219</v>
      </c>
      <c r="AT4244" s="1">
        <v>44354.380324074074</v>
      </c>
      <c r="AU4244" s="1">
        <v>44354.381018518521</v>
      </c>
      <c r="AV4244" t="s">
        <v>71</v>
      </c>
      <c r="AW4244" t="s">
        <v>72</v>
      </c>
      <c r="AX4244" t="s">
        <v>73</v>
      </c>
    </row>
    <row r="4245" spans="1:50" x14ac:dyDescent="0.3">
      <c r="A4245" t="str">
        <f>"200274C0200"</f>
        <v>200274C0200</v>
      </c>
      <c r="B4245" t="str">
        <f>"200274C02002"</f>
        <v>200274C02002</v>
      </c>
      <c r="C4245" t="str">
        <f t="shared" si="220"/>
        <v>20</v>
      </c>
      <c r="D4245" t="s">
        <v>67</v>
      </c>
      <c r="E4245" t="str">
        <f t="shared" si="221"/>
        <v>019</v>
      </c>
      <c r="F4245" t="s">
        <v>4278</v>
      </c>
      <c r="G4245" t="str">
        <f>"0274"</f>
        <v>0274</v>
      </c>
      <c r="H4245" t="str">
        <f>"0002"</f>
        <v>0002</v>
      </c>
      <c r="I4245" t="s">
        <v>75</v>
      </c>
      <c r="J4245">
        <v>0</v>
      </c>
      <c r="K4245">
        <v>1</v>
      </c>
      <c r="L4245">
        <v>2</v>
      </c>
      <c r="M4245">
        <v>251</v>
      </c>
      <c r="N4245">
        <v>365</v>
      </c>
      <c r="O4245">
        <v>0</v>
      </c>
      <c r="P4245">
        <v>4</v>
      </c>
      <c r="Q4245">
        <v>4</v>
      </c>
      <c r="R4245">
        <v>78</v>
      </c>
      <c r="S4245">
        <v>4</v>
      </c>
      <c r="T4245">
        <v>3</v>
      </c>
      <c r="U4245">
        <v>68</v>
      </c>
      <c r="V4245">
        <v>3</v>
      </c>
      <c r="W4245">
        <v>11</v>
      </c>
      <c r="X4245">
        <v>167</v>
      </c>
      <c r="Y4245">
        <v>0</v>
      </c>
      <c r="Z4245">
        <v>2</v>
      </c>
      <c r="AA4245">
        <v>4</v>
      </c>
      <c r="AB4245">
        <v>8</v>
      </c>
      <c r="AD4245" t="s">
        <v>99</v>
      </c>
      <c r="AE4245" t="s">
        <v>99</v>
      </c>
      <c r="AF4245" t="s">
        <v>99</v>
      </c>
      <c r="AG4245" t="s">
        <v>99</v>
      </c>
      <c r="AI4245" t="s">
        <v>99</v>
      </c>
      <c r="AJ4245">
        <v>13</v>
      </c>
      <c r="AK4245">
        <v>365</v>
      </c>
      <c r="AL4245">
        <v>365</v>
      </c>
      <c r="AM4245">
        <v>570</v>
      </c>
      <c r="AN4245">
        <v>46</v>
      </c>
      <c r="AO4245" t="s">
        <v>78</v>
      </c>
      <c r="AP4245">
        <v>1</v>
      </c>
      <c r="AR4245" t="s">
        <v>4345</v>
      </c>
      <c r="AS4245" s="1">
        <v>44354.197916666664</v>
      </c>
      <c r="AT4245" s="1">
        <v>44354.199293981481</v>
      </c>
      <c r="AU4245" s="1">
        <v>44354.200729166667</v>
      </c>
      <c r="AV4245" t="s">
        <v>71</v>
      </c>
      <c r="AW4245" t="s">
        <v>72</v>
      </c>
      <c r="AX4245" t="s">
        <v>73</v>
      </c>
    </row>
    <row r="4246" spans="1:50" x14ac:dyDescent="0.3">
      <c r="A4246" t="str">
        <f>"200274C0300"</f>
        <v>200274C0300</v>
      </c>
      <c r="B4246" t="str">
        <f>"200274C03002"</f>
        <v>200274C03002</v>
      </c>
      <c r="C4246" t="str">
        <f t="shared" si="220"/>
        <v>20</v>
      </c>
      <c r="D4246" t="s">
        <v>67</v>
      </c>
      <c r="E4246" t="str">
        <f t="shared" si="221"/>
        <v>019</v>
      </c>
      <c r="F4246" t="s">
        <v>4278</v>
      </c>
      <c r="G4246" t="str">
        <f>"0274"</f>
        <v>0274</v>
      </c>
      <c r="H4246" t="str">
        <f>"0003"</f>
        <v>0003</v>
      </c>
      <c r="I4246" t="s">
        <v>75</v>
      </c>
      <c r="J4246">
        <v>0</v>
      </c>
      <c r="K4246">
        <v>1</v>
      </c>
      <c r="L4246">
        <v>2</v>
      </c>
      <c r="M4246">
        <v>279</v>
      </c>
      <c r="N4246">
        <v>337</v>
      </c>
      <c r="O4246">
        <v>0</v>
      </c>
      <c r="P4246">
        <v>337</v>
      </c>
      <c r="Q4246">
        <v>7</v>
      </c>
      <c r="R4246">
        <v>66</v>
      </c>
      <c r="S4246">
        <v>4</v>
      </c>
      <c r="T4246">
        <v>2</v>
      </c>
      <c r="U4246">
        <v>52</v>
      </c>
      <c r="V4246">
        <v>6</v>
      </c>
      <c r="W4246">
        <v>5</v>
      </c>
      <c r="X4246">
        <v>168</v>
      </c>
      <c r="Y4246">
        <v>0</v>
      </c>
      <c r="Z4246">
        <v>1</v>
      </c>
      <c r="AA4246">
        <v>7</v>
      </c>
      <c r="AB4246">
        <v>5</v>
      </c>
      <c r="AD4246">
        <v>0</v>
      </c>
      <c r="AE4246">
        <v>1</v>
      </c>
      <c r="AF4246">
        <v>0</v>
      </c>
      <c r="AG4246">
        <v>1</v>
      </c>
      <c r="AI4246">
        <v>1</v>
      </c>
      <c r="AJ4246">
        <v>11</v>
      </c>
      <c r="AK4246">
        <v>337</v>
      </c>
      <c r="AL4246">
        <v>337</v>
      </c>
      <c r="AM4246">
        <v>570</v>
      </c>
      <c r="AN4246">
        <v>46</v>
      </c>
      <c r="AP4246">
        <v>1</v>
      </c>
      <c r="AR4246" t="s">
        <v>4346</v>
      </c>
      <c r="AS4246" s="1">
        <v>44354.359722222223</v>
      </c>
      <c r="AT4246" s="1">
        <v>44354.360798611109</v>
      </c>
      <c r="AU4246" s="1">
        <v>44354.362013888887</v>
      </c>
      <c r="AV4246" t="s">
        <v>71</v>
      </c>
      <c r="AW4246" t="s">
        <v>72</v>
      </c>
      <c r="AX4246" t="s">
        <v>73</v>
      </c>
    </row>
    <row r="4247" spans="1:50" x14ac:dyDescent="0.3">
      <c r="A4247" t="str">
        <f>"200275B0000"</f>
        <v>200275B0000</v>
      </c>
      <c r="B4247" t="str">
        <f>"200275B00002"</f>
        <v>200275B00002</v>
      </c>
      <c r="C4247" t="str">
        <f t="shared" si="220"/>
        <v>20</v>
      </c>
      <c r="D4247" t="s">
        <v>67</v>
      </c>
      <c r="E4247" t="str">
        <f t="shared" si="221"/>
        <v>019</v>
      </c>
      <c r="F4247" t="s">
        <v>4278</v>
      </c>
      <c r="G4247" t="str">
        <f>"0275"</f>
        <v>0275</v>
      </c>
      <c r="H4247" t="str">
        <f>"0000"</f>
        <v>0000</v>
      </c>
      <c r="I4247" t="s">
        <v>69</v>
      </c>
      <c r="J4247">
        <v>0</v>
      </c>
      <c r="K4247">
        <v>1</v>
      </c>
      <c r="L4247">
        <v>2</v>
      </c>
      <c r="M4247">
        <v>59</v>
      </c>
      <c r="N4247">
        <v>61</v>
      </c>
      <c r="O4247">
        <v>6</v>
      </c>
      <c r="P4247">
        <v>61</v>
      </c>
      <c r="Q4247">
        <v>0</v>
      </c>
      <c r="R4247">
        <v>27</v>
      </c>
      <c r="S4247">
        <v>1</v>
      </c>
      <c r="T4247">
        <v>0</v>
      </c>
      <c r="U4247">
        <v>12</v>
      </c>
      <c r="V4247">
        <v>1</v>
      </c>
      <c r="W4247">
        <v>0</v>
      </c>
      <c r="X4247">
        <v>18</v>
      </c>
      <c r="Y4247">
        <v>0</v>
      </c>
      <c r="Z4247">
        <v>0</v>
      </c>
      <c r="AA4247">
        <v>1</v>
      </c>
      <c r="AB4247">
        <v>0</v>
      </c>
      <c r="AD4247">
        <v>0</v>
      </c>
      <c r="AE4247">
        <v>0</v>
      </c>
      <c r="AF4247">
        <v>0</v>
      </c>
      <c r="AG4247">
        <v>0</v>
      </c>
      <c r="AI4247">
        <v>0</v>
      </c>
      <c r="AJ4247">
        <v>1</v>
      </c>
      <c r="AK4247">
        <v>61</v>
      </c>
      <c r="AL4247">
        <v>61</v>
      </c>
      <c r="AM4247">
        <v>74</v>
      </c>
      <c r="AN4247">
        <v>46</v>
      </c>
      <c r="AP4247">
        <v>1</v>
      </c>
      <c r="AR4247" t="s">
        <v>4347</v>
      </c>
      <c r="AS4247" s="1">
        <v>44354.172222222223</v>
      </c>
      <c r="AT4247" s="1">
        <v>44354.173564814817</v>
      </c>
      <c r="AU4247" s="1">
        <v>44354.173958333333</v>
      </c>
      <c r="AV4247" t="s">
        <v>71</v>
      </c>
      <c r="AW4247" t="s">
        <v>72</v>
      </c>
      <c r="AX4247" t="s">
        <v>73</v>
      </c>
    </row>
    <row r="4248" spans="1:50" x14ac:dyDescent="0.3">
      <c r="A4248" t="str">
        <f>"200670B0000"</f>
        <v>200670B0000</v>
      </c>
      <c r="B4248" t="str">
        <f>"200670B00002"</f>
        <v>200670B00002</v>
      </c>
      <c r="C4248" t="str">
        <f t="shared" si="220"/>
        <v>20</v>
      </c>
      <c r="D4248" t="s">
        <v>67</v>
      </c>
      <c r="E4248" t="str">
        <f t="shared" si="221"/>
        <v>019</v>
      </c>
      <c r="F4248" t="s">
        <v>4278</v>
      </c>
      <c r="G4248" t="str">
        <f>"0670"</f>
        <v>0670</v>
      </c>
      <c r="H4248" t="str">
        <f>"0000"</f>
        <v>0000</v>
      </c>
      <c r="I4248" t="s">
        <v>69</v>
      </c>
      <c r="J4248">
        <v>0</v>
      </c>
      <c r="K4248">
        <v>1</v>
      </c>
      <c r="L4248">
        <v>2</v>
      </c>
      <c r="M4248">
        <v>301</v>
      </c>
      <c r="N4248">
        <v>364</v>
      </c>
      <c r="O4248">
        <v>3</v>
      </c>
      <c r="P4248">
        <v>364</v>
      </c>
      <c r="Q4248">
        <v>31</v>
      </c>
      <c r="R4248">
        <v>33</v>
      </c>
      <c r="S4248">
        <v>1</v>
      </c>
      <c r="T4248">
        <v>8</v>
      </c>
      <c r="U4248">
        <v>7</v>
      </c>
      <c r="V4248">
        <v>15</v>
      </c>
      <c r="W4248">
        <v>3</v>
      </c>
      <c r="X4248">
        <v>210</v>
      </c>
      <c r="Y4248">
        <v>36</v>
      </c>
      <c r="Z4248">
        <v>3</v>
      </c>
      <c r="AA4248">
        <v>1</v>
      </c>
      <c r="AB4248">
        <v>7</v>
      </c>
      <c r="AD4248">
        <v>1</v>
      </c>
      <c r="AE4248">
        <v>0</v>
      </c>
      <c r="AF4248">
        <v>0</v>
      </c>
      <c r="AG4248">
        <v>0</v>
      </c>
      <c r="AI4248">
        <v>1</v>
      </c>
      <c r="AJ4248">
        <v>7</v>
      </c>
      <c r="AK4248">
        <v>364</v>
      </c>
      <c r="AL4248">
        <v>364</v>
      </c>
      <c r="AM4248">
        <v>621</v>
      </c>
      <c r="AN4248">
        <v>44</v>
      </c>
      <c r="AP4248">
        <v>1</v>
      </c>
      <c r="AR4248" t="s">
        <v>4348</v>
      </c>
      <c r="AS4248" s="1">
        <v>44354.397916666669</v>
      </c>
      <c r="AT4248" s="1">
        <v>44354.399837962963</v>
      </c>
      <c r="AU4248" s="1">
        <v>44354.400902777779</v>
      </c>
      <c r="AV4248" t="s">
        <v>71</v>
      </c>
      <c r="AW4248" t="s">
        <v>72</v>
      </c>
      <c r="AX4248" t="s">
        <v>73</v>
      </c>
    </row>
    <row r="4249" spans="1:50" x14ac:dyDescent="0.3">
      <c r="A4249" t="str">
        <f>"200670C0100"</f>
        <v>200670C0100</v>
      </c>
      <c r="B4249" t="str">
        <f>"200670C01002"</f>
        <v>200670C01002</v>
      </c>
      <c r="C4249" t="str">
        <f t="shared" si="220"/>
        <v>20</v>
      </c>
      <c r="D4249" t="s">
        <v>67</v>
      </c>
      <c r="E4249" t="str">
        <f t="shared" si="221"/>
        <v>019</v>
      </c>
      <c r="F4249" t="s">
        <v>4278</v>
      </c>
      <c r="G4249" t="str">
        <f>"0670"</f>
        <v>0670</v>
      </c>
      <c r="H4249" t="str">
        <f>"0001"</f>
        <v>0001</v>
      </c>
      <c r="I4249" t="s">
        <v>75</v>
      </c>
      <c r="J4249">
        <v>0</v>
      </c>
      <c r="K4249">
        <v>1</v>
      </c>
      <c r="L4249">
        <v>2</v>
      </c>
      <c r="M4249">
        <v>325</v>
      </c>
      <c r="N4249">
        <v>337</v>
      </c>
      <c r="O4249">
        <v>2</v>
      </c>
      <c r="P4249">
        <v>338</v>
      </c>
      <c r="Q4249">
        <v>14</v>
      </c>
      <c r="R4249">
        <v>36</v>
      </c>
      <c r="S4249">
        <v>7</v>
      </c>
      <c r="T4249">
        <v>7</v>
      </c>
      <c r="U4249">
        <v>2</v>
      </c>
      <c r="V4249">
        <v>18</v>
      </c>
      <c r="W4249">
        <v>12</v>
      </c>
      <c r="X4249">
        <v>189</v>
      </c>
      <c r="Y4249">
        <v>33</v>
      </c>
      <c r="Z4249">
        <v>4</v>
      </c>
      <c r="AA4249">
        <v>3</v>
      </c>
      <c r="AB4249">
        <v>3</v>
      </c>
      <c r="AD4249">
        <v>2</v>
      </c>
      <c r="AE4249">
        <v>0</v>
      </c>
      <c r="AF4249">
        <v>0</v>
      </c>
      <c r="AG4249">
        <v>0</v>
      </c>
      <c r="AI4249">
        <v>0</v>
      </c>
      <c r="AJ4249">
        <v>10</v>
      </c>
      <c r="AK4249">
        <v>338</v>
      </c>
      <c r="AL4249">
        <v>340</v>
      </c>
      <c r="AM4249">
        <v>621</v>
      </c>
      <c r="AN4249">
        <v>44</v>
      </c>
      <c r="AP4249">
        <v>1</v>
      </c>
      <c r="AR4249" t="s">
        <v>4349</v>
      </c>
      <c r="AS4249" s="1">
        <v>44354.448611111111</v>
      </c>
      <c r="AT4249" s="1">
        <v>44354.454131944447</v>
      </c>
      <c r="AU4249" s="1">
        <v>44354.454733796294</v>
      </c>
      <c r="AV4249" t="s">
        <v>71</v>
      </c>
      <c r="AW4249" t="s">
        <v>72</v>
      </c>
      <c r="AX4249" t="s">
        <v>73</v>
      </c>
    </row>
    <row r="4250" spans="1:50" x14ac:dyDescent="0.3">
      <c r="A4250" t="str">
        <f>"200670C0200"</f>
        <v>200670C0200</v>
      </c>
      <c r="B4250" t="str">
        <f>"200670C02002"</f>
        <v>200670C02002</v>
      </c>
      <c r="C4250" t="str">
        <f t="shared" si="220"/>
        <v>20</v>
      </c>
      <c r="D4250" t="s">
        <v>67</v>
      </c>
      <c r="E4250" t="str">
        <f t="shared" si="221"/>
        <v>019</v>
      </c>
      <c r="F4250" t="s">
        <v>4278</v>
      </c>
      <c r="G4250" t="str">
        <f>"0670"</f>
        <v>0670</v>
      </c>
      <c r="H4250" t="str">
        <f>"0002"</f>
        <v>0002</v>
      </c>
      <c r="I4250" t="s">
        <v>75</v>
      </c>
      <c r="J4250">
        <v>0</v>
      </c>
      <c r="K4250">
        <v>1</v>
      </c>
      <c r="L4250">
        <v>2</v>
      </c>
      <c r="M4250" t="s">
        <v>80</v>
      </c>
      <c r="N4250">
        <v>5</v>
      </c>
      <c r="O4250">
        <v>5</v>
      </c>
      <c r="P4250" t="s">
        <v>80</v>
      </c>
      <c r="Q4250">
        <v>18</v>
      </c>
      <c r="R4250">
        <v>34</v>
      </c>
      <c r="S4250">
        <v>2</v>
      </c>
      <c r="T4250">
        <v>9</v>
      </c>
      <c r="U4250">
        <v>9</v>
      </c>
      <c r="V4250">
        <v>14</v>
      </c>
      <c r="W4250">
        <v>16</v>
      </c>
      <c r="X4250">
        <v>194</v>
      </c>
      <c r="Y4250">
        <v>27</v>
      </c>
      <c r="Z4250">
        <v>3</v>
      </c>
      <c r="AA4250">
        <v>3</v>
      </c>
      <c r="AB4250">
        <v>9</v>
      </c>
      <c r="AD4250">
        <v>1</v>
      </c>
      <c r="AE4250">
        <v>0</v>
      </c>
      <c r="AF4250">
        <v>0</v>
      </c>
      <c r="AG4250">
        <v>0</v>
      </c>
      <c r="AI4250">
        <v>0</v>
      </c>
      <c r="AJ4250">
        <v>9</v>
      </c>
      <c r="AK4250">
        <v>348</v>
      </c>
      <c r="AL4250">
        <v>348</v>
      </c>
      <c r="AM4250">
        <v>621</v>
      </c>
      <c r="AN4250">
        <v>44</v>
      </c>
      <c r="AP4250">
        <v>1</v>
      </c>
      <c r="AR4250" t="s">
        <v>4350</v>
      </c>
      <c r="AS4250" s="1">
        <v>44354.469444444447</v>
      </c>
      <c r="AT4250" s="1">
        <v>44354.470821759256</v>
      </c>
      <c r="AU4250" s="1">
        <v>44354.471388888887</v>
      </c>
      <c r="AV4250" t="s">
        <v>71</v>
      </c>
      <c r="AW4250" t="s">
        <v>72</v>
      </c>
      <c r="AX4250" t="s">
        <v>73</v>
      </c>
    </row>
    <row r="4251" spans="1:50" x14ac:dyDescent="0.3">
      <c r="A4251" t="str">
        <f>"200670C0300"</f>
        <v>200670C0300</v>
      </c>
      <c r="B4251" t="str">
        <f>"200670C03002"</f>
        <v>200670C03002</v>
      </c>
      <c r="C4251" t="str">
        <f t="shared" si="220"/>
        <v>20</v>
      </c>
      <c r="D4251" t="s">
        <v>67</v>
      </c>
      <c r="E4251" t="str">
        <f t="shared" si="221"/>
        <v>019</v>
      </c>
      <c r="F4251" t="s">
        <v>4278</v>
      </c>
      <c r="G4251" t="str">
        <f>"0670"</f>
        <v>0670</v>
      </c>
      <c r="H4251" t="str">
        <f>"0003"</f>
        <v>0003</v>
      </c>
      <c r="I4251" t="s">
        <v>75</v>
      </c>
      <c r="J4251">
        <v>0</v>
      </c>
      <c r="K4251">
        <v>1</v>
      </c>
      <c r="L4251">
        <v>2</v>
      </c>
      <c r="M4251">
        <v>349</v>
      </c>
      <c r="N4251">
        <v>316</v>
      </c>
      <c r="O4251">
        <v>3</v>
      </c>
      <c r="P4251" t="s">
        <v>80</v>
      </c>
      <c r="Q4251">
        <v>25</v>
      </c>
      <c r="R4251">
        <v>28</v>
      </c>
      <c r="S4251">
        <v>3</v>
      </c>
      <c r="T4251">
        <v>4</v>
      </c>
      <c r="U4251">
        <v>2</v>
      </c>
      <c r="V4251">
        <v>13</v>
      </c>
      <c r="W4251">
        <v>12</v>
      </c>
      <c r="X4251">
        <v>183</v>
      </c>
      <c r="Y4251">
        <v>22</v>
      </c>
      <c r="Z4251">
        <v>6</v>
      </c>
      <c r="AA4251">
        <v>0</v>
      </c>
      <c r="AB4251">
        <v>5</v>
      </c>
      <c r="AD4251">
        <v>5</v>
      </c>
      <c r="AE4251">
        <v>0</v>
      </c>
      <c r="AF4251">
        <v>0</v>
      </c>
      <c r="AG4251">
        <v>0</v>
      </c>
      <c r="AI4251">
        <v>0</v>
      </c>
      <c r="AJ4251">
        <v>7</v>
      </c>
      <c r="AK4251">
        <v>316</v>
      </c>
      <c r="AL4251">
        <v>315</v>
      </c>
      <c r="AM4251">
        <v>621</v>
      </c>
      <c r="AN4251">
        <v>44</v>
      </c>
      <c r="AP4251">
        <v>1</v>
      </c>
      <c r="AR4251" t="s">
        <v>4351</v>
      </c>
      <c r="AS4251" s="1">
        <v>44354.279166666667</v>
      </c>
      <c r="AT4251" s="1">
        <v>44354.282754629632</v>
      </c>
      <c r="AU4251" s="1">
        <v>44354.283645833333</v>
      </c>
      <c r="AV4251" t="s">
        <v>71</v>
      </c>
      <c r="AW4251" t="s">
        <v>72</v>
      </c>
      <c r="AX4251" t="s">
        <v>73</v>
      </c>
    </row>
    <row r="4252" spans="1:50" x14ac:dyDescent="0.3">
      <c r="A4252" t="str">
        <f>"200670C0400"</f>
        <v>200670C0400</v>
      </c>
      <c r="B4252" t="str">
        <f>"200670C04002"</f>
        <v>200670C04002</v>
      </c>
      <c r="C4252" t="str">
        <f t="shared" si="220"/>
        <v>20</v>
      </c>
      <c r="D4252" t="s">
        <v>67</v>
      </c>
      <c r="E4252" t="str">
        <f t="shared" si="221"/>
        <v>019</v>
      </c>
      <c r="F4252" t="s">
        <v>4278</v>
      </c>
      <c r="G4252" t="str">
        <f>"0670"</f>
        <v>0670</v>
      </c>
      <c r="H4252" t="str">
        <f>"0004"</f>
        <v>0004</v>
      </c>
      <c r="I4252" t="s">
        <v>75</v>
      </c>
      <c r="J4252">
        <v>0</v>
      </c>
      <c r="K4252">
        <v>1</v>
      </c>
      <c r="L4252">
        <v>2</v>
      </c>
      <c r="M4252">
        <v>317</v>
      </c>
      <c r="N4252">
        <v>348</v>
      </c>
      <c r="O4252">
        <v>5</v>
      </c>
      <c r="P4252">
        <v>348</v>
      </c>
      <c r="Q4252">
        <v>14</v>
      </c>
      <c r="R4252">
        <v>39</v>
      </c>
      <c r="S4252">
        <v>4</v>
      </c>
      <c r="T4252">
        <v>12</v>
      </c>
      <c r="U4252">
        <v>9</v>
      </c>
      <c r="V4252">
        <v>13</v>
      </c>
      <c r="W4252">
        <v>10</v>
      </c>
      <c r="X4252">
        <v>203</v>
      </c>
      <c r="Y4252">
        <v>23</v>
      </c>
      <c r="Z4252">
        <v>6</v>
      </c>
      <c r="AA4252">
        <v>0</v>
      </c>
      <c r="AB4252">
        <v>9</v>
      </c>
      <c r="AD4252">
        <v>2</v>
      </c>
      <c r="AE4252">
        <v>0</v>
      </c>
      <c r="AF4252">
        <v>0</v>
      </c>
      <c r="AG4252">
        <v>0</v>
      </c>
      <c r="AI4252">
        <v>0</v>
      </c>
      <c r="AJ4252">
        <v>4</v>
      </c>
      <c r="AK4252">
        <v>348</v>
      </c>
      <c r="AL4252">
        <v>348</v>
      </c>
      <c r="AM4252">
        <v>621</v>
      </c>
      <c r="AN4252">
        <v>44</v>
      </c>
      <c r="AP4252">
        <v>1</v>
      </c>
      <c r="AR4252" t="s">
        <v>4352</v>
      </c>
      <c r="AS4252" s="1">
        <v>44354.356249999997</v>
      </c>
      <c r="AT4252" s="1">
        <v>44354.357893518521</v>
      </c>
      <c r="AU4252" s="1">
        <v>44354.358425925922</v>
      </c>
      <c r="AV4252" t="s">
        <v>71</v>
      </c>
      <c r="AW4252" t="s">
        <v>72</v>
      </c>
      <c r="AX4252" t="s">
        <v>73</v>
      </c>
    </row>
    <row r="4253" spans="1:50" x14ac:dyDescent="0.3">
      <c r="A4253" t="str">
        <f>"200671B0000"</f>
        <v>200671B0000</v>
      </c>
      <c r="B4253" t="str">
        <f>"200671B00002"</f>
        <v>200671B00002</v>
      </c>
      <c r="C4253" t="str">
        <f t="shared" si="220"/>
        <v>20</v>
      </c>
      <c r="D4253" t="s">
        <v>67</v>
      </c>
      <c r="E4253" t="str">
        <f t="shared" si="221"/>
        <v>019</v>
      </c>
      <c r="F4253" t="s">
        <v>4278</v>
      </c>
      <c r="G4253" t="str">
        <f>"0671"</f>
        <v>0671</v>
      </c>
      <c r="H4253" t="str">
        <f>"0000"</f>
        <v>0000</v>
      </c>
      <c r="I4253" t="s">
        <v>69</v>
      </c>
      <c r="J4253">
        <v>0</v>
      </c>
      <c r="K4253">
        <v>1</v>
      </c>
      <c r="L4253">
        <v>2</v>
      </c>
      <c r="M4253">
        <v>257</v>
      </c>
      <c r="N4253">
        <v>301</v>
      </c>
      <c r="O4253">
        <v>5</v>
      </c>
      <c r="P4253">
        <v>302</v>
      </c>
      <c r="Q4253">
        <v>17</v>
      </c>
      <c r="R4253">
        <v>23</v>
      </c>
      <c r="S4253" t="s">
        <v>77</v>
      </c>
      <c r="T4253">
        <v>4</v>
      </c>
      <c r="U4253">
        <v>13</v>
      </c>
      <c r="V4253">
        <v>4</v>
      </c>
      <c r="W4253">
        <v>9</v>
      </c>
      <c r="X4253">
        <v>198</v>
      </c>
      <c r="Y4253">
        <v>14</v>
      </c>
      <c r="Z4253">
        <v>12</v>
      </c>
      <c r="AA4253">
        <v>1</v>
      </c>
      <c r="AB4253">
        <v>2</v>
      </c>
      <c r="AD4253" t="s">
        <v>77</v>
      </c>
      <c r="AE4253">
        <v>1</v>
      </c>
      <c r="AF4253" t="s">
        <v>77</v>
      </c>
      <c r="AG4253" t="s">
        <v>77</v>
      </c>
      <c r="AI4253" t="s">
        <v>77</v>
      </c>
      <c r="AJ4253">
        <v>4</v>
      </c>
      <c r="AK4253">
        <v>302</v>
      </c>
      <c r="AL4253">
        <v>302</v>
      </c>
      <c r="AM4253">
        <v>514</v>
      </c>
      <c r="AN4253">
        <v>44</v>
      </c>
      <c r="AO4253" t="s">
        <v>78</v>
      </c>
      <c r="AP4253">
        <v>1</v>
      </c>
      <c r="AR4253" t="s">
        <v>4353</v>
      </c>
      <c r="AS4253" s="1">
        <v>44354.111111111109</v>
      </c>
      <c r="AT4253" s="1">
        <v>44354.113229166665</v>
      </c>
      <c r="AU4253" s="1">
        <v>44354.113761574074</v>
      </c>
      <c r="AV4253" t="s">
        <v>71</v>
      </c>
      <c r="AW4253" t="s">
        <v>72</v>
      </c>
      <c r="AX4253" t="s">
        <v>73</v>
      </c>
    </row>
    <row r="4254" spans="1:50" x14ac:dyDescent="0.3">
      <c r="A4254" t="str">
        <f>"200671C0100"</f>
        <v>200671C0100</v>
      </c>
      <c r="B4254" t="str">
        <f>"200671C01002"</f>
        <v>200671C01002</v>
      </c>
      <c r="C4254" t="str">
        <f t="shared" si="220"/>
        <v>20</v>
      </c>
      <c r="D4254" t="s">
        <v>67</v>
      </c>
      <c r="E4254" t="str">
        <f t="shared" si="221"/>
        <v>019</v>
      </c>
      <c r="F4254" t="s">
        <v>4278</v>
      </c>
      <c r="G4254" t="str">
        <f>"0671"</f>
        <v>0671</v>
      </c>
      <c r="H4254" t="str">
        <f>"0001"</f>
        <v>0001</v>
      </c>
      <c r="I4254" t="s">
        <v>75</v>
      </c>
      <c r="J4254">
        <v>0</v>
      </c>
      <c r="K4254">
        <v>1</v>
      </c>
      <c r="L4254">
        <v>2</v>
      </c>
      <c r="M4254">
        <v>250</v>
      </c>
      <c r="N4254">
        <v>6</v>
      </c>
      <c r="O4254">
        <v>302</v>
      </c>
      <c r="P4254" t="s">
        <v>80</v>
      </c>
      <c r="Q4254">
        <v>25</v>
      </c>
      <c r="R4254">
        <v>28</v>
      </c>
      <c r="S4254">
        <v>0</v>
      </c>
      <c r="T4254">
        <v>4</v>
      </c>
      <c r="U4254">
        <v>7</v>
      </c>
      <c r="V4254">
        <v>9</v>
      </c>
      <c r="W4254">
        <v>11</v>
      </c>
      <c r="X4254">
        <v>182</v>
      </c>
      <c r="Y4254">
        <v>17</v>
      </c>
      <c r="Z4254">
        <v>7</v>
      </c>
      <c r="AA4254">
        <v>1</v>
      </c>
      <c r="AB4254">
        <v>5</v>
      </c>
      <c r="AD4254">
        <v>4</v>
      </c>
      <c r="AE4254">
        <v>0</v>
      </c>
      <c r="AF4254">
        <v>0</v>
      </c>
      <c r="AG4254">
        <v>0</v>
      </c>
      <c r="AI4254">
        <v>0</v>
      </c>
      <c r="AJ4254">
        <v>9</v>
      </c>
      <c r="AK4254">
        <v>309</v>
      </c>
      <c r="AL4254">
        <v>309</v>
      </c>
      <c r="AM4254">
        <v>514</v>
      </c>
      <c r="AN4254">
        <v>44</v>
      </c>
      <c r="AP4254">
        <v>1</v>
      </c>
      <c r="AR4254" t="s">
        <v>4354</v>
      </c>
      <c r="AS4254" s="1">
        <v>44354.113888888889</v>
      </c>
      <c r="AT4254" s="1">
        <v>44354.116550925923</v>
      </c>
      <c r="AU4254" s="1">
        <v>44354.117210648146</v>
      </c>
      <c r="AV4254" t="s">
        <v>71</v>
      </c>
      <c r="AW4254" t="s">
        <v>72</v>
      </c>
      <c r="AX4254" t="s">
        <v>73</v>
      </c>
    </row>
    <row r="4255" spans="1:50" x14ac:dyDescent="0.3">
      <c r="A4255" t="str">
        <f>"200671C0200"</f>
        <v>200671C0200</v>
      </c>
      <c r="B4255" t="str">
        <f>"200671C02002"</f>
        <v>200671C02002</v>
      </c>
      <c r="C4255" t="str">
        <f t="shared" si="220"/>
        <v>20</v>
      </c>
      <c r="D4255" t="s">
        <v>67</v>
      </c>
      <c r="E4255" t="str">
        <f t="shared" si="221"/>
        <v>019</v>
      </c>
      <c r="F4255" t="s">
        <v>4278</v>
      </c>
      <c r="G4255" t="str">
        <f>"0671"</f>
        <v>0671</v>
      </c>
      <c r="H4255" t="str">
        <f>"0002"</f>
        <v>0002</v>
      </c>
      <c r="I4255" t="s">
        <v>75</v>
      </c>
      <c r="J4255">
        <v>0</v>
      </c>
      <c r="K4255">
        <v>1</v>
      </c>
      <c r="L4255">
        <v>2</v>
      </c>
      <c r="M4255">
        <v>256</v>
      </c>
      <c r="N4255">
        <v>301</v>
      </c>
      <c r="O4255">
        <v>6</v>
      </c>
      <c r="P4255">
        <v>7</v>
      </c>
      <c r="Q4255">
        <v>24</v>
      </c>
      <c r="R4255">
        <v>29</v>
      </c>
      <c r="S4255">
        <v>2</v>
      </c>
      <c r="T4255">
        <v>7</v>
      </c>
      <c r="U4255">
        <v>9</v>
      </c>
      <c r="V4255">
        <v>8</v>
      </c>
      <c r="W4255">
        <v>14</v>
      </c>
      <c r="X4255">
        <v>19</v>
      </c>
      <c r="Y4255">
        <v>14</v>
      </c>
      <c r="Z4255">
        <v>6</v>
      </c>
      <c r="AA4255">
        <v>1</v>
      </c>
      <c r="AB4255">
        <v>5</v>
      </c>
      <c r="AD4255">
        <v>1</v>
      </c>
      <c r="AE4255" t="s">
        <v>77</v>
      </c>
      <c r="AF4255" t="s">
        <v>77</v>
      </c>
      <c r="AG4255" t="s">
        <v>77</v>
      </c>
      <c r="AI4255" t="s">
        <v>77</v>
      </c>
      <c r="AJ4255" t="s">
        <v>77</v>
      </c>
      <c r="AK4255" t="s">
        <v>77</v>
      </c>
      <c r="AL4255">
        <v>139</v>
      </c>
      <c r="AM4255">
        <v>513</v>
      </c>
      <c r="AN4255">
        <v>44</v>
      </c>
      <c r="AO4255" t="s">
        <v>78</v>
      </c>
      <c r="AP4255">
        <v>1</v>
      </c>
      <c r="AR4255" t="s">
        <v>4355</v>
      </c>
      <c r="AS4255" s="1">
        <v>44354.27847222222</v>
      </c>
      <c r="AT4255" s="1">
        <v>44354.279722222222</v>
      </c>
      <c r="AU4255" s="1">
        <v>44354.280312499999</v>
      </c>
      <c r="AV4255" t="s">
        <v>71</v>
      </c>
      <c r="AW4255" t="s">
        <v>72</v>
      </c>
      <c r="AX4255" t="s">
        <v>73</v>
      </c>
    </row>
    <row r="4256" spans="1:50" x14ac:dyDescent="0.3">
      <c r="A4256" t="str">
        <f>"200672B0000"</f>
        <v>200672B0000</v>
      </c>
      <c r="B4256" t="str">
        <f>"200672B00002"</f>
        <v>200672B00002</v>
      </c>
      <c r="C4256" t="str">
        <f t="shared" si="220"/>
        <v>20</v>
      </c>
      <c r="D4256" t="s">
        <v>67</v>
      </c>
      <c r="E4256" t="str">
        <f t="shared" si="221"/>
        <v>019</v>
      </c>
      <c r="F4256" t="s">
        <v>4278</v>
      </c>
      <c r="G4256" t="str">
        <f>"0672"</f>
        <v>0672</v>
      </c>
      <c r="H4256" t="str">
        <f>"0000"</f>
        <v>0000</v>
      </c>
      <c r="I4256" t="s">
        <v>69</v>
      </c>
      <c r="J4256">
        <v>0</v>
      </c>
      <c r="K4256">
        <v>1</v>
      </c>
      <c r="L4256">
        <v>2</v>
      </c>
      <c r="M4256">
        <v>326</v>
      </c>
      <c r="N4256">
        <v>332</v>
      </c>
      <c r="O4256">
        <v>6</v>
      </c>
      <c r="P4256">
        <v>332</v>
      </c>
      <c r="Q4256">
        <v>26</v>
      </c>
      <c r="R4256">
        <v>37</v>
      </c>
      <c r="S4256">
        <v>4</v>
      </c>
      <c r="T4256">
        <v>3</v>
      </c>
      <c r="U4256">
        <v>8</v>
      </c>
      <c r="V4256">
        <v>18</v>
      </c>
      <c r="W4256">
        <v>14</v>
      </c>
      <c r="X4256">
        <v>195</v>
      </c>
      <c r="Y4256">
        <v>9</v>
      </c>
      <c r="Z4256">
        <v>3</v>
      </c>
      <c r="AA4256">
        <v>1</v>
      </c>
      <c r="AB4256">
        <v>5</v>
      </c>
      <c r="AD4256">
        <v>2</v>
      </c>
      <c r="AE4256">
        <v>0</v>
      </c>
      <c r="AF4256">
        <v>0</v>
      </c>
      <c r="AG4256">
        <v>0</v>
      </c>
      <c r="AI4256">
        <v>0</v>
      </c>
      <c r="AJ4256">
        <v>7</v>
      </c>
      <c r="AK4256">
        <v>0</v>
      </c>
      <c r="AL4256">
        <v>332</v>
      </c>
      <c r="AM4256">
        <v>614</v>
      </c>
      <c r="AN4256">
        <v>44</v>
      </c>
      <c r="AP4256">
        <v>1</v>
      </c>
      <c r="AR4256" t="s">
        <v>4356</v>
      </c>
      <c r="AS4256" s="1">
        <v>44354.134027777778</v>
      </c>
      <c r="AT4256" s="1">
        <v>44354.136076388888</v>
      </c>
      <c r="AU4256" s="1">
        <v>44354.136342592596</v>
      </c>
      <c r="AV4256" t="s">
        <v>71</v>
      </c>
      <c r="AW4256" t="s">
        <v>72</v>
      </c>
      <c r="AX4256" t="s">
        <v>73</v>
      </c>
    </row>
    <row r="4257" spans="1:50" x14ac:dyDescent="0.3">
      <c r="A4257" t="str">
        <f>"200672C0100"</f>
        <v>200672C0100</v>
      </c>
      <c r="B4257" t="str">
        <f>"200672C01002"</f>
        <v>200672C01002</v>
      </c>
      <c r="C4257" t="str">
        <f t="shared" si="220"/>
        <v>20</v>
      </c>
      <c r="D4257" t="s">
        <v>67</v>
      </c>
      <c r="E4257" t="str">
        <f t="shared" si="221"/>
        <v>019</v>
      </c>
      <c r="F4257" t="s">
        <v>4278</v>
      </c>
      <c r="G4257" t="str">
        <f>"0672"</f>
        <v>0672</v>
      </c>
      <c r="H4257" t="str">
        <f>"0001"</f>
        <v>0001</v>
      </c>
      <c r="I4257" t="s">
        <v>75</v>
      </c>
      <c r="J4257">
        <v>0</v>
      </c>
      <c r="K4257">
        <v>1</v>
      </c>
      <c r="L4257">
        <v>2</v>
      </c>
      <c r="M4257">
        <v>224</v>
      </c>
      <c r="N4257">
        <v>361</v>
      </c>
      <c r="O4257">
        <v>3</v>
      </c>
      <c r="P4257" t="s">
        <v>80</v>
      </c>
      <c r="Q4257">
        <v>15</v>
      </c>
      <c r="R4257">
        <v>27</v>
      </c>
      <c r="S4257">
        <v>4</v>
      </c>
      <c r="T4257">
        <v>6</v>
      </c>
      <c r="U4257">
        <v>12</v>
      </c>
      <c r="V4257">
        <v>8</v>
      </c>
      <c r="W4257">
        <v>19</v>
      </c>
      <c r="X4257">
        <v>225</v>
      </c>
      <c r="Y4257">
        <v>10</v>
      </c>
      <c r="Z4257">
        <v>6</v>
      </c>
      <c r="AA4257">
        <v>1</v>
      </c>
      <c r="AB4257">
        <v>14</v>
      </c>
      <c r="AD4257" t="s">
        <v>77</v>
      </c>
      <c r="AE4257" t="s">
        <v>77</v>
      </c>
      <c r="AF4257" t="s">
        <v>77</v>
      </c>
      <c r="AG4257" t="s">
        <v>77</v>
      </c>
      <c r="AI4257" t="s">
        <v>77</v>
      </c>
      <c r="AJ4257">
        <v>8</v>
      </c>
      <c r="AK4257">
        <v>355</v>
      </c>
      <c r="AL4257">
        <v>355</v>
      </c>
      <c r="AM4257">
        <v>613</v>
      </c>
      <c r="AN4257">
        <v>44</v>
      </c>
      <c r="AO4257" t="s">
        <v>78</v>
      </c>
      <c r="AP4257">
        <v>1</v>
      </c>
      <c r="AR4257" t="s">
        <v>4357</v>
      </c>
      <c r="AS4257" s="1">
        <v>44354.11041666667</v>
      </c>
      <c r="AT4257" s="1">
        <v>44354.112974537034</v>
      </c>
      <c r="AU4257" s="1">
        <v>44354.113449074073</v>
      </c>
      <c r="AV4257" t="s">
        <v>71</v>
      </c>
      <c r="AW4257" t="s">
        <v>72</v>
      </c>
      <c r="AX4257" t="s">
        <v>73</v>
      </c>
    </row>
    <row r="4258" spans="1:50" x14ac:dyDescent="0.3">
      <c r="A4258" t="str">
        <f>"200672C0200"</f>
        <v>200672C0200</v>
      </c>
      <c r="B4258" t="str">
        <f>"200672C02002"</f>
        <v>200672C02002</v>
      </c>
      <c r="C4258" t="str">
        <f t="shared" si="220"/>
        <v>20</v>
      </c>
      <c r="D4258" t="s">
        <v>67</v>
      </c>
      <c r="E4258" t="str">
        <f t="shared" si="221"/>
        <v>019</v>
      </c>
      <c r="F4258" t="s">
        <v>4278</v>
      </c>
      <c r="G4258" t="str">
        <f>"0672"</f>
        <v>0672</v>
      </c>
      <c r="H4258" t="str">
        <f>"0002"</f>
        <v>0002</v>
      </c>
      <c r="I4258" t="s">
        <v>75</v>
      </c>
      <c r="J4258">
        <v>0</v>
      </c>
      <c r="K4258">
        <v>1</v>
      </c>
      <c r="L4258">
        <v>2</v>
      </c>
      <c r="M4258">
        <v>300</v>
      </c>
      <c r="N4258">
        <v>357</v>
      </c>
      <c r="O4258">
        <v>4</v>
      </c>
      <c r="P4258">
        <v>357</v>
      </c>
      <c r="Q4258">
        <v>17</v>
      </c>
      <c r="R4258">
        <v>34</v>
      </c>
      <c r="S4258">
        <v>5</v>
      </c>
      <c r="T4258">
        <v>3</v>
      </c>
      <c r="U4258">
        <v>5</v>
      </c>
      <c r="V4258">
        <v>15</v>
      </c>
      <c r="W4258">
        <v>16</v>
      </c>
      <c r="X4258">
        <v>213</v>
      </c>
      <c r="Y4258">
        <v>14</v>
      </c>
      <c r="Z4258">
        <v>4</v>
      </c>
      <c r="AA4258">
        <v>3</v>
      </c>
      <c r="AB4258">
        <v>9</v>
      </c>
      <c r="AD4258">
        <v>1</v>
      </c>
      <c r="AE4258" t="s">
        <v>77</v>
      </c>
      <c r="AF4258" t="s">
        <v>77</v>
      </c>
      <c r="AG4258" t="s">
        <v>77</v>
      </c>
      <c r="AI4258" t="s">
        <v>77</v>
      </c>
      <c r="AJ4258" t="s">
        <v>77</v>
      </c>
      <c r="AK4258" t="s">
        <v>77</v>
      </c>
      <c r="AL4258">
        <v>339</v>
      </c>
      <c r="AM4258">
        <v>613</v>
      </c>
      <c r="AN4258">
        <v>44</v>
      </c>
      <c r="AO4258" t="s">
        <v>78</v>
      </c>
      <c r="AP4258">
        <v>1</v>
      </c>
      <c r="AR4258" t="s">
        <v>4358</v>
      </c>
      <c r="AS4258" s="1">
        <v>44354.099305555559</v>
      </c>
      <c r="AT4258" s="1">
        <v>44354.100601851853</v>
      </c>
      <c r="AU4258" s="1">
        <v>44354.101111111115</v>
      </c>
      <c r="AV4258" t="s">
        <v>71</v>
      </c>
      <c r="AW4258" t="s">
        <v>72</v>
      </c>
      <c r="AX4258" t="s">
        <v>73</v>
      </c>
    </row>
    <row r="4259" spans="1:50" x14ac:dyDescent="0.3">
      <c r="A4259" t="str">
        <f>"200674B0000"</f>
        <v>200674B0000</v>
      </c>
      <c r="B4259" t="str">
        <f>"200674B00002"</f>
        <v>200674B00002</v>
      </c>
      <c r="C4259" t="str">
        <f t="shared" si="220"/>
        <v>20</v>
      </c>
      <c r="D4259" t="s">
        <v>67</v>
      </c>
      <c r="E4259" t="str">
        <f t="shared" si="221"/>
        <v>019</v>
      </c>
      <c r="F4259" t="s">
        <v>4278</v>
      </c>
      <c r="G4259" t="str">
        <f>"0674"</f>
        <v>0674</v>
      </c>
      <c r="H4259" t="str">
        <f>"0000"</f>
        <v>0000</v>
      </c>
      <c r="I4259" t="s">
        <v>69</v>
      </c>
      <c r="J4259">
        <v>0</v>
      </c>
      <c r="K4259">
        <v>1</v>
      </c>
      <c r="L4259">
        <v>2</v>
      </c>
      <c r="M4259">
        <v>360</v>
      </c>
      <c r="N4259">
        <v>438</v>
      </c>
      <c r="O4259">
        <v>8</v>
      </c>
      <c r="P4259">
        <v>430</v>
      </c>
      <c r="Q4259">
        <v>27</v>
      </c>
      <c r="R4259">
        <v>51</v>
      </c>
      <c r="S4259">
        <v>2</v>
      </c>
      <c r="T4259">
        <v>10</v>
      </c>
      <c r="U4259">
        <v>14</v>
      </c>
      <c r="V4259">
        <v>14</v>
      </c>
      <c r="W4259">
        <v>17</v>
      </c>
      <c r="X4259">
        <v>248</v>
      </c>
      <c r="Y4259">
        <v>11</v>
      </c>
      <c r="Z4259">
        <v>11</v>
      </c>
      <c r="AA4259">
        <v>2</v>
      </c>
      <c r="AB4259">
        <v>8</v>
      </c>
      <c r="AD4259">
        <v>3</v>
      </c>
      <c r="AE4259">
        <v>2</v>
      </c>
      <c r="AF4259">
        <v>0</v>
      </c>
      <c r="AG4259">
        <v>0</v>
      </c>
      <c r="AI4259">
        <v>0</v>
      </c>
      <c r="AJ4259">
        <v>11</v>
      </c>
      <c r="AK4259">
        <v>430</v>
      </c>
      <c r="AL4259">
        <v>431</v>
      </c>
      <c r="AM4259">
        <v>747</v>
      </c>
      <c r="AN4259">
        <v>44</v>
      </c>
      <c r="AP4259">
        <v>1</v>
      </c>
      <c r="AR4259" t="s">
        <v>4359</v>
      </c>
      <c r="AS4259" s="1">
        <v>44354.447916666664</v>
      </c>
      <c r="AT4259" s="1">
        <v>44354.45034722222</v>
      </c>
      <c r="AU4259" s="1">
        <v>44354.451006944444</v>
      </c>
      <c r="AV4259" t="s">
        <v>71</v>
      </c>
      <c r="AW4259" t="s">
        <v>72</v>
      </c>
      <c r="AX4259" t="s">
        <v>73</v>
      </c>
    </row>
    <row r="4260" spans="1:50" x14ac:dyDescent="0.3">
      <c r="A4260" t="str">
        <f>"200674C0100"</f>
        <v>200674C0100</v>
      </c>
      <c r="B4260" t="str">
        <f>"200674C01002"</f>
        <v>200674C01002</v>
      </c>
      <c r="C4260" t="str">
        <f t="shared" si="220"/>
        <v>20</v>
      </c>
      <c r="D4260" t="s">
        <v>67</v>
      </c>
      <c r="E4260" t="str">
        <f t="shared" si="221"/>
        <v>019</v>
      </c>
      <c r="F4260" t="s">
        <v>4278</v>
      </c>
      <c r="G4260" t="str">
        <f>"0674"</f>
        <v>0674</v>
      </c>
      <c r="H4260" t="str">
        <f>"0001"</f>
        <v>0001</v>
      </c>
      <c r="I4260" t="s">
        <v>75</v>
      </c>
      <c r="J4260">
        <v>0</v>
      </c>
      <c r="K4260">
        <v>1</v>
      </c>
      <c r="L4260">
        <v>2</v>
      </c>
      <c r="M4260">
        <v>337</v>
      </c>
      <c r="N4260">
        <v>453</v>
      </c>
      <c r="O4260">
        <v>6</v>
      </c>
      <c r="P4260" t="s">
        <v>80</v>
      </c>
      <c r="Q4260">
        <v>34</v>
      </c>
      <c r="R4260">
        <v>48</v>
      </c>
      <c r="S4260">
        <v>5</v>
      </c>
      <c r="T4260">
        <v>12</v>
      </c>
      <c r="U4260">
        <v>8</v>
      </c>
      <c r="V4260">
        <v>16</v>
      </c>
      <c r="W4260">
        <v>25</v>
      </c>
      <c r="X4260">
        <v>259</v>
      </c>
      <c r="Y4260">
        <v>18</v>
      </c>
      <c r="Z4260">
        <v>6</v>
      </c>
      <c r="AA4260">
        <v>2</v>
      </c>
      <c r="AB4260">
        <v>10</v>
      </c>
      <c r="AD4260">
        <v>3</v>
      </c>
      <c r="AE4260">
        <v>0</v>
      </c>
      <c r="AF4260">
        <v>0</v>
      </c>
      <c r="AG4260">
        <v>0</v>
      </c>
      <c r="AI4260">
        <v>0</v>
      </c>
      <c r="AJ4260">
        <v>7</v>
      </c>
      <c r="AK4260">
        <v>453</v>
      </c>
      <c r="AL4260">
        <v>453</v>
      </c>
      <c r="AM4260">
        <v>746</v>
      </c>
      <c r="AN4260">
        <v>44</v>
      </c>
      <c r="AP4260">
        <v>1</v>
      </c>
      <c r="AR4260" t="s">
        <v>4360</v>
      </c>
      <c r="AS4260" s="1">
        <v>44354.493055555555</v>
      </c>
      <c r="AT4260" s="1">
        <v>44354.494687500002</v>
      </c>
      <c r="AU4260" s="1">
        <v>44354.49560185185</v>
      </c>
      <c r="AV4260" t="s">
        <v>71</v>
      </c>
      <c r="AW4260" t="s">
        <v>72</v>
      </c>
      <c r="AX4260" t="s">
        <v>73</v>
      </c>
    </row>
    <row r="4261" spans="1:50" x14ac:dyDescent="0.3">
      <c r="A4261" t="str">
        <f>"200675B0000"</f>
        <v>200675B0000</v>
      </c>
      <c r="B4261" t="str">
        <f>"200675B00002"</f>
        <v>200675B00002</v>
      </c>
      <c r="C4261" t="str">
        <f t="shared" si="220"/>
        <v>20</v>
      </c>
      <c r="D4261" t="s">
        <v>67</v>
      </c>
      <c r="E4261" t="str">
        <f t="shared" si="221"/>
        <v>019</v>
      </c>
      <c r="F4261" t="s">
        <v>4278</v>
      </c>
      <c r="G4261" t="str">
        <f>"0675"</f>
        <v>0675</v>
      </c>
      <c r="H4261" t="str">
        <f>"0000"</f>
        <v>0000</v>
      </c>
      <c r="I4261" t="s">
        <v>69</v>
      </c>
      <c r="J4261">
        <v>0</v>
      </c>
      <c r="K4261">
        <v>1</v>
      </c>
      <c r="L4261">
        <v>2</v>
      </c>
      <c r="AM4261">
        <v>528</v>
      </c>
      <c r="AN4261">
        <v>44</v>
      </c>
      <c r="AO4261" t="s">
        <v>352</v>
      </c>
      <c r="AP4261">
        <v>0</v>
      </c>
      <c r="AR4261" t="s">
        <v>4361</v>
      </c>
      <c r="AS4261" s="1">
        <v>44354.625</v>
      </c>
      <c r="AT4261" s="1">
        <v>44354.643750000003</v>
      </c>
      <c r="AU4261" s="1">
        <v>44354.643750000003</v>
      </c>
      <c r="AV4261" t="s">
        <v>71</v>
      </c>
      <c r="AW4261" t="s">
        <v>72</v>
      </c>
      <c r="AX4261" t="s">
        <v>73</v>
      </c>
    </row>
    <row r="4262" spans="1:50" x14ac:dyDescent="0.3">
      <c r="A4262" t="str">
        <f>"200675C0100"</f>
        <v>200675C0100</v>
      </c>
      <c r="B4262" t="str">
        <f>"200675C01002"</f>
        <v>200675C01002</v>
      </c>
      <c r="C4262" t="str">
        <f t="shared" si="220"/>
        <v>20</v>
      </c>
      <c r="D4262" t="s">
        <v>67</v>
      </c>
      <c r="E4262" t="str">
        <f t="shared" si="221"/>
        <v>019</v>
      </c>
      <c r="F4262" t="s">
        <v>4278</v>
      </c>
      <c r="G4262" t="str">
        <f>"0675"</f>
        <v>0675</v>
      </c>
      <c r="H4262" t="str">
        <f>"0001"</f>
        <v>0001</v>
      </c>
      <c r="I4262" t="s">
        <v>75</v>
      </c>
      <c r="J4262">
        <v>0</v>
      </c>
      <c r="K4262">
        <v>1</v>
      </c>
      <c r="L4262">
        <v>2</v>
      </c>
      <c r="M4262" t="s">
        <v>99</v>
      </c>
      <c r="N4262" t="s">
        <v>99</v>
      </c>
      <c r="O4262" t="s">
        <v>99</v>
      </c>
      <c r="P4262">
        <v>311</v>
      </c>
      <c r="Q4262">
        <v>22</v>
      </c>
      <c r="R4262">
        <v>41</v>
      </c>
      <c r="S4262">
        <v>2</v>
      </c>
      <c r="T4262">
        <v>3</v>
      </c>
      <c r="U4262">
        <v>8</v>
      </c>
      <c r="V4262">
        <v>4</v>
      </c>
      <c r="W4262">
        <v>7</v>
      </c>
      <c r="X4262">
        <v>191</v>
      </c>
      <c r="Y4262">
        <v>13</v>
      </c>
      <c r="Z4262">
        <v>3</v>
      </c>
      <c r="AA4262">
        <v>0</v>
      </c>
      <c r="AB4262">
        <v>10</v>
      </c>
      <c r="AD4262">
        <v>1</v>
      </c>
      <c r="AE4262">
        <v>0</v>
      </c>
      <c r="AF4262">
        <v>1</v>
      </c>
      <c r="AG4262">
        <v>0</v>
      </c>
      <c r="AI4262">
        <v>1</v>
      </c>
      <c r="AJ4262">
        <v>4</v>
      </c>
      <c r="AK4262">
        <v>311</v>
      </c>
      <c r="AL4262">
        <v>311</v>
      </c>
      <c r="AM4262">
        <v>528</v>
      </c>
      <c r="AN4262">
        <v>44</v>
      </c>
      <c r="AP4262">
        <v>1</v>
      </c>
      <c r="AR4262" t="s">
        <v>4362</v>
      </c>
      <c r="AS4262" s="1">
        <v>44354.353472222225</v>
      </c>
      <c r="AT4262" s="1">
        <v>44354.354699074072</v>
      </c>
      <c r="AU4262" s="1">
        <v>44354.355300925927</v>
      </c>
      <c r="AV4262" t="s">
        <v>71</v>
      </c>
      <c r="AW4262" t="s">
        <v>72</v>
      </c>
      <c r="AX4262" t="s">
        <v>73</v>
      </c>
    </row>
    <row r="4263" spans="1:50" x14ac:dyDescent="0.3">
      <c r="A4263" t="str">
        <f>"200675C0200"</f>
        <v>200675C0200</v>
      </c>
      <c r="B4263" t="str">
        <f>"200675C02002"</f>
        <v>200675C02002</v>
      </c>
      <c r="C4263" t="str">
        <f t="shared" si="220"/>
        <v>20</v>
      </c>
      <c r="D4263" t="s">
        <v>67</v>
      </c>
      <c r="E4263" t="str">
        <f t="shared" si="221"/>
        <v>019</v>
      </c>
      <c r="F4263" t="s">
        <v>4278</v>
      </c>
      <c r="G4263" t="str">
        <f>"0675"</f>
        <v>0675</v>
      </c>
      <c r="H4263" t="str">
        <f>"0002"</f>
        <v>0002</v>
      </c>
      <c r="I4263" t="s">
        <v>75</v>
      </c>
      <c r="J4263">
        <v>0</v>
      </c>
      <c r="K4263">
        <v>1</v>
      </c>
      <c r="L4263">
        <v>2</v>
      </c>
      <c r="M4263">
        <v>262</v>
      </c>
      <c r="N4263">
        <v>309</v>
      </c>
      <c r="O4263">
        <v>7</v>
      </c>
      <c r="P4263">
        <v>309</v>
      </c>
      <c r="Q4263">
        <v>25</v>
      </c>
      <c r="R4263">
        <v>30</v>
      </c>
      <c r="S4263">
        <v>4</v>
      </c>
      <c r="T4263">
        <v>6</v>
      </c>
      <c r="U4263">
        <v>9</v>
      </c>
      <c r="V4263">
        <v>4</v>
      </c>
      <c r="W4263">
        <v>13</v>
      </c>
      <c r="X4263">
        <v>185</v>
      </c>
      <c r="Y4263">
        <v>8</v>
      </c>
      <c r="Z4263">
        <v>10</v>
      </c>
      <c r="AA4263">
        <v>1</v>
      </c>
      <c r="AB4263">
        <v>7</v>
      </c>
      <c r="AD4263">
        <v>1</v>
      </c>
      <c r="AE4263">
        <v>0</v>
      </c>
      <c r="AF4263">
        <v>0</v>
      </c>
      <c r="AG4263">
        <v>0</v>
      </c>
      <c r="AI4263">
        <v>0</v>
      </c>
      <c r="AJ4263">
        <v>6</v>
      </c>
      <c r="AK4263">
        <v>309</v>
      </c>
      <c r="AL4263">
        <v>309</v>
      </c>
      <c r="AM4263">
        <v>528</v>
      </c>
      <c r="AN4263">
        <v>44</v>
      </c>
      <c r="AP4263">
        <v>1</v>
      </c>
      <c r="AR4263" t="s">
        <v>4363</v>
      </c>
      <c r="AS4263" s="1">
        <v>44354.505555555559</v>
      </c>
      <c r="AT4263" s="1">
        <v>44354.50712962963</v>
      </c>
      <c r="AU4263" s="1">
        <v>44354.507916666669</v>
      </c>
      <c r="AV4263" t="s">
        <v>71</v>
      </c>
      <c r="AW4263" t="s">
        <v>72</v>
      </c>
      <c r="AX4263" t="s">
        <v>73</v>
      </c>
    </row>
    <row r="4264" spans="1:50" x14ac:dyDescent="0.3">
      <c r="A4264" t="str">
        <f>"200676B0000"</f>
        <v>200676B0000</v>
      </c>
      <c r="B4264" t="str">
        <f>"200676B00002"</f>
        <v>200676B00002</v>
      </c>
      <c r="C4264" t="str">
        <f t="shared" si="220"/>
        <v>20</v>
      </c>
      <c r="D4264" t="s">
        <v>67</v>
      </c>
      <c r="E4264" t="str">
        <f t="shared" si="221"/>
        <v>019</v>
      </c>
      <c r="F4264" t="s">
        <v>4278</v>
      </c>
      <c r="G4264" t="str">
        <f>"0676"</f>
        <v>0676</v>
      </c>
      <c r="H4264" t="str">
        <f>"0000"</f>
        <v>0000</v>
      </c>
      <c r="I4264" t="s">
        <v>69</v>
      </c>
      <c r="J4264">
        <v>0</v>
      </c>
      <c r="K4264">
        <v>1</v>
      </c>
      <c r="L4264">
        <v>2</v>
      </c>
      <c r="M4264" t="s">
        <v>80</v>
      </c>
      <c r="N4264" t="s">
        <v>80</v>
      </c>
      <c r="O4264" t="s">
        <v>80</v>
      </c>
      <c r="P4264" t="s">
        <v>80</v>
      </c>
      <c r="Q4264">
        <v>56</v>
      </c>
      <c r="R4264">
        <v>63</v>
      </c>
      <c r="S4264">
        <v>6</v>
      </c>
      <c r="T4264">
        <v>3</v>
      </c>
      <c r="U4264">
        <v>10</v>
      </c>
      <c r="V4264">
        <v>4</v>
      </c>
      <c r="W4264">
        <v>12</v>
      </c>
      <c r="X4264">
        <v>187</v>
      </c>
      <c r="Y4264">
        <v>5</v>
      </c>
      <c r="Z4264">
        <v>3</v>
      </c>
      <c r="AA4264">
        <v>2</v>
      </c>
      <c r="AB4264">
        <v>9</v>
      </c>
      <c r="AD4264">
        <v>3</v>
      </c>
      <c r="AE4264">
        <v>0</v>
      </c>
      <c r="AF4264">
        <v>0</v>
      </c>
      <c r="AG4264">
        <v>0</v>
      </c>
      <c r="AI4264">
        <v>0</v>
      </c>
      <c r="AJ4264">
        <v>4</v>
      </c>
      <c r="AK4264">
        <v>367</v>
      </c>
      <c r="AL4264">
        <v>367</v>
      </c>
      <c r="AM4264">
        <v>572</v>
      </c>
      <c r="AN4264">
        <v>44</v>
      </c>
      <c r="AP4264">
        <v>1</v>
      </c>
      <c r="AR4264" t="s">
        <v>4364</v>
      </c>
      <c r="AS4264" s="1">
        <v>44354.07916666667</v>
      </c>
      <c r="AT4264" s="1">
        <v>44354.085578703707</v>
      </c>
      <c r="AU4264" s="1">
        <v>44354.086053240739</v>
      </c>
      <c r="AV4264" t="s">
        <v>71</v>
      </c>
      <c r="AW4264" t="s">
        <v>72</v>
      </c>
      <c r="AX4264" t="s">
        <v>73</v>
      </c>
    </row>
    <row r="4265" spans="1:50" x14ac:dyDescent="0.3">
      <c r="A4265" t="str">
        <f>"200676C0100"</f>
        <v>200676C0100</v>
      </c>
      <c r="B4265" t="str">
        <f>"200676C01002"</f>
        <v>200676C01002</v>
      </c>
      <c r="C4265" t="str">
        <f t="shared" si="220"/>
        <v>20</v>
      </c>
      <c r="D4265" t="s">
        <v>67</v>
      </c>
      <c r="E4265" t="str">
        <f t="shared" si="221"/>
        <v>019</v>
      </c>
      <c r="F4265" t="s">
        <v>4278</v>
      </c>
      <c r="G4265" t="str">
        <f>"0676"</f>
        <v>0676</v>
      </c>
      <c r="H4265" t="str">
        <f>"0001"</f>
        <v>0001</v>
      </c>
      <c r="I4265" t="s">
        <v>75</v>
      </c>
      <c r="J4265">
        <v>0</v>
      </c>
      <c r="K4265">
        <v>1</v>
      </c>
      <c r="L4265">
        <v>2</v>
      </c>
      <c r="M4265">
        <v>262</v>
      </c>
      <c r="N4265">
        <v>353</v>
      </c>
      <c r="O4265">
        <v>5</v>
      </c>
      <c r="P4265">
        <v>353</v>
      </c>
      <c r="Q4265">
        <v>36</v>
      </c>
      <c r="R4265">
        <v>53</v>
      </c>
      <c r="S4265">
        <v>4</v>
      </c>
      <c r="T4265">
        <v>11</v>
      </c>
      <c r="U4265">
        <v>7</v>
      </c>
      <c r="V4265">
        <v>12</v>
      </c>
      <c r="W4265">
        <v>12</v>
      </c>
      <c r="X4265">
        <v>179</v>
      </c>
      <c r="Y4265">
        <v>10</v>
      </c>
      <c r="Z4265">
        <v>8</v>
      </c>
      <c r="AA4265">
        <v>1</v>
      </c>
      <c r="AB4265">
        <v>10</v>
      </c>
      <c r="AD4265">
        <v>7</v>
      </c>
      <c r="AE4265">
        <v>0</v>
      </c>
      <c r="AF4265">
        <v>0</v>
      </c>
      <c r="AG4265">
        <v>0</v>
      </c>
      <c r="AI4265">
        <v>0</v>
      </c>
      <c r="AJ4265">
        <v>3</v>
      </c>
      <c r="AK4265">
        <v>353</v>
      </c>
      <c r="AL4265">
        <v>353</v>
      </c>
      <c r="AM4265">
        <v>571</v>
      </c>
      <c r="AN4265">
        <v>44</v>
      </c>
      <c r="AP4265">
        <v>1</v>
      </c>
      <c r="AR4265" t="s">
        <v>4365</v>
      </c>
      <c r="AS4265" s="1">
        <v>44354.334027777775</v>
      </c>
      <c r="AT4265" s="1">
        <v>44354.336006944446</v>
      </c>
      <c r="AU4265" s="1">
        <v>44354.336481481485</v>
      </c>
      <c r="AV4265" t="s">
        <v>71</v>
      </c>
      <c r="AW4265" t="s">
        <v>72</v>
      </c>
      <c r="AX4265" t="s">
        <v>73</v>
      </c>
    </row>
    <row r="4266" spans="1:50" x14ac:dyDescent="0.3">
      <c r="A4266" t="str">
        <f>"200677B0000"</f>
        <v>200677B0000</v>
      </c>
      <c r="B4266" t="str">
        <f>"200677B00002"</f>
        <v>200677B00002</v>
      </c>
      <c r="C4266" t="str">
        <f t="shared" si="220"/>
        <v>20</v>
      </c>
      <c r="D4266" t="s">
        <v>67</v>
      </c>
      <c r="E4266" t="str">
        <f t="shared" si="221"/>
        <v>019</v>
      </c>
      <c r="F4266" t="s">
        <v>4278</v>
      </c>
      <c r="G4266" t="str">
        <f>"0677"</f>
        <v>0677</v>
      </c>
      <c r="H4266" t="str">
        <f>"0000"</f>
        <v>0000</v>
      </c>
      <c r="I4266" t="s">
        <v>69</v>
      </c>
      <c r="J4266">
        <v>0</v>
      </c>
      <c r="K4266">
        <v>1</v>
      </c>
      <c r="L4266">
        <v>2</v>
      </c>
      <c r="M4266">
        <v>334</v>
      </c>
      <c r="N4266">
        <v>458</v>
      </c>
      <c r="O4266">
        <v>6</v>
      </c>
      <c r="P4266" t="s">
        <v>80</v>
      </c>
      <c r="Q4266">
        <v>61</v>
      </c>
      <c r="R4266">
        <v>66</v>
      </c>
      <c r="S4266">
        <v>7</v>
      </c>
      <c r="T4266">
        <v>5</v>
      </c>
      <c r="U4266">
        <v>9</v>
      </c>
      <c r="V4266">
        <v>14</v>
      </c>
      <c r="W4266">
        <v>23</v>
      </c>
      <c r="X4266">
        <v>26</v>
      </c>
      <c r="Y4266">
        <v>10</v>
      </c>
      <c r="Z4266">
        <v>14</v>
      </c>
      <c r="AA4266">
        <v>3</v>
      </c>
      <c r="AB4266">
        <v>10</v>
      </c>
      <c r="AD4266">
        <v>2</v>
      </c>
      <c r="AE4266">
        <v>1</v>
      </c>
      <c r="AF4266">
        <v>0</v>
      </c>
      <c r="AG4266">
        <v>0</v>
      </c>
      <c r="AI4266">
        <v>0</v>
      </c>
      <c r="AJ4266">
        <v>3</v>
      </c>
      <c r="AK4266">
        <v>454</v>
      </c>
      <c r="AL4266">
        <v>254</v>
      </c>
      <c r="AM4266">
        <v>748</v>
      </c>
      <c r="AN4266">
        <v>44</v>
      </c>
      <c r="AP4266">
        <v>1</v>
      </c>
      <c r="AR4266" t="s">
        <v>4366</v>
      </c>
      <c r="AS4266" s="1">
        <v>44354.272222222222</v>
      </c>
      <c r="AT4266" s="1">
        <v>44354.274016203701</v>
      </c>
      <c r="AU4266" s="1">
        <v>44354.275092592594</v>
      </c>
      <c r="AV4266" t="s">
        <v>71</v>
      </c>
      <c r="AW4266" t="s">
        <v>72</v>
      </c>
      <c r="AX4266" t="s">
        <v>73</v>
      </c>
    </row>
    <row r="4267" spans="1:50" x14ac:dyDescent="0.3">
      <c r="A4267" t="str">
        <f>"200677C0100"</f>
        <v>200677C0100</v>
      </c>
      <c r="B4267" t="str">
        <f>"200677C01002"</f>
        <v>200677C01002</v>
      </c>
      <c r="C4267" t="str">
        <f t="shared" si="220"/>
        <v>20</v>
      </c>
      <c r="D4267" t="s">
        <v>67</v>
      </c>
      <c r="E4267" t="str">
        <f t="shared" si="221"/>
        <v>019</v>
      </c>
      <c r="F4267" t="s">
        <v>4278</v>
      </c>
      <c r="G4267" t="str">
        <f>"0677"</f>
        <v>0677</v>
      </c>
      <c r="H4267" t="str">
        <f>"0001"</f>
        <v>0001</v>
      </c>
      <c r="I4267" t="s">
        <v>75</v>
      </c>
      <c r="J4267">
        <v>0</v>
      </c>
      <c r="K4267">
        <v>1</v>
      </c>
      <c r="L4267">
        <v>2</v>
      </c>
      <c r="M4267">
        <v>319</v>
      </c>
      <c r="N4267">
        <v>473</v>
      </c>
      <c r="O4267">
        <v>8</v>
      </c>
      <c r="P4267">
        <v>481</v>
      </c>
      <c r="Q4267">
        <v>57</v>
      </c>
      <c r="R4267">
        <v>55</v>
      </c>
      <c r="S4267">
        <v>4</v>
      </c>
      <c r="T4267">
        <v>9</v>
      </c>
      <c r="U4267">
        <v>7</v>
      </c>
      <c r="V4267">
        <v>11</v>
      </c>
      <c r="W4267">
        <v>11</v>
      </c>
      <c r="X4267">
        <v>290</v>
      </c>
      <c r="Y4267" t="s">
        <v>99</v>
      </c>
      <c r="Z4267">
        <v>8</v>
      </c>
      <c r="AA4267">
        <v>0</v>
      </c>
      <c r="AB4267">
        <v>10</v>
      </c>
      <c r="AD4267" t="s">
        <v>99</v>
      </c>
      <c r="AE4267">
        <v>0</v>
      </c>
      <c r="AF4267">
        <v>0</v>
      </c>
      <c r="AG4267">
        <v>0</v>
      </c>
      <c r="AI4267">
        <v>1</v>
      </c>
      <c r="AJ4267">
        <v>6</v>
      </c>
      <c r="AK4267">
        <v>481</v>
      </c>
      <c r="AL4267">
        <v>469</v>
      </c>
      <c r="AM4267">
        <v>748</v>
      </c>
      <c r="AN4267">
        <v>44</v>
      </c>
      <c r="AO4267" t="s">
        <v>78</v>
      </c>
      <c r="AP4267">
        <v>1</v>
      </c>
      <c r="AR4267" t="s">
        <v>4367</v>
      </c>
      <c r="AS4267" s="1">
        <v>44354.063888888886</v>
      </c>
      <c r="AT4267" s="1">
        <v>44354.070289351854</v>
      </c>
      <c r="AU4267" s="1">
        <v>44354.071099537039</v>
      </c>
      <c r="AV4267" t="s">
        <v>71</v>
      </c>
      <c r="AW4267" t="s">
        <v>72</v>
      </c>
      <c r="AX4267" t="s">
        <v>73</v>
      </c>
    </row>
    <row r="4268" spans="1:50" x14ac:dyDescent="0.3">
      <c r="A4268" t="str">
        <f>"200678B0000"</f>
        <v>200678B0000</v>
      </c>
      <c r="B4268" t="str">
        <f>"200678B00002"</f>
        <v>200678B00002</v>
      </c>
      <c r="C4268" t="str">
        <f t="shared" si="220"/>
        <v>20</v>
      </c>
      <c r="D4268" t="s">
        <v>67</v>
      </c>
      <c r="E4268" t="str">
        <f t="shared" si="221"/>
        <v>019</v>
      </c>
      <c r="F4268" t="s">
        <v>4278</v>
      </c>
      <c r="G4268" t="str">
        <f>"0678"</f>
        <v>0678</v>
      </c>
      <c r="H4268" t="str">
        <f>"0000"</f>
        <v>0000</v>
      </c>
      <c r="I4268" t="s">
        <v>69</v>
      </c>
      <c r="J4268">
        <v>0</v>
      </c>
      <c r="K4268">
        <v>1</v>
      </c>
      <c r="L4268">
        <v>2</v>
      </c>
      <c r="M4268">
        <v>318</v>
      </c>
      <c r="N4268">
        <v>318</v>
      </c>
      <c r="O4268">
        <v>5</v>
      </c>
      <c r="P4268">
        <v>318</v>
      </c>
      <c r="Q4268">
        <v>22</v>
      </c>
      <c r="R4268">
        <v>38</v>
      </c>
      <c r="S4268">
        <v>0</v>
      </c>
      <c r="T4268">
        <v>11</v>
      </c>
      <c r="U4268">
        <v>5</v>
      </c>
      <c r="V4268">
        <v>10</v>
      </c>
      <c r="W4268">
        <v>15</v>
      </c>
      <c r="X4268">
        <v>178</v>
      </c>
      <c r="Y4268">
        <v>15</v>
      </c>
      <c r="Z4268">
        <v>6</v>
      </c>
      <c r="AA4268">
        <v>2</v>
      </c>
      <c r="AB4268">
        <v>9</v>
      </c>
      <c r="AD4268">
        <v>1</v>
      </c>
      <c r="AE4268" t="s">
        <v>77</v>
      </c>
      <c r="AF4268" t="s">
        <v>77</v>
      </c>
      <c r="AG4268" t="s">
        <v>77</v>
      </c>
      <c r="AI4268" t="s">
        <v>77</v>
      </c>
      <c r="AJ4268">
        <v>6</v>
      </c>
      <c r="AK4268">
        <v>318</v>
      </c>
      <c r="AL4268">
        <v>318</v>
      </c>
      <c r="AM4268">
        <v>592</v>
      </c>
      <c r="AN4268">
        <v>44</v>
      </c>
      <c r="AO4268" t="s">
        <v>78</v>
      </c>
      <c r="AP4268">
        <v>1</v>
      </c>
      <c r="AR4268" t="s">
        <v>4368</v>
      </c>
      <c r="AS4268" s="1">
        <v>44354.435416666667</v>
      </c>
      <c r="AT4268" s="1">
        <v>44354.437337962961</v>
      </c>
      <c r="AU4268" s="1">
        <v>44354.437986111108</v>
      </c>
      <c r="AV4268" t="s">
        <v>71</v>
      </c>
      <c r="AW4268" t="s">
        <v>72</v>
      </c>
      <c r="AX4268" t="s">
        <v>73</v>
      </c>
    </row>
    <row r="4269" spans="1:50" x14ac:dyDescent="0.3">
      <c r="A4269" t="str">
        <f>"200678C0100"</f>
        <v>200678C0100</v>
      </c>
      <c r="B4269" t="str">
        <f>"200678C01002"</f>
        <v>200678C01002</v>
      </c>
      <c r="C4269" t="str">
        <f t="shared" si="220"/>
        <v>20</v>
      </c>
      <c r="D4269" t="s">
        <v>67</v>
      </c>
      <c r="E4269" t="str">
        <f t="shared" si="221"/>
        <v>019</v>
      </c>
      <c r="F4269" t="s">
        <v>4278</v>
      </c>
      <c r="G4269" t="str">
        <f>"0678"</f>
        <v>0678</v>
      </c>
      <c r="H4269" t="str">
        <f>"0001"</f>
        <v>0001</v>
      </c>
      <c r="I4269" t="s">
        <v>75</v>
      </c>
      <c r="J4269">
        <v>0</v>
      </c>
      <c r="K4269">
        <v>1</v>
      </c>
      <c r="L4269">
        <v>2</v>
      </c>
      <c r="M4269">
        <v>336</v>
      </c>
      <c r="N4269">
        <v>300</v>
      </c>
      <c r="O4269">
        <v>1</v>
      </c>
      <c r="P4269">
        <v>300</v>
      </c>
      <c r="Q4269">
        <v>13</v>
      </c>
      <c r="R4269">
        <v>34</v>
      </c>
      <c r="S4269">
        <v>1</v>
      </c>
      <c r="T4269">
        <v>12</v>
      </c>
      <c r="U4269">
        <v>10</v>
      </c>
      <c r="V4269">
        <v>9</v>
      </c>
      <c r="W4269">
        <v>11</v>
      </c>
      <c r="X4269">
        <v>170</v>
      </c>
      <c r="Y4269">
        <v>16</v>
      </c>
      <c r="Z4269">
        <v>3</v>
      </c>
      <c r="AA4269">
        <v>0</v>
      </c>
      <c r="AB4269">
        <v>11</v>
      </c>
      <c r="AD4269">
        <v>1</v>
      </c>
      <c r="AE4269">
        <v>1</v>
      </c>
      <c r="AF4269">
        <v>1</v>
      </c>
      <c r="AG4269">
        <v>0</v>
      </c>
      <c r="AI4269">
        <v>0</v>
      </c>
      <c r="AJ4269">
        <v>7</v>
      </c>
      <c r="AK4269">
        <v>300</v>
      </c>
      <c r="AL4269">
        <v>300</v>
      </c>
      <c r="AM4269">
        <v>592</v>
      </c>
      <c r="AN4269">
        <v>44</v>
      </c>
      <c r="AP4269">
        <v>1</v>
      </c>
      <c r="AR4269" t="s">
        <v>4369</v>
      </c>
      <c r="AS4269" s="1">
        <v>44354.063194444447</v>
      </c>
      <c r="AT4269" s="1">
        <v>44354.092280092591</v>
      </c>
      <c r="AU4269" s="1">
        <v>44354.095347222225</v>
      </c>
      <c r="AV4269" t="s">
        <v>71</v>
      </c>
      <c r="AW4269" t="s">
        <v>72</v>
      </c>
      <c r="AX4269" t="s">
        <v>73</v>
      </c>
    </row>
    <row r="4270" spans="1:50" x14ac:dyDescent="0.3">
      <c r="A4270" t="str">
        <f>"200678C0200"</f>
        <v>200678C0200</v>
      </c>
      <c r="B4270" t="str">
        <f>"200678C02002"</f>
        <v>200678C02002</v>
      </c>
      <c r="C4270" t="str">
        <f t="shared" si="220"/>
        <v>20</v>
      </c>
      <c r="D4270" t="s">
        <v>67</v>
      </c>
      <c r="E4270" t="str">
        <f t="shared" si="221"/>
        <v>019</v>
      </c>
      <c r="F4270" t="s">
        <v>4278</v>
      </c>
      <c r="G4270" t="str">
        <f>"0678"</f>
        <v>0678</v>
      </c>
      <c r="H4270" t="str">
        <f>"0002"</f>
        <v>0002</v>
      </c>
      <c r="I4270" t="s">
        <v>75</v>
      </c>
      <c r="J4270">
        <v>0</v>
      </c>
      <c r="K4270">
        <v>1</v>
      </c>
      <c r="L4270">
        <v>2</v>
      </c>
      <c r="M4270">
        <v>310</v>
      </c>
      <c r="N4270">
        <v>326</v>
      </c>
      <c r="O4270">
        <v>6</v>
      </c>
      <c r="P4270">
        <v>326</v>
      </c>
      <c r="Q4270">
        <v>20</v>
      </c>
      <c r="R4270">
        <v>37</v>
      </c>
      <c r="S4270">
        <v>0</v>
      </c>
      <c r="T4270">
        <v>13</v>
      </c>
      <c r="U4270">
        <v>9</v>
      </c>
      <c r="V4270">
        <v>14</v>
      </c>
      <c r="W4270">
        <v>9</v>
      </c>
      <c r="X4270">
        <v>183</v>
      </c>
      <c r="Y4270">
        <v>15</v>
      </c>
      <c r="Z4270">
        <v>4</v>
      </c>
      <c r="AA4270">
        <v>1</v>
      </c>
      <c r="AB4270">
        <v>12</v>
      </c>
      <c r="AD4270">
        <v>2</v>
      </c>
      <c r="AE4270">
        <v>3</v>
      </c>
      <c r="AF4270">
        <v>0</v>
      </c>
      <c r="AG4270">
        <v>0</v>
      </c>
      <c r="AI4270">
        <v>0</v>
      </c>
      <c r="AJ4270">
        <v>4</v>
      </c>
      <c r="AK4270">
        <v>326</v>
      </c>
      <c r="AL4270">
        <v>326</v>
      </c>
      <c r="AM4270">
        <v>592</v>
      </c>
      <c r="AN4270">
        <v>44</v>
      </c>
      <c r="AP4270">
        <v>1</v>
      </c>
      <c r="AR4270" t="s">
        <v>4370</v>
      </c>
      <c r="AS4270" s="1">
        <v>44354.399305555555</v>
      </c>
      <c r="AT4270" s="1">
        <v>44354.401006944441</v>
      </c>
      <c r="AU4270" s="1">
        <v>44354.40284722222</v>
      </c>
      <c r="AV4270" t="s">
        <v>71</v>
      </c>
      <c r="AW4270" t="s">
        <v>72</v>
      </c>
      <c r="AX4270" t="s">
        <v>73</v>
      </c>
    </row>
    <row r="4271" spans="1:50" x14ac:dyDescent="0.3">
      <c r="A4271" t="str">
        <f>"200679B0000"</f>
        <v>200679B0000</v>
      </c>
      <c r="B4271" t="str">
        <f>"200679B00002"</f>
        <v>200679B00002</v>
      </c>
      <c r="C4271" t="str">
        <f t="shared" si="220"/>
        <v>20</v>
      </c>
      <c r="D4271" t="s">
        <v>67</v>
      </c>
      <c r="E4271" t="str">
        <f t="shared" si="221"/>
        <v>019</v>
      </c>
      <c r="F4271" t="s">
        <v>4278</v>
      </c>
      <c r="G4271" t="str">
        <f>"0679"</f>
        <v>0679</v>
      </c>
      <c r="H4271" t="str">
        <f>"0000"</f>
        <v>0000</v>
      </c>
      <c r="I4271" t="s">
        <v>69</v>
      </c>
      <c r="J4271">
        <v>0</v>
      </c>
      <c r="K4271">
        <v>1</v>
      </c>
      <c r="L4271">
        <v>2</v>
      </c>
      <c r="M4271">
        <v>312</v>
      </c>
      <c r="N4271">
        <v>346</v>
      </c>
      <c r="O4271">
        <v>3</v>
      </c>
      <c r="P4271">
        <v>348</v>
      </c>
      <c r="Q4271">
        <v>15</v>
      </c>
      <c r="R4271">
        <v>23</v>
      </c>
      <c r="S4271">
        <v>1</v>
      </c>
      <c r="T4271">
        <v>9</v>
      </c>
      <c r="U4271">
        <v>3</v>
      </c>
      <c r="V4271">
        <v>9</v>
      </c>
      <c r="W4271">
        <v>31</v>
      </c>
      <c r="X4271">
        <v>220</v>
      </c>
      <c r="Y4271">
        <v>12</v>
      </c>
      <c r="Z4271">
        <v>3</v>
      </c>
      <c r="AA4271">
        <v>2</v>
      </c>
      <c r="AB4271">
        <v>7</v>
      </c>
      <c r="AD4271">
        <v>3</v>
      </c>
      <c r="AE4271">
        <v>1</v>
      </c>
      <c r="AF4271">
        <v>0</v>
      </c>
      <c r="AG4271">
        <v>0</v>
      </c>
      <c r="AI4271">
        <v>0</v>
      </c>
      <c r="AJ4271">
        <v>9</v>
      </c>
      <c r="AK4271">
        <v>348</v>
      </c>
      <c r="AL4271">
        <v>348</v>
      </c>
      <c r="AM4271">
        <v>615</v>
      </c>
      <c r="AN4271">
        <v>44</v>
      </c>
      <c r="AP4271">
        <v>1</v>
      </c>
      <c r="AR4271" t="s">
        <v>4371</v>
      </c>
      <c r="AS4271" s="1">
        <v>44354.037499999999</v>
      </c>
      <c r="AT4271" s="1">
        <v>44354.044594907406</v>
      </c>
      <c r="AU4271" s="1">
        <v>44354.045127314814</v>
      </c>
      <c r="AV4271" t="s">
        <v>71</v>
      </c>
      <c r="AW4271" t="s">
        <v>72</v>
      </c>
      <c r="AX4271" t="s">
        <v>73</v>
      </c>
    </row>
    <row r="4272" spans="1:50" x14ac:dyDescent="0.3">
      <c r="A4272" t="str">
        <f>"200679C0100"</f>
        <v>200679C0100</v>
      </c>
      <c r="B4272" t="str">
        <f>"200679C01002"</f>
        <v>200679C01002</v>
      </c>
      <c r="C4272" t="str">
        <f t="shared" si="220"/>
        <v>20</v>
      </c>
      <c r="D4272" t="s">
        <v>67</v>
      </c>
      <c r="E4272" t="str">
        <f t="shared" si="221"/>
        <v>019</v>
      </c>
      <c r="F4272" t="s">
        <v>4278</v>
      </c>
      <c r="G4272" t="str">
        <f>"0679"</f>
        <v>0679</v>
      </c>
      <c r="H4272" t="str">
        <f>"0001"</f>
        <v>0001</v>
      </c>
      <c r="I4272" t="s">
        <v>75</v>
      </c>
      <c r="J4272">
        <v>0</v>
      </c>
      <c r="K4272">
        <v>1</v>
      </c>
      <c r="L4272">
        <v>2</v>
      </c>
      <c r="M4272">
        <v>322</v>
      </c>
      <c r="N4272">
        <v>337</v>
      </c>
      <c r="O4272">
        <v>7</v>
      </c>
      <c r="P4272">
        <v>336</v>
      </c>
      <c r="Q4272">
        <v>7</v>
      </c>
      <c r="R4272">
        <v>36</v>
      </c>
      <c r="S4272">
        <v>3</v>
      </c>
      <c r="T4272">
        <v>6</v>
      </c>
      <c r="U4272">
        <v>4</v>
      </c>
      <c r="V4272">
        <v>7</v>
      </c>
      <c r="W4272">
        <v>22</v>
      </c>
      <c r="X4272">
        <v>201</v>
      </c>
      <c r="Y4272">
        <v>14</v>
      </c>
      <c r="Z4272">
        <v>5</v>
      </c>
      <c r="AA4272">
        <v>12</v>
      </c>
      <c r="AB4272">
        <v>7</v>
      </c>
      <c r="AD4272">
        <v>1</v>
      </c>
      <c r="AE4272">
        <v>1</v>
      </c>
      <c r="AF4272">
        <v>0</v>
      </c>
      <c r="AG4272">
        <v>1</v>
      </c>
      <c r="AI4272">
        <v>0</v>
      </c>
      <c r="AJ4272">
        <v>9</v>
      </c>
      <c r="AK4272">
        <v>336</v>
      </c>
      <c r="AL4272">
        <v>336</v>
      </c>
      <c r="AM4272">
        <v>615</v>
      </c>
      <c r="AN4272">
        <v>44</v>
      </c>
      <c r="AP4272">
        <v>1</v>
      </c>
      <c r="AR4272" t="s">
        <v>4372</v>
      </c>
      <c r="AS4272" s="1">
        <v>44354.046527777777</v>
      </c>
      <c r="AT4272" s="1">
        <v>44354.053379629629</v>
      </c>
      <c r="AU4272" s="1">
        <v>44354.05395833333</v>
      </c>
      <c r="AV4272" t="s">
        <v>71</v>
      </c>
      <c r="AW4272" t="s">
        <v>72</v>
      </c>
      <c r="AX4272" t="s">
        <v>73</v>
      </c>
    </row>
    <row r="4273" spans="1:50" x14ac:dyDescent="0.3">
      <c r="A4273" t="str">
        <f>"200679C0200"</f>
        <v>200679C0200</v>
      </c>
      <c r="B4273" t="str">
        <f>"200679C02002"</f>
        <v>200679C02002</v>
      </c>
      <c r="C4273" t="str">
        <f t="shared" si="220"/>
        <v>20</v>
      </c>
      <c r="D4273" t="s">
        <v>67</v>
      </c>
      <c r="E4273" t="str">
        <f t="shared" si="221"/>
        <v>019</v>
      </c>
      <c r="F4273" t="s">
        <v>4278</v>
      </c>
      <c r="G4273" t="str">
        <f>"0679"</f>
        <v>0679</v>
      </c>
      <c r="H4273" t="str">
        <f>"0002"</f>
        <v>0002</v>
      </c>
      <c r="I4273" t="s">
        <v>75</v>
      </c>
      <c r="J4273">
        <v>0</v>
      </c>
      <c r="K4273">
        <v>1</v>
      </c>
      <c r="L4273">
        <v>2</v>
      </c>
      <c r="M4273">
        <v>297</v>
      </c>
      <c r="N4273">
        <v>361</v>
      </c>
      <c r="O4273">
        <v>8</v>
      </c>
      <c r="P4273">
        <v>0</v>
      </c>
      <c r="Q4273">
        <v>16</v>
      </c>
      <c r="R4273">
        <v>42</v>
      </c>
      <c r="S4273">
        <v>0</v>
      </c>
      <c r="T4273">
        <v>8</v>
      </c>
      <c r="U4273">
        <v>7</v>
      </c>
      <c r="V4273">
        <v>10</v>
      </c>
      <c r="W4273">
        <v>28</v>
      </c>
      <c r="X4273">
        <v>212</v>
      </c>
      <c r="Y4273">
        <v>16</v>
      </c>
      <c r="Z4273">
        <v>2</v>
      </c>
      <c r="AA4273">
        <v>5</v>
      </c>
      <c r="AB4273">
        <v>9</v>
      </c>
      <c r="AD4273">
        <v>1</v>
      </c>
      <c r="AE4273">
        <v>0</v>
      </c>
      <c r="AF4273">
        <v>0</v>
      </c>
      <c r="AG4273">
        <v>0</v>
      </c>
      <c r="AI4273">
        <v>0</v>
      </c>
      <c r="AJ4273">
        <v>6</v>
      </c>
      <c r="AK4273">
        <v>362</v>
      </c>
      <c r="AL4273">
        <v>362</v>
      </c>
      <c r="AM4273">
        <v>615</v>
      </c>
      <c r="AN4273">
        <v>44</v>
      </c>
      <c r="AP4273">
        <v>1</v>
      </c>
      <c r="AR4273" t="s">
        <v>4373</v>
      </c>
      <c r="AS4273" s="1">
        <v>44354.037499999999</v>
      </c>
      <c r="AT4273" s="1">
        <v>44354.046875</v>
      </c>
      <c r="AU4273" s="1">
        <v>44354.047407407408</v>
      </c>
      <c r="AV4273" t="s">
        <v>71</v>
      </c>
      <c r="AW4273" t="s">
        <v>72</v>
      </c>
      <c r="AX4273" t="s">
        <v>73</v>
      </c>
    </row>
    <row r="4274" spans="1:50" x14ac:dyDescent="0.3">
      <c r="A4274" t="str">
        <f>"200679C0300"</f>
        <v>200679C0300</v>
      </c>
      <c r="B4274" t="str">
        <f>"200679C03002"</f>
        <v>200679C03002</v>
      </c>
      <c r="C4274" t="str">
        <f t="shared" si="220"/>
        <v>20</v>
      </c>
      <c r="D4274" t="s">
        <v>67</v>
      </c>
      <c r="E4274" t="str">
        <f t="shared" si="221"/>
        <v>019</v>
      </c>
      <c r="F4274" t="s">
        <v>4278</v>
      </c>
      <c r="G4274" t="str">
        <f>"0679"</f>
        <v>0679</v>
      </c>
      <c r="H4274" t="str">
        <f>"0003"</f>
        <v>0003</v>
      </c>
      <c r="I4274" t="s">
        <v>75</v>
      </c>
      <c r="J4274">
        <v>0</v>
      </c>
      <c r="K4274">
        <v>1</v>
      </c>
      <c r="L4274">
        <v>2</v>
      </c>
      <c r="M4274">
        <v>295</v>
      </c>
      <c r="N4274">
        <v>363</v>
      </c>
      <c r="O4274">
        <v>2</v>
      </c>
      <c r="P4274">
        <v>363</v>
      </c>
      <c r="Q4274">
        <v>16</v>
      </c>
      <c r="R4274">
        <v>45</v>
      </c>
      <c r="S4274">
        <v>2</v>
      </c>
      <c r="T4274">
        <v>5</v>
      </c>
      <c r="U4274">
        <v>9</v>
      </c>
      <c r="V4274">
        <v>11</v>
      </c>
      <c r="W4274">
        <v>28</v>
      </c>
      <c r="X4274">
        <v>209</v>
      </c>
      <c r="Y4274">
        <v>8</v>
      </c>
      <c r="Z4274">
        <v>11</v>
      </c>
      <c r="AA4274">
        <v>5</v>
      </c>
      <c r="AB4274">
        <v>4</v>
      </c>
      <c r="AD4274">
        <v>3</v>
      </c>
      <c r="AE4274">
        <v>0</v>
      </c>
      <c r="AF4274">
        <v>0</v>
      </c>
      <c r="AG4274">
        <v>0</v>
      </c>
      <c r="AI4274">
        <v>0</v>
      </c>
      <c r="AJ4274">
        <v>7</v>
      </c>
      <c r="AK4274">
        <v>363</v>
      </c>
      <c r="AL4274">
        <v>363</v>
      </c>
      <c r="AM4274">
        <v>614</v>
      </c>
      <c r="AN4274">
        <v>44</v>
      </c>
      <c r="AP4274">
        <v>1</v>
      </c>
      <c r="AR4274" t="s">
        <v>4374</v>
      </c>
      <c r="AS4274" s="1">
        <v>44354.048611111109</v>
      </c>
      <c r="AT4274" s="1">
        <v>44354.05369212963</v>
      </c>
      <c r="AU4274" s="1">
        <v>44354.054201388892</v>
      </c>
      <c r="AV4274" t="s">
        <v>71</v>
      </c>
      <c r="AW4274" t="s">
        <v>72</v>
      </c>
      <c r="AX4274" t="s">
        <v>73</v>
      </c>
    </row>
    <row r="4275" spans="1:50" x14ac:dyDescent="0.3">
      <c r="A4275" t="str">
        <f>"200680B0000"</f>
        <v>200680B0000</v>
      </c>
      <c r="B4275" t="str">
        <f>"200680B00002"</f>
        <v>200680B00002</v>
      </c>
      <c r="C4275" t="str">
        <f t="shared" si="220"/>
        <v>20</v>
      </c>
      <c r="D4275" t="s">
        <v>67</v>
      </c>
      <c r="E4275" t="str">
        <f t="shared" si="221"/>
        <v>019</v>
      </c>
      <c r="F4275" t="s">
        <v>4278</v>
      </c>
      <c r="G4275" t="str">
        <f>"0680"</f>
        <v>0680</v>
      </c>
      <c r="H4275" t="str">
        <f>"0000"</f>
        <v>0000</v>
      </c>
      <c r="I4275" t="s">
        <v>69</v>
      </c>
      <c r="J4275">
        <v>0</v>
      </c>
      <c r="K4275">
        <v>1</v>
      </c>
      <c r="L4275">
        <v>2</v>
      </c>
      <c r="AM4275">
        <v>741</v>
      </c>
      <c r="AN4275">
        <v>44</v>
      </c>
      <c r="AO4275" t="s">
        <v>352</v>
      </c>
      <c r="AP4275">
        <v>0</v>
      </c>
      <c r="AR4275" t="s">
        <v>4375</v>
      </c>
      <c r="AS4275" s="1">
        <v>44354.655555555553</v>
      </c>
      <c r="AT4275" s="1">
        <v>44354.658773148149</v>
      </c>
      <c r="AU4275" s="1">
        <v>44354.658773148149</v>
      </c>
      <c r="AV4275" t="s">
        <v>71</v>
      </c>
      <c r="AW4275" t="s">
        <v>72</v>
      </c>
      <c r="AX4275" t="s">
        <v>73</v>
      </c>
    </row>
    <row r="4276" spans="1:50" x14ac:dyDescent="0.3">
      <c r="A4276" t="str">
        <f>"200680C0100"</f>
        <v>200680C0100</v>
      </c>
      <c r="B4276" t="str">
        <f>"200680C01002"</f>
        <v>200680C01002</v>
      </c>
      <c r="C4276" t="str">
        <f t="shared" si="220"/>
        <v>20</v>
      </c>
      <c r="D4276" t="s">
        <v>67</v>
      </c>
      <c r="E4276" t="str">
        <f t="shared" si="221"/>
        <v>019</v>
      </c>
      <c r="F4276" t="s">
        <v>4278</v>
      </c>
      <c r="G4276" t="str">
        <f>"0680"</f>
        <v>0680</v>
      </c>
      <c r="H4276" t="str">
        <f>"0001"</f>
        <v>0001</v>
      </c>
      <c r="I4276" t="s">
        <v>75</v>
      </c>
      <c r="J4276">
        <v>0</v>
      </c>
      <c r="K4276">
        <v>1</v>
      </c>
      <c r="L4276">
        <v>2</v>
      </c>
      <c r="M4276">
        <v>400</v>
      </c>
      <c r="N4276">
        <v>785</v>
      </c>
      <c r="O4276">
        <v>6</v>
      </c>
      <c r="P4276">
        <v>381</v>
      </c>
      <c r="Q4276">
        <v>12</v>
      </c>
      <c r="R4276">
        <v>37</v>
      </c>
      <c r="S4276">
        <v>7</v>
      </c>
      <c r="T4276">
        <v>18</v>
      </c>
      <c r="U4276">
        <v>4</v>
      </c>
      <c r="V4276">
        <v>9</v>
      </c>
      <c r="W4276">
        <v>15</v>
      </c>
      <c r="X4276">
        <v>242</v>
      </c>
      <c r="Y4276">
        <v>6</v>
      </c>
      <c r="Z4276">
        <v>6</v>
      </c>
      <c r="AA4276">
        <v>1</v>
      </c>
      <c r="AB4276">
        <v>8</v>
      </c>
      <c r="AD4276">
        <v>5</v>
      </c>
      <c r="AE4276" t="s">
        <v>77</v>
      </c>
      <c r="AF4276" t="s">
        <v>77</v>
      </c>
      <c r="AG4276" t="s">
        <v>77</v>
      </c>
      <c r="AI4276" t="s">
        <v>77</v>
      </c>
      <c r="AJ4276">
        <v>11</v>
      </c>
      <c r="AK4276">
        <v>381</v>
      </c>
      <c r="AL4276">
        <v>381</v>
      </c>
      <c r="AM4276">
        <v>741</v>
      </c>
      <c r="AN4276">
        <v>44</v>
      </c>
      <c r="AO4276" t="s">
        <v>78</v>
      </c>
      <c r="AP4276">
        <v>1</v>
      </c>
      <c r="AR4276" t="s">
        <v>4376</v>
      </c>
      <c r="AS4276" s="1">
        <v>44354.352083333331</v>
      </c>
      <c r="AT4276" s="1">
        <v>44354.354560185187</v>
      </c>
      <c r="AU4276" s="1">
        <v>44354.355011574073</v>
      </c>
      <c r="AV4276" t="s">
        <v>71</v>
      </c>
      <c r="AW4276" t="s">
        <v>72</v>
      </c>
      <c r="AX4276" t="s">
        <v>73</v>
      </c>
    </row>
    <row r="4277" spans="1:50" x14ac:dyDescent="0.3">
      <c r="A4277" t="str">
        <f>"200680S0100"</f>
        <v>200680S0100</v>
      </c>
      <c r="B4277" t="str">
        <f>"200680S01002EMR"</f>
        <v>200680S01002EMR</v>
      </c>
      <c r="C4277" t="str">
        <f t="shared" si="220"/>
        <v>20</v>
      </c>
      <c r="D4277" t="s">
        <v>67</v>
      </c>
      <c r="E4277" t="str">
        <f t="shared" si="221"/>
        <v>019</v>
      </c>
      <c r="F4277" t="s">
        <v>4278</v>
      </c>
      <c r="G4277" t="str">
        <f>"0680"</f>
        <v>0680</v>
      </c>
      <c r="H4277" t="str">
        <f>"0001"</f>
        <v>0001</v>
      </c>
      <c r="I4277" t="s">
        <v>85</v>
      </c>
      <c r="J4277">
        <v>0</v>
      </c>
      <c r="K4277">
        <v>1</v>
      </c>
      <c r="L4277" t="s">
        <v>86</v>
      </c>
      <c r="AM4277">
        <v>0</v>
      </c>
      <c r="AN4277">
        <v>44</v>
      </c>
      <c r="AO4277" t="s">
        <v>352</v>
      </c>
      <c r="AP4277">
        <v>0</v>
      </c>
      <c r="AR4277" t="s">
        <v>4377</v>
      </c>
      <c r="AS4277" s="1">
        <v>44354.65625</v>
      </c>
      <c r="AT4277" s="1">
        <v>44354.659236111111</v>
      </c>
      <c r="AU4277" s="1">
        <v>44354.659236111111</v>
      </c>
      <c r="AV4277" t="s">
        <v>71</v>
      </c>
      <c r="AW4277" t="s">
        <v>72</v>
      </c>
      <c r="AX4277" t="s">
        <v>73</v>
      </c>
    </row>
    <row r="4278" spans="1:50" x14ac:dyDescent="0.3">
      <c r="A4278" t="str">
        <f>"200681B0000"</f>
        <v>200681B0000</v>
      </c>
      <c r="B4278" t="str">
        <f>"200681B00002"</f>
        <v>200681B00002</v>
      </c>
      <c r="C4278" t="str">
        <f t="shared" si="220"/>
        <v>20</v>
      </c>
      <c r="D4278" t="s">
        <v>67</v>
      </c>
      <c r="E4278" t="str">
        <f t="shared" si="221"/>
        <v>019</v>
      </c>
      <c r="F4278" t="s">
        <v>4278</v>
      </c>
      <c r="G4278" t="str">
        <f>"0681"</f>
        <v>0681</v>
      </c>
      <c r="H4278" t="str">
        <f>"0000"</f>
        <v>0000</v>
      </c>
      <c r="I4278" t="s">
        <v>69</v>
      </c>
      <c r="J4278">
        <v>0</v>
      </c>
      <c r="K4278">
        <v>1</v>
      </c>
      <c r="L4278">
        <v>2</v>
      </c>
      <c r="M4278">
        <v>360</v>
      </c>
      <c r="N4278">
        <v>318</v>
      </c>
      <c r="O4278">
        <v>5</v>
      </c>
      <c r="P4278">
        <v>321</v>
      </c>
      <c r="Q4278">
        <v>20</v>
      </c>
      <c r="R4278">
        <v>30</v>
      </c>
      <c r="S4278">
        <v>0</v>
      </c>
      <c r="T4278">
        <v>9</v>
      </c>
      <c r="U4278">
        <v>3</v>
      </c>
      <c r="V4278">
        <v>6</v>
      </c>
      <c r="W4278">
        <v>16</v>
      </c>
      <c r="X4278">
        <v>206</v>
      </c>
      <c r="Y4278">
        <v>10</v>
      </c>
      <c r="Z4278">
        <v>1</v>
      </c>
      <c r="AA4278">
        <v>2</v>
      </c>
      <c r="AB4278">
        <v>3</v>
      </c>
      <c r="AD4278">
        <v>2</v>
      </c>
      <c r="AE4278">
        <v>1</v>
      </c>
      <c r="AF4278">
        <v>0</v>
      </c>
      <c r="AG4278">
        <v>0</v>
      </c>
      <c r="AI4278">
        <v>0</v>
      </c>
      <c r="AJ4278">
        <v>12</v>
      </c>
      <c r="AK4278">
        <v>321</v>
      </c>
      <c r="AL4278">
        <v>321</v>
      </c>
      <c r="AM4278">
        <v>636</v>
      </c>
      <c r="AN4278">
        <v>44</v>
      </c>
      <c r="AP4278">
        <v>1</v>
      </c>
      <c r="AR4278" t="s">
        <v>4378</v>
      </c>
      <c r="AS4278" s="1">
        <v>44354.308333333334</v>
      </c>
      <c r="AT4278" s="1">
        <v>44354.311932870369</v>
      </c>
      <c r="AU4278" s="1">
        <v>44354.312569444446</v>
      </c>
      <c r="AV4278" t="s">
        <v>71</v>
      </c>
      <c r="AW4278" t="s">
        <v>72</v>
      </c>
      <c r="AX4278" t="s">
        <v>73</v>
      </c>
    </row>
    <row r="4279" spans="1:50" x14ac:dyDescent="0.3">
      <c r="A4279" t="str">
        <f>"200681C0100"</f>
        <v>200681C0100</v>
      </c>
      <c r="B4279" t="str">
        <f>"200681C01002"</f>
        <v>200681C01002</v>
      </c>
      <c r="C4279" t="str">
        <f t="shared" si="220"/>
        <v>20</v>
      </c>
      <c r="D4279" t="s">
        <v>67</v>
      </c>
      <c r="E4279" t="str">
        <f t="shared" si="221"/>
        <v>019</v>
      </c>
      <c r="F4279" t="s">
        <v>4278</v>
      </c>
      <c r="G4279" t="str">
        <f>"0681"</f>
        <v>0681</v>
      </c>
      <c r="H4279" t="str">
        <f>"0001"</f>
        <v>0001</v>
      </c>
      <c r="I4279" t="s">
        <v>75</v>
      </c>
      <c r="J4279">
        <v>0</v>
      </c>
      <c r="K4279">
        <v>1</v>
      </c>
      <c r="L4279">
        <v>2</v>
      </c>
      <c r="M4279">
        <v>319</v>
      </c>
      <c r="N4279">
        <v>359</v>
      </c>
      <c r="O4279">
        <v>4</v>
      </c>
      <c r="P4279">
        <v>358</v>
      </c>
      <c r="Q4279">
        <v>17</v>
      </c>
      <c r="R4279">
        <v>20</v>
      </c>
      <c r="S4279">
        <v>2</v>
      </c>
      <c r="T4279">
        <v>12</v>
      </c>
      <c r="U4279">
        <v>4</v>
      </c>
      <c r="V4279">
        <v>7</v>
      </c>
      <c r="W4279">
        <v>10</v>
      </c>
      <c r="X4279">
        <v>254</v>
      </c>
      <c r="Y4279">
        <v>7</v>
      </c>
      <c r="Z4279">
        <v>7</v>
      </c>
      <c r="AA4279">
        <v>2</v>
      </c>
      <c r="AB4279">
        <v>7</v>
      </c>
      <c r="AD4279">
        <v>0</v>
      </c>
      <c r="AE4279">
        <v>0</v>
      </c>
      <c r="AF4279">
        <v>0</v>
      </c>
      <c r="AG4279">
        <v>0</v>
      </c>
      <c r="AI4279">
        <v>0</v>
      </c>
      <c r="AJ4279">
        <v>0</v>
      </c>
      <c r="AK4279">
        <v>358</v>
      </c>
      <c r="AL4279">
        <v>349</v>
      </c>
      <c r="AM4279">
        <v>636</v>
      </c>
      <c r="AN4279">
        <v>44</v>
      </c>
      <c r="AP4279">
        <v>1</v>
      </c>
      <c r="AR4279" t="s">
        <v>4379</v>
      </c>
      <c r="AS4279" s="1">
        <v>44354.398611111108</v>
      </c>
      <c r="AT4279" s="1">
        <v>44354.399780092594</v>
      </c>
      <c r="AU4279" s="1">
        <v>44354.401898148149</v>
      </c>
      <c r="AV4279" t="s">
        <v>71</v>
      </c>
      <c r="AW4279" t="s">
        <v>72</v>
      </c>
      <c r="AX4279" t="s">
        <v>73</v>
      </c>
    </row>
    <row r="4280" spans="1:50" x14ac:dyDescent="0.3">
      <c r="A4280" t="str">
        <f>"200682B0000"</f>
        <v>200682B0000</v>
      </c>
      <c r="B4280" t="str">
        <f>"200682B00002"</f>
        <v>200682B00002</v>
      </c>
      <c r="C4280" t="str">
        <f t="shared" si="220"/>
        <v>20</v>
      </c>
      <c r="D4280" t="s">
        <v>67</v>
      </c>
      <c r="E4280" t="str">
        <f t="shared" si="221"/>
        <v>019</v>
      </c>
      <c r="F4280" t="s">
        <v>4278</v>
      </c>
      <c r="G4280" t="str">
        <f>"0682"</f>
        <v>0682</v>
      </c>
      <c r="H4280" t="str">
        <f>"0000"</f>
        <v>0000</v>
      </c>
      <c r="I4280" t="s">
        <v>69</v>
      </c>
      <c r="J4280">
        <v>0</v>
      </c>
      <c r="K4280">
        <v>1</v>
      </c>
      <c r="L4280">
        <v>2</v>
      </c>
      <c r="M4280">
        <v>259</v>
      </c>
      <c r="N4280">
        <v>297</v>
      </c>
      <c r="O4280">
        <v>10</v>
      </c>
      <c r="P4280">
        <v>297</v>
      </c>
      <c r="Q4280">
        <v>8</v>
      </c>
      <c r="R4280">
        <v>20</v>
      </c>
      <c r="S4280">
        <v>3</v>
      </c>
      <c r="T4280">
        <v>8</v>
      </c>
      <c r="U4280">
        <v>11</v>
      </c>
      <c r="V4280">
        <v>7</v>
      </c>
      <c r="W4280">
        <v>10</v>
      </c>
      <c r="X4280">
        <v>194</v>
      </c>
      <c r="Y4280">
        <v>12</v>
      </c>
      <c r="Z4280">
        <v>3</v>
      </c>
      <c r="AA4280">
        <v>0</v>
      </c>
      <c r="AB4280">
        <v>8</v>
      </c>
      <c r="AD4280">
        <v>0</v>
      </c>
      <c r="AE4280">
        <v>1</v>
      </c>
      <c r="AF4280">
        <v>0</v>
      </c>
      <c r="AG4280">
        <v>1</v>
      </c>
      <c r="AI4280">
        <v>0</v>
      </c>
      <c r="AJ4280">
        <v>12</v>
      </c>
      <c r="AK4280">
        <v>297</v>
      </c>
      <c r="AL4280">
        <v>298</v>
      </c>
      <c r="AM4280">
        <v>512</v>
      </c>
      <c r="AN4280">
        <v>44</v>
      </c>
      <c r="AP4280">
        <v>1</v>
      </c>
      <c r="AR4280" t="s">
        <v>4380</v>
      </c>
      <c r="AS4280" s="1">
        <v>44354.505555555559</v>
      </c>
      <c r="AT4280" s="1">
        <v>44354.507777777777</v>
      </c>
      <c r="AU4280" s="1">
        <v>44354.508148148147</v>
      </c>
      <c r="AV4280" t="s">
        <v>71</v>
      </c>
      <c r="AW4280" t="s">
        <v>72</v>
      </c>
      <c r="AX4280" t="s">
        <v>73</v>
      </c>
    </row>
    <row r="4281" spans="1:50" x14ac:dyDescent="0.3">
      <c r="A4281" t="str">
        <f>"200682C0100"</f>
        <v>200682C0100</v>
      </c>
      <c r="B4281" t="str">
        <f>"200682C01002"</f>
        <v>200682C01002</v>
      </c>
      <c r="C4281" t="str">
        <f t="shared" si="220"/>
        <v>20</v>
      </c>
      <c r="D4281" t="s">
        <v>67</v>
      </c>
      <c r="E4281" t="str">
        <f t="shared" si="221"/>
        <v>019</v>
      </c>
      <c r="F4281" t="s">
        <v>4278</v>
      </c>
      <c r="G4281" t="str">
        <f>"0682"</f>
        <v>0682</v>
      </c>
      <c r="H4281" t="str">
        <f>"0001"</f>
        <v>0001</v>
      </c>
      <c r="I4281" t="s">
        <v>75</v>
      </c>
      <c r="J4281">
        <v>0</v>
      </c>
      <c r="K4281">
        <v>1</v>
      </c>
      <c r="L4281">
        <v>2</v>
      </c>
      <c r="M4281">
        <v>253</v>
      </c>
      <c r="N4281">
        <v>299</v>
      </c>
      <c r="O4281">
        <v>10</v>
      </c>
      <c r="P4281">
        <v>302</v>
      </c>
      <c r="Q4281">
        <v>13</v>
      </c>
      <c r="R4281">
        <v>30</v>
      </c>
      <c r="S4281">
        <v>1</v>
      </c>
      <c r="T4281">
        <v>10</v>
      </c>
      <c r="U4281">
        <v>13</v>
      </c>
      <c r="V4281">
        <v>5</v>
      </c>
      <c r="W4281">
        <v>10</v>
      </c>
      <c r="X4281">
        <v>193</v>
      </c>
      <c r="Y4281">
        <v>6</v>
      </c>
      <c r="Z4281">
        <v>3</v>
      </c>
      <c r="AA4281">
        <v>6</v>
      </c>
      <c r="AB4281">
        <v>8</v>
      </c>
      <c r="AD4281">
        <v>1</v>
      </c>
      <c r="AE4281" t="s">
        <v>77</v>
      </c>
      <c r="AF4281" t="s">
        <v>77</v>
      </c>
      <c r="AG4281" t="s">
        <v>77</v>
      </c>
      <c r="AI4281" t="s">
        <v>77</v>
      </c>
      <c r="AJ4281">
        <v>2</v>
      </c>
      <c r="AK4281">
        <v>302</v>
      </c>
      <c r="AL4281">
        <v>301</v>
      </c>
      <c r="AM4281">
        <v>512</v>
      </c>
      <c r="AN4281">
        <v>44</v>
      </c>
      <c r="AO4281" t="s">
        <v>78</v>
      </c>
      <c r="AP4281">
        <v>1</v>
      </c>
      <c r="AR4281" t="s">
        <v>4381</v>
      </c>
      <c r="AS4281" s="1">
        <v>44354.449305555558</v>
      </c>
      <c r="AT4281" s="1">
        <v>44354.451678240737</v>
      </c>
      <c r="AU4281" s="1">
        <v>44354.455717592595</v>
      </c>
      <c r="AV4281" t="s">
        <v>71</v>
      </c>
      <c r="AW4281" t="s">
        <v>72</v>
      </c>
      <c r="AX4281" t="s">
        <v>73</v>
      </c>
    </row>
    <row r="4282" spans="1:50" x14ac:dyDescent="0.3">
      <c r="A4282" t="str">
        <f>"200682C0200"</f>
        <v>200682C0200</v>
      </c>
      <c r="B4282" t="str">
        <f>"200682C02002"</f>
        <v>200682C02002</v>
      </c>
      <c r="C4282" t="str">
        <f t="shared" si="220"/>
        <v>20</v>
      </c>
      <c r="D4282" t="s">
        <v>67</v>
      </c>
      <c r="E4282" t="str">
        <f t="shared" si="221"/>
        <v>019</v>
      </c>
      <c r="F4282" t="s">
        <v>4278</v>
      </c>
      <c r="G4282" t="str">
        <f>"0682"</f>
        <v>0682</v>
      </c>
      <c r="H4282" t="str">
        <f>"0002"</f>
        <v>0002</v>
      </c>
      <c r="I4282" t="s">
        <v>75</v>
      </c>
      <c r="J4282">
        <v>0</v>
      </c>
      <c r="K4282">
        <v>1</v>
      </c>
      <c r="L4282">
        <v>2</v>
      </c>
      <c r="M4282">
        <v>272</v>
      </c>
      <c r="N4282">
        <v>284</v>
      </c>
      <c r="O4282">
        <v>4</v>
      </c>
      <c r="P4282">
        <v>285</v>
      </c>
      <c r="Q4282">
        <v>11</v>
      </c>
      <c r="R4282">
        <v>16</v>
      </c>
      <c r="S4282">
        <v>1</v>
      </c>
      <c r="T4282">
        <v>18</v>
      </c>
      <c r="U4282">
        <v>15</v>
      </c>
      <c r="V4282">
        <v>8</v>
      </c>
      <c r="W4282">
        <v>17</v>
      </c>
      <c r="X4282">
        <v>180</v>
      </c>
      <c r="Y4282">
        <v>6</v>
      </c>
      <c r="Z4282">
        <v>1</v>
      </c>
      <c r="AA4282">
        <v>1</v>
      </c>
      <c r="AB4282">
        <v>1</v>
      </c>
      <c r="AD4282">
        <v>0</v>
      </c>
      <c r="AE4282">
        <v>0</v>
      </c>
      <c r="AF4282">
        <v>0</v>
      </c>
      <c r="AG4282">
        <v>0</v>
      </c>
      <c r="AI4282">
        <v>0</v>
      </c>
      <c r="AJ4282">
        <v>10</v>
      </c>
      <c r="AK4282">
        <v>285</v>
      </c>
      <c r="AL4282">
        <v>285</v>
      </c>
      <c r="AM4282">
        <v>512</v>
      </c>
      <c r="AN4282">
        <v>44</v>
      </c>
      <c r="AP4282">
        <v>1</v>
      </c>
      <c r="AR4282" t="s">
        <v>4382</v>
      </c>
      <c r="AS4282" s="1">
        <v>44354.334027777775</v>
      </c>
      <c r="AT4282" s="1">
        <v>44354.33556712963</v>
      </c>
      <c r="AU4282" s="1">
        <v>44354.336967592593</v>
      </c>
      <c r="AV4282" t="s">
        <v>71</v>
      </c>
      <c r="AW4282" t="s">
        <v>72</v>
      </c>
      <c r="AX4282" t="s">
        <v>73</v>
      </c>
    </row>
    <row r="4283" spans="1:50" x14ac:dyDescent="0.3">
      <c r="A4283" t="str">
        <f>"200683B0000"</f>
        <v>200683B0000</v>
      </c>
      <c r="B4283" t="str">
        <f>"200683B00002"</f>
        <v>200683B00002</v>
      </c>
      <c r="C4283" t="str">
        <f t="shared" si="220"/>
        <v>20</v>
      </c>
      <c r="D4283" t="s">
        <v>67</v>
      </c>
      <c r="E4283" t="str">
        <f t="shared" si="221"/>
        <v>019</v>
      </c>
      <c r="F4283" t="s">
        <v>4278</v>
      </c>
      <c r="G4283" t="str">
        <f>"0683"</f>
        <v>0683</v>
      </c>
      <c r="H4283" t="str">
        <f>"0000"</f>
        <v>0000</v>
      </c>
      <c r="I4283" t="s">
        <v>69</v>
      </c>
      <c r="J4283">
        <v>0</v>
      </c>
      <c r="K4283">
        <v>1</v>
      </c>
      <c r="L4283">
        <v>2</v>
      </c>
      <c r="M4283">
        <v>322</v>
      </c>
      <c r="N4283">
        <v>290</v>
      </c>
      <c r="O4283">
        <v>3</v>
      </c>
      <c r="P4283">
        <v>289</v>
      </c>
      <c r="Q4283">
        <v>14</v>
      </c>
      <c r="R4283">
        <v>37</v>
      </c>
      <c r="S4283">
        <v>2</v>
      </c>
      <c r="T4283">
        <v>8</v>
      </c>
      <c r="U4283">
        <v>6</v>
      </c>
      <c r="V4283">
        <v>8</v>
      </c>
      <c r="W4283">
        <v>17</v>
      </c>
      <c r="X4283">
        <v>168</v>
      </c>
      <c r="Y4283">
        <v>12</v>
      </c>
      <c r="Z4283">
        <v>4</v>
      </c>
      <c r="AA4283">
        <v>1</v>
      </c>
      <c r="AB4283">
        <v>6</v>
      </c>
      <c r="AD4283">
        <v>0</v>
      </c>
      <c r="AE4283">
        <v>1</v>
      </c>
      <c r="AF4283">
        <v>0</v>
      </c>
      <c r="AG4283">
        <v>0</v>
      </c>
      <c r="AI4283">
        <v>0</v>
      </c>
      <c r="AJ4283">
        <v>5</v>
      </c>
      <c r="AK4283">
        <v>289</v>
      </c>
      <c r="AL4283">
        <v>289</v>
      </c>
      <c r="AM4283">
        <v>568</v>
      </c>
      <c r="AN4283">
        <v>44</v>
      </c>
      <c r="AP4283">
        <v>1</v>
      </c>
      <c r="AR4283" t="s">
        <v>4383</v>
      </c>
      <c r="AS4283" s="1">
        <v>44354.081250000003</v>
      </c>
      <c r="AT4283" s="1">
        <v>44354.08730324074</v>
      </c>
      <c r="AU4283" s="1">
        <v>44354.08803240741</v>
      </c>
      <c r="AV4283" t="s">
        <v>71</v>
      </c>
      <c r="AW4283" t="s">
        <v>72</v>
      </c>
      <c r="AX4283" t="s">
        <v>73</v>
      </c>
    </row>
    <row r="4284" spans="1:50" x14ac:dyDescent="0.3">
      <c r="A4284" t="str">
        <f>"200683C0100"</f>
        <v>200683C0100</v>
      </c>
      <c r="B4284" t="str">
        <f>"200683C01002"</f>
        <v>200683C01002</v>
      </c>
      <c r="C4284" t="str">
        <f t="shared" si="220"/>
        <v>20</v>
      </c>
      <c r="D4284" t="s">
        <v>67</v>
      </c>
      <c r="E4284" t="str">
        <f t="shared" si="221"/>
        <v>019</v>
      </c>
      <c r="F4284" t="s">
        <v>4278</v>
      </c>
      <c r="G4284" t="str">
        <f>"0683"</f>
        <v>0683</v>
      </c>
      <c r="H4284" t="str">
        <f>"0001"</f>
        <v>0001</v>
      </c>
      <c r="I4284" t="s">
        <v>75</v>
      </c>
      <c r="J4284">
        <v>0</v>
      </c>
      <c r="K4284">
        <v>1</v>
      </c>
      <c r="L4284">
        <v>2</v>
      </c>
      <c r="M4284">
        <v>318</v>
      </c>
      <c r="N4284">
        <v>295</v>
      </c>
      <c r="O4284">
        <v>1</v>
      </c>
      <c r="P4284">
        <v>295</v>
      </c>
      <c r="Q4284">
        <v>7</v>
      </c>
      <c r="R4284">
        <v>22</v>
      </c>
      <c r="S4284">
        <v>1</v>
      </c>
      <c r="T4284">
        <v>9</v>
      </c>
      <c r="U4284">
        <v>9</v>
      </c>
      <c r="V4284">
        <v>6</v>
      </c>
      <c r="W4284">
        <v>24</v>
      </c>
      <c r="X4284">
        <v>178</v>
      </c>
      <c r="Y4284">
        <v>10</v>
      </c>
      <c r="Z4284">
        <v>5</v>
      </c>
      <c r="AA4284">
        <v>1</v>
      </c>
      <c r="AB4284">
        <v>11</v>
      </c>
      <c r="AD4284">
        <v>2</v>
      </c>
      <c r="AE4284">
        <v>0</v>
      </c>
      <c r="AF4284">
        <v>0</v>
      </c>
      <c r="AG4284">
        <v>0</v>
      </c>
      <c r="AI4284">
        <v>0</v>
      </c>
      <c r="AJ4284">
        <v>10</v>
      </c>
      <c r="AK4284">
        <v>295</v>
      </c>
      <c r="AL4284">
        <v>295</v>
      </c>
      <c r="AM4284">
        <v>568</v>
      </c>
      <c r="AN4284">
        <v>44</v>
      </c>
      <c r="AP4284">
        <v>1</v>
      </c>
      <c r="AR4284" t="s">
        <v>4384</v>
      </c>
      <c r="AS4284" s="1">
        <v>44354.074305555558</v>
      </c>
      <c r="AT4284" s="1">
        <v>44354.080960648149</v>
      </c>
      <c r="AU4284" s="1">
        <v>44354.081250000003</v>
      </c>
      <c r="AV4284" t="s">
        <v>71</v>
      </c>
      <c r="AW4284" t="s">
        <v>72</v>
      </c>
      <c r="AX4284" t="s">
        <v>73</v>
      </c>
    </row>
    <row r="4285" spans="1:50" x14ac:dyDescent="0.3">
      <c r="A4285" t="str">
        <f>"200683C0200"</f>
        <v>200683C0200</v>
      </c>
      <c r="B4285" t="str">
        <f>"200683C02002"</f>
        <v>200683C02002</v>
      </c>
      <c r="C4285" t="str">
        <f t="shared" si="220"/>
        <v>20</v>
      </c>
      <c r="D4285" t="s">
        <v>67</v>
      </c>
      <c r="E4285" t="str">
        <f t="shared" si="221"/>
        <v>019</v>
      </c>
      <c r="F4285" t="s">
        <v>4278</v>
      </c>
      <c r="G4285" t="str">
        <f>"0683"</f>
        <v>0683</v>
      </c>
      <c r="H4285" t="str">
        <f>"0002"</f>
        <v>0002</v>
      </c>
      <c r="I4285" t="s">
        <v>75</v>
      </c>
      <c r="J4285">
        <v>0</v>
      </c>
      <c r="K4285">
        <v>1</v>
      </c>
      <c r="L4285">
        <v>2</v>
      </c>
      <c r="M4285">
        <v>276</v>
      </c>
      <c r="N4285">
        <v>336</v>
      </c>
      <c r="O4285">
        <v>4</v>
      </c>
      <c r="P4285">
        <v>336</v>
      </c>
      <c r="Q4285">
        <v>17</v>
      </c>
      <c r="R4285">
        <v>30</v>
      </c>
      <c r="S4285">
        <v>1</v>
      </c>
      <c r="T4285">
        <v>6</v>
      </c>
      <c r="U4285">
        <v>6</v>
      </c>
      <c r="V4285">
        <v>10</v>
      </c>
      <c r="W4285">
        <v>36</v>
      </c>
      <c r="X4285">
        <v>201</v>
      </c>
      <c r="Y4285">
        <v>8</v>
      </c>
      <c r="Z4285">
        <v>6</v>
      </c>
      <c r="AA4285">
        <v>2</v>
      </c>
      <c r="AB4285">
        <v>4</v>
      </c>
      <c r="AD4285">
        <v>3</v>
      </c>
      <c r="AE4285">
        <v>0</v>
      </c>
      <c r="AF4285">
        <v>0</v>
      </c>
      <c r="AG4285">
        <v>0</v>
      </c>
      <c r="AI4285">
        <v>0</v>
      </c>
      <c r="AJ4285">
        <v>6</v>
      </c>
      <c r="AK4285">
        <v>336</v>
      </c>
      <c r="AL4285">
        <v>336</v>
      </c>
      <c r="AM4285">
        <v>568</v>
      </c>
      <c r="AN4285">
        <v>44</v>
      </c>
      <c r="AP4285">
        <v>1</v>
      </c>
      <c r="AR4285" t="s">
        <v>4385</v>
      </c>
      <c r="AS4285" s="1">
        <v>44354.079861111109</v>
      </c>
      <c r="AT4285" s="1">
        <v>44354.085266203707</v>
      </c>
      <c r="AU4285" s="1">
        <v>44354.085868055554</v>
      </c>
      <c r="AV4285" t="s">
        <v>71</v>
      </c>
      <c r="AW4285" t="s">
        <v>72</v>
      </c>
      <c r="AX4285" t="s">
        <v>73</v>
      </c>
    </row>
    <row r="4286" spans="1:50" x14ac:dyDescent="0.3">
      <c r="A4286" t="str">
        <f>"200683C0300"</f>
        <v>200683C0300</v>
      </c>
      <c r="B4286" t="str">
        <f>"200683C03002"</f>
        <v>200683C03002</v>
      </c>
      <c r="C4286" t="str">
        <f t="shared" si="220"/>
        <v>20</v>
      </c>
      <c r="D4286" t="s">
        <v>67</v>
      </c>
      <c r="E4286" t="str">
        <f t="shared" si="221"/>
        <v>019</v>
      </c>
      <c r="F4286" t="s">
        <v>4278</v>
      </c>
      <c r="G4286" t="str">
        <f>"0683"</f>
        <v>0683</v>
      </c>
      <c r="H4286" t="str">
        <f>"0003"</f>
        <v>0003</v>
      </c>
      <c r="I4286" t="s">
        <v>75</v>
      </c>
      <c r="J4286">
        <v>0</v>
      </c>
      <c r="K4286">
        <v>1</v>
      </c>
      <c r="L4286">
        <v>2</v>
      </c>
      <c r="M4286">
        <v>297</v>
      </c>
      <c r="N4286">
        <v>304</v>
      </c>
      <c r="O4286">
        <v>4</v>
      </c>
      <c r="P4286" t="s">
        <v>80</v>
      </c>
      <c r="Q4286">
        <v>11</v>
      </c>
      <c r="R4286">
        <v>40</v>
      </c>
      <c r="S4286">
        <v>2</v>
      </c>
      <c r="T4286">
        <v>8</v>
      </c>
      <c r="U4286">
        <v>5</v>
      </c>
      <c r="V4286">
        <v>4</v>
      </c>
      <c r="W4286">
        <v>25</v>
      </c>
      <c r="X4286">
        <v>173</v>
      </c>
      <c r="Y4286">
        <v>11</v>
      </c>
      <c r="Z4286">
        <v>3</v>
      </c>
      <c r="AA4286">
        <v>3</v>
      </c>
      <c r="AB4286">
        <v>7</v>
      </c>
      <c r="AD4286" t="s">
        <v>77</v>
      </c>
      <c r="AE4286" t="s">
        <v>77</v>
      </c>
      <c r="AF4286" t="s">
        <v>77</v>
      </c>
      <c r="AG4286" t="s">
        <v>77</v>
      </c>
      <c r="AI4286" t="s">
        <v>77</v>
      </c>
      <c r="AJ4286">
        <v>8</v>
      </c>
      <c r="AK4286" t="s">
        <v>77</v>
      </c>
      <c r="AL4286">
        <v>300</v>
      </c>
      <c r="AM4286">
        <v>567</v>
      </c>
      <c r="AN4286">
        <v>44</v>
      </c>
      <c r="AO4286" t="s">
        <v>78</v>
      </c>
      <c r="AP4286">
        <v>1</v>
      </c>
      <c r="AR4286" t="s">
        <v>4386</v>
      </c>
      <c r="AS4286" s="1">
        <v>44354.027777777781</v>
      </c>
      <c r="AT4286" s="1">
        <v>44354.033541666664</v>
      </c>
      <c r="AU4286" s="1">
        <v>44354.034178240741</v>
      </c>
      <c r="AV4286" t="s">
        <v>71</v>
      </c>
      <c r="AW4286" t="s">
        <v>72</v>
      </c>
      <c r="AX4286" t="s">
        <v>73</v>
      </c>
    </row>
    <row r="4287" spans="1:50" x14ac:dyDescent="0.3">
      <c r="A4287" t="str">
        <f>"200684B0000"</f>
        <v>200684B0000</v>
      </c>
      <c r="B4287" t="str">
        <f>"200684B00002"</f>
        <v>200684B00002</v>
      </c>
      <c r="C4287" t="str">
        <f t="shared" si="220"/>
        <v>20</v>
      </c>
      <c r="D4287" t="s">
        <v>67</v>
      </c>
      <c r="E4287" t="str">
        <f t="shared" si="221"/>
        <v>019</v>
      </c>
      <c r="F4287" t="s">
        <v>4278</v>
      </c>
      <c r="G4287" t="str">
        <f>"0684"</f>
        <v>0684</v>
      </c>
      <c r="H4287" t="str">
        <f>"0000"</f>
        <v>0000</v>
      </c>
      <c r="I4287" t="s">
        <v>69</v>
      </c>
      <c r="J4287">
        <v>0</v>
      </c>
      <c r="K4287">
        <v>1</v>
      </c>
      <c r="L4287">
        <v>2</v>
      </c>
      <c r="AM4287">
        <v>646</v>
      </c>
      <c r="AN4287">
        <v>44</v>
      </c>
      <c r="AO4287" t="s">
        <v>352</v>
      </c>
      <c r="AP4287">
        <v>0</v>
      </c>
      <c r="AR4287" t="s">
        <v>4387</v>
      </c>
      <c r="AS4287" s="1">
        <v>44354.606944444444</v>
      </c>
      <c r="AT4287" s="1">
        <v>44354.612442129626</v>
      </c>
      <c r="AU4287" s="1">
        <v>44354.612442129626</v>
      </c>
      <c r="AV4287" t="s">
        <v>71</v>
      </c>
      <c r="AW4287" t="s">
        <v>72</v>
      </c>
      <c r="AX4287" t="s">
        <v>73</v>
      </c>
    </row>
    <row r="4288" spans="1:50" x14ac:dyDescent="0.3">
      <c r="A4288" t="str">
        <f>"200684C0100"</f>
        <v>200684C0100</v>
      </c>
      <c r="B4288" t="str">
        <f>"200684C01002"</f>
        <v>200684C01002</v>
      </c>
      <c r="C4288" t="str">
        <f t="shared" si="220"/>
        <v>20</v>
      </c>
      <c r="D4288" t="s">
        <v>67</v>
      </c>
      <c r="E4288" t="str">
        <f t="shared" si="221"/>
        <v>019</v>
      </c>
      <c r="F4288" t="s">
        <v>4278</v>
      </c>
      <c r="G4288" t="str">
        <f>"0684"</f>
        <v>0684</v>
      </c>
      <c r="H4288" t="str">
        <f>"0001"</f>
        <v>0001</v>
      </c>
      <c r="I4288" t="s">
        <v>75</v>
      </c>
      <c r="J4288">
        <v>0</v>
      </c>
      <c r="K4288">
        <v>1</v>
      </c>
      <c r="L4288">
        <v>2</v>
      </c>
      <c r="M4288">
        <v>320</v>
      </c>
      <c r="N4288">
        <v>369</v>
      </c>
      <c r="O4288">
        <v>5</v>
      </c>
      <c r="P4288">
        <v>364</v>
      </c>
      <c r="Q4288">
        <v>23</v>
      </c>
      <c r="R4288">
        <v>43</v>
      </c>
      <c r="S4288">
        <v>2</v>
      </c>
      <c r="T4288">
        <v>10</v>
      </c>
      <c r="U4288">
        <v>9</v>
      </c>
      <c r="V4288">
        <v>8</v>
      </c>
      <c r="W4288">
        <v>18</v>
      </c>
      <c r="X4288">
        <v>198</v>
      </c>
      <c r="Y4288">
        <v>40</v>
      </c>
      <c r="Z4288">
        <v>0</v>
      </c>
      <c r="AA4288">
        <v>0</v>
      </c>
      <c r="AB4288">
        <v>5</v>
      </c>
      <c r="AD4288">
        <v>4</v>
      </c>
      <c r="AE4288">
        <v>1</v>
      </c>
      <c r="AF4288">
        <v>0</v>
      </c>
      <c r="AG4288">
        <v>0</v>
      </c>
      <c r="AI4288">
        <v>0</v>
      </c>
      <c r="AJ4288">
        <v>8</v>
      </c>
      <c r="AK4288">
        <v>369</v>
      </c>
      <c r="AL4288">
        <v>369</v>
      </c>
      <c r="AM4288">
        <v>646</v>
      </c>
      <c r="AN4288">
        <v>44</v>
      </c>
      <c r="AP4288">
        <v>1</v>
      </c>
      <c r="AR4288" t="s">
        <v>4388</v>
      </c>
      <c r="AS4288" s="1">
        <v>44354.436805555553</v>
      </c>
      <c r="AT4288" s="1">
        <v>44354.44023148148</v>
      </c>
      <c r="AU4288" s="1">
        <v>44354.440937500003</v>
      </c>
      <c r="AV4288" t="s">
        <v>71</v>
      </c>
      <c r="AW4288" t="s">
        <v>72</v>
      </c>
      <c r="AX4288" t="s">
        <v>73</v>
      </c>
    </row>
    <row r="4289" spans="1:50" x14ac:dyDescent="0.3">
      <c r="A4289" t="str">
        <f>"200684C0200"</f>
        <v>200684C0200</v>
      </c>
      <c r="B4289" t="str">
        <f>"200684C02002"</f>
        <v>200684C02002</v>
      </c>
      <c r="C4289" t="str">
        <f t="shared" si="220"/>
        <v>20</v>
      </c>
      <c r="D4289" t="s">
        <v>67</v>
      </c>
      <c r="E4289" t="str">
        <f t="shared" si="221"/>
        <v>019</v>
      </c>
      <c r="F4289" t="s">
        <v>4278</v>
      </c>
      <c r="G4289" t="str">
        <f>"0684"</f>
        <v>0684</v>
      </c>
      <c r="H4289" t="str">
        <f>"0002"</f>
        <v>0002</v>
      </c>
      <c r="I4289" t="s">
        <v>75</v>
      </c>
      <c r="J4289">
        <v>0</v>
      </c>
      <c r="K4289">
        <v>1</v>
      </c>
      <c r="L4289">
        <v>2</v>
      </c>
      <c r="M4289">
        <v>316</v>
      </c>
      <c r="N4289">
        <v>372</v>
      </c>
      <c r="O4289">
        <v>5</v>
      </c>
      <c r="P4289" t="s">
        <v>99</v>
      </c>
      <c r="Q4289">
        <v>24</v>
      </c>
      <c r="R4289">
        <v>46</v>
      </c>
      <c r="S4289">
        <v>5</v>
      </c>
      <c r="T4289">
        <v>9</v>
      </c>
      <c r="U4289">
        <v>4</v>
      </c>
      <c r="V4289">
        <v>10</v>
      </c>
      <c r="W4289">
        <v>24</v>
      </c>
      <c r="X4289" t="s">
        <v>99</v>
      </c>
      <c r="Y4289">
        <v>41</v>
      </c>
      <c r="Z4289">
        <v>4</v>
      </c>
      <c r="AA4289">
        <v>1</v>
      </c>
      <c r="AB4289" t="s">
        <v>99</v>
      </c>
      <c r="AD4289">
        <v>0</v>
      </c>
      <c r="AE4289">
        <v>0</v>
      </c>
      <c r="AF4289">
        <v>0</v>
      </c>
      <c r="AG4289">
        <v>1</v>
      </c>
      <c r="AI4289">
        <v>0</v>
      </c>
      <c r="AJ4289">
        <v>9</v>
      </c>
      <c r="AK4289" t="s">
        <v>99</v>
      </c>
      <c r="AL4289">
        <v>178</v>
      </c>
      <c r="AM4289">
        <v>645</v>
      </c>
      <c r="AN4289">
        <v>44</v>
      </c>
      <c r="AO4289" t="s">
        <v>78</v>
      </c>
      <c r="AP4289">
        <v>1</v>
      </c>
      <c r="AR4289" t="s">
        <v>4389</v>
      </c>
      <c r="AS4289" s="1">
        <v>44354.195833333331</v>
      </c>
      <c r="AT4289" s="1">
        <v>44354.197337962964</v>
      </c>
      <c r="AU4289" s="1">
        <v>44354.199432870373</v>
      </c>
      <c r="AV4289" t="s">
        <v>71</v>
      </c>
      <c r="AW4289" t="s">
        <v>72</v>
      </c>
      <c r="AX4289" t="s">
        <v>73</v>
      </c>
    </row>
    <row r="4290" spans="1:50" x14ac:dyDescent="0.3">
      <c r="A4290" t="str">
        <f>"200685B0000"</f>
        <v>200685B0000</v>
      </c>
      <c r="B4290" t="str">
        <f>"200685B00002"</f>
        <v>200685B00002</v>
      </c>
      <c r="C4290" t="str">
        <f t="shared" si="220"/>
        <v>20</v>
      </c>
      <c r="D4290" t="s">
        <v>67</v>
      </c>
      <c r="E4290" t="str">
        <f t="shared" si="221"/>
        <v>019</v>
      </c>
      <c r="F4290" t="s">
        <v>4278</v>
      </c>
      <c r="G4290" t="str">
        <f>"0685"</f>
        <v>0685</v>
      </c>
      <c r="H4290" t="str">
        <f>"0000"</f>
        <v>0000</v>
      </c>
      <c r="I4290" t="s">
        <v>69</v>
      </c>
      <c r="J4290">
        <v>0</v>
      </c>
      <c r="K4290">
        <v>1</v>
      </c>
      <c r="L4290">
        <v>2</v>
      </c>
      <c r="M4290" t="s">
        <v>80</v>
      </c>
      <c r="N4290" t="s">
        <v>80</v>
      </c>
      <c r="O4290" t="s">
        <v>80</v>
      </c>
      <c r="P4290" t="s">
        <v>80</v>
      </c>
      <c r="Q4290" t="s">
        <v>77</v>
      </c>
      <c r="R4290" t="s">
        <v>77</v>
      </c>
      <c r="S4290" t="s">
        <v>77</v>
      </c>
      <c r="T4290" t="s">
        <v>77</v>
      </c>
      <c r="U4290" t="s">
        <v>77</v>
      </c>
      <c r="V4290" t="s">
        <v>77</v>
      </c>
      <c r="W4290" t="s">
        <v>77</v>
      </c>
      <c r="X4290" t="s">
        <v>77</v>
      </c>
      <c r="Y4290" t="s">
        <v>77</v>
      </c>
      <c r="Z4290" t="s">
        <v>77</v>
      </c>
      <c r="AA4290" t="s">
        <v>77</v>
      </c>
      <c r="AB4290" t="s">
        <v>77</v>
      </c>
      <c r="AD4290" t="s">
        <v>77</v>
      </c>
      <c r="AE4290" t="s">
        <v>77</v>
      </c>
      <c r="AF4290" t="s">
        <v>77</v>
      </c>
      <c r="AG4290" t="s">
        <v>77</v>
      </c>
      <c r="AI4290" t="s">
        <v>77</v>
      </c>
      <c r="AJ4290" t="s">
        <v>77</v>
      </c>
      <c r="AM4290">
        <v>521</v>
      </c>
      <c r="AN4290">
        <v>44</v>
      </c>
      <c r="AO4290" t="s">
        <v>392</v>
      </c>
      <c r="AP4290">
        <v>0</v>
      </c>
      <c r="AR4290" t="s">
        <v>4390</v>
      </c>
      <c r="AS4290" s="1">
        <v>44354.333333333336</v>
      </c>
      <c r="AT4290" s="1">
        <v>44354.335300925923</v>
      </c>
      <c r="AU4290" s="1">
        <v>44354.353819444441</v>
      </c>
      <c r="AV4290" t="s">
        <v>71</v>
      </c>
      <c r="AW4290" t="s">
        <v>72</v>
      </c>
      <c r="AX4290" t="s">
        <v>73</v>
      </c>
    </row>
    <row r="4291" spans="1:50" x14ac:dyDescent="0.3">
      <c r="A4291" t="str">
        <f>"200685C0100"</f>
        <v>200685C0100</v>
      </c>
      <c r="B4291" t="str">
        <f>"200685C01002"</f>
        <v>200685C01002</v>
      </c>
      <c r="C4291" t="str">
        <f t="shared" si="220"/>
        <v>20</v>
      </c>
      <c r="D4291" t="s">
        <v>67</v>
      </c>
      <c r="E4291" t="str">
        <f t="shared" si="221"/>
        <v>019</v>
      </c>
      <c r="F4291" t="s">
        <v>4278</v>
      </c>
      <c r="G4291" t="str">
        <f>"0685"</f>
        <v>0685</v>
      </c>
      <c r="H4291" t="str">
        <f>"0001"</f>
        <v>0001</v>
      </c>
      <c r="I4291" t="s">
        <v>75</v>
      </c>
      <c r="J4291">
        <v>0</v>
      </c>
      <c r="K4291">
        <v>1</v>
      </c>
      <c r="L4291">
        <v>2</v>
      </c>
      <c r="M4291">
        <v>255</v>
      </c>
      <c r="N4291">
        <v>309</v>
      </c>
      <c r="O4291">
        <v>9</v>
      </c>
      <c r="P4291">
        <v>311</v>
      </c>
      <c r="Q4291">
        <v>10</v>
      </c>
      <c r="R4291">
        <v>33</v>
      </c>
      <c r="S4291">
        <v>4</v>
      </c>
      <c r="T4291">
        <v>3</v>
      </c>
      <c r="U4291">
        <v>7</v>
      </c>
      <c r="V4291">
        <v>3</v>
      </c>
      <c r="W4291">
        <v>17</v>
      </c>
      <c r="X4291">
        <v>193</v>
      </c>
      <c r="Y4291">
        <v>11</v>
      </c>
      <c r="Z4291">
        <v>7</v>
      </c>
      <c r="AA4291">
        <v>1</v>
      </c>
      <c r="AB4291">
        <v>12</v>
      </c>
      <c r="AD4291">
        <v>2</v>
      </c>
      <c r="AE4291">
        <v>3</v>
      </c>
      <c r="AF4291">
        <v>0</v>
      </c>
      <c r="AG4291">
        <v>0</v>
      </c>
      <c r="AI4291">
        <v>0</v>
      </c>
      <c r="AJ4291">
        <v>5</v>
      </c>
      <c r="AK4291">
        <v>311</v>
      </c>
      <c r="AL4291">
        <v>311</v>
      </c>
      <c r="AM4291">
        <v>520</v>
      </c>
      <c r="AN4291">
        <v>44</v>
      </c>
      <c r="AP4291">
        <v>1</v>
      </c>
      <c r="AR4291" t="s">
        <v>4391</v>
      </c>
      <c r="AS4291" s="1">
        <v>44353.984722222223</v>
      </c>
      <c r="AT4291" s="1">
        <v>44353.986388888887</v>
      </c>
      <c r="AU4291" s="1">
        <v>44353.986886574072</v>
      </c>
      <c r="AV4291" t="s">
        <v>71</v>
      </c>
      <c r="AW4291" t="s">
        <v>72</v>
      </c>
      <c r="AX4291" t="s">
        <v>73</v>
      </c>
    </row>
    <row r="4292" spans="1:50" x14ac:dyDescent="0.3">
      <c r="A4292" t="str">
        <f>"200685C0200"</f>
        <v>200685C0200</v>
      </c>
      <c r="B4292" t="str">
        <f>"200685C02002"</f>
        <v>200685C02002</v>
      </c>
      <c r="C4292" t="str">
        <f t="shared" si="220"/>
        <v>20</v>
      </c>
      <c r="D4292" t="s">
        <v>67</v>
      </c>
      <c r="E4292" t="str">
        <f t="shared" si="221"/>
        <v>019</v>
      </c>
      <c r="F4292" t="s">
        <v>4278</v>
      </c>
      <c r="G4292" t="str">
        <f>"0685"</f>
        <v>0685</v>
      </c>
      <c r="H4292" t="str">
        <f>"0002"</f>
        <v>0002</v>
      </c>
      <c r="I4292" t="s">
        <v>75</v>
      </c>
      <c r="J4292">
        <v>0</v>
      </c>
      <c r="K4292">
        <v>1</v>
      </c>
      <c r="L4292">
        <v>2</v>
      </c>
      <c r="M4292">
        <v>267</v>
      </c>
      <c r="N4292">
        <v>297</v>
      </c>
      <c r="O4292">
        <v>4</v>
      </c>
      <c r="P4292" t="s">
        <v>99</v>
      </c>
      <c r="Q4292">
        <v>16</v>
      </c>
      <c r="R4292">
        <v>36</v>
      </c>
      <c r="S4292">
        <v>2</v>
      </c>
      <c r="T4292">
        <v>9</v>
      </c>
      <c r="U4292">
        <v>9</v>
      </c>
      <c r="V4292">
        <v>7</v>
      </c>
      <c r="W4292">
        <v>7</v>
      </c>
      <c r="X4292">
        <v>184</v>
      </c>
      <c r="Y4292">
        <v>16</v>
      </c>
      <c r="Z4292">
        <v>2</v>
      </c>
      <c r="AA4292">
        <v>0</v>
      </c>
      <c r="AB4292">
        <v>4</v>
      </c>
      <c r="AD4292">
        <v>1</v>
      </c>
      <c r="AE4292">
        <v>0</v>
      </c>
      <c r="AF4292">
        <v>0</v>
      </c>
      <c r="AG4292">
        <v>0</v>
      </c>
      <c r="AI4292">
        <v>0</v>
      </c>
      <c r="AJ4292">
        <v>4</v>
      </c>
      <c r="AK4292">
        <v>297</v>
      </c>
      <c r="AL4292">
        <v>297</v>
      </c>
      <c r="AM4292">
        <v>520</v>
      </c>
      <c r="AN4292">
        <v>44</v>
      </c>
      <c r="AP4292">
        <v>1</v>
      </c>
      <c r="AR4292" t="s">
        <v>4392</v>
      </c>
      <c r="AS4292" s="1">
        <v>44354.332638888889</v>
      </c>
      <c r="AT4292" s="1">
        <v>44354.334710648145</v>
      </c>
      <c r="AU4292" s="1">
        <v>44354.335752314815</v>
      </c>
      <c r="AV4292" t="s">
        <v>71</v>
      </c>
      <c r="AW4292" t="s">
        <v>72</v>
      </c>
      <c r="AX4292" t="s">
        <v>73</v>
      </c>
    </row>
    <row r="4293" spans="1:50" x14ac:dyDescent="0.3">
      <c r="A4293" t="str">
        <f>"200686B0000"</f>
        <v>200686B0000</v>
      </c>
      <c r="B4293" t="str">
        <f>"200686B00002"</f>
        <v>200686B00002</v>
      </c>
      <c r="C4293" t="str">
        <f t="shared" si="220"/>
        <v>20</v>
      </c>
      <c r="D4293" t="s">
        <v>67</v>
      </c>
      <c r="E4293" t="str">
        <f t="shared" si="221"/>
        <v>019</v>
      </c>
      <c r="F4293" t="s">
        <v>4278</v>
      </c>
      <c r="G4293" t="str">
        <f>"0686"</f>
        <v>0686</v>
      </c>
      <c r="H4293" t="str">
        <f>"0000"</f>
        <v>0000</v>
      </c>
      <c r="I4293" t="s">
        <v>69</v>
      </c>
      <c r="J4293">
        <v>0</v>
      </c>
      <c r="K4293">
        <v>1</v>
      </c>
      <c r="L4293">
        <v>2</v>
      </c>
      <c r="AM4293">
        <v>735</v>
      </c>
      <c r="AN4293">
        <v>44</v>
      </c>
      <c r="AO4293" t="s">
        <v>352</v>
      </c>
      <c r="AP4293">
        <v>0</v>
      </c>
      <c r="AR4293" t="s">
        <v>4393</v>
      </c>
      <c r="AS4293" s="1">
        <v>44354.606944444444</v>
      </c>
      <c r="AT4293" s="1">
        <v>44354.612268518518</v>
      </c>
      <c r="AU4293" s="1">
        <v>44354.612268518518</v>
      </c>
      <c r="AV4293" t="s">
        <v>71</v>
      </c>
      <c r="AW4293" t="s">
        <v>72</v>
      </c>
      <c r="AX4293" t="s">
        <v>73</v>
      </c>
    </row>
    <row r="4294" spans="1:50" x14ac:dyDescent="0.3">
      <c r="A4294" t="str">
        <f>"200686C0100"</f>
        <v>200686C0100</v>
      </c>
      <c r="B4294" t="str">
        <f>"200686C01002"</f>
        <v>200686C01002</v>
      </c>
      <c r="C4294" t="str">
        <f t="shared" si="220"/>
        <v>20</v>
      </c>
      <c r="D4294" t="s">
        <v>67</v>
      </c>
      <c r="E4294" t="str">
        <f t="shared" si="221"/>
        <v>019</v>
      </c>
      <c r="F4294" t="s">
        <v>4278</v>
      </c>
      <c r="G4294" t="str">
        <f>"0686"</f>
        <v>0686</v>
      </c>
      <c r="H4294" t="str">
        <f>"0001"</f>
        <v>0001</v>
      </c>
      <c r="I4294" t="s">
        <v>75</v>
      </c>
      <c r="J4294">
        <v>0</v>
      </c>
      <c r="K4294">
        <v>1</v>
      </c>
      <c r="L4294">
        <v>2</v>
      </c>
      <c r="AM4294">
        <v>735</v>
      </c>
      <c r="AN4294">
        <v>44</v>
      </c>
      <c r="AO4294" t="s">
        <v>352</v>
      </c>
      <c r="AP4294">
        <v>0</v>
      </c>
      <c r="AR4294" t="s">
        <v>4394</v>
      </c>
      <c r="AS4294" s="1">
        <v>44354.606944444444</v>
      </c>
      <c r="AT4294" s="1">
        <v>44354.61178240741</v>
      </c>
      <c r="AU4294" s="1">
        <v>44354.61178240741</v>
      </c>
      <c r="AV4294" t="s">
        <v>71</v>
      </c>
      <c r="AW4294" t="s">
        <v>72</v>
      </c>
      <c r="AX4294" t="s">
        <v>73</v>
      </c>
    </row>
    <row r="4295" spans="1:50" x14ac:dyDescent="0.3">
      <c r="A4295" t="str">
        <f>"200686C0200"</f>
        <v>200686C0200</v>
      </c>
      <c r="B4295" t="str">
        <f>"200686C02002"</f>
        <v>200686C02002</v>
      </c>
      <c r="C4295" t="str">
        <f t="shared" ref="C4295:C4358" si="222">"20"</f>
        <v>20</v>
      </c>
      <c r="D4295" t="s">
        <v>67</v>
      </c>
      <c r="E4295" t="str">
        <f t="shared" si="221"/>
        <v>019</v>
      </c>
      <c r="F4295" t="s">
        <v>4278</v>
      </c>
      <c r="G4295" t="str">
        <f>"0686"</f>
        <v>0686</v>
      </c>
      <c r="H4295" t="str">
        <f>"0002"</f>
        <v>0002</v>
      </c>
      <c r="I4295" t="s">
        <v>75</v>
      </c>
      <c r="J4295">
        <v>0</v>
      </c>
      <c r="K4295">
        <v>1</v>
      </c>
      <c r="L4295">
        <v>2</v>
      </c>
      <c r="AM4295">
        <v>735</v>
      </c>
      <c r="AN4295">
        <v>44</v>
      </c>
      <c r="AO4295" t="s">
        <v>352</v>
      </c>
      <c r="AP4295">
        <v>0</v>
      </c>
      <c r="AR4295" t="s">
        <v>4395</v>
      </c>
      <c r="AS4295" s="1">
        <v>44354.606944444444</v>
      </c>
      <c r="AT4295" s="1">
        <v>44354.611608796295</v>
      </c>
      <c r="AU4295" s="1">
        <v>44354.611608796295</v>
      </c>
      <c r="AV4295" t="s">
        <v>71</v>
      </c>
      <c r="AW4295" t="s">
        <v>72</v>
      </c>
      <c r="AX4295" t="s">
        <v>73</v>
      </c>
    </row>
    <row r="4296" spans="1:50" x14ac:dyDescent="0.3">
      <c r="A4296" t="str">
        <f>"200686C0300"</f>
        <v>200686C0300</v>
      </c>
      <c r="B4296" t="str">
        <f>"200686C03002"</f>
        <v>200686C03002</v>
      </c>
      <c r="C4296" t="str">
        <f t="shared" si="222"/>
        <v>20</v>
      </c>
      <c r="D4296" t="s">
        <v>67</v>
      </c>
      <c r="E4296" t="str">
        <f t="shared" si="221"/>
        <v>019</v>
      </c>
      <c r="F4296" t="s">
        <v>4278</v>
      </c>
      <c r="G4296" t="str">
        <f>"0686"</f>
        <v>0686</v>
      </c>
      <c r="H4296" t="str">
        <f>"0003"</f>
        <v>0003</v>
      </c>
      <c r="I4296" t="s">
        <v>75</v>
      </c>
      <c r="J4296">
        <v>0</v>
      </c>
      <c r="K4296">
        <v>1</v>
      </c>
      <c r="L4296">
        <v>2</v>
      </c>
      <c r="AM4296">
        <v>734</v>
      </c>
      <c r="AN4296">
        <v>44</v>
      </c>
      <c r="AO4296" t="s">
        <v>352</v>
      </c>
      <c r="AP4296">
        <v>0</v>
      </c>
      <c r="AR4296" t="s">
        <v>4396</v>
      </c>
      <c r="AS4296" s="1">
        <v>44354.606944444444</v>
      </c>
      <c r="AT4296" s="1">
        <v>44354.611435185187</v>
      </c>
      <c r="AU4296" s="1">
        <v>44354.611435185187</v>
      </c>
      <c r="AV4296" t="s">
        <v>71</v>
      </c>
      <c r="AW4296" t="s">
        <v>72</v>
      </c>
      <c r="AX4296" t="s">
        <v>73</v>
      </c>
    </row>
    <row r="4297" spans="1:50" x14ac:dyDescent="0.3">
      <c r="A4297" t="str">
        <f>"200687B0000"</f>
        <v>200687B0000</v>
      </c>
      <c r="B4297" t="str">
        <f>"200687B00002"</f>
        <v>200687B00002</v>
      </c>
      <c r="C4297" t="str">
        <f t="shared" si="222"/>
        <v>20</v>
      </c>
      <c r="D4297" t="s">
        <v>67</v>
      </c>
      <c r="E4297" t="str">
        <f t="shared" si="221"/>
        <v>019</v>
      </c>
      <c r="F4297" t="s">
        <v>4278</v>
      </c>
      <c r="G4297" t="str">
        <f>"0687"</f>
        <v>0687</v>
      </c>
      <c r="H4297" t="str">
        <f>"0000"</f>
        <v>0000</v>
      </c>
      <c r="I4297" t="s">
        <v>69</v>
      </c>
      <c r="J4297">
        <v>0</v>
      </c>
      <c r="K4297">
        <v>1</v>
      </c>
      <c r="L4297">
        <v>2</v>
      </c>
      <c r="M4297">
        <v>317</v>
      </c>
      <c r="N4297">
        <v>312</v>
      </c>
      <c r="O4297">
        <v>2</v>
      </c>
      <c r="P4297">
        <v>312</v>
      </c>
      <c r="Q4297">
        <v>15</v>
      </c>
      <c r="R4297">
        <v>25</v>
      </c>
      <c r="S4297">
        <v>1</v>
      </c>
      <c r="T4297">
        <v>14</v>
      </c>
      <c r="U4297">
        <v>5</v>
      </c>
      <c r="V4297">
        <v>3</v>
      </c>
      <c r="W4297">
        <v>24</v>
      </c>
      <c r="X4297">
        <v>196</v>
      </c>
      <c r="Y4297">
        <v>5</v>
      </c>
      <c r="Z4297">
        <v>5</v>
      </c>
      <c r="AA4297">
        <v>2</v>
      </c>
      <c r="AB4297">
        <v>5</v>
      </c>
      <c r="AD4297">
        <v>2</v>
      </c>
      <c r="AE4297">
        <v>0</v>
      </c>
      <c r="AF4297">
        <v>1</v>
      </c>
      <c r="AG4297">
        <v>0</v>
      </c>
      <c r="AI4297">
        <v>0</v>
      </c>
      <c r="AJ4297">
        <v>9</v>
      </c>
      <c r="AK4297">
        <v>312</v>
      </c>
      <c r="AL4297">
        <v>312</v>
      </c>
      <c r="AM4297">
        <v>585</v>
      </c>
      <c r="AN4297">
        <v>44</v>
      </c>
      <c r="AP4297">
        <v>1</v>
      </c>
      <c r="AR4297" t="s">
        <v>4397</v>
      </c>
      <c r="AS4297" s="1">
        <v>44354.11041666667</v>
      </c>
      <c r="AT4297" s="1">
        <v>44354.111770833333</v>
      </c>
      <c r="AU4297" s="1">
        <v>44354.112141203703</v>
      </c>
      <c r="AV4297" t="s">
        <v>71</v>
      </c>
      <c r="AW4297" t="s">
        <v>72</v>
      </c>
      <c r="AX4297" t="s">
        <v>73</v>
      </c>
    </row>
    <row r="4298" spans="1:50" x14ac:dyDescent="0.3">
      <c r="A4298" t="str">
        <f>"200687C0100"</f>
        <v>200687C0100</v>
      </c>
      <c r="B4298" t="str">
        <f>"200687C01002"</f>
        <v>200687C01002</v>
      </c>
      <c r="C4298" t="str">
        <f t="shared" si="222"/>
        <v>20</v>
      </c>
      <c r="D4298" t="s">
        <v>67</v>
      </c>
      <c r="E4298" t="str">
        <f t="shared" si="221"/>
        <v>019</v>
      </c>
      <c r="F4298" t="s">
        <v>4278</v>
      </c>
      <c r="G4298" t="str">
        <f>"0687"</f>
        <v>0687</v>
      </c>
      <c r="H4298" t="str">
        <f>"0001"</f>
        <v>0001</v>
      </c>
      <c r="I4298" t="s">
        <v>75</v>
      </c>
      <c r="J4298">
        <v>0</v>
      </c>
      <c r="K4298">
        <v>1</v>
      </c>
      <c r="L4298">
        <v>2</v>
      </c>
      <c r="AM4298">
        <v>585</v>
      </c>
      <c r="AN4298">
        <v>44</v>
      </c>
      <c r="AO4298" t="s">
        <v>352</v>
      </c>
      <c r="AP4298">
        <v>0</v>
      </c>
      <c r="AR4298" t="s">
        <v>4398</v>
      </c>
      <c r="AS4298" s="1">
        <v>44354.606944444444</v>
      </c>
      <c r="AT4298" s="1">
        <v>44354.611250000002</v>
      </c>
      <c r="AU4298" s="1">
        <v>44354.611250000002</v>
      </c>
      <c r="AV4298" t="s">
        <v>71</v>
      </c>
      <c r="AW4298" t="s">
        <v>72</v>
      </c>
      <c r="AX4298" t="s">
        <v>73</v>
      </c>
    </row>
    <row r="4299" spans="1:50" x14ac:dyDescent="0.3">
      <c r="A4299" t="str">
        <f>"200687C0200"</f>
        <v>200687C0200</v>
      </c>
      <c r="B4299" t="str">
        <f>"200687C02002"</f>
        <v>200687C02002</v>
      </c>
      <c r="C4299" t="str">
        <f t="shared" si="222"/>
        <v>20</v>
      </c>
      <c r="D4299" t="s">
        <v>67</v>
      </c>
      <c r="E4299" t="str">
        <f t="shared" si="221"/>
        <v>019</v>
      </c>
      <c r="F4299" t="s">
        <v>4278</v>
      </c>
      <c r="G4299" t="str">
        <f>"0687"</f>
        <v>0687</v>
      </c>
      <c r="H4299" t="str">
        <f>"0002"</f>
        <v>0002</v>
      </c>
      <c r="I4299" t="s">
        <v>75</v>
      </c>
      <c r="J4299">
        <v>0</v>
      </c>
      <c r="K4299">
        <v>1</v>
      </c>
      <c r="L4299">
        <v>2</v>
      </c>
      <c r="M4299">
        <v>309</v>
      </c>
      <c r="N4299">
        <v>320</v>
      </c>
      <c r="O4299">
        <v>4</v>
      </c>
      <c r="P4299">
        <v>320</v>
      </c>
      <c r="Q4299">
        <v>13</v>
      </c>
      <c r="R4299">
        <v>21</v>
      </c>
      <c r="S4299">
        <v>3</v>
      </c>
      <c r="T4299">
        <v>18</v>
      </c>
      <c r="U4299">
        <v>2</v>
      </c>
      <c r="V4299">
        <v>3</v>
      </c>
      <c r="W4299">
        <v>46</v>
      </c>
      <c r="X4299">
        <v>193</v>
      </c>
      <c r="Y4299">
        <v>5</v>
      </c>
      <c r="Z4299">
        <v>2</v>
      </c>
      <c r="AA4299">
        <v>0</v>
      </c>
      <c r="AB4299">
        <v>5</v>
      </c>
      <c r="AD4299">
        <v>0</v>
      </c>
      <c r="AE4299">
        <v>0</v>
      </c>
      <c r="AF4299">
        <v>0</v>
      </c>
      <c r="AG4299">
        <v>0</v>
      </c>
      <c r="AI4299">
        <v>0</v>
      </c>
      <c r="AJ4299">
        <v>9</v>
      </c>
      <c r="AK4299">
        <v>320</v>
      </c>
      <c r="AL4299">
        <v>320</v>
      </c>
      <c r="AM4299">
        <v>585</v>
      </c>
      <c r="AN4299">
        <v>44</v>
      </c>
      <c r="AP4299">
        <v>1</v>
      </c>
      <c r="AR4299" t="s">
        <v>4399</v>
      </c>
      <c r="AS4299" s="1">
        <v>44354.397222222222</v>
      </c>
      <c r="AT4299" s="1">
        <v>44354.398715277777</v>
      </c>
      <c r="AU4299" s="1">
        <v>44354.399178240739</v>
      </c>
      <c r="AV4299" t="s">
        <v>71</v>
      </c>
      <c r="AW4299" t="s">
        <v>72</v>
      </c>
      <c r="AX4299" t="s">
        <v>73</v>
      </c>
    </row>
    <row r="4300" spans="1:50" x14ac:dyDescent="0.3">
      <c r="A4300" t="str">
        <f>"200688B0000"</f>
        <v>200688B0000</v>
      </c>
      <c r="B4300" t="str">
        <f>"200688B00002"</f>
        <v>200688B00002</v>
      </c>
      <c r="C4300" t="str">
        <f t="shared" si="222"/>
        <v>20</v>
      </c>
      <c r="D4300" t="s">
        <v>67</v>
      </c>
      <c r="E4300" t="str">
        <f t="shared" si="221"/>
        <v>019</v>
      </c>
      <c r="F4300" t="s">
        <v>4278</v>
      </c>
      <c r="G4300" t="str">
        <f>"0688"</f>
        <v>0688</v>
      </c>
      <c r="H4300" t="str">
        <f>"0000"</f>
        <v>0000</v>
      </c>
      <c r="I4300" t="s">
        <v>69</v>
      </c>
      <c r="J4300">
        <v>0</v>
      </c>
      <c r="K4300">
        <v>1</v>
      </c>
      <c r="L4300">
        <v>2</v>
      </c>
      <c r="M4300">
        <v>339</v>
      </c>
      <c r="N4300">
        <v>452</v>
      </c>
      <c r="O4300">
        <v>4</v>
      </c>
      <c r="P4300">
        <v>1</v>
      </c>
      <c r="Q4300">
        <v>30</v>
      </c>
      <c r="R4300">
        <v>63</v>
      </c>
      <c r="S4300">
        <v>0</v>
      </c>
      <c r="T4300">
        <v>8</v>
      </c>
      <c r="U4300">
        <v>12</v>
      </c>
      <c r="V4300">
        <v>6</v>
      </c>
      <c r="W4300">
        <v>18</v>
      </c>
      <c r="X4300">
        <v>262</v>
      </c>
      <c r="Y4300">
        <v>16</v>
      </c>
      <c r="Z4300">
        <v>16</v>
      </c>
      <c r="AA4300">
        <v>0</v>
      </c>
      <c r="AB4300">
        <v>7</v>
      </c>
      <c r="AD4300">
        <v>2</v>
      </c>
      <c r="AE4300">
        <v>0</v>
      </c>
      <c r="AF4300">
        <v>0</v>
      </c>
      <c r="AG4300">
        <v>0</v>
      </c>
      <c r="AI4300">
        <v>0</v>
      </c>
      <c r="AJ4300">
        <v>7</v>
      </c>
      <c r="AK4300">
        <v>447</v>
      </c>
      <c r="AL4300">
        <v>447</v>
      </c>
      <c r="AM4300">
        <v>747</v>
      </c>
      <c r="AN4300">
        <v>44</v>
      </c>
      <c r="AP4300">
        <v>1</v>
      </c>
      <c r="AR4300" t="s">
        <v>4400</v>
      </c>
      <c r="AS4300" s="1">
        <v>44354.099305555559</v>
      </c>
      <c r="AT4300" s="1">
        <v>44354.100185185183</v>
      </c>
      <c r="AU4300" s="1">
        <v>44354.100706018522</v>
      </c>
      <c r="AV4300" t="s">
        <v>71</v>
      </c>
      <c r="AW4300" t="s">
        <v>72</v>
      </c>
      <c r="AX4300" t="s">
        <v>73</v>
      </c>
    </row>
    <row r="4301" spans="1:50" x14ac:dyDescent="0.3">
      <c r="A4301" t="str">
        <f>"200688C0100"</f>
        <v>200688C0100</v>
      </c>
      <c r="B4301" t="str">
        <f>"200688C01002"</f>
        <v>200688C01002</v>
      </c>
      <c r="C4301" t="str">
        <f t="shared" si="222"/>
        <v>20</v>
      </c>
      <c r="D4301" t="s">
        <v>67</v>
      </c>
      <c r="E4301" t="str">
        <f t="shared" si="221"/>
        <v>019</v>
      </c>
      <c r="F4301" t="s">
        <v>4278</v>
      </c>
      <c r="G4301" t="str">
        <f>"0688"</f>
        <v>0688</v>
      </c>
      <c r="H4301" t="str">
        <f>"0001"</f>
        <v>0001</v>
      </c>
      <c r="I4301" t="s">
        <v>75</v>
      </c>
      <c r="J4301">
        <v>0</v>
      </c>
      <c r="K4301">
        <v>1</v>
      </c>
      <c r="L4301">
        <v>2</v>
      </c>
      <c r="M4301">
        <v>344</v>
      </c>
      <c r="N4301">
        <v>446</v>
      </c>
      <c r="O4301">
        <v>0</v>
      </c>
      <c r="P4301">
        <v>451</v>
      </c>
      <c r="Q4301">
        <v>21</v>
      </c>
      <c r="R4301">
        <v>58</v>
      </c>
      <c r="S4301">
        <v>5</v>
      </c>
      <c r="T4301">
        <v>10</v>
      </c>
      <c r="U4301">
        <v>5</v>
      </c>
      <c r="V4301">
        <v>7</v>
      </c>
      <c r="W4301">
        <v>22</v>
      </c>
      <c r="X4301">
        <v>256</v>
      </c>
      <c r="Y4301">
        <v>27</v>
      </c>
      <c r="Z4301">
        <v>22</v>
      </c>
      <c r="AA4301">
        <v>2</v>
      </c>
      <c r="AB4301">
        <v>7</v>
      </c>
      <c r="AD4301">
        <v>3</v>
      </c>
      <c r="AE4301">
        <v>0</v>
      </c>
      <c r="AF4301">
        <v>0</v>
      </c>
      <c r="AG4301">
        <v>0</v>
      </c>
      <c r="AI4301">
        <v>0</v>
      </c>
      <c r="AJ4301">
        <v>6</v>
      </c>
      <c r="AK4301">
        <v>451</v>
      </c>
      <c r="AL4301">
        <v>451</v>
      </c>
      <c r="AM4301">
        <v>747</v>
      </c>
      <c r="AN4301">
        <v>44</v>
      </c>
      <c r="AP4301">
        <v>1</v>
      </c>
      <c r="AR4301" t="s">
        <v>4401</v>
      </c>
      <c r="AS4301" s="1">
        <v>44354.134722222225</v>
      </c>
      <c r="AT4301" s="1">
        <v>44354.136759259258</v>
      </c>
      <c r="AU4301" s="1">
        <v>44354.137361111112</v>
      </c>
      <c r="AV4301" t="s">
        <v>71</v>
      </c>
      <c r="AW4301" t="s">
        <v>72</v>
      </c>
      <c r="AX4301" t="s">
        <v>73</v>
      </c>
    </row>
    <row r="4302" spans="1:50" x14ac:dyDescent="0.3">
      <c r="A4302" t="str">
        <f>"200689B0000"</f>
        <v>200689B0000</v>
      </c>
      <c r="B4302" t="str">
        <f>"200689B00002"</f>
        <v>200689B00002</v>
      </c>
      <c r="C4302" t="str">
        <f t="shared" si="222"/>
        <v>20</v>
      </c>
      <c r="D4302" t="s">
        <v>67</v>
      </c>
      <c r="E4302" t="str">
        <f t="shared" si="221"/>
        <v>019</v>
      </c>
      <c r="F4302" t="s">
        <v>4278</v>
      </c>
      <c r="G4302" t="str">
        <f>"0689"</f>
        <v>0689</v>
      </c>
      <c r="H4302" t="str">
        <f>"0000"</f>
        <v>0000</v>
      </c>
      <c r="I4302" t="s">
        <v>69</v>
      </c>
      <c r="J4302">
        <v>0</v>
      </c>
      <c r="K4302">
        <v>1</v>
      </c>
      <c r="L4302">
        <v>2</v>
      </c>
      <c r="M4302">
        <v>273</v>
      </c>
      <c r="N4302">
        <v>444</v>
      </c>
      <c r="O4302">
        <v>5</v>
      </c>
      <c r="P4302" t="s">
        <v>80</v>
      </c>
      <c r="Q4302">
        <v>31</v>
      </c>
      <c r="R4302">
        <v>67</v>
      </c>
      <c r="S4302">
        <v>4</v>
      </c>
      <c r="T4302">
        <v>13</v>
      </c>
      <c r="U4302">
        <v>8</v>
      </c>
      <c r="V4302">
        <v>1</v>
      </c>
      <c r="W4302">
        <v>21</v>
      </c>
      <c r="X4302">
        <v>266</v>
      </c>
      <c r="Y4302">
        <v>8</v>
      </c>
      <c r="Z4302">
        <v>1</v>
      </c>
      <c r="AA4302">
        <v>3</v>
      </c>
      <c r="AB4302">
        <v>7</v>
      </c>
      <c r="AD4302">
        <v>4</v>
      </c>
      <c r="AE4302">
        <v>5</v>
      </c>
      <c r="AF4302">
        <v>0</v>
      </c>
      <c r="AG4302">
        <v>0</v>
      </c>
      <c r="AI4302" t="s">
        <v>77</v>
      </c>
      <c r="AJ4302">
        <v>4</v>
      </c>
      <c r="AK4302">
        <v>443</v>
      </c>
      <c r="AL4302">
        <v>443</v>
      </c>
      <c r="AM4302">
        <v>675</v>
      </c>
      <c r="AN4302">
        <v>44</v>
      </c>
      <c r="AO4302" t="s">
        <v>78</v>
      </c>
      <c r="AP4302">
        <v>1</v>
      </c>
      <c r="AR4302" t="s">
        <v>4402</v>
      </c>
      <c r="AS4302" s="1">
        <v>44354.356249999997</v>
      </c>
      <c r="AT4302" s="1">
        <v>44354.357604166667</v>
      </c>
      <c r="AU4302" s="1">
        <v>44354.358263888891</v>
      </c>
      <c r="AV4302" t="s">
        <v>71</v>
      </c>
      <c r="AW4302" t="s">
        <v>72</v>
      </c>
      <c r="AX4302" t="s">
        <v>73</v>
      </c>
    </row>
    <row r="4303" spans="1:50" x14ac:dyDescent="0.3">
      <c r="A4303" t="str">
        <f>"200689C0100"</f>
        <v>200689C0100</v>
      </c>
      <c r="B4303" t="str">
        <f>"200689C01002"</f>
        <v>200689C01002</v>
      </c>
      <c r="C4303" t="str">
        <f t="shared" si="222"/>
        <v>20</v>
      </c>
      <c r="D4303" t="s">
        <v>67</v>
      </c>
      <c r="E4303" t="str">
        <f t="shared" si="221"/>
        <v>019</v>
      </c>
      <c r="F4303" t="s">
        <v>4278</v>
      </c>
      <c r="G4303" t="str">
        <f>"0689"</f>
        <v>0689</v>
      </c>
      <c r="H4303" t="str">
        <f>"0001"</f>
        <v>0001</v>
      </c>
      <c r="I4303" t="s">
        <v>75</v>
      </c>
      <c r="J4303">
        <v>0</v>
      </c>
      <c r="K4303">
        <v>1</v>
      </c>
      <c r="L4303">
        <v>2</v>
      </c>
      <c r="M4303">
        <v>305</v>
      </c>
      <c r="N4303">
        <v>416</v>
      </c>
      <c r="O4303">
        <v>8</v>
      </c>
      <c r="P4303">
        <v>414</v>
      </c>
      <c r="Q4303">
        <v>31</v>
      </c>
      <c r="R4303">
        <v>62</v>
      </c>
      <c r="S4303">
        <v>2</v>
      </c>
      <c r="T4303">
        <v>13</v>
      </c>
      <c r="U4303">
        <v>7</v>
      </c>
      <c r="V4303">
        <v>5</v>
      </c>
      <c r="W4303">
        <v>15</v>
      </c>
      <c r="X4303">
        <v>248</v>
      </c>
      <c r="Y4303">
        <v>7</v>
      </c>
      <c r="Z4303">
        <v>6</v>
      </c>
      <c r="AA4303">
        <v>5</v>
      </c>
      <c r="AB4303">
        <v>5</v>
      </c>
      <c r="AD4303">
        <v>2</v>
      </c>
      <c r="AE4303">
        <v>0</v>
      </c>
      <c r="AF4303">
        <v>0</v>
      </c>
      <c r="AG4303">
        <v>1</v>
      </c>
      <c r="AI4303">
        <v>0</v>
      </c>
      <c r="AJ4303">
        <v>5</v>
      </c>
      <c r="AK4303">
        <v>414</v>
      </c>
      <c r="AL4303">
        <v>414</v>
      </c>
      <c r="AM4303">
        <v>675</v>
      </c>
      <c r="AN4303">
        <v>44</v>
      </c>
      <c r="AP4303">
        <v>1</v>
      </c>
      <c r="AR4303" t="s">
        <v>4403</v>
      </c>
      <c r="AS4303" s="1">
        <v>44354.493055555555</v>
      </c>
      <c r="AT4303" s="1">
        <v>44354.495509259257</v>
      </c>
      <c r="AU4303" s="1">
        <v>44354.495844907404</v>
      </c>
      <c r="AV4303" t="s">
        <v>71</v>
      </c>
      <c r="AW4303" t="s">
        <v>72</v>
      </c>
      <c r="AX4303" t="s">
        <v>73</v>
      </c>
    </row>
    <row r="4304" spans="1:50" x14ac:dyDescent="0.3">
      <c r="A4304" t="str">
        <f>"200690B0000"</f>
        <v>200690B0000</v>
      </c>
      <c r="B4304" t="str">
        <f>"200690B00002"</f>
        <v>200690B00002</v>
      </c>
      <c r="C4304" t="str">
        <f t="shared" si="222"/>
        <v>20</v>
      </c>
      <c r="D4304" t="s">
        <v>67</v>
      </c>
      <c r="E4304" t="str">
        <f t="shared" si="221"/>
        <v>019</v>
      </c>
      <c r="F4304" t="s">
        <v>4278</v>
      </c>
      <c r="G4304" t="str">
        <f>"0690"</f>
        <v>0690</v>
      </c>
      <c r="H4304" t="str">
        <f>"0000"</f>
        <v>0000</v>
      </c>
      <c r="I4304" t="s">
        <v>69</v>
      </c>
      <c r="J4304">
        <v>0</v>
      </c>
      <c r="K4304">
        <v>1</v>
      </c>
      <c r="L4304">
        <v>2</v>
      </c>
      <c r="M4304">
        <v>291</v>
      </c>
      <c r="N4304">
        <v>370</v>
      </c>
      <c r="O4304">
        <v>7</v>
      </c>
      <c r="P4304">
        <v>370</v>
      </c>
      <c r="Q4304">
        <v>30</v>
      </c>
      <c r="R4304">
        <v>45</v>
      </c>
      <c r="S4304">
        <v>3</v>
      </c>
      <c r="T4304">
        <v>6</v>
      </c>
      <c r="U4304">
        <v>6</v>
      </c>
      <c r="V4304">
        <v>16</v>
      </c>
      <c r="W4304">
        <v>13</v>
      </c>
      <c r="X4304">
        <v>212</v>
      </c>
      <c r="Y4304">
        <v>8</v>
      </c>
      <c r="Z4304">
        <v>10</v>
      </c>
      <c r="AA4304">
        <v>2</v>
      </c>
      <c r="AB4304">
        <v>11</v>
      </c>
      <c r="AD4304">
        <v>3</v>
      </c>
      <c r="AE4304">
        <v>1</v>
      </c>
      <c r="AF4304">
        <v>0</v>
      </c>
      <c r="AG4304">
        <v>0</v>
      </c>
      <c r="AI4304">
        <v>0</v>
      </c>
      <c r="AJ4304">
        <v>4</v>
      </c>
      <c r="AK4304">
        <v>370</v>
      </c>
      <c r="AL4304">
        <v>370</v>
      </c>
      <c r="AM4304">
        <v>617</v>
      </c>
      <c r="AN4304">
        <v>44</v>
      </c>
      <c r="AP4304">
        <v>1</v>
      </c>
      <c r="AR4304" t="s">
        <v>4404</v>
      </c>
      <c r="AS4304" s="1">
        <v>44354.397916666669</v>
      </c>
      <c r="AT4304" s="1">
        <v>44354.399293981478</v>
      </c>
      <c r="AU4304" s="1">
        <v>44354.400092592594</v>
      </c>
      <c r="AV4304" t="s">
        <v>71</v>
      </c>
      <c r="AW4304" t="s">
        <v>72</v>
      </c>
      <c r="AX4304" t="s">
        <v>73</v>
      </c>
    </row>
    <row r="4305" spans="1:50" x14ac:dyDescent="0.3">
      <c r="A4305" t="str">
        <f>"200691B0000"</f>
        <v>200691B0000</v>
      </c>
      <c r="B4305" t="str">
        <f>"200691B00002"</f>
        <v>200691B00002</v>
      </c>
      <c r="C4305" t="str">
        <f t="shared" si="222"/>
        <v>20</v>
      </c>
      <c r="D4305" t="s">
        <v>67</v>
      </c>
      <c r="E4305" t="str">
        <f t="shared" si="221"/>
        <v>019</v>
      </c>
      <c r="F4305" t="s">
        <v>4278</v>
      </c>
      <c r="G4305" t="str">
        <f>"0691"</f>
        <v>0691</v>
      </c>
      <c r="H4305" t="str">
        <f>"0000"</f>
        <v>0000</v>
      </c>
      <c r="I4305" t="s">
        <v>69</v>
      </c>
      <c r="J4305">
        <v>0</v>
      </c>
      <c r="K4305">
        <v>1</v>
      </c>
      <c r="L4305">
        <v>2</v>
      </c>
      <c r="M4305">
        <v>285</v>
      </c>
      <c r="N4305">
        <v>365</v>
      </c>
      <c r="O4305">
        <v>3</v>
      </c>
      <c r="P4305">
        <v>366</v>
      </c>
      <c r="Q4305">
        <v>20</v>
      </c>
      <c r="R4305">
        <v>47</v>
      </c>
      <c r="S4305">
        <v>6</v>
      </c>
      <c r="T4305">
        <v>17</v>
      </c>
      <c r="U4305">
        <v>6</v>
      </c>
      <c r="V4305">
        <v>8</v>
      </c>
      <c r="W4305">
        <v>8</v>
      </c>
      <c r="X4305">
        <v>216</v>
      </c>
      <c r="Y4305">
        <v>14</v>
      </c>
      <c r="Z4305">
        <v>7</v>
      </c>
      <c r="AA4305">
        <v>4</v>
      </c>
      <c r="AB4305">
        <v>3</v>
      </c>
      <c r="AD4305">
        <v>2</v>
      </c>
      <c r="AE4305">
        <v>0</v>
      </c>
      <c r="AF4305">
        <v>0</v>
      </c>
      <c r="AG4305">
        <v>0</v>
      </c>
      <c r="AI4305">
        <v>0</v>
      </c>
      <c r="AJ4305">
        <v>8</v>
      </c>
      <c r="AK4305">
        <v>366</v>
      </c>
      <c r="AL4305">
        <v>366</v>
      </c>
      <c r="AM4305">
        <v>606</v>
      </c>
      <c r="AN4305">
        <v>44</v>
      </c>
      <c r="AP4305">
        <v>1</v>
      </c>
      <c r="AR4305" t="s">
        <v>4405</v>
      </c>
      <c r="AS4305" s="1">
        <v>44354.4375</v>
      </c>
      <c r="AT4305" s="1">
        <v>44354.440625000003</v>
      </c>
      <c r="AU4305" s="1">
        <v>44354.441087962965</v>
      </c>
      <c r="AV4305" t="s">
        <v>71</v>
      </c>
      <c r="AW4305" t="s">
        <v>72</v>
      </c>
      <c r="AX4305" t="s">
        <v>73</v>
      </c>
    </row>
    <row r="4306" spans="1:50" x14ac:dyDescent="0.3">
      <c r="A4306" t="str">
        <f>"200691C0100"</f>
        <v>200691C0100</v>
      </c>
      <c r="B4306" t="str">
        <f>"200691C01002"</f>
        <v>200691C01002</v>
      </c>
      <c r="C4306" t="str">
        <f t="shared" si="222"/>
        <v>20</v>
      </c>
      <c r="D4306" t="s">
        <v>67</v>
      </c>
      <c r="E4306" t="str">
        <f t="shared" si="221"/>
        <v>019</v>
      </c>
      <c r="F4306" t="s">
        <v>4278</v>
      </c>
      <c r="G4306" t="str">
        <f>"0691"</f>
        <v>0691</v>
      </c>
      <c r="H4306" t="str">
        <f>"0001"</f>
        <v>0001</v>
      </c>
      <c r="I4306" t="s">
        <v>75</v>
      </c>
      <c r="J4306">
        <v>0</v>
      </c>
      <c r="K4306">
        <v>1</v>
      </c>
      <c r="L4306">
        <v>2</v>
      </c>
      <c r="M4306">
        <v>295</v>
      </c>
      <c r="N4306">
        <v>353</v>
      </c>
      <c r="O4306">
        <v>5</v>
      </c>
      <c r="P4306">
        <v>347</v>
      </c>
      <c r="Q4306">
        <v>19</v>
      </c>
      <c r="R4306">
        <v>48</v>
      </c>
      <c r="S4306">
        <v>5</v>
      </c>
      <c r="T4306">
        <v>10</v>
      </c>
      <c r="U4306">
        <v>8</v>
      </c>
      <c r="V4306">
        <v>10</v>
      </c>
      <c r="W4306">
        <v>24</v>
      </c>
      <c r="X4306">
        <v>184</v>
      </c>
      <c r="Y4306">
        <v>23</v>
      </c>
      <c r="Z4306">
        <v>3</v>
      </c>
      <c r="AA4306">
        <v>4</v>
      </c>
      <c r="AB4306">
        <v>7</v>
      </c>
      <c r="AD4306">
        <v>2</v>
      </c>
      <c r="AE4306">
        <v>0</v>
      </c>
      <c r="AF4306">
        <v>0</v>
      </c>
      <c r="AG4306">
        <v>0</v>
      </c>
      <c r="AI4306">
        <v>0</v>
      </c>
      <c r="AJ4306">
        <v>5</v>
      </c>
      <c r="AK4306">
        <v>345</v>
      </c>
      <c r="AL4306">
        <v>352</v>
      </c>
      <c r="AM4306">
        <v>605</v>
      </c>
      <c r="AN4306">
        <v>44</v>
      </c>
      <c r="AP4306">
        <v>1</v>
      </c>
      <c r="AR4306" t="s">
        <v>4406</v>
      </c>
      <c r="AS4306" s="1">
        <v>44354.440972222219</v>
      </c>
      <c r="AT4306" s="1">
        <v>44354.443483796298</v>
      </c>
      <c r="AU4306" s="1">
        <v>44354.444363425922</v>
      </c>
      <c r="AV4306" t="s">
        <v>71</v>
      </c>
      <c r="AW4306" t="s">
        <v>72</v>
      </c>
      <c r="AX4306" t="s">
        <v>73</v>
      </c>
    </row>
    <row r="4307" spans="1:50" x14ac:dyDescent="0.3">
      <c r="A4307" t="str">
        <f>"200692B0000"</f>
        <v>200692B0000</v>
      </c>
      <c r="B4307" t="str">
        <f>"200692B00002"</f>
        <v>200692B00002</v>
      </c>
      <c r="C4307" t="str">
        <f t="shared" si="222"/>
        <v>20</v>
      </c>
      <c r="D4307" t="s">
        <v>67</v>
      </c>
      <c r="E4307" t="str">
        <f t="shared" ref="E4307:E4370" si="223">"019"</f>
        <v>019</v>
      </c>
      <c r="F4307" t="s">
        <v>4278</v>
      </c>
      <c r="G4307" t="str">
        <f>"0692"</f>
        <v>0692</v>
      </c>
      <c r="H4307" t="str">
        <f>"0000"</f>
        <v>0000</v>
      </c>
      <c r="I4307" t="s">
        <v>69</v>
      </c>
      <c r="J4307">
        <v>0</v>
      </c>
      <c r="K4307">
        <v>1</v>
      </c>
      <c r="L4307">
        <v>2</v>
      </c>
      <c r="M4307">
        <v>295</v>
      </c>
      <c r="N4307">
        <v>349</v>
      </c>
      <c r="O4307">
        <v>5</v>
      </c>
      <c r="P4307">
        <v>349</v>
      </c>
      <c r="Q4307">
        <v>14</v>
      </c>
      <c r="R4307">
        <v>49</v>
      </c>
      <c r="S4307">
        <v>5</v>
      </c>
      <c r="T4307">
        <v>11</v>
      </c>
      <c r="U4307">
        <v>6</v>
      </c>
      <c r="V4307">
        <v>7</v>
      </c>
      <c r="W4307">
        <v>21</v>
      </c>
      <c r="X4307">
        <v>198</v>
      </c>
      <c r="Y4307">
        <v>13</v>
      </c>
      <c r="Z4307">
        <v>7</v>
      </c>
      <c r="AA4307">
        <v>1</v>
      </c>
      <c r="AB4307">
        <v>6</v>
      </c>
      <c r="AD4307">
        <v>2</v>
      </c>
      <c r="AE4307">
        <v>0</v>
      </c>
      <c r="AF4307">
        <v>0</v>
      </c>
      <c r="AG4307">
        <v>0</v>
      </c>
      <c r="AI4307">
        <v>0</v>
      </c>
      <c r="AJ4307">
        <v>9</v>
      </c>
      <c r="AK4307">
        <v>349</v>
      </c>
      <c r="AL4307">
        <v>349</v>
      </c>
      <c r="AM4307">
        <v>599</v>
      </c>
      <c r="AN4307">
        <v>44</v>
      </c>
      <c r="AP4307">
        <v>1</v>
      </c>
      <c r="AR4307" t="s">
        <v>4407</v>
      </c>
      <c r="AS4307" s="1">
        <v>44354.4375</v>
      </c>
      <c r="AT4307" s="1">
        <v>44354.439895833333</v>
      </c>
      <c r="AU4307" s="1">
        <v>44354.440625000003</v>
      </c>
      <c r="AV4307" t="s">
        <v>71</v>
      </c>
      <c r="AW4307" t="s">
        <v>72</v>
      </c>
      <c r="AX4307" t="s">
        <v>73</v>
      </c>
    </row>
    <row r="4308" spans="1:50" x14ac:dyDescent="0.3">
      <c r="A4308" t="str">
        <f>"200692C0100"</f>
        <v>200692C0100</v>
      </c>
      <c r="B4308" t="str">
        <f>"200692C01002"</f>
        <v>200692C01002</v>
      </c>
      <c r="C4308" t="str">
        <f t="shared" si="222"/>
        <v>20</v>
      </c>
      <c r="D4308" t="s">
        <v>67</v>
      </c>
      <c r="E4308" t="str">
        <f t="shared" si="223"/>
        <v>019</v>
      </c>
      <c r="F4308" t="s">
        <v>4278</v>
      </c>
      <c r="G4308" t="str">
        <f>"0692"</f>
        <v>0692</v>
      </c>
      <c r="H4308" t="str">
        <f>"0001"</f>
        <v>0001</v>
      </c>
      <c r="I4308" t="s">
        <v>75</v>
      </c>
      <c r="J4308">
        <v>0</v>
      </c>
      <c r="K4308">
        <v>1</v>
      </c>
      <c r="L4308">
        <v>2</v>
      </c>
      <c r="M4308">
        <v>248</v>
      </c>
      <c r="N4308">
        <v>342</v>
      </c>
      <c r="O4308">
        <v>5</v>
      </c>
      <c r="P4308">
        <v>394</v>
      </c>
      <c r="Q4308">
        <v>21</v>
      </c>
      <c r="R4308">
        <v>47</v>
      </c>
      <c r="S4308">
        <v>0</v>
      </c>
      <c r="T4308">
        <v>9</v>
      </c>
      <c r="U4308">
        <v>10</v>
      </c>
      <c r="V4308">
        <v>9</v>
      </c>
      <c r="W4308">
        <v>20</v>
      </c>
      <c r="X4308">
        <v>244</v>
      </c>
      <c r="Y4308">
        <v>18</v>
      </c>
      <c r="Z4308">
        <v>3</v>
      </c>
      <c r="AA4308">
        <v>2</v>
      </c>
      <c r="AB4308">
        <v>0</v>
      </c>
      <c r="AD4308">
        <v>1</v>
      </c>
      <c r="AE4308">
        <v>0</v>
      </c>
      <c r="AF4308">
        <v>0</v>
      </c>
      <c r="AG4308">
        <v>0</v>
      </c>
      <c r="AI4308">
        <v>0</v>
      </c>
      <c r="AJ4308">
        <v>7</v>
      </c>
      <c r="AK4308">
        <v>394</v>
      </c>
      <c r="AL4308">
        <v>391</v>
      </c>
      <c r="AM4308">
        <v>599</v>
      </c>
      <c r="AN4308">
        <v>44</v>
      </c>
      <c r="AP4308">
        <v>1</v>
      </c>
      <c r="AR4308" t="s">
        <v>4408</v>
      </c>
      <c r="AS4308" s="1">
        <v>44354.4375</v>
      </c>
      <c r="AT4308" s="1">
        <v>44354.439027777778</v>
      </c>
      <c r="AU4308" s="1">
        <v>44354.443402777775</v>
      </c>
      <c r="AV4308" t="s">
        <v>71</v>
      </c>
      <c r="AW4308" t="s">
        <v>72</v>
      </c>
      <c r="AX4308" t="s">
        <v>73</v>
      </c>
    </row>
    <row r="4309" spans="1:50" x14ac:dyDescent="0.3">
      <c r="A4309" t="str">
        <f>"200693B0000"</f>
        <v>200693B0000</v>
      </c>
      <c r="B4309" t="str">
        <f>"200693B00002"</f>
        <v>200693B00002</v>
      </c>
      <c r="C4309" t="str">
        <f t="shared" si="222"/>
        <v>20</v>
      </c>
      <c r="D4309" t="s">
        <v>67</v>
      </c>
      <c r="E4309" t="str">
        <f t="shared" si="223"/>
        <v>019</v>
      </c>
      <c r="F4309" t="s">
        <v>4278</v>
      </c>
      <c r="G4309" t="str">
        <f>"0693"</f>
        <v>0693</v>
      </c>
      <c r="H4309" t="str">
        <f>"0000"</f>
        <v>0000</v>
      </c>
      <c r="I4309" t="s">
        <v>69</v>
      </c>
      <c r="J4309">
        <v>0</v>
      </c>
      <c r="K4309">
        <v>1</v>
      </c>
      <c r="L4309">
        <v>2</v>
      </c>
      <c r="M4309">
        <v>294</v>
      </c>
      <c r="N4309">
        <v>322</v>
      </c>
      <c r="O4309">
        <v>4</v>
      </c>
      <c r="P4309">
        <v>319</v>
      </c>
      <c r="Q4309">
        <v>9</v>
      </c>
      <c r="R4309">
        <v>32</v>
      </c>
      <c r="S4309">
        <v>10</v>
      </c>
      <c r="T4309">
        <v>12</v>
      </c>
      <c r="U4309">
        <v>5</v>
      </c>
      <c r="V4309">
        <v>7</v>
      </c>
      <c r="W4309">
        <v>17</v>
      </c>
      <c r="X4309">
        <v>198</v>
      </c>
      <c r="Y4309">
        <v>8</v>
      </c>
      <c r="Z4309">
        <v>4</v>
      </c>
      <c r="AA4309">
        <v>0</v>
      </c>
      <c r="AB4309">
        <v>6</v>
      </c>
      <c r="AD4309">
        <v>2</v>
      </c>
      <c r="AE4309">
        <v>0</v>
      </c>
      <c r="AF4309">
        <v>0</v>
      </c>
      <c r="AG4309">
        <v>0</v>
      </c>
      <c r="AI4309">
        <v>1</v>
      </c>
      <c r="AJ4309">
        <v>8</v>
      </c>
      <c r="AK4309">
        <v>319</v>
      </c>
      <c r="AL4309">
        <v>319</v>
      </c>
      <c r="AM4309">
        <v>572</v>
      </c>
      <c r="AN4309">
        <v>44</v>
      </c>
      <c r="AP4309">
        <v>1</v>
      </c>
      <c r="AR4309" t="s">
        <v>4409</v>
      </c>
      <c r="AS4309" s="1">
        <v>44354.037499999999</v>
      </c>
      <c r="AT4309" s="1">
        <v>44354.044791666667</v>
      </c>
      <c r="AU4309" s="1">
        <v>44354.045393518521</v>
      </c>
      <c r="AV4309" t="s">
        <v>71</v>
      </c>
      <c r="AW4309" t="s">
        <v>72</v>
      </c>
      <c r="AX4309" t="s">
        <v>73</v>
      </c>
    </row>
    <row r="4310" spans="1:50" x14ac:dyDescent="0.3">
      <c r="A4310" t="str">
        <f>"200693C0100"</f>
        <v>200693C0100</v>
      </c>
      <c r="B4310" t="str">
        <f>"200693C01002"</f>
        <v>200693C01002</v>
      </c>
      <c r="C4310" t="str">
        <f t="shared" si="222"/>
        <v>20</v>
      </c>
      <c r="D4310" t="s">
        <v>67</v>
      </c>
      <c r="E4310" t="str">
        <f t="shared" si="223"/>
        <v>019</v>
      </c>
      <c r="F4310" t="s">
        <v>4278</v>
      </c>
      <c r="G4310" t="str">
        <f>"0693"</f>
        <v>0693</v>
      </c>
      <c r="H4310" t="str">
        <f>"0001"</f>
        <v>0001</v>
      </c>
      <c r="I4310" t="s">
        <v>75</v>
      </c>
      <c r="J4310">
        <v>0</v>
      </c>
      <c r="K4310">
        <v>1</v>
      </c>
      <c r="L4310">
        <v>2</v>
      </c>
      <c r="M4310">
        <v>285</v>
      </c>
      <c r="N4310">
        <v>331</v>
      </c>
      <c r="O4310">
        <v>1</v>
      </c>
      <c r="P4310">
        <v>339</v>
      </c>
      <c r="Q4310">
        <v>19</v>
      </c>
      <c r="R4310">
        <v>25</v>
      </c>
      <c r="S4310">
        <v>4</v>
      </c>
      <c r="T4310">
        <v>11</v>
      </c>
      <c r="U4310">
        <v>4</v>
      </c>
      <c r="V4310">
        <v>4</v>
      </c>
      <c r="W4310">
        <v>15</v>
      </c>
      <c r="X4310">
        <v>224</v>
      </c>
      <c r="Y4310">
        <v>10</v>
      </c>
      <c r="Z4310">
        <v>5</v>
      </c>
      <c r="AA4310">
        <v>5</v>
      </c>
      <c r="AB4310">
        <v>5</v>
      </c>
      <c r="AD4310">
        <v>1</v>
      </c>
      <c r="AE4310">
        <v>1</v>
      </c>
      <c r="AF4310">
        <v>0</v>
      </c>
      <c r="AG4310">
        <v>0</v>
      </c>
      <c r="AI4310">
        <v>0</v>
      </c>
      <c r="AJ4310">
        <v>6</v>
      </c>
      <c r="AK4310">
        <v>339</v>
      </c>
      <c r="AL4310">
        <v>339</v>
      </c>
      <c r="AM4310">
        <v>572</v>
      </c>
      <c r="AN4310">
        <v>44</v>
      </c>
      <c r="AP4310">
        <v>1</v>
      </c>
      <c r="AR4310" t="s">
        <v>4410</v>
      </c>
      <c r="AS4310" s="1">
        <v>44354.032638888886</v>
      </c>
      <c r="AT4310" s="1">
        <v>44354.040173611109</v>
      </c>
      <c r="AU4310" s="1">
        <v>44354.041493055556</v>
      </c>
      <c r="AV4310" t="s">
        <v>71</v>
      </c>
      <c r="AW4310" t="s">
        <v>72</v>
      </c>
      <c r="AX4310" t="s">
        <v>73</v>
      </c>
    </row>
    <row r="4311" spans="1:50" x14ac:dyDescent="0.3">
      <c r="A4311" t="str">
        <f>"200693C0200"</f>
        <v>200693C0200</v>
      </c>
      <c r="B4311" t="str">
        <f>"200693C02002"</f>
        <v>200693C02002</v>
      </c>
      <c r="C4311" t="str">
        <f t="shared" si="222"/>
        <v>20</v>
      </c>
      <c r="D4311" t="s">
        <v>67</v>
      </c>
      <c r="E4311" t="str">
        <f t="shared" si="223"/>
        <v>019</v>
      </c>
      <c r="F4311" t="s">
        <v>4278</v>
      </c>
      <c r="G4311" t="str">
        <f>"0693"</f>
        <v>0693</v>
      </c>
      <c r="H4311" t="str">
        <f>"0002"</f>
        <v>0002</v>
      </c>
      <c r="I4311" t="s">
        <v>75</v>
      </c>
      <c r="J4311">
        <v>0</v>
      </c>
      <c r="K4311">
        <v>1</v>
      </c>
      <c r="L4311">
        <v>2</v>
      </c>
      <c r="M4311">
        <v>316</v>
      </c>
      <c r="N4311">
        <v>299</v>
      </c>
      <c r="O4311">
        <v>6</v>
      </c>
      <c r="P4311">
        <v>294</v>
      </c>
      <c r="Q4311">
        <v>6</v>
      </c>
      <c r="R4311">
        <v>22</v>
      </c>
      <c r="S4311">
        <v>2</v>
      </c>
      <c r="T4311">
        <v>14</v>
      </c>
      <c r="U4311">
        <v>6</v>
      </c>
      <c r="V4311">
        <v>2</v>
      </c>
      <c r="W4311">
        <v>12</v>
      </c>
      <c r="X4311">
        <v>203</v>
      </c>
      <c r="Y4311">
        <v>10</v>
      </c>
      <c r="Z4311">
        <v>2</v>
      </c>
      <c r="AA4311">
        <v>2</v>
      </c>
      <c r="AB4311">
        <v>8</v>
      </c>
      <c r="AD4311">
        <v>2</v>
      </c>
      <c r="AE4311">
        <v>0</v>
      </c>
      <c r="AF4311">
        <v>0</v>
      </c>
      <c r="AG4311">
        <v>0</v>
      </c>
      <c r="AI4311">
        <v>0</v>
      </c>
      <c r="AJ4311">
        <v>3</v>
      </c>
      <c r="AK4311">
        <v>291</v>
      </c>
      <c r="AL4311">
        <v>294</v>
      </c>
      <c r="AM4311">
        <v>571</v>
      </c>
      <c r="AN4311">
        <v>44</v>
      </c>
      <c r="AP4311">
        <v>1</v>
      </c>
      <c r="AR4311" t="s">
        <v>4411</v>
      </c>
      <c r="AS4311" s="1">
        <v>44354.03125</v>
      </c>
      <c r="AT4311" s="1">
        <v>44354.039189814815</v>
      </c>
      <c r="AU4311" s="1">
        <v>44354.03974537037</v>
      </c>
      <c r="AV4311" t="s">
        <v>71</v>
      </c>
      <c r="AW4311" t="s">
        <v>72</v>
      </c>
      <c r="AX4311" t="s">
        <v>73</v>
      </c>
    </row>
    <row r="4312" spans="1:50" x14ac:dyDescent="0.3">
      <c r="A4312" t="str">
        <f>"200694B0000"</f>
        <v>200694B0000</v>
      </c>
      <c r="B4312" t="str">
        <f>"200694B00002"</f>
        <v>200694B00002</v>
      </c>
      <c r="C4312" t="str">
        <f t="shared" si="222"/>
        <v>20</v>
      </c>
      <c r="D4312" t="s">
        <v>67</v>
      </c>
      <c r="E4312" t="str">
        <f t="shared" si="223"/>
        <v>019</v>
      </c>
      <c r="F4312" t="s">
        <v>4278</v>
      </c>
      <c r="G4312" t="str">
        <f>"0694"</f>
        <v>0694</v>
      </c>
      <c r="H4312" t="str">
        <f>"0000"</f>
        <v>0000</v>
      </c>
      <c r="I4312" t="s">
        <v>69</v>
      </c>
      <c r="J4312">
        <v>0</v>
      </c>
      <c r="K4312">
        <v>1</v>
      </c>
      <c r="L4312">
        <v>2</v>
      </c>
      <c r="M4312">
        <v>268</v>
      </c>
      <c r="N4312">
        <v>371</v>
      </c>
      <c r="O4312">
        <v>8</v>
      </c>
      <c r="P4312">
        <v>371</v>
      </c>
      <c r="Q4312">
        <v>18</v>
      </c>
      <c r="R4312">
        <v>43</v>
      </c>
      <c r="S4312">
        <v>3</v>
      </c>
      <c r="T4312">
        <v>14</v>
      </c>
      <c r="U4312">
        <v>6</v>
      </c>
      <c r="V4312">
        <v>6</v>
      </c>
      <c r="W4312">
        <v>19</v>
      </c>
      <c r="X4312">
        <v>227</v>
      </c>
      <c r="Y4312">
        <v>15</v>
      </c>
      <c r="Z4312">
        <v>4</v>
      </c>
      <c r="AA4312">
        <v>0</v>
      </c>
      <c r="AB4312">
        <v>7</v>
      </c>
      <c r="AD4312">
        <v>2</v>
      </c>
      <c r="AE4312">
        <v>3</v>
      </c>
      <c r="AF4312">
        <v>0</v>
      </c>
      <c r="AG4312">
        <v>0</v>
      </c>
      <c r="AI4312">
        <v>0</v>
      </c>
      <c r="AJ4312">
        <v>4</v>
      </c>
      <c r="AK4312">
        <v>371</v>
      </c>
      <c r="AL4312">
        <v>371</v>
      </c>
      <c r="AM4312">
        <v>595</v>
      </c>
      <c r="AN4312">
        <v>44</v>
      </c>
      <c r="AP4312">
        <v>1</v>
      </c>
      <c r="AR4312" t="s">
        <v>4412</v>
      </c>
      <c r="AS4312" s="1">
        <v>44354.079861111109</v>
      </c>
      <c r="AT4312" s="1">
        <v>44354.086574074077</v>
      </c>
      <c r="AU4312" s="1">
        <v>44354.087789351855</v>
      </c>
      <c r="AV4312" t="s">
        <v>71</v>
      </c>
      <c r="AW4312" t="s">
        <v>72</v>
      </c>
      <c r="AX4312" t="s">
        <v>73</v>
      </c>
    </row>
    <row r="4313" spans="1:50" x14ac:dyDescent="0.3">
      <c r="A4313" t="str">
        <f>"200694C0100"</f>
        <v>200694C0100</v>
      </c>
      <c r="B4313" t="str">
        <f>"200694C01002"</f>
        <v>200694C01002</v>
      </c>
      <c r="C4313" t="str">
        <f t="shared" si="222"/>
        <v>20</v>
      </c>
      <c r="D4313" t="s">
        <v>67</v>
      </c>
      <c r="E4313" t="str">
        <f t="shared" si="223"/>
        <v>019</v>
      </c>
      <c r="F4313" t="s">
        <v>4278</v>
      </c>
      <c r="G4313" t="str">
        <f>"0694"</f>
        <v>0694</v>
      </c>
      <c r="H4313" t="str">
        <f>"0001"</f>
        <v>0001</v>
      </c>
      <c r="I4313" t="s">
        <v>75</v>
      </c>
      <c r="J4313">
        <v>0</v>
      </c>
      <c r="K4313">
        <v>1</v>
      </c>
      <c r="L4313">
        <v>2</v>
      </c>
      <c r="M4313">
        <v>275</v>
      </c>
      <c r="N4313">
        <v>364</v>
      </c>
      <c r="O4313">
        <v>7</v>
      </c>
      <c r="P4313">
        <v>364</v>
      </c>
      <c r="Q4313">
        <v>17</v>
      </c>
      <c r="R4313">
        <v>47</v>
      </c>
      <c r="S4313">
        <v>3</v>
      </c>
      <c r="T4313">
        <v>12</v>
      </c>
      <c r="U4313">
        <v>7</v>
      </c>
      <c r="V4313">
        <v>6</v>
      </c>
      <c r="W4313">
        <v>9</v>
      </c>
      <c r="X4313">
        <v>228</v>
      </c>
      <c r="Y4313">
        <v>19</v>
      </c>
      <c r="Z4313">
        <v>5</v>
      </c>
      <c r="AA4313">
        <v>1</v>
      </c>
      <c r="AB4313">
        <v>3</v>
      </c>
      <c r="AD4313">
        <v>1</v>
      </c>
      <c r="AE4313">
        <v>0</v>
      </c>
      <c r="AF4313">
        <v>0</v>
      </c>
      <c r="AG4313">
        <v>0</v>
      </c>
      <c r="AI4313">
        <v>0</v>
      </c>
      <c r="AJ4313">
        <v>6</v>
      </c>
      <c r="AK4313">
        <v>364</v>
      </c>
      <c r="AL4313">
        <v>364</v>
      </c>
      <c r="AM4313">
        <v>595</v>
      </c>
      <c r="AN4313">
        <v>44</v>
      </c>
      <c r="AP4313">
        <v>1</v>
      </c>
      <c r="AR4313" t="s">
        <v>4413</v>
      </c>
      <c r="AS4313" s="1">
        <v>44354.309027777781</v>
      </c>
      <c r="AT4313" s="1">
        <v>44354.310370370367</v>
      </c>
      <c r="AU4313" s="1">
        <v>44354.311273148145</v>
      </c>
      <c r="AV4313" t="s">
        <v>71</v>
      </c>
      <c r="AW4313" t="s">
        <v>72</v>
      </c>
      <c r="AX4313" t="s">
        <v>73</v>
      </c>
    </row>
    <row r="4314" spans="1:50" x14ac:dyDescent="0.3">
      <c r="A4314" t="str">
        <f>"200695B0000"</f>
        <v>200695B0000</v>
      </c>
      <c r="B4314" t="str">
        <f>"200695B00002"</f>
        <v>200695B00002</v>
      </c>
      <c r="C4314" t="str">
        <f t="shared" si="222"/>
        <v>20</v>
      </c>
      <c r="D4314" t="s">
        <v>67</v>
      </c>
      <c r="E4314" t="str">
        <f t="shared" si="223"/>
        <v>019</v>
      </c>
      <c r="F4314" t="s">
        <v>4278</v>
      </c>
      <c r="G4314" t="str">
        <f>"0695"</f>
        <v>0695</v>
      </c>
      <c r="H4314" t="str">
        <f>"0000"</f>
        <v>0000</v>
      </c>
      <c r="I4314" t="s">
        <v>69</v>
      </c>
      <c r="J4314">
        <v>0</v>
      </c>
      <c r="K4314">
        <v>1</v>
      </c>
      <c r="L4314">
        <v>2</v>
      </c>
      <c r="M4314">
        <v>286</v>
      </c>
      <c r="N4314">
        <v>336</v>
      </c>
      <c r="O4314">
        <v>7</v>
      </c>
      <c r="P4314">
        <v>336</v>
      </c>
      <c r="Q4314">
        <v>18</v>
      </c>
      <c r="R4314">
        <v>42</v>
      </c>
      <c r="S4314">
        <v>0</v>
      </c>
      <c r="T4314">
        <v>6</v>
      </c>
      <c r="U4314">
        <v>11</v>
      </c>
      <c r="V4314">
        <v>1</v>
      </c>
      <c r="W4314">
        <v>23</v>
      </c>
      <c r="X4314">
        <v>198</v>
      </c>
      <c r="Y4314">
        <v>15</v>
      </c>
      <c r="Z4314">
        <v>4</v>
      </c>
      <c r="AA4314">
        <v>2</v>
      </c>
      <c r="AB4314">
        <v>5</v>
      </c>
      <c r="AD4314">
        <v>3</v>
      </c>
      <c r="AE4314" t="s">
        <v>77</v>
      </c>
      <c r="AF4314" t="s">
        <v>77</v>
      </c>
      <c r="AG4314" t="s">
        <v>77</v>
      </c>
      <c r="AI4314" t="s">
        <v>77</v>
      </c>
      <c r="AJ4314">
        <v>8</v>
      </c>
      <c r="AK4314">
        <v>336</v>
      </c>
      <c r="AL4314">
        <v>336</v>
      </c>
      <c r="AM4314">
        <v>578</v>
      </c>
      <c r="AN4314">
        <v>44</v>
      </c>
      <c r="AO4314" t="s">
        <v>78</v>
      </c>
      <c r="AP4314">
        <v>1</v>
      </c>
      <c r="AR4314" t="s">
        <v>4414</v>
      </c>
      <c r="AS4314" s="1">
        <v>44354.06527777778</v>
      </c>
      <c r="AT4314" s="1">
        <v>44354.070023148146</v>
      </c>
      <c r="AU4314" s="1">
        <v>44354.071018518516</v>
      </c>
      <c r="AV4314" t="s">
        <v>71</v>
      </c>
      <c r="AW4314" t="s">
        <v>72</v>
      </c>
      <c r="AX4314" t="s">
        <v>73</v>
      </c>
    </row>
    <row r="4315" spans="1:50" x14ac:dyDescent="0.3">
      <c r="A4315" t="str">
        <f>"200695C0100"</f>
        <v>200695C0100</v>
      </c>
      <c r="B4315" t="str">
        <f>"200695C01002"</f>
        <v>200695C01002</v>
      </c>
      <c r="C4315" t="str">
        <f t="shared" si="222"/>
        <v>20</v>
      </c>
      <c r="D4315" t="s">
        <v>67</v>
      </c>
      <c r="E4315" t="str">
        <f t="shared" si="223"/>
        <v>019</v>
      </c>
      <c r="F4315" t="s">
        <v>4278</v>
      </c>
      <c r="G4315" t="str">
        <f>"0695"</f>
        <v>0695</v>
      </c>
      <c r="H4315" t="str">
        <f>"0001"</f>
        <v>0001</v>
      </c>
      <c r="I4315" t="s">
        <v>75</v>
      </c>
      <c r="J4315">
        <v>0</v>
      </c>
      <c r="K4315">
        <v>1</v>
      </c>
      <c r="L4315">
        <v>2</v>
      </c>
      <c r="M4315">
        <v>311</v>
      </c>
      <c r="N4315">
        <v>304</v>
      </c>
      <c r="O4315">
        <v>5</v>
      </c>
      <c r="P4315">
        <v>304</v>
      </c>
      <c r="Q4315">
        <v>19</v>
      </c>
      <c r="R4315">
        <v>32</v>
      </c>
      <c r="S4315">
        <v>1</v>
      </c>
      <c r="T4315">
        <v>9</v>
      </c>
      <c r="U4315">
        <v>9</v>
      </c>
      <c r="V4315">
        <v>10</v>
      </c>
      <c r="W4315">
        <v>15</v>
      </c>
      <c r="X4315">
        <v>168</v>
      </c>
      <c r="Y4315">
        <v>11</v>
      </c>
      <c r="Z4315">
        <v>6</v>
      </c>
      <c r="AA4315">
        <v>2</v>
      </c>
      <c r="AB4315">
        <v>3</v>
      </c>
      <c r="AD4315">
        <v>3</v>
      </c>
      <c r="AE4315">
        <v>2</v>
      </c>
      <c r="AF4315">
        <v>0</v>
      </c>
      <c r="AG4315">
        <v>0</v>
      </c>
      <c r="AI4315">
        <v>0</v>
      </c>
      <c r="AJ4315">
        <v>4</v>
      </c>
      <c r="AK4315">
        <v>304</v>
      </c>
      <c r="AL4315">
        <v>294</v>
      </c>
      <c r="AM4315">
        <v>577</v>
      </c>
      <c r="AN4315">
        <v>44</v>
      </c>
      <c r="AP4315">
        <v>1</v>
      </c>
      <c r="AR4315" t="s">
        <v>4415</v>
      </c>
      <c r="AS4315" s="1">
        <v>44354.006944444445</v>
      </c>
      <c r="AT4315" s="1">
        <v>44354.012361111112</v>
      </c>
      <c r="AU4315" s="1">
        <v>44354.012800925928</v>
      </c>
      <c r="AV4315" t="s">
        <v>71</v>
      </c>
      <c r="AW4315" t="s">
        <v>72</v>
      </c>
      <c r="AX4315" t="s">
        <v>73</v>
      </c>
    </row>
    <row r="4316" spans="1:50" x14ac:dyDescent="0.3">
      <c r="A4316" t="str">
        <f>"200696B0000"</f>
        <v>200696B0000</v>
      </c>
      <c r="B4316" t="str">
        <f>"200696B00002"</f>
        <v>200696B00002</v>
      </c>
      <c r="C4316" t="str">
        <f t="shared" si="222"/>
        <v>20</v>
      </c>
      <c r="D4316" t="s">
        <v>67</v>
      </c>
      <c r="E4316" t="str">
        <f t="shared" si="223"/>
        <v>019</v>
      </c>
      <c r="F4316" t="s">
        <v>4278</v>
      </c>
      <c r="G4316" t="str">
        <f>"0696"</f>
        <v>0696</v>
      </c>
      <c r="H4316" t="str">
        <f>"0000"</f>
        <v>0000</v>
      </c>
      <c r="I4316" t="s">
        <v>69</v>
      </c>
      <c r="J4316">
        <v>0</v>
      </c>
      <c r="K4316">
        <v>1</v>
      </c>
      <c r="L4316">
        <v>2</v>
      </c>
      <c r="AM4316">
        <v>476</v>
      </c>
      <c r="AN4316">
        <v>44</v>
      </c>
      <c r="AO4316" t="s">
        <v>352</v>
      </c>
      <c r="AP4316">
        <v>0</v>
      </c>
      <c r="AR4316" t="s">
        <v>4416</v>
      </c>
      <c r="AS4316" s="1">
        <v>44354.606944444444</v>
      </c>
      <c r="AT4316" s="1">
        <v>44354.611064814817</v>
      </c>
      <c r="AU4316" s="1">
        <v>44354.611064814817</v>
      </c>
      <c r="AV4316" t="s">
        <v>71</v>
      </c>
      <c r="AW4316" t="s">
        <v>72</v>
      </c>
      <c r="AX4316" t="s">
        <v>73</v>
      </c>
    </row>
    <row r="4317" spans="1:50" x14ac:dyDescent="0.3">
      <c r="A4317" t="str">
        <f>"200696C0100"</f>
        <v>200696C0100</v>
      </c>
      <c r="B4317" t="str">
        <f>"200696C01002"</f>
        <v>200696C01002</v>
      </c>
      <c r="C4317" t="str">
        <f t="shared" si="222"/>
        <v>20</v>
      </c>
      <c r="D4317" t="s">
        <v>67</v>
      </c>
      <c r="E4317" t="str">
        <f t="shared" si="223"/>
        <v>019</v>
      </c>
      <c r="F4317" t="s">
        <v>4278</v>
      </c>
      <c r="G4317" t="str">
        <f>"0696"</f>
        <v>0696</v>
      </c>
      <c r="H4317" t="str">
        <f>"0001"</f>
        <v>0001</v>
      </c>
      <c r="I4317" t="s">
        <v>75</v>
      </c>
      <c r="J4317">
        <v>0</v>
      </c>
      <c r="K4317">
        <v>1</v>
      </c>
      <c r="L4317">
        <v>2</v>
      </c>
      <c r="M4317">
        <v>210</v>
      </c>
      <c r="N4317">
        <v>310</v>
      </c>
      <c r="O4317">
        <v>5</v>
      </c>
      <c r="P4317">
        <v>310</v>
      </c>
      <c r="Q4317">
        <v>27</v>
      </c>
      <c r="R4317">
        <v>68</v>
      </c>
      <c r="S4317">
        <v>2</v>
      </c>
      <c r="T4317">
        <v>3</v>
      </c>
      <c r="U4317">
        <v>3</v>
      </c>
      <c r="V4317">
        <v>3</v>
      </c>
      <c r="W4317">
        <v>12</v>
      </c>
      <c r="X4317">
        <v>158</v>
      </c>
      <c r="Y4317">
        <v>13</v>
      </c>
      <c r="Z4317">
        <v>2</v>
      </c>
      <c r="AA4317">
        <v>0</v>
      </c>
      <c r="AB4317">
        <v>8</v>
      </c>
      <c r="AD4317">
        <v>3</v>
      </c>
      <c r="AE4317">
        <v>1</v>
      </c>
      <c r="AF4317" t="s">
        <v>77</v>
      </c>
      <c r="AG4317" t="s">
        <v>77</v>
      </c>
      <c r="AI4317" t="s">
        <v>77</v>
      </c>
      <c r="AJ4317">
        <v>7</v>
      </c>
      <c r="AK4317">
        <v>310</v>
      </c>
      <c r="AL4317">
        <v>310</v>
      </c>
      <c r="AM4317">
        <v>476</v>
      </c>
      <c r="AN4317">
        <v>44</v>
      </c>
      <c r="AO4317" t="s">
        <v>78</v>
      </c>
      <c r="AP4317">
        <v>1</v>
      </c>
      <c r="AR4317" t="s">
        <v>4417</v>
      </c>
      <c r="AS4317" s="1">
        <v>44354.003472222219</v>
      </c>
      <c r="AT4317" s="1">
        <v>44354.008553240739</v>
      </c>
      <c r="AU4317" s="1">
        <v>44354.009050925924</v>
      </c>
      <c r="AV4317" t="s">
        <v>71</v>
      </c>
      <c r="AW4317" t="s">
        <v>72</v>
      </c>
      <c r="AX4317" t="s">
        <v>73</v>
      </c>
    </row>
    <row r="4318" spans="1:50" x14ac:dyDescent="0.3">
      <c r="A4318" t="str">
        <f>"200696S0100"</f>
        <v>200696S0100</v>
      </c>
      <c r="B4318" t="str">
        <f>"200696S01002EMR"</f>
        <v>200696S01002EMR</v>
      </c>
      <c r="C4318" t="str">
        <f t="shared" si="222"/>
        <v>20</v>
      </c>
      <c r="D4318" t="s">
        <v>67</v>
      </c>
      <c r="E4318" t="str">
        <f t="shared" si="223"/>
        <v>019</v>
      </c>
      <c r="F4318" t="s">
        <v>4278</v>
      </c>
      <c r="G4318" t="str">
        <f>"0696"</f>
        <v>0696</v>
      </c>
      <c r="H4318" t="str">
        <f>"0001"</f>
        <v>0001</v>
      </c>
      <c r="I4318" t="s">
        <v>85</v>
      </c>
      <c r="J4318">
        <v>0</v>
      </c>
      <c r="K4318">
        <v>1</v>
      </c>
      <c r="L4318" t="s">
        <v>86</v>
      </c>
      <c r="M4318" t="s">
        <v>99</v>
      </c>
      <c r="N4318" t="s">
        <v>99</v>
      </c>
      <c r="O4318">
        <v>0</v>
      </c>
      <c r="P4318">
        <v>3</v>
      </c>
      <c r="Q4318" t="s">
        <v>99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D4318">
        <v>2</v>
      </c>
      <c r="AE4318">
        <v>1</v>
      </c>
      <c r="AF4318">
        <v>0</v>
      </c>
      <c r="AG4318">
        <v>0</v>
      </c>
      <c r="AI4318">
        <v>0</v>
      </c>
      <c r="AJ4318">
        <v>0</v>
      </c>
      <c r="AK4318">
        <v>3</v>
      </c>
      <c r="AL4318">
        <v>3</v>
      </c>
      <c r="AM4318">
        <v>0</v>
      </c>
      <c r="AN4318">
        <v>44</v>
      </c>
      <c r="AO4318" t="s">
        <v>78</v>
      </c>
      <c r="AP4318">
        <v>1</v>
      </c>
      <c r="AR4318" t="s">
        <v>4418</v>
      </c>
      <c r="AS4318" s="1">
        <v>44354.149305555555</v>
      </c>
      <c r="AT4318" s="1">
        <v>44354.172094907408</v>
      </c>
      <c r="AU4318" s="1">
        <v>44354.172627314816</v>
      </c>
      <c r="AV4318" t="s">
        <v>71</v>
      </c>
      <c r="AW4318" t="s">
        <v>72</v>
      </c>
      <c r="AX4318" t="s">
        <v>73</v>
      </c>
    </row>
    <row r="4319" spans="1:50" x14ac:dyDescent="0.3">
      <c r="A4319" t="str">
        <f>"200697B0000"</f>
        <v>200697B0000</v>
      </c>
      <c r="B4319" t="str">
        <f>"200697B00002"</f>
        <v>200697B00002</v>
      </c>
      <c r="C4319" t="str">
        <f t="shared" si="222"/>
        <v>20</v>
      </c>
      <c r="D4319" t="s">
        <v>67</v>
      </c>
      <c r="E4319" t="str">
        <f t="shared" si="223"/>
        <v>019</v>
      </c>
      <c r="F4319" t="s">
        <v>4278</v>
      </c>
      <c r="G4319" t="str">
        <f>"0697"</f>
        <v>0697</v>
      </c>
      <c r="H4319" t="str">
        <f>"0000"</f>
        <v>0000</v>
      </c>
      <c r="I4319" t="s">
        <v>69</v>
      </c>
      <c r="J4319">
        <v>0</v>
      </c>
      <c r="K4319">
        <v>1</v>
      </c>
      <c r="L4319">
        <v>2</v>
      </c>
      <c r="M4319">
        <v>377</v>
      </c>
      <c r="N4319">
        <v>377</v>
      </c>
      <c r="O4319" t="s">
        <v>80</v>
      </c>
      <c r="P4319">
        <v>377</v>
      </c>
      <c r="Q4319">
        <v>17</v>
      </c>
      <c r="R4319">
        <v>52</v>
      </c>
      <c r="S4319">
        <v>1</v>
      </c>
      <c r="T4319">
        <v>6</v>
      </c>
      <c r="U4319">
        <v>11</v>
      </c>
      <c r="V4319">
        <v>10</v>
      </c>
      <c r="W4319">
        <v>23</v>
      </c>
      <c r="X4319">
        <v>221</v>
      </c>
      <c r="Y4319">
        <v>18</v>
      </c>
      <c r="Z4319">
        <v>6</v>
      </c>
      <c r="AA4319">
        <v>3</v>
      </c>
      <c r="AB4319">
        <v>3</v>
      </c>
      <c r="AD4319">
        <v>2</v>
      </c>
      <c r="AE4319">
        <v>0</v>
      </c>
      <c r="AF4319">
        <v>0</v>
      </c>
      <c r="AG4319">
        <v>0</v>
      </c>
      <c r="AI4319" t="s">
        <v>77</v>
      </c>
      <c r="AJ4319">
        <v>4</v>
      </c>
      <c r="AK4319">
        <v>377</v>
      </c>
      <c r="AL4319">
        <v>377</v>
      </c>
      <c r="AM4319">
        <v>694</v>
      </c>
      <c r="AN4319">
        <v>44</v>
      </c>
      <c r="AO4319" t="s">
        <v>78</v>
      </c>
      <c r="AP4319">
        <v>1</v>
      </c>
      <c r="AR4319" t="s">
        <v>4419</v>
      </c>
      <c r="AS4319" s="1">
        <v>44354.026388888888</v>
      </c>
      <c r="AT4319" s="1">
        <v>44354.031574074077</v>
      </c>
      <c r="AU4319" s="1">
        <v>44354.032141203701</v>
      </c>
      <c r="AV4319" t="s">
        <v>71</v>
      </c>
      <c r="AW4319" t="s">
        <v>72</v>
      </c>
      <c r="AX4319" t="s">
        <v>73</v>
      </c>
    </row>
    <row r="4320" spans="1:50" x14ac:dyDescent="0.3">
      <c r="A4320" t="str">
        <f>"200697C0100"</f>
        <v>200697C0100</v>
      </c>
      <c r="B4320" t="str">
        <f>"200697C01002"</f>
        <v>200697C01002</v>
      </c>
      <c r="C4320" t="str">
        <f t="shared" si="222"/>
        <v>20</v>
      </c>
      <c r="D4320" t="s">
        <v>67</v>
      </c>
      <c r="E4320" t="str">
        <f t="shared" si="223"/>
        <v>019</v>
      </c>
      <c r="F4320" t="s">
        <v>4278</v>
      </c>
      <c r="G4320" t="str">
        <f>"0697"</f>
        <v>0697</v>
      </c>
      <c r="H4320" t="str">
        <f>"0001"</f>
        <v>0001</v>
      </c>
      <c r="I4320" t="s">
        <v>75</v>
      </c>
      <c r="J4320">
        <v>0</v>
      </c>
      <c r="K4320">
        <v>1</v>
      </c>
      <c r="L4320">
        <v>2</v>
      </c>
      <c r="M4320" t="s">
        <v>99</v>
      </c>
      <c r="N4320">
        <v>387</v>
      </c>
      <c r="O4320">
        <v>1</v>
      </c>
      <c r="P4320" t="s">
        <v>80</v>
      </c>
      <c r="Q4320">
        <v>17</v>
      </c>
      <c r="R4320">
        <v>65</v>
      </c>
      <c r="S4320">
        <v>3</v>
      </c>
      <c r="T4320">
        <v>11</v>
      </c>
      <c r="U4320">
        <v>2</v>
      </c>
      <c r="V4320">
        <v>6</v>
      </c>
      <c r="W4320">
        <v>14</v>
      </c>
      <c r="X4320">
        <v>225</v>
      </c>
      <c r="Y4320">
        <v>17</v>
      </c>
      <c r="Z4320">
        <v>2</v>
      </c>
      <c r="AA4320">
        <v>2</v>
      </c>
      <c r="AB4320">
        <v>10</v>
      </c>
      <c r="AD4320">
        <v>1</v>
      </c>
      <c r="AE4320">
        <v>2</v>
      </c>
      <c r="AF4320">
        <v>0</v>
      </c>
      <c r="AG4320">
        <v>0</v>
      </c>
      <c r="AI4320" t="s">
        <v>77</v>
      </c>
      <c r="AJ4320">
        <v>8</v>
      </c>
      <c r="AK4320">
        <v>385</v>
      </c>
      <c r="AL4320">
        <v>385</v>
      </c>
      <c r="AM4320">
        <v>693</v>
      </c>
      <c r="AN4320">
        <v>44</v>
      </c>
      <c r="AO4320" t="s">
        <v>78</v>
      </c>
      <c r="AP4320">
        <v>1</v>
      </c>
      <c r="AR4320" t="s">
        <v>4420</v>
      </c>
      <c r="AS4320" s="1">
        <v>44354.023611111108</v>
      </c>
      <c r="AT4320" s="1">
        <v>44354.030138888891</v>
      </c>
      <c r="AU4320" s="1">
        <v>44354.030775462961</v>
      </c>
      <c r="AV4320" t="s">
        <v>71</v>
      </c>
      <c r="AW4320" t="s">
        <v>72</v>
      </c>
      <c r="AX4320" t="s">
        <v>73</v>
      </c>
    </row>
    <row r="4321" spans="1:50" x14ac:dyDescent="0.3">
      <c r="A4321" t="str">
        <f>"200698B0000"</f>
        <v>200698B0000</v>
      </c>
      <c r="B4321" t="str">
        <f>"200698B00002"</f>
        <v>200698B00002</v>
      </c>
      <c r="C4321" t="str">
        <f t="shared" si="222"/>
        <v>20</v>
      </c>
      <c r="D4321" t="s">
        <v>67</v>
      </c>
      <c r="E4321" t="str">
        <f t="shared" si="223"/>
        <v>019</v>
      </c>
      <c r="F4321" t="s">
        <v>4278</v>
      </c>
      <c r="G4321" t="str">
        <f>"0698"</f>
        <v>0698</v>
      </c>
      <c r="H4321" t="str">
        <f>"0000"</f>
        <v>0000</v>
      </c>
      <c r="I4321" t="s">
        <v>69</v>
      </c>
      <c r="J4321">
        <v>0</v>
      </c>
      <c r="K4321">
        <v>1</v>
      </c>
      <c r="L4321">
        <v>2</v>
      </c>
      <c r="M4321">
        <v>169</v>
      </c>
      <c r="N4321">
        <v>130</v>
      </c>
      <c r="O4321">
        <v>11</v>
      </c>
      <c r="P4321">
        <v>130</v>
      </c>
      <c r="Q4321">
        <v>7</v>
      </c>
      <c r="R4321">
        <v>16</v>
      </c>
      <c r="S4321">
        <v>0</v>
      </c>
      <c r="T4321">
        <v>1</v>
      </c>
      <c r="U4321">
        <v>2</v>
      </c>
      <c r="V4321">
        <v>2</v>
      </c>
      <c r="W4321">
        <v>5</v>
      </c>
      <c r="X4321">
        <v>88</v>
      </c>
      <c r="Y4321">
        <v>3</v>
      </c>
      <c r="Z4321">
        <v>2</v>
      </c>
      <c r="AA4321">
        <v>0</v>
      </c>
      <c r="AB4321">
        <v>1</v>
      </c>
      <c r="AD4321">
        <v>2</v>
      </c>
      <c r="AE4321">
        <v>1</v>
      </c>
      <c r="AF4321">
        <v>0</v>
      </c>
      <c r="AG4321">
        <v>0</v>
      </c>
      <c r="AI4321">
        <v>0</v>
      </c>
      <c r="AJ4321">
        <v>0</v>
      </c>
      <c r="AK4321">
        <v>130</v>
      </c>
      <c r="AL4321">
        <v>130</v>
      </c>
      <c r="AM4321">
        <v>255</v>
      </c>
      <c r="AN4321">
        <v>44</v>
      </c>
      <c r="AP4321">
        <v>1</v>
      </c>
      <c r="AR4321" t="s">
        <v>4421</v>
      </c>
      <c r="AS4321" s="1">
        <v>44354.515972222223</v>
      </c>
      <c r="AT4321" s="1">
        <v>44354.517523148148</v>
      </c>
      <c r="AU4321" s="1">
        <v>44354.517847222225</v>
      </c>
      <c r="AV4321" t="s">
        <v>71</v>
      </c>
      <c r="AW4321" t="s">
        <v>72</v>
      </c>
      <c r="AX4321" t="s">
        <v>73</v>
      </c>
    </row>
    <row r="4322" spans="1:50" x14ac:dyDescent="0.3">
      <c r="A4322" t="str">
        <f>"200699B0000"</f>
        <v>200699B0000</v>
      </c>
      <c r="B4322" t="str">
        <f>"200699B00002"</f>
        <v>200699B00002</v>
      </c>
      <c r="C4322" t="str">
        <f t="shared" si="222"/>
        <v>20</v>
      </c>
      <c r="D4322" t="s">
        <v>67</v>
      </c>
      <c r="E4322" t="str">
        <f t="shared" si="223"/>
        <v>019</v>
      </c>
      <c r="F4322" t="s">
        <v>4278</v>
      </c>
      <c r="G4322" t="str">
        <f>"0699"</f>
        <v>0699</v>
      </c>
      <c r="H4322" t="str">
        <f>"0000"</f>
        <v>0000</v>
      </c>
      <c r="I4322" t="s">
        <v>69</v>
      </c>
      <c r="J4322">
        <v>0</v>
      </c>
      <c r="K4322">
        <v>1</v>
      </c>
      <c r="L4322">
        <v>2</v>
      </c>
      <c r="M4322">
        <v>311</v>
      </c>
      <c r="N4322">
        <v>332</v>
      </c>
      <c r="O4322" t="s">
        <v>99</v>
      </c>
      <c r="P4322">
        <v>332</v>
      </c>
      <c r="Q4322">
        <v>9</v>
      </c>
      <c r="R4322">
        <v>37</v>
      </c>
      <c r="S4322">
        <v>4</v>
      </c>
      <c r="T4322">
        <v>5</v>
      </c>
      <c r="U4322">
        <v>6</v>
      </c>
      <c r="V4322">
        <v>7</v>
      </c>
      <c r="W4322">
        <v>20</v>
      </c>
      <c r="X4322">
        <v>209</v>
      </c>
      <c r="Y4322">
        <v>17</v>
      </c>
      <c r="Z4322">
        <v>2</v>
      </c>
      <c r="AA4322">
        <v>1</v>
      </c>
      <c r="AB4322">
        <v>7</v>
      </c>
      <c r="AD4322">
        <v>1</v>
      </c>
      <c r="AE4322">
        <v>0</v>
      </c>
      <c r="AF4322">
        <v>0</v>
      </c>
      <c r="AG4322">
        <v>0</v>
      </c>
      <c r="AI4322">
        <v>0</v>
      </c>
      <c r="AJ4322">
        <v>7</v>
      </c>
      <c r="AK4322">
        <v>332</v>
      </c>
      <c r="AL4322">
        <v>332</v>
      </c>
      <c r="AM4322">
        <v>599</v>
      </c>
      <c r="AN4322">
        <v>44</v>
      </c>
      <c r="AP4322">
        <v>1</v>
      </c>
      <c r="AR4322" t="s">
        <v>4422</v>
      </c>
      <c r="AS4322" s="1">
        <v>44354.307638888888</v>
      </c>
      <c r="AT4322" s="1">
        <v>44354.309803240743</v>
      </c>
      <c r="AU4322" s="1">
        <v>44354.31046296296</v>
      </c>
      <c r="AV4322" t="s">
        <v>71</v>
      </c>
      <c r="AW4322" t="s">
        <v>72</v>
      </c>
      <c r="AX4322" t="s">
        <v>73</v>
      </c>
    </row>
    <row r="4323" spans="1:50" x14ac:dyDescent="0.3">
      <c r="A4323" t="str">
        <f>"200699C0100"</f>
        <v>200699C0100</v>
      </c>
      <c r="B4323" t="str">
        <f>"200699C01002"</f>
        <v>200699C01002</v>
      </c>
      <c r="C4323" t="str">
        <f t="shared" si="222"/>
        <v>20</v>
      </c>
      <c r="D4323" t="s">
        <v>67</v>
      </c>
      <c r="E4323" t="str">
        <f t="shared" si="223"/>
        <v>019</v>
      </c>
      <c r="F4323" t="s">
        <v>4278</v>
      </c>
      <c r="G4323" t="str">
        <f>"0699"</f>
        <v>0699</v>
      </c>
      <c r="H4323" t="str">
        <f>"0001"</f>
        <v>0001</v>
      </c>
      <c r="I4323" t="s">
        <v>75</v>
      </c>
      <c r="J4323">
        <v>0</v>
      </c>
      <c r="K4323">
        <v>1</v>
      </c>
      <c r="L4323">
        <v>2</v>
      </c>
      <c r="M4323">
        <v>272</v>
      </c>
      <c r="N4323">
        <v>371</v>
      </c>
      <c r="O4323">
        <v>7</v>
      </c>
      <c r="P4323">
        <v>371</v>
      </c>
      <c r="Q4323">
        <v>20</v>
      </c>
      <c r="R4323">
        <v>39</v>
      </c>
      <c r="S4323">
        <v>6</v>
      </c>
      <c r="T4323">
        <v>3</v>
      </c>
      <c r="U4323">
        <v>13</v>
      </c>
      <c r="V4323">
        <v>5</v>
      </c>
      <c r="W4323">
        <v>21</v>
      </c>
      <c r="X4323">
        <v>231</v>
      </c>
      <c r="Y4323">
        <v>13</v>
      </c>
      <c r="Z4323">
        <v>3</v>
      </c>
      <c r="AA4323">
        <v>2</v>
      </c>
      <c r="AB4323">
        <v>7</v>
      </c>
      <c r="AD4323">
        <v>2</v>
      </c>
      <c r="AE4323">
        <v>0</v>
      </c>
      <c r="AF4323">
        <v>0</v>
      </c>
      <c r="AG4323">
        <v>0</v>
      </c>
      <c r="AI4323">
        <v>0</v>
      </c>
      <c r="AJ4323">
        <v>6</v>
      </c>
      <c r="AK4323">
        <v>371</v>
      </c>
      <c r="AL4323">
        <v>371</v>
      </c>
      <c r="AM4323">
        <v>599</v>
      </c>
      <c r="AN4323">
        <v>44</v>
      </c>
      <c r="AP4323">
        <v>1</v>
      </c>
      <c r="AR4323" t="s">
        <v>4423</v>
      </c>
      <c r="AS4323" s="1">
        <v>44354.332638888889</v>
      </c>
      <c r="AT4323" s="1">
        <v>44354.334606481483</v>
      </c>
      <c r="AU4323" s="1">
        <v>44354.335335648146</v>
      </c>
      <c r="AV4323" t="s">
        <v>71</v>
      </c>
      <c r="AW4323" t="s">
        <v>72</v>
      </c>
      <c r="AX4323" t="s">
        <v>73</v>
      </c>
    </row>
    <row r="4324" spans="1:50" x14ac:dyDescent="0.3">
      <c r="A4324" t="str">
        <f>"200700B0000"</f>
        <v>200700B0000</v>
      </c>
      <c r="B4324" t="str">
        <f>"200700B00002"</f>
        <v>200700B00002</v>
      </c>
      <c r="C4324" t="str">
        <f t="shared" si="222"/>
        <v>20</v>
      </c>
      <c r="D4324" t="s">
        <v>67</v>
      </c>
      <c r="E4324" t="str">
        <f t="shared" si="223"/>
        <v>019</v>
      </c>
      <c r="F4324" t="s">
        <v>4278</v>
      </c>
      <c r="G4324" t="str">
        <f>"0700"</f>
        <v>0700</v>
      </c>
      <c r="H4324" t="str">
        <f>"0000"</f>
        <v>0000</v>
      </c>
      <c r="I4324" t="s">
        <v>69</v>
      </c>
      <c r="J4324">
        <v>0</v>
      </c>
      <c r="K4324">
        <v>1</v>
      </c>
      <c r="L4324">
        <v>2</v>
      </c>
      <c r="M4324">
        <v>257</v>
      </c>
      <c r="N4324">
        <v>353</v>
      </c>
      <c r="O4324">
        <v>9</v>
      </c>
      <c r="P4324">
        <v>354</v>
      </c>
      <c r="Q4324">
        <v>15</v>
      </c>
      <c r="R4324">
        <v>43</v>
      </c>
      <c r="S4324">
        <v>2</v>
      </c>
      <c r="T4324">
        <v>10</v>
      </c>
      <c r="U4324">
        <v>9</v>
      </c>
      <c r="V4324">
        <v>4</v>
      </c>
      <c r="W4324">
        <v>18</v>
      </c>
      <c r="X4324">
        <v>233</v>
      </c>
      <c r="Y4324">
        <v>7</v>
      </c>
      <c r="Z4324">
        <v>1</v>
      </c>
      <c r="AA4324" t="s">
        <v>77</v>
      </c>
      <c r="AB4324">
        <v>5</v>
      </c>
      <c r="AD4324">
        <v>3</v>
      </c>
      <c r="AE4324" t="s">
        <v>77</v>
      </c>
      <c r="AF4324" t="s">
        <v>77</v>
      </c>
      <c r="AG4324" t="s">
        <v>77</v>
      </c>
      <c r="AI4324" t="s">
        <v>77</v>
      </c>
      <c r="AJ4324" t="s">
        <v>77</v>
      </c>
      <c r="AK4324">
        <v>354</v>
      </c>
      <c r="AL4324">
        <v>350</v>
      </c>
      <c r="AM4324">
        <v>567</v>
      </c>
      <c r="AN4324">
        <v>44</v>
      </c>
      <c r="AO4324" t="s">
        <v>78</v>
      </c>
      <c r="AP4324">
        <v>1</v>
      </c>
      <c r="AR4324" t="s">
        <v>4424</v>
      </c>
      <c r="AS4324" s="1">
        <v>44354.24722222222</v>
      </c>
      <c r="AT4324" s="1">
        <v>44354.248912037037</v>
      </c>
      <c r="AU4324" s="1">
        <v>44354.249606481484</v>
      </c>
      <c r="AV4324" t="s">
        <v>71</v>
      </c>
      <c r="AW4324" t="s">
        <v>72</v>
      </c>
      <c r="AX4324" t="s">
        <v>73</v>
      </c>
    </row>
    <row r="4325" spans="1:50" x14ac:dyDescent="0.3">
      <c r="A4325" t="str">
        <f>"200700C0100"</f>
        <v>200700C0100</v>
      </c>
      <c r="B4325" t="str">
        <f>"200700C01002"</f>
        <v>200700C01002</v>
      </c>
      <c r="C4325" t="str">
        <f t="shared" si="222"/>
        <v>20</v>
      </c>
      <c r="D4325" t="s">
        <v>67</v>
      </c>
      <c r="E4325" t="str">
        <f t="shared" si="223"/>
        <v>019</v>
      </c>
      <c r="F4325" t="s">
        <v>4278</v>
      </c>
      <c r="G4325" t="str">
        <f>"0700"</f>
        <v>0700</v>
      </c>
      <c r="H4325" t="str">
        <f>"0001"</f>
        <v>0001</v>
      </c>
      <c r="I4325" t="s">
        <v>75</v>
      </c>
      <c r="J4325">
        <v>0</v>
      </c>
      <c r="K4325">
        <v>1</v>
      </c>
      <c r="L4325">
        <v>2</v>
      </c>
      <c r="M4325">
        <v>266</v>
      </c>
      <c r="N4325">
        <v>343</v>
      </c>
      <c r="O4325">
        <v>11</v>
      </c>
      <c r="P4325">
        <v>343</v>
      </c>
      <c r="Q4325">
        <v>13</v>
      </c>
      <c r="R4325">
        <v>28</v>
      </c>
      <c r="S4325">
        <v>1</v>
      </c>
      <c r="T4325">
        <v>8</v>
      </c>
      <c r="U4325">
        <v>8</v>
      </c>
      <c r="V4325">
        <v>8</v>
      </c>
      <c r="W4325">
        <v>19</v>
      </c>
      <c r="X4325">
        <v>220</v>
      </c>
      <c r="Y4325">
        <v>8</v>
      </c>
      <c r="Z4325">
        <v>2</v>
      </c>
      <c r="AA4325">
        <v>2</v>
      </c>
      <c r="AB4325">
        <v>9</v>
      </c>
      <c r="AD4325">
        <v>4</v>
      </c>
      <c r="AE4325">
        <v>2</v>
      </c>
      <c r="AF4325" t="s">
        <v>77</v>
      </c>
      <c r="AG4325" t="s">
        <v>77</v>
      </c>
      <c r="AI4325" t="s">
        <v>77</v>
      </c>
      <c r="AJ4325">
        <v>12</v>
      </c>
      <c r="AK4325">
        <v>344</v>
      </c>
      <c r="AL4325">
        <v>344</v>
      </c>
      <c r="AM4325">
        <v>566</v>
      </c>
      <c r="AN4325">
        <v>44</v>
      </c>
      <c r="AO4325" t="s">
        <v>78</v>
      </c>
      <c r="AP4325">
        <v>1</v>
      </c>
      <c r="AR4325" t="s">
        <v>4425</v>
      </c>
      <c r="AS4325" s="1">
        <v>44354.245833333334</v>
      </c>
      <c r="AT4325" s="1">
        <v>44354.247881944444</v>
      </c>
      <c r="AU4325" s="1">
        <v>44354.249363425923</v>
      </c>
      <c r="AV4325" t="s">
        <v>71</v>
      </c>
      <c r="AW4325" t="s">
        <v>72</v>
      </c>
      <c r="AX4325" t="s">
        <v>73</v>
      </c>
    </row>
    <row r="4326" spans="1:50" x14ac:dyDescent="0.3">
      <c r="A4326" t="str">
        <f>"200701B0000"</f>
        <v>200701B0000</v>
      </c>
      <c r="B4326" t="str">
        <f>"200701B00002"</f>
        <v>200701B00002</v>
      </c>
      <c r="C4326" t="str">
        <f t="shared" si="222"/>
        <v>20</v>
      </c>
      <c r="D4326" t="s">
        <v>67</v>
      </c>
      <c r="E4326" t="str">
        <f t="shared" si="223"/>
        <v>019</v>
      </c>
      <c r="F4326" t="s">
        <v>4278</v>
      </c>
      <c r="G4326" t="str">
        <f>"0701"</f>
        <v>0701</v>
      </c>
      <c r="H4326" t="str">
        <f>"0000"</f>
        <v>0000</v>
      </c>
      <c r="I4326" t="s">
        <v>69</v>
      </c>
      <c r="J4326">
        <v>0</v>
      </c>
      <c r="K4326">
        <v>1</v>
      </c>
      <c r="L4326">
        <v>2</v>
      </c>
      <c r="M4326">
        <v>283</v>
      </c>
      <c r="N4326">
        <v>344</v>
      </c>
      <c r="O4326">
        <v>7</v>
      </c>
      <c r="P4326">
        <v>344</v>
      </c>
      <c r="Q4326">
        <v>28</v>
      </c>
      <c r="R4326">
        <v>50</v>
      </c>
      <c r="S4326">
        <v>1</v>
      </c>
      <c r="T4326">
        <v>5</v>
      </c>
      <c r="U4326">
        <v>4</v>
      </c>
      <c r="V4326">
        <v>5</v>
      </c>
      <c r="W4326">
        <v>16</v>
      </c>
      <c r="X4326">
        <v>209</v>
      </c>
      <c r="Y4326">
        <v>11</v>
      </c>
      <c r="Z4326">
        <v>2</v>
      </c>
      <c r="AA4326">
        <v>0</v>
      </c>
      <c r="AB4326">
        <v>6</v>
      </c>
      <c r="AD4326">
        <v>1</v>
      </c>
      <c r="AE4326">
        <v>0</v>
      </c>
      <c r="AF4326">
        <v>0</v>
      </c>
      <c r="AG4326">
        <v>1</v>
      </c>
      <c r="AI4326">
        <v>0</v>
      </c>
      <c r="AJ4326">
        <v>5</v>
      </c>
      <c r="AK4326">
        <v>344</v>
      </c>
      <c r="AL4326">
        <v>344</v>
      </c>
      <c r="AM4326">
        <v>583</v>
      </c>
      <c r="AN4326">
        <v>44</v>
      </c>
      <c r="AP4326">
        <v>1</v>
      </c>
      <c r="AR4326" t="s">
        <v>4426</v>
      </c>
      <c r="AS4326" s="1">
        <v>44354.469444444447</v>
      </c>
      <c r="AT4326" s="1">
        <v>44354.471458333333</v>
      </c>
      <c r="AU4326" s="1">
        <v>44354.472094907411</v>
      </c>
      <c r="AV4326" t="s">
        <v>71</v>
      </c>
      <c r="AW4326" t="s">
        <v>72</v>
      </c>
      <c r="AX4326" t="s">
        <v>73</v>
      </c>
    </row>
    <row r="4327" spans="1:50" x14ac:dyDescent="0.3">
      <c r="A4327" t="str">
        <f>"200701C0100"</f>
        <v>200701C0100</v>
      </c>
      <c r="B4327" t="str">
        <f>"200701C01002"</f>
        <v>200701C01002</v>
      </c>
      <c r="C4327" t="str">
        <f t="shared" si="222"/>
        <v>20</v>
      </c>
      <c r="D4327" t="s">
        <v>67</v>
      </c>
      <c r="E4327" t="str">
        <f t="shared" si="223"/>
        <v>019</v>
      </c>
      <c r="F4327" t="s">
        <v>4278</v>
      </c>
      <c r="G4327" t="str">
        <f>"0701"</f>
        <v>0701</v>
      </c>
      <c r="H4327" t="str">
        <f>"0001"</f>
        <v>0001</v>
      </c>
      <c r="I4327" t="s">
        <v>75</v>
      </c>
      <c r="J4327">
        <v>0</v>
      </c>
      <c r="K4327">
        <v>1</v>
      </c>
      <c r="L4327">
        <v>2</v>
      </c>
      <c r="M4327">
        <v>243</v>
      </c>
      <c r="N4327">
        <v>382</v>
      </c>
      <c r="O4327">
        <v>3</v>
      </c>
      <c r="P4327" t="s">
        <v>80</v>
      </c>
      <c r="Q4327">
        <v>26</v>
      </c>
      <c r="R4327">
        <v>59</v>
      </c>
      <c r="S4327">
        <v>1</v>
      </c>
      <c r="T4327">
        <v>15</v>
      </c>
      <c r="U4327">
        <v>5</v>
      </c>
      <c r="V4327">
        <v>4</v>
      </c>
      <c r="W4327">
        <v>10</v>
      </c>
      <c r="X4327">
        <v>17</v>
      </c>
      <c r="Y4327">
        <v>17</v>
      </c>
      <c r="Z4327">
        <v>0</v>
      </c>
      <c r="AA4327">
        <v>0</v>
      </c>
      <c r="AB4327">
        <v>7</v>
      </c>
      <c r="AD4327">
        <v>1</v>
      </c>
      <c r="AE4327">
        <v>3</v>
      </c>
      <c r="AF4327">
        <v>0</v>
      </c>
      <c r="AG4327">
        <v>0</v>
      </c>
      <c r="AI4327">
        <v>0</v>
      </c>
      <c r="AJ4327">
        <v>10</v>
      </c>
      <c r="AK4327">
        <v>383</v>
      </c>
      <c r="AL4327">
        <v>175</v>
      </c>
      <c r="AM4327">
        <v>582</v>
      </c>
      <c r="AN4327">
        <v>44</v>
      </c>
      <c r="AP4327">
        <v>1</v>
      </c>
      <c r="AR4327" t="s">
        <v>4427</v>
      </c>
      <c r="AS4327" s="1">
        <v>44354.115277777775</v>
      </c>
      <c r="AT4327" s="1">
        <v>44354.117789351854</v>
      </c>
      <c r="AU4327" s="1">
        <v>44354.118391203701</v>
      </c>
      <c r="AV4327" t="s">
        <v>71</v>
      </c>
      <c r="AW4327" t="s">
        <v>72</v>
      </c>
      <c r="AX4327" t="s">
        <v>73</v>
      </c>
    </row>
    <row r="4328" spans="1:50" x14ac:dyDescent="0.3">
      <c r="A4328" t="str">
        <f>"200702B0000"</f>
        <v>200702B0000</v>
      </c>
      <c r="B4328" t="str">
        <f>"200702B00002"</f>
        <v>200702B00002</v>
      </c>
      <c r="C4328" t="str">
        <f t="shared" si="222"/>
        <v>20</v>
      </c>
      <c r="D4328" t="s">
        <v>67</v>
      </c>
      <c r="E4328" t="str">
        <f t="shared" si="223"/>
        <v>019</v>
      </c>
      <c r="F4328" t="s">
        <v>4278</v>
      </c>
      <c r="G4328" t="str">
        <f>"0702"</f>
        <v>0702</v>
      </c>
      <c r="H4328" t="str">
        <f>"0000"</f>
        <v>0000</v>
      </c>
      <c r="I4328" t="s">
        <v>69</v>
      </c>
      <c r="J4328">
        <v>0</v>
      </c>
      <c r="K4328">
        <v>1</v>
      </c>
      <c r="L4328">
        <v>2</v>
      </c>
      <c r="M4328">
        <v>242</v>
      </c>
      <c r="N4328">
        <v>294</v>
      </c>
      <c r="O4328">
        <v>8</v>
      </c>
      <c r="P4328">
        <v>294</v>
      </c>
      <c r="Q4328">
        <v>23</v>
      </c>
      <c r="R4328">
        <v>60</v>
      </c>
      <c r="S4328">
        <v>3</v>
      </c>
      <c r="T4328">
        <v>10</v>
      </c>
      <c r="U4328">
        <v>5</v>
      </c>
      <c r="V4328">
        <v>10</v>
      </c>
      <c r="W4328">
        <v>8</v>
      </c>
      <c r="X4328">
        <v>147</v>
      </c>
      <c r="Y4328">
        <v>8</v>
      </c>
      <c r="Z4328">
        <v>0</v>
      </c>
      <c r="AA4328">
        <v>0</v>
      </c>
      <c r="AB4328">
        <v>5</v>
      </c>
      <c r="AD4328">
        <v>3</v>
      </c>
      <c r="AE4328">
        <v>1</v>
      </c>
      <c r="AF4328" t="s">
        <v>77</v>
      </c>
      <c r="AG4328" t="s">
        <v>77</v>
      </c>
      <c r="AI4328">
        <v>1</v>
      </c>
      <c r="AJ4328">
        <v>10</v>
      </c>
      <c r="AK4328">
        <v>294</v>
      </c>
      <c r="AL4328">
        <v>294</v>
      </c>
      <c r="AM4328">
        <v>492</v>
      </c>
      <c r="AN4328">
        <v>44</v>
      </c>
      <c r="AO4328" t="s">
        <v>78</v>
      </c>
      <c r="AP4328">
        <v>1</v>
      </c>
      <c r="AR4328" t="s">
        <v>4428</v>
      </c>
      <c r="AS4328" s="1">
        <v>44354.064583333333</v>
      </c>
      <c r="AT4328" s="1">
        <v>44354.070335648146</v>
      </c>
      <c r="AU4328" s="1">
        <v>44354.070775462962</v>
      </c>
      <c r="AV4328" t="s">
        <v>71</v>
      </c>
      <c r="AW4328" t="s">
        <v>72</v>
      </c>
      <c r="AX4328" t="s">
        <v>73</v>
      </c>
    </row>
    <row r="4329" spans="1:50" x14ac:dyDescent="0.3">
      <c r="A4329" t="str">
        <f>"200702C0100"</f>
        <v>200702C0100</v>
      </c>
      <c r="B4329" t="str">
        <f>"200702C01002"</f>
        <v>200702C01002</v>
      </c>
      <c r="C4329" t="str">
        <f t="shared" si="222"/>
        <v>20</v>
      </c>
      <c r="D4329" t="s">
        <v>67</v>
      </c>
      <c r="E4329" t="str">
        <f t="shared" si="223"/>
        <v>019</v>
      </c>
      <c r="F4329" t="s">
        <v>4278</v>
      </c>
      <c r="G4329" t="str">
        <f>"0702"</f>
        <v>0702</v>
      </c>
      <c r="H4329" t="str">
        <f>"0001"</f>
        <v>0001</v>
      </c>
      <c r="I4329" t="s">
        <v>75</v>
      </c>
      <c r="J4329">
        <v>0</v>
      </c>
      <c r="K4329">
        <v>1</v>
      </c>
      <c r="L4329">
        <v>2</v>
      </c>
      <c r="M4329">
        <v>229</v>
      </c>
      <c r="N4329">
        <v>307</v>
      </c>
      <c r="O4329">
        <v>4</v>
      </c>
      <c r="P4329">
        <v>307</v>
      </c>
      <c r="Q4329" t="s">
        <v>99</v>
      </c>
      <c r="R4329">
        <v>45</v>
      </c>
      <c r="S4329">
        <v>0</v>
      </c>
      <c r="T4329">
        <v>8</v>
      </c>
      <c r="U4329">
        <v>3</v>
      </c>
      <c r="V4329">
        <v>7</v>
      </c>
      <c r="W4329">
        <v>13</v>
      </c>
      <c r="X4329">
        <v>165</v>
      </c>
      <c r="Y4329">
        <v>14</v>
      </c>
      <c r="Z4329">
        <v>4</v>
      </c>
      <c r="AA4329">
        <v>3</v>
      </c>
      <c r="AB4329">
        <v>1</v>
      </c>
      <c r="AD4329">
        <v>5</v>
      </c>
      <c r="AE4329">
        <v>0</v>
      </c>
      <c r="AF4329">
        <v>1</v>
      </c>
      <c r="AG4329">
        <v>0</v>
      </c>
      <c r="AI4329">
        <v>0</v>
      </c>
      <c r="AJ4329">
        <v>7</v>
      </c>
      <c r="AK4329">
        <v>307</v>
      </c>
      <c r="AL4329">
        <v>276</v>
      </c>
      <c r="AM4329">
        <v>492</v>
      </c>
      <c r="AN4329">
        <v>44</v>
      </c>
      <c r="AO4329" t="s">
        <v>78</v>
      </c>
      <c r="AP4329">
        <v>1</v>
      </c>
      <c r="AR4329" t="s">
        <v>4429</v>
      </c>
      <c r="AS4329" s="1">
        <v>44354.074305555558</v>
      </c>
      <c r="AT4329" s="1">
        <v>44354.080740740741</v>
      </c>
      <c r="AU4329" s="1">
        <v>44354.081377314818</v>
      </c>
      <c r="AV4329" t="s">
        <v>71</v>
      </c>
      <c r="AW4329" t="s">
        <v>72</v>
      </c>
      <c r="AX4329" t="s">
        <v>73</v>
      </c>
    </row>
    <row r="4330" spans="1:50" x14ac:dyDescent="0.3">
      <c r="A4330" t="str">
        <f>"200703B0000"</f>
        <v>200703B0000</v>
      </c>
      <c r="B4330" t="str">
        <f>"200703B00002"</f>
        <v>200703B00002</v>
      </c>
      <c r="C4330" t="str">
        <f t="shared" si="222"/>
        <v>20</v>
      </c>
      <c r="D4330" t="s">
        <v>67</v>
      </c>
      <c r="E4330" t="str">
        <f t="shared" si="223"/>
        <v>019</v>
      </c>
      <c r="F4330" t="s">
        <v>4278</v>
      </c>
      <c r="G4330" t="str">
        <f>"0703"</f>
        <v>0703</v>
      </c>
      <c r="H4330" t="str">
        <f>"0000"</f>
        <v>0000</v>
      </c>
      <c r="I4330" t="s">
        <v>69</v>
      </c>
      <c r="J4330">
        <v>0</v>
      </c>
      <c r="K4330">
        <v>1</v>
      </c>
      <c r="L4330">
        <v>2</v>
      </c>
      <c r="M4330">
        <v>339</v>
      </c>
      <c r="N4330">
        <v>319</v>
      </c>
      <c r="O4330">
        <v>0</v>
      </c>
      <c r="P4330">
        <v>319</v>
      </c>
      <c r="Q4330">
        <v>15</v>
      </c>
      <c r="R4330">
        <v>31</v>
      </c>
      <c r="S4330">
        <v>1</v>
      </c>
      <c r="T4330">
        <v>18</v>
      </c>
      <c r="U4330">
        <v>9</v>
      </c>
      <c r="V4330">
        <v>7</v>
      </c>
      <c r="W4330">
        <v>19</v>
      </c>
      <c r="X4330">
        <v>18</v>
      </c>
      <c r="Y4330">
        <v>12</v>
      </c>
      <c r="Z4330">
        <v>5</v>
      </c>
      <c r="AA4330">
        <v>1</v>
      </c>
      <c r="AB4330">
        <v>12</v>
      </c>
      <c r="AD4330">
        <v>1</v>
      </c>
      <c r="AE4330">
        <v>1</v>
      </c>
      <c r="AF4330">
        <v>0</v>
      </c>
      <c r="AG4330">
        <v>0</v>
      </c>
      <c r="AI4330">
        <v>0</v>
      </c>
      <c r="AJ4330">
        <v>12</v>
      </c>
      <c r="AK4330">
        <v>312</v>
      </c>
      <c r="AL4330">
        <v>162</v>
      </c>
      <c r="AM4330">
        <v>612</v>
      </c>
      <c r="AN4330">
        <v>44</v>
      </c>
      <c r="AP4330">
        <v>1</v>
      </c>
      <c r="AR4330" t="s">
        <v>4430</v>
      </c>
      <c r="AS4330" s="1">
        <v>44354.307638888888</v>
      </c>
      <c r="AT4330" s="1">
        <v>44354.30940972222</v>
      </c>
      <c r="AU4330" s="1">
        <v>44354.309907407405</v>
      </c>
      <c r="AV4330" t="s">
        <v>71</v>
      </c>
      <c r="AW4330" t="s">
        <v>72</v>
      </c>
      <c r="AX4330" t="s">
        <v>73</v>
      </c>
    </row>
    <row r="4331" spans="1:50" x14ac:dyDescent="0.3">
      <c r="A4331" t="str">
        <f>"200703C0100"</f>
        <v>200703C0100</v>
      </c>
      <c r="B4331" t="str">
        <f>"200703C01002"</f>
        <v>200703C01002</v>
      </c>
      <c r="C4331" t="str">
        <f t="shared" si="222"/>
        <v>20</v>
      </c>
      <c r="D4331" t="s">
        <v>67</v>
      </c>
      <c r="E4331" t="str">
        <f t="shared" si="223"/>
        <v>019</v>
      </c>
      <c r="F4331" t="s">
        <v>4278</v>
      </c>
      <c r="G4331" t="str">
        <f>"0703"</f>
        <v>0703</v>
      </c>
      <c r="H4331" t="str">
        <f>"0001"</f>
        <v>0001</v>
      </c>
      <c r="I4331" t="s">
        <v>75</v>
      </c>
      <c r="J4331">
        <v>0</v>
      </c>
      <c r="K4331">
        <v>1</v>
      </c>
      <c r="L4331">
        <v>2</v>
      </c>
      <c r="M4331">
        <v>305</v>
      </c>
      <c r="N4331">
        <v>350</v>
      </c>
      <c r="O4331">
        <v>1</v>
      </c>
      <c r="P4331">
        <v>351</v>
      </c>
      <c r="Q4331">
        <v>15</v>
      </c>
      <c r="R4331">
        <v>38</v>
      </c>
      <c r="S4331">
        <v>1</v>
      </c>
      <c r="T4331">
        <v>10</v>
      </c>
      <c r="U4331">
        <v>10</v>
      </c>
      <c r="V4331">
        <v>9</v>
      </c>
      <c r="W4331">
        <v>21</v>
      </c>
      <c r="X4331">
        <v>205</v>
      </c>
      <c r="Y4331">
        <v>11</v>
      </c>
      <c r="Z4331">
        <v>0</v>
      </c>
      <c r="AA4331">
        <v>2</v>
      </c>
      <c r="AB4331">
        <v>19</v>
      </c>
      <c r="AD4331">
        <v>0</v>
      </c>
      <c r="AE4331">
        <v>0</v>
      </c>
      <c r="AF4331">
        <v>0</v>
      </c>
      <c r="AG4331">
        <v>0</v>
      </c>
      <c r="AI4331">
        <v>0</v>
      </c>
      <c r="AJ4331">
        <v>10</v>
      </c>
      <c r="AK4331">
        <v>351</v>
      </c>
      <c r="AL4331">
        <v>351</v>
      </c>
      <c r="AM4331">
        <v>612</v>
      </c>
      <c r="AN4331">
        <v>44</v>
      </c>
      <c r="AP4331">
        <v>1</v>
      </c>
      <c r="AR4331" t="s">
        <v>4431</v>
      </c>
      <c r="AS4331" s="1">
        <v>44354.378472222219</v>
      </c>
      <c r="AT4331" s="1">
        <v>44354.380636574075</v>
      </c>
      <c r="AU4331" s="1">
        <v>44354.38175925926</v>
      </c>
      <c r="AV4331" t="s">
        <v>71</v>
      </c>
      <c r="AW4331" t="s">
        <v>72</v>
      </c>
      <c r="AX4331" t="s">
        <v>73</v>
      </c>
    </row>
    <row r="4332" spans="1:50" x14ac:dyDescent="0.3">
      <c r="A4332" t="str">
        <f>"200703C0200"</f>
        <v>200703C0200</v>
      </c>
      <c r="B4332" t="str">
        <f>"200703C02002"</f>
        <v>200703C02002</v>
      </c>
      <c r="C4332" t="str">
        <f t="shared" si="222"/>
        <v>20</v>
      </c>
      <c r="D4332" t="s">
        <v>67</v>
      </c>
      <c r="E4332" t="str">
        <f t="shared" si="223"/>
        <v>019</v>
      </c>
      <c r="F4332" t="s">
        <v>4278</v>
      </c>
      <c r="G4332" t="str">
        <f>"0703"</f>
        <v>0703</v>
      </c>
      <c r="H4332" t="str">
        <f>"0002"</f>
        <v>0002</v>
      </c>
      <c r="I4332" t="s">
        <v>75</v>
      </c>
      <c r="J4332">
        <v>0</v>
      </c>
      <c r="K4332">
        <v>1</v>
      </c>
      <c r="L4332">
        <v>2</v>
      </c>
      <c r="M4332">
        <v>276</v>
      </c>
      <c r="N4332">
        <v>656</v>
      </c>
      <c r="O4332">
        <v>3</v>
      </c>
      <c r="P4332">
        <v>380</v>
      </c>
      <c r="Q4332">
        <v>22</v>
      </c>
      <c r="R4332">
        <v>52</v>
      </c>
      <c r="S4332">
        <v>1</v>
      </c>
      <c r="T4332">
        <v>21</v>
      </c>
      <c r="U4332">
        <v>7</v>
      </c>
      <c r="V4332">
        <v>10</v>
      </c>
      <c r="W4332">
        <v>20</v>
      </c>
      <c r="X4332">
        <v>197</v>
      </c>
      <c r="Y4332">
        <v>18</v>
      </c>
      <c r="Z4332">
        <v>4</v>
      </c>
      <c r="AA4332">
        <v>3</v>
      </c>
      <c r="AB4332">
        <v>16</v>
      </c>
      <c r="AD4332">
        <v>1</v>
      </c>
      <c r="AE4332">
        <v>0</v>
      </c>
      <c r="AF4332">
        <v>0</v>
      </c>
      <c r="AG4332">
        <v>0</v>
      </c>
      <c r="AI4332">
        <v>0</v>
      </c>
      <c r="AJ4332">
        <v>8</v>
      </c>
      <c r="AK4332">
        <v>380</v>
      </c>
      <c r="AL4332">
        <v>380</v>
      </c>
      <c r="AM4332">
        <v>612</v>
      </c>
      <c r="AN4332">
        <v>44</v>
      </c>
      <c r="AP4332">
        <v>1</v>
      </c>
      <c r="AR4332" t="s">
        <v>4432</v>
      </c>
      <c r="AS4332" s="1">
        <v>44354.538194444445</v>
      </c>
      <c r="AT4332" s="1">
        <v>44354.541944444441</v>
      </c>
      <c r="AU4332" s="1">
        <v>44354.542743055557</v>
      </c>
      <c r="AV4332" t="s">
        <v>71</v>
      </c>
      <c r="AW4332" t="s">
        <v>72</v>
      </c>
      <c r="AX4332" t="s">
        <v>73</v>
      </c>
    </row>
    <row r="4333" spans="1:50" x14ac:dyDescent="0.3">
      <c r="A4333" t="str">
        <f>"200704B0000"</f>
        <v>200704B0000</v>
      </c>
      <c r="B4333" t="str">
        <f>"200704B00002"</f>
        <v>200704B00002</v>
      </c>
      <c r="C4333" t="str">
        <f t="shared" si="222"/>
        <v>20</v>
      </c>
      <c r="D4333" t="s">
        <v>67</v>
      </c>
      <c r="E4333" t="str">
        <f t="shared" si="223"/>
        <v>019</v>
      </c>
      <c r="F4333" t="s">
        <v>4278</v>
      </c>
      <c r="G4333" t="str">
        <f>"0704"</f>
        <v>0704</v>
      </c>
      <c r="H4333" t="str">
        <f>"0000"</f>
        <v>0000</v>
      </c>
      <c r="I4333" t="s">
        <v>69</v>
      </c>
      <c r="J4333">
        <v>0</v>
      </c>
      <c r="K4333">
        <v>1</v>
      </c>
      <c r="L4333">
        <v>2</v>
      </c>
      <c r="M4333">
        <v>252</v>
      </c>
      <c r="N4333">
        <v>389</v>
      </c>
      <c r="O4333">
        <v>2</v>
      </c>
      <c r="P4333">
        <v>389</v>
      </c>
      <c r="Q4333">
        <v>25</v>
      </c>
      <c r="R4333">
        <v>53</v>
      </c>
      <c r="S4333">
        <v>2</v>
      </c>
      <c r="T4333">
        <v>7</v>
      </c>
      <c r="U4333">
        <v>4</v>
      </c>
      <c r="V4333">
        <v>7</v>
      </c>
      <c r="W4333">
        <v>15</v>
      </c>
      <c r="X4333">
        <v>234</v>
      </c>
      <c r="Y4333">
        <v>4</v>
      </c>
      <c r="Z4333">
        <v>4</v>
      </c>
      <c r="AA4333">
        <v>5</v>
      </c>
      <c r="AB4333">
        <v>22</v>
      </c>
      <c r="AD4333">
        <v>1</v>
      </c>
      <c r="AE4333">
        <v>0</v>
      </c>
      <c r="AF4333">
        <v>0</v>
      </c>
      <c r="AG4333">
        <v>0</v>
      </c>
      <c r="AI4333">
        <v>0</v>
      </c>
      <c r="AJ4333">
        <v>6</v>
      </c>
      <c r="AK4333">
        <v>389</v>
      </c>
      <c r="AL4333">
        <v>389</v>
      </c>
      <c r="AM4333">
        <v>597</v>
      </c>
      <c r="AN4333">
        <v>44</v>
      </c>
      <c r="AP4333">
        <v>1</v>
      </c>
      <c r="AR4333" t="s">
        <v>4433</v>
      </c>
      <c r="AS4333" s="1">
        <v>44354.30972222222</v>
      </c>
      <c r="AT4333" s="1">
        <v>44354.311921296299</v>
      </c>
      <c r="AU4333" s="1">
        <v>44354.312777777777</v>
      </c>
      <c r="AV4333" t="s">
        <v>71</v>
      </c>
      <c r="AW4333" t="s">
        <v>72</v>
      </c>
      <c r="AX4333" t="s">
        <v>73</v>
      </c>
    </row>
    <row r="4334" spans="1:50" x14ac:dyDescent="0.3">
      <c r="A4334" t="str">
        <f>"200705B0000"</f>
        <v>200705B0000</v>
      </c>
      <c r="B4334" t="str">
        <f>"200705B00002"</f>
        <v>200705B00002</v>
      </c>
      <c r="C4334" t="str">
        <f t="shared" si="222"/>
        <v>20</v>
      </c>
      <c r="D4334" t="s">
        <v>67</v>
      </c>
      <c r="E4334" t="str">
        <f t="shared" si="223"/>
        <v>019</v>
      </c>
      <c r="F4334" t="s">
        <v>4278</v>
      </c>
      <c r="G4334" t="str">
        <f>"0705"</f>
        <v>0705</v>
      </c>
      <c r="H4334" t="str">
        <f>"0000"</f>
        <v>0000</v>
      </c>
      <c r="I4334" t="s">
        <v>69</v>
      </c>
      <c r="J4334">
        <v>0</v>
      </c>
      <c r="K4334">
        <v>1</v>
      </c>
      <c r="L4334">
        <v>2</v>
      </c>
      <c r="M4334">
        <v>100</v>
      </c>
      <c r="N4334">
        <v>216</v>
      </c>
      <c r="O4334">
        <v>6</v>
      </c>
      <c r="P4334">
        <v>216</v>
      </c>
      <c r="Q4334">
        <v>8</v>
      </c>
      <c r="R4334">
        <v>32</v>
      </c>
      <c r="S4334">
        <v>0</v>
      </c>
      <c r="T4334">
        <v>6</v>
      </c>
      <c r="U4334">
        <v>1</v>
      </c>
      <c r="V4334">
        <v>3</v>
      </c>
      <c r="W4334">
        <v>42</v>
      </c>
      <c r="X4334">
        <v>105</v>
      </c>
      <c r="Y4334">
        <v>5</v>
      </c>
      <c r="Z4334">
        <v>0</v>
      </c>
      <c r="AA4334">
        <v>1</v>
      </c>
      <c r="AB4334">
        <v>5</v>
      </c>
      <c r="AD4334">
        <v>1</v>
      </c>
      <c r="AE4334">
        <v>0</v>
      </c>
      <c r="AF4334">
        <v>0</v>
      </c>
      <c r="AG4334">
        <v>0</v>
      </c>
      <c r="AI4334">
        <v>0</v>
      </c>
      <c r="AJ4334">
        <v>7</v>
      </c>
      <c r="AK4334">
        <v>216</v>
      </c>
      <c r="AL4334">
        <v>216</v>
      </c>
      <c r="AM4334">
        <v>272</v>
      </c>
      <c r="AN4334">
        <v>44</v>
      </c>
      <c r="AP4334">
        <v>1</v>
      </c>
      <c r="AR4334" t="s">
        <v>4434</v>
      </c>
      <c r="AS4334" s="1">
        <v>44354.245833333334</v>
      </c>
      <c r="AT4334" s="1">
        <v>44354.247303240743</v>
      </c>
      <c r="AU4334" s="1">
        <v>44354.248391203706</v>
      </c>
      <c r="AV4334" t="s">
        <v>71</v>
      </c>
      <c r="AW4334" t="s">
        <v>72</v>
      </c>
      <c r="AX4334" t="s">
        <v>73</v>
      </c>
    </row>
    <row r="4335" spans="1:50" x14ac:dyDescent="0.3">
      <c r="A4335" t="str">
        <f>"200706B0000"</f>
        <v>200706B0000</v>
      </c>
      <c r="B4335" t="str">
        <f>"200706B00002"</f>
        <v>200706B00002</v>
      </c>
      <c r="C4335" t="str">
        <f t="shared" si="222"/>
        <v>20</v>
      </c>
      <c r="D4335" t="s">
        <v>67</v>
      </c>
      <c r="E4335" t="str">
        <f t="shared" si="223"/>
        <v>019</v>
      </c>
      <c r="F4335" t="s">
        <v>4278</v>
      </c>
      <c r="G4335" t="str">
        <f>"0706"</f>
        <v>0706</v>
      </c>
      <c r="H4335" t="str">
        <f>"0000"</f>
        <v>0000</v>
      </c>
      <c r="I4335" t="s">
        <v>69</v>
      </c>
      <c r="J4335">
        <v>0</v>
      </c>
      <c r="K4335">
        <v>1</v>
      </c>
      <c r="L4335">
        <v>2</v>
      </c>
      <c r="M4335">
        <v>281</v>
      </c>
      <c r="N4335">
        <v>453</v>
      </c>
      <c r="O4335">
        <v>0</v>
      </c>
      <c r="P4335">
        <v>453</v>
      </c>
      <c r="Q4335">
        <v>25</v>
      </c>
      <c r="R4335">
        <v>64</v>
      </c>
      <c r="S4335">
        <v>3</v>
      </c>
      <c r="T4335">
        <v>9</v>
      </c>
      <c r="U4335">
        <v>3</v>
      </c>
      <c r="V4335">
        <v>4</v>
      </c>
      <c r="W4335">
        <v>28</v>
      </c>
      <c r="X4335">
        <v>277</v>
      </c>
      <c r="Y4335">
        <v>6</v>
      </c>
      <c r="Z4335">
        <v>1</v>
      </c>
      <c r="AA4335">
        <v>5</v>
      </c>
      <c r="AB4335">
        <v>11</v>
      </c>
      <c r="AD4335">
        <v>8</v>
      </c>
      <c r="AE4335">
        <v>0</v>
      </c>
      <c r="AF4335">
        <v>0</v>
      </c>
      <c r="AG4335">
        <v>0</v>
      </c>
      <c r="AI4335">
        <v>0</v>
      </c>
      <c r="AJ4335">
        <v>9</v>
      </c>
      <c r="AK4335">
        <v>453</v>
      </c>
      <c r="AL4335">
        <v>453</v>
      </c>
      <c r="AM4335">
        <v>690</v>
      </c>
      <c r="AN4335">
        <v>44</v>
      </c>
      <c r="AP4335">
        <v>1</v>
      </c>
      <c r="AR4335" t="s">
        <v>4435</v>
      </c>
      <c r="AS4335" s="1">
        <v>44354.017361111109</v>
      </c>
      <c r="AT4335" s="1">
        <v>44354.024606481478</v>
      </c>
      <c r="AU4335" s="1">
        <v>44354.025289351855</v>
      </c>
      <c r="AV4335" t="s">
        <v>71</v>
      </c>
      <c r="AW4335" t="s">
        <v>72</v>
      </c>
      <c r="AX4335" t="s">
        <v>73</v>
      </c>
    </row>
    <row r="4336" spans="1:50" x14ac:dyDescent="0.3">
      <c r="A4336" t="str">
        <f>"200707B0000"</f>
        <v>200707B0000</v>
      </c>
      <c r="B4336" t="str">
        <f>"200707B00002"</f>
        <v>200707B00002</v>
      </c>
      <c r="C4336" t="str">
        <f t="shared" si="222"/>
        <v>20</v>
      </c>
      <c r="D4336" t="s">
        <v>67</v>
      </c>
      <c r="E4336" t="str">
        <f t="shared" si="223"/>
        <v>019</v>
      </c>
      <c r="F4336" t="s">
        <v>4278</v>
      </c>
      <c r="G4336" t="str">
        <f>"0707"</f>
        <v>0707</v>
      </c>
      <c r="H4336" t="str">
        <f>"0000"</f>
        <v>0000</v>
      </c>
      <c r="I4336" t="s">
        <v>69</v>
      </c>
      <c r="J4336">
        <v>0</v>
      </c>
      <c r="K4336">
        <v>1</v>
      </c>
      <c r="L4336">
        <v>2</v>
      </c>
      <c r="AM4336">
        <v>488</v>
      </c>
      <c r="AN4336">
        <v>44</v>
      </c>
      <c r="AO4336" t="s">
        <v>352</v>
      </c>
      <c r="AP4336">
        <v>0</v>
      </c>
      <c r="AR4336" t="s">
        <v>4436</v>
      </c>
      <c r="AS4336" s="1">
        <v>44354.606944444444</v>
      </c>
      <c r="AT4336" s="1">
        <v>44354.608541666668</v>
      </c>
      <c r="AU4336" s="1">
        <v>44354.608541666668</v>
      </c>
      <c r="AV4336" t="s">
        <v>71</v>
      </c>
      <c r="AW4336" t="s">
        <v>72</v>
      </c>
      <c r="AX4336" t="s">
        <v>73</v>
      </c>
    </row>
    <row r="4337" spans="1:50" x14ac:dyDescent="0.3">
      <c r="A4337" t="str">
        <f>"200707C0100"</f>
        <v>200707C0100</v>
      </c>
      <c r="B4337" t="str">
        <f>"200707C01002"</f>
        <v>200707C01002</v>
      </c>
      <c r="C4337" t="str">
        <f t="shared" si="222"/>
        <v>20</v>
      </c>
      <c r="D4337" t="s">
        <v>67</v>
      </c>
      <c r="E4337" t="str">
        <f t="shared" si="223"/>
        <v>019</v>
      </c>
      <c r="F4337" t="s">
        <v>4278</v>
      </c>
      <c r="G4337" t="str">
        <f>"0707"</f>
        <v>0707</v>
      </c>
      <c r="H4337" t="str">
        <f>"0001"</f>
        <v>0001</v>
      </c>
      <c r="I4337" t="s">
        <v>75</v>
      </c>
      <c r="J4337">
        <v>0</v>
      </c>
      <c r="K4337">
        <v>1</v>
      </c>
      <c r="L4337">
        <v>2</v>
      </c>
      <c r="M4337">
        <v>199</v>
      </c>
      <c r="N4337">
        <v>333</v>
      </c>
      <c r="O4337">
        <v>6</v>
      </c>
      <c r="P4337" t="s">
        <v>80</v>
      </c>
      <c r="Q4337" t="s">
        <v>99</v>
      </c>
      <c r="R4337">
        <v>83</v>
      </c>
      <c r="S4337">
        <v>2</v>
      </c>
      <c r="T4337">
        <v>14</v>
      </c>
      <c r="U4337">
        <v>2</v>
      </c>
      <c r="V4337">
        <v>4</v>
      </c>
      <c r="W4337">
        <v>27</v>
      </c>
      <c r="X4337">
        <v>158</v>
      </c>
      <c r="Y4337">
        <v>11</v>
      </c>
      <c r="Z4337">
        <v>2</v>
      </c>
      <c r="AA4337">
        <v>2</v>
      </c>
      <c r="AB4337">
        <v>4</v>
      </c>
      <c r="AD4337">
        <v>1</v>
      </c>
      <c r="AE4337">
        <v>0</v>
      </c>
      <c r="AF4337">
        <v>0</v>
      </c>
      <c r="AG4337">
        <v>0</v>
      </c>
      <c r="AI4337">
        <v>0</v>
      </c>
      <c r="AJ4337">
        <v>13</v>
      </c>
      <c r="AK4337">
        <v>318</v>
      </c>
      <c r="AL4337">
        <v>323</v>
      </c>
      <c r="AM4337">
        <v>488</v>
      </c>
      <c r="AN4337">
        <v>44</v>
      </c>
      <c r="AO4337" t="s">
        <v>78</v>
      </c>
      <c r="AP4337">
        <v>1</v>
      </c>
      <c r="AR4337" t="s">
        <v>4437</v>
      </c>
      <c r="AS4337" s="1">
        <v>44354.5</v>
      </c>
      <c r="AT4337" s="1">
        <v>44354.501898148148</v>
      </c>
      <c r="AU4337" s="1">
        <v>44354.502384259256</v>
      </c>
      <c r="AV4337" t="s">
        <v>71</v>
      </c>
      <c r="AW4337" t="s">
        <v>72</v>
      </c>
      <c r="AX4337" t="s">
        <v>73</v>
      </c>
    </row>
    <row r="4338" spans="1:50" x14ac:dyDescent="0.3">
      <c r="A4338" t="str">
        <f>"200708B0000"</f>
        <v>200708B0000</v>
      </c>
      <c r="B4338" t="str">
        <f>"200708B00002"</f>
        <v>200708B00002</v>
      </c>
      <c r="C4338" t="str">
        <f t="shared" si="222"/>
        <v>20</v>
      </c>
      <c r="D4338" t="s">
        <v>67</v>
      </c>
      <c r="E4338" t="str">
        <f t="shared" si="223"/>
        <v>019</v>
      </c>
      <c r="F4338" t="s">
        <v>4278</v>
      </c>
      <c r="G4338" t="str">
        <f>"0708"</f>
        <v>0708</v>
      </c>
      <c r="H4338" t="str">
        <f>"0000"</f>
        <v>0000</v>
      </c>
      <c r="I4338" t="s">
        <v>69</v>
      </c>
      <c r="J4338">
        <v>0</v>
      </c>
      <c r="K4338">
        <v>1</v>
      </c>
      <c r="L4338">
        <v>2</v>
      </c>
      <c r="M4338">
        <v>302</v>
      </c>
      <c r="N4338">
        <v>487</v>
      </c>
      <c r="O4338">
        <v>7</v>
      </c>
      <c r="P4338">
        <v>487</v>
      </c>
      <c r="Q4338">
        <v>26</v>
      </c>
      <c r="R4338">
        <v>45</v>
      </c>
      <c r="S4338">
        <v>2</v>
      </c>
      <c r="T4338">
        <v>8</v>
      </c>
      <c r="U4338">
        <v>8</v>
      </c>
      <c r="V4338">
        <v>4</v>
      </c>
      <c r="W4338">
        <v>38</v>
      </c>
      <c r="X4338">
        <v>313</v>
      </c>
      <c r="Y4338">
        <v>5</v>
      </c>
      <c r="Z4338">
        <v>3</v>
      </c>
      <c r="AA4338">
        <v>5</v>
      </c>
      <c r="AB4338">
        <v>14</v>
      </c>
      <c r="AD4338">
        <v>1</v>
      </c>
      <c r="AE4338">
        <v>0</v>
      </c>
      <c r="AF4338">
        <v>0</v>
      </c>
      <c r="AG4338">
        <v>0</v>
      </c>
      <c r="AI4338">
        <v>0</v>
      </c>
      <c r="AJ4338">
        <v>15</v>
      </c>
      <c r="AK4338">
        <v>487</v>
      </c>
      <c r="AL4338">
        <v>487</v>
      </c>
      <c r="AM4338">
        <v>745</v>
      </c>
      <c r="AN4338">
        <v>44</v>
      </c>
      <c r="AP4338">
        <v>1</v>
      </c>
      <c r="AR4338" t="s">
        <v>4438</v>
      </c>
      <c r="AS4338" s="1">
        <v>44354.49722222222</v>
      </c>
      <c r="AT4338" s="1">
        <v>44354.5003125</v>
      </c>
      <c r="AU4338" s="1">
        <v>44354.500983796293</v>
      </c>
      <c r="AV4338" t="s">
        <v>71</v>
      </c>
      <c r="AW4338" t="s">
        <v>72</v>
      </c>
      <c r="AX4338" t="s">
        <v>73</v>
      </c>
    </row>
    <row r="4339" spans="1:50" x14ac:dyDescent="0.3">
      <c r="A4339" t="str">
        <f>"200708C0100"</f>
        <v>200708C0100</v>
      </c>
      <c r="B4339" t="str">
        <f>"200708C01002"</f>
        <v>200708C01002</v>
      </c>
      <c r="C4339" t="str">
        <f t="shared" si="222"/>
        <v>20</v>
      </c>
      <c r="D4339" t="s">
        <v>67</v>
      </c>
      <c r="E4339" t="str">
        <f t="shared" si="223"/>
        <v>019</v>
      </c>
      <c r="F4339" t="s">
        <v>4278</v>
      </c>
      <c r="G4339" t="str">
        <f>"0708"</f>
        <v>0708</v>
      </c>
      <c r="H4339" t="str">
        <f>"0001"</f>
        <v>0001</v>
      </c>
      <c r="I4339" t="s">
        <v>75</v>
      </c>
      <c r="J4339">
        <v>0</v>
      </c>
      <c r="K4339">
        <v>1</v>
      </c>
      <c r="L4339">
        <v>2</v>
      </c>
      <c r="M4339">
        <v>255</v>
      </c>
      <c r="N4339">
        <v>533</v>
      </c>
      <c r="O4339">
        <v>10</v>
      </c>
      <c r="P4339">
        <v>533</v>
      </c>
      <c r="Q4339" t="s">
        <v>99</v>
      </c>
      <c r="R4339">
        <v>46</v>
      </c>
      <c r="S4339">
        <v>5</v>
      </c>
      <c r="T4339">
        <v>9</v>
      </c>
      <c r="U4339">
        <v>5</v>
      </c>
      <c r="V4339">
        <v>12</v>
      </c>
      <c r="W4339">
        <v>35</v>
      </c>
      <c r="X4339">
        <v>343</v>
      </c>
      <c r="Y4339">
        <v>11</v>
      </c>
      <c r="Z4339">
        <v>0</v>
      </c>
      <c r="AA4339">
        <v>3</v>
      </c>
      <c r="AB4339">
        <v>18</v>
      </c>
      <c r="AD4339">
        <v>2</v>
      </c>
      <c r="AE4339">
        <v>2</v>
      </c>
      <c r="AF4339">
        <v>1</v>
      </c>
      <c r="AG4339">
        <v>0</v>
      </c>
      <c r="AI4339">
        <v>0</v>
      </c>
      <c r="AJ4339">
        <v>13</v>
      </c>
      <c r="AK4339">
        <v>533</v>
      </c>
      <c r="AL4339">
        <v>505</v>
      </c>
      <c r="AM4339">
        <v>744</v>
      </c>
      <c r="AN4339">
        <v>44</v>
      </c>
      <c r="AO4339" t="s">
        <v>78</v>
      </c>
      <c r="AP4339">
        <v>1</v>
      </c>
      <c r="AR4339" t="s">
        <v>4439</v>
      </c>
      <c r="AS4339" s="1">
        <v>44354.517361111109</v>
      </c>
      <c r="AT4339" s="1">
        <v>44354.519965277781</v>
      </c>
      <c r="AU4339" s="1">
        <v>44354.520995370367</v>
      </c>
      <c r="AV4339" t="s">
        <v>71</v>
      </c>
      <c r="AW4339" t="s">
        <v>72</v>
      </c>
      <c r="AX4339" t="s">
        <v>73</v>
      </c>
    </row>
    <row r="4340" spans="1:50" x14ac:dyDescent="0.3">
      <c r="A4340" t="str">
        <f>"200708C0200"</f>
        <v>200708C0200</v>
      </c>
      <c r="B4340" t="str">
        <f>"200708C02002"</f>
        <v>200708C02002</v>
      </c>
      <c r="C4340" t="str">
        <f t="shared" si="222"/>
        <v>20</v>
      </c>
      <c r="D4340" t="s">
        <v>67</v>
      </c>
      <c r="E4340" t="str">
        <f t="shared" si="223"/>
        <v>019</v>
      </c>
      <c r="F4340" t="s">
        <v>4278</v>
      </c>
      <c r="G4340" t="str">
        <f>"0708"</f>
        <v>0708</v>
      </c>
      <c r="H4340" t="str">
        <f>"0002"</f>
        <v>0002</v>
      </c>
      <c r="I4340" t="s">
        <v>75</v>
      </c>
      <c r="J4340">
        <v>0</v>
      </c>
      <c r="K4340">
        <v>1</v>
      </c>
      <c r="L4340">
        <v>2</v>
      </c>
      <c r="M4340">
        <v>309</v>
      </c>
      <c r="N4340">
        <v>488</v>
      </c>
      <c r="O4340">
        <v>9</v>
      </c>
      <c r="P4340">
        <v>479</v>
      </c>
      <c r="Q4340">
        <v>35</v>
      </c>
      <c r="R4340">
        <v>48</v>
      </c>
      <c r="S4340">
        <v>2</v>
      </c>
      <c r="T4340">
        <v>8</v>
      </c>
      <c r="U4340">
        <v>7</v>
      </c>
      <c r="V4340">
        <v>3</v>
      </c>
      <c r="W4340">
        <v>26</v>
      </c>
      <c r="X4340">
        <v>302</v>
      </c>
      <c r="Y4340">
        <v>4</v>
      </c>
      <c r="Z4340">
        <v>5</v>
      </c>
      <c r="AA4340">
        <v>2</v>
      </c>
      <c r="AB4340">
        <v>21</v>
      </c>
      <c r="AD4340">
        <v>0</v>
      </c>
      <c r="AE4340">
        <v>0</v>
      </c>
      <c r="AF4340">
        <v>0</v>
      </c>
      <c r="AG4340">
        <v>0</v>
      </c>
      <c r="AI4340">
        <v>0</v>
      </c>
      <c r="AJ4340">
        <v>16</v>
      </c>
      <c r="AK4340">
        <v>479</v>
      </c>
      <c r="AL4340">
        <v>479</v>
      </c>
      <c r="AM4340">
        <v>744</v>
      </c>
      <c r="AN4340">
        <v>44</v>
      </c>
      <c r="AP4340">
        <v>1</v>
      </c>
      <c r="AR4340" t="s">
        <v>4440</v>
      </c>
      <c r="AS4340" s="1">
        <v>44354.495833333334</v>
      </c>
      <c r="AT4340" s="1">
        <v>44354.497210648151</v>
      </c>
      <c r="AU4340" s="1">
        <v>44354.498391203706</v>
      </c>
      <c r="AV4340" t="s">
        <v>71</v>
      </c>
      <c r="AW4340" t="s">
        <v>72</v>
      </c>
      <c r="AX4340" t="s">
        <v>73</v>
      </c>
    </row>
    <row r="4341" spans="1:50" x14ac:dyDescent="0.3">
      <c r="A4341" t="str">
        <f>"200708E0100"</f>
        <v>200708E0100</v>
      </c>
      <c r="B4341" t="str">
        <f>"200708E01002"</f>
        <v>200708E01002</v>
      </c>
      <c r="C4341" t="str">
        <f t="shared" si="222"/>
        <v>20</v>
      </c>
      <c r="D4341" t="s">
        <v>67</v>
      </c>
      <c r="E4341" t="str">
        <f t="shared" si="223"/>
        <v>019</v>
      </c>
      <c r="F4341" t="s">
        <v>4278</v>
      </c>
      <c r="G4341" t="str">
        <f>"0708"</f>
        <v>0708</v>
      </c>
      <c r="H4341" t="str">
        <f>"0001"</f>
        <v>0001</v>
      </c>
      <c r="I4341" t="s">
        <v>109</v>
      </c>
      <c r="J4341">
        <v>0</v>
      </c>
      <c r="K4341">
        <v>1</v>
      </c>
      <c r="L4341">
        <v>2</v>
      </c>
      <c r="M4341">
        <v>105</v>
      </c>
      <c r="N4341">
        <v>156</v>
      </c>
      <c r="O4341">
        <v>13</v>
      </c>
      <c r="P4341">
        <v>156</v>
      </c>
      <c r="Q4341">
        <v>2</v>
      </c>
      <c r="R4341">
        <v>13</v>
      </c>
      <c r="S4341">
        <v>1</v>
      </c>
      <c r="T4341">
        <v>12</v>
      </c>
      <c r="U4341">
        <v>8</v>
      </c>
      <c r="V4341">
        <v>9</v>
      </c>
      <c r="W4341">
        <v>7</v>
      </c>
      <c r="X4341">
        <v>81</v>
      </c>
      <c r="Y4341">
        <v>4</v>
      </c>
      <c r="Z4341">
        <v>1</v>
      </c>
      <c r="AA4341">
        <v>3</v>
      </c>
      <c r="AB4341">
        <v>4</v>
      </c>
      <c r="AD4341">
        <v>1</v>
      </c>
      <c r="AE4341">
        <v>1</v>
      </c>
      <c r="AF4341">
        <v>0</v>
      </c>
      <c r="AG4341">
        <v>0</v>
      </c>
      <c r="AI4341">
        <v>0</v>
      </c>
      <c r="AJ4341">
        <v>9</v>
      </c>
      <c r="AK4341">
        <v>156</v>
      </c>
      <c r="AL4341">
        <v>156</v>
      </c>
      <c r="AM4341">
        <v>217</v>
      </c>
      <c r="AN4341">
        <v>44</v>
      </c>
      <c r="AP4341">
        <v>1</v>
      </c>
      <c r="AR4341" t="s">
        <v>4441</v>
      </c>
      <c r="AS4341" s="1">
        <v>44354.495138888888</v>
      </c>
      <c r="AT4341" s="1">
        <v>44354.497094907405</v>
      </c>
      <c r="AU4341" s="1">
        <v>44354.497766203705</v>
      </c>
      <c r="AV4341" t="s">
        <v>71</v>
      </c>
      <c r="AW4341" t="s">
        <v>72</v>
      </c>
      <c r="AX4341" t="s">
        <v>73</v>
      </c>
    </row>
    <row r="4342" spans="1:50" x14ac:dyDescent="0.3">
      <c r="A4342" t="str">
        <f>"200709B0000"</f>
        <v>200709B0000</v>
      </c>
      <c r="B4342" t="str">
        <f>"200709B00002"</f>
        <v>200709B00002</v>
      </c>
      <c r="C4342" t="str">
        <f t="shared" si="222"/>
        <v>20</v>
      </c>
      <c r="D4342" t="s">
        <v>67</v>
      </c>
      <c r="E4342" t="str">
        <f t="shared" si="223"/>
        <v>019</v>
      </c>
      <c r="F4342" t="s">
        <v>4278</v>
      </c>
      <c r="G4342" t="str">
        <f>"0709"</f>
        <v>0709</v>
      </c>
      <c r="H4342" t="str">
        <f>"0000"</f>
        <v>0000</v>
      </c>
      <c r="I4342" t="s">
        <v>69</v>
      </c>
      <c r="J4342">
        <v>0</v>
      </c>
      <c r="K4342">
        <v>1</v>
      </c>
      <c r="L4342">
        <v>2</v>
      </c>
      <c r="M4342">
        <v>271</v>
      </c>
      <c r="N4342">
        <v>266</v>
      </c>
      <c r="O4342">
        <v>4</v>
      </c>
      <c r="P4342">
        <v>266</v>
      </c>
      <c r="Q4342">
        <v>4</v>
      </c>
      <c r="R4342">
        <v>15</v>
      </c>
      <c r="S4342">
        <v>4</v>
      </c>
      <c r="T4342">
        <v>24</v>
      </c>
      <c r="U4342">
        <v>11</v>
      </c>
      <c r="V4342">
        <v>5</v>
      </c>
      <c r="W4342">
        <v>12</v>
      </c>
      <c r="X4342">
        <v>164</v>
      </c>
      <c r="Y4342">
        <v>8</v>
      </c>
      <c r="Z4342">
        <v>2</v>
      </c>
      <c r="AA4342">
        <v>1</v>
      </c>
      <c r="AB4342">
        <v>8</v>
      </c>
      <c r="AD4342">
        <v>2</v>
      </c>
      <c r="AE4342">
        <v>1</v>
      </c>
      <c r="AF4342">
        <v>0</v>
      </c>
      <c r="AG4342">
        <v>0</v>
      </c>
      <c r="AI4342">
        <v>0</v>
      </c>
      <c r="AJ4342">
        <v>5</v>
      </c>
      <c r="AK4342">
        <v>266</v>
      </c>
      <c r="AL4342">
        <v>266</v>
      </c>
      <c r="AM4342">
        <v>494</v>
      </c>
      <c r="AN4342">
        <v>44</v>
      </c>
      <c r="AP4342">
        <v>1</v>
      </c>
      <c r="AR4342" t="s">
        <v>4442</v>
      </c>
      <c r="AS4342" s="1">
        <v>44354.024305555555</v>
      </c>
      <c r="AT4342" s="1">
        <v>44354.029699074075</v>
      </c>
      <c r="AU4342" s="1">
        <v>44354.030335648145</v>
      </c>
      <c r="AV4342" t="s">
        <v>71</v>
      </c>
      <c r="AW4342" t="s">
        <v>72</v>
      </c>
      <c r="AX4342" t="s">
        <v>73</v>
      </c>
    </row>
    <row r="4343" spans="1:50" x14ac:dyDescent="0.3">
      <c r="A4343" t="str">
        <f>"200709C0100"</f>
        <v>200709C0100</v>
      </c>
      <c r="B4343" t="str">
        <f>"200709C01002"</f>
        <v>200709C01002</v>
      </c>
      <c r="C4343" t="str">
        <f t="shared" si="222"/>
        <v>20</v>
      </c>
      <c r="D4343" t="s">
        <v>67</v>
      </c>
      <c r="E4343" t="str">
        <f t="shared" si="223"/>
        <v>019</v>
      </c>
      <c r="F4343" t="s">
        <v>4278</v>
      </c>
      <c r="G4343" t="str">
        <f>"0709"</f>
        <v>0709</v>
      </c>
      <c r="H4343" t="str">
        <f>"0001"</f>
        <v>0001</v>
      </c>
      <c r="I4343" t="s">
        <v>75</v>
      </c>
      <c r="J4343">
        <v>0</v>
      </c>
      <c r="K4343">
        <v>1</v>
      </c>
      <c r="L4343">
        <v>2</v>
      </c>
      <c r="M4343">
        <v>259</v>
      </c>
      <c r="N4343">
        <v>278</v>
      </c>
      <c r="O4343">
        <v>0</v>
      </c>
      <c r="P4343">
        <v>278</v>
      </c>
      <c r="Q4343">
        <v>12</v>
      </c>
      <c r="R4343">
        <v>21</v>
      </c>
      <c r="S4343">
        <v>6</v>
      </c>
      <c r="T4343">
        <v>20</v>
      </c>
      <c r="U4343">
        <v>9</v>
      </c>
      <c r="V4343">
        <v>5</v>
      </c>
      <c r="W4343">
        <v>15</v>
      </c>
      <c r="X4343">
        <v>165</v>
      </c>
      <c r="Y4343">
        <v>8</v>
      </c>
      <c r="Z4343">
        <v>0</v>
      </c>
      <c r="AA4343">
        <v>0</v>
      </c>
      <c r="AB4343">
        <v>7</v>
      </c>
      <c r="AD4343">
        <v>1</v>
      </c>
      <c r="AE4343">
        <v>0</v>
      </c>
      <c r="AF4343">
        <v>0</v>
      </c>
      <c r="AG4343">
        <v>0</v>
      </c>
      <c r="AI4343">
        <v>0</v>
      </c>
      <c r="AJ4343">
        <v>9</v>
      </c>
      <c r="AK4343">
        <v>278</v>
      </c>
      <c r="AL4343">
        <v>278</v>
      </c>
      <c r="AM4343">
        <v>493</v>
      </c>
      <c r="AN4343">
        <v>44</v>
      </c>
      <c r="AP4343">
        <v>1</v>
      </c>
      <c r="AR4343" t="s">
        <v>4443</v>
      </c>
      <c r="AS4343" s="1">
        <v>44354.024305555555</v>
      </c>
      <c r="AT4343" s="1">
        <v>44354.029942129629</v>
      </c>
      <c r="AU4343" s="1">
        <v>44354.030555555553</v>
      </c>
      <c r="AV4343" t="s">
        <v>71</v>
      </c>
      <c r="AW4343" t="s">
        <v>72</v>
      </c>
      <c r="AX4343" t="s">
        <v>73</v>
      </c>
    </row>
    <row r="4344" spans="1:50" x14ac:dyDescent="0.3">
      <c r="A4344" t="str">
        <f>"200814B0000"</f>
        <v>200814B0000</v>
      </c>
      <c r="B4344" t="str">
        <f>"200814B00002"</f>
        <v>200814B00002</v>
      </c>
      <c r="C4344" t="str">
        <f t="shared" si="222"/>
        <v>20</v>
      </c>
      <c r="D4344" t="s">
        <v>67</v>
      </c>
      <c r="E4344" t="str">
        <f t="shared" si="223"/>
        <v>019</v>
      </c>
      <c r="F4344" t="s">
        <v>4278</v>
      </c>
      <c r="G4344" t="str">
        <f>"0814"</f>
        <v>0814</v>
      </c>
      <c r="H4344" t="str">
        <f>"0000"</f>
        <v>0000</v>
      </c>
      <c r="I4344" t="s">
        <v>69</v>
      </c>
      <c r="J4344">
        <v>0</v>
      </c>
      <c r="K4344">
        <v>1</v>
      </c>
      <c r="L4344">
        <v>2</v>
      </c>
      <c r="M4344">
        <v>184</v>
      </c>
      <c r="N4344">
        <v>422</v>
      </c>
      <c r="O4344">
        <v>0</v>
      </c>
      <c r="P4344">
        <v>423</v>
      </c>
      <c r="Q4344">
        <v>5</v>
      </c>
      <c r="R4344">
        <v>156</v>
      </c>
      <c r="S4344">
        <v>8</v>
      </c>
      <c r="T4344">
        <v>1</v>
      </c>
      <c r="U4344">
        <v>8</v>
      </c>
      <c r="V4344">
        <v>0</v>
      </c>
      <c r="W4344">
        <v>5</v>
      </c>
      <c r="X4344">
        <v>221</v>
      </c>
      <c r="Y4344">
        <v>0</v>
      </c>
      <c r="Z4344">
        <v>2</v>
      </c>
      <c r="AA4344">
        <v>9</v>
      </c>
      <c r="AB4344">
        <v>2</v>
      </c>
      <c r="AD4344">
        <v>2</v>
      </c>
      <c r="AE4344">
        <v>0</v>
      </c>
      <c r="AF4344">
        <v>0</v>
      </c>
      <c r="AG4344">
        <v>0</v>
      </c>
      <c r="AI4344">
        <v>0</v>
      </c>
      <c r="AJ4344">
        <v>4</v>
      </c>
      <c r="AK4344">
        <v>423</v>
      </c>
      <c r="AL4344">
        <v>423</v>
      </c>
      <c r="AM4344">
        <v>562</v>
      </c>
      <c r="AN4344">
        <v>44</v>
      </c>
      <c r="AP4344">
        <v>1</v>
      </c>
      <c r="AR4344" t="s">
        <v>4444</v>
      </c>
      <c r="AS4344" s="1">
        <v>44353.98541666667</v>
      </c>
      <c r="AT4344" s="1">
        <v>44353.987175925926</v>
      </c>
      <c r="AU4344" s="1">
        <v>44353.987615740742</v>
      </c>
      <c r="AV4344" t="s">
        <v>71</v>
      </c>
      <c r="AW4344" t="s">
        <v>72</v>
      </c>
      <c r="AX4344" t="s">
        <v>73</v>
      </c>
    </row>
    <row r="4345" spans="1:50" x14ac:dyDescent="0.3">
      <c r="A4345" t="str">
        <f>"200814C0100"</f>
        <v>200814C0100</v>
      </c>
      <c r="B4345" t="str">
        <f>"200814C01002"</f>
        <v>200814C01002</v>
      </c>
      <c r="C4345" t="str">
        <f t="shared" si="222"/>
        <v>20</v>
      </c>
      <c r="D4345" t="s">
        <v>67</v>
      </c>
      <c r="E4345" t="str">
        <f t="shared" si="223"/>
        <v>019</v>
      </c>
      <c r="F4345" t="s">
        <v>4278</v>
      </c>
      <c r="G4345" t="str">
        <f>"0814"</f>
        <v>0814</v>
      </c>
      <c r="H4345" t="str">
        <f>"0001"</f>
        <v>0001</v>
      </c>
      <c r="I4345" t="s">
        <v>75</v>
      </c>
      <c r="J4345">
        <v>0</v>
      </c>
      <c r="K4345">
        <v>1</v>
      </c>
      <c r="L4345">
        <v>2</v>
      </c>
      <c r="M4345">
        <v>152</v>
      </c>
      <c r="N4345">
        <v>452</v>
      </c>
      <c r="O4345">
        <v>1</v>
      </c>
      <c r="P4345">
        <v>449</v>
      </c>
      <c r="Q4345">
        <v>5</v>
      </c>
      <c r="R4345">
        <v>128</v>
      </c>
      <c r="S4345">
        <v>17</v>
      </c>
      <c r="T4345">
        <v>2</v>
      </c>
      <c r="U4345">
        <v>8</v>
      </c>
      <c r="V4345">
        <v>1</v>
      </c>
      <c r="W4345">
        <v>1</v>
      </c>
      <c r="X4345">
        <v>254</v>
      </c>
      <c r="Y4345">
        <v>1</v>
      </c>
      <c r="Z4345">
        <v>3</v>
      </c>
      <c r="AA4345">
        <v>12</v>
      </c>
      <c r="AB4345">
        <v>1</v>
      </c>
      <c r="AD4345">
        <v>3</v>
      </c>
      <c r="AE4345">
        <v>0</v>
      </c>
      <c r="AF4345">
        <v>0</v>
      </c>
      <c r="AG4345">
        <v>0</v>
      </c>
      <c r="AI4345">
        <v>0</v>
      </c>
      <c r="AJ4345">
        <v>13</v>
      </c>
      <c r="AK4345">
        <v>449</v>
      </c>
      <c r="AL4345">
        <v>449</v>
      </c>
      <c r="AM4345">
        <v>561</v>
      </c>
      <c r="AN4345">
        <v>44</v>
      </c>
      <c r="AP4345">
        <v>1</v>
      </c>
      <c r="AR4345" t="s">
        <v>4445</v>
      </c>
      <c r="AS4345" s="1">
        <v>44353.986805555556</v>
      </c>
      <c r="AT4345" s="1">
        <v>44353.989189814813</v>
      </c>
      <c r="AU4345" s="1">
        <v>44353.990104166667</v>
      </c>
      <c r="AV4345" t="s">
        <v>71</v>
      </c>
      <c r="AW4345" t="s">
        <v>72</v>
      </c>
      <c r="AX4345" t="s">
        <v>73</v>
      </c>
    </row>
    <row r="4346" spans="1:50" x14ac:dyDescent="0.3">
      <c r="A4346" t="str">
        <f>"200814C0200"</f>
        <v>200814C0200</v>
      </c>
      <c r="B4346" t="str">
        <f>"200814C02002"</f>
        <v>200814C02002</v>
      </c>
      <c r="C4346" t="str">
        <f t="shared" si="222"/>
        <v>20</v>
      </c>
      <c r="D4346" t="s">
        <v>67</v>
      </c>
      <c r="E4346" t="str">
        <f t="shared" si="223"/>
        <v>019</v>
      </c>
      <c r="F4346" t="s">
        <v>4278</v>
      </c>
      <c r="G4346" t="str">
        <f>"0814"</f>
        <v>0814</v>
      </c>
      <c r="H4346" t="str">
        <f>"0002"</f>
        <v>0002</v>
      </c>
      <c r="I4346" t="s">
        <v>75</v>
      </c>
      <c r="J4346">
        <v>0</v>
      </c>
      <c r="K4346">
        <v>1</v>
      </c>
      <c r="L4346">
        <v>2</v>
      </c>
      <c r="M4346">
        <v>144</v>
      </c>
      <c r="N4346" t="s">
        <v>80</v>
      </c>
      <c r="O4346">
        <v>4</v>
      </c>
      <c r="P4346">
        <v>462</v>
      </c>
      <c r="Q4346">
        <v>7</v>
      </c>
      <c r="R4346">
        <v>134</v>
      </c>
      <c r="S4346">
        <v>10</v>
      </c>
      <c r="T4346">
        <v>3</v>
      </c>
      <c r="U4346">
        <v>7</v>
      </c>
      <c r="V4346">
        <v>3</v>
      </c>
      <c r="W4346">
        <v>1</v>
      </c>
      <c r="X4346">
        <v>264</v>
      </c>
      <c r="Y4346">
        <v>0</v>
      </c>
      <c r="Z4346">
        <v>4</v>
      </c>
      <c r="AA4346">
        <v>17</v>
      </c>
      <c r="AB4346">
        <v>2</v>
      </c>
      <c r="AD4346">
        <v>5</v>
      </c>
      <c r="AE4346">
        <v>0</v>
      </c>
      <c r="AF4346">
        <v>0</v>
      </c>
      <c r="AG4346">
        <v>0</v>
      </c>
      <c r="AI4346">
        <v>0</v>
      </c>
      <c r="AJ4346">
        <v>5</v>
      </c>
      <c r="AK4346">
        <v>462</v>
      </c>
      <c r="AL4346">
        <v>462</v>
      </c>
      <c r="AM4346">
        <v>561</v>
      </c>
      <c r="AN4346">
        <v>44</v>
      </c>
      <c r="AP4346">
        <v>1</v>
      </c>
      <c r="AR4346" t="s">
        <v>4446</v>
      </c>
      <c r="AS4346" s="1">
        <v>44353.929166666669</v>
      </c>
      <c r="AT4346" s="1">
        <v>44353.931597222225</v>
      </c>
      <c r="AU4346" s="1">
        <v>44353.932164351849</v>
      </c>
      <c r="AV4346" t="s">
        <v>71</v>
      </c>
      <c r="AW4346" t="s">
        <v>72</v>
      </c>
      <c r="AX4346" t="s">
        <v>73</v>
      </c>
    </row>
    <row r="4347" spans="1:50" x14ac:dyDescent="0.3">
      <c r="A4347" t="str">
        <f>"200815B0000"</f>
        <v>200815B0000</v>
      </c>
      <c r="B4347" t="str">
        <f>"200815B00002"</f>
        <v>200815B00002</v>
      </c>
      <c r="C4347" t="str">
        <f t="shared" si="222"/>
        <v>20</v>
      </c>
      <c r="D4347" t="s">
        <v>67</v>
      </c>
      <c r="E4347" t="str">
        <f t="shared" si="223"/>
        <v>019</v>
      </c>
      <c r="F4347" t="s">
        <v>4278</v>
      </c>
      <c r="G4347" t="str">
        <f>"0815"</f>
        <v>0815</v>
      </c>
      <c r="H4347" t="str">
        <f>"0000"</f>
        <v>0000</v>
      </c>
      <c r="I4347" t="s">
        <v>69</v>
      </c>
      <c r="J4347">
        <v>0</v>
      </c>
      <c r="K4347">
        <v>1</v>
      </c>
      <c r="L4347">
        <v>2</v>
      </c>
      <c r="AM4347">
        <v>683</v>
      </c>
      <c r="AN4347">
        <v>44</v>
      </c>
      <c r="AO4347" t="s">
        <v>352</v>
      </c>
      <c r="AP4347">
        <v>0</v>
      </c>
      <c r="AR4347" t="s">
        <v>4447</v>
      </c>
      <c r="AS4347" s="1">
        <v>44354.606944444444</v>
      </c>
      <c r="AT4347" s="1">
        <v>44354.608344907407</v>
      </c>
      <c r="AU4347" s="1">
        <v>44354.608344907407</v>
      </c>
      <c r="AV4347" t="s">
        <v>71</v>
      </c>
      <c r="AW4347" t="s">
        <v>72</v>
      </c>
      <c r="AX4347" t="s">
        <v>73</v>
      </c>
    </row>
    <row r="4348" spans="1:50" x14ac:dyDescent="0.3">
      <c r="A4348" t="str">
        <f>"200815C0100"</f>
        <v>200815C0100</v>
      </c>
      <c r="B4348" t="str">
        <f>"200815C01002"</f>
        <v>200815C01002</v>
      </c>
      <c r="C4348" t="str">
        <f t="shared" si="222"/>
        <v>20</v>
      </c>
      <c r="D4348" t="s">
        <v>67</v>
      </c>
      <c r="E4348" t="str">
        <f t="shared" si="223"/>
        <v>019</v>
      </c>
      <c r="F4348" t="s">
        <v>4278</v>
      </c>
      <c r="G4348" t="str">
        <f>"0815"</f>
        <v>0815</v>
      </c>
      <c r="H4348" t="str">
        <f>"0001"</f>
        <v>0001</v>
      </c>
      <c r="I4348" t="s">
        <v>75</v>
      </c>
      <c r="J4348">
        <v>0</v>
      </c>
      <c r="K4348">
        <v>1</v>
      </c>
      <c r="L4348">
        <v>2</v>
      </c>
      <c r="M4348">
        <v>192</v>
      </c>
      <c r="N4348">
        <v>536</v>
      </c>
      <c r="O4348">
        <v>0</v>
      </c>
      <c r="P4348">
        <v>535</v>
      </c>
      <c r="Q4348">
        <v>7</v>
      </c>
      <c r="R4348">
        <v>188</v>
      </c>
      <c r="S4348">
        <v>19</v>
      </c>
      <c r="T4348">
        <v>2</v>
      </c>
      <c r="U4348">
        <v>15</v>
      </c>
      <c r="V4348">
        <v>3</v>
      </c>
      <c r="W4348">
        <v>0</v>
      </c>
      <c r="X4348">
        <v>267</v>
      </c>
      <c r="Y4348">
        <v>0</v>
      </c>
      <c r="Z4348">
        <v>5</v>
      </c>
      <c r="AA4348">
        <v>11</v>
      </c>
      <c r="AB4348">
        <v>2</v>
      </c>
      <c r="AD4348">
        <v>0</v>
      </c>
      <c r="AE4348">
        <v>1</v>
      </c>
      <c r="AF4348">
        <v>1</v>
      </c>
      <c r="AG4348">
        <v>1</v>
      </c>
      <c r="AI4348">
        <v>0</v>
      </c>
      <c r="AJ4348">
        <v>13</v>
      </c>
      <c r="AK4348">
        <v>535</v>
      </c>
      <c r="AL4348">
        <v>535</v>
      </c>
      <c r="AM4348">
        <v>683</v>
      </c>
      <c r="AN4348">
        <v>44</v>
      </c>
      <c r="AP4348">
        <v>1</v>
      </c>
      <c r="AR4348" t="s">
        <v>4448</v>
      </c>
      <c r="AS4348" s="1">
        <v>44354.355555555558</v>
      </c>
      <c r="AT4348" s="1">
        <v>44354.357407407406</v>
      </c>
      <c r="AU4348" s="1">
        <v>44354.358298611114</v>
      </c>
      <c r="AV4348" t="s">
        <v>71</v>
      </c>
      <c r="AW4348" t="s">
        <v>72</v>
      </c>
      <c r="AX4348" t="s">
        <v>73</v>
      </c>
    </row>
    <row r="4349" spans="1:50" x14ac:dyDescent="0.3">
      <c r="A4349" t="str">
        <f>"200815C0200"</f>
        <v>200815C0200</v>
      </c>
      <c r="B4349" t="str">
        <f>"200815C02002"</f>
        <v>200815C02002</v>
      </c>
      <c r="C4349" t="str">
        <f t="shared" si="222"/>
        <v>20</v>
      </c>
      <c r="D4349" t="s">
        <v>67</v>
      </c>
      <c r="E4349" t="str">
        <f t="shared" si="223"/>
        <v>019</v>
      </c>
      <c r="F4349" t="s">
        <v>4278</v>
      </c>
      <c r="G4349" t="str">
        <f>"0815"</f>
        <v>0815</v>
      </c>
      <c r="H4349" t="str">
        <f>"0002"</f>
        <v>0002</v>
      </c>
      <c r="I4349" t="s">
        <v>75</v>
      </c>
      <c r="J4349">
        <v>0</v>
      </c>
      <c r="K4349">
        <v>1</v>
      </c>
      <c r="L4349">
        <v>2</v>
      </c>
      <c r="M4349">
        <v>196</v>
      </c>
      <c r="N4349">
        <v>531</v>
      </c>
      <c r="O4349">
        <v>0</v>
      </c>
      <c r="P4349">
        <v>527</v>
      </c>
      <c r="Q4349">
        <v>14</v>
      </c>
      <c r="R4349">
        <v>162</v>
      </c>
      <c r="S4349">
        <v>11</v>
      </c>
      <c r="T4349">
        <v>2</v>
      </c>
      <c r="U4349">
        <v>13</v>
      </c>
      <c r="V4349">
        <v>8</v>
      </c>
      <c r="W4349">
        <v>0</v>
      </c>
      <c r="X4349">
        <v>286</v>
      </c>
      <c r="Y4349">
        <v>2</v>
      </c>
      <c r="Z4349">
        <v>5</v>
      </c>
      <c r="AA4349">
        <v>6</v>
      </c>
      <c r="AB4349">
        <v>3</v>
      </c>
      <c r="AD4349">
        <v>5</v>
      </c>
      <c r="AE4349">
        <v>0</v>
      </c>
      <c r="AF4349">
        <v>0</v>
      </c>
      <c r="AG4349">
        <v>0</v>
      </c>
      <c r="AI4349">
        <v>1</v>
      </c>
      <c r="AJ4349">
        <v>9</v>
      </c>
      <c r="AK4349">
        <v>527</v>
      </c>
      <c r="AL4349">
        <v>527</v>
      </c>
      <c r="AM4349">
        <v>683</v>
      </c>
      <c r="AN4349">
        <v>44</v>
      </c>
      <c r="AP4349">
        <v>1</v>
      </c>
      <c r="AR4349" t="s">
        <v>4449</v>
      </c>
      <c r="AS4349" s="1">
        <v>44354.309027777781</v>
      </c>
      <c r="AT4349" s="1">
        <v>44354.310567129629</v>
      </c>
      <c r="AU4349" s="1">
        <v>44354.311585648145</v>
      </c>
      <c r="AV4349" t="s">
        <v>71</v>
      </c>
      <c r="AW4349" t="s">
        <v>72</v>
      </c>
      <c r="AX4349" t="s">
        <v>73</v>
      </c>
    </row>
    <row r="4350" spans="1:50" x14ac:dyDescent="0.3">
      <c r="A4350" t="str">
        <f>"200815C0300"</f>
        <v>200815C0300</v>
      </c>
      <c r="B4350" t="str">
        <f>"200815C03002"</f>
        <v>200815C03002</v>
      </c>
      <c r="C4350" t="str">
        <f t="shared" si="222"/>
        <v>20</v>
      </c>
      <c r="D4350" t="s">
        <v>67</v>
      </c>
      <c r="E4350" t="str">
        <f t="shared" si="223"/>
        <v>019</v>
      </c>
      <c r="F4350" t="s">
        <v>4278</v>
      </c>
      <c r="G4350" t="str">
        <f>"0815"</f>
        <v>0815</v>
      </c>
      <c r="H4350" t="str">
        <f>"0003"</f>
        <v>0003</v>
      </c>
      <c r="I4350" t="s">
        <v>75</v>
      </c>
      <c r="J4350">
        <v>0</v>
      </c>
      <c r="K4350">
        <v>1</v>
      </c>
      <c r="L4350">
        <v>2</v>
      </c>
      <c r="M4350">
        <v>202</v>
      </c>
      <c r="N4350">
        <v>525</v>
      </c>
      <c r="O4350">
        <v>0</v>
      </c>
      <c r="P4350">
        <v>527</v>
      </c>
      <c r="Q4350">
        <v>9</v>
      </c>
      <c r="R4350">
        <v>184</v>
      </c>
      <c r="S4350">
        <v>19</v>
      </c>
      <c r="T4350">
        <v>0</v>
      </c>
      <c r="U4350">
        <v>13</v>
      </c>
      <c r="V4350">
        <v>4</v>
      </c>
      <c r="W4350">
        <v>0</v>
      </c>
      <c r="X4350">
        <v>270</v>
      </c>
      <c r="Y4350">
        <v>1</v>
      </c>
      <c r="Z4350">
        <v>4</v>
      </c>
      <c r="AA4350">
        <v>9</v>
      </c>
      <c r="AB4350">
        <v>5</v>
      </c>
      <c r="AD4350">
        <v>0</v>
      </c>
      <c r="AE4350">
        <v>0</v>
      </c>
      <c r="AF4350">
        <v>0</v>
      </c>
      <c r="AG4350">
        <v>0</v>
      </c>
      <c r="AI4350">
        <v>0</v>
      </c>
      <c r="AJ4350">
        <v>9</v>
      </c>
      <c r="AK4350">
        <v>527</v>
      </c>
      <c r="AL4350">
        <v>527</v>
      </c>
      <c r="AM4350">
        <v>683</v>
      </c>
      <c r="AN4350">
        <v>44</v>
      </c>
      <c r="AP4350">
        <v>1</v>
      </c>
      <c r="AR4350" t="s">
        <v>4450</v>
      </c>
      <c r="AS4350" s="1">
        <v>44354.30972222222</v>
      </c>
      <c r="AT4350" s="1">
        <v>44354.311527777776</v>
      </c>
      <c r="AU4350" s="1">
        <v>44354.312245370369</v>
      </c>
      <c r="AV4350" t="s">
        <v>71</v>
      </c>
      <c r="AW4350" t="s">
        <v>72</v>
      </c>
      <c r="AX4350" t="s">
        <v>73</v>
      </c>
    </row>
    <row r="4351" spans="1:50" x14ac:dyDescent="0.3">
      <c r="A4351" t="str">
        <f>"200815C0400"</f>
        <v>200815C0400</v>
      </c>
      <c r="B4351" t="str">
        <f>"200815C04002"</f>
        <v>200815C04002</v>
      </c>
      <c r="C4351" t="str">
        <f t="shared" si="222"/>
        <v>20</v>
      </c>
      <c r="D4351" t="s">
        <v>67</v>
      </c>
      <c r="E4351" t="str">
        <f t="shared" si="223"/>
        <v>019</v>
      </c>
      <c r="F4351" t="s">
        <v>4278</v>
      </c>
      <c r="G4351" t="str">
        <f>"0815"</f>
        <v>0815</v>
      </c>
      <c r="H4351" t="str">
        <f>"0004"</f>
        <v>0004</v>
      </c>
      <c r="I4351" t="s">
        <v>75</v>
      </c>
      <c r="J4351">
        <v>0</v>
      </c>
      <c r="K4351">
        <v>1</v>
      </c>
      <c r="L4351">
        <v>2</v>
      </c>
      <c r="M4351">
        <v>213</v>
      </c>
      <c r="N4351">
        <v>513</v>
      </c>
      <c r="O4351">
        <v>0</v>
      </c>
      <c r="P4351">
        <v>513</v>
      </c>
      <c r="Q4351">
        <v>1</v>
      </c>
      <c r="R4351">
        <v>191</v>
      </c>
      <c r="S4351">
        <v>17</v>
      </c>
      <c r="T4351">
        <v>2</v>
      </c>
      <c r="U4351">
        <v>9</v>
      </c>
      <c r="V4351">
        <v>0</v>
      </c>
      <c r="W4351">
        <v>0</v>
      </c>
      <c r="X4351">
        <v>265</v>
      </c>
      <c r="Y4351">
        <v>0</v>
      </c>
      <c r="Z4351">
        <v>4</v>
      </c>
      <c r="AA4351">
        <v>0</v>
      </c>
      <c r="AB4351">
        <v>1</v>
      </c>
      <c r="AD4351">
        <v>5</v>
      </c>
      <c r="AE4351">
        <v>0</v>
      </c>
      <c r="AF4351">
        <v>0</v>
      </c>
      <c r="AG4351">
        <v>0</v>
      </c>
      <c r="AI4351">
        <v>0</v>
      </c>
      <c r="AJ4351">
        <v>9</v>
      </c>
      <c r="AK4351">
        <v>513</v>
      </c>
      <c r="AL4351">
        <v>504</v>
      </c>
      <c r="AM4351">
        <v>682</v>
      </c>
      <c r="AN4351">
        <v>44</v>
      </c>
      <c r="AP4351">
        <v>1</v>
      </c>
      <c r="AR4351" t="s">
        <v>4451</v>
      </c>
      <c r="AS4351" s="1">
        <v>44354.195138888892</v>
      </c>
      <c r="AT4351" s="1">
        <v>44354.196203703701</v>
      </c>
      <c r="AU4351" s="1">
        <v>44354.197222222225</v>
      </c>
      <c r="AV4351" t="s">
        <v>71</v>
      </c>
      <c r="AW4351" t="s">
        <v>72</v>
      </c>
      <c r="AX4351" t="s">
        <v>73</v>
      </c>
    </row>
    <row r="4352" spans="1:50" x14ac:dyDescent="0.3">
      <c r="A4352" t="str">
        <f>"200816B0000"</f>
        <v>200816B0000</v>
      </c>
      <c r="B4352" t="str">
        <f>"200816B00002"</f>
        <v>200816B00002</v>
      </c>
      <c r="C4352" t="str">
        <f t="shared" si="222"/>
        <v>20</v>
      </c>
      <c r="D4352" t="s">
        <v>67</v>
      </c>
      <c r="E4352" t="str">
        <f t="shared" si="223"/>
        <v>019</v>
      </c>
      <c r="F4352" t="s">
        <v>4278</v>
      </c>
      <c r="G4352" t="str">
        <f>"0816"</f>
        <v>0816</v>
      </c>
      <c r="H4352" t="str">
        <f>"0000"</f>
        <v>0000</v>
      </c>
      <c r="I4352" t="s">
        <v>69</v>
      </c>
      <c r="J4352">
        <v>0</v>
      </c>
      <c r="K4352">
        <v>1</v>
      </c>
      <c r="L4352">
        <v>2</v>
      </c>
      <c r="M4352">
        <v>179</v>
      </c>
      <c r="N4352">
        <v>517</v>
      </c>
      <c r="O4352">
        <v>0</v>
      </c>
      <c r="P4352">
        <v>516</v>
      </c>
      <c r="Q4352">
        <v>18</v>
      </c>
      <c r="R4352">
        <v>153</v>
      </c>
      <c r="S4352">
        <v>17</v>
      </c>
      <c r="T4352">
        <v>4</v>
      </c>
      <c r="U4352">
        <v>17</v>
      </c>
      <c r="V4352">
        <v>0</v>
      </c>
      <c r="W4352">
        <v>2</v>
      </c>
      <c r="X4352">
        <v>260</v>
      </c>
      <c r="Y4352">
        <v>9</v>
      </c>
      <c r="Z4352">
        <v>7</v>
      </c>
      <c r="AA4352">
        <v>6</v>
      </c>
      <c r="AB4352">
        <v>6</v>
      </c>
      <c r="AD4352">
        <v>2</v>
      </c>
      <c r="AE4352">
        <v>1</v>
      </c>
      <c r="AF4352">
        <v>0</v>
      </c>
      <c r="AG4352">
        <v>0</v>
      </c>
      <c r="AI4352">
        <v>0</v>
      </c>
      <c r="AJ4352">
        <v>14</v>
      </c>
      <c r="AK4352">
        <v>516</v>
      </c>
      <c r="AL4352">
        <v>516</v>
      </c>
      <c r="AM4352">
        <v>652</v>
      </c>
      <c r="AN4352">
        <v>44</v>
      </c>
      <c r="AP4352">
        <v>1</v>
      </c>
      <c r="AR4352" t="s">
        <v>4452</v>
      </c>
      <c r="AS4352" s="1">
        <v>44354.496527777781</v>
      </c>
      <c r="AT4352" s="1">
        <v>44354.499618055554</v>
      </c>
      <c r="AU4352" s="1">
        <v>44354.501076388886</v>
      </c>
      <c r="AV4352" t="s">
        <v>71</v>
      </c>
      <c r="AW4352" t="s">
        <v>72</v>
      </c>
      <c r="AX4352" t="s">
        <v>73</v>
      </c>
    </row>
    <row r="4353" spans="1:50" x14ac:dyDescent="0.3">
      <c r="A4353" t="str">
        <f>"200816C0100"</f>
        <v>200816C0100</v>
      </c>
      <c r="B4353" t="str">
        <f>"200816C01002"</f>
        <v>200816C01002</v>
      </c>
      <c r="C4353" t="str">
        <f t="shared" si="222"/>
        <v>20</v>
      </c>
      <c r="D4353" t="s">
        <v>67</v>
      </c>
      <c r="E4353" t="str">
        <f t="shared" si="223"/>
        <v>019</v>
      </c>
      <c r="F4353" t="s">
        <v>4278</v>
      </c>
      <c r="G4353" t="str">
        <f>"0816"</f>
        <v>0816</v>
      </c>
      <c r="H4353" t="str">
        <f>"0001"</f>
        <v>0001</v>
      </c>
      <c r="I4353" t="s">
        <v>75</v>
      </c>
      <c r="J4353">
        <v>0</v>
      </c>
      <c r="K4353">
        <v>1</v>
      </c>
      <c r="L4353">
        <v>2</v>
      </c>
      <c r="M4353">
        <v>156</v>
      </c>
      <c r="N4353">
        <v>540</v>
      </c>
      <c r="O4353">
        <v>5</v>
      </c>
      <c r="P4353">
        <v>540</v>
      </c>
      <c r="Q4353">
        <v>13</v>
      </c>
      <c r="R4353">
        <v>154</v>
      </c>
      <c r="S4353">
        <v>18</v>
      </c>
      <c r="T4353">
        <v>7</v>
      </c>
      <c r="U4353">
        <v>31</v>
      </c>
      <c r="V4353">
        <v>3</v>
      </c>
      <c r="W4353">
        <v>4</v>
      </c>
      <c r="X4353">
        <v>269</v>
      </c>
      <c r="Y4353">
        <v>1</v>
      </c>
      <c r="Z4353">
        <v>3</v>
      </c>
      <c r="AA4353">
        <v>13</v>
      </c>
      <c r="AB4353">
        <v>5</v>
      </c>
      <c r="AD4353">
        <v>9</v>
      </c>
      <c r="AE4353">
        <v>0</v>
      </c>
      <c r="AF4353">
        <v>0</v>
      </c>
      <c r="AG4353">
        <v>0</v>
      </c>
      <c r="AI4353">
        <v>0</v>
      </c>
      <c r="AJ4353">
        <v>10</v>
      </c>
      <c r="AK4353">
        <v>540</v>
      </c>
      <c r="AL4353">
        <v>540</v>
      </c>
      <c r="AM4353">
        <v>652</v>
      </c>
      <c r="AN4353">
        <v>44</v>
      </c>
      <c r="AP4353">
        <v>1</v>
      </c>
      <c r="AR4353" t="s">
        <v>4453</v>
      </c>
      <c r="AS4353" s="1">
        <v>44354.497916666667</v>
      </c>
      <c r="AT4353" s="1">
        <v>44354.499444444446</v>
      </c>
      <c r="AU4353" s="1">
        <v>44354.499930555554</v>
      </c>
      <c r="AV4353" t="s">
        <v>71</v>
      </c>
      <c r="AW4353" t="s">
        <v>72</v>
      </c>
      <c r="AX4353" t="s">
        <v>73</v>
      </c>
    </row>
    <row r="4354" spans="1:50" x14ac:dyDescent="0.3">
      <c r="A4354" t="str">
        <f>"200816C0200"</f>
        <v>200816C0200</v>
      </c>
      <c r="B4354" t="str">
        <f>"200816C02002"</f>
        <v>200816C02002</v>
      </c>
      <c r="C4354" t="str">
        <f t="shared" si="222"/>
        <v>20</v>
      </c>
      <c r="D4354" t="s">
        <v>67</v>
      </c>
      <c r="E4354" t="str">
        <f t="shared" si="223"/>
        <v>019</v>
      </c>
      <c r="F4354" t="s">
        <v>4278</v>
      </c>
      <c r="G4354" t="str">
        <f>"0816"</f>
        <v>0816</v>
      </c>
      <c r="H4354" t="str">
        <f>"0002"</f>
        <v>0002</v>
      </c>
      <c r="I4354" t="s">
        <v>75</v>
      </c>
      <c r="J4354">
        <v>0</v>
      </c>
      <c r="K4354">
        <v>1</v>
      </c>
      <c r="L4354">
        <v>2</v>
      </c>
      <c r="M4354">
        <v>182</v>
      </c>
      <c r="N4354">
        <v>513</v>
      </c>
      <c r="O4354">
        <v>2</v>
      </c>
      <c r="P4354">
        <v>513</v>
      </c>
      <c r="Q4354">
        <v>10</v>
      </c>
      <c r="R4354">
        <v>170</v>
      </c>
      <c r="S4354">
        <v>12</v>
      </c>
      <c r="T4354">
        <v>4</v>
      </c>
      <c r="U4354">
        <v>15</v>
      </c>
      <c r="V4354">
        <v>3</v>
      </c>
      <c r="W4354">
        <v>1</v>
      </c>
      <c r="X4354">
        <v>269</v>
      </c>
      <c r="Y4354">
        <v>3</v>
      </c>
      <c r="Z4354">
        <v>4</v>
      </c>
      <c r="AA4354">
        <v>11</v>
      </c>
      <c r="AB4354">
        <v>1</v>
      </c>
      <c r="AD4354">
        <v>3</v>
      </c>
      <c r="AE4354">
        <v>0</v>
      </c>
      <c r="AF4354">
        <v>0</v>
      </c>
      <c r="AG4354">
        <v>0</v>
      </c>
      <c r="AI4354">
        <v>0</v>
      </c>
      <c r="AJ4354">
        <v>7</v>
      </c>
      <c r="AK4354">
        <v>513</v>
      </c>
      <c r="AL4354">
        <v>513</v>
      </c>
      <c r="AM4354">
        <v>651</v>
      </c>
      <c r="AN4354">
        <v>44</v>
      </c>
      <c r="AP4354">
        <v>1</v>
      </c>
      <c r="AR4354" t="s">
        <v>4454</v>
      </c>
      <c r="AS4354" s="1">
        <v>44354.504166666666</v>
      </c>
      <c r="AT4354" s="1">
        <v>44354.505995370368</v>
      </c>
      <c r="AU4354" s="1">
        <v>44354.506365740737</v>
      </c>
      <c r="AV4354" t="s">
        <v>71</v>
      </c>
      <c r="AW4354" t="s">
        <v>72</v>
      </c>
      <c r="AX4354" t="s">
        <v>73</v>
      </c>
    </row>
    <row r="4355" spans="1:50" x14ac:dyDescent="0.3">
      <c r="A4355" t="str">
        <f>"200817B0000"</f>
        <v>200817B0000</v>
      </c>
      <c r="B4355" t="str">
        <f>"200817B00002"</f>
        <v>200817B00002</v>
      </c>
      <c r="C4355" t="str">
        <f t="shared" si="222"/>
        <v>20</v>
      </c>
      <c r="D4355" t="s">
        <v>67</v>
      </c>
      <c r="E4355" t="str">
        <f t="shared" si="223"/>
        <v>019</v>
      </c>
      <c r="F4355" t="s">
        <v>4278</v>
      </c>
      <c r="G4355" t="str">
        <f>"0817"</f>
        <v>0817</v>
      </c>
      <c r="H4355" t="str">
        <f>"0000"</f>
        <v>0000</v>
      </c>
      <c r="I4355" t="s">
        <v>69</v>
      </c>
      <c r="J4355">
        <v>0</v>
      </c>
      <c r="K4355">
        <v>1</v>
      </c>
      <c r="L4355">
        <v>2</v>
      </c>
      <c r="M4355">
        <v>161</v>
      </c>
      <c r="N4355">
        <v>419</v>
      </c>
      <c r="O4355">
        <v>1</v>
      </c>
      <c r="P4355">
        <v>419</v>
      </c>
      <c r="Q4355">
        <v>12</v>
      </c>
      <c r="R4355">
        <v>95</v>
      </c>
      <c r="S4355">
        <v>7</v>
      </c>
      <c r="T4355">
        <v>2</v>
      </c>
      <c r="U4355">
        <v>24</v>
      </c>
      <c r="V4355">
        <v>1</v>
      </c>
      <c r="W4355">
        <v>2</v>
      </c>
      <c r="X4355">
        <v>224</v>
      </c>
      <c r="Y4355">
        <v>2</v>
      </c>
      <c r="Z4355">
        <v>4</v>
      </c>
      <c r="AA4355">
        <v>19</v>
      </c>
      <c r="AB4355">
        <v>6</v>
      </c>
      <c r="AD4355">
        <v>4</v>
      </c>
      <c r="AE4355">
        <v>0</v>
      </c>
      <c r="AF4355">
        <v>0</v>
      </c>
      <c r="AG4355">
        <v>1</v>
      </c>
      <c r="AI4355">
        <v>0</v>
      </c>
      <c r="AJ4355">
        <v>16</v>
      </c>
      <c r="AK4355">
        <v>419</v>
      </c>
      <c r="AL4355">
        <v>419</v>
      </c>
      <c r="AM4355">
        <v>536</v>
      </c>
      <c r="AN4355">
        <v>44</v>
      </c>
      <c r="AP4355">
        <v>1</v>
      </c>
      <c r="AR4355" t="s">
        <v>4455</v>
      </c>
      <c r="AS4355" s="1">
        <v>44354.063888888886</v>
      </c>
      <c r="AT4355" s="1">
        <v>44354.069062499999</v>
      </c>
      <c r="AU4355" s="1">
        <v>44354.069780092592</v>
      </c>
      <c r="AV4355" t="s">
        <v>71</v>
      </c>
      <c r="AW4355" t="s">
        <v>72</v>
      </c>
      <c r="AX4355" t="s">
        <v>73</v>
      </c>
    </row>
    <row r="4356" spans="1:50" x14ac:dyDescent="0.3">
      <c r="A4356" t="str">
        <f>"200817C0100"</f>
        <v>200817C0100</v>
      </c>
      <c r="B4356" t="str">
        <f>"200817C01002"</f>
        <v>200817C01002</v>
      </c>
      <c r="C4356" t="str">
        <f t="shared" si="222"/>
        <v>20</v>
      </c>
      <c r="D4356" t="s">
        <v>67</v>
      </c>
      <c r="E4356" t="str">
        <f t="shared" si="223"/>
        <v>019</v>
      </c>
      <c r="F4356" t="s">
        <v>4278</v>
      </c>
      <c r="G4356" t="str">
        <f>"0817"</f>
        <v>0817</v>
      </c>
      <c r="H4356" t="str">
        <f>"0001"</f>
        <v>0001</v>
      </c>
      <c r="I4356" t="s">
        <v>75</v>
      </c>
      <c r="J4356">
        <v>0</v>
      </c>
      <c r="K4356">
        <v>1</v>
      </c>
      <c r="L4356">
        <v>2</v>
      </c>
      <c r="M4356">
        <v>156</v>
      </c>
      <c r="N4356">
        <v>423</v>
      </c>
      <c r="O4356">
        <v>1</v>
      </c>
      <c r="P4356" t="s">
        <v>80</v>
      </c>
      <c r="Q4356">
        <v>9</v>
      </c>
      <c r="R4356">
        <v>130</v>
      </c>
      <c r="S4356">
        <v>7</v>
      </c>
      <c r="T4356">
        <v>1</v>
      </c>
      <c r="U4356">
        <v>28</v>
      </c>
      <c r="V4356">
        <v>2</v>
      </c>
      <c r="W4356">
        <v>1</v>
      </c>
      <c r="X4356">
        <v>220</v>
      </c>
      <c r="Y4356">
        <v>1</v>
      </c>
      <c r="Z4356">
        <v>1</v>
      </c>
      <c r="AA4356">
        <v>4</v>
      </c>
      <c r="AB4356">
        <v>2</v>
      </c>
      <c r="AD4356">
        <v>2</v>
      </c>
      <c r="AE4356">
        <v>0</v>
      </c>
      <c r="AF4356">
        <v>0</v>
      </c>
      <c r="AG4356">
        <v>0</v>
      </c>
      <c r="AI4356">
        <v>0</v>
      </c>
      <c r="AJ4356">
        <v>15</v>
      </c>
      <c r="AK4356">
        <v>423</v>
      </c>
      <c r="AL4356">
        <v>423</v>
      </c>
      <c r="AM4356">
        <v>535</v>
      </c>
      <c r="AN4356">
        <v>44</v>
      </c>
      <c r="AP4356">
        <v>1</v>
      </c>
      <c r="AR4356" t="s">
        <v>4456</v>
      </c>
      <c r="AS4356" s="1">
        <v>44354.356249999997</v>
      </c>
      <c r="AT4356" s="1">
        <v>44354.357870370368</v>
      </c>
      <c r="AU4356" s="1">
        <v>44354.358449074076</v>
      </c>
      <c r="AV4356" t="s">
        <v>71</v>
      </c>
      <c r="AW4356" t="s">
        <v>72</v>
      </c>
      <c r="AX4356" t="s">
        <v>73</v>
      </c>
    </row>
    <row r="4357" spans="1:50" x14ac:dyDescent="0.3">
      <c r="A4357" t="str">
        <f>"200817C0200"</f>
        <v>200817C0200</v>
      </c>
      <c r="B4357" t="str">
        <f>"200817C02002"</f>
        <v>200817C02002</v>
      </c>
      <c r="C4357" t="str">
        <f t="shared" si="222"/>
        <v>20</v>
      </c>
      <c r="D4357" t="s">
        <v>67</v>
      </c>
      <c r="E4357" t="str">
        <f t="shared" si="223"/>
        <v>019</v>
      </c>
      <c r="F4357" t="s">
        <v>4278</v>
      </c>
      <c r="G4357" t="str">
        <f>"0817"</f>
        <v>0817</v>
      </c>
      <c r="H4357" t="str">
        <f>"0002"</f>
        <v>0002</v>
      </c>
      <c r="I4357" t="s">
        <v>75</v>
      </c>
      <c r="J4357">
        <v>0</v>
      </c>
      <c r="K4357">
        <v>1</v>
      </c>
      <c r="L4357">
        <v>2</v>
      </c>
      <c r="M4357">
        <v>136</v>
      </c>
      <c r="N4357">
        <v>443</v>
      </c>
      <c r="O4357">
        <v>0</v>
      </c>
      <c r="P4357">
        <v>443</v>
      </c>
      <c r="Q4357">
        <v>118</v>
      </c>
      <c r="R4357">
        <v>134</v>
      </c>
      <c r="S4357">
        <v>117</v>
      </c>
      <c r="T4357">
        <v>2</v>
      </c>
      <c r="U4357">
        <v>24</v>
      </c>
      <c r="V4357">
        <v>0</v>
      </c>
      <c r="W4357">
        <v>0</v>
      </c>
      <c r="X4357">
        <v>217</v>
      </c>
      <c r="Y4357">
        <v>1</v>
      </c>
      <c r="Z4357">
        <v>4</v>
      </c>
      <c r="AA4357">
        <v>6</v>
      </c>
      <c r="AB4357">
        <v>3</v>
      </c>
      <c r="AD4357">
        <v>0</v>
      </c>
      <c r="AE4357">
        <v>0</v>
      </c>
      <c r="AF4357">
        <v>0</v>
      </c>
      <c r="AG4357">
        <v>0</v>
      </c>
      <c r="AI4357">
        <v>0</v>
      </c>
      <c r="AJ4357">
        <v>13</v>
      </c>
      <c r="AK4357">
        <v>443</v>
      </c>
      <c r="AL4357">
        <v>639</v>
      </c>
      <c r="AM4357">
        <v>535</v>
      </c>
      <c r="AN4357">
        <v>44</v>
      </c>
      <c r="AO4357" t="s">
        <v>245</v>
      </c>
      <c r="AP4357">
        <v>0</v>
      </c>
      <c r="AR4357" t="s">
        <v>4457</v>
      </c>
      <c r="AS4357" s="1">
        <v>44354.1</v>
      </c>
      <c r="AT4357" s="1">
        <v>44354.10125</v>
      </c>
      <c r="AU4357" s="1">
        <v>44354.101701388892</v>
      </c>
      <c r="AV4357" t="s">
        <v>71</v>
      </c>
      <c r="AW4357" t="s">
        <v>72</v>
      </c>
      <c r="AX4357" t="s">
        <v>73</v>
      </c>
    </row>
    <row r="4358" spans="1:50" x14ac:dyDescent="0.3">
      <c r="A4358" t="str">
        <f>"200819B0000"</f>
        <v>200819B0000</v>
      </c>
      <c r="B4358" t="str">
        <f>"200819B00002"</f>
        <v>200819B00002</v>
      </c>
      <c r="C4358" t="str">
        <f t="shared" si="222"/>
        <v>20</v>
      </c>
      <c r="D4358" t="s">
        <v>67</v>
      </c>
      <c r="E4358" t="str">
        <f t="shared" si="223"/>
        <v>019</v>
      </c>
      <c r="F4358" t="s">
        <v>4278</v>
      </c>
      <c r="G4358" t="str">
        <f>"0819"</f>
        <v>0819</v>
      </c>
      <c r="H4358" t="str">
        <f>"0000"</f>
        <v>0000</v>
      </c>
      <c r="I4358" t="s">
        <v>69</v>
      </c>
      <c r="J4358">
        <v>0</v>
      </c>
      <c r="K4358">
        <v>1</v>
      </c>
      <c r="L4358">
        <v>2</v>
      </c>
      <c r="M4358">
        <v>188</v>
      </c>
      <c r="N4358">
        <v>550</v>
      </c>
      <c r="O4358">
        <v>0</v>
      </c>
      <c r="P4358" t="s">
        <v>80</v>
      </c>
      <c r="Q4358">
        <v>5</v>
      </c>
      <c r="R4358">
        <v>189</v>
      </c>
      <c r="S4358">
        <v>6</v>
      </c>
      <c r="T4358">
        <v>0</v>
      </c>
      <c r="U4358">
        <v>2</v>
      </c>
      <c r="V4358">
        <v>2</v>
      </c>
      <c r="W4358">
        <v>0</v>
      </c>
      <c r="X4358">
        <v>346</v>
      </c>
      <c r="Y4358">
        <v>0</v>
      </c>
      <c r="Z4358">
        <v>0</v>
      </c>
      <c r="AA4358">
        <v>0</v>
      </c>
      <c r="AB4358">
        <v>0</v>
      </c>
      <c r="AD4358">
        <v>0</v>
      </c>
      <c r="AE4358">
        <v>0</v>
      </c>
      <c r="AF4358">
        <v>0</v>
      </c>
      <c r="AG4358">
        <v>0</v>
      </c>
      <c r="AI4358">
        <v>0</v>
      </c>
      <c r="AJ4358">
        <v>0</v>
      </c>
      <c r="AK4358">
        <v>550</v>
      </c>
      <c r="AL4358">
        <v>550</v>
      </c>
      <c r="AM4358">
        <v>694</v>
      </c>
      <c r="AN4358">
        <v>44</v>
      </c>
      <c r="AP4358">
        <v>1</v>
      </c>
      <c r="AR4358" t="s">
        <v>4458</v>
      </c>
      <c r="AS4358" s="1">
        <v>44354.133333333331</v>
      </c>
      <c r="AT4358" s="1">
        <v>44354.135613425926</v>
      </c>
      <c r="AU4358" s="1">
        <v>44354.136053240742</v>
      </c>
      <c r="AV4358" t="s">
        <v>71</v>
      </c>
      <c r="AW4358" t="s">
        <v>72</v>
      </c>
      <c r="AX4358" t="s">
        <v>73</v>
      </c>
    </row>
    <row r="4359" spans="1:50" x14ac:dyDescent="0.3">
      <c r="A4359" t="str">
        <f>"200819C0100"</f>
        <v>200819C0100</v>
      </c>
      <c r="B4359" t="str">
        <f>"200819C01002"</f>
        <v>200819C01002</v>
      </c>
      <c r="C4359" t="str">
        <f t="shared" ref="C4359:C4422" si="224">"20"</f>
        <v>20</v>
      </c>
      <c r="D4359" t="s">
        <v>67</v>
      </c>
      <c r="E4359" t="str">
        <f t="shared" si="223"/>
        <v>019</v>
      </c>
      <c r="F4359" t="s">
        <v>4278</v>
      </c>
      <c r="G4359" t="str">
        <f>"0819"</f>
        <v>0819</v>
      </c>
      <c r="H4359" t="str">
        <f>"0001"</f>
        <v>0001</v>
      </c>
      <c r="I4359" t="s">
        <v>75</v>
      </c>
      <c r="J4359">
        <v>0</v>
      </c>
      <c r="K4359">
        <v>1</v>
      </c>
      <c r="L4359">
        <v>2</v>
      </c>
      <c r="M4359">
        <v>119</v>
      </c>
      <c r="N4359">
        <v>533</v>
      </c>
      <c r="O4359">
        <v>533</v>
      </c>
      <c r="P4359">
        <v>545</v>
      </c>
      <c r="Q4359">
        <v>6</v>
      </c>
      <c r="R4359">
        <v>206</v>
      </c>
      <c r="S4359">
        <v>6</v>
      </c>
      <c r="T4359">
        <v>0</v>
      </c>
      <c r="U4359">
        <v>3</v>
      </c>
      <c r="V4359">
        <v>1</v>
      </c>
      <c r="W4359">
        <v>0</v>
      </c>
      <c r="X4359">
        <v>328</v>
      </c>
      <c r="Y4359">
        <v>0</v>
      </c>
      <c r="Z4359">
        <v>1</v>
      </c>
      <c r="AA4359">
        <v>1</v>
      </c>
      <c r="AB4359">
        <v>0</v>
      </c>
      <c r="AD4359">
        <v>0</v>
      </c>
      <c r="AE4359">
        <v>0</v>
      </c>
      <c r="AF4359">
        <v>0</v>
      </c>
      <c r="AG4359">
        <v>0</v>
      </c>
      <c r="AI4359">
        <v>0</v>
      </c>
      <c r="AJ4359">
        <v>0</v>
      </c>
      <c r="AK4359">
        <v>545</v>
      </c>
      <c r="AL4359">
        <v>552</v>
      </c>
      <c r="AM4359">
        <v>694</v>
      </c>
      <c r="AN4359">
        <v>44</v>
      </c>
      <c r="AP4359">
        <v>1</v>
      </c>
      <c r="AR4359" t="s">
        <v>4459</v>
      </c>
      <c r="AS4359" s="1">
        <v>44354.122916666667</v>
      </c>
      <c r="AT4359" s="1">
        <v>44354.125416666669</v>
      </c>
      <c r="AU4359" s="1">
        <v>44354.126400462963</v>
      </c>
      <c r="AV4359" t="s">
        <v>71</v>
      </c>
      <c r="AW4359" t="s">
        <v>72</v>
      </c>
      <c r="AX4359" t="s">
        <v>73</v>
      </c>
    </row>
    <row r="4360" spans="1:50" x14ac:dyDescent="0.3">
      <c r="A4360" t="str">
        <f>"200819C0200"</f>
        <v>200819C0200</v>
      </c>
      <c r="B4360" t="str">
        <f>"200819C02002"</f>
        <v>200819C02002</v>
      </c>
      <c r="C4360" t="str">
        <f t="shared" si="224"/>
        <v>20</v>
      </c>
      <c r="D4360" t="s">
        <v>67</v>
      </c>
      <c r="E4360" t="str">
        <f t="shared" si="223"/>
        <v>019</v>
      </c>
      <c r="F4360" t="s">
        <v>4278</v>
      </c>
      <c r="G4360" t="str">
        <f>"0819"</f>
        <v>0819</v>
      </c>
      <c r="H4360" t="str">
        <f>"0002"</f>
        <v>0002</v>
      </c>
      <c r="I4360" t="s">
        <v>75</v>
      </c>
      <c r="J4360">
        <v>0</v>
      </c>
      <c r="K4360">
        <v>1</v>
      </c>
      <c r="L4360">
        <v>2</v>
      </c>
      <c r="M4360">
        <v>177</v>
      </c>
      <c r="N4360">
        <v>537</v>
      </c>
      <c r="O4360">
        <v>0</v>
      </c>
      <c r="P4360">
        <v>560</v>
      </c>
      <c r="Q4360">
        <v>2</v>
      </c>
      <c r="R4360">
        <v>220</v>
      </c>
      <c r="S4360">
        <v>6</v>
      </c>
      <c r="T4360">
        <v>0</v>
      </c>
      <c r="U4360">
        <v>5</v>
      </c>
      <c r="V4360">
        <v>0</v>
      </c>
      <c r="W4360">
        <v>0</v>
      </c>
      <c r="X4360">
        <v>326</v>
      </c>
      <c r="Y4360">
        <v>0</v>
      </c>
      <c r="Z4360">
        <v>0</v>
      </c>
      <c r="AA4360">
        <v>0</v>
      </c>
      <c r="AB4360">
        <v>0</v>
      </c>
      <c r="AD4360">
        <v>0</v>
      </c>
      <c r="AE4360">
        <v>0</v>
      </c>
      <c r="AF4360">
        <v>0</v>
      </c>
      <c r="AG4360">
        <v>0</v>
      </c>
      <c r="AI4360">
        <v>0</v>
      </c>
      <c r="AJ4360">
        <v>0</v>
      </c>
      <c r="AK4360">
        <v>560</v>
      </c>
      <c r="AL4360">
        <v>559</v>
      </c>
      <c r="AM4360">
        <v>693</v>
      </c>
      <c r="AN4360">
        <v>44</v>
      </c>
      <c r="AP4360">
        <v>1</v>
      </c>
      <c r="AR4360" t="s">
        <v>4460</v>
      </c>
      <c r="AS4360" s="1">
        <v>44354.397916666669</v>
      </c>
      <c r="AT4360" s="1">
        <v>44354.399259259262</v>
      </c>
      <c r="AU4360" s="1">
        <v>44354.400300925925</v>
      </c>
      <c r="AV4360" t="s">
        <v>71</v>
      </c>
      <c r="AW4360" t="s">
        <v>72</v>
      </c>
      <c r="AX4360" t="s">
        <v>73</v>
      </c>
    </row>
    <row r="4361" spans="1:50" x14ac:dyDescent="0.3">
      <c r="A4361" t="str">
        <f>"200819E0100"</f>
        <v>200819E0100</v>
      </c>
      <c r="B4361" t="str">
        <f>"200819E01002"</f>
        <v>200819E01002</v>
      </c>
      <c r="C4361" t="str">
        <f t="shared" si="224"/>
        <v>20</v>
      </c>
      <c r="D4361" t="s">
        <v>67</v>
      </c>
      <c r="E4361" t="str">
        <f t="shared" si="223"/>
        <v>019</v>
      </c>
      <c r="F4361" t="s">
        <v>4278</v>
      </c>
      <c r="G4361" t="str">
        <f>"0819"</f>
        <v>0819</v>
      </c>
      <c r="H4361" t="str">
        <f>"0001"</f>
        <v>0001</v>
      </c>
      <c r="I4361" t="s">
        <v>109</v>
      </c>
      <c r="J4361">
        <v>0</v>
      </c>
      <c r="K4361">
        <v>1</v>
      </c>
      <c r="L4361">
        <v>2</v>
      </c>
      <c r="M4361">
        <v>112</v>
      </c>
      <c r="N4361">
        <v>322</v>
      </c>
      <c r="O4361">
        <v>0</v>
      </c>
      <c r="P4361">
        <v>322</v>
      </c>
      <c r="Q4361">
        <v>6</v>
      </c>
      <c r="R4361">
        <v>97</v>
      </c>
      <c r="S4361">
        <v>8</v>
      </c>
      <c r="T4361">
        <v>1</v>
      </c>
      <c r="U4361">
        <v>10</v>
      </c>
      <c r="V4361">
        <v>5</v>
      </c>
      <c r="W4361">
        <v>0</v>
      </c>
      <c r="X4361">
        <v>170</v>
      </c>
      <c r="Y4361">
        <v>1</v>
      </c>
      <c r="Z4361">
        <v>2</v>
      </c>
      <c r="AA4361">
        <v>7</v>
      </c>
      <c r="AB4361">
        <v>5</v>
      </c>
      <c r="AD4361">
        <v>1</v>
      </c>
      <c r="AE4361">
        <v>1</v>
      </c>
      <c r="AF4361">
        <v>0</v>
      </c>
      <c r="AG4361">
        <v>0</v>
      </c>
      <c r="AI4361">
        <v>0</v>
      </c>
      <c r="AJ4361">
        <v>8</v>
      </c>
      <c r="AK4361">
        <v>322</v>
      </c>
      <c r="AL4361">
        <v>322</v>
      </c>
      <c r="AM4361">
        <v>390</v>
      </c>
      <c r="AN4361">
        <v>44</v>
      </c>
      <c r="AP4361">
        <v>1</v>
      </c>
      <c r="AR4361" t="s">
        <v>4461</v>
      </c>
      <c r="AS4361" s="1">
        <v>44353.988888888889</v>
      </c>
      <c r="AT4361" s="1">
        <v>44353.991597222222</v>
      </c>
      <c r="AU4361" s="1">
        <v>44353.992152777777</v>
      </c>
      <c r="AV4361" t="s">
        <v>71</v>
      </c>
      <c r="AW4361" t="s">
        <v>72</v>
      </c>
      <c r="AX4361" t="s">
        <v>73</v>
      </c>
    </row>
    <row r="4362" spans="1:50" x14ac:dyDescent="0.3">
      <c r="A4362" t="str">
        <f>"200819E0101"</f>
        <v>200819E0101</v>
      </c>
      <c r="B4362" t="str">
        <f>"200819E01012"</f>
        <v>200819E01012</v>
      </c>
      <c r="C4362" t="str">
        <f t="shared" si="224"/>
        <v>20</v>
      </c>
      <c r="D4362" t="s">
        <v>67</v>
      </c>
      <c r="E4362" t="str">
        <f t="shared" si="223"/>
        <v>019</v>
      </c>
      <c r="F4362" t="s">
        <v>4278</v>
      </c>
      <c r="G4362" t="str">
        <f>"0819"</f>
        <v>0819</v>
      </c>
      <c r="H4362" t="str">
        <f>"0001"</f>
        <v>0001</v>
      </c>
      <c r="I4362" t="s">
        <v>109</v>
      </c>
      <c r="J4362">
        <v>1</v>
      </c>
      <c r="K4362">
        <v>1</v>
      </c>
      <c r="L4362">
        <v>2</v>
      </c>
      <c r="M4362">
        <v>124</v>
      </c>
      <c r="N4362">
        <v>310</v>
      </c>
      <c r="O4362">
        <v>0</v>
      </c>
      <c r="P4362">
        <v>310</v>
      </c>
      <c r="Q4362">
        <v>9</v>
      </c>
      <c r="R4362">
        <v>105</v>
      </c>
      <c r="S4362">
        <v>7</v>
      </c>
      <c r="T4362">
        <v>1</v>
      </c>
      <c r="U4362">
        <v>15</v>
      </c>
      <c r="V4362">
        <v>2</v>
      </c>
      <c r="W4362">
        <v>1</v>
      </c>
      <c r="X4362">
        <v>153</v>
      </c>
      <c r="Y4362">
        <v>0</v>
      </c>
      <c r="Z4362">
        <v>3</v>
      </c>
      <c r="AA4362">
        <v>10</v>
      </c>
      <c r="AB4362">
        <v>0</v>
      </c>
      <c r="AD4362">
        <v>2</v>
      </c>
      <c r="AE4362">
        <v>0</v>
      </c>
      <c r="AF4362">
        <v>0</v>
      </c>
      <c r="AG4362">
        <v>0</v>
      </c>
      <c r="AI4362">
        <v>0</v>
      </c>
      <c r="AJ4362">
        <v>2</v>
      </c>
      <c r="AK4362">
        <v>310</v>
      </c>
      <c r="AL4362">
        <v>310</v>
      </c>
      <c r="AM4362">
        <v>390</v>
      </c>
      <c r="AN4362">
        <v>44</v>
      </c>
      <c r="AP4362">
        <v>1</v>
      </c>
      <c r="AR4362" t="s">
        <v>4462</v>
      </c>
      <c r="AS4362" s="1">
        <v>44353.988194444442</v>
      </c>
      <c r="AT4362" s="1">
        <v>44353.990949074076</v>
      </c>
      <c r="AU4362" s="1">
        <v>44353.991435185184</v>
      </c>
      <c r="AV4362" t="s">
        <v>71</v>
      </c>
      <c r="AW4362" t="s">
        <v>72</v>
      </c>
      <c r="AX4362" t="s">
        <v>73</v>
      </c>
    </row>
    <row r="4363" spans="1:50" x14ac:dyDescent="0.3">
      <c r="A4363" t="str">
        <f>"201461B0000"</f>
        <v>201461B0000</v>
      </c>
      <c r="B4363" t="str">
        <f>"201461B00002"</f>
        <v>201461B00002</v>
      </c>
      <c r="C4363" t="str">
        <f t="shared" si="224"/>
        <v>20</v>
      </c>
      <c r="D4363" t="s">
        <v>67</v>
      </c>
      <c r="E4363" t="str">
        <f t="shared" si="223"/>
        <v>019</v>
      </c>
      <c r="F4363" t="s">
        <v>4278</v>
      </c>
      <c r="G4363" t="str">
        <f>"1461"</f>
        <v>1461</v>
      </c>
      <c r="H4363" t="str">
        <f>"0000"</f>
        <v>0000</v>
      </c>
      <c r="I4363" t="s">
        <v>69</v>
      </c>
      <c r="J4363">
        <v>0</v>
      </c>
      <c r="K4363">
        <v>1</v>
      </c>
      <c r="L4363">
        <v>2</v>
      </c>
      <c r="M4363">
        <v>251</v>
      </c>
      <c r="N4363">
        <v>511</v>
      </c>
      <c r="O4363">
        <v>3</v>
      </c>
      <c r="P4363" t="s">
        <v>80</v>
      </c>
      <c r="Q4363">
        <v>6</v>
      </c>
      <c r="R4363">
        <v>26</v>
      </c>
      <c r="S4363">
        <v>7</v>
      </c>
      <c r="T4363">
        <v>30</v>
      </c>
      <c r="U4363">
        <v>14</v>
      </c>
      <c r="V4363">
        <v>0</v>
      </c>
      <c r="W4363">
        <v>0</v>
      </c>
      <c r="X4363">
        <v>273</v>
      </c>
      <c r="Y4363">
        <v>4</v>
      </c>
      <c r="Z4363">
        <v>22</v>
      </c>
      <c r="AA4363">
        <v>1</v>
      </c>
      <c r="AB4363">
        <v>67</v>
      </c>
      <c r="AD4363">
        <v>2</v>
      </c>
      <c r="AE4363">
        <v>0</v>
      </c>
      <c r="AF4363">
        <v>0</v>
      </c>
      <c r="AG4363">
        <v>0</v>
      </c>
      <c r="AI4363">
        <v>0</v>
      </c>
      <c r="AJ4363">
        <v>47</v>
      </c>
      <c r="AK4363">
        <v>511</v>
      </c>
      <c r="AL4363">
        <v>499</v>
      </c>
      <c r="AM4363">
        <v>716</v>
      </c>
      <c r="AN4363">
        <v>46</v>
      </c>
      <c r="AP4363">
        <v>1</v>
      </c>
      <c r="AR4363" t="s">
        <v>4463</v>
      </c>
      <c r="AS4363" s="1">
        <v>44354.279861111114</v>
      </c>
      <c r="AT4363" s="1">
        <v>44354.281909722224</v>
      </c>
      <c r="AU4363" s="1">
        <v>44354.282187500001</v>
      </c>
      <c r="AV4363" t="s">
        <v>71</v>
      </c>
      <c r="AW4363" t="s">
        <v>72</v>
      </c>
      <c r="AX4363" t="s">
        <v>73</v>
      </c>
    </row>
    <row r="4364" spans="1:50" x14ac:dyDescent="0.3">
      <c r="A4364" t="str">
        <f>"201461C0100"</f>
        <v>201461C0100</v>
      </c>
      <c r="B4364" t="str">
        <f>"201461C01002"</f>
        <v>201461C01002</v>
      </c>
      <c r="C4364" t="str">
        <f t="shared" si="224"/>
        <v>20</v>
      </c>
      <c r="D4364" t="s">
        <v>67</v>
      </c>
      <c r="E4364" t="str">
        <f t="shared" si="223"/>
        <v>019</v>
      </c>
      <c r="F4364" t="s">
        <v>4278</v>
      </c>
      <c r="G4364" t="str">
        <f>"1461"</f>
        <v>1461</v>
      </c>
      <c r="H4364" t="str">
        <f>"0001"</f>
        <v>0001</v>
      </c>
      <c r="I4364" t="s">
        <v>75</v>
      </c>
      <c r="J4364">
        <v>0</v>
      </c>
      <c r="K4364">
        <v>1</v>
      </c>
      <c r="L4364">
        <v>2</v>
      </c>
      <c r="M4364">
        <v>238</v>
      </c>
      <c r="N4364">
        <v>523</v>
      </c>
      <c r="O4364">
        <v>1</v>
      </c>
      <c r="P4364">
        <v>524</v>
      </c>
      <c r="Q4364">
        <v>2</v>
      </c>
      <c r="R4364">
        <v>41</v>
      </c>
      <c r="S4364">
        <v>15</v>
      </c>
      <c r="T4364">
        <v>45</v>
      </c>
      <c r="U4364">
        <v>22</v>
      </c>
      <c r="V4364">
        <v>2</v>
      </c>
      <c r="W4364">
        <v>6</v>
      </c>
      <c r="X4364">
        <v>237</v>
      </c>
      <c r="Y4364">
        <v>7</v>
      </c>
      <c r="Z4364">
        <v>11</v>
      </c>
      <c r="AA4364">
        <v>1</v>
      </c>
      <c r="AB4364">
        <v>96</v>
      </c>
      <c r="AD4364">
        <v>0</v>
      </c>
      <c r="AE4364">
        <v>0</v>
      </c>
      <c r="AF4364">
        <v>0</v>
      </c>
      <c r="AG4364">
        <v>0</v>
      </c>
      <c r="AI4364">
        <v>0</v>
      </c>
      <c r="AJ4364">
        <v>39</v>
      </c>
      <c r="AK4364">
        <v>524</v>
      </c>
      <c r="AL4364">
        <v>524</v>
      </c>
      <c r="AM4364">
        <v>716</v>
      </c>
      <c r="AN4364">
        <v>46</v>
      </c>
      <c r="AP4364">
        <v>1</v>
      </c>
      <c r="AR4364" t="s">
        <v>4464</v>
      </c>
      <c r="AS4364" s="1">
        <v>44354.315972222219</v>
      </c>
      <c r="AT4364" s="1">
        <v>44354.317789351851</v>
      </c>
      <c r="AU4364" s="1">
        <v>44354.318414351852</v>
      </c>
      <c r="AV4364" t="s">
        <v>71</v>
      </c>
      <c r="AW4364" t="s">
        <v>72</v>
      </c>
      <c r="AX4364" t="s">
        <v>73</v>
      </c>
    </row>
    <row r="4365" spans="1:50" x14ac:dyDescent="0.3">
      <c r="A4365" t="str">
        <f>"201461C0200"</f>
        <v>201461C0200</v>
      </c>
      <c r="B4365" t="str">
        <f>"201461C02002"</f>
        <v>201461C02002</v>
      </c>
      <c r="C4365" t="str">
        <f t="shared" si="224"/>
        <v>20</v>
      </c>
      <c r="D4365" t="s">
        <v>67</v>
      </c>
      <c r="E4365" t="str">
        <f t="shared" si="223"/>
        <v>019</v>
      </c>
      <c r="F4365" t="s">
        <v>4278</v>
      </c>
      <c r="G4365" t="str">
        <f>"1461"</f>
        <v>1461</v>
      </c>
      <c r="H4365" t="str">
        <f>"0002"</f>
        <v>0002</v>
      </c>
      <c r="I4365" t="s">
        <v>75</v>
      </c>
      <c r="J4365">
        <v>0</v>
      </c>
      <c r="K4365">
        <v>1</v>
      </c>
      <c r="L4365">
        <v>2</v>
      </c>
      <c r="M4365">
        <v>242</v>
      </c>
      <c r="N4365">
        <v>520</v>
      </c>
      <c r="O4365">
        <v>5</v>
      </c>
      <c r="P4365">
        <v>518</v>
      </c>
      <c r="Q4365">
        <v>3</v>
      </c>
      <c r="R4365">
        <v>37</v>
      </c>
      <c r="S4365">
        <v>9</v>
      </c>
      <c r="T4365">
        <v>38</v>
      </c>
      <c r="U4365">
        <v>19</v>
      </c>
      <c r="V4365">
        <v>3</v>
      </c>
      <c r="W4365">
        <v>13</v>
      </c>
      <c r="X4365">
        <v>252</v>
      </c>
      <c r="Y4365">
        <v>7</v>
      </c>
      <c r="Z4365">
        <v>14</v>
      </c>
      <c r="AA4365">
        <v>5</v>
      </c>
      <c r="AB4365">
        <v>83</v>
      </c>
      <c r="AD4365">
        <v>1</v>
      </c>
      <c r="AE4365" t="s">
        <v>77</v>
      </c>
      <c r="AF4365" t="s">
        <v>77</v>
      </c>
      <c r="AG4365" t="s">
        <v>77</v>
      </c>
      <c r="AI4365">
        <v>1</v>
      </c>
      <c r="AJ4365">
        <v>33</v>
      </c>
      <c r="AK4365">
        <v>518</v>
      </c>
      <c r="AL4365">
        <v>518</v>
      </c>
      <c r="AM4365">
        <v>715</v>
      </c>
      <c r="AN4365">
        <v>46</v>
      </c>
      <c r="AO4365" t="s">
        <v>78</v>
      </c>
      <c r="AP4365">
        <v>1</v>
      </c>
      <c r="AR4365" t="s">
        <v>4465</v>
      </c>
      <c r="AS4365" s="1">
        <v>44354.331944444442</v>
      </c>
      <c r="AT4365" s="1">
        <v>44354.334305555552</v>
      </c>
      <c r="AU4365" s="1">
        <v>44354.334976851853</v>
      </c>
      <c r="AV4365" t="s">
        <v>71</v>
      </c>
      <c r="AW4365" t="s">
        <v>72</v>
      </c>
      <c r="AX4365" t="s">
        <v>73</v>
      </c>
    </row>
    <row r="4366" spans="1:50" x14ac:dyDescent="0.3">
      <c r="A4366" t="str">
        <f>"201462B0000"</f>
        <v>201462B0000</v>
      </c>
      <c r="B4366" t="str">
        <f>"201462B00002"</f>
        <v>201462B00002</v>
      </c>
      <c r="C4366" t="str">
        <f t="shared" si="224"/>
        <v>20</v>
      </c>
      <c r="D4366" t="s">
        <v>67</v>
      </c>
      <c r="E4366" t="str">
        <f t="shared" si="223"/>
        <v>019</v>
      </c>
      <c r="F4366" t="s">
        <v>4278</v>
      </c>
      <c r="G4366" t="str">
        <f>"1462"</f>
        <v>1462</v>
      </c>
      <c r="H4366" t="str">
        <f>"0000"</f>
        <v>0000</v>
      </c>
      <c r="I4366" t="s">
        <v>69</v>
      </c>
      <c r="J4366">
        <v>0</v>
      </c>
      <c r="K4366">
        <v>1</v>
      </c>
      <c r="L4366">
        <v>2</v>
      </c>
      <c r="M4366">
        <v>177</v>
      </c>
      <c r="N4366">
        <v>387</v>
      </c>
      <c r="O4366">
        <v>5</v>
      </c>
      <c r="P4366">
        <v>387</v>
      </c>
      <c r="Q4366">
        <v>1</v>
      </c>
      <c r="R4366">
        <v>45</v>
      </c>
      <c r="S4366">
        <v>7</v>
      </c>
      <c r="T4366">
        <v>17</v>
      </c>
      <c r="U4366">
        <v>10</v>
      </c>
      <c r="V4366">
        <v>3</v>
      </c>
      <c r="W4366">
        <v>6</v>
      </c>
      <c r="X4366">
        <v>214</v>
      </c>
      <c r="Y4366">
        <v>6</v>
      </c>
      <c r="Z4366">
        <v>2</v>
      </c>
      <c r="AA4366">
        <v>2</v>
      </c>
      <c r="AB4366">
        <v>42</v>
      </c>
      <c r="AD4366">
        <v>4</v>
      </c>
      <c r="AE4366">
        <v>1</v>
      </c>
      <c r="AF4366">
        <v>0</v>
      </c>
      <c r="AG4366">
        <v>0</v>
      </c>
      <c r="AI4366">
        <v>0</v>
      </c>
      <c r="AJ4366">
        <v>27</v>
      </c>
      <c r="AK4366">
        <v>387</v>
      </c>
      <c r="AL4366">
        <v>387</v>
      </c>
      <c r="AM4366">
        <v>518</v>
      </c>
      <c r="AN4366">
        <v>46</v>
      </c>
      <c r="AP4366">
        <v>1</v>
      </c>
      <c r="AR4366" t="s">
        <v>4466</v>
      </c>
      <c r="AS4366" s="1">
        <v>44354.316666666666</v>
      </c>
      <c r="AT4366" s="1">
        <v>44354.318761574075</v>
      </c>
      <c r="AU4366" s="1">
        <v>44354.319305555553</v>
      </c>
      <c r="AV4366" t="s">
        <v>71</v>
      </c>
      <c r="AW4366" t="s">
        <v>72</v>
      </c>
      <c r="AX4366" t="s">
        <v>73</v>
      </c>
    </row>
    <row r="4367" spans="1:50" x14ac:dyDescent="0.3">
      <c r="A4367" t="str">
        <f>"201462C0100"</f>
        <v>201462C0100</v>
      </c>
      <c r="B4367" t="str">
        <f>"201462C01002"</f>
        <v>201462C01002</v>
      </c>
      <c r="C4367" t="str">
        <f t="shared" si="224"/>
        <v>20</v>
      </c>
      <c r="D4367" t="s">
        <v>67</v>
      </c>
      <c r="E4367" t="str">
        <f t="shared" si="223"/>
        <v>019</v>
      </c>
      <c r="F4367" t="s">
        <v>4278</v>
      </c>
      <c r="G4367" t="str">
        <f>"1462"</f>
        <v>1462</v>
      </c>
      <c r="H4367" t="str">
        <f>"0001"</f>
        <v>0001</v>
      </c>
      <c r="I4367" t="s">
        <v>75</v>
      </c>
      <c r="J4367">
        <v>0</v>
      </c>
      <c r="K4367">
        <v>1</v>
      </c>
      <c r="L4367">
        <v>2</v>
      </c>
      <c r="M4367">
        <v>208</v>
      </c>
      <c r="N4367">
        <v>355</v>
      </c>
      <c r="O4367">
        <v>3</v>
      </c>
      <c r="P4367">
        <v>355</v>
      </c>
      <c r="Q4367">
        <v>2</v>
      </c>
      <c r="R4367">
        <v>44</v>
      </c>
      <c r="S4367">
        <v>5</v>
      </c>
      <c r="T4367">
        <v>17</v>
      </c>
      <c r="U4367">
        <v>18</v>
      </c>
      <c r="V4367">
        <v>1</v>
      </c>
      <c r="W4367">
        <v>3</v>
      </c>
      <c r="X4367">
        <v>206</v>
      </c>
      <c r="Y4367">
        <v>6</v>
      </c>
      <c r="Z4367">
        <v>6</v>
      </c>
      <c r="AA4367">
        <v>1</v>
      </c>
      <c r="AB4367">
        <v>28</v>
      </c>
      <c r="AD4367">
        <v>0</v>
      </c>
      <c r="AE4367">
        <v>0</v>
      </c>
      <c r="AF4367">
        <v>0</v>
      </c>
      <c r="AG4367">
        <v>0</v>
      </c>
      <c r="AI4367">
        <v>1</v>
      </c>
      <c r="AJ4367">
        <v>17</v>
      </c>
      <c r="AK4367">
        <v>355</v>
      </c>
      <c r="AL4367">
        <v>355</v>
      </c>
      <c r="AM4367">
        <v>517</v>
      </c>
      <c r="AN4367">
        <v>46</v>
      </c>
      <c r="AP4367">
        <v>1</v>
      </c>
      <c r="AR4367" t="s">
        <v>4467</v>
      </c>
      <c r="AS4367" s="1">
        <v>44354.317361111112</v>
      </c>
      <c r="AT4367" s="1">
        <v>44354.319108796299</v>
      </c>
      <c r="AU4367" s="1">
        <v>44354.319918981484</v>
      </c>
      <c r="AV4367" t="s">
        <v>71</v>
      </c>
      <c r="AW4367" t="s">
        <v>72</v>
      </c>
      <c r="AX4367" t="s">
        <v>73</v>
      </c>
    </row>
    <row r="4368" spans="1:50" x14ac:dyDescent="0.3">
      <c r="A4368" t="str">
        <f>"201462C0200"</f>
        <v>201462C0200</v>
      </c>
      <c r="B4368" t="str">
        <f>"201462C02002"</f>
        <v>201462C02002</v>
      </c>
      <c r="C4368" t="str">
        <f t="shared" si="224"/>
        <v>20</v>
      </c>
      <c r="D4368" t="s">
        <v>67</v>
      </c>
      <c r="E4368" t="str">
        <f t="shared" si="223"/>
        <v>019</v>
      </c>
      <c r="F4368" t="s">
        <v>4278</v>
      </c>
      <c r="G4368" t="str">
        <f>"1462"</f>
        <v>1462</v>
      </c>
      <c r="H4368" t="str">
        <f>"0002"</f>
        <v>0002</v>
      </c>
      <c r="I4368" t="s">
        <v>75</v>
      </c>
      <c r="J4368">
        <v>0</v>
      </c>
      <c r="K4368">
        <v>1</v>
      </c>
      <c r="L4368">
        <v>2</v>
      </c>
      <c r="M4368">
        <v>183</v>
      </c>
      <c r="N4368" t="s">
        <v>99</v>
      </c>
      <c r="O4368">
        <v>0</v>
      </c>
      <c r="P4368" t="s">
        <v>99</v>
      </c>
      <c r="Q4368">
        <v>2</v>
      </c>
      <c r="R4368">
        <v>30</v>
      </c>
      <c r="S4368">
        <v>3</v>
      </c>
      <c r="T4368">
        <v>17</v>
      </c>
      <c r="U4368">
        <v>3</v>
      </c>
      <c r="V4368">
        <v>1</v>
      </c>
      <c r="W4368">
        <v>0</v>
      </c>
      <c r="X4368">
        <v>231</v>
      </c>
      <c r="Y4368">
        <v>3</v>
      </c>
      <c r="Z4368">
        <v>6</v>
      </c>
      <c r="AA4368">
        <v>2</v>
      </c>
      <c r="AB4368">
        <v>3</v>
      </c>
      <c r="AD4368">
        <v>1</v>
      </c>
      <c r="AE4368">
        <v>0</v>
      </c>
      <c r="AF4368">
        <v>0</v>
      </c>
      <c r="AG4368">
        <v>0</v>
      </c>
      <c r="AI4368">
        <v>0</v>
      </c>
      <c r="AJ4368">
        <v>29</v>
      </c>
      <c r="AK4368">
        <v>380</v>
      </c>
      <c r="AL4368">
        <v>331</v>
      </c>
      <c r="AM4368">
        <v>517</v>
      </c>
      <c r="AN4368">
        <v>46</v>
      </c>
      <c r="AP4368">
        <v>1</v>
      </c>
      <c r="AR4368" t="s">
        <v>4468</v>
      </c>
      <c r="AS4368" s="1">
        <v>44354.317361111112</v>
      </c>
      <c r="AT4368" s="1">
        <v>44354.320763888885</v>
      </c>
      <c r="AU4368" s="1">
        <v>44354.321481481478</v>
      </c>
      <c r="AV4368" t="s">
        <v>71</v>
      </c>
      <c r="AW4368" t="s">
        <v>72</v>
      </c>
      <c r="AX4368" t="s">
        <v>73</v>
      </c>
    </row>
    <row r="4369" spans="1:50" x14ac:dyDescent="0.3">
      <c r="A4369" t="str">
        <f>"201472B0000"</f>
        <v>201472B0000</v>
      </c>
      <c r="B4369" t="str">
        <f>"201472B00002"</f>
        <v>201472B00002</v>
      </c>
      <c r="C4369" t="str">
        <f t="shared" si="224"/>
        <v>20</v>
      </c>
      <c r="D4369" t="s">
        <v>67</v>
      </c>
      <c r="E4369" t="str">
        <f t="shared" si="223"/>
        <v>019</v>
      </c>
      <c r="F4369" t="s">
        <v>4278</v>
      </c>
      <c r="G4369" t="str">
        <f>"1472"</f>
        <v>1472</v>
      </c>
      <c r="H4369" t="str">
        <f>"0000"</f>
        <v>0000</v>
      </c>
      <c r="I4369" t="s">
        <v>69</v>
      </c>
      <c r="J4369">
        <v>0</v>
      </c>
      <c r="K4369">
        <v>1</v>
      </c>
      <c r="L4369">
        <v>2</v>
      </c>
      <c r="M4369">
        <v>203</v>
      </c>
      <c r="N4369">
        <v>445</v>
      </c>
      <c r="O4369">
        <v>0</v>
      </c>
      <c r="P4369">
        <v>445</v>
      </c>
      <c r="Q4369">
        <v>13</v>
      </c>
      <c r="R4369">
        <v>85</v>
      </c>
      <c r="S4369">
        <v>1</v>
      </c>
      <c r="T4369">
        <v>2</v>
      </c>
      <c r="U4369">
        <v>88</v>
      </c>
      <c r="V4369">
        <v>22</v>
      </c>
      <c r="W4369">
        <v>1</v>
      </c>
      <c r="X4369">
        <v>172</v>
      </c>
      <c r="Y4369">
        <v>1</v>
      </c>
      <c r="Z4369">
        <v>45</v>
      </c>
      <c r="AA4369">
        <v>1</v>
      </c>
      <c r="AB4369">
        <v>2</v>
      </c>
      <c r="AD4369">
        <v>1</v>
      </c>
      <c r="AE4369">
        <v>0</v>
      </c>
      <c r="AF4369">
        <v>0</v>
      </c>
      <c r="AG4369">
        <v>0</v>
      </c>
      <c r="AI4369">
        <v>0</v>
      </c>
      <c r="AJ4369">
        <v>11</v>
      </c>
      <c r="AK4369">
        <v>445</v>
      </c>
      <c r="AL4369">
        <v>445</v>
      </c>
      <c r="AM4369">
        <v>604</v>
      </c>
      <c r="AN4369">
        <v>44</v>
      </c>
      <c r="AP4369">
        <v>1</v>
      </c>
      <c r="AR4369" t="s">
        <v>4469</v>
      </c>
      <c r="AS4369" s="1">
        <v>44354.398611111108</v>
      </c>
      <c r="AT4369" s="1">
        <v>44354.400659722225</v>
      </c>
      <c r="AU4369" s="1">
        <v>44354.401446759257</v>
      </c>
      <c r="AV4369" t="s">
        <v>71</v>
      </c>
      <c r="AW4369" t="s">
        <v>72</v>
      </c>
      <c r="AX4369" t="s">
        <v>73</v>
      </c>
    </row>
    <row r="4370" spans="1:50" x14ac:dyDescent="0.3">
      <c r="A4370" t="str">
        <f>"201472C0100"</f>
        <v>201472C0100</v>
      </c>
      <c r="B4370" t="str">
        <f>"201472C01002"</f>
        <v>201472C01002</v>
      </c>
      <c r="C4370" t="str">
        <f t="shared" si="224"/>
        <v>20</v>
      </c>
      <c r="D4370" t="s">
        <v>67</v>
      </c>
      <c r="E4370" t="str">
        <f t="shared" si="223"/>
        <v>019</v>
      </c>
      <c r="F4370" t="s">
        <v>4278</v>
      </c>
      <c r="G4370" t="str">
        <f>"1472"</f>
        <v>1472</v>
      </c>
      <c r="H4370" t="str">
        <f>"0001"</f>
        <v>0001</v>
      </c>
      <c r="I4370" t="s">
        <v>75</v>
      </c>
      <c r="J4370">
        <v>0</v>
      </c>
      <c r="K4370">
        <v>1</v>
      </c>
      <c r="L4370">
        <v>2</v>
      </c>
      <c r="M4370">
        <v>204</v>
      </c>
      <c r="N4370">
        <v>444</v>
      </c>
      <c r="O4370">
        <v>0</v>
      </c>
      <c r="P4370">
        <v>444</v>
      </c>
      <c r="Q4370">
        <v>8</v>
      </c>
      <c r="R4370">
        <v>87</v>
      </c>
      <c r="S4370">
        <v>2</v>
      </c>
      <c r="T4370">
        <v>3</v>
      </c>
      <c r="U4370">
        <v>66</v>
      </c>
      <c r="V4370">
        <v>25</v>
      </c>
      <c r="W4370">
        <v>2</v>
      </c>
      <c r="X4370">
        <v>199</v>
      </c>
      <c r="Y4370">
        <v>2</v>
      </c>
      <c r="Z4370">
        <v>36</v>
      </c>
      <c r="AA4370">
        <v>0</v>
      </c>
      <c r="AB4370">
        <v>1</v>
      </c>
      <c r="AD4370">
        <v>1</v>
      </c>
      <c r="AE4370">
        <v>0</v>
      </c>
      <c r="AF4370">
        <v>0</v>
      </c>
      <c r="AG4370">
        <v>1</v>
      </c>
      <c r="AI4370">
        <v>0</v>
      </c>
      <c r="AJ4370">
        <v>10</v>
      </c>
      <c r="AK4370">
        <v>444</v>
      </c>
      <c r="AL4370">
        <v>443</v>
      </c>
      <c r="AM4370">
        <v>604</v>
      </c>
      <c r="AN4370">
        <v>44</v>
      </c>
      <c r="AP4370">
        <v>1</v>
      </c>
      <c r="AR4370" t="s">
        <v>4470</v>
      </c>
      <c r="AS4370" s="1">
        <v>44354.134722222225</v>
      </c>
      <c r="AT4370" s="1">
        <v>44354.13590277778</v>
      </c>
      <c r="AU4370" s="1">
        <v>44354.136504629627</v>
      </c>
      <c r="AV4370" t="s">
        <v>71</v>
      </c>
      <c r="AW4370" t="s">
        <v>72</v>
      </c>
      <c r="AX4370" t="s">
        <v>73</v>
      </c>
    </row>
    <row r="4371" spans="1:50" x14ac:dyDescent="0.3">
      <c r="A4371" t="str">
        <f>"201472C0200"</f>
        <v>201472C0200</v>
      </c>
      <c r="B4371" t="str">
        <f>"201472C02002"</f>
        <v>201472C02002</v>
      </c>
      <c r="C4371" t="str">
        <f t="shared" si="224"/>
        <v>20</v>
      </c>
      <c r="D4371" t="s">
        <v>67</v>
      </c>
      <c r="E4371" t="str">
        <f t="shared" ref="E4371:E4405" si="225">"019"</f>
        <v>019</v>
      </c>
      <c r="F4371" t="s">
        <v>4278</v>
      </c>
      <c r="G4371" t="str">
        <f>"1472"</f>
        <v>1472</v>
      </c>
      <c r="H4371" t="str">
        <f>"0002"</f>
        <v>0002</v>
      </c>
      <c r="I4371" t="s">
        <v>75</v>
      </c>
      <c r="J4371">
        <v>0</v>
      </c>
      <c r="K4371">
        <v>1</v>
      </c>
      <c r="L4371">
        <v>2</v>
      </c>
      <c r="AM4371">
        <v>604</v>
      </c>
      <c r="AN4371">
        <v>44</v>
      </c>
      <c r="AO4371" t="s">
        <v>352</v>
      </c>
      <c r="AP4371">
        <v>0</v>
      </c>
      <c r="AR4371" t="s">
        <v>4471</v>
      </c>
      <c r="AS4371" s="1">
        <v>44354.60833333333</v>
      </c>
      <c r="AT4371" s="1">
        <v>44354.625486111108</v>
      </c>
      <c r="AU4371" s="1">
        <v>44354.625486111108</v>
      </c>
      <c r="AV4371" t="s">
        <v>71</v>
      </c>
      <c r="AW4371" t="s">
        <v>72</v>
      </c>
      <c r="AX4371" t="s">
        <v>73</v>
      </c>
    </row>
    <row r="4372" spans="1:50" x14ac:dyDescent="0.3">
      <c r="A4372" t="str">
        <f>"201472C0300"</f>
        <v>201472C0300</v>
      </c>
      <c r="B4372" t="str">
        <f>"201472C03002"</f>
        <v>201472C03002</v>
      </c>
      <c r="C4372" t="str">
        <f t="shared" si="224"/>
        <v>20</v>
      </c>
      <c r="D4372" t="s">
        <v>67</v>
      </c>
      <c r="E4372" t="str">
        <f t="shared" si="225"/>
        <v>019</v>
      </c>
      <c r="F4372" t="s">
        <v>4278</v>
      </c>
      <c r="G4372" t="str">
        <f>"1472"</f>
        <v>1472</v>
      </c>
      <c r="H4372" t="str">
        <f>"0003"</f>
        <v>0003</v>
      </c>
      <c r="I4372" t="s">
        <v>75</v>
      </c>
      <c r="J4372">
        <v>0</v>
      </c>
      <c r="K4372">
        <v>1</v>
      </c>
      <c r="L4372">
        <v>2</v>
      </c>
      <c r="M4372">
        <v>211</v>
      </c>
      <c r="N4372">
        <v>437</v>
      </c>
      <c r="O4372">
        <v>0</v>
      </c>
      <c r="P4372">
        <v>437</v>
      </c>
      <c r="Q4372">
        <v>9</v>
      </c>
      <c r="R4372">
        <v>77</v>
      </c>
      <c r="S4372">
        <v>1</v>
      </c>
      <c r="T4372">
        <v>2</v>
      </c>
      <c r="U4372">
        <v>75</v>
      </c>
      <c r="V4372">
        <v>22</v>
      </c>
      <c r="W4372">
        <v>4</v>
      </c>
      <c r="X4372">
        <v>205</v>
      </c>
      <c r="Y4372">
        <v>1</v>
      </c>
      <c r="Z4372">
        <v>26</v>
      </c>
      <c r="AA4372">
        <v>1</v>
      </c>
      <c r="AB4372">
        <v>2</v>
      </c>
      <c r="AD4372">
        <v>1</v>
      </c>
      <c r="AE4372">
        <v>0</v>
      </c>
      <c r="AF4372">
        <v>0</v>
      </c>
      <c r="AG4372">
        <v>2</v>
      </c>
      <c r="AI4372">
        <v>0</v>
      </c>
      <c r="AJ4372">
        <v>9</v>
      </c>
      <c r="AK4372">
        <v>437</v>
      </c>
      <c r="AL4372">
        <v>437</v>
      </c>
      <c r="AM4372">
        <v>604</v>
      </c>
      <c r="AN4372">
        <v>44</v>
      </c>
      <c r="AP4372">
        <v>1</v>
      </c>
      <c r="AR4372" t="s">
        <v>4472</v>
      </c>
      <c r="AS4372" s="1">
        <v>44354.113888888889</v>
      </c>
      <c r="AT4372" s="1">
        <v>44354.116562499999</v>
      </c>
      <c r="AU4372" s="1">
        <v>44354.117013888892</v>
      </c>
      <c r="AV4372" t="s">
        <v>71</v>
      </c>
      <c r="AW4372" t="s">
        <v>72</v>
      </c>
      <c r="AX4372" t="s">
        <v>73</v>
      </c>
    </row>
    <row r="4373" spans="1:50" x14ac:dyDescent="0.3">
      <c r="A4373" t="str">
        <f>"201929B0000"</f>
        <v>201929B0000</v>
      </c>
      <c r="B4373" t="str">
        <f>"201929B00002"</f>
        <v>201929B00002</v>
      </c>
      <c r="C4373" t="str">
        <f t="shared" si="224"/>
        <v>20</v>
      </c>
      <c r="D4373" t="s">
        <v>67</v>
      </c>
      <c r="E4373" t="str">
        <f t="shared" si="225"/>
        <v>019</v>
      </c>
      <c r="F4373" t="s">
        <v>4278</v>
      </c>
      <c r="G4373" t="str">
        <f>"1929"</f>
        <v>1929</v>
      </c>
      <c r="H4373" t="str">
        <f>"0000"</f>
        <v>0000</v>
      </c>
      <c r="I4373" t="s">
        <v>69</v>
      </c>
      <c r="J4373">
        <v>0</v>
      </c>
      <c r="K4373">
        <v>1</v>
      </c>
      <c r="L4373">
        <v>2</v>
      </c>
      <c r="AM4373">
        <v>525</v>
      </c>
      <c r="AN4373">
        <v>44</v>
      </c>
      <c r="AO4373" t="s">
        <v>352</v>
      </c>
      <c r="AP4373">
        <v>0</v>
      </c>
      <c r="AR4373" t="s">
        <v>4473</v>
      </c>
      <c r="AS4373" s="1">
        <v>44354.441666666666</v>
      </c>
      <c r="AT4373" s="1">
        <v>44354.458460648151</v>
      </c>
      <c r="AU4373" s="1">
        <v>44354.458460648151</v>
      </c>
      <c r="AV4373" t="s">
        <v>71</v>
      </c>
      <c r="AW4373" t="s">
        <v>72</v>
      </c>
      <c r="AX4373" t="s">
        <v>73</v>
      </c>
    </row>
    <row r="4374" spans="1:50" x14ac:dyDescent="0.3">
      <c r="A4374" t="str">
        <f>"201929C0100"</f>
        <v>201929C0100</v>
      </c>
      <c r="B4374" t="str">
        <f>"201929C01002"</f>
        <v>201929C01002</v>
      </c>
      <c r="C4374" t="str">
        <f t="shared" si="224"/>
        <v>20</v>
      </c>
      <c r="D4374" t="s">
        <v>67</v>
      </c>
      <c r="E4374" t="str">
        <f t="shared" si="225"/>
        <v>019</v>
      </c>
      <c r="F4374" t="s">
        <v>4278</v>
      </c>
      <c r="G4374" t="str">
        <f>"1929"</f>
        <v>1929</v>
      </c>
      <c r="H4374" t="str">
        <f>"0001"</f>
        <v>0001</v>
      </c>
      <c r="I4374" t="s">
        <v>75</v>
      </c>
      <c r="J4374">
        <v>0</v>
      </c>
      <c r="K4374">
        <v>1</v>
      </c>
      <c r="L4374">
        <v>2</v>
      </c>
      <c r="AM4374">
        <v>524</v>
      </c>
      <c r="AN4374">
        <v>44</v>
      </c>
      <c r="AO4374" t="s">
        <v>352</v>
      </c>
      <c r="AP4374">
        <v>0</v>
      </c>
      <c r="AR4374" t="s">
        <v>4474</v>
      </c>
      <c r="AS4374" s="1">
        <v>44354.442361111112</v>
      </c>
      <c r="AT4374" s="1">
        <v>44354.458657407406</v>
      </c>
      <c r="AU4374" s="1">
        <v>44354.458657407406</v>
      </c>
      <c r="AV4374" t="s">
        <v>71</v>
      </c>
      <c r="AW4374" t="s">
        <v>72</v>
      </c>
      <c r="AX4374" t="s">
        <v>73</v>
      </c>
    </row>
    <row r="4375" spans="1:50" x14ac:dyDescent="0.3">
      <c r="A4375" t="str">
        <f>"201929C0200"</f>
        <v>201929C0200</v>
      </c>
      <c r="B4375" t="str">
        <f>"201929C02002"</f>
        <v>201929C02002</v>
      </c>
      <c r="C4375" t="str">
        <f t="shared" si="224"/>
        <v>20</v>
      </c>
      <c r="D4375" t="s">
        <v>67</v>
      </c>
      <c r="E4375" t="str">
        <f t="shared" si="225"/>
        <v>019</v>
      </c>
      <c r="F4375" t="s">
        <v>4278</v>
      </c>
      <c r="G4375" t="str">
        <f>"1929"</f>
        <v>1929</v>
      </c>
      <c r="H4375" t="str">
        <f>"0002"</f>
        <v>0002</v>
      </c>
      <c r="I4375" t="s">
        <v>75</v>
      </c>
      <c r="J4375">
        <v>0</v>
      </c>
      <c r="K4375">
        <v>1</v>
      </c>
      <c r="L4375">
        <v>2</v>
      </c>
      <c r="AM4375">
        <v>524</v>
      </c>
      <c r="AN4375">
        <v>44</v>
      </c>
      <c r="AO4375" t="s">
        <v>352</v>
      </c>
      <c r="AP4375">
        <v>0</v>
      </c>
      <c r="AR4375" t="s">
        <v>4475</v>
      </c>
      <c r="AS4375" s="1">
        <v>44354.442361111112</v>
      </c>
      <c r="AT4375" s="1">
        <v>44354.458831018521</v>
      </c>
      <c r="AU4375" s="1">
        <v>44354.458831018521</v>
      </c>
      <c r="AV4375" t="s">
        <v>71</v>
      </c>
      <c r="AW4375" t="s">
        <v>72</v>
      </c>
      <c r="AX4375" t="s">
        <v>73</v>
      </c>
    </row>
    <row r="4376" spans="1:50" x14ac:dyDescent="0.3">
      <c r="A4376" t="str">
        <f>"201930B0000"</f>
        <v>201930B0000</v>
      </c>
      <c r="B4376" t="str">
        <f>"201930B00002"</f>
        <v>201930B00002</v>
      </c>
      <c r="C4376" t="str">
        <f t="shared" si="224"/>
        <v>20</v>
      </c>
      <c r="D4376" t="s">
        <v>67</v>
      </c>
      <c r="E4376" t="str">
        <f t="shared" si="225"/>
        <v>019</v>
      </c>
      <c r="F4376" t="s">
        <v>4278</v>
      </c>
      <c r="G4376" t="str">
        <f>"1930"</f>
        <v>1930</v>
      </c>
      <c r="H4376" t="str">
        <f>"0000"</f>
        <v>0000</v>
      </c>
      <c r="I4376" t="s">
        <v>69</v>
      </c>
      <c r="J4376">
        <v>0</v>
      </c>
      <c r="K4376">
        <v>1</v>
      </c>
      <c r="L4376">
        <v>2</v>
      </c>
      <c r="AM4376">
        <v>663</v>
      </c>
      <c r="AN4376">
        <v>44</v>
      </c>
      <c r="AO4376" t="s">
        <v>352</v>
      </c>
      <c r="AP4376">
        <v>0</v>
      </c>
      <c r="AR4376" t="s">
        <v>4476</v>
      </c>
      <c r="AS4376" s="1">
        <v>44354.442361111112</v>
      </c>
      <c r="AT4376" s="1">
        <v>44354.459074074075</v>
      </c>
      <c r="AU4376" s="1">
        <v>44354.459074074075</v>
      </c>
      <c r="AV4376" t="s">
        <v>71</v>
      </c>
      <c r="AW4376" t="s">
        <v>72</v>
      </c>
      <c r="AX4376" t="s">
        <v>73</v>
      </c>
    </row>
    <row r="4377" spans="1:50" x14ac:dyDescent="0.3">
      <c r="A4377" t="str">
        <f>"201930C0100"</f>
        <v>201930C0100</v>
      </c>
      <c r="B4377" t="str">
        <f>"201930C01002"</f>
        <v>201930C01002</v>
      </c>
      <c r="C4377" t="str">
        <f t="shared" si="224"/>
        <v>20</v>
      </c>
      <c r="D4377" t="s">
        <v>67</v>
      </c>
      <c r="E4377" t="str">
        <f t="shared" si="225"/>
        <v>019</v>
      </c>
      <c r="F4377" t="s">
        <v>4278</v>
      </c>
      <c r="G4377" t="str">
        <f>"1930"</f>
        <v>1930</v>
      </c>
      <c r="H4377" t="str">
        <f>"0001"</f>
        <v>0001</v>
      </c>
      <c r="I4377" t="s">
        <v>75</v>
      </c>
      <c r="J4377">
        <v>0</v>
      </c>
      <c r="K4377">
        <v>1</v>
      </c>
      <c r="L4377">
        <v>2</v>
      </c>
      <c r="AM4377">
        <v>663</v>
      </c>
      <c r="AN4377">
        <v>44</v>
      </c>
      <c r="AO4377" t="s">
        <v>352</v>
      </c>
      <c r="AP4377">
        <v>0</v>
      </c>
      <c r="AR4377" t="s">
        <v>4477</v>
      </c>
      <c r="AS4377" s="1">
        <v>44354.443055555559</v>
      </c>
      <c r="AT4377" s="1">
        <v>44354.459247685183</v>
      </c>
      <c r="AU4377" s="1">
        <v>44354.459247685183</v>
      </c>
      <c r="AV4377" t="s">
        <v>71</v>
      </c>
      <c r="AW4377" t="s">
        <v>72</v>
      </c>
      <c r="AX4377" t="s">
        <v>73</v>
      </c>
    </row>
    <row r="4378" spans="1:50" x14ac:dyDescent="0.3">
      <c r="A4378" t="str">
        <f>"201930C0200"</f>
        <v>201930C0200</v>
      </c>
      <c r="B4378" t="str">
        <f>"201930C02002"</f>
        <v>201930C02002</v>
      </c>
      <c r="C4378" t="str">
        <f t="shared" si="224"/>
        <v>20</v>
      </c>
      <c r="D4378" t="s">
        <v>67</v>
      </c>
      <c r="E4378" t="str">
        <f t="shared" si="225"/>
        <v>019</v>
      </c>
      <c r="F4378" t="s">
        <v>4278</v>
      </c>
      <c r="G4378" t="str">
        <f>"1930"</f>
        <v>1930</v>
      </c>
      <c r="H4378" t="str">
        <f>"0002"</f>
        <v>0002</v>
      </c>
      <c r="I4378" t="s">
        <v>75</v>
      </c>
      <c r="J4378">
        <v>0</v>
      </c>
      <c r="K4378">
        <v>1</v>
      </c>
      <c r="L4378">
        <v>2</v>
      </c>
      <c r="AM4378">
        <v>663</v>
      </c>
      <c r="AN4378">
        <v>44</v>
      </c>
      <c r="AO4378" t="s">
        <v>352</v>
      </c>
      <c r="AP4378">
        <v>0</v>
      </c>
      <c r="AR4378" t="s">
        <v>4478</v>
      </c>
      <c r="AS4378" s="1">
        <v>44354.443055555559</v>
      </c>
      <c r="AT4378" s="1">
        <v>44354.459421296298</v>
      </c>
      <c r="AU4378" s="1">
        <v>44354.459421296298</v>
      </c>
      <c r="AV4378" t="s">
        <v>71</v>
      </c>
      <c r="AW4378" t="s">
        <v>72</v>
      </c>
      <c r="AX4378" t="s">
        <v>73</v>
      </c>
    </row>
    <row r="4379" spans="1:50" x14ac:dyDescent="0.3">
      <c r="A4379" t="str">
        <f>"201931B0000"</f>
        <v>201931B0000</v>
      </c>
      <c r="B4379" t="str">
        <f>"201931B00002"</f>
        <v>201931B00002</v>
      </c>
      <c r="C4379" t="str">
        <f t="shared" si="224"/>
        <v>20</v>
      </c>
      <c r="D4379" t="s">
        <v>67</v>
      </c>
      <c r="E4379" t="str">
        <f t="shared" si="225"/>
        <v>019</v>
      </c>
      <c r="F4379" t="s">
        <v>4278</v>
      </c>
      <c r="G4379" t="str">
        <f>"1931"</f>
        <v>1931</v>
      </c>
      <c r="H4379" t="str">
        <f>"0000"</f>
        <v>0000</v>
      </c>
      <c r="I4379" t="s">
        <v>69</v>
      </c>
      <c r="J4379">
        <v>0</v>
      </c>
      <c r="K4379">
        <v>1</v>
      </c>
      <c r="L4379">
        <v>2</v>
      </c>
      <c r="AM4379">
        <v>622</v>
      </c>
      <c r="AN4379">
        <v>44</v>
      </c>
      <c r="AO4379" t="s">
        <v>352</v>
      </c>
      <c r="AP4379">
        <v>0</v>
      </c>
      <c r="AR4379" t="s">
        <v>4479</v>
      </c>
      <c r="AS4379" s="1">
        <v>44354.446527777778</v>
      </c>
      <c r="AT4379" s="1">
        <v>44354.468761574077</v>
      </c>
      <c r="AU4379" s="1">
        <v>44354.468761574077</v>
      </c>
      <c r="AV4379" t="s">
        <v>71</v>
      </c>
      <c r="AW4379" t="s">
        <v>72</v>
      </c>
      <c r="AX4379" t="s">
        <v>73</v>
      </c>
    </row>
    <row r="4380" spans="1:50" x14ac:dyDescent="0.3">
      <c r="A4380" t="str">
        <f>"201931C0100"</f>
        <v>201931C0100</v>
      </c>
      <c r="B4380" t="str">
        <f>"201931C01002"</f>
        <v>201931C01002</v>
      </c>
      <c r="C4380" t="str">
        <f t="shared" si="224"/>
        <v>20</v>
      </c>
      <c r="D4380" t="s">
        <v>67</v>
      </c>
      <c r="E4380" t="str">
        <f t="shared" si="225"/>
        <v>019</v>
      </c>
      <c r="F4380" t="s">
        <v>4278</v>
      </c>
      <c r="G4380" t="str">
        <f>"1931"</f>
        <v>1931</v>
      </c>
      <c r="H4380" t="str">
        <f>"0001"</f>
        <v>0001</v>
      </c>
      <c r="I4380" t="s">
        <v>75</v>
      </c>
      <c r="J4380">
        <v>0</v>
      </c>
      <c r="K4380">
        <v>1</v>
      </c>
      <c r="L4380">
        <v>2</v>
      </c>
      <c r="AM4380">
        <v>621</v>
      </c>
      <c r="AN4380">
        <v>44</v>
      </c>
      <c r="AO4380" t="s">
        <v>352</v>
      </c>
      <c r="AP4380">
        <v>0</v>
      </c>
      <c r="AR4380" t="s">
        <v>4480</v>
      </c>
      <c r="AS4380" s="1">
        <v>44354.446527777778</v>
      </c>
      <c r="AT4380" s="1">
        <v>44354.468912037039</v>
      </c>
      <c r="AU4380" s="1">
        <v>44354.468912037039</v>
      </c>
      <c r="AV4380" t="s">
        <v>71</v>
      </c>
      <c r="AW4380" t="s">
        <v>72</v>
      </c>
      <c r="AX4380" t="s">
        <v>73</v>
      </c>
    </row>
    <row r="4381" spans="1:50" x14ac:dyDescent="0.3">
      <c r="A4381" t="str">
        <f>"201931C0200"</f>
        <v>201931C0200</v>
      </c>
      <c r="B4381" t="str">
        <f>"201931C02002"</f>
        <v>201931C02002</v>
      </c>
      <c r="C4381" t="str">
        <f t="shared" si="224"/>
        <v>20</v>
      </c>
      <c r="D4381" t="s">
        <v>67</v>
      </c>
      <c r="E4381" t="str">
        <f t="shared" si="225"/>
        <v>019</v>
      </c>
      <c r="F4381" t="s">
        <v>4278</v>
      </c>
      <c r="G4381" t="str">
        <f>"1931"</f>
        <v>1931</v>
      </c>
      <c r="H4381" t="str">
        <f>"0002"</f>
        <v>0002</v>
      </c>
      <c r="I4381" t="s">
        <v>75</v>
      </c>
      <c r="J4381">
        <v>0</v>
      </c>
      <c r="K4381">
        <v>1</v>
      </c>
      <c r="L4381">
        <v>2</v>
      </c>
      <c r="AM4381">
        <v>621</v>
      </c>
      <c r="AN4381">
        <v>44</v>
      </c>
      <c r="AO4381" t="s">
        <v>352</v>
      </c>
      <c r="AP4381">
        <v>0</v>
      </c>
      <c r="AR4381" t="s">
        <v>4481</v>
      </c>
      <c r="AS4381" s="1">
        <v>44354.446527777778</v>
      </c>
      <c r="AT4381" s="1">
        <v>44354.468553240738</v>
      </c>
      <c r="AU4381" s="1">
        <v>44354.468553240738</v>
      </c>
      <c r="AV4381" t="s">
        <v>71</v>
      </c>
      <c r="AW4381" t="s">
        <v>72</v>
      </c>
      <c r="AX4381" t="s">
        <v>73</v>
      </c>
    </row>
    <row r="4382" spans="1:50" x14ac:dyDescent="0.3">
      <c r="A4382" t="str">
        <f>"201932B0000"</f>
        <v>201932B0000</v>
      </c>
      <c r="B4382" t="str">
        <f>"201932B00002"</f>
        <v>201932B00002</v>
      </c>
      <c r="C4382" t="str">
        <f t="shared" si="224"/>
        <v>20</v>
      </c>
      <c r="D4382" t="s">
        <v>67</v>
      </c>
      <c r="E4382" t="str">
        <f t="shared" si="225"/>
        <v>019</v>
      </c>
      <c r="F4382" t="s">
        <v>4278</v>
      </c>
      <c r="G4382" t="str">
        <f>"1932"</f>
        <v>1932</v>
      </c>
      <c r="H4382" t="str">
        <f>"0000"</f>
        <v>0000</v>
      </c>
      <c r="I4382" t="s">
        <v>69</v>
      </c>
      <c r="J4382">
        <v>0</v>
      </c>
      <c r="K4382">
        <v>1</v>
      </c>
      <c r="L4382">
        <v>2</v>
      </c>
      <c r="AM4382">
        <v>661</v>
      </c>
      <c r="AN4382">
        <v>44</v>
      </c>
      <c r="AO4382" t="s">
        <v>352</v>
      </c>
      <c r="AP4382">
        <v>0</v>
      </c>
      <c r="AR4382" t="s">
        <v>4482</v>
      </c>
      <c r="AS4382" s="1">
        <v>44354.446527777778</v>
      </c>
      <c r="AT4382" s="1">
        <v>44354.467604166668</v>
      </c>
      <c r="AU4382" s="1">
        <v>44354.467604166668</v>
      </c>
      <c r="AV4382" t="s">
        <v>71</v>
      </c>
      <c r="AW4382" t="s">
        <v>72</v>
      </c>
      <c r="AX4382" t="s">
        <v>73</v>
      </c>
    </row>
    <row r="4383" spans="1:50" x14ac:dyDescent="0.3">
      <c r="A4383" t="str">
        <f>"201932C0100"</f>
        <v>201932C0100</v>
      </c>
      <c r="B4383" t="str">
        <f>"201932C01002"</f>
        <v>201932C01002</v>
      </c>
      <c r="C4383" t="str">
        <f t="shared" si="224"/>
        <v>20</v>
      </c>
      <c r="D4383" t="s">
        <v>67</v>
      </c>
      <c r="E4383" t="str">
        <f t="shared" si="225"/>
        <v>019</v>
      </c>
      <c r="F4383" t="s">
        <v>4278</v>
      </c>
      <c r="G4383" t="str">
        <f>"1932"</f>
        <v>1932</v>
      </c>
      <c r="H4383" t="str">
        <f>"0001"</f>
        <v>0001</v>
      </c>
      <c r="I4383" t="s">
        <v>75</v>
      </c>
      <c r="J4383">
        <v>0</v>
      </c>
      <c r="K4383">
        <v>1</v>
      </c>
      <c r="L4383">
        <v>2</v>
      </c>
      <c r="AM4383">
        <v>661</v>
      </c>
      <c r="AN4383">
        <v>44</v>
      </c>
      <c r="AO4383" t="s">
        <v>352</v>
      </c>
      <c r="AP4383">
        <v>0</v>
      </c>
      <c r="AR4383" t="s">
        <v>4483</v>
      </c>
      <c r="AS4383" s="1">
        <v>44354.446527777778</v>
      </c>
      <c r="AT4383" s="1">
        <v>44354.467407407406</v>
      </c>
      <c r="AU4383" s="1">
        <v>44354.467407407406</v>
      </c>
      <c r="AV4383" t="s">
        <v>71</v>
      </c>
      <c r="AW4383" t="s">
        <v>72</v>
      </c>
      <c r="AX4383" t="s">
        <v>73</v>
      </c>
    </row>
    <row r="4384" spans="1:50" x14ac:dyDescent="0.3">
      <c r="A4384" t="str">
        <f>"202461B0000"</f>
        <v>202461B0000</v>
      </c>
      <c r="B4384" t="str">
        <f>"202461B00002"</f>
        <v>202461B00002</v>
      </c>
      <c r="C4384" t="str">
        <f t="shared" si="224"/>
        <v>20</v>
      </c>
      <c r="D4384" t="s">
        <v>67</v>
      </c>
      <c r="E4384" t="str">
        <f t="shared" si="225"/>
        <v>019</v>
      </c>
      <c r="F4384" t="s">
        <v>4278</v>
      </c>
      <c r="G4384" t="str">
        <f>"2461"</f>
        <v>2461</v>
      </c>
      <c r="H4384" t="str">
        <f>"0000"</f>
        <v>0000</v>
      </c>
      <c r="I4384" t="s">
        <v>69</v>
      </c>
      <c r="J4384">
        <v>0</v>
      </c>
      <c r="K4384">
        <v>1</v>
      </c>
      <c r="L4384">
        <v>2</v>
      </c>
      <c r="M4384">
        <v>308</v>
      </c>
      <c r="N4384">
        <v>301</v>
      </c>
      <c r="O4384">
        <v>6</v>
      </c>
      <c r="P4384">
        <v>312</v>
      </c>
      <c r="Q4384">
        <v>14</v>
      </c>
      <c r="R4384">
        <v>38</v>
      </c>
      <c r="S4384">
        <v>4</v>
      </c>
      <c r="T4384">
        <v>8</v>
      </c>
      <c r="U4384">
        <v>3</v>
      </c>
      <c r="V4384">
        <v>11</v>
      </c>
      <c r="W4384">
        <v>19</v>
      </c>
      <c r="X4384">
        <v>170</v>
      </c>
      <c r="Y4384">
        <v>7</v>
      </c>
      <c r="Z4384">
        <v>3</v>
      </c>
      <c r="AA4384">
        <v>0</v>
      </c>
      <c r="AB4384">
        <v>11</v>
      </c>
      <c r="AD4384">
        <v>2</v>
      </c>
      <c r="AE4384">
        <v>0</v>
      </c>
      <c r="AF4384">
        <v>0</v>
      </c>
      <c r="AG4384">
        <v>0</v>
      </c>
      <c r="AI4384">
        <v>0</v>
      </c>
      <c r="AJ4384">
        <v>12</v>
      </c>
      <c r="AK4384">
        <v>302</v>
      </c>
      <c r="AL4384">
        <v>302</v>
      </c>
      <c r="AM4384">
        <v>566</v>
      </c>
      <c r="AN4384">
        <v>44</v>
      </c>
      <c r="AP4384">
        <v>1</v>
      </c>
      <c r="AR4384" t="s">
        <v>4484</v>
      </c>
      <c r="AS4384" s="1">
        <v>44354.317361111112</v>
      </c>
      <c r="AT4384" s="1">
        <v>44354.319641203707</v>
      </c>
      <c r="AU4384" s="1">
        <v>44354.320428240739</v>
      </c>
      <c r="AV4384" t="s">
        <v>71</v>
      </c>
      <c r="AW4384" t="s">
        <v>72</v>
      </c>
      <c r="AX4384" t="s">
        <v>73</v>
      </c>
    </row>
    <row r="4385" spans="1:50" x14ac:dyDescent="0.3">
      <c r="A4385" t="str">
        <f>"202461C0100"</f>
        <v>202461C0100</v>
      </c>
      <c r="B4385" t="str">
        <f>"202461C01002"</f>
        <v>202461C01002</v>
      </c>
      <c r="C4385" t="str">
        <f t="shared" si="224"/>
        <v>20</v>
      </c>
      <c r="D4385" t="s">
        <v>67</v>
      </c>
      <c r="E4385" t="str">
        <f t="shared" si="225"/>
        <v>019</v>
      </c>
      <c r="F4385" t="s">
        <v>4278</v>
      </c>
      <c r="G4385" t="str">
        <f>"2461"</f>
        <v>2461</v>
      </c>
      <c r="H4385" t="str">
        <f>"0001"</f>
        <v>0001</v>
      </c>
      <c r="I4385" t="s">
        <v>75</v>
      </c>
      <c r="J4385">
        <v>0</v>
      </c>
      <c r="K4385">
        <v>1</v>
      </c>
      <c r="L4385">
        <v>2</v>
      </c>
      <c r="M4385">
        <v>322</v>
      </c>
      <c r="N4385">
        <v>289</v>
      </c>
      <c r="O4385">
        <v>7</v>
      </c>
      <c r="P4385">
        <v>285</v>
      </c>
      <c r="Q4385">
        <v>14</v>
      </c>
      <c r="R4385">
        <v>33</v>
      </c>
      <c r="S4385">
        <v>1</v>
      </c>
      <c r="T4385">
        <v>5</v>
      </c>
      <c r="U4385">
        <v>1</v>
      </c>
      <c r="V4385">
        <v>6</v>
      </c>
      <c r="W4385">
        <v>17</v>
      </c>
      <c r="X4385">
        <v>151</v>
      </c>
      <c r="Y4385">
        <v>12</v>
      </c>
      <c r="Z4385">
        <v>2</v>
      </c>
      <c r="AA4385">
        <v>1</v>
      </c>
      <c r="AB4385">
        <v>6</v>
      </c>
      <c r="AD4385">
        <v>0</v>
      </c>
      <c r="AE4385">
        <v>0</v>
      </c>
      <c r="AF4385">
        <v>0</v>
      </c>
      <c r="AG4385">
        <v>0</v>
      </c>
      <c r="AI4385">
        <v>0</v>
      </c>
      <c r="AJ4385">
        <v>12</v>
      </c>
      <c r="AK4385">
        <v>285</v>
      </c>
      <c r="AL4385">
        <v>261</v>
      </c>
      <c r="AM4385">
        <v>565</v>
      </c>
      <c r="AN4385">
        <v>44</v>
      </c>
      <c r="AP4385">
        <v>1</v>
      </c>
      <c r="AR4385" t="s">
        <v>4485</v>
      </c>
      <c r="AS4385" s="1">
        <v>44354.27847222222</v>
      </c>
      <c r="AT4385" s="1">
        <v>44354.280451388891</v>
      </c>
      <c r="AU4385" s="1">
        <v>44354.281331018516</v>
      </c>
      <c r="AV4385" t="s">
        <v>71</v>
      </c>
      <c r="AW4385" t="s">
        <v>72</v>
      </c>
      <c r="AX4385" t="s">
        <v>73</v>
      </c>
    </row>
    <row r="4386" spans="1:50" x14ac:dyDescent="0.3">
      <c r="A4386" t="str">
        <f>"202461C0200"</f>
        <v>202461C0200</v>
      </c>
      <c r="B4386" t="str">
        <f>"202461C02002"</f>
        <v>202461C02002</v>
      </c>
      <c r="C4386" t="str">
        <f t="shared" si="224"/>
        <v>20</v>
      </c>
      <c r="D4386" t="s">
        <v>67</v>
      </c>
      <c r="E4386" t="str">
        <f t="shared" si="225"/>
        <v>019</v>
      </c>
      <c r="F4386" t="s">
        <v>4278</v>
      </c>
      <c r="G4386" t="str">
        <f>"2461"</f>
        <v>2461</v>
      </c>
      <c r="H4386" t="str">
        <f>"0002"</f>
        <v>0002</v>
      </c>
      <c r="I4386" t="s">
        <v>75</v>
      </c>
      <c r="J4386">
        <v>0</v>
      </c>
      <c r="K4386">
        <v>1</v>
      </c>
      <c r="L4386">
        <v>2</v>
      </c>
      <c r="M4386">
        <v>286</v>
      </c>
      <c r="N4386">
        <v>323</v>
      </c>
      <c r="O4386">
        <v>8</v>
      </c>
      <c r="P4386">
        <v>323</v>
      </c>
      <c r="Q4386">
        <v>8</v>
      </c>
      <c r="R4386">
        <v>30</v>
      </c>
      <c r="S4386">
        <v>4</v>
      </c>
      <c r="T4386">
        <v>3</v>
      </c>
      <c r="U4386">
        <v>5</v>
      </c>
      <c r="V4386">
        <v>10</v>
      </c>
      <c r="W4386">
        <v>17</v>
      </c>
      <c r="X4386">
        <v>214</v>
      </c>
      <c r="Y4386">
        <v>12</v>
      </c>
      <c r="Z4386">
        <v>3</v>
      </c>
      <c r="AA4386">
        <v>2</v>
      </c>
      <c r="AB4386">
        <v>9</v>
      </c>
      <c r="AD4386">
        <v>2</v>
      </c>
      <c r="AE4386" t="s">
        <v>77</v>
      </c>
      <c r="AF4386" t="s">
        <v>77</v>
      </c>
      <c r="AG4386" t="s">
        <v>77</v>
      </c>
      <c r="AI4386" t="s">
        <v>77</v>
      </c>
      <c r="AJ4386">
        <v>4</v>
      </c>
      <c r="AK4386">
        <v>323</v>
      </c>
      <c r="AL4386">
        <v>323</v>
      </c>
      <c r="AM4386">
        <v>565</v>
      </c>
      <c r="AN4386">
        <v>44</v>
      </c>
      <c r="AO4386" t="s">
        <v>78</v>
      </c>
      <c r="AP4386">
        <v>1</v>
      </c>
      <c r="AR4386" t="s">
        <v>4486</v>
      </c>
      <c r="AS4386" s="1">
        <v>44354.397222222222</v>
      </c>
      <c r="AT4386" s="1">
        <v>44354.398680555554</v>
      </c>
      <c r="AU4386" s="1">
        <v>44354.399108796293</v>
      </c>
      <c r="AV4386" t="s">
        <v>71</v>
      </c>
      <c r="AW4386" t="s">
        <v>72</v>
      </c>
      <c r="AX4386" t="s">
        <v>73</v>
      </c>
    </row>
    <row r="4387" spans="1:50" x14ac:dyDescent="0.3">
      <c r="A4387" t="str">
        <f>"202462B0000"</f>
        <v>202462B0000</v>
      </c>
      <c r="B4387" t="str">
        <f>"202462B00002"</f>
        <v>202462B00002</v>
      </c>
      <c r="C4387" t="str">
        <f t="shared" si="224"/>
        <v>20</v>
      </c>
      <c r="D4387" t="s">
        <v>67</v>
      </c>
      <c r="E4387" t="str">
        <f t="shared" si="225"/>
        <v>019</v>
      </c>
      <c r="F4387" t="s">
        <v>4278</v>
      </c>
      <c r="G4387" t="str">
        <f>"2462"</f>
        <v>2462</v>
      </c>
      <c r="H4387" t="str">
        <f>"0000"</f>
        <v>0000</v>
      </c>
      <c r="I4387" t="s">
        <v>69</v>
      </c>
      <c r="J4387">
        <v>0</v>
      </c>
      <c r="K4387">
        <v>1</v>
      </c>
      <c r="L4387">
        <v>2</v>
      </c>
      <c r="M4387">
        <v>365</v>
      </c>
      <c r="N4387">
        <v>390</v>
      </c>
      <c r="O4387">
        <v>12</v>
      </c>
      <c r="P4387">
        <v>391</v>
      </c>
      <c r="Q4387">
        <v>15</v>
      </c>
      <c r="R4387">
        <v>34</v>
      </c>
      <c r="S4387">
        <v>4</v>
      </c>
      <c r="T4387">
        <v>10</v>
      </c>
      <c r="U4387">
        <v>7</v>
      </c>
      <c r="V4387">
        <v>10</v>
      </c>
      <c r="W4387">
        <v>21</v>
      </c>
      <c r="X4387">
        <v>247</v>
      </c>
      <c r="Y4387">
        <v>16</v>
      </c>
      <c r="Z4387">
        <v>7</v>
      </c>
      <c r="AA4387">
        <v>1</v>
      </c>
      <c r="AB4387">
        <v>11</v>
      </c>
      <c r="AD4387">
        <v>1</v>
      </c>
      <c r="AE4387">
        <v>0</v>
      </c>
      <c r="AF4387">
        <v>0</v>
      </c>
      <c r="AG4387">
        <v>0</v>
      </c>
      <c r="AI4387">
        <v>0</v>
      </c>
      <c r="AJ4387">
        <v>7</v>
      </c>
      <c r="AK4387">
        <v>391</v>
      </c>
      <c r="AL4387">
        <v>391</v>
      </c>
      <c r="AM4387">
        <v>711</v>
      </c>
      <c r="AN4387">
        <v>44</v>
      </c>
      <c r="AP4387">
        <v>1</v>
      </c>
      <c r="AR4387" t="s">
        <v>4487</v>
      </c>
      <c r="AS4387" s="1">
        <v>44354.331944444442</v>
      </c>
      <c r="AT4387" s="1">
        <v>44354.33326388889</v>
      </c>
      <c r="AU4387" s="1">
        <v>44354.333912037036</v>
      </c>
      <c r="AV4387" t="s">
        <v>71</v>
      </c>
      <c r="AW4387" t="s">
        <v>72</v>
      </c>
      <c r="AX4387" t="s">
        <v>73</v>
      </c>
    </row>
    <row r="4388" spans="1:50" x14ac:dyDescent="0.3">
      <c r="A4388" t="str">
        <f>"202462C0100"</f>
        <v>202462C0100</v>
      </c>
      <c r="B4388" t="str">
        <f>"202462C01002"</f>
        <v>202462C01002</v>
      </c>
      <c r="C4388" t="str">
        <f t="shared" si="224"/>
        <v>20</v>
      </c>
      <c r="D4388" t="s">
        <v>67</v>
      </c>
      <c r="E4388" t="str">
        <f t="shared" si="225"/>
        <v>019</v>
      </c>
      <c r="F4388" t="s">
        <v>4278</v>
      </c>
      <c r="G4388" t="str">
        <f>"2462"</f>
        <v>2462</v>
      </c>
      <c r="H4388" t="str">
        <f>"0001"</f>
        <v>0001</v>
      </c>
      <c r="I4388" t="s">
        <v>75</v>
      </c>
      <c r="J4388">
        <v>0</v>
      </c>
      <c r="K4388">
        <v>1</v>
      </c>
      <c r="L4388">
        <v>2</v>
      </c>
      <c r="M4388">
        <v>370</v>
      </c>
      <c r="N4388">
        <v>384</v>
      </c>
      <c r="O4388">
        <v>9</v>
      </c>
      <c r="P4388" t="s">
        <v>80</v>
      </c>
      <c r="Q4388">
        <v>15</v>
      </c>
      <c r="R4388">
        <v>30</v>
      </c>
      <c r="S4388">
        <v>2</v>
      </c>
      <c r="T4388">
        <v>7</v>
      </c>
      <c r="U4388">
        <v>11</v>
      </c>
      <c r="V4388">
        <v>13</v>
      </c>
      <c r="W4388">
        <v>14</v>
      </c>
      <c r="X4388">
        <v>251</v>
      </c>
      <c r="Y4388">
        <v>14</v>
      </c>
      <c r="Z4388">
        <v>6</v>
      </c>
      <c r="AA4388">
        <v>3</v>
      </c>
      <c r="AB4388">
        <v>8</v>
      </c>
      <c r="AD4388">
        <v>3</v>
      </c>
      <c r="AE4388">
        <v>0</v>
      </c>
      <c r="AF4388">
        <v>0</v>
      </c>
      <c r="AG4388">
        <v>0</v>
      </c>
      <c r="AI4388">
        <v>0</v>
      </c>
      <c r="AJ4388">
        <v>5</v>
      </c>
      <c r="AK4388">
        <v>382</v>
      </c>
      <c r="AL4388">
        <v>382</v>
      </c>
      <c r="AM4388">
        <v>710</v>
      </c>
      <c r="AN4388">
        <v>44</v>
      </c>
      <c r="AP4388">
        <v>1</v>
      </c>
      <c r="AR4388" t="s">
        <v>4488</v>
      </c>
      <c r="AS4388" s="1">
        <v>44354.352777777778</v>
      </c>
      <c r="AT4388" s="1">
        <v>44354.35460648148</v>
      </c>
      <c r="AU4388" s="1">
        <v>44354.355439814812</v>
      </c>
      <c r="AV4388" t="s">
        <v>71</v>
      </c>
      <c r="AW4388" t="s">
        <v>72</v>
      </c>
      <c r="AX4388" t="s">
        <v>73</v>
      </c>
    </row>
    <row r="4389" spans="1:50" x14ac:dyDescent="0.3">
      <c r="A4389" t="str">
        <f>"202462C0200"</f>
        <v>202462C0200</v>
      </c>
      <c r="B4389" t="str">
        <f>"202462C02002"</f>
        <v>202462C02002</v>
      </c>
      <c r="C4389" t="str">
        <f t="shared" si="224"/>
        <v>20</v>
      </c>
      <c r="D4389" t="s">
        <v>67</v>
      </c>
      <c r="E4389" t="str">
        <f t="shared" si="225"/>
        <v>019</v>
      </c>
      <c r="F4389" t="s">
        <v>4278</v>
      </c>
      <c r="G4389" t="str">
        <f>"2462"</f>
        <v>2462</v>
      </c>
      <c r="H4389" t="str">
        <f>"0002"</f>
        <v>0002</v>
      </c>
      <c r="I4389" t="s">
        <v>75</v>
      </c>
      <c r="J4389">
        <v>0</v>
      </c>
      <c r="K4389">
        <v>1</v>
      </c>
      <c r="L4389">
        <v>2</v>
      </c>
      <c r="M4389">
        <v>351</v>
      </c>
      <c r="N4389">
        <v>403</v>
      </c>
      <c r="O4389">
        <v>11</v>
      </c>
      <c r="P4389">
        <v>403</v>
      </c>
      <c r="Q4389">
        <v>18</v>
      </c>
      <c r="R4389">
        <v>33</v>
      </c>
      <c r="S4389">
        <v>1</v>
      </c>
      <c r="T4389">
        <v>7</v>
      </c>
      <c r="U4389">
        <v>7</v>
      </c>
      <c r="V4389">
        <v>6</v>
      </c>
      <c r="W4389">
        <v>22</v>
      </c>
      <c r="X4389">
        <v>271</v>
      </c>
      <c r="Y4389">
        <v>14</v>
      </c>
      <c r="Z4389">
        <v>4</v>
      </c>
      <c r="AA4389">
        <v>3</v>
      </c>
      <c r="AB4389">
        <v>9</v>
      </c>
      <c r="AD4389">
        <v>2</v>
      </c>
      <c r="AE4389">
        <v>0</v>
      </c>
      <c r="AF4389">
        <v>0</v>
      </c>
      <c r="AG4389">
        <v>0</v>
      </c>
      <c r="AI4389">
        <v>0</v>
      </c>
      <c r="AJ4389">
        <v>6</v>
      </c>
      <c r="AK4389">
        <v>403</v>
      </c>
      <c r="AL4389">
        <v>403</v>
      </c>
      <c r="AM4389">
        <v>710</v>
      </c>
      <c r="AN4389">
        <v>44</v>
      </c>
      <c r="AP4389">
        <v>1</v>
      </c>
      <c r="AR4389" t="s">
        <v>4489</v>
      </c>
      <c r="AS4389" s="1">
        <v>44354.333333333336</v>
      </c>
      <c r="AT4389" s="1">
        <v>44354.334861111114</v>
      </c>
      <c r="AU4389" s="1">
        <v>44354.335532407407</v>
      </c>
      <c r="AV4389" t="s">
        <v>71</v>
      </c>
      <c r="AW4389" t="s">
        <v>72</v>
      </c>
      <c r="AX4389" t="s">
        <v>73</v>
      </c>
    </row>
    <row r="4390" spans="1:50" x14ac:dyDescent="0.3">
      <c r="A4390" t="str">
        <f>"202462C0300"</f>
        <v>202462C0300</v>
      </c>
      <c r="B4390" t="str">
        <f>"202462C03002"</f>
        <v>202462C03002</v>
      </c>
      <c r="C4390" t="str">
        <f t="shared" si="224"/>
        <v>20</v>
      </c>
      <c r="D4390" t="s">
        <v>67</v>
      </c>
      <c r="E4390" t="str">
        <f t="shared" si="225"/>
        <v>019</v>
      </c>
      <c r="F4390" t="s">
        <v>4278</v>
      </c>
      <c r="G4390" t="str">
        <f>"2462"</f>
        <v>2462</v>
      </c>
      <c r="H4390" t="str">
        <f>"0003"</f>
        <v>0003</v>
      </c>
      <c r="I4390" t="s">
        <v>75</v>
      </c>
      <c r="J4390">
        <v>0</v>
      </c>
      <c r="K4390">
        <v>1</v>
      </c>
      <c r="L4390">
        <v>2</v>
      </c>
      <c r="M4390">
        <v>377</v>
      </c>
      <c r="N4390">
        <v>387</v>
      </c>
      <c r="O4390">
        <v>1</v>
      </c>
      <c r="P4390">
        <v>387</v>
      </c>
      <c r="Q4390">
        <v>19</v>
      </c>
      <c r="R4390">
        <v>29</v>
      </c>
      <c r="S4390">
        <v>3</v>
      </c>
      <c r="T4390">
        <v>9</v>
      </c>
      <c r="U4390">
        <v>7</v>
      </c>
      <c r="V4390">
        <v>18</v>
      </c>
      <c r="W4390">
        <v>23</v>
      </c>
      <c r="X4390">
        <v>245</v>
      </c>
      <c r="Y4390">
        <v>5</v>
      </c>
      <c r="Z4390">
        <v>4</v>
      </c>
      <c r="AA4390">
        <v>1</v>
      </c>
      <c r="AB4390">
        <v>5</v>
      </c>
      <c r="AD4390">
        <v>2</v>
      </c>
      <c r="AE4390">
        <v>1</v>
      </c>
      <c r="AF4390">
        <v>0</v>
      </c>
      <c r="AG4390">
        <v>0</v>
      </c>
      <c r="AI4390">
        <v>0</v>
      </c>
      <c r="AJ4390">
        <v>12</v>
      </c>
      <c r="AK4390">
        <v>387</v>
      </c>
      <c r="AL4390">
        <v>383</v>
      </c>
      <c r="AM4390">
        <v>710</v>
      </c>
      <c r="AN4390">
        <v>44</v>
      </c>
      <c r="AP4390">
        <v>1</v>
      </c>
      <c r="AR4390" t="s">
        <v>4490</v>
      </c>
      <c r="AS4390" s="1">
        <v>44354.379166666666</v>
      </c>
      <c r="AT4390" s="1">
        <v>44354.380509259259</v>
      </c>
      <c r="AU4390" s="1">
        <v>44354.384467592594</v>
      </c>
      <c r="AV4390" t="s">
        <v>71</v>
      </c>
      <c r="AW4390" t="s">
        <v>72</v>
      </c>
      <c r="AX4390" t="s">
        <v>73</v>
      </c>
    </row>
    <row r="4391" spans="1:50" x14ac:dyDescent="0.3">
      <c r="A4391" t="str">
        <f>"202463B0000"</f>
        <v>202463B0000</v>
      </c>
      <c r="B4391" t="str">
        <f>"202463B00002"</f>
        <v>202463B00002</v>
      </c>
      <c r="C4391" t="str">
        <f t="shared" si="224"/>
        <v>20</v>
      </c>
      <c r="D4391" t="s">
        <v>67</v>
      </c>
      <c r="E4391" t="str">
        <f t="shared" si="225"/>
        <v>019</v>
      </c>
      <c r="F4391" t="s">
        <v>4278</v>
      </c>
      <c r="G4391" t="str">
        <f>"2463"</f>
        <v>2463</v>
      </c>
      <c r="H4391" t="str">
        <f>"0000"</f>
        <v>0000</v>
      </c>
      <c r="I4391" t="s">
        <v>69</v>
      </c>
      <c r="J4391">
        <v>0</v>
      </c>
      <c r="K4391">
        <v>1</v>
      </c>
      <c r="L4391">
        <v>2</v>
      </c>
      <c r="M4391">
        <v>342</v>
      </c>
      <c r="N4391">
        <v>351</v>
      </c>
      <c r="O4391">
        <v>11</v>
      </c>
      <c r="P4391">
        <v>351</v>
      </c>
      <c r="Q4391">
        <v>18</v>
      </c>
      <c r="R4391">
        <v>25</v>
      </c>
      <c r="S4391">
        <v>5</v>
      </c>
      <c r="T4391">
        <v>4</v>
      </c>
      <c r="U4391">
        <v>3</v>
      </c>
      <c r="V4391">
        <v>11</v>
      </c>
      <c r="W4391">
        <v>25</v>
      </c>
      <c r="X4391">
        <v>220</v>
      </c>
      <c r="Y4391">
        <v>16</v>
      </c>
      <c r="Z4391">
        <v>5</v>
      </c>
      <c r="AA4391">
        <v>0</v>
      </c>
      <c r="AB4391">
        <v>8</v>
      </c>
      <c r="AD4391">
        <v>0</v>
      </c>
      <c r="AE4391">
        <v>2</v>
      </c>
      <c r="AF4391">
        <v>0</v>
      </c>
      <c r="AG4391">
        <v>0</v>
      </c>
      <c r="AI4391" t="s">
        <v>77</v>
      </c>
      <c r="AJ4391">
        <v>9</v>
      </c>
      <c r="AK4391">
        <v>351</v>
      </c>
      <c r="AL4391">
        <v>351</v>
      </c>
      <c r="AM4391">
        <v>649</v>
      </c>
      <c r="AN4391">
        <v>44</v>
      </c>
      <c r="AO4391" t="s">
        <v>78</v>
      </c>
      <c r="AP4391">
        <v>1</v>
      </c>
      <c r="AR4391" t="s">
        <v>4491</v>
      </c>
      <c r="AS4391" s="1">
        <v>44354.43472222222</v>
      </c>
      <c r="AT4391" s="1">
        <v>44354.438032407408</v>
      </c>
      <c r="AU4391" s="1">
        <v>44354.439432870371</v>
      </c>
      <c r="AV4391" t="s">
        <v>71</v>
      </c>
      <c r="AW4391" t="s">
        <v>72</v>
      </c>
      <c r="AX4391" t="s">
        <v>73</v>
      </c>
    </row>
    <row r="4392" spans="1:50" x14ac:dyDescent="0.3">
      <c r="A4392" t="str">
        <f>"202463C0100"</f>
        <v>202463C0100</v>
      </c>
      <c r="B4392" t="str">
        <f>"202463C01002"</f>
        <v>202463C01002</v>
      </c>
      <c r="C4392" t="str">
        <f t="shared" si="224"/>
        <v>20</v>
      </c>
      <c r="D4392" t="s">
        <v>67</v>
      </c>
      <c r="E4392" t="str">
        <f t="shared" si="225"/>
        <v>019</v>
      </c>
      <c r="F4392" t="s">
        <v>4278</v>
      </c>
      <c r="G4392" t="str">
        <f>"2463"</f>
        <v>2463</v>
      </c>
      <c r="H4392" t="str">
        <f>"0001"</f>
        <v>0001</v>
      </c>
      <c r="I4392" t="s">
        <v>75</v>
      </c>
      <c r="J4392">
        <v>0</v>
      </c>
      <c r="K4392">
        <v>1</v>
      </c>
      <c r="L4392">
        <v>2</v>
      </c>
      <c r="M4392">
        <v>328</v>
      </c>
      <c r="N4392">
        <v>365</v>
      </c>
      <c r="O4392">
        <v>7</v>
      </c>
      <c r="P4392">
        <v>364</v>
      </c>
      <c r="Q4392">
        <v>19</v>
      </c>
      <c r="R4392">
        <v>33</v>
      </c>
      <c r="S4392">
        <v>3</v>
      </c>
      <c r="T4392">
        <v>10</v>
      </c>
      <c r="U4392">
        <v>8</v>
      </c>
      <c r="V4392">
        <v>7</v>
      </c>
      <c r="W4392">
        <v>22</v>
      </c>
      <c r="X4392">
        <v>215</v>
      </c>
      <c r="Y4392">
        <v>22</v>
      </c>
      <c r="Z4392">
        <v>3</v>
      </c>
      <c r="AA4392">
        <v>3</v>
      </c>
      <c r="AB4392">
        <v>5</v>
      </c>
      <c r="AD4392">
        <v>2</v>
      </c>
      <c r="AE4392">
        <v>1</v>
      </c>
      <c r="AF4392">
        <v>0</v>
      </c>
      <c r="AG4392">
        <v>1</v>
      </c>
      <c r="AI4392">
        <v>0</v>
      </c>
      <c r="AJ4392">
        <v>10</v>
      </c>
      <c r="AK4392">
        <v>364</v>
      </c>
      <c r="AL4392">
        <v>364</v>
      </c>
      <c r="AM4392">
        <v>649</v>
      </c>
      <c r="AN4392">
        <v>44</v>
      </c>
      <c r="AP4392">
        <v>1</v>
      </c>
      <c r="AR4392" t="s">
        <v>4492</v>
      </c>
      <c r="AS4392" s="1">
        <v>44354.445833333331</v>
      </c>
      <c r="AT4392" s="1">
        <v>44354.448078703703</v>
      </c>
      <c r="AU4392" s="1">
        <v>44354.448634259257</v>
      </c>
      <c r="AV4392" t="s">
        <v>71</v>
      </c>
      <c r="AW4392" t="s">
        <v>72</v>
      </c>
      <c r="AX4392" t="s">
        <v>73</v>
      </c>
    </row>
    <row r="4393" spans="1:50" x14ac:dyDescent="0.3">
      <c r="A4393" t="str">
        <f>"202463C0200"</f>
        <v>202463C0200</v>
      </c>
      <c r="B4393" t="str">
        <f>"202463C02002"</f>
        <v>202463C02002</v>
      </c>
      <c r="C4393" t="str">
        <f t="shared" si="224"/>
        <v>20</v>
      </c>
      <c r="D4393" t="s">
        <v>67</v>
      </c>
      <c r="E4393" t="str">
        <f t="shared" si="225"/>
        <v>019</v>
      </c>
      <c r="F4393" t="s">
        <v>4278</v>
      </c>
      <c r="G4393" t="str">
        <f>"2463"</f>
        <v>2463</v>
      </c>
      <c r="H4393" t="str">
        <f>"0002"</f>
        <v>0002</v>
      </c>
      <c r="I4393" t="s">
        <v>75</v>
      </c>
      <c r="J4393">
        <v>0</v>
      </c>
      <c r="K4393">
        <v>1</v>
      </c>
      <c r="L4393">
        <v>2</v>
      </c>
      <c r="M4393">
        <v>346</v>
      </c>
      <c r="N4393">
        <v>346</v>
      </c>
      <c r="O4393">
        <v>10</v>
      </c>
      <c r="P4393">
        <v>347</v>
      </c>
      <c r="Q4393">
        <v>16</v>
      </c>
      <c r="R4393">
        <v>18</v>
      </c>
      <c r="S4393">
        <v>2</v>
      </c>
      <c r="T4393">
        <v>5</v>
      </c>
      <c r="U4393">
        <v>6</v>
      </c>
      <c r="V4393">
        <v>10</v>
      </c>
      <c r="W4393">
        <v>26</v>
      </c>
      <c r="X4393">
        <v>213</v>
      </c>
      <c r="Y4393">
        <v>23</v>
      </c>
      <c r="Z4393">
        <v>5</v>
      </c>
      <c r="AA4393">
        <v>1</v>
      </c>
      <c r="AB4393">
        <v>8</v>
      </c>
      <c r="AD4393">
        <v>1</v>
      </c>
      <c r="AE4393">
        <v>0</v>
      </c>
      <c r="AF4393">
        <v>0</v>
      </c>
      <c r="AG4393">
        <v>0</v>
      </c>
      <c r="AI4393">
        <v>0</v>
      </c>
      <c r="AJ4393">
        <v>13</v>
      </c>
      <c r="AK4393" t="s">
        <v>77</v>
      </c>
      <c r="AL4393">
        <v>347</v>
      </c>
      <c r="AM4393">
        <v>648</v>
      </c>
      <c r="AN4393">
        <v>44</v>
      </c>
      <c r="AP4393">
        <v>1</v>
      </c>
      <c r="AR4393" t="s">
        <v>4493</v>
      </c>
      <c r="AS4393" s="1">
        <v>44354.37777777778</v>
      </c>
      <c r="AT4393" s="1">
        <v>44354.379849537036</v>
      </c>
      <c r="AU4393" s="1">
        <v>44354.380300925928</v>
      </c>
      <c r="AV4393" t="s">
        <v>71</v>
      </c>
      <c r="AW4393" t="s">
        <v>72</v>
      </c>
      <c r="AX4393" t="s">
        <v>73</v>
      </c>
    </row>
    <row r="4394" spans="1:50" x14ac:dyDescent="0.3">
      <c r="A4394" t="str">
        <f>"202463C0300"</f>
        <v>202463C0300</v>
      </c>
      <c r="B4394" t="str">
        <f>"202463C03002"</f>
        <v>202463C03002</v>
      </c>
      <c r="C4394" t="str">
        <f t="shared" si="224"/>
        <v>20</v>
      </c>
      <c r="D4394" t="s">
        <v>67</v>
      </c>
      <c r="E4394" t="str">
        <f t="shared" si="225"/>
        <v>019</v>
      </c>
      <c r="F4394" t="s">
        <v>4278</v>
      </c>
      <c r="G4394" t="str">
        <f>"2463"</f>
        <v>2463</v>
      </c>
      <c r="H4394" t="str">
        <f>"0003"</f>
        <v>0003</v>
      </c>
      <c r="I4394" t="s">
        <v>75</v>
      </c>
      <c r="J4394">
        <v>0</v>
      </c>
      <c r="K4394">
        <v>1</v>
      </c>
      <c r="L4394">
        <v>2</v>
      </c>
      <c r="M4394">
        <v>344</v>
      </c>
      <c r="N4394">
        <v>348</v>
      </c>
      <c r="O4394">
        <v>9</v>
      </c>
      <c r="P4394" t="s">
        <v>80</v>
      </c>
      <c r="Q4394">
        <v>11</v>
      </c>
      <c r="R4394">
        <v>27</v>
      </c>
      <c r="S4394">
        <v>4</v>
      </c>
      <c r="T4394">
        <v>10</v>
      </c>
      <c r="U4394">
        <v>5</v>
      </c>
      <c r="V4394">
        <v>14</v>
      </c>
      <c r="W4394">
        <v>23</v>
      </c>
      <c r="X4394">
        <v>207</v>
      </c>
      <c r="Y4394">
        <v>17</v>
      </c>
      <c r="Z4394">
        <v>3</v>
      </c>
      <c r="AA4394">
        <v>2</v>
      </c>
      <c r="AB4394">
        <v>11</v>
      </c>
      <c r="AD4394">
        <v>0</v>
      </c>
      <c r="AE4394">
        <v>0</v>
      </c>
      <c r="AF4394">
        <v>0</v>
      </c>
      <c r="AG4394">
        <v>0</v>
      </c>
      <c r="AI4394">
        <v>0</v>
      </c>
      <c r="AJ4394">
        <v>14</v>
      </c>
      <c r="AK4394">
        <v>348</v>
      </c>
      <c r="AL4394">
        <v>348</v>
      </c>
      <c r="AM4394">
        <v>648</v>
      </c>
      <c r="AN4394">
        <v>44</v>
      </c>
      <c r="AP4394">
        <v>1</v>
      </c>
      <c r="AR4394" t="s">
        <v>4494</v>
      </c>
      <c r="AS4394" s="1">
        <v>44354.445833333331</v>
      </c>
      <c r="AT4394" s="1">
        <v>44354.447870370372</v>
      </c>
      <c r="AU4394" s="1">
        <v>44354.448912037034</v>
      </c>
      <c r="AV4394" t="s">
        <v>71</v>
      </c>
      <c r="AW4394" t="s">
        <v>72</v>
      </c>
      <c r="AX4394" t="s">
        <v>73</v>
      </c>
    </row>
    <row r="4395" spans="1:50" x14ac:dyDescent="0.3">
      <c r="A4395" t="str">
        <f>"202464B0000"</f>
        <v>202464B0000</v>
      </c>
      <c r="B4395" t="str">
        <f>"202464B00002"</f>
        <v>202464B00002</v>
      </c>
      <c r="C4395" t="str">
        <f t="shared" si="224"/>
        <v>20</v>
      </c>
      <c r="D4395" t="s">
        <v>67</v>
      </c>
      <c r="E4395" t="str">
        <f t="shared" si="225"/>
        <v>019</v>
      </c>
      <c r="F4395" t="s">
        <v>4278</v>
      </c>
      <c r="G4395" t="str">
        <f>"2464"</f>
        <v>2464</v>
      </c>
      <c r="H4395" t="str">
        <f>"0000"</f>
        <v>0000</v>
      </c>
      <c r="I4395" t="s">
        <v>69</v>
      </c>
      <c r="J4395">
        <v>0</v>
      </c>
      <c r="K4395">
        <v>1</v>
      </c>
      <c r="L4395">
        <v>2</v>
      </c>
      <c r="M4395">
        <v>332</v>
      </c>
      <c r="N4395">
        <v>329</v>
      </c>
      <c r="O4395">
        <v>6</v>
      </c>
      <c r="P4395">
        <v>327</v>
      </c>
      <c r="Q4395">
        <v>18</v>
      </c>
      <c r="R4395">
        <v>36</v>
      </c>
      <c r="S4395">
        <v>7</v>
      </c>
      <c r="T4395">
        <v>10</v>
      </c>
      <c r="U4395">
        <v>5</v>
      </c>
      <c r="V4395">
        <v>11</v>
      </c>
      <c r="W4395">
        <v>32</v>
      </c>
      <c r="X4395">
        <v>170</v>
      </c>
      <c r="Y4395">
        <v>10</v>
      </c>
      <c r="Z4395">
        <v>4</v>
      </c>
      <c r="AA4395">
        <v>7</v>
      </c>
      <c r="AB4395">
        <v>9</v>
      </c>
      <c r="AD4395">
        <v>61</v>
      </c>
      <c r="AE4395">
        <v>54</v>
      </c>
      <c r="AF4395">
        <v>25</v>
      </c>
      <c r="AG4395">
        <v>43</v>
      </c>
      <c r="AI4395">
        <v>0</v>
      </c>
      <c r="AJ4395">
        <v>8</v>
      </c>
      <c r="AK4395">
        <v>327</v>
      </c>
      <c r="AL4395">
        <v>510</v>
      </c>
      <c r="AM4395">
        <v>617</v>
      </c>
      <c r="AN4395">
        <v>44</v>
      </c>
      <c r="AP4395">
        <v>1</v>
      </c>
      <c r="AR4395" t="s">
        <v>4495</v>
      </c>
      <c r="AS4395" s="1">
        <v>44354.398611111108</v>
      </c>
      <c r="AT4395" s="1">
        <v>44354.400787037041</v>
      </c>
      <c r="AU4395" s="1">
        <v>44354.402175925927</v>
      </c>
      <c r="AV4395" t="s">
        <v>71</v>
      </c>
      <c r="AW4395" t="s">
        <v>72</v>
      </c>
      <c r="AX4395" t="s">
        <v>73</v>
      </c>
    </row>
    <row r="4396" spans="1:50" x14ac:dyDescent="0.3">
      <c r="A4396" t="str">
        <f>"202464C0100"</f>
        <v>202464C0100</v>
      </c>
      <c r="B4396" t="str">
        <f>"202464C01002"</f>
        <v>202464C01002</v>
      </c>
      <c r="C4396" t="str">
        <f t="shared" si="224"/>
        <v>20</v>
      </c>
      <c r="D4396" t="s">
        <v>67</v>
      </c>
      <c r="E4396" t="str">
        <f t="shared" si="225"/>
        <v>019</v>
      </c>
      <c r="F4396" t="s">
        <v>4278</v>
      </c>
      <c r="G4396" t="str">
        <f>"2464"</f>
        <v>2464</v>
      </c>
      <c r="H4396" t="str">
        <f>"0001"</f>
        <v>0001</v>
      </c>
      <c r="I4396" t="s">
        <v>75</v>
      </c>
      <c r="J4396">
        <v>0</v>
      </c>
      <c r="K4396">
        <v>1</v>
      </c>
      <c r="L4396">
        <v>2</v>
      </c>
      <c r="M4396">
        <v>341</v>
      </c>
      <c r="N4396">
        <v>319</v>
      </c>
      <c r="O4396">
        <v>7</v>
      </c>
      <c r="P4396">
        <v>319</v>
      </c>
      <c r="Q4396">
        <v>15</v>
      </c>
      <c r="R4396">
        <v>23</v>
      </c>
      <c r="S4396">
        <v>4</v>
      </c>
      <c r="T4396">
        <v>11</v>
      </c>
      <c r="U4396">
        <v>6</v>
      </c>
      <c r="V4396">
        <v>5</v>
      </c>
      <c r="W4396">
        <v>36</v>
      </c>
      <c r="X4396">
        <v>183</v>
      </c>
      <c r="Y4396">
        <v>10</v>
      </c>
      <c r="Z4396">
        <v>0</v>
      </c>
      <c r="AA4396">
        <v>4</v>
      </c>
      <c r="AB4396">
        <v>5</v>
      </c>
      <c r="AD4396">
        <v>0</v>
      </c>
      <c r="AE4396">
        <v>2</v>
      </c>
      <c r="AF4396">
        <v>0</v>
      </c>
      <c r="AG4396">
        <v>0</v>
      </c>
      <c r="AI4396">
        <v>0</v>
      </c>
      <c r="AJ4396">
        <v>15</v>
      </c>
      <c r="AK4396">
        <v>319</v>
      </c>
      <c r="AL4396">
        <v>319</v>
      </c>
      <c r="AM4396">
        <v>617</v>
      </c>
      <c r="AN4396">
        <v>44</v>
      </c>
      <c r="AP4396">
        <v>1</v>
      </c>
      <c r="AR4396" t="s">
        <v>4496</v>
      </c>
      <c r="AS4396" s="1">
        <v>44354.520833333336</v>
      </c>
      <c r="AT4396" s="1">
        <v>44354.523136574076</v>
      </c>
      <c r="AU4396" s="1">
        <v>44354.523865740739</v>
      </c>
      <c r="AV4396" t="s">
        <v>71</v>
      </c>
      <c r="AW4396" t="s">
        <v>72</v>
      </c>
      <c r="AX4396" t="s">
        <v>73</v>
      </c>
    </row>
    <row r="4397" spans="1:50" x14ac:dyDescent="0.3">
      <c r="A4397" t="str">
        <f>"202464C0200"</f>
        <v>202464C0200</v>
      </c>
      <c r="B4397" t="str">
        <f>"202464C02002"</f>
        <v>202464C02002</v>
      </c>
      <c r="C4397" t="str">
        <f t="shared" si="224"/>
        <v>20</v>
      </c>
      <c r="D4397" t="s">
        <v>67</v>
      </c>
      <c r="E4397" t="str">
        <f t="shared" si="225"/>
        <v>019</v>
      </c>
      <c r="F4397" t="s">
        <v>4278</v>
      </c>
      <c r="G4397" t="str">
        <f>"2464"</f>
        <v>2464</v>
      </c>
      <c r="H4397" t="str">
        <f>"0002"</f>
        <v>0002</v>
      </c>
      <c r="I4397" t="s">
        <v>75</v>
      </c>
      <c r="J4397">
        <v>0</v>
      </c>
      <c r="K4397">
        <v>1</v>
      </c>
      <c r="L4397">
        <v>2</v>
      </c>
      <c r="M4397">
        <v>342</v>
      </c>
      <c r="N4397">
        <v>319</v>
      </c>
      <c r="O4397">
        <v>4</v>
      </c>
      <c r="P4397">
        <v>318</v>
      </c>
      <c r="Q4397">
        <v>12</v>
      </c>
      <c r="R4397">
        <v>30</v>
      </c>
      <c r="S4397">
        <v>5</v>
      </c>
      <c r="T4397">
        <v>14</v>
      </c>
      <c r="U4397">
        <v>8</v>
      </c>
      <c r="V4397">
        <v>9</v>
      </c>
      <c r="W4397">
        <v>33</v>
      </c>
      <c r="X4397">
        <v>171</v>
      </c>
      <c r="Y4397">
        <v>9</v>
      </c>
      <c r="Z4397">
        <v>4</v>
      </c>
      <c r="AA4397">
        <v>3</v>
      </c>
      <c r="AB4397">
        <v>6</v>
      </c>
      <c r="AD4397">
        <v>3</v>
      </c>
      <c r="AE4397">
        <v>0</v>
      </c>
      <c r="AF4397">
        <v>0</v>
      </c>
      <c r="AG4397">
        <v>0</v>
      </c>
      <c r="AI4397">
        <v>0</v>
      </c>
      <c r="AJ4397">
        <v>11</v>
      </c>
      <c r="AK4397">
        <v>318</v>
      </c>
      <c r="AL4397">
        <v>318</v>
      </c>
      <c r="AM4397">
        <v>617</v>
      </c>
      <c r="AN4397">
        <v>44</v>
      </c>
      <c r="AP4397">
        <v>1</v>
      </c>
      <c r="AR4397" t="s">
        <v>4497</v>
      </c>
      <c r="AS4397" s="1">
        <v>44354.445138888892</v>
      </c>
      <c r="AT4397" s="1">
        <v>44354.44703703704</v>
      </c>
      <c r="AU4397" s="1">
        <v>44354.447731481479</v>
      </c>
      <c r="AV4397" t="s">
        <v>71</v>
      </c>
      <c r="AW4397" t="s">
        <v>72</v>
      </c>
      <c r="AX4397" t="s">
        <v>73</v>
      </c>
    </row>
    <row r="4398" spans="1:50" x14ac:dyDescent="0.3">
      <c r="A4398" t="str">
        <f>"202464C0300"</f>
        <v>202464C0300</v>
      </c>
      <c r="B4398" t="str">
        <f>"202464C03002"</f>
        <v>202464C03002</v>
      </c>
      <c r="C4398" t="str">
        <f t="shared" si="224"/>
        <v>20</v>
      </c>
      <c r="D4398" t="s">
        <v>67</v>
      </c>
      <c r="E4398" t="str">
        <f t="shared" si="225"/>
        <v>019</v>
      </c>
      <c r="F4398" t="s">
        <v>4278</v>
      </c>
      <c r="G4398" t="str">
        <f>"2464"</f>
        <v>2464</v>
      </c>
      <c r="H4398" t="str">
        <f>"0003"</f>
        <v>0003</v>
      </c>
      <c r="I4398" t="s">
        <v>75</v>
      </c>
      <c r="J4398">
        <v>0</v>
      </c>
      <c r="K4398">
        <v>1</v>
      </c>
      <c r="L4398">
        <v>2</v>
      </c>
      <c r="M4398">
        <v>358</v>
      </c>
      <c r="N4398">
        <v>302</v>
      </c>
      <c r="O4398">
        <v>4</v>
      </c>
      <c r="P4398">
        <v>302</v>
      </c>
      <c r="Q4398" t="s">
        <v>77</v>
      </c>
      <c r="R4398" t="s">
        <v>77</v>
      </c>
      <c r="S4398" t="s">
        <v>77</v>
      </c>
      <c r="T4398">
        <v>20</v>
      </c>
      <c r="U4398">
        <v>7</v>
      </c>
      <c r="V4398">
        <v>7</v>
      </c>
      <c r="W4398">
        <v>19</v>
      </c>
      <c r="X4398">
        <v>177</v>
      </c>
      <c r="Y4398">
        <v>6</v>
      </c>
      <c r="Z4398">
        <v>1</v>
      </c>
      <c r="AA4398">
        <v>1</v>
      </c>
      <c r="AB4398">
        <v>3</v>
      </c>
      <c r="AD4398">
        <v>51</v>
      </c>
      <c r="AE4398" t="s">
        <v>77</v>
      </c>
      <c r="AF4398" t="s">
        <v>77</v>
      </c>
      <c r="AG4398" t="s">
        <v>77</v>
      </c>
      <c r="AI4398" t="s">
        <v>77</v>
      </c>
      <c r="AJ4398">
        <v>10</v>
      </c>
      <c r="AK4398" t="s">
        <v>77</v>
      </c>
      <c r="AL4398">
        <v>302</v>
      </c>
      <c r="AM4398">
        <v>616</v>
      </c>
      <c r="AN4398">
        <v>44</v>
      </c>
      <c r="AO4398" t="s">
        <v>78</v>
      </c>
      <c r="AP4398">
        <v>1</v>
      </c>
      <c r="AR4398" t="s">
        <v>4498</v>
      </c>
      <c r="AS4398" s="1">
        <v>44354.435416666667</v>
      </c>
      <c r="AT4398" s="1">
        <v>44354.438194444447</v>
      </c>
      <c r="AU4398" s="1">
        <v>44354.438703703701</v>
      </c>
      <c r="AV4398" t="s">
        <v>71</v>
      </c>
      <c r="AW4398" t="s">
        <v>72</v>
      </c>
      <c r="AX4398" t="s">
        <v>73</v>
      </c>
    </row>
    <row r="4399" spans="1:50" x14ac:dyDescent="0.3">
      <c r="A4399" t="str">
        <f>"202464C0400"</f>
        <v>202464C0400</v>
      </c>
      <c r="B4399" t="str">
        <f>"202464C04002"</f>
        <v>202464C04002</v>
      </c>
      <c r="C4399" t="str">
        <f t="shared" si="224"/>
        <v>20</v>
      </c>
      <c r="D4399" t="s">
        <v>67</v>
      </c>
      <c r="E4399" t="str">
        <f t="shared" si="225"/>
        <v>019</v>
      </c>
      <c r="F4399" t="s">
        <v>4278</v>
      </c>
      <c r="G4399" t="str">
        <f>"2464"</f>
        <v>2464</v>
      </c>
      <c r="H4399" t="str">
        <f>"0004"</f>
        <v>0004</v>
      </c>
      <c r="I4399" t="s">
        <v>75</v>
      </c>
      <c r="J4399">
        <v>0</v>
      </c>
      <c r="K4399">
        <v>1</v>
      </c>
      <c r="L4399">
        <v>2</v>
      </c>
      <c r="M4399">
        <v>352</v>
      </c>
      <c r="N4399">
        <v>305</v>
      </c>
      <c r="O4399">
        <v>9</v>
      </c>
      <c r="P4399">
        <v>309</v>
      </c>
      <c r="Q4399">
        <v>16</v>
      </c>
      <c r="R4399">
        <v>28</v>
      </c>
      <c r="S4399">
        <v>1</v>
      </c>
      <c r="T4399">
        <v>12</v>
      </c>
      <c r="U4399">
        <v>3</v>
      </c>
      <c r="V4399">
        <v>7</v>
      </c>
      <c r="W4399">
        <v>18</v>
      </c>
      <c r="X4399">
        <v>189</v>
      </c>
      <c r="Y4399">
        <v>14</v>
      </c>
      <c r="Z4399">
        <v>0</v>
      </c>
      <c r="AA4399">
        <v>4</v>
      </c>
      <c r="AB4399">
        <v>3</v>
      </c>
      <c r="AD4399">
        <v>0</v>
      </c>
      <c r="AE4399">
        <v>0</v>
      </c>
      <c r="AF4399">
        <v>0</v>
      </c>
      <c r="AG4399">
        <v>1</v>
      </c>
      <c r="AI4399" t="s">
        <v>77</v>
      </c>
      <c r="AJ4399">
        <v>13</v>
      </c>
      <c r="AK4399">
        <v>309</v>
      </c>
      <c r="AL4399">
        <v>309</v>
      </c>
      <c r="AM4399">
        <v>616</v>
      </c>
      <c r="AN4399">
        <v>44</v>
      </c>
      <c r="AO4399" t="s">
        <v>78</v>
      </c>
      <c r="AP4399">
        <v>1</v>
      </c>
      <c r="AR4399" t="s">
        <v>4499</v>
      </c>
      <c r="AS4399" s="1">
        <v>44354.379166666666</v>
      </c>
      <c r="AT4399" s="1">
        <v>44354.380972222221</v>
      </c>
      <c r="AU4399" s="1">
        <v>44354.381469907406</v>
      </c>
      <c r="AV4399" t="s">
        <v>71</v>
      </c>
      <c r="AW4399" t="s">
        <v>72</v>
      </c>
      <c r="AX4399" t="s">
        <v>73</v>
      </c>
    </row>
    <row r="4400" spans="1:50" x14ac:dyDescent="0.3">
      <c r="A4400" t="str">
        <f>"202465B0000"</f>
        <v>202465B0000</v>
      </c>
      <c r="B4400" t="str">
        <f>"202465B00002"</f>
        <v>202465B00002</v>
      </c>
      <c r="C4400" t="str">
        <f t="shared" si="224"/>
        <v>20</v>
      </c>
      <c r="D4400" t="s">
        <v>67</v>
      </c>
      <c r="E4400" t="str">
        <f t="shared" si="225"/>
        <v>019</v>
      </c>
      <c r="F4400" t="s">
        <v>4278</v>
      </c>
      <c r="G4400" t="str">
        <f>"2465"</f>
        <v>2465</v>
      </c>
      <c r="H4400" t="str">
        <f>"0000"</f>
        <v>0000</v>
      </c>
      <c r="I4400" t="s">
        <v>69</v>
      </c>
      <c r="J4400">
        <v>0</v>
      </c>
      <c r="K4400">
        <v>1</v>
      </c>
      <c r="L4400">
        <v>2</v>
      </c>
      <c r="M4400">
        <v>130</v>
      </c>
      <c r="N4400">
        <v>554</v>
      </c>
      <c r="O4400">
        <v>0</v>
      </c>
      <c r="P4400">
        <v>541</v>
      </c>
      <c r="Q4400">
        <v>10</v>
      </c>
      <c r="R4400">
        <v>178</v>
      </c>
      <c r="S4400">
        <v>16</v>
      </c>
      <c r="T4400">
        <v>1</v>
      </c>
      <c r="U4400">
        <v>40</v>
      </c>
      <c r="V4400">
        <v>2</v>
      </c>
      <c r="W4400">
        <v>0</v>
      </c>
      <c r="X4400">
        <v>247</v>
      </c>
      <c r="Y4400">
        <v>1</v>
      </c>
      <c r="Z4400">
        <v>1</v>
      </c>
      <c r="AA4400">
        <v>14</v>
      </c>
      <c r="AB4400">
        <v>4</v>
      </c>
      <c r="AD4400">
        <v>4</v>
      </c>
      <c r="AE4400">
        <v>0</v>
      </c>
      <c r="AF4400">
        <v>0</v>
      </c>
      <c r="AG4400">
        <v>0</v>
      </c>
      <c r="AI4400">
        <v>0</v>
      </c>
      <c r="AJ4400">
        <v>23</v>
      </c>
      <c r="AK4400">
        <v>541</v>
      </c>
      <c r="AL4400">
        <v>541</v>
      </c>
      <c r="AM4400">
        <v>637</v>
      </c>
      <c r="AN4400">
        <v>44</v>
      </c>
      <c r="AP4400">
        <v>1</v>
      </c>
      <c r="AR4400" t="s">
        <v>4500</v>
      </c>
      <c r="AS4400" s="1">
        <v>44354.05972222222</v>
      </c>
      <c r="AT4400" s="1">
        <v>44354.061863425923</v>
      </c>
      <c r="AU4400" s="1">
        <v>44354.0624537037</v>
      </c>
      <c r="AV4400" t="s">
        <v>71</v>
      </c>
      <c r="AW4400" t="s">
        <v>72</v>
      </c>
      <c r="AX4400" t="s">
        <v>73</v>
      </c>
    </row>
    <row r="4401" spans="1:50" x14ac:dyDescent="0.3">
      <c r="A4401" t="str">
        <f>"202466B0000"</f>
        <v>202466B0000</v>
      </c>
      <c r="B4401" t="str">
        <f>"202466B00002"</f>
        <v>202466B00002</v>
      </c>
      <c r="C4401" t="str">
        <f t="shared" si="224"/>
        <v>20</v>
      </c>
      <c r="D4401" t="s">
        <v>67</v>
      </c>
      <c r="E4401" t="str">
        <f t="shared" si="225"/>
        <v>019</v>
      </c>
      <c r="F4401" t="s">
        <v>4278</v>
      </c>
      <c r="G4401" t="str">
        <f>"2466"</f>
        <v>2466</v>
      </c>
      <c r="H4401" t="str">
        <f>"0000"</f>
        <v>0000</v>
      </c>
      <c r="I4401" t="s">
        <v>69</v>
      </c>
      <c r="J4401">
        <v>0</v>
      </c>
      <c r="K4401">
        <v>1</v>
      </c>
      <c r="L4401">
        <v>2</v>
      </c>
      <c r="M4401">
        <v>176</v>
      </c>
      <c r="N4401">
        <v>446</v>
      </c>
      <c r="O4401">
        <v>7</v>
      </c>
      <c r="P4401">
        <v>446</v>
      </c>
      <c r="Q4401">
        <v>8</v>
      </c>
      <c r="R4401">
        <v>247</v>
      </c>
      <c r="S4401">
        <v>15</v>
      </c>
      <c r="T4401">
        <v>1</v>
      </c>
      <c r="U4401">
        <v>24</v>
      </c>
      <c r="V4401">
        <v>0</v>
      </c>
      <c r="W4401">
        <v>7</v>
      </c>
      <c r="X4401">
        <v>122</v>
      </c>
      <c r="Y4401">
        <v>5</v>
      </c>
      <c r="Z4401">
        <v>2</v>
      </c>
      <c r="AA4401">
        <v>10</v>
      </c>
      <c r="AB4401">
        <v>4</v>
      </c>
      <c r="AD4401">
        <v>0</v>
      </c>
      <c r="AE4401">
        <v>0</v>
      </c>
      <c r="AF4401">
        <v>0</v>
      </c>
      <c r="AG4401">
        <v>0</v>
      </c>
      <c r="AI4401">
        <v>0</v>
      </c>
      <c r="AJ4401">
        <v>7</v>
      </c>
      <c r="AK4401">
        <v>446</v>
      </c>
      <c r="AL4401">
        <v>452</v>
      </c>
      <c r="AM4401">
        <v>578</v>
      </c>
      <c r="AN4401">
        <v>44</v>
      </c>
      <c r="AP4401">
        <v>1</v>
      </c>
      <c r="AR4401" t="s">
        <v>4501</v>
      </c>
      <c r="AS4401" s="1">
        <v>44354.0625</v>
      </c>
      <c r="AT4401" s="1">
        <v>44354.066874999997</v>
      </c>
      <c r="AU4401" s="1">
        <v>44354.067430555559</v>
      </c>
      <c r="AV4401" t="s">
        <v>71</v>
      </c>
      <c r="AW4401" t="s">
        <v>72</v>
      </c>
      <c r="AX4401" t="s">
        <v>73</v>
      </c>
    </row>
    <row r="4402" spans="1:50" x14ac:dyDescent="0.3">
      <c r="A4402" t="str">
        <f>"202467B0000"</f>
        <v>202467B0000</v>
      </c>
      <c r="B4402" t="str">
        <f>"202467B00002"</f>
        <v>202467B00002</v>
      </c>
      <c r="C4402" t="str">
        <f t="shared" si="224"/>
        <v>20</v>
      </c>
      <c r="D4402" t="s">
        <v>67</v>
      </c>
      <c r="E4402" t="str">
        <f t="shared" si="225"/>
        <v>019</v>
      </c>
      <c r="F4402" t="s">
        <v>4278</v>
      </c>
      <c r="G4402" t="str">
        <f>"2467"</f>
        <v>2467</v>
      </c>
      <c r="H4402" t="str">
        <f>"0000"</f>
        <v>0000</v>
      </c>
      <c r="I4402" t="s">
        <v>69</v>
      </c>
      <c r="J4402">
        <v>0</v>
      </c>
      <c r="K4402">
        <v>1</v>
      </c>
      <c r="L4402">
        <v>2</v>
      </c>
      <c r="AM4402">
        <v>570</v>
      </c>
      <c r="AN4402">
        <v>44</v>
      </c>
      <c r="AO4402" t="s">
        <v>352</v>
      </c>
      <c r="AP4402">
        <v>0</v>
      </c>
      <c r="AR4402" t="s">
        <v>4502</v>
      </c>
      <c r="AS4402" s="1">
        <v>44354.656944444447</v>
      </c>
      <c r="AT4402" s="1">
        <v>44354.659456018519</v>
      </c>
      <c r="AU4402" s="1">
        <v>44354.659456018519</v>
      </c>
      <c r="AV4402" t="s">
        <v>71</v>
      </c>
      <c r="AW4402" t="s">
        <v>72</v>
      </c>
      <c r="AX4402" t="s">
        <v>73</v>
      </c>
    </row>
    <row r="4403" spans="1:50" x14ac:dyDescent="0.3">
      <c r="A4403" t="str">
        <f>"202467C0100"</f>
        <v>202467C0100</v>
      </c>
      <c r="B4403" t="str">
        <f>"202467C01002"</f>
        <v>202467C01002</v>
      </c>
      <c r="C4403" t="str">
        <f t="shared" si="224"/>
        <v>20</v>
      </c>
      <c r="D4403" t="s">
        <v>67</v>
      </c>
      <c r="E4403" t="str">
        <f t="shared" si="225"/>
        <v>019</v>
      </c>
      <c r="F4403" t="s">
        <v>4278</v>
      </c>
      <c r="G4403" t="str">
        <f>"2467"</f>
        <v>2467</v>
      </c>
      <c r="H4403" t="str">
        <f>"0001"</f>
        <v>0001</v>
      </c>
      <c r="I4403" t="s">
        <v>75</v>
      </c>
      <c r="J4403">
        <v>0</v>
      </c>
      <c r="K4403">
        <v>1</v>
      </c>
      <c r="L4403">
        <v>2</v>
      </c>
      <c r="M4403">
        <v>185</v>
      </c>
      <c r="N4403">
        <v>431</v>
      </c>
      <c r="O4403">
        <v>4</v>
      </c>
      <c r="P4403">
        <v>424</v>
      </c>
      <c r="Q4403">
        <v>7</v>
      </c>
      <c r="R4403">
        <v>149</v>
      </c>
      <c r="S4403">
        <v>12</v>
      </c>
      <c r="T4403">
        <v>1</v>
      </c>
      <c r="U4403">
        <v>22</v>
      </c>
      <c r="V4403">
        <v>1</v>
      </c>
      <c r="W4403">
        <v>0</v>
      </c>
      <c r="X4403">
        <v>200</v>
      </c>
      <c r="Y4403">
        <v>0</v>
      </c>
      <c r="Z4403">
        <v>3</v>
      </c>
      <c r="AA4403">
        <v>11</v>
      </c>
      <c r="AB4403">
        <v>8</v>
      </c>
      <c r="AD4403">
        <v>5</v>
      </c>
      <c r="AE4403">
        <v>0</v>
      </c>
      <c r="AF4403">
        <v>0</v>
      </c>
      <c r="AG4403">
        <v>1</v>
      </c>
      <c r="AI4403">
        <v>0</v>
      </c>
      <c r="AJ4403">
        <v>4</v>
      </c>
      <c r="AK4403">
        <v>424</v>
      </c>
      <c r="AL4403">
        <v>424</v>
      </c>
      <c r="AM4403">
        <v>569</v>
      </c>
      <c r="AN4403">
        <v>44</v>
      </c>
      <c r="AP4403">
        <v>1</v>
      </c>
      <c r="AR4403" t="s">
        <v>4503</v>
      </c>
      <c r="AS4403" s="1">
        <v>44354.04583333333</v>
      </c>
      <c r="AT4403" s="1">
        <v>44354.052002314813</v>
      </c>
      <c r="AU4403" s="1">
        <v>44354.052511574075</v>
      </c>
      <c r="AV4403" t="s">
        <v>71</v>
      </c>
      <c r="AW4403" t="s">
        <v>72</v>
      </c>
      <c r="AX4403" t="s">
        <v>73</v>
      </c>
    </row>
    <row r="4404" spans="1:50" x14ac:dyDescent="0.3">
      <c r="A4404" t="str">
        <f>"202467C0200"</f>
        <v>202467C0200</v>
      </c>
      <c r="B4404" t="str">
        <f>"202467C02002"</f>
        <v>202467C02002</v>
      </c>
      <c r="C4404" t="str">
        <f t="shared" si="224"/>
        <v>20</v>
      </c>
      <c r="D4404" t="s">
        <v>67</v>
      </c>
      <c r="E4404" t="str">
        <f t="shared" si="225"/>
        <v>019</v>
      </c>
      <c r="F4404" t="s">
        <v>4278</v>
      </c>
      <c r="G4404" t="str">
        <f>"2467"</f>
        <v>2467</v>
      </c>
      <c r="H4404" t="str">
        <f>"0002"</f>
        <v>0002</v>
      </c>
      <c r="I4404" t="s">
        <v>75</v>
      </c>
      <c r="J4404">
        <v>0</v>
      </c>
      <c r="K4404">
        <v>1</v>
      </c>
      <c r="L4404">
        <v>2</v>
      </c>
      <c r="M4404">
        <v>146</v>
      </c>
      <c r="N4404">
        <v>467</v>
      </c>
      <c r="O4404">
        <v>4</v>
      </c>
      <c r="P4404">
        <v>462</v>
      </c>
      <c r="Q4404">
        <v>9</v>
      </c>
      <c r="R4404">
        <v>150</v>
      </c>
      <c r="S4404">
        <v>12</v>
      </c>
      <c r="T4404">
        <v>3</v>
      </c>
      <c r="U4404">
        <v>17</v>
      </c>
      <c r="V4404">
        <v>4</v>
      </c>
      <c r="W4404">
        <v>1</v>
      </c>
      <c r="X4404">
        <v>231</v>
      </c>
      <c r="Y4404">
        <v>2</v>
      </c>
      <c r="Z4404">
        <v>6</v>
      </c>
      <c r="AA4404">
        <v>18</v>
      </c>
      <c r="AB4404">
        <v>2</v>
      </c>
      <c r="AD4404">
        <v>0</v>
      </c>
      <c r="AE4404">
        <v>0</v>
      </c>
      <c r="AF4404">
        <v>0</v>
      </c>
      <c r="AG4404">
        <v>0</v>
      </c>
      <c r="AI4404">
        <v>0</v>
      </c>
      <c r="AJ4404">
        <v>7</v>
      </c>
      <c r="AK4404">
        <v>462</v>
      </c>
      <c r="AL4404">
        <v>462</v>
      </c>
      <c r="AM4404">
        <v>569</v>
      </c>
      <c r="AN4404">
        <v>44</v>
      </c>
      <c r="AP4404">
        <v>1</v>
      </c>
      <c r="AR4404" t="s">
        <v>4504</v>
      </c>
      <c r="AS4404" s="1">
        <v>44354.061805555553</v>
      </c>
      <c r="AT4404" s="1">
        <v>44354.064456018517</v>
      </c>
      <c r="AU4404" s="1">
        <v>44354.065115740741</v>
      </c>
      <c r="AV4404" t="s">
        <v>71</v>
      </c>
      <c r="AW4404" t="s">
        <v>72</v>
      </c>
      <c r="AX4404" t="s">
        <v>73</v>
      </c>
    </row>
    <row r="4405" spans="1:50" x14ac:dyDescent="0.3">
      <c r="A4405" t="str">
        <f>"202467C0300"</f>
        <v>202467C0300</v>
      </c>
      <c r="B4405" t="str">
        <f>"202467C03002"</f>
        <v>202467C03002</v>
      </c>
      <c r="C4405" t="str">
        <f t="shared" si="224"/>
        <v>20</v>
      </c>
      <c r="D4405" t="s">
        <v>67</v>
      </c>
      <c r="E4405" t="str">
        <f t="shared" si="225"/>
        <v>019</v>
      </c>
      <c r="F4405" t="s">
        <v>4278</v>
      </c>
      <c r="G4405" t="str">
        <f>"2467"</f>
        <v>2467</v>
      </c>
      <c r="H4405" t="str">
        <f>"0003"</f>
        <v>0003</v>
      </c>
      <c r="I4405" t="s">
        <v>75</v>
      </c>
      <c r="J4405">
        <v>0</v>
      </c>
      <c r="K4405">
        <v>1</v>
      </c>
      <c r="L4405">
        <v>2</v>
      </c>
      <c r="M4405">
        <v>159</v>
      </c>
      <c r="N4405">
        <v>454</v>
      </c>
      <c r="O4405">
        <v>9</v>
      </c>
      <c r="P4405">
        <v>458</v>
      </c>
      <c r="Q4405">
        <v>6</v>
      </c>
      <c r="R4405">
        <v>157</v>
      </c>
      <c r="S4405">
        <v>14</v>
      </c>
      <c r="T4405">
        <v>5</v>
      </c>
      <c r="U4405">
        <v>17</v>
      </c>
      <c r="V4405">
        <v>2</v>
      </c>
      <c r="W4405">
        <v>0</v>
      </c>
      <c r="X4405">
        <v>220</v>
      </c>
      <c r="Y4405">
        <v>2</v>
      </c>
      <c r="Z4405">
        <v>5</v>
      </c>
      <c r="AA4405">
        <v>11</v>
      </c>
      <c r="AB4405">
        <v>4</v>
      </c>
      <c r="AD4405">
        <v>5</v>
      </c>
      <c r="AE4405">
        <v>0</v>
      </c>
      <c r="AF4405">
        <v>0</v>
      </c>
      <c r="AG4405">
        <v>0</v>
      </c>
      <c r="AI4405">
        <v>0</v>
      </c>
      <c r="AJ4405">
        <v>10</v>
      </c>
      <c r="AK4405">
        <v>458</v>
      </c>
      <c r="AL4405">
        <v>458</v>
      </c>
      <c r="AM4405">
        <v>569</v>
      </c>
      <c r="AN4405">
        <v>44</v>
      </c>
      <c r="AP4405">
        <v>1</v>
      </c>
      <c r="AR4405" t="s">
        <v>4505</v>
      </c>
      <c r="AS4405" s="1">
        <v>44353.979861111111</v>
      </c>
      <c r="AT4405" s="1">
        <v>44353.981087962966</v>
      </c>
      <c r="AU4405" s="1">
        <v>44353.981712962966</v>
      </c>
      <c r="AV4405" t="s">
        <v>71</v>
      </c>
      <c r="AW4405" t="s">
        <v>72</v>
      </c>
      <c r="AX4405" t="s">
        <v>73</v>
      </c>
    </row>
    <row r="4406" spans="1:50" x14ac:dyDescent="0.3">
      <c r="A4406" t="str">
        <f>"200180B0000"</f>
        <v>200180B0000</v>
      </c>
      <c r="B4406" t="str">
        <f>"200180B00002"</f>
        <v>200180B00002</v>
      </c>
      <c r="C4406" t="str">
        <f t="shared" si="224"/>
        <v>20</v>
      </c>
      <c r="D4406" t="s">
        <v>67</v>
      </c>
      <c r="E4406" t="str">
        <f t="shared" ref="E4406:E4469" si="226">"020"</f>
        <v>020</v>
      </c>
      <c r="F4406" t="s">
        <v>4506</v>
      </c>
      <c r="G4406" t="str">
        <f>"0180"</f>
        <v>0180</v>
      </c>
      <c r="H4406" t="str">
        <f>"0000"</f>
        <v>0000</v>
      </c>
      <c r="I4406" t="s">
        <v>69</v>
      </c>
      <c r="J4406">
        <v>0</v>
      </c>
      <c r="K4406">
        <v>1</v>
      </c>
      <c r="L4406">
        <v>2</v>
      </c>
      <c r="M4406">
        <v>130</v>
      </c>
      <c r="N4406">
        <v>379</v>
      </c>
      <c r="O4406">
        <v>8</v>
      </c>
      <c r="P4406">
        <v>379</v>
      </c>
      <c r="Q4406">
        <v>2</v>
      </c>
      <c r="R4406">
        <v>65</v>
      </c>
      <c r="S4406">
        <v>8</v>
      </c>
      <c r="T4406">
        <v>15</v>
      </c>
      <c r="U4406">
        <v>7</v>
      </c>
      <c r="V4406">
        <v>15</v>
      </c>
      <c r="W4406">
        <v>3</v>
      </c>
      <c r="X4406">
        <v>216</v>
      </c>
      <c r="Y4406">
        <v>1</v>
      </c>
      <c r="Z4406">
        <v>13</v>
      </c>
      <c r="AA4406">
        <v>3</v>
      </c>
      <c r="AB4406">
        <v>19</v>
      </c>
      <c r="AD4406">
        <v>2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10</v>
      </c>
      <c r="AK4406">
        <v>379</v>
      </c>
      <c r="AL4406">
        <v>379</v>
      </c>
      <c r="AM4406">
        <v>465</v>
      </c>
      <c r="AN4406">
        <v>44</v>
      </c>
      <c r="AP4406">
        <v>1</v>
      </c>
      <c r="AR4406" t="s">
        <v>4507</v>
      </c>
      <c r="AS4406" s="1">
        <v>44354.090277777781</v>
      </c>
      <c r="AT4406" s="1">
        <v>44354.096400462964</v>
      </c>
      <c r="AU4406" s="1">
        <v>44354.096875000003</v>
      </c>
      <c r="AV4406" t="s">
        <v>71</v>
      </c>
      <c r="AW4406" t="s">
        <v>72</v>
      </c>
      <c r="AX4406" t="s">
        <v>73</v>
      </c>
    </row>
    <row r="4407" spans="1:50" x14ac:dyDescent="0.3">
      <c r="A4407" t="str">
        <f>"200180C0100"</f>
        <v>200180C0100</v>
      </c>
      <c r="B4407" t="str">
        <f>"200180C01002"</f>
        <v>200180C01002</v>
      </c>
      <c r="C4407" t="str">
        <f t="shared" si="224"/>
        <v>20</v>
      </c>
      <c r="D4407" t="s">
        <v>67</v>
      </c>
      <c r="E4407" t="str">
        <f t="shared" si="226"/>
        <v>020</v>
      </c>
      <c r="F4407" t="s">
        <v>4506</v>
      </c>
      <c r="G4407" t="str">
        <f>"0180"</f>
        <v>0180</v>
      </c>
      <c r="H4407" t="str">
        <f>"0001"</f>
        <v>0001</v>
      </c>
      <c r="I4407" t="s">
        <v>75</v>
      </c>
      <c r="J4407">
        <v>0</v>
      </c>
      <c r="K4407">
        <v>1</v>
      </c>
      <c r="L4407">
        <v>2</v>
      </c>
      <c r="M4407">
        <v>150</v>
      </c>
      <c r="N4407">
        <v>359</v>
      </c>
      <c r="O4407">
        <v>4</v>
      </c>
      <c r="P4407">
        <v>358</v>
      </c>
      <c r="Q4407">
        <v>6</v>
      </c>
      <c r="R4407">
        <v>50</v>
      </c>
      <c r="S4407">
        <v>9</v>
      </c>
      <c r="T4407">
        <v>2</v>
      </c>
      <c r="U4407">
        <v>3</v>
      </c>
      <c r="V4407">
        <v>8</v>
      </c>
      <c r="W4407">
        <v>2</v>
      </c>
      <c r="X4407">
        <v>235</v>
      </c>
      <c r="Y4407">
        <v>5</v>
      </c>
      <c r="Z4407">
        <v>13</v>
      </c>
      <c r="AA4407">
        <v>1</v>
      </c>
      <c r="AB4407">
        <v>14</v>
      </c>
      <c r="AD4407">
        <v>2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8</v>
      </c>
      <c r="AK4407">
        <v>358</v>
      </c>
      <c r="AL4407">
        <v>358</v>
      </c>
      <c r="AM4407">
        <v>464</v>
      </c>
      <c r="AN4407">
        <v>44</v>
      </c>
      <c r="AP4407">
        <v>1</v>
      </c>
      <c r="AR4407" t="s">
        <v>4508</v>
      </c>
      <c r="AS4407" s="1">
        <v>44354.100694444445</v>
      </c>
      <c r="AT4407" s="1">
        <v>44354.104108796295</v>
      </c>
      <c r="AU4407" s="1">
        <v>44354.104687500003</v>
      </c>
      <c r="AV4407" t="s">
        <v>71</v>
      </c>
      <c r="AW4407" t="s">
        <v>72</v>
      </c>
      <c r="AX4407" t="s">
        <v>73</v>
      </c>
    </row>
    <row r="4408" spans="1:50" x14ac:dyDescent="0.3">
      <c r="A4408" t="str">
        <f>"200181B0000"</f>
        <v>200181B0000</v>
      </c>
      <c r="B4408" t="str">
        <f>"200181B00002"</f>
        <v>200181B00002</v>
      </c>
      <c r="C4408" t="str">
        <f t="shared" si="224"/>
        <v>20</v>
      </c>
      <c r="D4408" t="s">
        <v>67</v>
      </c>
      <c r="E4408" t="str">
        <f t="shared" si="226"/>
        <v>020</v>
      </c>
      <c r="F4408" t="s">
        <v>4506</v>
      </c>
      <c r="G4408" t="str">
        <f>"0181"</f>
        <v>0181</v>
      </c>
      <c r="H4408" t="str">
        <f>"0000"</f>
        <v>0000</v>
      </c>
      <c r="I4408" t="s">
        <v>69</v>
      </c>
      <c r="J4408">
        <v>0</v>
      </c>
      <c r="K4408">
        <v>1</v>
      </c>
      <c r="L4408">
        <v>2</v>
      </c>
      <c r="M4408">
        <v>123</v>
      </c>
      <c r="N4408">
        <v>363</v>
      </c>
      <c r="O4408">
        <v>3</v>
      </c>
      <c r="P4408">
        <v>363</v>
      </c>
      <c r="Q4408">
        <v>5</v>
      </c>
      <c r="R4408">
        <v>75</v>
      </c>
      <c r="S4408">
        <v>2</v>
      </c>
      <c r="T4408">
        <v>15</v>
      </c>
      <c r="U4408">
        <v>9</v>
      </c>
      <c r="V4408">
        <v>19</v>
      </c>
      <c r="W4408">
        <v>2</v>
      </c>
      <c r="X4408">
        <v>196</v>
      </c>
      <c r="Y4408">
        <v>3</v>
      </c>
      <c r="Z4408">
        <v>11</v>
      </c>
      <c r="AA4408">
        <v>0</v>
      </c>
      <c r="AB4408">
        <v>12</v>
      </c>
      <c r="AD4408">
        <v>4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10</v>
      </c>
      <c r="AK4408">
        <v>363</v>
      </c>
      <c r="AL4408">
        <v>363</v>
      </c>
      <c r="AM4408">
        <v>442</v>
      </c>
      <c r="AN4408">
        <v>44</v>
      </c>
      <c r="AP4408">
        <v>1</v>
      </c>
      <c r="AR4408" t="s">
        <v>4509</v>
      </c>
      <c r="AS4408" s="1">
        <v>44354.090277777781</v>
      </c>
      <c r="AT4408" s="1">
        <v>44354.096770833334</v>
      </c>
      <c r="AU4408" s="1">
        <v>44354.097268518519</v>
      </c>
      <c r="AV4408" t="s">
        <v>71</v>
      </c>
      <c r="AW4408" t="s">
        <v>72</v>
      </c>
      <c r="AX4408" t="s">
        <v>73</v>
      </c>
    </row>
    <row r="4409" spans="1:50" x14ac:dyDescent="0.3">
      <c r="A4409" t="str">
        <f>"200181C0100"</f>
        <v>200181C0100</v>
      </c>
      <c r="B4409" t="str">
        <f>"200181C01002"</f>
        <v>200181C01002</v>
      </c>
      <c r="C4409" t="str">
        <f t="shared" si="224"/>
        <v>20</v>
      </c>
      <c r="D4409" t="s">
        <v>67</v>
      </c>
      <c r="E4409" t="str">
        <f t="shared" si="226"/>
        <v>020</v>
      </c>
      <c r="F4409" t="s">
        <v>4506</v>
      </c>
      <c r="G4409" t="str">
        <f>"0181"</f>
        <v>0181</v>
      </c>
      <c r="H4409" t="str">
        <f>"0001"</f>
        <v>0001</v>
      </c>
      <c r="I4409" t="s">
        <v>75</v>
      </c>
      <c r="J4409">
        <v>0</v>
      </c>
      <c r="K4409">
        <v>1</v>
      </c>
      <c r="L4409">
        <v>2</v>
      </c>
      <c r="AM4409">
        <v>442</v>
      </c>
      <c r="AN4409">
        <v>44</v>
      </c>
      <c r="AO4409" t="s">
        <v>143</v>
      </c>
      <c r="AP4409">
        <v>0</v>
      </c>
      <c r="AR4409" t="s">
        <v>4510</v>
      </c>
      <c r="AS4409" s="1">
        <v>44354.418055555558</v>
      </c>
      <c r="AT4409" s="1">
        <v>44354.424398148149</v>
      </c>
      <c r="AU4409" s="1">
        <v>44354.424398148149</v>
      </c>
      <c r="AV4409" t="s">
        <v>71</v>
      </c>
      <c r="AW4409" t="s">
        <v>72</v>
      </c>
      <c r="AX4409" t="s">
        <v>73</v>
      </c>
    </row>
    <row r="4410" spans="1:50" x14ac:dyDescent="0.3">
      <c r="A4410" t="str">
        <f>"200182B0000"</f>
        <v>200182B0000</v>
      </c>
      <c r="B4410" t="str">
        <f>"200182B00002"</f>
        <v>200182B00002</v>
      </c>
      <c r="C4410" t="str">
        <f t="shared" si="224"/>
        <v>20</v>
      </c>
      <c r="D4410" t="s">
        <v>67</v>
      </c>
      <c r="E4410" t="str">
        <f t="shared" si="226"/>
        <v>020</v>
      </c>
      <c r="F4410" t="s">
        <v>4506</v>
      </c>
      <c r="G4410" t="str">
        <f>"0182"</f>
        <v>0182</v>
      </c>
      <c r="H4410" t="str">
        <f>"0000"</f>
        <v>0000</v>
      </c>
      <c r="I4410" t="s">
        <v>69</v>
      </c>
      <c r="J4410">
        <v>0</v>
      </c>
      <c r="K4410">
        <v>1</v>
      </c>
      <c r="L4410">
        <v>2</v>
      </c>
      <c r="M4410">
        <v>134</v>
      </c>
      <c r="N4410">
        <v>425</v>
      </c>
      <c r="O4410">
        <v>0</v>
      </c>
      <c r="P4410">
        <v>425</v>
      </c>
      <c r="Q4410">
        <v>4</v>
      </c>
      <c r="R4410">
        <v>69</v>
      </c>
      <c r="S4410">
        <v>14</v>
      </c>
      <c r="T4410">
        <v>21</v>
      </c>
      <c r="U4410">
        <v>25</v>
      </c>
      <c r="V4410">
        <v>16</v>
      </c>
      <c r="W4410">
        <v>3</v>
      </c>
      <c r="X4410">
        <v>208</v>
      </c>
      <c r="Y4410">
        <v>4</v>
      </c>
      <c r="Z4410">
        <v>29</v>
      </c>
      <c r="AA4410">
        <v>0</v>
      </c>
      <c r="AB4410">
        <v>21</v>
      </c>
      <c r="AD4410">
        <v>2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9</v>
      </c>
      <c r="AK4410">
        <v>425</v>
      </c>
      <c r="AL4410">
        <v>425</v>
      </c>
      <c r="AM4410">
        <v>515</v>
      </c>
      <c r="AN4410">
        <v>44</v>
      </c>
      <c r="AP4410">
        <v>1</v>
      </c>
      <c r="AR4410" t="s">
        <v>4511</v>
      </c>
      <c r="AS4410" s="1">
        <v>44354.084722222222</v>
      </c>
      <c r="AT4410" s="1">
        <v>44354.094444444447</v>
      </c>
      <c r="AU4410" s="1">
        <v>44354.095231481479</v>
      </c>
      <c r="AV4410" t="s">
        <v>71</v>
      </c>
      <c r="AW4410" t="s">
        <v>72</v>
      </c>
      <c r="AX4410" t="s">
        <v>73</v>
      </c>
    </row>
    <row r="4411" spans="1:50" x14ac:dyDescent="0.3">
      <c r="A4411" t="str">
        <f>"200182C0100"</f>
        <v>200182C0100</v>
      </c>
      <c r="B4411" t="str">
        <f>"200182C01002"</f>
        <v>200182C01002</v>
      </c>
      <c r="C4411" t="str">
        <f t="shared" si="224"/>
        <v>20</v>
      </c>
      <c r="D4411" t="s">
        <v>67</v>
      </c>
      <c r="E4411" t="str">
        <f t="shared" si="226"/>
        <v>020</v>
      </c>
      <c r="F4411" t="s">
        <v>4506</v>
      </c>
      <c r="G4411" t="str">
        <f>"0182"</f>
        <v>0182</v>
      </c>
      <c r="H4411" t="str">
        <f>"0001"</f>
        <v>0001</v>
      </c>
      <c r="I4411" t="s">
        <v>75</v>
      </c>
      <c r="J4411">
        <v>0</v>
      </c>
      <c r="K4411">
        <v>1</v>
      </c>
      <c r="L4411">
        <v>2</v>
      </c>
      <c r="M4411">
        <v>135</v>
      </c>
      <c r="N4411">
        <v>424</v>
      </c>
      <c r="O4411">
        <v>2</v>
      </c>
      <c r="P4411">
        <v>424</v>
      </c>
      <c r="Q4411">
        <v>5</v>
      </c>
      <c r="R4411">
        <v>65</v>
      </c>
      <c r="S4411">
        <v>12</v>
      </c>
      <c r="T4411">
        <v>17</v>
      </c>
      <c r="U4411">
        <v>13</v>
      </c>
      <c r="V4411">
        <v>9</v>
      </c>
      <c r="W4411">
        <v>2</v>
      </c>
      <c r="X4411">
        <v>245</v>
      </c>
      <c r="Y4411">
        <v>4</v>
      </c>
      <c r="Z4411">
        <v>24</v>
      </c>
      <c r="AA4411">
        <v>3</v>
      </c>
      <c r="AB4411">
        <v>11</v>
      </c>
      <c r="AD4411">
        <v>3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11</v>
      </c>
      <c r="AK4411">
        <v>424</v>
      </c>
      <c r="AL4411">
        <v>424</v>
      </c>
      <c r="AM4411">
        <v>515</v>
      </c>
      <c r="AN4411">
        <v>44</v>
      </c>
      <c r="AP4411">
        <v>1</v>
      </c>
      <c r="AR4411" t="s">
        <v>4512</v>
      </c>
      <c r="AS4411" s="1">
        <v>44354.09097222222</v>
      </c>
      <c r="AT4411" s="1">
        <v>44354.09747685185</v>
      </c>
      <c r="AU4411" s="1">
        <v>44354.097997685189</v>
      </c>
      <c r="AV4411" t="s">
        <v>71</v>
      </c>
      <c r="AW4411" t="s">
        <v>72</v>
      </c>
      <c r="AX4411" t="s">
        <v>73</v>
      </c>
    </row>
    <row r="4412" spans="1:50" x14ac:dyDescent="0.3">
      <c r="A4412" t="str">
        <f>"200183B0000"</f>
        <v>200183B0000</v>
      </c>
      <c r="B4412" t="str">
        <f>"200183B00002"</f>
        <v>200183B00002</v>
      </c>
      <c r="C4412" t="str">
        <f t="shared" si="224"/>
        <v>20</v>
      </c>
      <c r="D4412" t="s">
        <v>67</v>
      </c>
      <c r="E4412" t="str">
        <f t="shared" si="226"/>
        <v>020</v>
      </c>
      <c r="F4412" t="s">
        <v>4506</v>
      </c>
      <c r="G4412" t="str">
        <f>"0183"</f>
        <v>0183</v>
      </c>
      <c r="H4412" t="str">
        <f>"0000"</f>
        <v>0000</v>
      </c>
      <c r="I4412" t="s">
        <v>69</v>
      </c>
      <c r="J4412">
        <v>0</v>
      </c>
      <c r="K4412">
        <v>1</v>
      </c>
      <c r="L4412">
        <v>2</v>
      </c>
      <c r="M4412">
        <v>199</v>
      </c>
      <c r="N4412">
        <v>505</v>
      </c>
      <c r="O4412">
        <v>4</v>
      </c>
      <c r="P4412">
        <v>505</v>
      </c>
      <c r="Q4412">
        <v>8</v>
      </c>
      <c r="R4412">
        <v>94</v>
      </c>
      <c r="S4412">
        <v>16</v>
      </c>
      <c r="T4412">
        <v>23</v>
      </c>
      <c r="U4412">
        <v>18</v>
      </c>
      <c r="V4412">
        <v>24</v>
      </c>
      <c r="W4412">
        <v>2</v>
      </c>
      <c r="X4412">
        <v>241</v>
      </c>
      <c r="Y4412">
        <v>6</v>
      </c>
      <c r="Z4412">
        <v>37</v>
      </c>
      <c r="AA4412">
        <v>3</v>
      </c>
      <c r="AB4412">
        <v>14</v>
      </c>
      <c r="AD4412">
        <v>3</v>
      </c>
      <c r="AE4412">
        <v>1</v>
      </c>
      <c r="AF4412">
        <v>0</v>
      </c>
      <c r="AG4412">
        <v>0</v>
      </c>
      <c r="AH4412">
        <v>0</v>
      </c>
      <c r="AI4412" t="s">
        <v>77</v>
      </c>
      <c r="AJ4412">
        <v>15</v>
      </c>
      <c r="AK4412">
        <v>506</v>
      </c>
      <c r="AL4412">
        <v>505</v>
      </c>
      <c r="AM4412">
        <v>662</v>
      </c>
      <c r="AN4412">
        <v>44</v>
      </c>
      <c r="AO4412" t="s">
        <v>78</v>
      </c>
      <c r="AP4412">
        <v>1</v>
      </c>
      <c r="AR4412" t="s">
        <v>4513</v>
      </c>
      <c r="AS4412" s="1">
        <v>44354.084027777775</v>
      </c>
      <c r="AT4412" s="1">
        <v>44354.093159722222</v>
      </c>
      <c r="AU4412" s="1">
        <v>44354.093993055554</v>
      </c>
      <c r="AV4412" t="s">
        <v>71</v>
      </c>
      <c r="AW4412" t="s">
        <v>72</v>
      </c>
      <c r="AX4412" t="s">
        <v>73</v>
      </c>
    </row>
    <row r="4413" spans="1:50" x14ac:dyDescent="0.3">
      <c r="A4413" t="str">
        <f>"200183C0100"</f>
        <v>200183C0100</v>
      </c>
      <c r="B4413" t="str">
        <f>"200183C01002"</f>
        <v>200183C01002</v>
      </c>
      <c r="C4413" t="str">
        <f t="shared" si="224"/>
        <v>20</v>
      </c>
      <c r="D4413" t="s">
        <v>67</v>
      </c>
      <c r="E4413" t="str">
        <f t="shared" si="226"/>
        <v>020</v>
      </c>
      <c r="F4413" t="s">
        <v>4506</v>
      </c>
      <c r="G4413" t="str">
        <f>"0183"</f>
        <v>0183</v>
      </c>
      <c r="H4413" t="str">
        <f>"0001"</f>
        <v>0001</v>
      </c>
      <c r="I4413" t="s">
        <v>75</v>
      </c>
      <c r="J4413">
        <v>0</v>
      </c>
      <c r="K4413">
        <v>1</v>
      </c>
      <c r="L4413">
        <v>2</v>
      </c>
      <c r="M4413">
        <v>179</v>
      </c>
      <c r="N4413">
        <v>526</v>
      </c>
      <c r="O4413">
        <v>6</v>
      </c>
      <c r="P4413">
        <v>526</v>
      </c>
      <c r="Q4413">
        <v>2</v>
      </c>
      <c r="R4413">
        <v>97</v>
      </c>
      <c r="S4413">
        <v>17</v>
      </c>
      <c r="T4413">
        <v>14</v>
      </c>
      <c r="U4413">
        <v>16</v>
      </c>
      <c r="V4413">
        <v>18</v>
      </c>
      <c r="W4413">
        <v>4</v>
      </c>
      <c r="X4413">
        <v>278</v>
      </c>
      <c r="Y4413">
        <v>2</v>
      </c>
      <c r="Z4413">
        <v>40</v>
      </c>
      <c r="AA4413">
        <v>2</v>
      </c>
      <c r="AB4413">
        <v>17</v>
      </c>
      <c r="AD4413" t="s">
        <v>77</v>
      </c>
      <c r="AE4413">
        <v>1</v>
      </c>
      <c r="AF4413" t="s">
        <v>77</v>
      </c>
      <c r="AG4413" t="s">
        <v>77</v>
      </c>
      <c r="AH4413" t="s">
        <v>77</v>
      </c>
      <c r="AI4413" t="s">
        <v>77</v>
      </c>
      <c r="AJ4413">
        <v>14</v>
      </c>
      <c r="AK4413">
        <v>526</v>
      </c>
      <c r="AL4413">
        <v>522</v>
      </c>
      <c r="AM4413">
        <v>661</v>
      </c>
      <c r="AN4413">
        <v>44</v>
      </c>
      <c r="AO4413" t="s">
        <v>78</v>
      </c>
      <c r="AP4413">
        <v>1</v>
      </c>
      <c r="AR4413" t="s">
        <v>4514</v>
      </c>
      <c r="AS4413" s="1">
        <v>44354.083333333336</v>
      </c>
      <c r="AT4413" s="1">
        <v>44354.091435185182</v>
      </c>
      <c r="AU4413" s="1">
        <v>44354.092048611114</v>
      </c>
      <c r="AV4413" t="s">
        <v>71</v>
      </c>
      <c r="AW4413" t="s">
        <v>72</v>
      </c>
      <c r="AX4413" t="s">
        <v>73</v>
      </c>
    </row>
    <row r="4414" spans="1:50" x14ac:dyDescent="0.3">
      <c r="A4414" t="str">
        <f>"200184B0000"</f>
        <v>200184B0000</v>
      </c>
      <c r="B4414" t="str">
        <f>"200184B00002"</f>
        <v>200184B00002</v>
      </c>
      <c r="C4414" t="str">
        <f t="shared" si="224"/>
        <v>20</v>
      </c>
      <c r="D4414" t="s">
        <v>67</v>
      </c>
      <c r="E4414" t="str">
        <f t="shared" si="226"/>
        <v>020</v>
      </c>
      <c r="F4414" t="s">
        <v>4506</v>
      </c>
      <c r="G4414" t="str">
        <f>"0184"</f>
        <v>0184</v>
      </c>
      <c r="H4414" t="str">
        <f>"0000"</f>
        <v>0000</v>
      </c>
      <c r="I4414" t="s">
        <v>69</v>
      </c>
      <c r="J4414">
        <v>0</v>
      </c>
      <c r="K4414">
        <v>1</v>
      </c>
      <c r="L4414">
        <v>2</v>
      </c>
      <c r="M4414">
        <v>135</v>
      </c>
      <c r="N4414">
        <v>431</v>
      </c>
      <c r="O4414">
        <v>8</v>
      </c>
      <c r="P4414">
        <v>431</v>
      </c>
      <c r="Q4414">
        <v>18</v>
      </c>
      <c r="R4414">
        <v>54</v>
      </c>
      <c r="S4414">
        <v>8</v>
      </c>
      <c r="T4414">
        <v>10</v>
      </c>
      <c r="U4414">
        <v>22</v>
      </c>
      <c r="V4414">
        <v>15</v>
      </c>
      <c r="W4414">
        <v>3</v>
      </c>
      <c r="X4414">
        <v>246</v>
      </c>
      <c r="Y4414">
        <v>2</v>
      </c>
      <c r="Z4414">
        <v>22</v>
      </c>
      <c r="AA4414">
        <v>2</v>
      </c>
      <c r="AB4414">
        <v>13</v>
      </c>
      <c r="AD4414">
        <v>1</v>
      </c>
      <c r="AE4414">
        <v>0</v>
      </c>
      <c r="AF4414">
        <v>0</v>
      </c>
      <c r="AG4414">
        <v>0</v>
      </c>
      <c r="AH4414">
        <v>0</v>
      </c>
      <c r="AI4414">
        <v>1</v>
      </c>
      <c r="AJ4414">
        <v>14</v>
      </c>
      <c r="AK4414">
        <v>431</v>
      </c>
      <c r="AL4414">
        <v>431</v>
      </c>
      <c r="AM4414">
        <v>522</v>
      </c>
      <c r="AN4414">
        <v>44</v>
      </c>
      <c r="AP4414">
        <v>1</v>
      </c>
      <c r="AR4414" t="s">
        <v>4515</v>
      </c>
      <c r="AS4414" s="1">
        <v>44354.092361111114</v>
      </c>
      <c r="AT4414" s="1">
        <v>44354.097280092596</v>
      </c>
      <c r="AU4414" s="1">
        <v>44354.097905092596</v>
      </c>
      <c r="AV4414" t="s">
        <v>71</v>
      </c>
      <c r="AW4414" t="s">
        <v>72</v>
      </c>
      <c r="AX4414" t="s">
        <v>73</v>
      </c>
    </row>
    <row r="4415" spans="1:50" x14ac:dyDescent="0.3">
      <c r="A4415" t="str">
        <f>"200184C0100"</f>
        <v>200184C0100</v>
      </c>
      <c r="B4415" t="str">
        <f>"200184C01002"</f>
        <v>200184C01002</v>
      </c>
      <c r="C4415" t="str">
        <f t="shared" si="224"/>
        <v>20</v>
      </c>
      <c r="D4415" t="s">
        <v>67</v>
      </c>
      <c r="E4415" t="str">
        <f t="shared" si="226"/>
        <v>020</v>
      </c>
      <c r="F4415" t="s">
        <v>4506</v>
      </c>
      <c r="G4415" t="str">
        <f>"0184"</f>
        <v>0184</v>
      </c>
      <c r="H4415" t="str">
        <f>"0001"</f>
        <v>0001</v>
      </c>
      <c r="I4415" t="s">
        <v>75</v>
      </c>
      <c r="J4415">
        <v>0</v>
      </c>
      <c r="K4415">
        <v>1</v>
      </c>
      <c r="L4415">
        <v>2</v>
      </c>
      <c r="M4415">
        <v>155</v>
      </c>
      <c r="N4415">
        <v>411</v>
      </c>
      <c r="O4415">
        <v>6</v>
      </c>
      <c r="P4415">
        <v>411</v>
      </c>
      <c r="Q4415">
        <v>4</v>
      </c>
      <c r="R4415">
        <v>72</v>
      </c>
      <c r="S4415">
        <v>3</v>
      </c>
      <c r="T4415">
        <v>8</v>
      </c>
      <c r="U4415">
        <v>10</v>
      </c>
      <c r="V4415">
        <v>21</v>
      </c>
      <c r="W4415">
        <v>10</v>
      </c>
      <c r="X4415">
        <v>234</v>
      </c>
      <c r="Y4415">
        <v>1</v>
      </c>
      <c r="Z4415">
        <v>18</v>
      </c>
      <c r="AA4415">
        <v>1</v>
      </c>
      <c r="AB4415">
        <v>15</v>
      </c>
      <c r="AD4415">
        <v>2</v>
      </c>
      <c r="AE4415">
        <v>1</v>
      </c>
      <c r="AF4415">
        <v>1</v>
      </c>
      <c r="AG4415">
        <v>0</v>
      </c>
      <c r="AH4415">
        <v>0</v>
      </c>
      <c r="AI4415">
        <v>0</v>
      </c>
      <c r="AJ4415">
        <v>10</v>
      </c>
      <c r="AK4415">
        <v>411</v>
      </c>
      <c r="AL4415">
        <v>411</v>
      </c>
      <c r="AM4415">
        <v>522</v>
      </c>
      <c r="AN4415">
        <v>44</v>
      </c>
      <c r="AP4415">
        <v>1</v>
      </c>
      <c r="AR4415" t="s">
        <v>4516</v>
      </c>
      <c r="AS4415" s="1">
        <v>44354.09097222222</v>
      </c>
      <c r="AT4415" s="1">
        <v>44354.097199074073</v>
      </c>
      <c r="AU4415" s="1">
        <v>44354.098495370374</v>
      </c>
      <c r="AV4415" t="s">
        <v>71</v>
      </c>
      <c r="AW4415" t="s">
        <v>72</v>
      </c>
      <c r="AX4415" t="s">
        <v>73</v>
      </c>
    </row>
    <row r="4416" spans="1:50" x14ac:dyDescent="0.3">
      <c r="A4416" t="str">
        <f>"200185B0000"</f>
        <v>200185B0000</v>
      </c>
      <c r="B4416" t="str">
        <f>"200185B00002"</f>
        <v>200185B00002</v>
      </c>
      <c r="C4416" t="str">
        <f t="shared" si="224"/>
        <v>20</v>
      </c>
      <c r="D4416" t="s">
        <v>67</v>
      </c>
      <c r="E4416" t="str">
        <f t="shared" si="226"/>
        <v>020</v>
      </c>
      <c r="F4416" t="s">
        <v>4506</v>
      </c>
      <c r="G4416" t="str">
        <f>"0185"</f>
        <v>0185</v>
      </c>
      <c r="H4416" t="str">
        <f>"0000"</f>
        <v>0000</v>
      </c>
      <c r="I4416" t="s">
        <v>69</v>
      </c>
      <c r="J4416">
        <v>0</v>
      </c>
      <c r="K4416">
        <v>1</v>
      </c>
      <c r="L4416">
        <v>2</v>
      </c>
      <c r="M4416">
        <v>132</v>
      </c>
      <c r="N4416">
        <v>332</v>
      </c>
      <c r="O4416">
        <v>1</v>
      </c>
      <c r="P4416">
        <v>332</v>
      </c>
      <c r="Q4416">
        <v>3</v>
      </c>
      <c r="R4416">
        <v>54</v>
      </c>
      <c r="S4416">
        <v>4</v>
      </c>
      <c r="T4416">
        <v>10</v>
      </c>
      <c r="U4416">
        <v>23</v>
      </c>
      <c r="V4416">
        <v>19</v>
      </c>
      <c r="W4416">
        <v>5</v>
      </c>
      <c r="X4416">
        <v>148</v>
      </c>
      <c r="Y4416">
        <v>2</v>
      </c>
      <c r="Z4416">
        <v>13</v>
      </c>
      <c r="AA4416">
        <v>3</v>
      </c>
      <c r="AB4416">
        <v>32</v>
      </c>
      <c r="AD4416">
        <v>1</v>
      </c>
      <c r="AE4416">
        <v>0</v>
      </c>
      <c r="AF4416">
        <v>1</v>
      </c>
      <c r="AG4416">
        <v>0</v>
      </c>
      <c r="AH4416">
        <v>0</v>
      </c>
      <c r="AI4416">
        <v>0</v>
      </c>
      <c r="AJ4416">
        <v>14</v>
      </c>
      <c r="AK4416">
        <v>332</v>
      </c>
      <c r="AL4416">
        <v>332</v>
      </c>
      <c r="AM4416">
        <v>421</v>
      </c>
      <c r="AN4416">
        <v>44</v>
      </c>
      <c r="AP4416">
        <v>1</v>
      </c>
      <c r="AR4416" t="s">
        <v>4517</v>
      </c>
      <c r="AS4416" s="1">
        <v>44354.24722222222</v>
      </c>
      <c r="AT4416" s="1">
        <v>44354.251932870371</v>
      </c>
      <c r="AU4416" s="1">
        <v>44354.252453703702</v>
      </c>
      <c r="AV4416" t="s">
        <v>71</v>
      </c>
      <c r="AW4416" t="s">
        <v>72</v>
      </c>
      <c r="AX4416" t="s">
        <v>73</v>
      </c>
    </row>
    <row r="4417" spans="1:50" x14ac:dyDescent="0.3">
      <c r="A4417" t="str">
        <f>"200185C0100"</f>
        <v>200185C0100</v>
      </c>
      <c r="B4417" t="str">
        <f>"200185C01002"</f>
        <v>200185C01002</v>
      </c>
      <c r="C4417" t="str">
        <f t="shared" si="224"/>
        <v>20</v>
      </c>
      <c r="D4417" t="s">
        <v>67</v>
      </c>
      <c r="E4417" t="str">
        <f t="shared" si="226"/>
        <v>020</v>
      </c>
      <c r="F4417" t="s">
        <v>4506</v>
      </c>
      <c r="G4417" t="str">
        <f>"0185"</f>
        <v>0185</v>
      </c>
      <c r="H4417" t="str">
        <f>"0001"</f>
        <v>0001</v>
      </c>
      <c r="I4417" t="s">
        <v>75</v>
      </c>
      <c r="J4417">
        <v>0</v>
      </c>
      <c r="K4417">
        <v>1</v>
      </c>
      <c r="L4417">
        <v>2</v>
      </c>
      <c r="M4417">
        <v>120</v>
      </c>
      <c r="N4417">
        <v>343</v>
      </c>
      <c r="O4417">
        <v>7</v>
      </c>
      <c r="P4417">
        <v>345</v>
      </c>
      <c r="Q4417">
        <v>3</v>
      </c>
      <c r="R4417">
        <v>60</v>
      </c>
      <c r="S4417">
        <v>2</v>
      </c>
      <c r="T4417">
        <v>8</v>
      </c>
      <c r="U4417">
        <v>25</v>
      </c>
      <c r="V4417">
        <v>15</v>
      </c>
      <c r="W4417">
        <v>9</v>
      </c>
      <c r="X4417">
        <v>174</v>
      </c>
      <c r="Y4417">
        <v>5</v>
      </c>
      <c r="Z4417">
        <v>6</v>
      </c>
      <c r="AA4417">
        <v>1</v>
      </c>
      <c r="AB4417">
        <v>27</v>
      </c>
      <c r="AD4417">
        <v>1</v>
      </c>
      <c r="AE4417">
        <v>1</v>
      </c>
      <c r="AF4417">
        <v>1</v>
      </c>
      <c r="AG4417">
        <v>0</v>
      </c>
      <c r="AH4417">
        <v>0</v>
      </c>
      <c r="AI4417">
        <v>0</v>
      </c>
      <c r="AJ4417">
        <v>7</v>
      </c>
      <c r="AK4417">
        <v>345</v>
      </c>
      <c r="AL4417">
        <v>345</v>
      </c>
      <c r="AM4417">
        <v>421</v>
      </c>
      <c r="AN4417">
        <v>44</v>
      </c>
      <c r="AP4417">
        <v>1</v>
      </c>
      <c r="AR4417" t="s">
        <v>4518</v>
      </c>
      <c r="AS4417" s="1">
        <v>44354.084722222222</v>
      </c>
      <c r="AT4417" s="1">
        <v>44354.092430555553</v>
      </c>
      <c r="AU4417" s="1">
        <v>44354.093055555553</v>
      </c>
      <c r="AV4417" t="s">
        <v>71</v>
      </c>
      <c r="AW4417" t="s">
        <v>72</v>
      </c>
      <c r="AX4417" t="s">
        <v>73</v>
      </c>
    </row>
    <row r="4418" spans="1:50" x14ac:dyDescent="0.3">
      <c r="A4418" t="str">
        <f>"200186B0000"</f>
        <v>200186B0000</v>
      </c>
      <c r="B4418" t="str">
        <f>"200186B00002"</f>
        <v>200186B00002</v>
      </c>
      <c r="C4418" t="str">
        <f t="shared" si="224"/>
        <v>20</v>
      </c>
      <c r="D4418" t="s">
        <v>67</v>
      </c>
      <c r="E4418" t="str">
        <f t="shared" si="226"/>
        <v>020</v>
      </c>
      <c r="F4418" t="s">
        <v>4506</v>
      </c>
      <c r="G4418" t="str">
        <f>"0186"</f>
        <v>0186</v>
      </c>
      <c r="H4418" t="str">
        <f>"0000"</f>
        <v>0000</v>
      </c>
      <c r="I4418" t="s">
        <v>69</v>
      </c>
      <c r="J4418">
        <v>0</v>
      </c>
      <c r="K4418">
        <v>1</v>
      </c>
      <c r="L4418">
        <v>2</v>
      </c>
      <c r="M4418">
        <v>150</v>
      </c>
      <c r="N4418">
        <v>385</v>
      </c>
      <c r="O4418">
        <v>4</v>
      </c>
      <c r="P4418" t="s">
        <v>80</v>
      </c>
      <c r="Q4418">
        <v>8</v>
      </c>
      <c r="R4418">
        <v>93</v>
      </c>
      <c r="S4418">
        <v>14</v>
      </c>
      <c r="T4418">
        <v>12</v>
      </c>
      <c r="U4418">
        <v>12</v>
      </c>
      <c r="V4418">
        <v>15</v>
      </c>
      <c r="W4418">
        <v>0</v>
      </c>
      <c r="X4418">
        <v>175</v>
      </c>
      <c r="Y4418">
        <v>1</v>
      </c>
      <c r="Z4418">
        <v>25</v>
      </c>
      <c r="AA4418">
        <v>3</v>
      </c>
      <c r="AB4418">
        <v>11</v>
      </c>
      <c r="AD4418">
        <v>2</v>
      </c>
      <c r="AE4418">
        <v>1</v>
      </c>
      <c r="AF4418">
        <v>0</v>
      </c>
      <c r="AG4418">
        <v>0</v>
      </c>
      <c r="AH4418">
        <v>0</v>
      </c>
      <c r="AI4418">
        <v>1</v>
      </c>
      <c r="AJ4418">
        <v>13</v>
      </c>
      <c r="AK4418">
        <v>385</v>
      </c>
      <c r="AL4418">
        <v>386</v>
      </c>
      <c r="AM4418">
        <v>491</v>
      </c>
      <c r="AN4418">
        <v>44</v>
      </c>
      <c r="AP4418">
        <v>1</v>
      </c>
      <c r="AR4418" t="s">
        <v>4519</v>
      </c>
      <c r="AS4418" s="1">
        <v>44354.1</v>
      </c>
      <c r="AT4418" s="1">
        <v>44354.10324074074</v>
      </c>
      <c r="AU4418" s="1">
        <v>44354.104270833333</v>
      </c>
      <c r="AV4418" t="s">
        <v>71</v>
      </c>
      <c r="AW4418" t="s">
        <v>72</v>
      </c>
      <c r="AX4418" t="s">
        <v>73</v>
      </c>
    </row>
    <row r="4419" spans="1:50" x14ac:dyDescent="0.3">
      <c r="A4419" t="str">
        <f>"200186C0100"</f>
        <v>200186C0100</v>
      </c>
      <c r="B4419" t="str">
        <f>"200186C01002"</f>
        <v>200186C01002</v>
      </c>
      <c r="C4419" t="str">
        <f t="shared" si="224"/>
        <v>20</v>
      </c>
      <c r="D4419" t="s">
        <v>67</v>
      </c>
      <c r="E4419" t="str">
        <f t="shared" si="226"/>
        <v>020</v>
      </c>
      <c r="F4419" t="s">
        <v>4506</v>
      </c>
      <c r="G4419" t="str">
        <f>"0186"</f>
        <v>0186</v>
      </c>
      <c r="H4419" t="str">
        <f>"0001"</f>
        <v>0001</v>
      </c>
      <c r="I4419" t="s">
        <v>75</v>
      </c>
      <c r="J4419">
        <v>0</v>
      </c>
      <c r="K4419">
        <v>1</v>
      </c>
      <c r="L4419">
        <v>2</v>
      </c>
      <c r="M4419">
        <v>152</v>
      </c>
      <c r="N4419">
        <v>383</v>
      </c>
      <c r="O4419">
        <v>4</v>
      </c>
      <c r="P4419">
        <v>383</v>
      </c>
      <c r="Q4419">
        <v>3</v>
      </c>
      <c r="R4419">
        <v>78</v>
      </c>
      <c r="S4419">
        <v>14</v>
      </c>
      <c r="T4419">
        <v>15</v>
      </c>
      <c r="U4419">
        <v>19</v>
      </c>
      <c r="V4419">
        <v>20</v>
      </c>
      <c r="W4419">
        <v>6</v>
      </c>
      <c r="X4419">
        <v>180</v>
      </c>
      <c r="Y4419">
        <v>2</v>
      </c>
      <c r="Z4419">
        <v>18</v>
      </c>
      <c r="AA4419">
        <v>2</v>
      </c>
      <c r="AB4419">
        <v>14</v>
      </c>
      <c r="AD4419">
        <v>6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6</v>
      </c>
      <c r="AK4419">
        <v>383</v>
      </c>
      <c r="AL4419">
        <v>383</v>
      </c>
      <c r="AM4419">
        <v>491</v>
      </c>
      <c r="AN4419">
        <v>44</v>
      </c>
      <c r="AP4419">
        <v>1</v>
      </c>
      <c r="AR4419" t="s">
        <v>4520</v>
      </c>
      <c r="AS4419" s="1">
        <v>44354.1</v>
      </c>
      <c r="AT4419" s="1">
        <v>44354.105532407404</v>
      </c>
      <c r="AU4419" s="1">
        <v>44354.10665509259</v>
      </c>
      <c r="AV4419" t="s">
        <v>71</v>
      </c>
      <c r="AW4419" t="s">
        <v>72</v>
      </c>
      <c r="AX4419" t="s">
        <v>73</v>
      </c>
    </row>
    <row r="4420" spans="1:50" x14ac:dyDescent="0.3">
      <c r="A4420" t="str">
        <f>"200283B0000"</f>
        <v>200283B0000</v>
      </c>
      <c r="B4420" t="str">
        <f>"200283B00002"</f>
        <v>200283B00002</v>
      </c>
      <c r="C4420" t="str">
        <f t="shared" si="224"/>
        <v>20</v>
      </c>
      <c r="D4420" t="s">
        <v>67</v>
      </c>
      <c r="E4420" t="str">
        <f t="shared" si="226"/>
        <v>020</v>
      </c>
      <c r="F4420" t="s">
        <v>4506</v>
      </c>
      <c r="G4420" t="str">
        <f>"0283"</f>
        <v>0283</v>
      </c>
      <c r="H4420" t="str">
        <f>"0000"</f>
        <v>0000</v>
      </c>
      <c r="I4420" t="s">
        <v>69</v>
      </c>
      <c r="J4420">
        <v>0</v>
      </c>
      <c r="K4420">
        <v>1</v>
      </c>
      <c r="L4420">
        <v>2</v>
      </c>
      <c r="M4420">
        <v>276</v>
      </c>
      <c r="N4420">
        <v>405</v>
      </c>
      <c r="O4420">
        <v>9</v>
      </c>
      <c r="P4420">
        <v>404</v>
      </c>
      <c r="Q4420">
        <v>4</v>
      </c>
      <c r="R4420">
        <v>119</v>
      </c>
      <c r="S4420">
        <v>9</v>
      </c>
      <c r="T4420">
        <v>0</v>
      </c>
      <c r="U4420">
        <v>55</v>
      </c>
      <c r="V4420">
        <v>26</v>
      </c>
      <c r="W4420">
        <v>6</v>
      </c>
      <c r="X4420">
        <v>134</v>
      </c>
      <c r="Y4420">
        <v>9</v>
      </c>
      <c r="Z4420">
        <v>13</v>
      </c>
      <c r="AA4420">
        <v>6</v>
      </c>
      <c r="AB4420">
        <v>5</v>
      </c>
      <c r="AD4420">
        <v>3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15</v>
      </c>
      <c r="AK4420">
        <v>404</v>
      </c>
      <c r="AL4420">
        <v>404</v>
      </c>
      <c r="AM4420">
        <v>637</v>
      </c>
      <c r="AN4420">
        <v>44</v>
      </c>
      <c r="AP4420">
        <v>1</v>
      </c>
      <c r="AR4420" t="s">
        <v>4521</v>
      </c>
      <c r="AS4420" s="1">
        <v>44354.091666666667</v>
      </c>
      <c r="AT4420" s="1">
        <v>44354.097581018519</v>
      </c>
      <c r="AU4420" s="1">
        <v>44354.098171296297</v>
      </c>
      <c r="AV4420" t="s">
        <v>71</v>
      </c>
      <c r="AW4420" t="s">
        <v>72</v>
      </c>
      <c r="AX4420" t="s">
        <v>73</v>
      </c>
    </row>
    <row r="4421" spans="1:50" x14ac:dyDescent="0.3">
      <c r="A4421" t="str">
        <f>"200283C0100"</f>
        <v>200283C0100</v>
      </c>
      <c r="B4421" t="str">
        <f>"200283C01002"</f>
        <v>200283C01002</v>
      </c>
      <c r="C4421" t="str">
        <f t="shared" si="224"/>
        <v>20</v>
      </c>
      <c r="D4421" t="s">
        <v>67</v>
      </c>
      <c r="E4421" t="str">
        <f t="shared" si="226"/>
        <v>020</v>
      </c>
      <c r="F4421" t="s">
        <v>4506</v>
      </c>
      <c r="G4421" t="str">
        <f>"0283"</f>
        <v>0283</v>
      </c>
      <c r="H4421" t="str">
        <f>"0001"</f>
        <v>0001</v>
      </c>
      <c r="I4421" t="s">
        <v>75</v>
      </c>
      <c r="J4421">
        <v>0</v>
      </c>
      <c r="K4421">
        <v>1</v>
      </c>
      <c r="L4421">
        <v>2</v>
      </c>
      <c r="M4421">
        <v>265</v>
      </c>
      <c r="N4421">
        <v>425</v>
      </c>
      <c r="O4421">
        <v>8</v>
      </c>
      <c r="P4421">
        <v>416</v>
      </c>
      <c r="Q4421">
        <v>11</v>
      </c>
      <c r="R4421">
        <v>133</v>
      </c>
      <c r="S4421">
        <v>9</v>
      </c>
      <c r="T4421">
        <v>2</v>
      </c>
      <c r="U4421">
        <v>70</v>
      </c>
      <c r="V4421">
        <v>24</v>
      </c>
      <c r="W4421">
        <v>6</v>
      </c>
      <c r="X4421">
        <v>117</v>
      </c>
      <c r="Y4421">
        <v>5</v>
      </c>
      <c r="Z4421">
        <v>13</v>
      </c>
      <c r="AA4421">
        <v>7</v>
      </c>
      <c r="AB4421">
        <v>4</v>
      </c>
      <c r="AD4421">
        <v>1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14</v>
      </c>
      <c r="AK4421">
        <v>416</v>
      </c>
      <c r="AL4421">
        <v>416</v>
      </c>
      <c r="AM4421">
        <v>637</v>
      </c>
      <c r="AN4421">
        <v>44</v>
      </c>
      <c r="AP4421">
        <v>1</v>
      </c>
      <c r="AR4421" t="s">
        <v>4522</v>
      </c>
      <c r="AS4421" s="1">
        <v>44354.092361111114</v>
      </c>
      <c r="AT4421" s="1">
        <v>44354.097870370373</v>
      </c>
      <c r="AU4421" s="1">
        <v>44354.098599537036</v>
      </c>
      <c r="AV4421" t="s">
        <v>71</v>
      </c>
      <c r="AW4421" t="s">
        <v>72</v>
      </c>
      <c r="AX4421" t="s">
        <v>73</v>
      </c>
    </row>
    <row r="4422" spans="1:50" x14ac:dyDescent="0.3">
      <c r="A4422" t="str">
        <f>"200283C0200"</f>
        <v>200283C0200</v>
      </c>
      <c r="B4422" t="str">
        <f>"200283C02002"</f>
        <v>200283C02002</v>
      </c>
      <c r="C4422" t="str">
        <f t="shared" si="224"/>
        <v>20</v>
      </c>
      <c r="D4422" t="s">
        <v>67</v>
      </c>
      <c r="E4422" t="str">
        <f t="shared" si="226"/>
        <v>020</v>
      </c>
      <c r="F4422" t="s">
        <v>4506</v>
      </c>
      <c r="G4422" t="str">
        <f>"0283"</f>
        <v>0283</v>
      </c>
      <c r="H4422" t="str">
        <f>"0002"</f>
        <v>0002</v>
      </c>
      <c r="I4422" t="s">
        <v>75</v>
      </c>
      <c r="J4422">
        <v>0</v>
      </c>
      <c r="K4422">
        <v>1</v>
      </c>
      <c r="L4422">
        <v>2</v>
      </c>
      <c r="AM4422">
        <v>636</v>
      </c>
      <c r="AN4422">
        <v>44</v>
      </c>
      <c r="AO4422" t="s">
        <v>143</v>
      </c>
      <c r="AP4422">
        <v>0</v>
      </c>
      <c r="AR4422" t="s">
        <v>4523</v>
      </c>
      <c r="AS4422" s="1">
        <v>44354.418749999997</v>
      </c>
      <c r="AT4422" s="1">
        <v>44354.427546296298</v>
      </c>
      <c r="AU4422" s="1">
        <v>44354.427546296298</v>
      </c>
      <c r="AV4422" t="s">
        <v>71</v>
      </c>
      <c r="AW4422" t="s">
        <v>72</v>
      </c>
      <c r="AX4422" t="s">
        <v>73</v>
      </c>
    </row>
    <row r="4423" spans="1:50" x14ac:dyDescent="0.3">
      <c r="A4423" t="str">
        <f>"200283E0100"</f>
        <v>200283E0100</v>
      </c>
      <c r="B4423" t="str">
        <f>"200283E01002"</f>
        <v>200283E01002</v>
      </c>
      <c r="C4423" t="str">
        <f t="shared" ref="C4423:C4486" si="227">"20"</f>
        <v>20</v>
      </c>
      <c r="D4423" t="s">
        <v>67</v>
      </c>
      <c r="E4423" t="str">
        <f t="shared" si="226"/>
        <v>020</v>
      </c>
      <c r="F4423" t="s">
        <v>4506</v>
      </c>
      <c r="G4423" t="str">
        <f>"0283"</f>
        <v>0283</v>
      </c>
      <c r="H4423" t="str">
        <f>"0001"</f>
        <v>0001</v>
      </c>
      <c r="I4423" t="s">
        <v>109</v>
      </c>
      <c r="J4423">
        <v>0</v>
      </c>
      <c r="K4423">
        <v>1</v>
      </c>
      <c r="L4423">
        <v>2</v>
      </c>
      <c r="AM4423">
        <v>117</v>
      </c>
      <c r="AN4423">
        <v>44</v>
      </c>
      <c r="AO4423" t="s">
        <v>143</v>
      </c>
      <c r="AP4423">
        <v>0</v>
      </c>
      <c r="AR4423" t="s">
        <v>4524</v>
      </c>
      <c r="AS4423" s="1">
        <v>44354.418055555558</v>
      </c>
      <c r="AT4423" s="1">
        <v>44354.423680555556</v>
      </c>
      <c r="AU4423" s="1">
        <v>44354.423680555556</v>
      </c>
      <c r="AV4423" t="s">
        <v>71</v>
      </c>
      <c r="AW4423" t="s">
        <v>72</v>
      </c>
      <c r="AX4423" t="s">
        <v>73</v>
      </c>
    </row>
    <row r="4424" spans="1:50" x14ac:dyDescent="0.3">
      <c r="A4424" t="str">
        <f>"200284B0000"</f>
        <v>200284B0000</v>
      </c>
      <c r="B4424" t="str">
        <f>"200284B00002"</f>
        <v>200284B00002</v>
      </c>
      <c r="C4424" t="str">
        <f t="shared" si="227"/>
        <v>20</v>
      </c>
      <c r="D4424" t="s">
        <v>67</v>
      </c>
      <c r="E4424" t="str">
        <f t="shared" si="226"/>
        <v>020</v>
      </c>
      <c r="F4424" t="s">
        <v>4506</v>
      </c>
      <c r="G4424" t="str">
        <f t="shared" ref="G4424:G4431" si="228">"0284"</f>
        <v>0284</v>
      </c>
      <c r="H4424" t="str">
        <f>"0000"</f>
        <v>0000</v>
      </c>
      <c r="I4424" t="s">
        <v>69</v>
      </c>
      <c r="J4424">
        <v>0</v>
      </c>
      <c r="K4424">
        <v>1</v>
      </c>
      <c r="L4424">
        <v>2</v>
      </c>
      <c r="M4424">
        <v>317</v>
      </c>
      <c r="N4424">
        <v>424</v>
      </c>
      <c r="O4424">
        <v>3</v>
      </c>
      <c r="P4424" t="s">
        <v>80</v>
      </c>
      <c r="Q4424">
        <v>5</v>
      </c>
      <c r="R4424">
        <v>69</v>
      </c>
      <c r="S4424">
        <v>15</v>
      </c>
      <c r="T4424">
        <v>0</v>
      </c>
      <c r="U4424">
        <v>100</v>
      </c>
      <c r="V4424">
        <v>3</v>
      </c>
      <c r="W4424">
        <v>4</v>
      </c>
      <c r="X4424">
        <v>165</v>
      </c>
      <c r="Y4424">
        <v>5</v>
      </c>
      <c r="Z4424">
        <v>31</v>
      </c>
      <c r="AA4424">
        <v>6</v>
      </c>
      <c r="AB4424">
        <v>4</v>
      </c>
      <c r="AD4424">
        <v>0</v>
      </c>
      <c r="AE4424">
        <v>0</v>
      </c>
      <c r="AF4424">
        <v>0</v>
      </c>
      <c r="AG4424">
        <v>0</v>
      </c>
      <c r="AH4424">
        <v>1</v>
      </c>
      <c r="AI4424">
        <v>0</v>
      </c>
      <c r="AJ4424">
        <v>16</v>
      </c>
      <c r="AK4424">
        <v>424</v>
      </c>
      <c r="AL4424">
        <v>424</v>
      </c>
      <c r="AM4424">
        <v>697</v>
      </c>
      <c r="AN4424">
        <v>44</v>
      </c>
      <c r="AP4424">
        <v>1</v>
      </c>
      <c r="AR4424" t="s">
        <v>4525</v>
      </c>
      <c r="AS4424" s="1">
        <v>44354.060416666667</v>
      </c>
      <c r="AT4424" s="1">
        <v>44354.068460648145</v>
      </c>
      <c r="AU4424" s="1">
        <v>44354.069039351853</v>
      </c>
      <c r="AV4424" t="s">
        <v>71</v>
      </c>
      <c r="AW4424" t="s">
        <v>72</v>
      </c>
      <c r="AX4424" t="s">
        <v>73</v>
      </c>
    </row>
    <row r="4425" spans="1:50" x14ac:dyDescent="0.3">
      <c r="A4425" t="str">
        <f>"200284C0100"</f>
        <v>200284C0100</v>
      </c>
      <c r="B4425" t="str">
        <f>"200284C01002"</f>
        <v>200284C01002</v>
      </c>
      <c r="C4425" t="str">
        <f t="shared" si="227"/>
        <v>20</v>
      </c>
      <c r="D4425" t="s">
        <v>67</v>
      </c>
      <c r="E4425" t="str">
        <f t="shared" si="226"/>
        <v>020</v>
      </c>
      <c r="F4425" t="s">
        <v>4506</v>
      </c>
      <c r="G4425" t="str">
        <f t="shared" si="228"/>
        <v>0284</v>
      </c>
      <c r="H4425" t="str">
        <f>"0001"</f>
        <v>0001</v>
      </c>
      <c r="I4425" t="s">
        <v>75</v>
      </c>
      <c r="J4425">
        <v>0</v>
      </c>
      <c r="K4425">
        <v>1</v>
      </c>
      <c r="L4425">
        <v>2</v>
      </c>
      <c r="M4425">
        <v>334</v>
      </c>
      <c r="N4425">
        <v>408</v>
      </c>
      <c r="O4425">
        <v>5</v>
      </c>
      <c r="P4425">
        <v>407</v>
      </c>
      <c r="Q4425">
        <v>4</v>
      </c>
      <c r="R4425">
        <v>44</v>
      </c>
      <c r="S4425">
        <v>15</v>
      </c>
      <c r="T4425">
        <v>0</v>
      </c>
      <c r="U4425">
        <v>98</v>
      </c>
      <c r="V4425">
        <v>4</v>
      </c>
      <c r="W4425">
        <v>5</v>
      </c>
      <c r="X4425">
        <v>170</v>
      </c>
      <c r="Y4425">
        <v>10</v>
      </c>
      <c r="Z4425">
        <v>34</v>
      </c>
      <c r="AA4425">
        <v>7</v>
      </c>
      <c r="AB4425">
        <v>3</v>
      </c>
      <c r="AD4425">
        <v>1</v>
      </c>
      <c r="AE4425">
        <v>1</v>
      </c>
      <c r="AF4425">
        <v>0</v>
      </c>
      <c r="AG4425">
        <v>0</v>
      </c>
      <c r="AH4425">
        <v>0</v>
      </c>
      <c r="AI4425">
        <v>0</v>
      </c>
      <c r="AJ4425">
        <v>11</v>
      </c>
      <c r="AK4425">
        <v>407</v>
      </c>
      <c r="AL4425">
        <v>407</v>
      </c>
      <c r="AM4425">
        <v>697</v>
      </c>
      <c r="AN4425">
        <v>44</v>
      </c>
      <c r="AP4425">
        <v>1</v>
      </c>
      <c r="AR4425" t="s">
        <v>4526</v>
      </c>
      <c r="AS4425" s="1">
        <v>44354.067361111112</v>
      </c>
      <c r="AT4425" s="1">
        <v>44354.074745370373</v>
      </c>
      <c r="AU4425" s="1">
        <v>44354.075115740743</v>
      </c>
      <c r="AV4425" t="s">
        <v>71</v>
      </c>
      <c r="AW4425" t="s">
        <v>72</v>
      </c>
      <c r="AX4425" t="s">
        <v>73</v>
      </c>
    </row>
    <row r="4426" spans="1:50" x14ac:dyDescent="0.3">
      <c r="A4426" t="str">
        <f>"200284C0200"</f>
        <v>200284C0200</v>
      </c>
      <c r="B4426" t="str">
        <f>"200284C02002"</f>
        <v>200284C02002</v>
      </c>
      <c r="C4426" t="str">
        <f t="shared" si="227"/>
        <v>20</v>
      </c>
      <c r="D4426" t="s">
        <v>67</v>
      </c>
      <c r="E4426" t="str">
        <f t="shared" si="226"/>
        <v>020</v>
      </c>
      <c r="F4426" t="s">
        <v>4506</v>
      </c>
      <c r="G4426" t="str">
        <f t="shared" si="228"/>
        <v>0284</v>
      </c>
      <c r="H4426" t="str">
        <f>"0002"</f>
        <v>0002</v>
      </c>
      <c r="I4426" t="s">
        <v>75</v>
      </c>
      <c r="J4426">
        <v>0</v>
      </c>
      <c r="K4426">
        <v>1</v>
      </c>
      <c r="L4426">
        <v>2</v>
      </c>
      <c r="M4426">
        <v>327</v>
      </c>
      <c r="N4426">
        <v>414</v>
      </c>
      <c r="O4426">
        <v>9</v>
      </c>
      <c r="P4426">
        <v>414</v>
      </c>
      <c r="Q4426">
        <v>6</v>
      </c>
      <c r="R4426">
        <v>64</v>
      </c>
      <c r="S4426">
        <v>13</v>
      </c>
      <c r="T4426">
        <v>2</v>
      </c>
      <c r="U4426">
        <v>2</v>
      </c>
      <c r="V4426">
        <v>5</v>
      </c>
      <c r="W4426">
        <v>5</v>
      </c>
      <c r="X4426">
        <v>143</v>
      </c>
      <c r="Y4426">
        <v>6</v>
      </c>
      <c r="Z4426">
        <v>44</v>
      </c>
      <c r="AA4426">
        <v>5</v>
      </c>
      <c r="AB4426">
        <v>3</v>
      </c>
      <c r="AD4426">
        <v>2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14</v>
      </c>
      <c r="AK4426">
        <v>414</v>
      </c>
      <c r="AL4426">
        <v>314</v>
      </c>
      <c r="AM4426">
        <v>697</v>
      </c>
      <c r="AN4426">
        <v>44</v>
      </c>
      <c r="AP4426">
        <v>1</v>
      </c>
      <c r="AR4426" t="s">
        <v>4527</v>
      </c>
      <c r="AS4426" s="1">
        <v>44354.06527777778</v>
      </c>
      <c r="AT4426" s="1">
        <v>44354.070590277777</v>
      </c>
      <c r="AU4426" s="1">
        <v>44354.071076388886</v>
      </c>
      <c r="AV4426" t="s">
        <v>71</v>
      </c>
      <c r="AW4426" t="s">
        <v>72</v>
      </c>
      <c r="AX4426" t="s">
        <v>73</v>
      </c>
    </row>
    <row r="4427" spans="1:50" x14ac:dyDescent="0.3">
      <c r="A4427" t="str">
        <f>"200284C0300"</f>
        <v>200284C0300</v>
      </c>
      <c r="B4427" t="str">
        <f>"200284C03002"</f>
        <v>200284C03002</v>
      </c>
      <c r="C4427" t="str">
        <f t="shared" si="227"/>
        <v>20</v>
      </c>
      <c r="D4427" t="s">
        <v>67</v>
      </c>
      <c r="E4427" t="str">
        <f t="shared" si="226"/>
        <v>020</v>
      </c>
      <c r="F4427" t="s">
        <v>4506</v>
      </c>
      <c r="G4427" t="str">
        <f t="shared" si="228"/>
        <v>0284</v>
      </c>
      <c r="H4427" t="str">
        <f>"0003"</f>
        <v>0003</v>
      </c>
      <c r="I4427" t="s">
        <v>75</v>
      </c>
      <c r="J4427">
        <v>0</v>
      </c>
      <c r="K4427">
        <v>1</v>
      </c>
      <c r="L4427">
        <v>2</v>
      </c>
      <c r="M4427">
        <v>330</v>
      </c>
      <c r="N4427">
        <v>411</v>
      </c>
      <c r="O4427">
        <v>11</v>
      </c>
      <c r="P4427">
        <v>411</v>
      </c>
      <c r="Q4427">
        <v>3</v>
      </c>
      <c r="R4427">
        <v>74</v>
      </c>
      <c r="S4427">
        <v>18</v>
      </c>
      <c r="T4427">
        <v>1</v>
      </c>
      <c r="U4427">
        <v>77</v>
      </c>
      <c r="V4427">
        <v>6</v>
      </c>
      <c r="W4427">
        <v>9</v>
      </c>
      <c r="X4427">
        <v>147</v>
      </c>
      <c r="Y4427">
        <v>5</v>
      </c>
      <c r="Z4427">
        <v>53</v>
      </c>
      <c r="AA4427">
        <v>8</v>
      </c>
      <c r="AB4427">
        <v>1</v>
      </c>
      <c r="AD4427">
        <v>1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8</v>
      </c>
      <c r="AK4427">
        <v>411</v>
      </c>
      <c r="AL4427">
        <v>411</v>
      </c>
      <c r="AM4427">
        <v>697</v>
      </c>
      <c r="AN4427">
        <v>44</v>
      </c>
      <c r="AP4427">
        <v>1</v>
      </c>
      <c r="AR4427" t="s">
        <v>4528</v>
      </c>
      <c r="AS4427" s="1">
        <v>44354.066666666666</v>
      </c>
      <c r="AT4427" s="1">
        <v>44354.072962962964</v>
      </c>
      <c r="AU4427" s="1">
        <v>44354.07366898148</v>
      </c>
      <c r="AV4427" t="s">
        <v>71</v>
      </c>
      <c r="AW4427" t="s">
        <v>72</v>
      </c>
      <c r="AX4427" t="s">
        <v>73</v>
      </c>
    </row>
    <row r="4428" spans="1:50" x14ac:dyDescent="0.3">
      <c r="A4428" t="str">
        <f>"200284C0400"</f>
        <v>200284C0400</v>
      </c>
      <c r="B4428" t="str">
        <f>"200284C04002"</f>
        <v>200284C04002</v>
      </c>
      <c r="C4428" t="str">
        <f t="shared" si="227"/>
        <v>20</v>
      </c>
      <c r="D4428" t="s">
        <v>67</v>
      </c>
      <c r="E4428" t="str">
        <f t="shared" si="226"/>
        <v>020</v>
      </c>
      <c r="F4428" t="s">
        <v>4506</v>
      </c>
      <c r="G4428" t="str">
        <f t="shared" si="228"/>
        <v>0284</v>
      </c>
      <c r="H4428" t="str">
        <f>"0004"</f>
        <v>0004</v>
      </c>
      <c r="I4428" t="s">
        <v>75</v>
      </c>
      <c r="J4428">
        <v>0</v>
      </c>
      <c r="K4428">
        <v>1</v>
      </c>
      <c r="L4428">
        <v>2</v>
      </c>
      <c r="M4428">
        <v>293</v>
      </c>
      <c r="N4428">
        <v>447</v>
      </c>
      <c r="O4428">
        <v>7</v>
      </c>
      <c r="P4428">
        <v>447</v>
      </c>
      <c r="Q4428">
        <v>5</v>
      </c>
      <c r="R4428">
        <v>70</v>
      </c>
      <c r="S4428">
        <v>15</v>
      </c>
      <c r="T4428">
        <v>0</v>
      </c>
      <c r="U4428">
        <v>99</v>
      </c>
      <c r="V4428">
        <v>9</v>
      </c>
      <c r="W4428">
        <v>4</v>
      </c>
      <c r="X4428">
        <v>160</v>
      </c>
      <c r="Y4428">
        <v>2</v>
      </c>
      <c r="Z4428">
        <v>46</v>
      </c>
      <c r="AA4428">
        <v>6</v>
      </c>
      <c r="AB4428">
        <v>3</v>
      </c>
      <c r="AD4428">
        <v>2</v>
      </c>
      <c r="AE4428">
        <v>1</v>
      </c>
      <c r="AF4428">
        <v>0</v>
      </c>
      <c r="AG4428">
        <v>0</v>
      </c>
      <c r="AH4428">
        <v>1</v>
      </c>
      <c r="AI4428">
        <v>0</v>
      </c>
      <c r="AJ4428">
        <v>24</v>
      </c>
      <c r="AK4428">
        <v>447</v>
      </c>
      <c r="AL4428">
        <v>447</v>
      </c>
      <c r="AM4428">
        <v>696</v>
      </c>
      <c r="AN4428">
        <v>44</v>
      </c>
      <c r="AP4428">
        <v>1</v>
      </c>
      <c r="AR4428" t="s">
        <v>4529</v>
      </c>
      <c r="AS4428" s="1">
        <v>44354.070138888892</v>
      </c>
      <c r="AT4428" s="1">
        <v>44354.078101851854</v>
      </c>
      <c r="AU4428" s="1">
        <v>44354.078506944446</v>
      </c>
      <c r="AV4428" t="s">
        <v>71</v>
      </c>
      <c r="AW4428" t="s">
        <v>72</v>
      </c>
      <c r="AX4428" t="s">
        <v>73</v>
      </c>
    </row>
    <row r="4429" spans="1:50" x14ac:dyDescent="0.3">
      <c r="A4429" t="str">
        <f>"200284C0500"</f>
        <v>200284C0500</v>
      </c>
      <c r="B4429" t="str">
        <f>"200284C05002"</f>
        <v>200284C05002</v>
      </c>
      <c r="C4429" t="str">
        <f t="shared" si="227"/>
        <v>20</v>
      </c>
      <c r="D4429" t="s">
        <v>67</v>
      </c>
      <c r="E4429" t="str">
        <f t="shared" si="226"/>
        <v>020</v>
      </c>
      <c r="F4429" t="s">
        <v>4506</v>
      </c>
      <c r="G4429" t="str">
        <f t="shared" si="228"/>
        <v>0284</v>
      </c>
      <c r="H4429" t="str">
        <f>"0005"</f>
        <v>0005</v>
      </c>
      <c r="I4429" t="s">
        <v>75</v>
      </c>
      <c r="J4429">
        <v>0</v>
      </c>
      <c r="K4429">
        <v>1</v>
      </c>
      <c r="L4429">
        <v>2</v>
      </c>
      <c r="M4429">
        <v>300</v>
      </c>
      <c r="N4429">
        <v>440</v>
      </c>
      <c r="O4429">
        <v>5</v>
      </c>
      <c r="P4429">
        <v>440</v>
      </c>
      <c r="Q4429">
        <v>3</v>
      </c>
      <c r="R4429">
        <v>60</v>
      </c>
      <c r="S4429">
        <v>13</v>
      </c>
      <c r="T4429">
        <v>1</v>
      </c>
      <c r="U4429">
        <v>80</v>
      </c>
      <c r="V4429">
        <v>6</v>
      </c>
      <c r="W4429">
        <v>2</v>
      </c>
      <c r="X4429">
        <v>194</v>
      </c>
      <c r="Y4429">
        <v>3</v>
      </c>
      <c r="Z4429">
        <v>54</v>
      </c>
      <c r="AA4429">
        <v>3</v>
      </c>
      <c r="AB4429">
        <v>4</v>
      </c>
      <c r="AD4429">
        <v>2</v>
      </c>
      <c r="AE4429">
        <v>1</v>
      </c>
      <c r="AF4429">
        <v>0</v>
      </c>
      <c r="AG4429">
        <v>0</v>
      </c>
      <c r="AH4429">
        <v>0</v>
      </c>
      <c r="AI4429">
        <v>0</v>
      </c>
      <c r="AJ4429">
        <v>14</v>
      </c>
      <c r="AK4429">
        <v>440</v>
      </c>
      <c r="AL4429">
        <v>440</v>
      </c>
      <c r="AM4429">
        <v>696</v>
      </c>
      <c r="AN4429">
        <v>44</v>
      </c>
      <c r="AP4429">
        <v>1</v>
      </c>
      <c r="AR4429" t="s">
        <v>4530</v>
      </c>
      <c r="AS4429" s="1">
        <v>44354.068749999999</v>
      </c>
      <c r="AT4429" s="1">
        <v>44354.077013888891</v>
      </c>
      <c r="AU4429" s="1">
        <v>44354.077569444446</v>
      </c>
      <c r="AV4429" t="s">
        <v>71</v>
      </c>
      <c r="AW4429" t="s">
        <v>72</v>
      </c>
      <c r="AX4429" t="s">
        <v>73</v>
      </c>
    </row>
    <row r="4430" spans="1:50" x14ac:dyDescent="0.3">
      <c r="A4430" t="str">
        <f>"200284C0600"</f>
        <v>200284C0600</v>
      </c>
      <c r="B4430" t="str">
        <f>"200284C06002"</f>
        <v>200284C06002</v>
      </c>
      <c r="C4430" t="str">
        <f t="shared" si="227"/>
        <v>20</v>
      </c>
      <c r="D4430" t="s">
        <v>67</v>
      </c>
      <c r="E4430" t="str">
        <f t="shared" si="226"/>
        <v>020</v>
      </c>
      <c r="F4430" t="s">
        <v>4506</v>
      </c>
      <c r="G4430" t="str">
        <f t="shared" si="228"/>
        <v>0284</v>
      </c>
      <c r="H4430" t="str">
        <f>"0006"</f>
        <v>0006</v>
      </c>
      <c r="I4430" t="s">
        <v>75</v>
      </c>
      <c r="J4430">
        <v>0</v>
      </c>
      <c r="K4430">
        <v>1</v>
      </c>
      <c r="L4430">
        <v>2</v>
      </c>
      <c r="M4430">
        <v>314</v>
      </c>
      <c r="N4430">
        <v>426</v>
      </c>
      <c r="O4430">
        <v>4</v>
      </c>
      <c r="P4430">
        <v>426</v>
      </c>
      <c r="Q4430">
        <v>2</v>
      </c>
      <c r="R4430">
        <v>75</v>
      </c>
      <c r="S4430">
        <v>13</v>
      </c>
      <c r="T4430">
        <v>0</v>
      </c>
      <c r="U4430">
        <v>95</v>
      </c>
      <c r="V4430">
        <v>7</v>
      </c>
      <c r="W4430">
        <v>4</v>
      </c>
      <c r="X4430">
        <v>170</v>
      </c>
      <c r="Y4430">
        <v>5</v>
      </c>
      <c r="Z4430">
        <v>25</v>
      </c>
      <c r="AA4430">
        <v>5</v>
      </c>
      <c r="AB4430">
        <v>4</v>
      </c>
      <c r="AD4430">
        <v>4</v>
      </c>
      <c r="AE4430">
        <v>0</v>
      </c>
      <c r="AF4430">
        <v>0</v>
      </c>
      <c r="AG4430">
        <v>0</v>
      </c>
      <c r="AH4430">
        <v>0</v>
      </c>
      <c r="AI4430">
        <v>1</v>
      </c>
      <c r="AJ4430">
        <v>16</v>
      </c>
      <c r="AK4430">
        <v>426</v>
      </c>
      <c r="AL4430">
        <v>426</v>
      </c>
      <c r="AM4430">
        <v>696</v>
      </c>
      <c r="AN4430">
        <v>44</v>
      </c>
      <c r="AP4430">
        <v>1</v>
      </c>
      <c r="AR4430" t="s">
        <v>4531</v>
      </c>
      <c r="AS4430" s="1">
        <v>44354.068749999999</v>
      </c>
      <c r="AT4430" s="1">
        <v>44354.08016203704</v>
      </c>
      <c r="AU4430" s="1">
        <v>44354.080949074072</v>
      </c>
      <c r="AV4430" t="s">
        <v>71</v>
      </c>
      <c r="AW4430" t="s">
        <v>72</v>
      </c>
      <c r="AX4430" t="s">
        <v>73</v>
      </c>
    </row>
    <row r="4431" spans="1:50" x14ac:dyDescent="0.3">
      <c r="A4431" t="str">
        <f>"200284C0700"</f>
        <v>200284C0700</v>
      </c>
      <c r="B4431" t="str">
        <f>"200284C07002"</f>
        <v>200284C07002</v>
      </c>
      <c r="C4431" t="str">
        <f t="shared" si="227"/>
        <v>20</v>
      </c>
      <c r="D4431" t="s">
        <v>67</v>
      </c>
      <c r="E4431" t="str">
        <f t="shared" si="226"/>
        <v>020</v>
      </c>
      <c r="F4431" t="s">
        <v>4506</v>
      </c>
      <c r="G4431" t="str">
        <f t="shared" si="228"/>
        <v>0284</v>
      </c>
      <c r="H4431" t="str">
        <f>"0007"</f>
        <v>0007</v>
      </c>
      <c r="I4431" t="s">
        <v>75</v>
      </c>
      <c r="J4431">
        <v>0</v>
      </c>
      <c r="K4431">
        <v>1</v>
      </c>
      <c r="L4431">
        <v>2</v>
      </c>
      <c r="M4431">
        <v>303</v>
      </c>
      <c r="N4431">
        <v>437</v>
      </c>
      <c r="O4431">
        <v>4</v>
      </c>
      <c r="P4431">
        <v>437</v>
      </c>
      <c r="Q4431">
        <v>1</v>
      </c>
      <c r="R4431">
        <v>78</v>
      </c>
      <c r="S4431">
        <v>12</v>
      </c>
      <c r="T4431">
        <v>1</v>
      </c>
      <c r="U4431">
        <v>78</v>
      </c>
      <c r="V4431">
        <v>9</v>
      </c>
      <c r="W4431">
        <v>2</v>
      </c>
      <c r="X4431">
        <v>187</v>
      </c>
      <c r="Y4431">
        <v>3</v>
      </c>
      <c r="Z4431">
        <v>32</v>
      </c>
      <c r="AA4431">
        <v>4</v>
      </c>
      <c r="AB4431">
        <v>3</v>
      </c>
      <c r="AD4431">
        <v>6</v>
      </c>
      <c r="AE4431">
        <v>0</v>
      </c>
      <c r="AF4431">
        <v>0</v>
      </c>
      <c r="AG4431">
        <v>0</v>
      </c>
      <c r="AH4431">
        <v>1</v>
      </c>
      <c r="AI4431">
        <v>1</v>
      </c>
      <c r="AJ4431">
        <v>19</v>
      </c>
      <c r="AK4431">
        <v>437</v>
      </c>
      <c r="AL4431">
        <v>437</v>
      </c>
      <c r="AM4431">
        <v>696</v>
      </c>
      <c r="AN4431">
        <v>44</v>
      </c>
      <c r="AP4431">
        <v>1</v>
      </c>
      <c r="AR4431" t="s">
        <v>4532</v>
      </c>
      <c r="AS4431" s="1">
        <v>44354.065972222219</v>
      </c>
      <c r="AT4431" s="1">
        <v>44354.072118055556</v>
      </c>
      <c r="AU4431" s="1">
        <v>44354.072534722225</v>
      </c>
      <c r="AV4431" t="s">
        <v>71</v>
      </c>
      <c r="AW4431" t="s">
        <v>72</v>
      </c>
      <c r="AX4431" t="s">
        <v>73</v>
      </c>
    </row>
    <row r="4432" spans="1:50" x14ac:dyDescent="0.3">
      <c r="A4432" t="str">
        <f>"200285B0000"</f>
        <v>200285B0000</v>
      </c>
      <c r="B4432" t="str">
        <f>"200285B00002"</f>
        <v>200285B00002</v>
      </c>
      <c r="C4432" t="str">
        <f t="shared" si="227"/>
        <v>20</v>
      </c>
      <c r="D4432" t="s">
        <v>67</v>
      </c>
      <c r="E4432" t="str">
        <f t="shared" si="226"/>
        <v>020</v>
      </c>
      <c r="F4432" t="s">
        <v>4506</v>
      </c>
      <c r="G4432" t="str">
        <f>"0285"</f>
        <v>0285</v>
      </c>
      <c r="H4432" t="str">
        <f>"0000"</f>
        <v>0000</v>
      </c>
      <c r="I4432" t="s">
        <v>69</v>
      </c>
      <c r="J4432">
        <v>0</v>
      </c>
      <c r="K4432">
        <v>1</v>
      </c>
      <c r="L4432">
        <v>2</v>
      </c>
      <c r="M4432">
        <v>304</v>
      </c>
      <c r="N4432">
        <v>420</v>
      </c>
      <c r="O4432">
        <v>5</v>
      </c>
      <c r="P4432" t="s">
        <v>80</v>
      </c>
      <c r="Q4432">
        <v>10</v>
      </c>
      <c r="R4432">
        <v>114</v>
      </c>
      <c r="S4432">
        <v>8</v>
      </c>
      <c r="T4432">
        <v>1</v>
      </c>
      <c r="U4432">
        <v>88</v>
      </c>
      <c r="V4432">
        <v>15</v>
      </c>
      <c r="W4432">
        <v>4</v>
      </c>
      <c r="X4432">
        <v>107</v>
      </c>
      <c r="Y4432">
        <v>5</v>
      </c>
      <c r="Z4432">
        <v>44</v>
      </c>
      <c r="AA4432">
        <v>2</v>
      </c>
      <c r="AB4432">
        <v>3</v>
      </c>
      <c r="AD4432" t="s">
        <v>77</v>
      </c>
      <c r="AE4432" t="s">
        <v>77</v>
      </c>
      <c r="AF4432" t="s">
        <v>77</v>
      </c>
      <c r="AG4432" t="s">
        <v>77</v>
      </c>
      <c r="AH4432" t="s">
        <v>77</v>
      </c>
      <c r="AI4432" t="s">
        <v>77</v>
      </c>
      <c r="AJ4432">
        <v>17</v>
      </c>
      <c r="AK4432">
        <v>418</v>
      </c>
      <c r="AL4432">
        <v>418</v>
      </c>
      <c r="AM4432">
        <v>678</v>
      </c>
      <c r="AN4432">
        <v>44</v>
      </c>
      <c r="AO4432" t="s">
        <v>78</v>
      </c>
      <c r="AP4432">
        <v>1</v>
      </c>
      <c r="AR4432" t="s">
        <v>4533</v>
      </c>
      <c r="AS4432" s="1">
        <v>44354.067361111112</v>
      </c>
      <c r="AT4432" s="1">
        <v>44354.076562499999</v>
      </c>
      <c r="AU4432" s="1">
        <v>44354.077488425923</v>
      </c>
      <c r="AV4432" t="s">
        <v>71</v>
      </c>
      <c r="AW4432" t="s">
        <v>72</v>
      </c>
      <c r="AX4432" t="s">
        <v>73</v>
      </c>
    </row>
    <row r="4433" spans="1:50" x14ac:dyDescent="0.3">
      <c r="A4433" t="str">
        <f>"200285C0100"</f>
        <v>200285C0100</v>
      </c>
      <c r="B4433" t="str">
        <f>"200285C01002"</f>
        <v>200285C01002</v>
      </c>
      <c r="C4433" t="str">
        <f t="shared" si="227"/>
        <v>20</v>
      </c>
      <c r="D4433" t="s">
        <v>67</v>
      </c>
      <c r="E4433" t="str">
        <f t="shared" si="226"/>
        <v>020</v>
      </c>
      <c r="F4433" t="s">
        <v>4506</v>
      </c>
      <c r="G4433" t="str">
        <f>"0285"</f>
        <v>0285</v>
      </c>
      <c r="H4433" t="str">
        <f>"0001"</f>
        <v>0001</v>
      </c>
      <c r="I4433" t="s">
        <v>75</v>
      </c>
      <c r="J4433">
        <v>0</v>
      </c>
      <c r="K4433">
        <v>1</v>
      </c>
      <c r="L4433">
        <v>2</v>
      </c>
      <c r="M4433">
        <v>292</v>
      </c>
      <c r="N4433">
        <v>430</v>
      </c>
      <c r="O4433">
        <v>5</v>
      </c>
      <c r="P4433">
        <v>430</v>
      </c>
      <c r="Q4433">
        <v>9</v>
      </c>
      <c r="R4433">
        <v>136</v>
      </c>
      <c r="S4433">
        <v>10</v>
      </c>
      <c r="T4433">
        <v>4</v>
      </c>
      <c r="U4433">
        <v>91</v>
      </c>
      <c r="V4433">
        <v>9</v>
      </c>
      <c r="W4433">
        <v>4</v>
      </c>
      <c r="X4433">
        <v>99</v>
      </c>
      <c r="Y4433">
        <v>7</v>
      </c>
      <c r="Z4433">
        <v>41</v>
      </c>
      <c r="AA4433">
        <v>1</v>
      </c>
      <c r="AB4433">
        <v>0</v>
      </c>
      <c r="AD4433">
        <v>2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17</v>
      </c>
      <c r="AK4433">
        <v>430</v>
      </c>
      <c r="AL4433">
        <v>430</v>
      </c>
      <c r="AM4433">
        <v>678</v>
      </c>
      <c r="AN4433">
        <v>44</v>
      </c>
      <c r="AP4433">
        <v>1</v>
      </c>
      <c r="AR4433" t="s">
        <v>4534</v>
      </c>
      <c r="AS4433" s="1">
        <v>44354.063888888886</v>
      </c>
      <c r="AT4433" s="1">
        <v>44354.069814814815</v>
      </c>
      <c r="AU4433" s="1">
        <v>44354.070520833331</v>
      </c>
      <c r="AV4433" t="s">
        <v>71</v>
      </c>
      <c r="AW4433" t="s">
        <v>72</v>
      </c>
      <c r="AX4433" t="s">
        <v>347</v>
      </c>
    </row>
    <row r="4434" spans="1:50" x14ac:dyDescent="0.3">
      <c r="A4434" t="str">
        <f>"200285C0200"</f>
        <v>200285C0200</v>
      </c>
      <c r="B4434" t="str">
        <f>"200285C02002"</f>
        <v>200285C02002</v>
      </c>
      <c r="C4434" t="str">
        <f t="shared" si="227"/>
        <v>20</v>
      </c>
      <c r="D4434" t="s">
        <v>67</v>
      </c>
      <c r="E4434" t="str">
        <f t="shared" si="226"/>
        <v>020</v>
      </c>
      <c r="F4434" t="s">
        <v>4506</v>
      </c>
      <c r="G4434" t="str">
        <f>"0285"</f>
        <v>0285</v>
      </c>
      <c r="H4434" t="str">
        <f>"0002"</f>
        <v>0002</v>
      </c>
      <c r="I4434" t="s">
        <v>75</v>
      </c>
      <c r="J4434">
        <v>0</v>
      </c>
      <c r="K4434">
        <v>1</v>
      </c>
      <c r="L4434">
        <v>2</v>
      </c>
      <c r="M4434">
        <v>307</v>
      </c>
      <c r="N4434">
        <v>415</v>
      </c>
      <c r="O4434">
        <v>5</v>
      </c>
      <c r="P4434">
        <v>416</v>
      </c>
      <c r="Q4434">
        <v>4</v>
      </c>
      <c r="R4434">
        <v>109</v>
      </c>
      <c r="S4434">
        <v>15</v>
      </c>
      <c r="T4434">
        <v>2</v>
      </c>
      <c r="U4434">
        <v>108</v>
      </c>
      <c r="V4434">
        <v>9</v>
      </c>
      <c r="W4434">
        <v>2</v>
      </c>
      <c r="X4434">
        <v>111</v>
      </c>
      <c r="Y4434">
        <v>3</v>
      </c>
      <c r="Z4434">
        <v>31</v>
      </c>
      <c r="AA4434">
        <v>3</v>
      </c>
      <c r="AB4434">
        <v>3</v>
      </c>
      <c r="AD4434">
        <v>1</v>
      </c>
      <c r="AE4434">
        <v>2</v>
      </c>
      <c r="AF4434">
        <v>0</v>
      </c>
      <c r="AG4434">
        <v>0</v>
      </c>
      <c r="AH4434">
        <v>0</v>
      </c>
      <c r="AI4434">
        <v>0</v>
      </c>
      <c r="AJ4434">
        <v>13</v>
      </c>
      <c r="AK4434">
        <v>416</v>
      </c>
      <c r="AL4434">
        <v>416</v>
      </c>
      <c r="AM4434">
        <v>678</v>
      </c>
      <c r="AN4434">
        <v>44</v>
      </c>
      <c r="AP4434">
        <v>1</v>
      </c>
      <c r="AR4434" t="s">
        <v>4535</v>
      </c>
      <c r="AS4434" s="1">
        <v>44354.056944444441</v>
      </c>
      <c r="AT4434" s="1">
        <v>44354.06523148148</v>
      </c>
      <c r="AU4434" s="1">
        <v>44354.065729166665</v>
      </c>
      <c r="AV4434" t="s">
        <v>71</v>
      </c>
      <c r="AW4434" t="s">
        <v>72</v>
      </c>
      <c r="AX4434" t="s">
        <v>73</v>
      </c>
    </row>
    <row r="4435" spans="1:50" x14ac:dyDescent="0.3">
      <c r="A4435" t="str">
        <f>"200285C0300"</f>
        <v>200285C0300</v>
      </c>
      <c r="B4435" t="str">
        <f>"200285C03002"</f>
        <v>200285C03002</v>
      </c>
      <c r="C4435" t="str">
        <f t="shared" si="227"/>
        <v>20</v>
      </c>
      <c r="D4435" t="s">
        <v>67</v>
      </c>
      <c r="E4435" t="str">
        <f t="shared" si="226"/>
        <v>020</v>
      </c>
      <c r="F4435" t="s">
        <v>4506</v>
      </c>
      <c r="G4435" t="str">
        <f>"0285"</f>
        <v>0285</v>
      </c>
      <c r="H4435" t="str">
        <f>"0003"</f>
        <v>0003</v>
      </c>
      <c r="I4435" t="s">
        <v>75</v>
      </c>
      <c r="J4435">
        <v>0</v>
      </c>
      <c r="K4435">
        <v>1</v>
      </c>
      <c r="L4435">
        <v>2</v>
      </c>
      <c r="M4435">
        <v>310</v>
      </c>
      <c r="N4435">
        <v>412</v>
      </c>
      <c r="O4435">
        <v>5</v>
      </c>
      <c r="P4435">
        <v>411</v>
      </c>
      <c r="Q4435">
        <v>11</v>
      </c>
      <c r="R4435">
        <v>125</v>
      </c>
      <c r="S4435">
        <v>19</v>
      </c>
      <c r="T4435">
        <v>1</v>
      </c>
      <c r="U4435">
        <v>83</v>
      </c>
      <c r="V4435">
        <v>8</v>
      </c>
      <c r="W4435">
        <v>1</v>
      </c>
      <c r="X4435">
        <v>91</v>
      </c>
      <c r="Y4435">
        <v>5</v>
      </c>
      <c r="Z4435">
        <v>38</v>
      </c>
      <c r="AA4435">
        <v>4</v>
      </c>
      <c r="AB4435">
        <v>6</v>
      </c>
      <c r="AD4435">
        <v>1</v>
      </c>
      <c r="AE4435">
        <v>1</v>
      </c>
      <c r="AF4435">
        <v>0</v>
      </c>
      <c r="AG4435">
        <v>0</v>
      </c>
      <c r="AH4435">
        <v>0</v>
      </c>
      <c r="AI4435">
        <v>0</v>
      </c>
      <c r="AJ4435">
        <v>17</v>
      </c>
      <c r="AK4435">
        <v>411</v>
      </c>
      <c r="AL4435">
        <v>411</v>
      </c>
      <c r="AM4435">
        <v>678</v>
      </c>
      <c r="AN4435">
        <v>44</v>
      </c>
      <c r="AP4435">
        <v>1</v>
      </c>
      <c r="AR4435" t="s">
        <v>4536</v>
      </c>
      <c r="AS4435" s="1">
        <v>44354.069444444445</v>
      </c>
      <c r="AT4435" s="1">
        <v>44354.081759259258</v>
      </c>
      <c r="AU4435" s="1">
        <v>44354.082349537035</v>
      </c>
      <c r="AV4435" t="s">
        <v>71</v>
      </c>
      <c r="AW4435" t="s">
        <v>72</v>
      </c>
      <c r="AX4435" t="s">
        <v>73</v>
      </c>
    </row>
    <row r="4436" spans="1:50" x14ac:dyDescent="0.3">
      <c r="A4436" t="str">
        <f>"200286B0000"</f>
        <v>200286B0000</v>
      </c>
      <c r="B4436" t="str">
        <f>"200286B00002"</f>
        <v>200286B00002</v>
      </c>
      <c r="C4436" t="str">
        <f t="shared" si="227"/>
        <v>20</v>
      </c>
      <c r="D4436" t="s">
        <v>67</v>
      </c>
      <c r="E4436" t="str">
        <f t="shared" si="226"/>
        <v>020</v>
      </c>
      <c r="F4436" t="s">
        <v>4506</v>
      </c>
      <c r="G4436" t="str">
        <f>"0286"</f>
        <v>0286</v>
      </c>
      <c r="H4436" t="str">
        <f>"0000"</f>
        <v>0000</v>
      </c>
      <c r="I4436" t="s">
        <v>69</v>
      </c>
      <c r="J4436">
        <v>0</v>
      </c>
      <c r="K4436">
        <v>1</v>
      </c>
      <c r="L4436">
        <v>2</v>
      </c>
      <c r="AM4436">
        <v>625</v>
      </c>
      <c r="AN4436">
        <v>44</v>
      </c>
      <c r="AO4436" t="s">
        <v>143</v>
      </c>
      <c r="AP4436">
        <v>0</v>
      </c>
      <c r="AR4436" t="s">
        <v>4537</v>
      </c>
      <c r="AS4436" s="1">
        <v>44354.417361111111</v>
      </c>
      <c r="AT4436" s="1">
        <v>44354.422199074077</v>
      </c>
      <c r="AU4436" s="1">
        <v>44354.422199074077</v>
      </c>
      <c r="AV4436" t="s">
        <v>71</v>
      </c>
      <c r="AW4436" t="s">
        <v>72</v>
      </c>
      <c r="AX4436" t="s">
        <v>73</v>
      </c>
    </row>
    <row r="4437" spans="1:50" x14ac:dyDescent="0.3">
      <c r="A4437" t="str">
        <f>"200286C0100"</f>
        <v>200286C0100</v>
      </c>
      <c r="B4437" t="str">
        <f>"200286C01002"</f>
        <v>200286C01002</v>
      </c>
      <c r="C4437" t="str">
        <f t="shared" si="227"/>
        <v>20</v>
      </c>
      <c r="D4437" t="s">
        <v>67</v>
      </c>
      <c r="E4437" t="str">
        <f t="shared" si="226"/>
        <v>020</v>
      </c>
      <c r="F4437" t="s">
        <v>4506</v>
      </c>
      <c r="G4437" t="str">
        <f>"0286"</f>
        <v>0286</v>
      </c>
      <c r="H4437" t="str">
        <f>"0001"</f>
        <v>0001</v>
      </c>
      <c r="I4437" t="s">
        <v>75</v>
      </c>
      <c r="J4437">
        <v>0</v>
      </c>
      <c r="K4437">
        <v>1</v>
      </c>
      <c r="L4437">
        <v>2</v>
      </c>
      <c r="M4437">
        <v>271</v>
      </c>
      <c r="N4437">
        <v>395</v>
      </c>
      <c r="O4437">
        <v>1</v>
      </c>
      <c r="P4437">
        <v>395</v>
      </c>
      <c r="Q4437">
        <v>4</v>
      </c>
      <c r="R4437">
        <v>114</v>
      </c>
      <c r="S4437">
        <v>13</v>
      </c>
      <c r="T4437">
        <v>2</v>
      </c>
      <c r="U4437">
        <v>71</v>
      </c>
      <c r="V4437">
        <v>8</v>
      </c>
      <c r="W4437">
        <v>3</v>
      </c>
      <c r="X4437">
        <v>131</v>
      </c>
      <c r="Y4437">
        <v>7</v>
      </c>
      <c r="Z4437">
        <v>22</v>
      </c>
      <c r="AA4437">
        <v>8</v>
      </c>
      <c r="AB4437">
        <v>1</v>
      </c>
      <c r="AD4437">
        <v>1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10</v>
      </c>
      <c r="AK4437">
        <v>395</v>
      </c>
      <c r="AL4437">
        <v>395</v>
      </c>
      <c r="AM4437">
        <v>624</v>
      </c>
      <c r="AN4437">
        <v>44</v>
      </c>
      <c r="AP4437">
        <v>1</v>
      </c>
      <c r="AR4437" t="s">
        <v>4538</v>
      </c>
      <c r="AS4437" s="1">
        <v>44353.976388888892</v>
      </c>
      <c r="AT4437" s="1">
        <v>44353.978321759256</v>
      </c>
      <c r="AU4437" s="1">
        <v>44353.97996527778</v>
      </c>
      <c r="AV4437" t="s">
        <v>71</v>
      </c>
      <c r="AW4437" t="s">
        <v>72</v>
      </c>
      <c r="AX4437" t="s">
        <v>73</v>
      </c>
    </row>
    <row r="4438" spans="1:50" x14ac:dyDescent="0.3">
      <c r="A4438" t="str">
        <f>"200287B0000"</f>
        <v>200287B0000</v>
      </c>
      <c r="B4438" t="str">
        <f>"200287B00002"</f>
        <v>200287B00002</v>
      </c>
      <c r="C4438" t="str">
        <f t="shared" si="227"/>
        <v>20</v>
      </c>
      <c r="D4438" t="s">
        <v>67</v>
      </c>
      <c r="E4438" t="str">
        <f t="shared" si="226"/>
        <v>020</v>
      </c>
      <c r="F4438" t="s">
        <v>4506</v>
      </c>
      <c r="G4438" t="str">
        <f>"0287"</f>
        <v>0287</v>
      </c>
      <c r="H4438" t="str">
        <f>"0000"</f>
        <v>0000</v>
      </c>
      <c r="I4438" t="s">
        <v>69</v>
      </c>
      <c r="J4438">
        <v>0</v>
      </c>
      <c r="K4438">
        <v>1</v>
      </c>
      <c r="L4438">
        <v>2</v>
      </c>
      <c r="M4438">
        <v>312</v>
      </c>
      <c r="N4438">
        <v>425</v>
      </c>
      <c r="O4438">
        <v>4</v>
      </c>
      <c r="P4438">
        <v>425</v>
      </c>
      <c r="Q4438">
        <v>6</v>
      </c>
      <c r="R4438">
        <v>104</v>
      </c>
      <c r="S4438">
        <v>15</v>
      </c>
      <c r="T4438">
        <v>0</v>
      </c>
      <c r="U4438">
        <v>62</v>
      </c>
      <c r="V4438">
        <v>13</v>
      </c>
      <c r="W4438">
        <v>7</v>
      </c>
      <c r="X4438">
        <v>138</v>
      </c>
      <c r="Y4438">
        <v>6</v>
      </c>
      <c r="Z4438">
        <v>41</v>
      </c>
      <c r="AA4438">
        <v>10</v>
      </c>
      <c r="AB4438">
        <v>8</v>
      </c>
      <c r="AD4438">
        <v>2</v>
      </c>
      <c r="AE4438">
        <v>0</v>
      </c>
      <c r="AF4438">
        <v>0</v>
      </c>
      <c r="AG4438">
        <v>0</v>
      </c>
      <c r="AH4438">
        <v>1</v>
      </c>
      <c r="AI4438">
        <v>0</v>
      </c>
      <c r="AJ4438">
        <v>12</v>
      </c>
      <c r="AK4438">
        <v>425</v>
      </c>
      <c r="AL4438">
        <v>425</v>
      </c>
      <c r="AM4438">
        <v>693</v>
      </c>
      <c r="AN4438">
        <v>44</v>
      </c>
      <c r="AP4438">
        <v>1</v>
      </c>
      <c r="AR4438" t="s">
        <v>4539</v>
      </c>
      <c r="AS4438" s="1">
        <v>44354.070138888892</v>
      </c>
      <c r="AT4438" s="1">
        <v>44354.079664351855</v>
      </c>
      <c r="AU4438" s="1">
        <v>44354.080462962964</v>
      </c>
      <c r="AV4438" t="s">
        <v>71</v>
      </c>
      <c r="AW4438" t="s">
        <v>72</v>
      </c>
      <c r="AX4438" t="s">
        <v>73</v>
      </c>
    </row>
    <row r="4439" spans="1:50" x14ac:dyDescent="0.3">
      <c r="A4439" t="str">
        <f>"200287C0100"</f>
        <v>200287C0100</v>
      </c>
      <c r="B4439" t="str">
        <f>"200287C01002"</f>
        <v>200287C01002</v>
      </c>
      <c r="C4439" t="str">
        <f t="shared" si="227"/>
        <v>20</v>
      </c>
      <c r="D4439" t="s">
        <v>67</v>
      </c>
      <c r="E4439" t="str">
        <f t="shared" si="226"/>
        <v>020</v>
      </c>
      <c r="F4439" t="s">
        <v>4506</v>
      </c>
      <c r="G4439" t="str">
        <f>"0287"</f>
        <v>0287</v>
      </c>
      <c r="H4439" t="str">
        <f>"0001"</f>
        <v>0001</v>
      </c>
      <c r="I4439" t="s">
        <v>75</v>
      </c>
      <c r="J4439">
        <v>0</v>
      </c>
      <c r="K4439">
        <v>1</v>
      </c>
      <c r="L4439">
        <v>2</v>
      </c>
      <c r="M4439">
        <v>289</v>
      </c>
      <c r="N4439">
        <v>448</v>
      </c>
      <c r="O4439">
        <v>8</v>
      </c>
      <c r="P4439">
        <v>448</v>
      </c>
      <c r="Q4439">
        <v>2</v>
      </c>
      <c r="R4439">
        <v>85</v>
      </c>
      <c r="S4439">
        <v>15</v>
      </c>
      <c r="T4439">
        <v>0</v>
      </c>
      <c r="U4439">
        <v>58</v>
      </c>
      <c r="V4439">
        <v>23</v>
      </c>
      <c r="W4439">
        <v>10</v>
      </c>
      <c r="X4439">
        <v>152</v>
      </c>
      <c r="Y4439">
        <v>3</v>
      </c>
      <c r="Z4439">
        <v>66</v>
      </c>
      <c r="AA4439">
        <v>11</v>
      </c>
      <c r="AB4439">
        <v>8</v>
      </c>
      <c r="AD4439">
        <v>1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14</v>
      </c>
      <c r="AK4439">
        <v>448</v>
      </c>
      <c r="AL4439">
        <v>448</v>
      </c>
      <c r="AM4439">
        <v>693</v>
      </c>
      <c r="AN4439">
        <v>44</v>
      </c>
      <c r="AP4439">
        <v>1</v>
      </c>
      <c r="AR4439" t="s">
        <v>4540</v>
      </c>
      <c r="AS4439" s="1">
        <v>44354.074305555558</v>
      </c>
      <c r="AT4439" s="1">
        <v>44354.082627314812</v>
      </c>
      <c r="AU4439" s="1">
        <v>44354.083113425928</v>
      </c>
      <c r="AV4439" t="s">
        <v>71</v>
      </c>
      <c r="AW4439" t="s">
        <v>72</v>
      </c>
      <c r="AX4439" t="s">
        <v>73</v>
      </c>
    </row>
    <row r="4440" spans="1:50" x14ac:dyDescent="0.3">
      <c r="A4440" t="str">
        <f>"200288B0000"</f>
        <v>200288B0000</v>
      </c>
      <c r="B4440" t="str">
        <f>"200288B00002"</f>
        <v>200288B00002</v>
      </c>
      <c r="C4440" t="str">
        <f t="shared" si="227"/>
        <v>20</v>
      </c>
      <c r="D4440" t="s">
        <v>67</v>
      </c>
      <c r="E4440" t="str">
        <f t="shared" si="226"/>
        <v>020</v>
      </c>
      <c r="F4440" t="s">
        <v>4506</v>
      </c>
      <c r="G4440" t="str">
        <f>"0288"</f>
        <v>0288</v>
      </c>
      <c r="H4440" t="str">
        <f>"0000"</f>
        <v>0000</v>
      </c>
      <c r="I4440" t="s">
        <v>69</v>
      </c>
      <c r="J4440">
        <v>0</v>
      </c>
      <c r="K4440">
        <v>1</v>
      </c>
      <c r="L4440">
        <v>2</v>
      </c>
      <c r="M4440">
        <v>250</v>
      </c>
      <c r="N4440">
        <v>447</v>
      </c>
      <c r="O4440">
        <v>6</v>
      </c>
      <c r="P4440">
        <v>447</v>
      </c>
      <c r="Q4440">
        <v>5</v>
      </c>
      <c r="R4440">
        <v>130</v>
      </c>
      <c r="S4440">
        <v>12</v>
      </c>
      <c r="T4440">
        <v>1</v>
      </c>
      <c r="U4440">
        <v>72</v>
      </c>
      <c r="V4440">
        <v>22</v>
      </c>
      <c r="W4440">
        <v>4</v>
      </c>
      <c r="X4440">
        <v>147</v>
      </c>
      <c r="Y4440">
        <v>3</v>
      </c>
      <c r="Z4440">
        <v>22</v>
      </c>
      <c r="AA4440">
        <v>12</v>
      </c>
      <c r="AB4440">
        <v>0</v>
      </c>
      <c r="AD4440">
        <v>5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12</v>
      </c>
      <c r="AK4440">
        <v>447</v>
      </c>
      <c r="AL4440">
        <v>447</v>
      </c>
      <c r="AM4440">
        <v>653</v>
      </c>
      <c r="AN4440">
        <v>44</v>
      </c>
      <c r="AP4440">
        <v>1</v>
      </c>
      <c r="AR4440" t="s">
        <v>4541</v>
      </c>
      <c r="AS4440" s="1">
        <v>44354.072916666664</v>
      </c>
      <c r="AT4440" s="1">
        <v>44354.081886574073</v>
      </c>
      <c r="AU4440" s="1">
        <v>44354.082870370374</v>
      </c>
      <c r="AV4440" t="s">
        <v>71</v>
      </c>
      <c r="AW4440" t="s">
        <v>72</v>
      </c>
      <c r="AX4440" t="s">
        <v>73</v>
      </c>
    </row>
    <row r="4441" spans="1:50" x14ac:dyDescent="0.3">
      <c r="A4441" t="str">
        <f>"200288C0100"</f>
        <v>200288C0100</v>
      </c>
      <c r="B4441" t="str">
        <f>"200288C01002"</f>
        <v>200288C01002</v>
      </c>
      <c r="C4441" t="str">
        <f t="shared" si="227"/>
        <v>20</v>
      </c>
      <c r="D4441" t="s">
        <v>67</v>
      </c>
      <c r="E4441" t="str">
        <f t="shared" si="226"/>
        <v>020</v>
      </c>
      <c r="F4441" t="s">
        <v>4506</v>
      </c>
      <c r="G4441" t="str">
        <f>"0288"</f>
        <v>0288</v>
      </c>
      <c r="H4441" t="str">
        <f>"0001"</f>
        <v>0001</v>
      </c>
      <c r="I4441" t="s">
        <v>75</v>
      </c>
      <c r="J4441">
        <v>0</v>
      </c>
      <c r="K4441">
        <v>1</v>
      </c>
      <c r="L4441">
        <v>2</v>
      </c>
      <c r="M4441">
        <v>273</v>
      </c>
      <c r="N4441">
        <v>424</v>
      </c>
      <c r="O4441">
        <v>2</v>
      </c>
      <c r="P4441">
        <v>424</v>
      </c>
      <c r="Q4441">
        <v>9</v>
      </c>
      <c r="R4441">
        <v>118</v>
      </c>
      <c r="S4441">
        <v>8</v>
      </c>
      <c r="T4441">
        <v>1</v>
      </c>
      <c r="U4441">
        <v>64</v>
      </c>
      <c r="V4441">
        <v>30</v>
      </c>
      <c r="W4441">
        <v>3</v>
      </c>
      <c r="X4441">
        <v>124</v>
      </c>
      <c r="Y4441">
        <v>5</v>
      </c>
      <c r="Z4441">
        <v>35</v>
      </c>
      <c r="AA4441">
        <v>7</v>
      </c>
      <c r="AB4441">
        <v>3</v>
      </c>
      <c r="AD4441">
        <v>3</v>
      </c>
      <c r="AE4441" t="s">
        <v>77</v>
      </c>
      <c r="AF4441" t="s">
        <v>77</v>
      </c>
      <c r="AG4441" t="s">
        <v>77</v>
      </c>
      <c r="AH4441" t="s">
        <v>77</v>
      </c>
      <c r="AI4441" t="s">
        <v>77</v>
      </c>
      <c r="AJ4441">
        <v>14</v>
      </c>
      <c r="AK4441">
        <v>424</v>
      </c>
      <c r="AL4441">
        <v>424</v>
      </c>
      <c r="AM4441">
        <v>653</v>
      </c>
      <c r="AN4441">
        <v>44</v>
      </c>
      <c r="AO4441" t="s">
        <v>78</v>
      </c>
      <c r="AP4441">
        <v>1</v>
      </c>
      <c r="AR4441" t="s">
        <v>4542</v>
      </c>
      <c r="AS4441" s="1">
        <v>44354.086805555555</v>
      </c>
      <c r="AT4441" s="1">
        <v>44354.095451388886</v>
      </c>
      <c r="AU4441" s="1">
        <v>44354.096099537041</v>
      </c>
      <c r="AV4441" t="s">
        <v>71</v>
      </c>
      <c r="AW4441" t="s">
        <v>72</v>
      </c>
      <c r="AX4441" t="s">
        <v>73</v>
      </c>
    </row>
    <row r="4442" spans="1:50" x14ac:dyDescent="0.3">
      <c r="A4442" t="str">
        <f>"200289B0000"</f>
        <v>200289B0000</v>
      </c>
      <c r="B4442" t="str">
        <f>"200289B00002"</f>
        <v>200289B00002</v>
      </c>
      <c r="C4442" t="str">
        <f t="shared" si="227"/>
        <v>20</v>
      </c>
      <c r="D4442" t="s">
        <v>67</v>
      </c>
      <c r="E4442" t="str">
        <f t="shared" si="226"/>
        <v>020</v>
      </c>
      <c r="F4442" t="s">
        <v>4506</v>
      </c>
      <c r="G4442" t="str">
        <f>"0289"</f>
        <v>0289</v>
      </c>
      <c r="H4442" t="str">
        <f>"0000"</f>
        <v>0000</v>
      </c>
      <c r="I4442" t="s">
        <v>69</v>
      </c>
      <c r="J4442">
        <v>0</v>
      </c>
      <c r="K4442">
        <v>1</v>
      </c>
      <c r="L4442">
        <v>2</v>
      </c>
      <c r="M4442" t="s">
        <v>80</v>
      </c>
      <c r="N4442" t="s">
        <v>80</v>
      </c>
      <c r="O4442" t="s">
        <v>80</v>
      </c>
      <c r="P4442" t="s">
        <v>80</v>
      </c>
      <c r="Q4442">
        <v>8</v>
      </c>
      <c r="R4442">
        <v>91</v>
      </c>
      <c r="S4442">
        <v>11</v>
      </c>
      <c r="T4442">
        <v>2</v>
      </c>
      <c r="U4442">
        <v>51</v>
      </c>
      <c r="V4442">
        <v>15</v>
      </c>
      <c r="W4442">
        <v>39</v>
      </c>
      <c r="X4442">
        <v>146</v>
      </c>
      <c r="Y4442">
        <v>14</v>
      </c>
      <c r="Z4442">
        <v>16</v>
      </c>
      <c r="AA4442">
        <v>4</v>
      </c>
      <c r="AB4442">
        <v>3</v>
      </c>
      <c r="AD4442">
        <v>3</v>
      </c>
      <c r="AE4442" t="s">
        <v>77</v>
      </c>
      <c r="AF4442" t="s">
        <v>77</v>
      </c>
      <c r="AG4442" t="s">
        <v>77</v>
      </c>
      <c r="AH4442" t="s">
        <v>77</v>
      </c>
      <c r="AI4442" t="s">
        <v>77</v>
      </c>
      <c r="AJ4442">
        <v>8</v>
      </c>
      <c r="AK4442">
        <v>411</v>
      </c>
      <c r="AL4442">
        <v>411</v>
      </c>
      <c r="AM4442">
        <v>643</v>
      </c>
      <c r="AN4442">
        <v>44</v>
      </c>
      <c r="AO4442" t="s">
        <v>78</v>
      </c>
      <c r="AP4442">
        <v>1</v>
      </c>
      <c r="AR4442" t="s">
        <v>4543</v>
      </c>
      <c r="AS4442" s="1">
        <v>44354.048611111109</v>
      </c>
      <c r="AT4442" s="1">
        <v>44354.055462962962</v>
      </c>
      <c r="AU4442" s="1">
        <v>44354.055949074071</v>
      </c>
      <c r="AV4442" t="s">
        <v>71</v>
      </c>
      <c r="AW4442" t="s">
        <v>72</v>
      </c>
      <c r="AX4442" t="s">
        <v>73</v>
      </c>
    </row>
    <row r="4443" spans="1:50" x14ac:dyDescent="0.3">
      <c r="A4443" t="str">
        <f>"200289C0100"</f>
        <v>200289C0100</v>
      </c>
      <c r="B4443" t="str">
        <f>"200289C01002"</f>
        <v>200289C01002</v>
      </c>
      <c r="C4443" t="str">
        <f t="shared" si="227"/>
        <v>20</v>
      </c>
      <c r="D4443" t="s">
        <v>67</v>
      </c>
      <c r="E4443" t="str">
        <f t="shared" si="226"/>
        <v>020</v>
      </c>
      <c r="F4443" t="s">
        <v>4506</v>
      </c>
      <c r="G4443" t="str">
        <f>"0289"</f>
        <v>0289</v>
      </c>
      <c r="H4443" t="str">
        <f>"0001"</f>
        <v>0001</v>
      </c>
      <c r="I4443" t="s">
        <v>75</v>
      </c>
      <c r="J4443">
        <v>0</v>
      </c>
      <c r="K4443">
        <v>1</v>
      </c>
      <c r="L4443">
        <v>2</v>
      </c>
      <c r="M4443">
        <v>264</v>
      </c>
      <c r="N4443">
        <v>422</v>
      </c>
      <c r="O4443">
        <v>0</v>
      </c>
      <c r="P4443">
        <v>422</v>
      </c>
      <c r="Q4443">
        <v>3</v>
      </c>
      <c r="R4443">
        <v>89</v>
      </c>
      <c r="S4443">
        <v>2</v>
      </c>
      <c r="T4443" t="s">
        <v>99</v>
      </c>
      <c r="U4443">
        <v>61</v>
      </c>
      <c r="V4443">
        <v>12</v>
      </c>
      <c r="W4443">
        <v>36</v>
      </c>
      <c r="X4443">
        <v>159</v>
      </c>
      <c r="Y4443">
        <v>7</v>
      </c>
      <c r="Z4443">
        <v>19</v>
      </c>
      <c r="AA4443">
        <v>14</v>
      </c>
      <c r="AB4443">
        <v>7</v>
      </c>
      <c r="AD4443">
        <v>1</v>
      </c>
      <c r="AE4443" t="s">
        <v>77</v>
      </c>
      <c r="AF4443" t="s">
        <v>77</v>
      </c>
      <c r="AG4443" t="s">
        <v>77</v>
      </c>
      <c r="AH4443" t="s">
        <v>77</v>
      </c>
      <c r="AI4443" t="s">
        <v>77</v>
      </c>
      <c r="AJ4443">
        <v>8</v>
      </c>
      <c r="AK4443">
        <v>422</v>
      </c>
      <c r="AL4443">
        <v>418</v>
      </c>
      <c r="AM4443">
        <v>642</v>
      </c>
      <c r="AN4443">
        <v>44</v>
      </c>
      <c r="AO4443" t="s">
        <v>78</v>
      </c>
      <c r="AP4443">
        <v>1</v>
      </c>
      <c r="AR4443" t="s">
        <v>4544</v>
      </c>
      <c r="AS4443" s="1">
        <v>44354.055555555555</v>
      </c>
      <c r="AT4443" s="1">
        <v>44354.062708333331</v>
      </c>
      <c r="AU4443" s="1">
        <v>44354.063807870371</v>
      </c>
      <c r="AV4443" t="s">
        <v>71</v>
      </c>
      <c r="AW4443" t="s">
        <v>72</v>
      </c>
      <c r="AX4443" t="s">
        <v>73</v>
      </c>
    </row>
    <row r="4444" spans="1:50" x14ac:dyDescent="0.3">
      <c r="A4444" t="str">
        <f>"200289S0100"</f>
        <v>200289S0100</v>
      </c>
      <c r="B4444" t="str">
        <f>"200289S01002EMR"</f>
        <v>200289S01002EMR</v>
      </c>
      <c r="C4444" t="str">
        <f t="shared" si="227"/>
        <v>20</v>
      </c>
      <c r="D4444" t="s">
        <v>67</v>
      </c>
      <c r="E4444" t="str">
        <f t="shared" si="226"/>
        <v>020</v>
      </c>
      <c r="F4444" t="s">
        <v>4506</v>
      </c>
      <c r="G4444" t="str">
        <f>"0289"</f>
        <v>0289</v>
      </c>
      <c r="H4444" t="str">
        <f>"0001"</f>
        <v>0001</v>
      </c>
      <c r="I4444" t="s">
        <v>85</v>
      </c>
      <c r="J4444">
        <v>0</v>
      </c>
      <c r="K4444">
        <v>1</v>
      </c>
      <c r="L4444" t="s">
        <v>86</v>
      </c>
      <c r="AM4444">
        <v>0</v>
      </c>
      <c r="AN4444">
        <v>44</v>
      </c>
      <c r="AO4444" t="s">
        <v>143</v>
      </c>
      <c r="AP4444">
        <v>0</v>
      </c>
      <c r="AR4444" t="s">
        <v>4545</v>
      </c>
      <c r="AS4444" s="1">
        <v>44354.416666666664</v>
      </c>
      <c r="AT4444" s="1">
        <v>44354.420266203706</v>
      </c>
      <c r="AU4444" s="1">
        <v>44354.420266203706</v>
      </c>
      <c r="AV4444" t="s">
        <v>71</v>
      </c>
      <c r="AW4444" t="s">
        <v>72</v>
      </c>
      <c r="AX4444" t="s">
        <v>73</v>
      </c>
    </row>
    <row r="4445" spans="1:50" x14ac:dyDescent="0.3">
      <c r="A4445" t="str">
        <f>"200289S0200"</f>
        <v>200289S0200</v>
      </c>
      <c r="B4445" t="str">
        <f>"200289S02002EMR"</f>
        <v>200289S02002EMR</v>
      </c>
      <c r="C4445" t="str">
        <f t="shared" si="227"/>
        <v>20</v>
      </c>
      <c r="D4445" t="s">
        <v>67</v>
      </c>
      <c r="E4445" t="str">
        <f t="shared" si="226"/>
        <v>020</v>
      </c>
      <c r="F4445" t="s">
        <v>4506</v>
      </c>
      <c r="G4445" t="str">
        <f>"0289"</f>
        <v>0289</v>
      </c>
      <c r="H4445" t="str">
        <f>"0002"</f>
        <v>0002</v>
      </c>
      <c r="I4445" t="s">
        <v>85</v>
      </c>
      <c r="J4445">
        <v>0</v>
      </c>
      <c r="K4445">
        <v>1</v>
      </c>
      <c r="L4445" t="s">
        <v>86</v>
      </c>
      <c r="M4445" t="s">
        <v>80</v>
      </c>
      <c r="N4445" t="s">
        <v>80</v>
      </c>
      <c r="O4445">
        <v>0</v>
      </c>
      <c r="P4445" t="s">
        <v>80</v>
      </c>
      <c r="Q4445">
        <v>3</v>
      </c>
      <c r="R4445">
        <v>46</v>
      </c>
      <c r="S4445">
        <v>8</v>
      </c>
      <c r="T4445">
        <v>1</v>
      </c>
      <c r="U4445">
        <v>119</v>
      </c>
      <c r="V4445">
        <v>0</v>
      </c>
      <c r="W4445">
        <v>0</v>
      </c>
      <c r="X4445">
        <v>42</v>
      </c>
      <c r="Y4445">
        <v>5</v>
      </c>
      <c r="Z4445">
        <v>49</v>
      </c>
      <c r="AA4445">
        <v>0</v>
      </c>
      <c r="AB4445">
        <v>2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3</v>
      </c>
      <c r="AK4445">
        <v>278</v>
      </c>
      <c r="AL4445">
        <v>278</v>
      </c>
      <c r="AM4445">
        <v>0</v>
      </c>
      <c r="AN4445">
        <v>44</v>
      </c>
      <c r="AP4445">
        <v>1</v>
      </c>
      <c r="AR4445" t="s">
        <v>4546</v>
      </c>
      <c r="AS4445" s="1">
        <v>44354.033333333333</v>
      </c>
      <c r="AT4445" s="1">
        <v>44354.065266203703</v>
      </c>
      <c r="AU4445" s="1">
        <v>44354.066099537034</v>
      </c>
      <c r="AV4445" t="s">
        <v>71</v>
      </c>
      <c r="AW4445" t="s">
        <v>72</v>
      </c>
      <c r="AX4445" t="s">
        <v>73</v>
      </c>
    </row>
    <row r="4446" spans="1:50" x14ac:dyDescent="0.3">
      <c r="A4446" t="str">
        <f>"200291B0000"</f>
        <v>200291B0000</v>
      </c>
      <c r="B4446" t="str">
        <f>"200291B00002"</f>
        <v>200291B00002</v>
      </c>
      <c r="C4446" t="str">
        <f t="shared" si="227"/>
        <v>20</v>
      </c>
      <c r="D4446" t="s">
        <v>67</v>
      </c>
      <c r="E4446" t="str">
        <f t="shared" si="226"/>
        <v>020</v>
      </c>
      <c r="F4446" t="s">
        <v>4506</v>
      </c>
      <c r="G4446" t="str">
        <f>"0291"</f>
        <v>0291</v>
      </c>
      <c r="H4446" t="str">
        <f>"0000"</f>
        <v>0000</v>
      </c>
      <c r="I4446" t="s">
        <v>69</v>
      </c>
      <c r="J4446">
        <v>0</v>
      </c>
      <c r="K4446">
        <v>1</v>
      </c>
      <c r="L4446">
        <v>2</v>
      </c>
      <c r="M4446">
        <v>298</v>
      </c>
      <c r="N4446">
        <v>494</v>
      </c>
      <c r="O4446">
        <v>8</v>
      </c>
      <c r="P4446">
        <v>494</v>
      </c>
      <c r="Q4446">
        <v>4</v>
      </c>
      <c r="R4446">
        <v>96</v>
      </c>
      <c r="S4446">
        <v>6</v>
      </c>
      <c r="T4446">
        <v>1</v>
      </c>
      <c r="U4446">
        <v>85</v>
      </c>
      <c r="V4446">
        <v>28</v>
      </c>
      <c r="W4446">
        <v>2</v>
      </c>
      <c r="X4446">
        <v>199</v>
      </c>
      <c r="Y4446">
        <v>25</v>
      </c>
      <c r="Z4446">
        <v>28</v>
      </c>
      <c r="AA4446">
        <v>1</v>
      </c>
      <c r="AB4446">
        <v>3</v>
      </c>
      <c r="AD4446">
        <v>0</v>
      </c>
      <c r="AE4446">
        <v>1</v>
      </c>
      <c r="AF4446">
        <v>0</v>
      </c>
      <c r="AG4446">
        <v>0</v>
      </c>
      <c r="AH4446">
        <v>0</v>
      </c>
      <c r="AI4446">
        <v>0</v>
      </c>
      <c r="AJ4446">
        <v>15</v>
      </c>
      <c r="AK4446">
        <v>494</v>
      </c>
      <c r="AL4446">
        <v>494</v>
      </c>
      <c r="AM4446">
        <v>748</v>
      </c>
      <c r="AN4446">
        <v>44</v>
      </c>
      <c r="AP4446">
        <v>1</v>
      </c>
      <c r="AR4446" t="s">
        <v>4547</v>
      </c>
      <c r="AS4446" s="1">
        <v>44354.259027777778</v>
      </c>
      <c r="AT4446" s="1">
        <v>44354.261840277781</v>
      </c>
      <c r="AU4446" s="1">
        <v>44354.262511574074</v>
      </c>
      <c r="AV4446" t="s">
        <v>71</v>
      </c>
      <c r="AW4446" t="s">
        <v>72</v>
      </c>
      <c r="AX4446" t="s">
        <v>73</v>
      </c>
    </row>
    <row r="4447" spans="1:50" x14ac:dyDescent="0.3">
      <c r="A4447" t="str">
        <f>"200291C0100"</f>
        <v>200291C0100</v>
      </c>
      <c r="B4447" t="str">
        <f>"200291C01002"</f>
        <v>200291C01002</v>
      </c>
      <c r="C4447" t="str">
        <f t="shared" si="227"/>
        <v>20</v>
      </c>
      <c r="D4447" t="s">
        <v>67</v>
      </c>
      <c r="E4447" t="str">
        <f t="shared" si="226"/>
        <v>020</v>
      </c>
      <c r="F4447" t="s">
        <v>4506</v>
      </c>
      <c r="G4447" t="str">
        <f>"0291"</f>
        <v>0291</v>
      </c>
      <c r="H4447" t="str">
        <f>"0001"</f>
        <v>0001</v>
      </c>
      <c r="I4447" t="s">
        <v>75</v>
      </c>
      <c r="J4447">
        <v>0</v>
      </c>
      <c r="K4447">
        <v>1</v>
      </c>
      <c r="L4447">
        <v>2</v>
      </c>
      <c r="M4447">
        <v>297</v>
      </c>
      <c r="N4447">
        <v>494</v>
      </c>
      <c r="O4447">
        <v>3</v>
      </c>
      <c r="P4447" t="s">
        <v>80</v>
      </c>
      <c r="Q4447">
        <v>3</v>
      </c>
      <c r="R4447">
        <v>94</v>
      </c>
      <c r="S4447">
        <v>10</v>
      </c>
      <c r="T4447">
        <v>2</v>
      </c>
      <c r="U4447">
        <v>107</v>
      </c>
      <c r="V4447">
        <v>16</v>
      </c>
      <c r="W4447">
        <v>5</v>
      </c>
      <c r="X4447">
        <v>198</v>
      </c>
      <c r="Y4447">
        <v>14</v>
      </c>
      <c r="Z4447">
        <v>22</v>
      </c>
      <c r="AA4447">
        <v>5</v>
      </c>
      <c r="AB4447">
        <v>3</v>
      </c>
      <c r="AD4447">
        <v>2</v>
      </c>
      <c r="AE4447">
        <v>0</v>
      </c>
      <c r="AF4447">
        <v>0</v>
      </c>
      <c r="AG4447">
        <v>0</v>
      </c>
      <c r="AH4447">
        <v>1</v>
      </c>
      <c r="AI4447">
        <v>0</v>
      </c>
      <c r="AJ4447">
        <v>12</v>
      </c>
      <c r="AK4447">
        <v>494</v>
      </c>
      <c r="AL4447">
        <v>494</v>
      </c>
      <c r="AM4447">
        <v>747</v>
      </c>
      <c r="AN4447">
        <v>44</v>
      </c>
      <c r="AP4447">
        <v>1</v>
      </c>
      <c r="AR4447" t="s">
        <v>4548</v>
      </c>
      <c r="AS4447" s="1">
        <v>44354.100694444445</v>
      </c>
      <c r="AT4447" s="1">
        <v>44354.103148148148</v>
      </c>
      <c r="AU4447" s="1">
        <v>44354.103831018518</v>
      </c>
      <c r="AV4447" t="s">
        <v>71</v>
      </c>
      <c r="AW4447" t="s">
        <v>72</v>
      </c>
      <c r="AX4447" t="s">
        <v>73</v>
      </c>
    </row>
    <row r="4448" spans="1:50" x14ac:dyDescent="0.3">
      <c r="A4448" t="str">
        <f>"200292B0000"</f>
        <v>200292B0000</v>
      </c>
      <c r="B4448" t="str">
        <f>"200292B00002"</f>
        <v>200292B00002</v>
      </c>
      <c r="C4448" t="str">
        <f t="shared" si="227"/>
        <v>20</v>
      </c>
      <c r="D4448" t="s">
        <v>67</v>
      </c>
      <c r="E4448" t="str">
        <f t="shared" si="226"/>
        <v>020</v>
      </c>
      <c r="F4448" t="s">
        <v>4506</v>
      </c>
      <c r="G4448" t="str">
        <f>"0292"</f>
        <v>0292</v>
      </c>
      <c r="H4448" t="str">
        <f>"0000"</f>
        <v>0000</v>
      </c>
      <c r="I4448" t="s">
        <v>69</v>
      </c>
      <c r="J4448">
        <v>0</v>
      </c>
      <c r="K4448">
        <v>1</v>
      </c>
      <c r="L4448">
        <v>2</v>
      </c>
      <c r="M4448">
        <v>197</v>
      </c>
      <c r="N4448">
        <v>419</v>
      </c>
      <c r="O4448">
        <v>10</v>
      </c>
      <c r="P4448">
        <v>419</v>
      </c>
      <c r="Q4448">
        <v>2</v>
      </c>
      <c r="R4448">
        <v>96</v>
      </c>
      <c r="S4448">
        <v>4</v>
      </c>
      <c r="T4448">
        <v>0</v>
      </c>
      <c r="U4448">
        <v>58</v>
      </c>
      <c r="V4448">
        <v>20</v>
      </c>
      <c r="W4448">
        <v>24</v>
      </c>
      <c r="X4448">
        <v>172</v>
      </c>
      <c r="Y4448">
        <v>6</v>
      </c>
      <c r="Z4448">
        <v>14</v>
      </c>
      <c r="AA4448">
        <v>2</v>
      </c>
      <c r="AB4448">
        <v>9</v>
      </c>
      <c r="AD4448">
        <v>2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10</v>
      </c>
      <c r="AK4448">
        <v>419</v>
      </c>
      <c r="AL4448">
        <v>419</v>
      </c>
      <c r="AM4448">
        <v>572</v>
      </c>
      <c r="AN4448">
        <v>44</v>
      </c>
      <c r="AP4448">
        <v>1</v>
      </c>
      <c r="AR4448" t="s">
        <v>4549</v>
      </c>
      <c r="AS4448" s="1">
        <v>44354.077777777777</v>
      </c>
      <c r="AT4448" s="1">
        <v>44354.086712962962</v>
      </c>
      <c r="AU4448" s="1">
        <v>44354.087187500001</v>
      </c>
      <c r="AV4448" t="s">
        <v>71</v>
      </c>
      <c r="AW4448" t="s">
        <v>72</v>
      </c>
      <c r="AX4448" t="s">
        <v>73</v>
      </c>
    </row>
    <row r="4449" spans="1:50" x14ac:dyDescent="0.3">
      <c r="A4449" t="str">
        <f>"200292C0100"</f>
        <v>200292C0100</v>
      </c>
      <c r="B4449" t="str">
        <f>"200292C01002"</f>
        <v>200292C01002</v>
      </c>
      <c r="C4449" t="str">
        <f t="shared" si="227"/>
        <v>20</v>
      </c>
      <c r="D4449" t="s">
        <v>67</v>
      </c>
      <c r="E4449" t="str">
        <f t="shared" si="226"/>
        <v>020</v>
      </c>
      <c r="F4449" t="s">
        <v>4506</v>
      </c>
      <c r="G4449" t="str">
        <f>"0292"</f>
        <v>0292</v>
      </c>
      <c r="H4449" t="str">
        <f>"0001"</f>
        <v>0001</v>
      </c>
      <c r="I4449" t="s">
        <v>75</v>
      </c>
      <c r="J4449">
        <v>0</v>
      </c>
      <c r="K4449">
        <v>1</v>
      </c>
      <c r="L4449">
        <v>2</v>
      </c>
      <c r="M4449">
        <v>199</v>
      </c>
      <c r="N4449">
        <v>417</v>
      </c>
      <c r="O4449">
        <v>10</v>
      </c>
      <c r="P4449">
        <v>417</v>
      </c>
      <c r="Q4449">
        <v>4</v>
      </c>
      <c r="R4449">
        <v>85</v>
      </c>
      <c r="S4449">
        <v>6</v>
      </c>
      <c r="T4449">
        <v>1</v>
      </c>
      <c r="U4449">
        <v>59</v>
      </c>
      <c r="V4449">
        <v>13</v>
      </c>
      <c r="W4449">
        <v>20</v>
      </c>
      <c r="X4449">
        <v>179</v>
      </c>
      <c r="Y4449">
        <v>11</v>
      </c>
      <c r="Z4449">
        <v>12</v>
      </c>
      <c r="AA4449">
        <v>6</v>
      </c>
      <c r="AB4449">
        <v>3</v>
      </c>
      <c r="AD4449">
        <v>3</v>
      </c>
      <c r="AE4449">
        <v>0</v>
      </c>
      <c r="AF4449">
        <v>0</v>
      </c>
      <c r="AG4449">
        <v>1</v>
      </c>
      <c r="AH4449">
        <v>2</v>
      </c>
      <c r="AI4449">
        <v>0</v>
      </c>
      <c r="AJ4449">
        <v>12</v>
      </c>
      <c r="AK4449">
        <v>417</v>
      </c>
      <c r="AL4449">
        <v>417</v>
      </c>
      <c r="AM4449">
        <v>572</v>
      </c>
      <c r="AN4449">
        <v>44</v>
      </c>
      <c r="AP4449">
        <v>1</v>
      </c>
      <c r="AR4449" t="s">
        <v>4550</v>
      </c>
      <c r="AS4449" s="1">
        <v>44354.087500000001</v>
      </c>
      <c r="AT4449" s="1">
        <v>44354.095011574071</v>
      </c>
      <c r="AU4449" s="1">
        <v>44354.095694444448</v>
      </c>
      <c r="AV4449" t="s">
        <v>71</v>
      </c>
      <c r="AW4449" t="s">
        <v>72</v>
      </c>
      <c r="AX4449" t="s">
        <v>73</v>
      </c>
    </row>
    <row r="4450" spans="1:50" x14ac:dyDescent="0.3">
      <c r="A4450" t="str">
        <f>"200293B0000"</f>
        <v>200293B0000</v>
      </c>
      <c r="B4450" t="str">
        <f>"200293B00002"</f>
        <v>200293B00002</v>
      </c>
      <c r="C4450" t="str">
        <f t="shared" si="227"/>
        <v>20</v>
      </c>
      <c r="D4450" t="s">
        <v>67</v>
      </c>
      <c r="E4450" t="str">
        <f t="shared" si="226"/>
        <v>020</v>
      </c>
      <c r="F4450" t="s">
        <v>4506</v>
      </c>
      <c r="G4450" t="str">
        <f>"0293"</f>
        <v>0293</v>
      </c>
      <c r="H4450" t="str">
        <f>"0000"</f>
        <v>0000</v>
      </c>
      <c r="I4450" t="s">
        <v>69</v>
      </c>
      <c r="J4450">
        <v>0</v>
      </c>
      <c r="K4450">
        <v>1</v>
      </c>
      <c r="L4450">
        <v>2</v>
      </c>
      <c r="M4450">
        <v>234</v>
      </c>
      <c r="N4450">
        <v>347</v>
      </c>
      <c r="O4450">
        <v>5</v>
      </c>
      <c r="P4450">
        <v>338</v>
      </c>
      <c r="Q4450">
        <v>3</v>
      </c>
      <c r="R4450">
        <v>59</v>
      </c>
      <c r="S4450">
        <v>23</v>
      </c>
      <c r="T4450">
        <v>1</v>
      </c>
      <c r="U4450">
        <v>54</v>
      </c>
      <c r="V4450">
        <v>16</v>
      </c>
      <c r="W4450">
        <v>0</v>
      </c>
      <c r="X4450">
        <v>128</v>
      </c>
      <c r="Y4450">
        <v>9</v>
      </c>
      <c r="Z4450">
        <v>35</v>
      </c>
      <c r="AA4450">
        <v>4</v>
      </c>
      <c r="AB4450">
        <v>3</v>
      </c>
      <c r="AD4450">
        <v>3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8</v>
      </c>
      <c r="AK4450">
        <v>346</v>
      </c>
      <c r="AL4450">
        <v>346</v>
      </c>
      <c r="AM4450">
        <v>537</v>
      </c>
      <c r="AN4450">
        <v>44</v>
      </c>
      <c r="AP4450">
        <v>1</v>
      </c>
      <c r="AR4450" t="s">
        <v>4551</v>
      </c>
      <c r="AS4450" s="1">
        <v>44354.034722222219</v>
      </c>
      <c r="AT4450" s="1">
        <v>44354.043310185189</v>
      </c>
      <c r="AU4450" s="1">
        <v>44354.043993055559</v>
      </c>
      <c r="AV4450" t="s">
        <v>71</v>
      </c>
      <c r="AW4450" t="s">
        <v>72</v>
      </c>
      <c r="AX4450" t="s">
        <v>73</v>
      </c>
    </row>
    <row r="4451" spans="1:50" x14ac:dyDescent="0.3">
      <c r="A4451" t="str">
        <f>"200293C0100"</f>
        <v>200293C0100</v>
      </c>
      <c r="B4451" t="str">
        <f>"200293C01002"</f>
        <v>200293C01002</v>
      </c>
      <c r="C4451" t="str">
        <f t="shared" si="227"/>
        <v>20</v>
      </c>
      <c r="D4451" t="s">
        <v>67</v>
      </c>
      <c r="E4451" t="str">
        <f t="shared" si="226"/>
        <v>020</v>
      </c>
      <c r="F4451" t="s">
        <v>4506</v>
      </c>
      <c r="G4451" t="str">
        <f>"0293"</f>
        <v>0293</v>
      </c>
      <c r="H4451" t="str">
        <f>"0001"</f>
        <v>0001</v>
      </c>
      <c r="I4451" t="s">
        <v>75</v>
      </c>
      <c r="J4451">
        <v>0</v>
      </c>
      <c r="K4451">
        <v>1</v>
      </c>
      <c r="L4451">
        <v>2</v>
      </c>
      <c r="M4451">
        <v>224</v>
      </c>
      <c r="N4451">
        <v>356</v>
      </c>
      <c r="O4451">
        <v>1</v>
      </c>
      <c r="P4451">
        <v>356</v>
      </c>
      <c r="Q4451">
        <v>3</v>
      </c>
      <c r="R4451">
        <v>74</v>
      </c>
      <c r="S4451">
        <v>11</v>
      </c>
      <c r="T4451">
        <v>1</v>
      </c>
      <c r="U4451">
        <v>68</v>
      </c>
      <c r="V4451">
        <v>15</v>
      </c>
      <c r="W4451">
        <v>0</v>
      </c>
      <c r="X4451">
        <v>123</v>
      </c>
      <c r="Y4451">
        <v>2</v>
      </c>
      <c r="Z4451">
        <v>48</v>
      </c>
      <c r="AA4451">
        <v>2</v>
      </c>
      <c r="AB4451">
        <v>1</v>
      </c>
      <c r="AD4451">
        <v>3</v>
      </c>
      <c r="AE4451">
        <v>1</v>
      </c>
      <c r="AF4451">
        <v>0</v>
      </c>
      <c r="AG4451">
        <v>0</v>
      </c>
      <c r="AH4451">
        <v>0</v>
      </c>
      <c r="AI4451">
        <v>0</v>
      </c>
      <c r="AJ4451">
        <v>4</v>
      </c>
      <c r="AK4451">
        <v>356</v>
      </c>
      <c r="AL4451">
        <v>356</v>
      </c>
      <c r="AM4451">
        <v>536</v>
      </c>
      <c r="AN4451">
        <v>44</v>
      </c>
      <c r="AP4451">
        <v>1</v>
      </c>
      <c r="AR4451" t="s">
        <v>4552</v>
      </c>
      <c r="AS4451" s="1">
        <v>44354.040277777778</v>
      </c>
      <c r="AT4451" s="1">
        <v>44354.050381944442</v>
      </c>
      <c r="AU4451" s="1">
        <v>44354.05096064815</v>
      </c>
      <c r="AV4451" t="s">
        <v>71</v>
      </c>
      <c r="AW4451" t="s">
        <v>72</v>
      </c>
      <c r="AX4451" t="s">
        <v>73</v>
      </c>
    </row>
    <row r="4452" spans="1:50" x14ac:dyDescent="0.3">
      <c r="A4452" t="str">
        <f>"200293C0200"</f>
        <v>200293C0200</v>
      </c>
      <c r="B4452" t="str">
        <f>"200293C02002"</f>
        <v>200293C02002</v>
      </c>
      <c r="C4452" t="str">
        <f t="shared" si="227"/>
        <v>20</v>
      </c>
      <c r="D4452" t="s">
        <v>67</v>
      </c>
      <c r="E4452" t="str">
        <f t="shared" si="226"/>
        <v>020</v>
      </c>
      <c r="F4452" t="s">
        <v>4506</v>
      </c>
      <c r="G4452" t="str">
        <f>"0293"</f>
        <v>0293</v>
      </c>
      <c r="H4452" t="str">
        <f>"0002"</f>
        <v>0002</v>
      </c>
      <c r="I4452" t="s">
        <v>75</v>
      </c>
      <c r="J4452">
        <v>0</v>
      </c>
      <c r="K4452">
        <v>1</v>
      </c>
      <c r="L4452">
        <v>2</v>
      </c>
      <c r="M4452">
        <v>228</v>
      </c>
      <c r="N4452">
        <v>351</v>
      </c>
      <c r="O4452">
        <v>0</v>
      </c>
      <c r="P4452">
        <v>351</v>
      </c>
      <c r="Q4452">
        <v>4</v>
      </c>
      <c r="R4452">
        <v>75</v>
      </c>
      <c r="S4452">
        <v>11</v>
      </c>
      <c r="T4452">
        <v>0</v>
      </c>
      <c r="U4452">
        <v>54</v>
      </c>
      <c r="V4452">
        <v>16</v>
      </c>
      <c r="W4452">
        <v>0</v>
      </c>
      <c r="X4452">
        <v>131</v>
      </c>
      <c r="Y4452">
        <v>3</v>
      </c>
      <c r="Z4452">
        <v>38</v>
      </c>
      <c r="AA4452">
        <v>8</v>
      </c>
      <c r="AB4452">
        <v>3</v>
      </c>
      <c r="AD4452">
        <v>3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5</v>
      </c>
      <c r="AK4452">
        <v>355</v>
      </c>
      <c r="AL4452">
        <v>351</v>
      </c>
      <c r="AM4452">
        <v>536</v>
      </c>
      <c r="AN4452">
        <v>44</v>
      </c>
      <c r="AP4452">
        <v>1</v>
      </c>
      <c r="AR4452" t="s">
        <v>4553</v>
      </c>
      <c r="AS4452" s="1">
        <v>44354.031944444447</v>
      </c>
      <c r="AT4452" s="1">
        <v>44354.041944444441</v>
      </c>
      <c r="AU4452" s="1">
        <v>44354.042662037034</v>
      </c>
      <c r="AV4452" t="s">
        <v>71</v>
      </c>
      <c r="AW4452" t="s">
        <v>72</v>
      </c>
      <c r="AX4452" t="s">
        <v>73</v>
      </c>
    </row>
    <row r="4453" spans="1:50" x14ac:dyDescent="0.3">
      <c r="A4453" t="str">
        <f>"200294B0000"</f>
        <v>200294B0000</v>
      </c>
      <c r="B4453" t="str">
        <f>"200294B00002"</f>
        <v>200294B00002</v>
      </c>
      <c r="C4453" t="str">
        <f t="shared" si="227"/>
        <v>20</v>
      </c>
      <c r="D4453" t="s">
        <v>67</v>
      </c>
      <c r="E4453" t="str">
        <f t="shared" si="226"/>
        <v>020</v>
      </c>
      <c r="F4453" t="s">
        <v>4506</v>
      </c>
      <c r="G4453" t="str">
        <f t="shared" ref="G4453:G4459" si="229">"0294"</f>
        <v>0294</v>
      </c>
      <c r="H4453" t="str">
        <f>"0000"</f>
        <v>0000</v>
      </c>
      <c r="I4453" t="s">
        <v>69</v>
      </c>
      <c r="J4453">
        <v>0</v>
      </c>
      <c r="K4453">
        <v>1</v>
      </c>
      <c r="L4453">
        <v>2</v>
      </c>
      <c r="M4453">
        <v>265</v>
      </c>
      <c r="N4453">
        <v>366</v>
      </c>
      <c r="O4453">
        <v>5</v>
      </c>
      <c r="P4453">
        <v>366</v>
      </c>
      <c r="Q4453">
        <v>5</v>
      </c>
      <c r="R4453">
        <v>92</v>
      </c>
      <c r="S4453">
        <v>13</v>
      </c>
      <c r="T4453">
        <v>2</v>
      </c>
      <c r="U4453">
        <v>60</v>
      </c>
      <c r="V4453">
        <v>4</v>
      </c>
      <c r="W4453">
        <v>5</v>
      </c>
      <c r="X4453">
        <v>129</v>
      </c>
      <c r="Y4453">
        <v>3</v>
      </c>
      <c r="Z4453">
        <v>29</v>
      </c>
      <c r="AA4453">
        <v>6</v>
      </c>
      <c r="AB4453">
        <v>6</v>
      </c>
      <c r="AD4453" t="s">
        <v>77</v>
      </c>
      <c r="AE4453" t="s">
        <v>77</v>
      </c>
      <c r="AF4453" t="s">
        <v>77</v>
      </c>
      <c r="AG4453" t="s">
        <v>77</v>
      </c>
      <c r="AH4453" t="s">
        <v>77</v>
      </c>
      <c r="AI4453" t="s">
        <v>77</v>
      </c>
      <c r="AJ4453">
        <v>12</v>
      </c>
      <c r="AK4453">
        <v>366</v>
      </c>
      <c r="AL4453">
        <v>366</v>
      </c>
      <c r="AM4453">
        <v>587</v>
      </c>
      <c r="AN4453">
        <v>44</v>
      </c>
      <c r="AO4453" t="s">
        <v>78</v>
      </c>
      <c r="AP4453">
        <v>1</v>
      </c>
      <c r="AR4453" t="s">
        <v>4554</v>
      </c>
      <c r="AS4453" s="1">
        <v>44354.038194444445</v>
      </c>
      <c r="AT4453" s="1">
        <v>44354.048460648148</v>
      </c>
      <c r="AU4453" s="1">
        <v>44354.049178240741</v>
      </c>
      <c r="AV4453" t="s">
        <v>71</v>
      </c>
      <c r="AW4453" t="s">
        <v>72</v>
      </c>
      <c r="AX4453" t="s">
        <v>73</v>
      </c>
    </row>
    <row r="4454" spans="1:50" x14ac:dyDescent="0.3">
      <c r="A4454" t="str">
        <f>"200294C0100"</f>
        <v>200294C0100</v>
      </c>
      <c r="B4454" t="str">
        <f>"200294C01002"</f>
        <v>200294C01002</v>
      </c>
      <c r="C4454" t="str">
        <f t="shared" si="227"/>
        <v>20</v>
      </c>
      <c r="D4454" t="s">
        <v>67</v>
      </c>
      <c r="E4454" t="str">
        <f t="shared" si="226"/>
        <v>020</v>
      </c>
      <c r="F4454" t="s">
        <v>4506</v>
      </c>
      <c r="G4454" t="str">
        <f t="shared" si="229"/>
        <v>0294</v>
      </c>
      <c r="H4454" t="str">
        <f>"0001"</f>
        <v>0001</v>
      </c>
      <c r="I4454" t="s">
        <v>75</v>
      </c>
      <c r="J4454">
        <v>0</v>
      </c>
      <c r="K4454">
        <v>1</v>
      </c>
      <c r="L4454">
        <v>2</v>
      </c>
      <c r="M4454">
        <v>248</v>
      </c>
      <c r="N4454">
        <v>383</v>
      </c>
      <c r="O4454">
        <v>0</v>
      </c>
      <c r="P4454">
        <v>383</v>
      </c>
      <c r="Q4454">
        <v>7</v>
      </c>
      <c r="R4454">
        <v>80</v>
      </c>
      <c r="S4454">
        <v>17</v>
      </c>
      <c r="T4454">
        <v>2</v>
      </c>
      <c r="U4454">
        <v>68</v>
      </c>
      <c r="V4454">
        <v>9</v>
      </c>
      <c r="W4454">
        <v>0</v>
      </c>
      <c r="X4454">
        <v>132</v>
      </c>
      <c r="Y4454">
        <v>2</v>
      </c>
      <c r="Z4454">
        <v>34</v>
      </c>
      <c r="AA4454">
        <v>11</v>
      </c>
      <c r="AB4454">
        <v>7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14</v>
      </c>
      <c r="AJ4454">
        <v>0</v>
      </c>
      <c r="AK4454">
        <v>383</v>
      </c>
      <c r="AL4454">
        <v>383</v>
      </c>
      <c r="AM4454">
        <v>587</v>
      </c>
      <c r="AN4454">
        <v>44</v>
      </c>
      <c r="AP4454">
        <v>1</v>
      </c>
      <c r="AR4454" t="s">
        <v>4555</v>
      </c>
      <c r="AS4454" s="1">
        <v>44354.037499999999</v>
      </c>
      <c r="AT4454" s="1">
        <v>44354.070439814815</v>
      </c>
      <c r="AU4454" s="1">
        <v>44354.084016203706</v>
      </c>
      <c r="AV4454" t="s">
        <v>71</v>
      </c>
      <c r="AW4454" t="s">
        <v>72</v>
      </c>
      <c r="AX4454" t="s">
        <v>73</v>
      </c>
    </row>
    <row r="4455" spans="1:50" x14ac:dyDescent="0.3">
      <c r="A4455" t="str">
        <f>"200294C0200"</f>
        <v>200294C0200</v>
      </c>
      <c r="B4455" t="str">
        <f>"200294C02002"</f>
        <v>200294C02002</v>
      </c>
      <c r="C4455" t="str">
        <f t="shared" si="227"/>
        <v>20</v>
      </c>
      <c r="D4455" t="s">
        <v>67</v>
      </c>
      <c r="E4455" t="str">
        <f t="shared" si="226"/>
        <v>020</v>
      </c>
      <c r="F4455" t="s">
        <v>4506</v>
      </c>
      <c r="G4455" t="str">
        <f t="shared" si="229"/>
        <v>0294</v>
      </c>
      <c r="H4455" t="str">
        <f>"0002"</f>
        <v>0002</v>
      </c>
      <c r="I4455" t="s">
        <v>75</v>
      </c>
      <c r="J4455">
        <v>0</v>
      </c>
      <c r="K4455">
        <v>1</v>
      </c>
      <c r="L4455">
        <v>2</v>
      </c>
      <c r="M4455">
        <v>241</v>
      </c>
      <c r="N4455">
        <v>388</v>
      </c>
      <c r="O4455">
        <v>6</v>
      </c>
      <c r="P4455" t="s">
        <v>80</v>
      </c>
      <c r="Q4455">
        <v>3</v>
      </c>
      <c r="R4455">
        <v>89</v>
      </c>
      <c r="S4455">
        <v>22</v>
      </c>
      <c r="T4455">
        <v>2</v>
      </c>
      <c r="U4455">
        <v>90</v>
      </c>
      <c r="V4455">
        <v>6</v>
      </c>
      <c r="W4455">
        <v>3</v>
      </c>
      <c r="X4455">
        <v>125</v>
      </c>
      <c r="Y4455">
        <v>10</v>
      </c>
      <c r="Z4455">
        <v>22</v>
      </c>
      <c r="AA4455">
        <v>6</v>
      </c>
      <c r="AB4455">
        <v>3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7</v>
      </c>
      <c r="AK4455">
        <v>388</v>
      </c>
      <c r="AL4455">
        <v>388</v>
      </c>
      <c r="AM4455">
        <v>586</v>
      </c>
      <c r="AN4455">
        <v>44</v>
      </c>
      <c r="AP4455">
        <v>1</v>
      </c>
      <c r="AR4455" t="s">
        <v>4556</v>
      </c>
      <c r="AS4455" s="1">
        <v>44354.035416666666</v>
      </c>
      <c r="AT4455" s="1">
        <v>44354.044618055559</v>
      </c>
      <c r="AU4455" s="1">
        <v>44354.045567129629</v>
      </c>
      <c r="AV4455" t="s">
        <v>71</v>
      </c>
      <c r="AW4455" t="s">
        <v>72</v>
      </c>
      <c r="AX4455" t="s">
        <v>73</v>
      </c>
    </row>
    <row r="4456" spans="1:50" x14ac:dyDescent="0.3">
      <c r="A4456" t="str">
        <f>"200294C0300"</f>
        <v>200294C0300</v>
      </c>
      <c r="B4456" t="str">
        <f>"200294C03002"</f>
        <v>200294C03002</v>
      </c>
      <c r="C4456" t="str">
        <f t="shared" si="227"/>
        <v>20</v>
      </c>
      <c r="D4456" t="s">
        <v>67</v>
      </c>
      <c r="E4456" t="str">
        <f t="shared" si="226"/>
        <v>020</v>
      </c>
      <c r="F4456" t="s">
        <v>4506</v>
      </c>
      <c r="G4456" t="str">
        <f t="shared" si="229"/>
        <v>0294</v>
      </c>
      <c r="H4456" t="str">
        <f>"0003"</f>
        <v>0003</v>
      </c>
      <c r="I4456" t="s">
        <v>75</v>
      </c>
      <c r="J4456">
        <v>0</v>
      </c>
      <c r="K4456">
        <v>1</v>
      </c>
      <c r="L4456">
        <v>2</v>
      </c>
      <c r="M4456">
        <v>281</v>
      </c>
      <c r="N4456">
        <v>359</v>
      </c>
      <c r="O4456">
        <v>5</v>
      </c>
      <c r="P4456">
        <v>359</v>
      </c>
      <c r="Q4456">
        <v>2</v>
      </c>
      <c r="R4456">
        <v>80</v>
      </c>
      <c r="S4456">
        <v>12</v>
      </c>
      <c r="T4456">
        <v>2</v>
      </c>
      <c r="U4456">
        <v>77</v>
      </c>
      <c r="V4456">
        <v>6</v>
      </c>
      <c r="W4456">
        <v>2</v>
      </c>
      <c r="X4456">
        <v>121</v>
      </c>
      <c r="Y4456">
        <v>5</v>
      </c>
      <c r="Z4456">
        <v>26</v>
      </c>
      <c r="AA4456">
        <v>10</v>
      </c>
      <c r="AB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16</v>
      </c>
      <c r="AK4456">
        <v>359</v>
      </c>
      <c r="AL4456">
        <v>359</v>
      </c>
      <c r="AM4456">
        <v>586</v>
      </c>
      <c r="AN4456">
        <v>44</v>
      </c>
      <c r="AP4456">
        <v>1</v>
      </c>
      <c r="AR4456" t="s">
        <v>4557</v>
      </c>
      <c r="AS4456" s="1">
        <v>44354.038888888892</v>
      </c>
      <c r="AT4456" s="1">
        <v>44354.049224537041</v>
      </c>
      <c r="AU4456" s="1">
        <v>44354.049803240741</v>
      </c>
      <c r="AV4456" t="s">
        <v>71</v>
      </c>
      <c r="AW4456" t="s">
        <v>72</v>
      </c>
      <c r="AX4456" t="s">
        <v>73</v>
      </c>
    </row>
    <row r="4457" spans="1:50" x14ac:dyDescent="0.3">
      <c r="A4457" t="str">
        <f>"200294E0100"</f>
        <v>200294E0100</v>
      </c>
      <c r="B4457" t="str">
        <f>"200294E01002"</f>
        <v>200294E01002</v>
      </c>
      <c r="C4457" t="str">
        <f t="shared" si="227"/>
        <v>20</v>
      </c>
      <c r="D4457" t="s">
        <v>67</v>
      </c>
      <c r="E4457" t="str">
        <f t="shared" si="226"/>
        <v>020</v>
      </c>
      <c r="F4457" t="s">
        <v>4506</v>
      </c>
      <c r="G4457" t="str">
        <f t="shared" si="229"/>
        <v>0294</v>
      </c>
      <c r="H4457" t="str">
        <f>"0001"</f>
        <v>0001</v>
      </c>
      <c r="I4457" t="s">
        <v>109</v>
      </c>
      <c r="J4457">
        <v>0</v>
      </c>
      <c r="K4457">
        <v>1</v>
      </c>
      <c r="L4457">
        <v>2</v>
      </c>
      <c r="M4457">
        <v>236</v>
      </c>
      <c r="N4457">
        <v>316</v>
      </c>
      <c r="O4457">
        <v>7</v>
      </c>
      <c r="P4457">
        <v>318</v>
      </c>
      <c r="Q4457">
        <v>5</v>
      </c>
      <c r="R4457">
        <v>88</v>
      </c>
      <c r="S4457">
        <v>5</v>
      </c>
      <c r="T4457">
        <v>1</v>
      </c>
      <c r="U4457">
        <v>66</v>
      </c>
      <c r="V4457">
        <v>15</v>
      </c>
      <c r="W4457">
        <v>1</v>
      </c>
      <c r="X4457">
        <v>79</v>
      </c>
      <c r="Y4457">
        <v>3</v>
      </c>
      <c r="Z4457">
        <v>27</v>
      </c>
      <c r="AA4457">
        <v>3</v>
      </c>
      <c r="AB4457">
        <v>3</v>
      </c>
      <c r="AD4457">
        <v>0</v>
      </c>
      <c r="AE4457">
        <v>1</v>
      </c>
      <c r="AF4457">
        <v>0</v>
      </c>
      <c r="AG4457">
        <v>0</v>
      </c>
      <c r="AH4457">
        <v>0</v>
      </c>
      <c r="AI4457">
        <v>0</v>
      </c>
      <c r="AJ4457">
        <v>21</v>
      </c>
      <c r="AK4457">
        <v>318</v>
      </c>
      <c r="AL4457">
        <v>318</v>
      </c>
      <c r="AM4457">
        <v>510</v>
      </c>
      <c r="AN4457">
        <v>44</v>
      </c>
      <c r="AP4457">
        <v>1</v>
      </c>
      <c r="AR4457" t="s">
        <v>4558</v>
      </c>
      <c r="AS4457" s="1">
        <v>44354.075694444444</v>
      </c>
      <c r="AT4457" s="1">
        <v>44354.085127314815</v>
      </c>
      <c r="AU4457" s="1">
        <v>44354.085578703707</v>
      </c>
      <c r="AV4457" t="s">
        <v>71</v>
      </c>
      <c r="AW4457" t="s">
        <v>72</v>
      </c>
      <c r="AX4457" t="s">
        <v>73</v>
      </c>
    </row>
    <row r="4458" spans="1:50" x14ac:dyDescent="0.3">
      <c r="A4458" t="str">
        <f>"200294E0101"</f>
        <v>200294E0101</v>
      </c>
      <c r="B4458" t="str">
        <f>"200294E01012"</f>
        <v>200294E01012</v>
      </c>
      <c r="C4458" t="str">
        <f t="shared" si="227"/>
        <v>20</v>
      </c>
      <c r="D4458" t="s">
        <v>67</v>
      </c>
      <c r="E4458" t="str">
        <f t="shared" si="226"/>
        <v>020</v>
      </c>
      <c r="F4458" t="s">
        <v>4506</v>
      </c>
      <c r="G4458" t="str">
        <f t="shared" si="229"/>
        <v>0294</v>
      </c>
      <c r="H4458" t="str">
        <f>"0001"</f>
        <v>0001</v>
      </c>
      <c r="I4458" t="s">
        <v>109</v>
      </c>
      <c r="J4458">
        <v>1</v>
      </c>
      <c r="K4458">
        <v>1</v>
      </c>
      <c r="L4458">
        <v>2</v>
      </c>
      <c r="M4458">
        <v>223</v>
      </c>
      <c r="N4458">
        <v>330</v>
      </c>
      <c r="O4458">
        <v>7</v>
      </c>
      <c r="P4458">
        <v>330</v>
      </c>
      <c r="Q4458">
        <v>5</v>
      </c>
      <c r="R4458">
        <v>92</v>
      </c>
      <c r="S4458">
        <v>10</v>
      </c>
      <c r="T4458">
        <v>0</v>
      </c>
      <c r="U4458">
        <v>63</v>
      </c>
      <c r="V4458">
        <v>11</v>
      </c>
      <c r="W4458">
        <v>2</v>
      </c>
      <c r="X4458">
        <v>94</v>
      </c>
      <c r="Y4458">
        <v>4</v>
      </c>
      <c r="Z4458">
        <v>29</v>
      </c>
      <c r="AA4458">
        <v>5</v>
      </c>
      <c r="AB4458">
        <v>2</v>
      </c>
      <c r="AD4458">
        <v>3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10</v>
      </c>
      <c r="AK4458">
        <v>330</v>
      </c>
      <c r="AL4458">
        <v>330</v>
      </c>
      <c r="AM4458">
        <v>510</v>
      </c>
      <c r="AN4458">
        <v>44</v>
      </c>
      <c r="AP4458">
        <v>1</v>
      </c>
      <c r="AR4458" t="s">
        <v>4559</v>
      </c>
      <c r="AS4458" s="1">
        <v>44354.086805555555</v>
      </c>
      <c r="AT4458" s="1">
        <v>44354.094074074077</v>
      </c>
      <c r="AU4458" s="1">
        <v>44354.094907407409</v>
      </c>
      <c r="AV4458" t="s">
        <v>71</v>
      </c>
      <c r="AW4458" t="s">
        <v>72</v>
      </c>
      <c r="AX4458" t="s">
        <v>73</v>
      </c>
    </row>
    <row r="4459" spans="1:50" x14ac:dyDescent="0.3">
      <c r="A4459" t="str">
        <f>"200294E0102"</f>
        <v>200294E0102</v>
      </c>
      <c r="B4459" t="str">
        <f>"200294E01022"</f>
        <v>200294E01022</v>
      </c>
      <c r="C4459" t="str">
        <f t="shared" si="227"/>
        <v>20</v>
      </c>
      <c r="D4459" t="s">
        <v>67</v>
      </c>
      <c r="E4459" t="str">
        <f t="shared" si="226"/>
        <v>020</v>
      </c>
      <c r="F4459" t="s">
        <v>4506</v>
      </c>
      <c r="G4459" t="str">
        <f t="shared" si="229"/>
        <v>0294</v>
      </c>
      <c r="H4459" t="str">
        <f>"0001"</f>
        <v>0001</v>
      </c>
      <c r="I4459" t="s">
        <v>109</v>
      </c>
      <c r="J4459">
        <v>2</v>
      </c>
      <c r="K4459">
        <v>1</v>
      </c>
      <c r="L4459">
        <v>2</v>
      </c>
      <c r="M4459">
        <v>202</v>
      </c>
      <c r="N4459">
        <v>354</v>
      </c>
      <c r="O4459">
        <v>7</v>
      </c>
      <c r="P4459">
        <v>354</v>
      </c>
      <c r="Q4459">
        <v>11</v>
      </c>
      <c r="R4459">
        <v>94</v>
      </c>
      <c r="S4459">
        <v>11</v>
      </c>
      <c r="T4459">
        <v>0</v>
      </c>
      <c r="U4459">
        <v>59</v>
      </c>
      <c r="V4459">
        <v>16</v>
      </c>
      <c r="W4459">
        <v>3</v>
      </c>
      <c r="X4459">
        <v>53</v>
      </c>
      <c r="Y4459">
        <v>2</v>
      </c>
      <c r="Z4459">
        <v>42</v>
      </c>
      <c r="AA4459">
        <v>2</v>
      </c>
      <c r="AB4459">
        <v>3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8</v>
      </c>
      <c r="AK4459">
        <v>354</v>
      </c>
      <c r="AL4459">
        <v>304</v>
      </c>
      <c r="AM4459">
        <v>510</v>
      </c>
      <c r="AN4459">
        <v>44</v>
      </c>
      <c r="AP4459">
        <v>1</v>
      </c>
      <c r="AR4459" t="s">
        <v>4560</v>
      </c>
      <c r="AS4459" s="1">
        <v>44354.075694444444</v>
      </c>
      <c r="AT4459" s="1">
        <v>44354.084733796299</v>
      </c>
      <c r="AU4459" s="1">
        <v>44354.085381944446</v>
      </c>
      <c r="AV4459" t="s">
        <v>71</v>
      </c>
      <c r="AW4459" t="s">
        <v>72</v>
      </c>
      <c r="AX4459" t="s">
        <v>73</v>
      </c>
    </row>
    <row r="4460" spans="1:50" x14ac:dyDescent="0.3">
      <c r="A4460" t="str">
        <f>"200295B0000"</f>
        <v>200295B0000</v>
      </c>
      <c r="B4460" t="str">
        <f>"200295B00002"</f>
        <v>200295B00002</v>
      </c>
      <c r="C4460" t="str">
        <f t="shared" si="227"/>
        <v>20</v>
      </c>
      <c r="D4460" t="s">
        <v>67</v>
      </c>
      <c r="E4460" t="str">
        <f t="shared" si="226"/>
        <v>020</v>
      </c>
      <c r="F4460" t="s">
        <v>4506</v>
      </c>
      <c r="G4460" t="str">
        <f>"0295"</f>
        <v>0295</v>
      </c>
      <c r="H4460" t="str">
        <f>"0000"</f>
        <v>0000</v>
      </c>
      <c r="I4460" t="s">
        <v>69</v>
      </c>
      <c r="J4460">
        <v>0</v>
      </c>
      <c r="K4460">
        <v>1</v>
      </c>
      <c r="L4460">
        <v>2</v>
      </c>
      <c r="M4460">
        <v>195</v>
      </c>
      <c r="N4460">
        <v>267</v>
      </c>
      <c r="O4460">
        <v>11</v>
      </c>
      <c r="P4460">
        <v>267</v>
      </c>
      <c r="Q4460">
        <v>7</v>
      </c>
      <c r="R4460">
        <v>52</v>
      </c>
      <c r="S4460">
        <v>7</v>
      </c>
      <c r="T4460">
        <v>0</v>
      </c>
      <c r="U4460">
        <v>33</v>
      </c>
      <c r="V4460">
        <v>16</v>
      </c>
      <c r="W4460">
        <v>3</v>
      </c>
      <c r="X4460">
        <v>111</v>
      </c>
      <c r="Y4460">
        <v>5</v>
      </c>
      <c r="Z4460">
        <v>16</v>
      </c>
      <c r="AA4460">
        <v>8</v>
      </c>
      <c r="AB4460">
        <v>2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7</v>
      </c>
      <c r="AK4460">
        <v>0</v>
      </c>
      <c r="AL4460">
        <v>267</v>
      </c>
      <c r="AM4460">
        <v>419</v>
      </c>
      <c r="AN4460">
        <v>44</v>
      </c>
      <c r="AP4460">
        <v>1</v>
      </c>
      <c r="AR4460" t="s">
        <v>4561</v>
      </c>
      <c r="AS4460" s="1">
        <v>44353.947916666664</v>
      </c>
      <c r="AT4460" s="1">
        <v>44353.955069444448</v>
      </c>
      <c r="AU4460" s="1">
        <v>44353.955636574072</v>
      </c>
      <c r="AV4460" t="s">
        <v>71</v>
      </c>
      <c r="AW4460" t="s">
        <v>72</v>
      </c>
      <c r="AX4460" t="s">
        <v>73</v>
      </c>
    </row>
    <row r="4461" spans="1:50" x14ac:dyDescent="0.3">
      <c r="A4461" t="str">
        <f>"200295C0100"</f>
        <v>200295C0100</v>
      </c>
      <c r="B4461" t="str">
        <f>"200295C01002"</f>
        <v>200295C01002</v>
      </c>
      <c r="C4461" t="str">
        <f t="shared" si="227"/>
        <v>20</v>
      </c>
      <c r="D4461" t="s">
        <v>67</v>
      </c>
      <c r="E4461" t="str">
        <f t="shared" si="226"/>
        <v>020</v>
      </c>
      <c r="F4461" t="s">
        <v>4506</v>
      </c>
      <c r="G4461" t="str">
        <f>"0295"</f>
        <v>0295</v>
      </c>
      <c r="H4461" t="str">
        <f>"0001"</f>
        <v>0001</v>
      </c>
      <c r="I4461" t="s">
        <v>75</v>
      </c>
      <c r="J4461">
        <v>0</v>
      </c>
      <c r="K4461">
        <v>1</v>
      </c>
      <c r="L4461">
        <v>2</v>
      </c>
      <c r="M4461">
        <v>180</v>
      </c>
      <c r="N4461">
        <v>283</v>
      </c>
      <c r="O4461">
        <v>7</v>
      </c>
      <c r="P4461">
        <v>283</v>
      </c>
      <c r="Q4461">
        <v>3</v>
      </c>
      <c r="R4461">
        <v>57</v>
      </c>
      <c r="S4461">
        <v>8</v>
      </c>
      <c r="T4461">
        <v>2</v>
      </c>
      <c r="U4461">
        <v>39</v>
      </c>
      <c r="V4461">
        <v>8</v>
      </c>
      <c r="W4461">
        <v>0</v>
      </c>
      <c r="X4461">
        <v>116</v>
      </c>
      <c r="Y4461">
        <v>4</v>
      </c>
      <c r="Z4461">
        <v>22</v>
      </c>
      <c r="AA4461">
        <v>10</v>
      </c>
      <c r="AB4461">
        <v>3</v>
      </c>
      <c r="AD4461">
        <v>2</v>
      </c>
      <c r="AE4461">
        <v>0</v>
      </c>
      <c r="AF4461">
        <v>1</v>
      </c>
      <c r="AG4461">
        <v>0</v>
      </c>
      <c r="AH4461">
        <v>0</v>
      </c>
      <c r="AI4461">
        <v>0</v>
      </c>
      <c r="AJ4461">
        <v>8</v>
      </c>
      <c r="AK4461">
        <v>283</v>
      </c>
      <c r="AL4461">
        <v>283</v>
      </c>
      <c r="AM4461">
        <v>419</v>
      </c>
      <c r="AN4461">
        <v>44</v>
      </c>
      <c r="AP4461">
        <v>1</v>
      </c>
      <c r="AR4461" t="s">
        <v>4562</v>
      </c>
      <c r="AS4461" s="1">
        <v>44353.947916666664</v>
      </c>
      <c r="AT4461" s="1">
        <v>44353.949884259258</v>
      </c>
      <c r="AU4461" s="1">
        <v>44353.950590277775</v>
      </c>
      <c r="AV4461" t="s">
        <v>71</v>
      </c>
      <c r="AW4461" t="s">
        <v>72</v>
      </c>
      <c r="AX4461" t="s">
        <v>347</v>
      </c>
    </row>
    <row r="4462" spans="1:50" x14ac:dyDescent="0.3">
      <c r="A4462" t="str">
        <f>"200295S0100"</f>
        <v>200295S0100</v>
      </c>
      <c r="B4462" t="str">
        <f>"200295S01002EMR"</f>
        <v>200295S01002EMR</v>
      </c>
      <c r="C4462" t="str">
        <f t="shared" si="227"/>
        <v>20</v>
      </c>
      <c r="D4462" t="s">
        <v>67</v>
      </c>
      <c r="E4462" t="str">
        <f t="shared" si="226"/>
        <v>020</v>
      </c>
      <c r="F4462" t="s">
        <v>4506</v>
      </c>
      <c r="G4462" t="str">
        <f>"0295"</f>
        <v>0295</v>
      </c>
      <c r="H4462" t="str">
        <f>"0001"</f>
        <v>0001</v>
      </c>
      <c r="I4462" t="s">
        <v>85</v>
      </c>
      <c r="J4462">
        <v>0</v>
      </c>
      <c r="K4462">
        <v>1</v>
      </c>
      <c r="L4462" t="s">
        <v>86</v>
      </c>
      <c r="M4462">
        <v>690</v>
      </c>
      <c r="N4462">
        <v>277</v>
      </c>
      <c r="O4462">
        <v>0</v>
      </c>
      <c r="P4462">
        <v>285</v>
      </c>
      <c r="Q4462">
        <v>1</v>
      </c>
      <c r="R4462">
        <v>15</v>
      </c>
      <c r="S4462">
        <v>2</v>
      </c>
      <c r="T4462">
        <v>4</v>
      </c>
      <c r="U4462">
        <v>151</v>
      </c>
      <c r="V4462">
        <v>0</v>
      </c>
      <c r="W4462">
        <v>0</v>
      </c>
      <c r="X4462">
        <v>37</v>
      </c>
      <c r="Y4462">
        <v>4</v>
      </c>
      <c r="Z4462">
        <v>59</v>
      </c>
      <c r="AA4462">
        <v>1</v>
      </c>
      <c r="AB4462">
        <v>2</v>
      </c>
      <c r="AD4462">
        <v>1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8</v>
      </c>
      <c r="AK4462">
        <v>285</v>
      </c>
      <c r="AL4462">
        <v>285</v>
      </c>
      <c r="AM4462">
        <v>0</v>
      </c>
      <c r="AN4462">
        <v>44</v>
      </c>
      <c r="AP4462">
        <v>1</v>
      </c>
      <c r="AR4462" t="s">
        <v>4563</v>
      </c>
      <c r="AS4462" s="1">
        <v>44354.333333333336</v>
      </c>
      <c r="AT4462" s="1">
        <v>44354.34202546296</v>
      </c>
      <c r="AU4462" s="1">
        <v>44354.342407407406</v>
      </c>
      <c r="AV4462" t="s">
        <v>71</v>
      </c>
      <c r="AW4462" t="s">
        <v>72</v>
      </c>
      <c r="AX4462" t="s">
        <v>73</v>
      </c>
    </row>
    <row r="4463" spans="1:50" x14ac:dyDescent="0.3">
      <c r="A4463" t="str">
        <f>"200296B0000"</f>
        <v>200296B0000</v>
      </c>
      <c r="B4463" t="str">
        <f>"200296B00002"</f>
        <v>200296B00002</v>
      </c>
      <c r="C4463" t="str">
        <f t="shared" si="227"/>
        <v>20</v>
      </c>
      <c r="D4463" t="s">
        <v>67</v>
      </c>
      <c r="E4463" t="str">
        <f t="shared" si="226"/>
        <v>020</v>
      </c>
      <c r="F4463" t="s">
        <v>4506</v>
      </c>
      <c r="G4463" t="str">
        <f>"0296"</f>
        <v>0296</v>
      </c>
      <c r="H4463" t="str">
        <f>"0000"</f>
        <v>0000</v>
      </c>
      <c r="I4463" t="s">
        <v>69</v>
      </c>
      <c r="J4463">
        <v>0</v>
      </c>
      <c r="K4463">
        <v>1</v>
      </c>
      <c r="L4463">
        <v>2</v>
      </c>
      <c r="M4463" t="s">
        <v>80</v>
      </c>
      <c r="N4463" t="s">
        <v>80</v>
      </c>
      <c r="O4463" t="s">
        <v>80</v>
      </c>
      <c r="P4463" t="s">
        <v>80</v>
      </c>
      <c r="Q4463">
        <v>4</v>
      </c>
      <c r="R4463">
        <v>83</v>
      </c>
      <c r="S4463">
        <v>8</v>
      </c>
      <c r="T4463">
        <v>0</v>
      </c>
      <c r="U4463">
        <v>39</v>
      </c>
      <c r="V4463">
        <v>6</v>
      </c>
      <c r="W4463">
        <v>2</v>
      </c>
      <c r="X4463">
        <v>107</v>
      </c>
      <c r="Y4463">
        <v>4</v>
      </c>
      <c r="Z4463">
        <v>39</v>
      </c>
      <c r="AA4463">
        <v>12</v>
      </c>
      <c r="AB4463">
        <v>4</v>
      </c>
      <c r="AD4463">
        <v>2</v>
      </c>
      <c r="AE4463">
        <v>0</v>
      </c>
      <c r="AF4463">
        <v>0</v>
      </c>
      <c r="AG4463">
        <v>0</v>
      </c>
      <c r="AH4463">
        <v>0</v>
      </c>
      <c r="AI4463" t="s">
        <v>77</v>
      </c>
      <c r="AJ4463">
        <v>6</v>
      </c>
      <c r="AK4463">
        <v>316</v>
      </c>
      <c r="AL4463">
        <v>316</v>
      </c>
      <c r="AM4463">
        <v>483</v>
      </c>
      <c r="AN4463">
        <v>44</v>
      </c>
      <c r="AO4463" t="s">
        <v>78</v>
      </c>
      <c r="AP4463">
        <v>1</v>
      </c>
      <c r="AR4463" t="s">
        <v>4564</v>
      </c>
      <c r="AS4463" s="1">
        <v>44353.991666666669</v>
      </c>
      <c r="AT4463" s="1">
        <v>44353.996770833335</v>
      </c>
      <c r="AU4463" s="1">
        <v>44353.997800925928</v>
      </c>
      <c r="AV4463" t="s">
        <v>71</v>
      </c>
      <c r="AW4463" t="s">
        <v>72</v>
      </c>
      <c r="AX4463" t="s">
        <v>73</v>
      </c>
    </row>
    <row r="4464" spans="1:50" x14ac:dyDescent="0.3">
      <c r="A4464" t="str">
        <f>"200296C0100"</f>
        <v>200296C0100</v>
      </c>
      <c r="B4464" t="str">
        <f>"200296C01002"</f>
        <v>200296C01002</v>
      </c>
      <c r="C4464" t="str">
        <f t="shared" si="227"/>
        <v>20</v>
      </c>
      <c r="D4464" t="s">
        <v>67</v>
      </c>
      <c r="E4464" t="str">
        <f t="shared" si="226"/>
        <v>020</v>
      </c>
      <c r="F4464" t="s">
        <v>4506</v>
      </c>
      <c r="G4464" t="str">
        <f>"0296"</f>
        <v>0296</v>
      </c>
      <c r="H4464" t="str">
        <f>"0001"</f>
        <v>0001</v>
      </c>
      <c r="I4464" t="s">
        <v>75</v>
      </c>
      <c r="J4464">
        <v>0</v>
      </c>
      <c r="K4464">
        <v>1</v>
      </c>
      <c r="L4464">
        <v>2</v>
      </c>
      <c r="M4464">
        <v>187</v>
      </c>
      <c r="N4464">
        <v>227</v>
      </c>
      <c r="O4464">
        <v>3</v>
      </c>
      <c r="P4464">
        <v>227</v>
      </c>
      <c r="Q4464">
        <v>2</v>
      </c>
      <c r="R4464">
        <v>78</v>
      </c>
      <c r="S4464">
        <v>8</v>
      </c>
      <c r="T4464">
        <v>0</v>
      </c>
      <c r="U4464">
        <v>40</v>
      </c>
      <c r="V4464">
        <v>6</v>
      </c>
      <c r="W4464">
        <v>2</v>
      </c>
      <c r="X4464">
        <v>106</v>
      </c>
      <c r="Y4464">
        <v>7</v>
      </c>
      <c r="Z4464">
        <v>53</v>
      </c>
      <c r="AA4464">
        <v>22</v>
      </c>
      <c r="AB4464">
        <v>3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239</v>
      </c>
      <c r="AL4464">
        <v>327</v>
      </c>
      <c r="AM4464">
        <v>482</v>
      </c>
      <c r="AN4464">
        <v>44</v>
      </c>
      <c r="AP4464">
        <v>1</v>
      </c>
      <c r="AR4464" t="s">
        <v>4565</v>
      </c>
      <c r="AS4464" s="1">
        <v>44353.990972222222</v>
      </c>
      <c r="AT4464" s="1">
        <v>44353.995949074073</v>
      </c>
      <c r="AU4464" s="1">
        <v>44353.996724537035</v>
      </c>
      <c r="AV4464" t="s">
        <v>71</v>
      </c>
      <c r="AW4464" t="s">
        <v>72</v>
      </c>
      <c r="AX4464" t="s">
        <v>73</v>
      </c>
    </row>
    <row r="4465" spans="1:50" x14ac:dyDescent="0.3">
      <c r="A4465" t="str">
        <f>"200297B0000"</f>
        <v>200297B0000</v>
      </c>
      <c r="B4465" t="str">
        <f>"200297B00002"</f>
        <v>200297B00002</v>
      </c>
      <c r="C4465" t="str">
        <f t="shared" si="227"/>
        <v>20</v>
      </c>
      <c r="D4465" t="s">
        <v>67</v>
      </c>
      <c r="E4465" t="str">
        <f t="shared" si="226"/>
        <v>020</v>
      </c>
      <c r="F4465" t="s">
        <v>4506</v>
      </c>
      <c r="G4465" t="str">
        <f>"0297"</f>
        <v>0297</v>
      </c>
      <c r="H4465" t="str">
        <f>"0000"</f>
        <v>0000</v>
      </c>
      <c r="I4465" t="s">
        <v>69</v>
      </c>
      <c r="J4465">
        <v>0</v>
      </c>
      <c r="K4465">
        <v>1</v>
      </c>
      <c r="L4465">
        <v>2</v>
      </c>
      <c r="M4465">
        <v>275</v>
      </c>
      <c r="N4465">
        <v>506</v>
      </c>
      <c r="O4465">
        <v>7</v>
      </c>
      <c r="P4465">
        <v>499</v>
      </c>
      <c r="Q4465">
        <v>8</v>
      </c>
      <c r="R4465">
        <v>145</v>
      </c>
      <c r="S4465">
        <v>19</v>
      </c>
      <c r="T4465">
        <v>2</v>
      </c>
      <c r="U4465">
        <v>31</v>
      </c>
      <c r="V4465">
        <v>33</v>
      </c>
      <c r="W4465">
        <v>7</v>
      </c>
      <c r="X4465">
        <v>189</v>
      </c>
      <c r="Y4465">
        <v>3</v>
      </c>
      <c r="Z4465">
        <v>26</v>
      </c>
      <c r="AA4465">
        <v>26</v>
      </c>
      <c r="AB4465">
        <v>5</v>
      </c>
      <c r="AD4465">
        <v>4</v>
      </c>
      <c r="AE4465">
        <v>1</v>
      </c>
      <c r="AF4465">
        <v>0</v>
      </c>
      <c r="AG4465">
        <v>0</v>
      </c>
      <c r="AH4465">
        <v>0</v>
      </c>
      <c r="AI4465">
        <v>0</v>
      </c>
      <c r="AJ4465">
        <v>8</v>
      </c>
      <c r="AK4465">
        <v>499</v>
      </c>
      <c r="AL4465">
        <v>507</v>
      </c>
      <c r="AM4465">
        <v>738</v>
      </c>
      <c r="AN4465">
        <v>44</v>
      </c>
      <c r="AP4465">
        <v>1</v>
      </c>
      <c r="AR4465" t="s">
        <v>4566</v>
      </c>
      <c r="AS4465" s="1">
        <v>44354.008333333331</v>
      </c>
      <c r="AT4465" s="1">
        <v>44354.0153587963</v>
      </c>
      <c r="AU4465" s="1">
        <v>44354.015613425923</v>
      </c>
      <c r="AV4465" t="s">
        <v>71</v>
      </c>
      <c r="AW4465" t="s">
        <v>72</v>
      </c>
      <c r="AX4465" t="s">
        <v>73</v>
      </c>
    </row>
    <row r="4466" spans="1:50" x14ac:dyDescent="0.3">
      <c r="A4466" t="str">
        <f>"200298B0000"</f>
        <v>200298B0000</v>
      </c>
      <c r="B4466" t="str">
        <f>"200298B00002"</f>
        <v>200298B00002</v>
      </c>
      <c r="C4466" t="str">
        <f t="shared" si="227"/>
        <v>20</v>
      </c>
      <c r="D4466" t="s">
        <v>67</v>
      </c>
      <c r="E4466" t="str">
        <f t="shared" si="226"/>
        <v>020</v>
      </c>
      <c r="F4466" t="s">
        <v>4506</v>
      </c>
      <c r="G4466" t="str">
        <f>"0298"</f>
        <v>0298</v>
      </c>
      <c r="H4466" t="str">
        <f>"0000"</f>
        <v>0000</v>
      </c>
      <c r="I4466" t="s">
        <v>69</v>
      </c>
      <c r="J4466">
        <v>0</v>
      </c>
      <c r="K4466">
        <v>1</v>
      </c>
      <c r="L4466">
        <v>2</v>
      </c>
      <c r="M4466">
        <v>210</v>
      </c>
      <c r="N4466">
        <v>325</v>
      </c>
      <c r="O4466">
        <v>6</v>
      </c>
      <c r="P4466">
        <v>325</v>
      </c>
      <c r="Q4466">
        <v>5</v>
      </c>
      <c r="R4466">
        <v>135</v>
      </c>
      <c r="S4466">
        <v>6</v>
      </c>
      <c r="T4466">
        <v>3</v>
      </c>
      <c r="U4466">
        <v>27</v>
      </c>
      <c r="V4466">
        <v>14</v>
      </c>
      <c r="W4466">
        <v>4</v>
      </c>
      <c r="X4466">
        <v>96</v>
      </c>
      <c r="Y4466">
        <v>9</v>
      </c>
      <c r="Z4466">
        <v>9</v>
      </c>
      <c r="AA4466">
        <v>5</v>
      </c>
      <c r="AB4466">
        <v>1</v>
      </c>
      <c r="AD4466">
        <v>1</v>
      </c>
      <c r="AE4466">
        <v>0</v>
      </c>
      <c r="AF4466">
        <v>1</v>
      </c>
      <c r="AG4466">
        <v>0</v>
      </c>
      <c r="AH4466">
        <v>0</v>
      </c>
      <c r="AI4466">
        <v>0</v>
      </c>
      <c r="AJ4466">
        <v>9</v>
      </c>
      <c r="AK4466">
        <v>325</v>
      </c>
      <c r="AL4466">
        <v>325</v>
      </c>
      <c r="AM4466">
        <v>491</v>
      </c>
      <c r="AN4466">
        <v>44</v>
      </c>
      <c r="AP4466">
        <v>1</v>
      </c>
      <c r="AR4466" t="s">
        <v>4567</v>
      </c>
      <c r="AS4466" s="1">
        <v>44354.036111111112</v>
      </c>
      <c r="AT4466" s="1">
        <v>44354.04451388889</v>
      </c>
      <c r="AU4466" s="1">
        <v>44354.045358796298</v>
      </c>
      <c r="AV4466" t="s">
        <v>71</v>
      </c>
      <c r="AW4466" t="s">
        <v>72</v>
      </c>
      <c r="AX4466" t="s">
        <v>73</v>
      </c>
    </row>
    <row r="4467" spans="1:50" x14ac:dyDescent="0.3">
      <c r="A4467" t="str">
        <f>"200299B0000"</f>
        <v>200299B0000</v>
      </c>
      <c r="B4467" t="str">
        <f>"200299B00002"</f>
        <v>200299B00002</v>
      </c>
      <c r="C4467" t="str">
        <f t="shared" si="227"/>
        <v>20</v>
      </c>
      <c r="D4467" t="s">
        <v>67</v>
      </c>
      <c r="E4467" t="str">
        <f t="shared" si="226"/>
        <v>020</v>
      </c>
      <c r="F4467" t="s">
        <v>4506</v>
      </c>
      <c r="G4467" t="str">
        <f>"0299"</f>
        <v>0299</v>
      </c>
      <c r="H4467" t="str">
        <f>"0000"</f>
        <v>0000</v>
      </c>
      <c r="I4467" t="s">
        <v>69</v>
      </c>
      <c r="J4467">
        <v>0</v>
      </c>
      <c r="K4467">
        <v>1</v>
      </c>
      <c r="L4467">
        <v>2</v>
      </c>
      <c r="M4467">
        <v>206</v>
      </c>
      <c r="N4467">
        <v>368</v>
      </c>
      <c r="O4467">
        <v>7</v>
      </c>
      <c r="P4467">
        <v>368</v>
      </c>
      <c r="Q4467">
        <v>1</v>
      </c>
      <c r="R4467">
        <v>92</v>
      </c>
      <c r="S4467">
        <v>6</v>
      </c>
      <c r="T4467">
        <v>1</v>
      </c>
      <c r="U4467">
        <v>60</v>
      </c>
      <c r="V4467">
        <v>7</v>
      </c>
      <c r="W4467">
        <v>2</v>
      </c>
      <c r="X4467">
        <v>147</v>
      </c>
      <c r="Y4467">
        <v>4</v>
      </c>
      <c r="Z4467">
        <v>20</v>
      </c>
      <c r="AA4467">
        <v>2</v>
      </c>
      <c r="AB4467">
        <v>3</v>
      </c>
      <c r="AD4467">
        <v>2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10</v>
      </c>
      <c r="AK4467">
        <v>367</v>
      </c>
      <c r="AL4467">
        <v>357</v>
      </c>
      <c r="AM4467">
        <v>530</v>
      </c>
      <c r="AN4467">
        <v>44</v>
      </c>
      <c r="AP4467">
        <v>1</v>
      </c>
      <c r="AR4467" t="s">
        <v>4568</v>
      </c>
      <c r="AS4467" s="1">
        <v>44354.041666666664</v>
      </c>
      <c r="AT4467" s="1">
        <v>44354.071192129632</v>
      </c>
      <c r="AU4467" s="1">
        <v>44354.084849537037</v>
      </c>
      <c r="AV4467" t="s">
        <v>71</v>
      </c>
      <c r="AW4467" t="s">
        <v>72</v>
      </c>
      <c r="AX4467" t="s">
        <v>73</v>
      </c>
    </row>
    <row r="4468" spans="1:50" x14ac:dyDescent="0.3">
      <c r="A4468" t="str">
        <f>"200299C0100"</f>
        <v>200299C0100</v>
      </c>
      <c r="B4468" t="str">
        <f>"200299C01002"</f>
        <v>200299C01002</v>
      </c>
      <c r="C4468" t="str">
        <f t="shared" si="227"/>
        <v>20</v>
      </c>
      <c r="D4468" t="s">
        <v>67</v>
      </c>
      <c r="E4468" t="str">
        <f t="shared" si="226"/>
        <v>020</v>
      </c>
      <c r="F4468" t="s">
        <v>4506</v>
      </c>
      <c r="G4468" t="str">
        <f>"0299"</f>
        <v>0299</v>
      </c>
      <c r="H4468" t="str">
        <f>"0001"</f>
        <v>0001</v>
      </c>
      <c r="I4468" t="s">
        <v>75</v>
      </c>
      <c r="J4468">
        <v>0</v>
      </c>
      <c r="K4468">
        <v>1</v>
      </c>
      <c r="L4468">
        <v>2</v>
      </c>
      <c r="M4468">
        <v>187</v>
      </c>
      <c r="N4468">
        <v>387</v>
      </c>
      <c r="O4468">
        <v>8</v>
      </c>
      <c r="P4468">
        <v>387</v>
      </c>
      <c r="Q4468">
        <v>1</v>
      </c>
      <c r="R4468">
        <v>71</v>
      </c>
      <c r="S4468">
        <v>4</v>
      </c>
      <c r="T4468">
        <v>0</v>
      </c>
      <c r="U4468">
        <v>92</v>
      </c>
      <c r="V4468">
        <v>11</v>
      </c>
      <c r="W4468">
        <v>4</v>
      </c>
      <c r="X4468">
        <v>146</v>
      </c>
      <c r="Y4468">
        <v>9</v>
      </c>
      <c r="Z4468">
        <v>26</v>
      </c>
      <c r="AA4468">
        <v>3</v>
      </c>
      <c r="AB4468">
        <v>7</v>
      </c>
      <c r="AD4468">
        <v>0</v>
      </c>
      <c r="AE4468">
        <v>1</v>
      </c>
      <c r="AF4468">
        <v>0</v>
      </c>
      <c r="AG4468">
        <v>1</v>
      </c>
      <c r="AH4468">
        <v>1</v>
      </c>
      <c r="AI4468">
        <v>0</v>
      </c>
      <c r="AJ4468">
        <v>10</v>
      </c>
      <c r="AK4468">
        <v>387</v>
      </c>
      <c r="AL4468">
        <v>387</v>
      </c>
      <c r="AM4468">
        <v>530</v>
      </c>
      <c r="AN4468">
        <v>44</v>
      </c>
      <c r="AP4468">
        <v>1</v>
      </c>
      <c r="AR4468" t="s">
        <v>4569</v>
      </c>
      <c r="AS4468" s="1">
        <v>44354.036805555559</v>
      </c>
      <c r="AT4468" s="1">
        <v>44354.048206018517</v>
      </c>
      <c r="AU4468" s="1">
        <v>44354.048750000002</v>
      </c>
      <c r="AV4468" t="s">
        <v>71</v>
      </c>
      <c r="AW4468" t="s">
        <v>72</v>
      </c>
      <c r="AX4468" t="s">
        <v>73</v>
      </c>
    </row>
    <row r="4469" spans="1:50" x14ac:dyDescent="0.3">
      <c r="A4469" t="str">
        <f>"200300B0000"</f>
        <v>200300B0000</v>
      </c>
      <c r="B4469" t="str">
        <f>"200300B00002"</f>
        <v>200300B00002</v>
      </c>
      <c r="C4469" t="str">
        <f t="shared" si="227"/>
        <v>20</v>
      </c>
      <c r="D4469" t="s">
        <v>67</v>
      </c>
      <c r="E4469" t="str">
        <f t="shared" si="226"/>
        <v>020</v>
      </c>
      <c r="F4469" t="s">
        <v>4506</v>
      </c>
      <c r="G4469" t="str">
        <f>"0300"</f>
        <v>0300</v>
      </c>
      <c r="H4469" t="str">
        <f>"0000"</f>
        <v>0000</v>
      </c>
      <c r="I4469" t="s">
        <v>69</v>
      </c>
      <c r="J4469">
        <v>0</v>
      </c>
      <c r="K4469">
        <v>1</v>
      </c>
      <c r="L4469">
        <v>2</v>
      </c>
      <c r="M4469">
        <v>256</v>
      </c>
      <c r="N4469">
        <v>394</v>
      </c>
      <c r="O4469">
        <v>3</v>
      </c>
      <c r="P4469">
        <v>394</v>
      </c>
      <c r="Q4469">
        <v>3</v>
      </c>
      <c r="R4469">
        <v>73</v>
      </c>
      <c r="S4469">
        <v>6</v>
      </c>
      <c r="T4469">
        <v>1</v>
      </c>
      <c r="U4469">
        <v>76</v>
      </c>
      <c r="V4469">
        <v>7</v>
      </c>
      <c r="W4469">
        <v>10</v>
      </c>
      <c r="X4469">
        <v>149</v>
      </c>
      <c r="Y4469">
        <v>9</v>
      </c>
      <c r="Z4469">
        <v>36</v>
      </c>
      <c r="AA4469">
        <v>4</v>
      </c>
      <c r="AB4469">
        <v>8</v>
      </c>
      <c r="AD4469">
        <v>2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10</v>
      </c>
      <c r="AK4469">
        <v>394</v>
      </c>
      <c r="AL4469">
        <v>394</v>
      </c>
      <c r="AM4469">
        <v>606</v>
      </c>
      <c r="AN4469">
        <v>44</v>
      </c>
      <c r="AP4469">
        <v>1</v>
      </c>
      <c r="AR4469" t="s">
        <v>4570</v>
      </c>
      <c r="AS4469" s="1">
        <v>44353.970138888886</v>
      </c>
      <c r="AT4469" s="1">
        <v>44353.972627314812</v>
      </c>
      <c r="AU4469" s="1">
        <v>44353.973055555558</v>
      </c>
      <c r="AV4469" t="s">
        <v>71</v>
      </c>
      <c r="AW4469" t="s">
        <v>72</v>
      </c>
      <c r="AX4469" t="s">
        <v>73</v>
      </c>
    </row>
    <row r="4470" spans="1:50" x14ac:dyDescent="0.3">
      <c r="A4470" t="str">
        <f>"200300C0100"</f>
        <v>200300C0100</v>
      </c>
      <c r="B4470" t="str">
        <f>"200300C01002"</f>
        <v>200300C01002</v>
      </c>
      <c r="C4470" t="str">
        <f t="shared" si="227"/>
        <v>20</v>
      </c>
      <c r="D4470" t="s">
        <v>67</v>
      </c>
      <c r="E4470" t="str">
        <f t="shared" ref="E4470:E4533" si="230">"020"</f>
        <v>020</v>
      </c>
      <c r="F4470" t="s">
        <v>4506</v>
      </c>
      <c r="G4470" t="str">
        <f>"0300"</f>
        <v>0300</v>
      </c>
      <c r="H4470" t="str">
        <f>"0001"</f>
        <v>0001</v>
      </c>
      <c r="I4470" t="s">
        <v>75</v>
      </c>
      <c r="J4470">
        <v>0</v>
      </c>
      <c r="K4470">
        <v>1</v>
      </c>
      <c r="L4470">
        <v>2</v>
      </c>
      <c r="M4470">
        <v>234</v>
      </c>
      <c r="N4470">
        <v>415</v>
      </c>
      <c r="O4470">
        <v>2</v>
      </c>
      <c r="P4470">
        <v>415</v>
      </c>
      <c r="Q4470">
        <v>3</v>
      </c>
      <c r="R4470">
        <v>88</v>
      </c>
      <c r="S4470">
        <v>6</v>
      </c>
      <c r="T4470">
        <v>1</v>
      </c>
      <c r="U4470">
        <v>71</v>
      </c>
      <c r="V4470">
        <v>18</v>
      </c>
      <c r="W4470">
        <v>2</v>
      </c>
      <c r="X4470">
        <v>147</v>
      </c>
      <c r="Y4470">
        <v>3</v>
      </c>
      <c r="Z4470">
        <v>46</v>
      </c>
      <c r="AA4470">
        <v>2</v>
      </c>
      <c r="AB4470">
        <v>7</v>
      </c>
      <c r="AD4470">
        <v>1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19</v>
      </c>
      <c r="AK4470">
        <v>415</v>
      </c>
      <c r="AL4470">
        <v>414</v>
      </c>
      <c r="AM4470">
        <v>605</v>
      </c>
      <c r="AN4470">
        <v>44</v>
      </c>
      <c r="AP4470">
        <v>1</v>
      </c>
      <c r="AR4470" t="s">
        <v>4571</v>
      </c>
      <c r="AS4470" s="1">
        <v>44353.968055555553</v>
      </c>
      <c r="AT4470" s="1">
        <v>44353.971817129626</v>
      </c>
      <c r="AU4470" s="1">
        <v>44353.972303240742</v>
      </c>
      <c r="AV4470" t="s">
        <v>71</v>
      </c>
      <c r="AW4470" t="s">
        <v>72</v>
      </c>
      <c r="AX4470" t="s">
        <v>73</v>
      </c>
    </row>
    <row r="4471" spans="1:50" x14ac:dyDescent="0.3">
      <c r="A4471" t="str">
        <f>"200300C0200"</f>
        <v>200300C0200</v>
      </c>
      <c r="B4471" t="str">
        <f>"200300C02002"</f>
        <v>200300C02002</v>
      </c>
      <c r="C4471" t="str">
        <f t="shared" si="227"/>
        <v>20</v>
      </c>
      <c r="D4471" t="s">
        <v>67</v>
      </c>
      <c r="E4471" t="str">
        <f t="shared" si="230"/>
        <v>020</v>
      </c>
      <c r="F4471" t="s">
        <v>4506</v>
      </c>
      <c r="G4471" t="str">
        <f>"0300"</f>
        <v>0300</v>
      </c>
      <c r="H4471" t="str">
        <f>"0002"</f>
        <v>0002</v>
      </c>
      <c r="I4471" t="s">
        <v>75</v>
      </c>
      <c r="J4471">
        <v>0</v>
      </c>
      <c r="K4471">
        <v>1</v>
      </c>
      <c r="L4471">
        <v>2</v>
      </c>
      <c r="M4471">
        <v>247</v>
      </c>
      <c r="N4471">
        <v>402</v>
      </c>
      <c r="O4471">
        <v>6</v>
      </c>
      <c r="P4471">
        <v>402</v>
      </c>
      <c r="Q4471">
        <v>4</v>
      </c>
      <c r="R4471">
        <v>105</v>
      </c>
      <c r="S4471">
        <v>3</v>
      </c>
      <c r="T4471">
        <v>2</v>
      </c>
      <c r="U4471">
        <v>73</v>
      </c>
      <c r="V4471">
        <v>6</v>
      </c>
      <c r="W4471">
        <v>5</v>
      </c>
      <c r="X4471">
        <v>135</v>
      </c>
      <c r="Y4471">
        <v>6</v>
      </c>
      <c r="Z4471">
        <v>37</v>
      </c>
      <c r="AA4471">
        <v>6</v>
      </c>
      <c r="AB4471">
        <v>5</v>
      </c>
      <c r="AD4471">
        <v>1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14</v>
      </c>
      <c r="AK4471">
        <v>402</v>
      </c>
      <c r="AL4471">
        <v>402</v>
      </c>
      <c r="AM4471">
        <v>605</v>
      </c>
      <c r="AN4471">
        <v>44</v>
      </c>
      <c r="AP4471">
        <v>1</v>
      </c>
      <c r="AR4471" t="s">
        <v>4572</v>
      </c>
      <c r="AS4471" s="1">
        <v>44353.968206018515</v>
      </c>
      <c r="AT4471" s="1">
        <v>44353.970208333332</v>
      </c>
      <c r="AU4471" s="1">
        <v>44353.971064814818</v>
      </c>
      <c r="AV4471" t="s">
        <v>71</v>
      </c>
      <c r="AW4471" t="s">
        <v>72</v>
      </c>
      <c r="AX4471" t="s">
        <v>73</v>
      </c>
    </row>
    <row r="4472" spans="1:50" x14ac:dyDescent="0.3">
      <c r="A4472" t="str">
        <f>"200300C0300"</f>
        <v>200300C0300</v>
      </c>
      <c r="B4472" t="str">
        <f>"200300C03002"</f>
        <v>200300C03002</v>
      </c>
      <c r="C4472" t="str">
        <f t="shared" si="227"/>
        <v>20</v>
      </c>
      <c r="D4472" t="s">
        <v>67</v>
      </c>
      <c r="E4472" t="str">
        <f t="shared" si="230"/>
        <v>020</v>
      </c>
      <c r="F4472" t="s">
        <v>4506</v>
      </c>
      <c r="G4472" t="str">
        <f>"0300"</f>
        <v>0300</v>
      </c>
      <c r="H4472" t="str">
        <f>"0003"</f>
        <v>0003</v>
      </c>
      <c r="I4472" t="s">
        <v>75</v>
      </c>
      <c r="J4472">
        <v>0</v>
      </c>
      <c r="K4472">
        <v>1</v>
      </c>
      <c r="L4472">
        <v>2</v>
      </c>
      <c r="M4472">
        <v>244</v>
      </c>
      <c r="N4472">
        <v>405</v>
      </c>
      <c r="O4472">
        <v>6</v>
      </c>
      <c r="P4472">
        <v>405</v>
      </c>
      <c r="Q4472">
        <v>3</v>
      </c>
      <c r="R4472">
        <v>84</v>
      </c>
      <c r="S4472">
        <v>3</v>
      </c>
      <c r="T4472">
        <v>1</v>
      </c>
      <c r="U4472">
        <v>81</v>
      </c>
      <c r="V4472">
        <v>11</v>
      </c>
      <c r="W4472">
        <v>3</v>
      </c>
      <c r="X4472">
        <v>145</v>
      </c>
      <c r="Y4472">
        <v>7</v>
      </c>
      <c r="Z4472">
        <v>49</v>
      </c>
      <c r="AA4472">
        <v>3</v>
      </c>
      <c r="AB4472">
        <v>1</v>
      </c>
      <c r="AD4472">
        <v>1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13</v>
      </c>
      <c r="AK4472">
        <v>405</v>
      </c>
      <c r="AL4472">
        <v>405</v>
      </c>
      <c r="AM4472">
        <v>605</v>
      </c>
      <c r="AN4472">
        <v>44</v>
      </c>
      <c r="AP4472">
        <v>1</v>
      </c>
      <c r="AR4472" t="s">
        <v>4573</v>
      </c>
      <c r="AS4472" s="1">
        <v>44353.96875</v>
      </c>
      <c r="AT4472" s="1">
        <v>44353.97146990741</v>
      </c>
      <c r="AU4472" s="1">
        <v>44353.972083333334</v>
      </c>
      <c r="AV4472" t="s">
        <v>71</v>
      </c>
      <c r="AW4472" t="s">
        <v>72</v>
      </c>
      <c r="AX4472" t="s">
        <v>73</v>
      </c>
    </row>
    <row r="4473" spans="1:50" x14ac:dyDescent="0.3">
      <c r="A4473" t="str">
        <f>"200301B0000"</f>
        <v>200301B0000</v>
      </c>
      <c r="B4473" t="str">
        <f>"200301B00002"</f>
        <v>200301B00002</v>
      </c>
      <c r="C4473" t="str">
        <f t="shared" si="227"/>
        <v>20</v>
      </c>
      <c r="D4473" t="s">
        <v>67</v>
      </c>
      <c r="E4473" t="str">
        <f t="shared" si="230"/>
        <v>020</v>
      </c>
      <c r="F4473" t="s">
        <v>4506</v>
      </c>
      <c r="G4473" t="str">
        <f>"0301"</f>
        <v>0301</v>
      </c>
      <c r="H4473" t="str">
        <f>"0000"</f>
        <v>0000</v>
      </c>
      <c r="I4473" t="s">
        <v>69</v>
      </c>
      <c r="J4473">
        <v>0</v>
      </c>
      <c r="K4473">
        <v>1</v>
      </c>
      <c r="L4473">
        <v>2</v>
      </c>
      <c r="M4473">
        <v>221</v>
      </c>
      <c r="N4473">
        <v>354</v>
      </c>
      <c r="O4473">
        <v>2</v>
      </c>
      <c r="P4473">
        <v>354</v>
      </c>
      <c r="Q4473">
        <v>5</v>
      </c>
      <c r="R4473">
        <v>66</v>
      </c>
      <c r="S4473">
        <v>11</v>
      </c>
      <c r="T4473">
        <v>0</v>
      </c>
      <c r="U4473">
        <v>59</v>
      </c>
      <c r="V4473">
        <v>21</v>
      </c>
      <c r="W4473">
        <v>1</v>
      </c>
      <c r="X4473">
        <v>136</v>
      </c>
      <c r="Y4473">
        <v>7</v>
      </c>
      <c r="Z4473">
        <v>22</v>
      </c>
      <c r="AA4473">
        <v>7</v>
      </c>
      <c r="AB4473">
        <v>7</v>
      </c>
      <c r="AD4473">
        <v>2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9</v>
      </c>
      <c r="AK4473">
        <v>354</v>
      </c>
      <c r="AL4473">
        <v>353</v>
      </c>
      <c r="AM4473">
        <v>531</v>
      </c>
      <c r="AN4473">
        <v>44</v>
      </c>
      <c r="AP4473">
        <v>1</v>
      </c>
      <c r="AR4473" s="2" t="s">
        <v>4574</v>
      </c>
      <c r="AS4473" s="1">
        <v>44354.053472222222</v>
      </c>
      <c r="AT4473" s="1">
        <v>44354.060173611113</v>
      </c>
      <c r="AU4473" s="1">
        <v>44354.060740740744</v>
      </c>
      <c r="AV4473" t="s">
        <v>71</v>
      </c>
      <c r="AW4473" t="s">
        <v>72</v>
      </c>
      <c r="AX4473" t="s">
        <v>73</v>
      </c>
    </row>
    <row r="4474" spans="1:50" x14ac:dyDescent="0.3">
      <c r="A4474" t="str">
        <f>"200301C0100"</f>
        <v>200301C0100</v>
      </c>
      <c r="B4474" t="str">
        <f>"200301C01002"</f>
        <v>200301C01002</v>
      </c>
      <c r="C4474" t="str">
        <f t="shared" si="227"/>
        <v>20</v>
      </c>
      <c r="D4474" t="s">
        <v>67</v>
      </c>
      <c r="E4474" t="str">
        <f t="shared" si="230"/>
        <v>020</v>
      </c>
      <c r="F4474" t="s">
        <v>4506</v>
      </c>
      <c r="G4474" t="str">
        <f>"0301"</f>
        <v>0301</v>
      </c>
      <c r="H4474" t="str">
        <f>"0001"</f>
        <v>0001</v>
      </c>
      <c r="I4474" t="s">
        <v>75</v>
      </c>
      <c r="J4474">
        <v>0</v>
      </c>
      <c r="K4474">
        <v>1</v>
      </c>
      <c r="L4474">
        <v>2</v>
      </c>
      <c r="M4474">
        <v>211</v>
      </c>
      <c r="N4474">
        <v>363</v>
      </c>
      <c r="O4474">
        <v>1</v>
      </c>
      <c r="P4474" t="s">
        <v>80</v>
      </c>
      <c r="Q4474">
        <v>3</v>
      </c>
      <c r="R4474">
        <v>93</v>
      </c>
      <c r="S4474">
        <v>9</v>
      </c>
      <c r="T4474">
        <v>1</v>
      </c>
      <c r="U4474">
        <v>50</v>
      </c>
      <c r="V4474">
        <v>18</v>
      </c>
      <c r="W4474">
        <v>1</v>
      </c>
      <c r="X4474">
        <v>138</v>
      </c>
      <c r="Y4474">
        <v>13</v>
      </c>
      <c r="Z4474">
        <v>20</v>
      </c>
      <c r="AA4474">
        <v>1</v>
      </c>
      <c r="AB4474">
        <v>6</v>
      </c>
      <c r="AD4474">
        <v>3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7</v>
      </c>
      <c r="AK4474">
        <v>363</v>
      </c>
      <c r="AL4474">
        <v>363</v>
      </c>
      <c r="AM4474">
        <v>530</v>
      </c>
      <c r="AN4474">
        <v>44</v>
      </c>
      <c r="AP4474">
        <v>1</v>
      </c>
      <c r="AR4474" t="s">
        <v>4575</v>
      </c>
      <c r="AS4474" s="1">
        <v>44354.039583333331</v>
      </c>
      <c r="AT4474" s="1">
        <v>44354.049930555557</v>
      </c>
      <c r="AU4474" s="1">
        <v>44354.050462962965</v>
      </c>
      <c r="AV4474" t="s">
        <v>71</v>
      </c>
      <c r="AW4474" t="s">
        <v>72</v>
      </c>
      <c r="AX4474" t="s">
        <v>73</v>
      </c>
    </row>
    <row r="4475" spans="1:50" x14ac:dyDescent="0.3">
      <c r="A4475" t="str">
        <f>"200302B0000"</f>
        <v>200302B0000</v>
      </c>
      <c r="B4475" t="str">
        <f>"200302B00002"</f>
        <v>200302B00002</v>
      </c>
      <c r="C4475" t="str">
        <f t="shared" si="227"/>
        <v>20</v>
      </c>
      <c r="D4475" t="s">
        <v>67</v>
      </c>
      <c r="E4475" t="str">
        <f t="shared" si="230"/>
        <v>020</v>
      </c>
      <c r="F4475" t="s">
        <v>4506</v>
      </c>
      <c r="G4475" t="str">
        <f>"0302"</f>
        <v>0302</v>
      </c>
      <c r="H4475" t="str">
        <f>"0000"</f>
        <v>0000</v>
      </c>
      <c r="I4475" t="s">
        <v>69</v>
      </c>
      <c r="J4475">
        <v>0</v>
      </c>
      <c r="K4475">
        <v>1</v>
      </c>
      <c r="L4475">
        <v>2</v>
      </c>
      <c r="M4475">
        <v>261</v>
      </c>
      <c r="N4475">
        <v>353</v>
      </c>
      <c r="O4475">
        <v>2</v>
      </c>
      <c r="P4475">
        <v>353</v>
      </c>
      <c r="Q4475">
        <v>9</v>
      </c>
      <c r="R4475">
        <v>86</v>
      </c>
      <c r="S4475">
        <v>10</v>
      </c>
      <c r="T4475">
        <v>1</v>
      </c>
      <c r="U4475">
        <v>48</v>
      </c>
      <c r="V4475">
        <v>5</v>
      </c>
      <c r="W4475">
        <v>5</v>
      </c>
      <c r="X4475">
        <v>140</v>
      </c>
      <c r="Y4475">
        <v>10</v>
      </c>
      <c r="Z4475">
        <v>13</v>
      </c>
      <c r="AA4475">
        <v>11</v>
      </c>
      <c r="AB4475">
        <v>6</v>
      </c>
      <c r="AD4475">
        <v>2</v>
      </c>
      <c r="AE4475">
        <v>0</v>
      </c>
      <c r="AF4475">
        <v>0</v>
      </c>
      <c r="AG4475">
        <v>1</v>
      </c>
      <c r="AH4475">
        <v>0</v>
      </c>
      <c r="AI4475">
        <v>0</v>
      </c>
      <c r="AJ4475">
        <v>6</v>
      </c>
      <c r="AK4475">
        <v>353</v>
      </c>
      <c r="AL4475">
        <v>353</v>
      </c>
      <c r="AM4475">
        <v>570</v>
      </c>
      <c r="AN4475">
        <v>44</v>
      </c>
      <c r="AP4475">
        <v>1</v>
      </c>
      <c r="AR4475" t="s">
        <v>4576</v>
      </c>
      <c r="AS4475" s="1">
        <v>44353.996527777781</v>
      </c>
      <c r="AT4475" s="1">
        <v>44354.005057870374</v>
      </c>
      <c r="AU4475" s="1">
        <v>44354.00576388889</v>
      </c>
      <c r="AV4475" t="s">
        <v>71</v>
      </c>
      <c r="AW4475" t="s">
        <v>72</v>
      </c>
      <c r="AX4475" t="s">
        <v>73</v>
      </c>
    </row>
    <row r="4476" spans="1:50" x14ac:dyDescent="0.3">
      <c r="A4476" t="str">
        <f>"200302C0100"</f>
        <v>200302C0100</v>
      </c>
      <c r="B4476" t="str">
        <f>"200302C01002"</f>
        <v>200302C01002</v>
      </c>
      <c r="C4476" t="str">
        <f t="shared" si="227"/>
        <v>20</v>
      </c>
      <c r="D4476" t="s">
        <v>67</v>
      </c>
      <c r="E4476" t="str">
        <f t="shared" si="230"/>
        <v>020</v>
      </c>
      <c r="F4476" t="s">
        <v>4506</v>
      </c>
      <c r="G4476" t="str">
        <f>"0302"</f>
        <v>0302</v>
      </c>
      <c r="H4476" t="str">
        <f>"0001"</f>
        <v>0001</v>
      </c>
      <c r="I4476" t="s">
        <v>75</v>
      </c>
      <c r="J4476">
        <v>0</v>
      </c>
      <c r="K4476">
        <v>1</v>
      </c>
      <c r="L4476">
        <v>2</v>
      </c>
      <c r="M4476">
        <v>253</v>
      </c>
      <c r="N4476">
        <v>360</v>
      </c>
      <c r="O4476">
        <v>7</v>
      </c>
      <c r="P4476">
        <v>360</v>
      </c>
      <c r="Q4476">
        <v>6</v>
      </c>
      <c r="R4476">
        <v>113</v>
      </c>
      <c r="S4476">
        <v>6</v>
      </c>
      <c r="T4476">
        <v>3</v>
      </c>
      <c r="U4476">
        <v>32</v>
      </c>
      <c r="V4476">
        <v>16</v>
      </c>
      <c r="W4476">
        <v>3</v>
      </c>
      <c r="X4476">
        <v>141</v>
      </c>
      <c r="Y4476">
        <v>3</v>
      </c>
      <c r="Z4476">
        <v>20</v>
      </c>
      <c r="AA4476">
        <v>8</v>
      </c>
      <c r="AB4476">
        <v>2</v>
      </c>
      <c r="AD4476">
        <v>3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4</v>
      </c>
      <c r="AK4476">
        <v>360</v>
      </c>
      <c r="AL4476">
        <v>360</v>
      </c>
      <c r="AM4476">
        <v>569</v>
      </c>
      <c r="AN4476">
        <v>44</v>
      </c>
      <c r="AP4476">
        <v>1</v>
      </c>
      <c r="AR4476" t="s">
        <v>4577</v>
      </c>
      <c r="AS4476" s="1">
        <v>44353.993055555555</v>
      </c>
      <c r="AT4476" s="1">
        <v>44354.003553240742</v>
      </c>
      <c r="AU4476" s="1">
        <v>44354.004189814812</v>
      </c>
      <c r="AV4476" t="s">
        <v>71</v>
      </c>
      <c r="AW4476" t="s">
        <v>72</v>
      </c>
      <c r="AX4476" t="s">
        <v>73</v>
      </c>
    </row>
    <row r="4477" spans="1:50" x14ac:dyDescent="0.3">
      <c r="A4477" t="str">
        <f>"200303B0000"</f>
        <v>200303B0000</v>
      </c>
      <c r="B4477" t="str">
        <f>"200303B00002"</f>
        <v>200303B00002</v>
      </c>
      <c r="C4477" t="str">
        <f t="shared" si="227"/>
        <v>20</v>
      </c>
      <c r="D4477" t="s">
        <v>67</v>
      </c>
      <c r="E4477" t="str">
        <f t="shared" si="230"/>
        <v>020</v>
      </c>
      <c r="F4477" t="s">
        <v>4506</v>
      </c>
      <c r="G4477" t="str">
        <f>"0303"</f>
        <v>0303</v>
      </c>
      <c r="H4477" t="str">
        <f>"0000"</f>
        <v>0000</v>
      </c>
      <c r="I4477" t="s">
        <v>69</v>
      </c>
      <c r="J4477">
        <v>0</v>
      </c>
      <c r="K4477">
        <v>1</v>
      </c>
      <c r="L4477">
        <v>2</v>
      </c>
      <c r="M4477">
        <v>229</v>
      </c>
      <c r="N4477">
        <v>366</v>
      </c>
      <c r="O4477">
        <v>3</v>
      </c>
      <c r="P4477">
        <v>366</v>
      </c>
      <c r="Q4477">
        <v>4</v>
      </c>
      <c r="R4477">
        <v>64</v>
      </c>
      <c r="S4477">
        <v>7</v>
      </c>
      <c r="T4477">
        <v>2</v>
      </c>
      <c r="U4477">
        <v>78</v>
      </c>
      <c r="V4477">
        <v>17</v>
      </c>
      <c r="W4477">
        <v>3</v>
      </c>
      <c r="X4477">
        <v>151</v>
      </c>
      <c r="Y4477">
        <v>4</v>
      </c>
      <c r="Z4477">
        <v>16</v>
      </c>
      <c r="AA4477">
        <v>10</v>
      </c>
      <c r="AB4477">
        <v>3</v>
      </c>
      <c r="AD4477">
        <v>1</v>
      </c>
      <c r="AE4477">
        <v>0</v>
      </c>
      <c r="AF4477">
        <v>1</v>
      </c>
      <c r="AG4477">
        <v>0</v>
      </c>
      <c r="AH4477">
        <v>0</v>
      </c>
      <c r="AI4477">
        <v>0</v>
      </c>
      <c r="AJ4477">
        <v>5</v>
      </c>
      <c r="AK4477">
        <v>366</v>
      </c>
      <c r="AL4477">
        <v>366</v>
      </c>
      <c r="AM4477">
        <v>551</v>
      </c>
      <c r="AN4477">
        <v>44</v>
      </c>
      <c r="AP4477">
        <v>1</v>
      </c>
      <c r="AR4477" t="s">
        <v>4578</v>
      </c>
      <c r="AS4477" s="1">
        <v>44353.938888888886</v>
      </c>
      <c r="AT4477" s="1">
        <v>44353.94730324074</v>
      </c>
      <c r="AU4477" s="1">
        <v>44353.947997685187</v>
      </c>
      <c r="AV4477" t="s">
        <v>71</v>
      </c>
      <c r="AW4477" t="s">
        <v>72</v>
      </c>
      <c r="AX4477" t="s">
        <v>347</v>
      </c>
    </row>
    <row r="4478" spans="1:50" x14ac:dyDescent="0.3">
      <c r="A4478" t="str">
        <f>"200303C0100"</f>
        <v>200303C0100</v>
      </c>
      <c r="B4478" t="str">
        <f>"200303C01002"</f>
        <v>200303C01002</v>
      </c>
      <c r="C4478" t="str">
        <f t="shared" si="227"/>
        <v>20</v>
      </c>
      <c r="D4478" t="s">
        <v>67</v>
      </c>
      <c r="E4478" t="str">
        <f t="shared" si="230"/>
        <v>020</v>
      </c>
      <c r="F4478" t="s">
        <v>4506</v>
      </c>
      <c r="G4478" t="str">
        <f>"0303"</f>
        <v>0303</v>
      </c>
      <c r="H4478" t="str">
        <f>"0001"</f>
        <v>0001</v>
      </c>
      <c r="I4478" t="s">
        <v>75</v>
      </c>
      <c r="J4478">
        <v>0</v>
      </c>
      <c r="K4478">
        <v>1</v>
      </c>
      <c r="L4478">
        <v>2</v>
      </c>
      <c r="M4478">
        <v>238</v>
      </c>
      <c r="N4478">
        <v>356</v>
      </c>
      <c r="O4478">
        <v>2</v>
      </c>
      <c r="P4478">
        <v>356</v>
      </c>
      <c r="Q4478">
        <v>2</v>
      </c>
      <c r="R4478">
        <v>48</v>
      </c>
      <c r="S4478">
        <v>6</v>
      </c>
      <c r="T4478">
        <v>1</v>
      </c>
      <c r="U4478">
        <v>75</v>
      </c>
      <c r="V4478">
        <v>12</v>
      </c>
      <c r="W4478">
        <v>1</v>
      </c>
      <c r="X4478">
        <v>161</v>
      </c>
      <c r="Y4478">
        <v>2</v>
      </c>
      <c r="Z4478">
        <v>25</v>
      </c>
      <c r="AA4478">
        <v>7</v>
      </c>
      <c r="AB4478">
        <v>5</v>
      </c>
      <c r="AD4478">
        <v>2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9</v>
      </c>
      <c r="AK4478">
        <v>356</v>
      </c>
      <c r="AL4478">
        <v>356</v>
      </c>
      <c r="AM4478">
        <v>550</v>
      </c>
      <c r="AN4478">
        <v>44</v>
      </c>
      <c r="AP4478">
        <v>1</v>
      </c>
      <c r="AR4478" t="s">
        <v>4579</v>
      </c>
      <c r="AS4478" s="1">
        <v>44353.944444444445</v>
      </c>
      <c r="AT4478" s="1">
        <v>44353.947291666664</v>
      </c>
      <c r="AU4478" s="1">
        <v>44353.948298611111</v>
      </c>
      <c r="AV4478" t="s">
        <v>71</v>
      </c>
      <c r="AW4478" t="s">
        <v>72</v>
      </c>
      <c r="AX4478" t="s">
        <v>73</v>
      </c>
    </row>
    <row r="4479" spans="1:50" x14ac:dyDescent="0.3">
      <c r="A4479" t="str">
        <f>"200304B0000"</f>
        <v>200304B0000</v>
      </c>
      <c r="B4479" t="str">
        <f>"200304B00002"</f>
        <v>200304B00002</v>
      </c>
      <c r="C4479" t="str">
        <f t="shared" si="227"/>
        <v>20</v>
      </c>
      <c r="D4479" t="s">
        <v>67</v>
      </c>
      <c r="E4479" t="str">
        <f t="shared" si="230"/>
        <v>020</v>
      </c>
      <c r="F4479" t="s">
        <v>4506</v>
      </c>
      <c r="G4479" t="str">
        <f>"0304"</f>
        <v>0304</v>
      </c>
      <c r="H4479" t="str">
        <f>"0000"</f>
        <v>0000</v>
      </c>
      <c r="I4479" t="s">
        <v>69</v>
      </c>
      <c r="J4479">
        <v>0</v>
      </c>
      <c r="K4479">
        <v>1</v>
      </c>
      <c r="L4479">
        <v>2</v>
      </c>
      <c r="M4479">
        <v>209</v>
      </c>
      <c r="N4479">
        <v>386</v>
      </c>
      <c r="O4479">
        <v>3</v>
      </c>
      <c r="P4479">
        <v>386</v>
      </c>
      <c r="Q4479">
        <v>0</v>
      </c>
      <c r="R4479">
        <v>69</v>
      </c>
      <c r="S4479">
        <v>14</v>
      </c>
      <c r="T4479">
        <v>0</v>
      </c>
      <c r="U4479">
        <v>47</v>
      </c>
      <c r="V4479">
        <v>11</v>
      </c>
      <c r="W4479">
        <v>0</v>
      </c>
      <c r="X4479">
        <v>187</v>
      </c>
      <c r="Y4479">
        <v>8</v>
      </c>
      <c r="Z4479">
        <v>30</v>
      </c>
      <c r="AA4479">
        <v>6</v>
      </c>
      <c r="AB4479">
        <v>5</v>
      </c>
      <c r="AD4479">
        <v>1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8</v>
      </c>
      <c r="AK4479">
        <v>386</v>
      </c>
      <c r="AL4479">
        <v>386</v>
      </c>
      <c r="AM4479">
        <v>554</v>
      </c>
      <c r="AN4479">
        <v>44</v>
      </c>
      <c r="AP4479">
        <v>1</v>
      </c>
      <c r="AR4479" t="s">
        <v>4580</v>
      </c>
      <c r="AS4479" s="1">
        <v>44353.970833333333</v>
      </c>
      <c r="AT4479" s="1">
        <v>44353.972893518519</v>
      </c>
      <c r="AU4479" s="1">
        <v>44353.973391203705</v>
      </c>
      <c r="AV4479" t="s">
        <v>71</v>
      </c>
      <c r="AW4479" t="s">
        <v>72</v>
      </c>
      <c r="AX4479" t="s">
        <v>73</v>
      </c>
    </row>
    <row r="4480" spans="1:50" x14ac:dyDescent="0.3">
      <c r="A4480" t="str">
        <f>"200304C0100"</f>
        <v>200304C0100</v>
      </c>
      <c r="B4480" t="str">
        <f>"200304C01002"</f>
        <v>200304C01002</v>
      </c>
      <c r="C4480" t="str">
        <f t="shared" si="227"/>
        <v>20</v>
      </c>
      <c r="D4480" t="s">
        <v>67</v>
      </c>
      <c r="E4480" t="str">
        <f t="shared" si="230"/>
        <v>020</v>
      </c>
      <c r="F4480" t="s">
        <v>4506</v>
      </c>
      <c r="G4480" t="str">
        <f>"0304"</f>
        <v>0304</v>
      </c>
      <c r="H4480" t="str">
        <f>"0001"</f>
        <v>0001</v>
      </c>
      <c r="I4480" t="s">
        <v>75</v>
      </c>
      <c r="J4480">
        <v>0</v>
      </c>
      <c r="K4480">
        <v>1</v>
      </c>
      <c r="L4480">
        <v>2</v>
      </c>
      <c r="M4480">
        <v>222</v>
      </c>
      <c r="N4480">
        <v>376</v>
      </c>
      <c r="O4480">
        <v>3</v>
      </c>
      <c r="P4480">
        <v>376</v>
      </c>
      <c r="Q4480">
        <v>2</v>
      </c>
      <c r="R4480">
        <v>56</v>
      </c>
      <c r="S4480">
        <v>11</v>
      </c>
      <c r="T4480">
        <v>2</v>
      </c>
      <c r="U4480">
        <v>46</v>
      </c>
      <c r="V4480">
        <v>10</v>
      </c>
      <c r="W4480">
        <v>3</v>
      </c>
      <c r="X4480">
        <v>193</v>
      </c>
      <c r="Y4480">
        <v>6</v>
      </c>
      <c r="Z4480">
        <v>35</v>
      </c>
      <c r="AA4480">
        <v>4</v>
      </c>
      <c r="AB4480">
        <v>2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6</v>
      </c>
      <c r="AK4480">
        <v>376</v>
      </c>
      <c r="AL4480">
        <v>376</v>
      </c>
      <c r="AM4480">
        <v>554</v>
      </c>
      <c r="AN4480">
        <v>44</v>
      </c>
      <c r="AP4480">
        <v>1</v>
      </c>
      <c r="AR4480" t="s">
        <v>4581</v>
      </c>
      <c r="AS4480" s="1">
        <v>44353.971666666665</v>
      </c>
      <c r="AT4480" s="1">
        <v>44353.973611111112</v>
      </c>
      <c r="AU4480" s="1">
        <v>44353.974097222221</v>
      </c>
      <c r="AV4480" t="s">
        <v>71</v>
      </c>
      <c r="AW4480" t="s">
        <v>72</v>
      </c>
      <c r="AX4480" t="s">
        <v>73</v>
      </c>
    </row>
    <row r="4481" spans="1:50" x14ac:dyDescent="0.3">
      <c r="A4481" t="str">
        <f>"200305B0000"</f>
        <v>200305B0000</v>
      </c>
      <c r="B4481" t="str">
        <f>"200305B00002"</f>
        <v>200305B00002</v>
      </c>
      <c r="C4481" t="str">
        <f t="shared" si="227"/>
        <v>20</v>
      </c>
      <c r="D4481" t="s">
        <v>67</v>
      </c>
      <c r="E4481" t="str">
        <f t="shared" si="230"/>
        <v>020</v>
      </c>
      <c r="F4481" t="s">
        <v>4506</v>
      </c>
      <c r="G4481" t="str">
        <f>"0305"</f>
        <v>0305</v>
      </c>
      <c r="H4481" t="str">
        <f>"0000"</f>
        <v>0000</v>
      </c>
      <c r="I4481" t="s">
        <v>69</v>
      </c>
      <c r="J4481">
        <v>0</v>
      </c>
      <c r="K4481">
        <v>1</v>
      </c>
      <c r="L4481">
        <v>2</v>
      </c>
      <c r="M4481">
        <v>270</v>
      </c>
      <c r="N4481">
        <v>404</v>
      </c>
      <c r="O4481">
        <v>8</v>
      </c>
      <c r="P4481">
        <v>404</v>
      </c>
      <c r="Q4481">
        <v>4</v>
      </c>
      <c r="R4481">
        <v>114</v>
      </c>
      <c r="S4481">
        <v>4</v>
      </c>
      <c r="T4481">
        <v>0</v>
      </c>
      <c r="U4481">
        <v>62</v>
      </c>
      <c r="V4481">
        <v>7</v>
      </c>
      <c r="W4481">
        <v>11</v>
      </c>
      <c r="X4481">
        <v>161</v>
      </c>
      <c r="Y4481">
        <v>3</v>
      </c>
      <c r="Z4481">
        <v>19</v>
      </c>
      <c r="AA4481">
        <v>5</v>
      </c>
      <c r="AB4481">
        <v>3</v>
      </c>
      <c r="AD4481" t="s">
        <v>77</v>
      </c>
      <c r="AE4481" t="s">
        <v>77</v>
      </c>
      <c r="AF4481" t="s">
        <v>77</v>
      </c>
      <c r="AG4481" t="s">
        <v>77</v>
      </c>
      <c r="AH4481" t="s">
        <v>77</v>
      </c>
      <c r="AI4481" t="s">
        <v>77</v>
      </c>
      <c r="AJ4481">
        <v>11</v>
      </c>
      <c r="AK4481">
        <v>404</v>
      </c>
      <c r="AL4481">
        <v>404</v>
      </c>
      <c r="AM4481">
        <v>630</v>
      </c>
      <c r="AN4481">
        <v>44</v>
      </c>
      <c r="AO4481" t="s">
        <v>78</v>
      </c>
      <c r="AP4481">
        <v>1</v>
      </c>
      <c r="AR4481" s="2" t="s">
        <v>4582</v>
      </c>
      <c r="AS4481" s="1">
        <v>44354.078472222223</v>
      </c>
      <c r="AT4481" s="1">
        <v>44354.088784722226</v>
      </c>
      <c r="AU4481" s="1">
        <v>44354.089502314811</v>
      </c>
      <c r="AV4481" t="s">
        <v>71</v>
      </c>
      <c r="AW4481" t="s">
        <v>72</v>
      </c>
      <c r="AX4481" t="s">
        <v>73</v>
      </c>
    </row>
    <row r="4482" spans="1:50" x14ac:dyDescent="0.3">
      <c r="A4482" t="str">
        <f>"200306B0000"</f>
        <v>200306B0000</v>
      </c>
      <c r="B4482" t="str">
        <f>"200306B00002"</f>
        <v>200306B00002</v>
      </c>
      <c r="C4482" t="str">
        <f t="shared" si="227"/>
        <v>20</v>
      </c>
      <c r="D4482" t="s">
        <v>67</v>
      </c>
      <c r="E4482" t="str">
        <f t="shared" si="230"/>
        <v>020</v>
      </c>
      <c r="F4482" t="s">
        <v>4506</v>
      </c>
      <c r="G4482" t="str">
        <f>"0306"</f>
        <v>0306</v>
      </c>
      <c r="H4482" t="str">
        <f>"0000"</f>
        <v>0000</v>
      </c>
      <c r="I4482" t="s">
        <v>69</v>
      </c>
      <c r="J4482">
        <v>0</v>
      </c>
      <c r="K4482">
        <v>1</v>
      </c>
      <c r="L4482">
        <v>2</v>
      </c>
      <c r="M4482">
        <v>199</v>
      </c>
      <c r="N4482">
        <v>387</v>
      </c>
      <c r="O4482">
        <v>4</v>
      </c>
      <c r="P4482">
        <v>383</v>
      </c>
      <c r="Q4482">
        <v>2</v>
      </c>
      <c r="R4482">
        <v>87</v>
      </c>
      <c r="S4482">
        <v>8</v>
      </c>
      <c r="T4482" t="s">
        <v>77</v>
      </c>
      <c r="U4482">
        <v>66</v>
      </c>
      <c r="V4482">
        <v>15</v>
      </c>
      <c r="W4482">
        <v>1</v>
      </c>
      <c r="X4482">
        <v>134</v>
      </c>
      <c r="Y4482">
        <v>21</v>
      </c>
      <c r="Z4482">
        <v>29</v>
      </c>
      <c r="AA4482">
        <v>5</v>
      </c>
      <c r="AB4482">
        <v>9</v>
      </c>
      <c r="AD4482">
        <v>1</v>
      </c>
      <c r="AE4482" t="s">
        <v>77</v>
      </c>
      <c r="AF4482" t="s">
        <v>77</v>
      </c>
      <c r="AG4482">
        <v>1</v>
      </c>
      <c r="AH4482" t="s">
        <v>77</v>
      </c>
      <c r="AI4482" t="s">
        <v>77</v>
      </c>
      <c r="AJ4482">
        <v>4</v>
      </c>
      <c r="AK4482">
        <v>383</v>
      </c>
      <c r="AL4482">
        <v>383</v>
      </c>
      <c r="AM4482">
        <v>538</v>
      </c>
      <c r="AN4482">
        <v>44</v>
      </c>
      <c r="AO4482" t="s">
        <v>78</v>
      </c>
      <c r="AP4482">
        <v>1</v>
      </c>
      <c r="AR4482" t="s">
        <v>4583</v>
      </c>
      <c r="AS4482" s="1">
        <v>44354.05972222222</v>
      </c>
      <c r="AT4482" s="1">
        <v>44354.067071759258</v>
      </c>
      <c r="AU4482" s="1">
        <v>44354.068518518521</v>
      </c>
      <c r="AV4482" t="s">
        <v>71</v>
      </c>
      <c r="AW4482" t="s">
        <v>72</v>
      </c>
      <c r="AX4482" t="s">
        <v>73</v>
      </c>
    </row>
    <row r="4483" spans="1:50" x14ac:dyDescent="0.3">
      <c r="A4483" t="str">
        <f>"200306C0100"</f>
        <v>200306C0100</v>
      </c>
      <c r="B4483" t="str">
        <f>"200306C01002"</f>
        <v>200306C01002</v>
      </c>
      <c r="C4483" t="str">
        <f t="shared" si="227"/>
        <v>20</v>
      </c>
      <c r="D4483" t="s">
        <v>67</v>
      </c>
      <c r="E4483" t="str">
        <f t="shared" si="230"/>
        <v>020</v>
      </c>
      <c r="F4483" t="s">
        <v>4506</v>
      </c>
      <c r="G4483" t="str">
        <f>"0306"</f>
        <v>0306</v>
      </c>
      <c r="H4483" t="str">
        <f>"0001"</f>
        <v>0001</v>
      </c>
      <c r="I4483" t="s">
        <v>75</v>
      </c>
      <c r="J4483">
        <v>0</v>
      </c>
      <c r="K4483">
        <v>1</v>
      </c>
      <c r="L4483">
        <v>2</v>
      </c>
      <c r="M4483">
        <v>211</v>
      </c>
      <c r="N4483">
        <v>371</v>
      </c>
      <c r="O4483">
        <v>4</v>
      </c>
      <c r="P4483">
        <v>371</v>
      </c>
      <c r="Q4483">
        <v>0</v>
      </c>
      <c r="R4483">
        <v>74</v>
      </c>
      <c r="S4483">
        <v>8</v>
      </c>
      <c r="T4483">
        <v>0</v>
      </c>
      <c r="U4483">
        <v>76</v>
      </c>
      <c r="V4483">
        <v>5</v>
      </c>
      <c r="W4483">
        <v>2</v>
      </c>
      <c r="X4483">
        <v>147</v>
      </c>
      <c r="Y4483">
        <v>15</v>
      </c>
      <c r="Z4483">
        <v>28</v>
      </c>
      <c r="AA4483">
        <v>2</v>
      </c>
      <c r="AB4483">
        <v>3</v>
      </c>
      <c r="AD4483">
        <v>1</v>
      </c>
      <c r="AE4483">
        <v>1</v>
      </c>
      <c r="AF4483">
        <v>0</v>
      </c>
      <c r="AG4483">
        <v>2</v>
      </c>
      <c r="AH4483">
        <v>0</v>
      </c>
      <c r="AI4483">
        <v>0</v>
      </c>
      <c r="AJ4483">
        <v>7</v>
      </c>
      <c r="AK4483">
        <v>371</v>
      </c>
      <c r="AL4483">
        <v>371</v>
      </c>
      <c r="AM4483">
        <v>538</v>
      </c>
      <c r="AN4483">
        <v>44</v>
      </c>
      <c r="AP4483">
        <v>1</v>
      </c>
      <c r="AR4483" t="s">
        <v>4584</v>
      </c>
      <c r="AS4483" s="1">
        <v>44354.0625</v>
      </c>
      <c r="AT4483" s="1">
        <v>44354.069386574076</v>
      </c>
      <c r="AU4483" s="1">
        <v>44354.069837962961</v>
      </c>
      <c r="AV4483" t="s">
        <v>71</v>
      </c>
      <c r="AW4483" t="s">
        <v>72</v>
      </c>
      <c r="AX4483" t="s">
        <v>73</v>
      </c>
    </row>
    <row r="4484" spans="1:50" x14ac:dyDescent="0.3">
      <c r="A4484" t="str">
        <f>"200307B0000"</f>
        <v>200307B0000</v>
      </c>
      <c r="B4484" t="str">
        <f>"200307B00002"</f>
        <v>200307B00002</v>
      </c>
      <c r="C4484" t="str">
        <f t="shared" si="227"/>
        <v>20</v>
      </c>
      <c r="D4484" t="s">
        <v>67</v>
      </c>
      <c r="E4484" t="str">
        <f t="shared" si="230"/>
        <v>020</v>
      </c>
      <c r="F4484" t="s">
        <v>4506</v>
      </c>
      <c r="G4484" t="str">
        <f>"0307"</f>
        <v>0307</v>
      </c>
      <c r="H4484" t="str">
        <f>"0000"</f>
        <v>0000</v>
      </c>
      <c r="I4484" t="s">
        <v>69</v>
      </c>
      <c r="J4484">
        <v>0</v>
      </c>
      <c r="K4484">
        <v>1</v>
      </c>
      <c r="L4484">
        <v>2</v>
      </c>
      <c r="M4484">
        <v>196</v>
      </c>
      <c r="N4484">
        <v>279</v>
      </c>
      <c r="O4484">
        <v>6</v>
      </c>
      <c r="P4484">
        <v>279</v>
      </c>
      <c r="Q4484">
        <v>0</v>
      </c>
      <c r="R4484">
        <v>48</v>
      </c>
      <c r="S4484">
        <v>3</v>
      </c>
      <c r="T4484">
        <v>2</v>
      </c>
      <c r="U4484">
        <v>57</v>
      </c>
      <c r="V4484">
        <v>3</v>
      </c>
      <c r="W4484">
        <v>3</v>
      </c>
      <c r="X4484">
        <v>117</v>
      </c>
      <c r="Y4484">
        <v>3</v>
      </c>
      <c r="Z4484">
        <v>22</v>
      </c>
      <c r="AA4484">
        <v>3</v>
      </c>
      <c r="AB4484">
        <v>4</v>
      </c>
      <c r="AD4484" t="s">
        <v>77</v>
      </c>
      <c r="AE4484" t="s">
        <v>77</v>
      </c>
      <c r="AF4484" t="s">
        <v>77</v>
      </c>
      <c r="AG4484" t="s">
        <v>77</v>
      </c>
      <c r="AH4484" t="s">
        <v>77</v>
      </c>
      <c r="AI4484" t="s">
        <v>77</v>
      </c>
      <c r="AJ4484">
        <v>14</v>
      </c>
      <c r="AK4484">
        <v>279</v>
      </c>
      <c r="AL4484">
        <v>279</v>
      </c>
      <c r="AM4484">
        <v>431</v>
      </c>
      <c r="AN4484">
        <v>44</v>
      </c>
      <c r="AO4484" t="s">
        <v>78</v>
      </c>
      <c r="AP4484">
        <v>1</v>
      </c>
      <c r="AR4484" t="s">
        <v>4585</v>
      </c>
      <c r="AS4484" s="1">
        <v>44354.059027777781</v>
      </c>
      <c r="AT4484" s="1">
        <v>44354.066620370373</v>
      </c>
      <c r="AU4484" s="1">
        <v>44354.067199074074</v>
      </c>
      <c r="AV4484" t="s">
        <v>71</v>
      </c>
      <c r="AW4484" t="s">
        <v>72</v>
      </c>
      <c r="AX4484" t="s">
        <v>73</v>
      </c>
    </row>
    <row r="4485" spans="1:50" x14ac:dyDescent="0.3">
      <c r="A4485" t="str">
        <f>"200307C0100"</f>
        <v>200307C0100</v>
      </c>
      <c r="B4485" t="str">
        <f>"200307C01002"</f>
        <v>200307C01002</v>
      </c>
      <c r="C4485" t="str">
        <f t="shared" si="227"/>
        <v>20</v>
      </c>
      <c r="D4485" t="s">
        <v>67</v>
      </c>
      <c r="E4485" t="str">
        <f t="shared" si="230"/>
        <v>020</v>
      </c>
      <c r="F4485" t="s">
        <v>4506</v>
      </c>
      <c r="G4485" t="str">
        <f>"0307"</f>
        <v>0307</v>
      </c>
      <c r="H4485" t="str">
        <f>"0001"</f>
        <v>0001</v>
      </c>
      <c r="I4485" t="s">
        <v>75</v>
      </c>
      <c r="J4485">
        <v>0</v>
      </c>
      <c r="K4485">
        <v>1</v>
      </c>
      <c r="L4485">
        <v>2</v>
      </c>
      <c r="M4485">
        <v>180</v>
      </c>
      <c r="N4485">
        <v>295</v>
      </c>
      <c r="O4485">
        <v>6</v>
      </c>
      <c r="P4485">
        <v>295</v>
      </c>
      <c r="Q4485">
        <v>1</v>
      </c>
      <c r="R4485">
        <v>53</v>
      </c>
      <c r="S4485">
        <v>6</v>
      </c>
      <c r="T4485">
        <v>0</v>
      </c>
      <c r="U4485">
        <v>53</v>
      </c>
      <c r="V4485">
        <v>3</v>
      </c>
      <c r="W4485">
        <v>2</v>
      </c>
      <c r="X4485">
        <v>136</v>
      </c>
      <c r="Y4485">
        <v>6</v>
      </c>
      <c r="Z4485">
        <v>20</v>
      </c>
      <c r="AA4485">
        <v>2</v>
      </c>
      <c r="AB4485">
        <v>3</v>
      </c>
      <c r="AD4485">
        <v>1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9</v>
      </c>
      <c r="AK4485">
        <v>295</v>
      </c>
      <c r="AL4485">
        <v>295</v>
      </c>
      <c r="AM4485">
        <v>431</v>
      </c>
      <c r="AN4485">
        <v>44</v>
      </c>
      <c r="AP4485">
        <v>1</v>
      </c>
      <c r="AR4485" t="s">
        <v>4586</v>
      </c>
      <c r="AS4485" s="1">
        <v>44354.061111111114</v>
      </c>
      <c r="AT4485" s="1">
        <v>44354.068206018521</v>
      </c>
      <c r="AU4485" s="1">
        <v>44354.06894675926</v>
      </c>
      <c r="AV4485" t="s">
        <v>71</v>
      </c>
      <c r="AW4485" t="s">
        <v>72</v>
      </c>
      <c r="AX4485" t="s">
        <v>73</v>
      </c>
    </row>
    <row r="4486" spans="1:50" x14ac:dyDescent="0.3">
      <c r="A4486" t="str">
        <f>"200308B0000"</f>
        <v>200308B0000</v>
      </c>
      <c r="B4486" t="str">
        <f>"200308B00002"</f>
        <v>200308B00002</v>
      </c>
      <c r="C4486" t="str">
        <f t="shared" si="227"/>
        <v>20</v>
      </c>
      <c r="D4486" t="s">
        <v>67</v>
      </c>
      <c r="E4486" t="str">
        <f t="shared" si="230"/>
        <v>020</v>
      </c>
      <c r="F4486" t="s">
        <v>4506</v>
      </c>
      <c r="G4486" t="str">
        <f>"0308"</f>
        <v>0308</v>
      </c>
      <c r="H4486" t="str">
        <f>"0000"</f>
        <v>0000</v>
      </c>
      <c r="I4486" t="s">
        <v>69</v>
      </c>
      <c r="J4486">
        <v>0</v>
      </c>
      <c r="K4486">
        <v>1</v>
      </c>
      <c r="L4486">
        <v>2</v>
      </c>
      <c r="M4486">
        <v>181</v>
      </c>
      <c r="N4486">
        <v>245</v>
      </c>
      <c r="O4486">
        <v>4</v>
      </c>
      <c r="P4486">
        <v>233</v>
      </c>
      <c r="Q4486">
        <v>2</v>
      </c>
      <c r="R4486">
        <v>63</v>
      </c>
      <c r="S4486">
        <v>3</v>
      </c>
      <c r="T4486">
        <v>1</v>
      </c>
      <c r="U4486">
        <v>54</v>
      </c>
      <c r="V4486">
        <v>7</v>
      </c>
      <c r="W4486">
        <v>0</v>
      </c>
      <c r="X4486">
        <v>77</v>
      </c>
      <c r="Y4486">
        <v>7</v>
      </c>
      <c r="Z4486">
        <v>10</v>
      </c>
      <c r="AA4486">
        <v>7</v>
      </c>
      <c r="AB4486">
        <v>2</v>
      </c>
      <c r="AD4486" t="s">
        <v>77</v>
      </c>
      <c r="AE4486" t="s">
        <v>77</v>
      </c>
      <c r="AF4486" t="s">
        <v>77</v>
      </c>
      <c r="AG4486" t="s">
        <v>77</v>
      </c>
      <c r="AH4486" t="s">
        <v>77</v>
      </c>
      <c r="AI4486" t="s">
        <v>77</v>
      </c>
      <c r="AJ4486">
        <v>12</v>
      </c>
      <c r="AK4486" t="s">
        <v>77</v>
      </c>
      <c r="AL4486">
        <v>245</v>
      </c>
      <c r="AM4486">
        <v>382</v>
      </c>
      <c r="AN4486">
        <v>44</v>
      </c>
      <c r="AO4486" t="s">
        <v>78</v>
      </c>
      <c r="AP4486">
        <v>1</v>
      </c>
      <c r="AR4486" t="s">
        <v>4587</v>
      </c>
      <c r="AS4486" s="1">
        <v>44354.086805555555</v>
      </c>
      <c r="AT4486" s="1">
        <v>44354.094340277778</v>
      </c>
      <c r="AU4486" s="1">
        <v>44354.094826388886</v>
      </c>
      <c r="AV4486" t="s">
        <v>71</v>
      </c>
      <c r="AW4486" t="s">
        <v>72</v>
      </c>
      <c r="AX4486" t="s">
        <v>73</v>
      </c>
    </row>
    <row r="4487" spans="1:50" x14ac:dyDescent="0.3">
      <c r="A4487" t="str">
        <f>"200308C0100"</f>
        <v>200308C0100</v>
      </c>
      <c r="B4487" t="str">
        <f>"200308C01002"</f>
        <v>200308C01002</v>
      </c>
      <c r="C4487" t="str">
        <f t="shared" ref="C4487:C4550" si="231">"20"</f>
        <v>20</v>
      </c>
      <c r="D4487" t="s">
        <v>67</v>
      </c>
      <c r="E4487" t="str">
        <f t="shared" si="230"/>
        <v>020</v>
      </c>
      <c r="F4487" t="s">
        <v>4506</v>
      </c>
      <c r="G4487" t="str">
        <f>"0308"</f>
        <v>0308</v>
      </c>
      <c r="H4487" t="str">
        <f>"0001"</f>
        <v>0001</v>
      </c>
      <c r="I4487" t="s">
        <v>75</v>
      </c>
      <c r="J4487">
        <v>0</v>
      </c>
      <c r="K4487">
        <v>1</v>
      </c>
      <c r="L4487">
        <v>2</v>
      </c>
      <c r="M4487">
        <v>181</v>
      </c>
      <c r="N4487">
        <v>244</v>
      </c>
      <c r="O4487">
        <v>2</v>
      </c>
      <c r="P4487">
        <v>244</v>
      </c>
      <c r="Q4487">
        <v>5</v>
      </c>
      <c r="R4487">
        <v>75</v>
      </c>
      <c r="S4487">
        <v>8</v>
      </c>
      <c r="T4487">
        <v>1</v>
      </c>
      <c r="U4487">
        <v>34</v>
      </c>
      <c r="V4487">
        <v>6</v>
      </c>
      <c r="W4487">
        <v>2</v>
      </c>
      <c r="X4487">
        <v>78</v>
      </c>
      <c r="Y4487">
        <v>5</v>
      </c>
      <c r="Z4487">
        <v>18</v>
      </c>
      <c r="AA4487">
        <v>1</v>
      </c>
      <c r="AB4487">
        <v>4</v>
      </c>
      <c r="AD4487" t="s">
        <v>77</v>
      </c>
      <c r="AE4487" t="s">
        <v>77</v>
      </c>
      <c r="AF4487" t="s">
        <v>77</v>
      </c>
      <c r="AG4487" t="s">
        <v>77</v>
      </c>
      <c r="AH4487" t="s">
        <v>77</v>
      </c>
      <c r="AI4487" t="s">
        <v>77</v>
      </c>
      <c r="AJ4487">
        <v>7</v>
      </c>
      <c r="AK4487">
        <v>244</v>
      </c>
      <c r="AL4487">
        <v>244</v>
      </c>
      <c r="AM4487">
        <v>381</v>
      </c>
      <c r="AN4487">
        <v>44</v>
      </c>
      <c r="AO4487" t="s">
        <v>78</v>
      </c>
      <c r="AP4487">
        <v>1</v>
      </c>
      <c r="AR4487" t="s">
        <v>4588</v>
      </c>
      <c r="AS4487" s="1">
        <v>44354.07916666667</v>
      </c>
      <c r="AT4487" s="1">
        <v>44354.088217592594</v>
      </c>
      <c r="AU4487" s="1">
        <v>44354.088831018518</v>
      </c>
      <c r="AV4487" t="s">
        <v>71</v>
      </c>
      <c r="AW4487" t="s">
        <v>72</v>
      </c>
      <c r="AX4487" t="s">
        <v>73</v>
      </c>
    </row>
    <row r="4488" spans="1:50" x14ac:dyDescent="0.3">
      <c r="A4488" t="str">
        <f>"200309B0000"</f>
        <v>200309B0000</v>
      </c>
      <c r="B4488" t="str">
        <f>"200309B00002"</f>
        <v>200309B00002</v>
      </c>
      <c r="C4488" t="str">
        <f t="shared" si="231"/>
        <v>20</v>
      </c>
      <c r="D4488" t="s">
        <v>67</v>
      </c>
      <c r="E4488" t="str">
        <f t="shared" si="230"/>
        <v>020</v>
      </c>
      <c r="F4488" t="s">
        <v>4506</v>
      </c>
      <c r="G4488" t="str">
        <f>"0309"</f>
        <v>0309</v>
      </c>
      <c r="H4488" t="str">
        <f>"0000"</f>
        <v>0000</v>
      </c>
      <c r="I4488" t="s">
        <v>69</v>
      </c>
      <c r="J4488">
        <v>0</v>
      </c>
      <c r="K4488">
        <v>1</v>
      </c>
      <c r="L4488">
        <v>2</v>
      </c>
      <c r="M4488">
        <v>266</v>
      </c>
      <c r="N4488">
        <v>465</v>
      </c>
      <c r="O4488">
        <v>6</v>
      </c>
      <c r="P4488">
        <v>465</v>
      </c>
      <c r="Q4488">
        <v>4</v>
      </c>
      <c r="R4488">
        <v>16</v>
      </c>
      <c r="S4488">
        <v>7</v>
      </c>
      <c r="T4488">
        <v>1</v>
      </c>
      <c r="U4488">
        <v>84</v>
      </c>
      <c r="V4488">
        <v>15</v>
      </c>
      <c r="W4488">
        <v>12</v>
      </c>
      <c r="X4488">
        <v>186</v>
      </c>
      <c r="Y4488">
        <v>6</v>
      </c>
      <c r="Z4488">
        <v>35</v>
      </c>
      <c r="AA4488">
        <v>5</v>
      </c>
      <c r="AB4488">
        <v>4</v>
      </c>
      <c r="AD4488">
        <v>1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10</v>
      </c>
      <c r="AK4488">
        <v>465</v>
      </c>
      <c r="AL4488">
        <v>386</v>
      </c>
      <c r="AM4488">
        <v>687</v>
      </c>
      <c r="AN4488">
        <v>44</v>
      </c>
      <c r="AP4488">
        <v>1</v>
      </c>
      <c r="AR4488" t="s">
        <v>4589</v>
      </c>
      <c r="AS4488" s="1">
        <v>44354.081944444442</v>
      </c>
      <c r="AT4488" s="1">
        <v>44354.091145833336</v>
      </c>
      <c r="AU4488" s="1">
        <v>44354.092280092591</v>
      </c>
      <c r="AV4488" t="s">
        <v>71</v>
      </c>
      <c r="AW4488" t="s">
        <v>72</v>
      </c>
      <c r="AX4488" t="s">
        <v>73</v>
      </c>
    </row>
    <row r="4489" spans="1:50" x14ac:dyDescent="0.3">
      <c r="A4489" t="str">
        <f>"200310B0000"</f>
        <v>200310B0000</v>
      </c>
      <c r="B4489" t="str">
        <f>"200310B00002"</f>
        <v>200310B00002</v>
      </c>
      <c r="C4489" t="str">
        <f t="shared" si="231"/>
        <v>20</v>
      </c>
      <c r="D4489" t="s">
        <v>67</v>
      </c>
      <c r="E4489" t="str">
        <f t="shared" si="230"/>
        <v>020</v>
      </c>
      <c r="F4489" t="s">
        <v>4506</v>
      </c>
      <c r="G4489" t="str">
        <f>"0310"</f>
        <v>0310</v>
      </c>
      <c r="H4489" t="str">
        <f>"0000"</f>
        <v>0000</v>
      </c>
      <c r="I4489" t="s">
        <v>69</v>
      </c>
      <c r="J4489">
        <v>0</v>
      </c>
      <c r="K4489">
        <v>1</v>
      </c>
      <c r="L4489">
        <v>2</v>
      </c>
      <c r="M4489">
        <v>271</v>
      </c>
      <c r="N4489">
        <v>447</v>
      </c>
      <c r="O4489">
        <v>4</v>
      </c>
      <c r="P4489">
        <v>448</v>
      </c>
      <c r="Q4489">
        <v>1</v>
      </c>
      <c r="R4489">
        <v>79</v>
      </c>
      <c r="S4489">
        <v>6</v>
      </c>
      <c r="T4489">
        <v>1</v>
      </c>
      <c r="U4489">
        <v>68</v>
      </c>
      <c r="V4489">
        <v>9</v>
      </c>
      <c r="W4489">
        <v>3</v>
      </c>
      <c r="X4489">
        <v>198</v>
      </c>
      <c r="Y4489">
        <v>4</v>
      </c>
      <c r="Z4489">
        <v>48</v>
      </c>
      <c r="AA4489">
        <v>4</v>
      </c>
      <c r="AB4489">
        <v>5</v>
      </c>
      <c r="AD4489">
        <v>2</v>
      </c>
      <c r="AE4489">
        <v>0</v>
      </c>
      <c r="AF4489">
        <v>0</v>
      </c>
      <c r="AG4489">
        <v>0</v>
      </c>
      <c r="AH4489">
        <v>1</v>
      </c>
      <c r="AI4489">
        <v>0</v>
      </c>
      <c r="AJ4489">
        <v>19</v>
      </c>
      <c r="AK4489">
        <v>448</v>
      </c>
      <c r="AL4489">
        <v>448</v>
      </c>
      <c r="AM4489">
        <v>675</v>
      </c>
      <c r="AN4489">
        <v>44</v>
      </c>
      <c r="AP4489">
        <v>1</v>
      </c>
      <c r="AR4489" t="s">
        <v>4590</v>
      </c>
      <c r="AS4489" s="1">
        <v>44354.023611111108</v>
      </c>
      <c r="AT4489" s="1">
        <v>44354.032048611109</v>
      </c>
      <c r="AU4489" s="1">
        <v>44354.032696759263</v>
      </c>
      <c r="AV4489" t="s">
        <v>71</v>
      </c>
      <c r="AW4489" t="s">
        <v>72</v>
      </c>
      <c r="AX4489" t="s">
        <v>73</v>
      </c>
    </row>
    <row r="4490" spans="1:50" x14ac:dyDescent="0.3">
      <c r="A4490" t="str">
        <f>"200310C0100"</f>
        <v>200310C0100</v>
      </c>
      <c r="B4490" t="str">
        <f>"200310C01002"</f>
        <v>200310C01002</v>
      </c>
      <c r="C4490" t="str">
        <f t="shared" si="231"/>
        <v>20</v>
      </c>
      <c r="D4490" t="s">
        <v>67</v>
      </c>
      <c r="E4490" t="str">
        <f t="shared" si="230"/>
        <v>020</v>
      </c>
      <c r="F4490" t="s">
        <v>4506</v>
      </c>
      <c r="G4490" t="str">
        <f>"0310"</f>
        <v>0310</v>
      </c>
      <c r="H4490" t="str">
        <f>"0001"</f>
        <v>0001</v>
      </c>
      <c r="I4490" t="s">
        <v>75</v>
      </c>
      <c r="J4490">
        <v>0</v>
      </c>
      <c r="K4490">
        <v>1</v>
      </c>
      <c r="L4490">
        <v>2</v>
      </c>
      <c r="M4490">
        <v>229</v>
      </c>
      <c r="N4490">
        <v>489</v>
      </c>
      <c r="O4490">
        <v>6</v>
      </c>
      <c r="P4490">
        <v>489</v>
      </c>
      <c r="Q4490">
        <v>0</v>
      </c>
      <c r="R4490">
        <v>92</v>
      </c>
      <c r="S4490">
        <v>6</v>
      </c>
      <c r="T4490">
        <v>0</v>
      </c>
      <c r="U4490">
        <v>52</v>
      </c>
      <c r="V4490">
        <v>4</v>
      </c>
      <c r="W4490">
        <v>5</v>
      </c>
      <c r="X4490">
        <v>256</v>
      </c>
      <c r="Y4490">
        <v>11</v>
      </c>
      <c r="Z4490">
        <v>38</v>
      </c>
      <c r="AA4490">
        <v>7</v>
      </c>
      <c r="AB4490">
        <v>6</v>
      </c>
      <c r="AD4490">
        <v>1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11</v>
      </c>
      <c r="AK4490">
        <v>489</v>
      </c>
      <c r="AL4490">
        <v>489</v>
      </c>
      <c r="AM4490">
        <v>674</v>
      </c>
      <c r="AN4490">
        <v>44</v>
      </c>
      <c r="AP4490">
        <v>1</v>
      </c>
      <c r="AR4490" t="s">
        <v>4591</v>
      </c>
      <c r="AS4490" s="1">
        <v>44354.01458333333</v>
      </c>
      <c r="AT4490" s="1">
        <v>44354.023831018516</v>
      </c>
      <c r="AU4490" s="1">
        <v>44354.024375000001</v>
      </c>
      <c r="AV4490" t="s">
        <v>71</v>
      </c>
      <c r="AW4490" t="s">
        <v>72</v>
      </c>
      <c r="AX4490" t="s">
        <v>73</v>
      </c>
    </row>
    <row r="4491" spans="1:50" x14ac:dyDescent="0.3">
      <c r="A4491" t="str">
        <f>"200311B0000"</f>
        <v>200311B0000</v>
      </c>
      <c r="B4491" t="str">
        <f>"200311B00002"</f>
        <v>200311B00002</v>
      </c>
      <c r="C4491" t="str">
        <f t="shared" si="231"/>
        <v>20</v>
      </c>
      <c r="D4491" t="s">
        <v>67</v>
      </c>
      <c r="E4491" t="str">
        <f t="shared" si="230"/>
        <v>020</v>
      </c>
      <c r="F4491" t="s">
        <v>4506</v>
      </c>
      <c r="G4491" t="str">
        <f>"0311"</f>
        <v>0311</v>
      </c>
      <c r="H4491" t="str">
        <f>"0000"</f>
        <v>0000</v>
      </c>
      <c r="I4491" t="s">
        <v>69</v>
      </c>
      <c r="J4491">
        <v>0</v>
      </c>
      <c r="K4491">
        <v>1</v>
      </c>
      <c r="L4491">
        <v>2</v>
      </c>
      <c r="M4491">
        <v>253</v>
      </c>
      <c r="N4491">
        <v>444</v>
      </c>
      <c r="O4491">
        <v>4</v>
      </c>
      <c r="P4491" t="s">
        <v>80</v>
      </c>
      <c r="Q4491">
        <v>3</v>
      </c>
      <c r="R4491">
        <v>79</v>
      </c>
      <c r="S4491">
        <v>7</v>
      </c>
      <c r="T4491">
        <v>2</v>
      </c>
      <c r="U4491">
        <v>80</v>
      </c>
      <c r="V4491">
        <v>7</v>
      </c>
      <c r="W4491">
        <v>4</v>
      </c>
      <c r="X4491">
        <v>196</v>
      </c>
      <c r="Y4491">
        <v>10</v>
      </c>
      <c r="Z4491">
        <v>33</v>
      </c>
      <c r="AA4491">
        <v>2</v>
      </c>
      <c r="AB4491">
        <v>10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10</v>
      </c>
      <c r="AK4491">
        <v>443</v>
      </c>
      <c r="AL4491">
        <v>443</v>
      </c>
      <c r="AM4491">
        <v>656</v>
      </c>
      <c r="AN4491">
        <v>44</v>
      </c>
      <c r="AP4491">
        <v>1</v>
      </c>
      <c r="AR4491" t="s">
        <v>4592</v>
      </c>
      <c r="AS4491" s="1">
        <v>44354.024305555555</v>
      </c>
      <c r="AT4491" s="1">
        <v>44354.032175925924</v>
      </c>
      <c r="AU4491" s="1">
        <v>44354.03261574074</v>
      </c>
      <c r="AV4491" t="s">
        <v>71</v>
      </c>
      <c r="AW4491" t="s">
        <v>72</v>
      </c>
      <c r="AX4491" t="s">
        <v>73</v>
      </c>
    </row>
    <row r="4492" spans="1:50" x14ac:dyDescent="0.3">
      <c r="A4492" t="str">
        <f>"200311C0100"</f>
        <v>200311C0100</v>
      </c>
      <c r="B4492" t="str">
        <f>"200311C01002"</f>
        <v>200311C01002</v>
      </c>
      <c r="C4492" t="str">
        <f t="shared" si="231"/>
        <v>20</v>
      </c>
      <c r="D4492" t="s">
        <v>67</v>
      </c>
      <c r="E4492" t="str">
        <f t="shared" si="230"/>
        <v>020</v>
      </c>
      <c r="F4492" t="s">
        <v>4506</v>
      </c>
      <c r="G4492" t="str">
        <f>"0311"</f>
        <v>0311</v>
      </c>
      <c r="H4492" t="str">
        <f>"0001"</f>
        <v>0001</v>
      </c>
      <c r="I4492" t="s">
        <v>75</v>
      </c>
      <c r="J4492">
        <v>0</v>
      </c>
      <c r="K4492">
        <v>1</v>
      </c>
      <c r="L4492">
        <v>2</v>
      </c>
      <c r="M4492">
        <v>233</v>
      </c>
      <c r="N4492">
        <v>700</v>
      </c>
      <c r="O4492">
        <v>7</v>
      </c>
      <c r="P4492">
        <v>700</v>
      </c>
      <c r="Q4492">
        <v>1</v>
      </c>
      <c r="R4492">
        <v>90</v>
      </c>
      <c r="S4492">
        <v>7</v>
      </c>
      <c r="T4492">
        <v>1</v>
      </c>
      <c r="U4492">
        <v>99</v>
      </c>
      <c r="V4492">
        <v>7</v>
      </c>
      <c r="W4492" t="s">
        <v>77</v>
      </c>
      <c r="X4492">
        <v>192</v>
      </c>
      <c r="Y4492">
        <v>10</v>
      </c>
      <c r="Z4492">
        <v>38</v>
      </c>
      <c r="AA4492">
        <v>5</v>
      </c>
      <c r="AB4492">
        <v>3</v>
      </c>
      <c r="AD4492">
        <v>1</v>
      </c>
      <c r="AE4492">
        <v>1</v>
      </c>
      <c r="AF4492" t="s">
        <v>77</v>
      </c>
      <c r="AG4492" t="s">
        <v>77</v>
      </c>
      <c r="AH4492" t="s">
        <v>77</v>
      </c>
      <c r="AI4492">
        <v>12</v>
      </c>
      <c r="AJ4492" t="s">
        <v>77</v>
      </c>
      <c r="AK4492">
        <v>467</v>
      </c>
      <c r="AL4492">
        <v>467</v>
      </c>
      <c r="AM4492">
        <v>656</v>
      </c>
      <c r="AN4492">
        <v>44</v>
      </c>
      <c r="AO4492" t="s">
        <v>78</v>
      </c>
      <c r="AP4492">
        <v>1</v>
      </c>
      <c r="AR4492" t="s">
        <v>4593</v>
      </c>
      <c r="AS4492" s="1">
        <v>44354.03402777778</v>
      </c>
      <c r="AT4492" s="1">
        <v>44354.04173611111</v>
      </c>
      <c r="AU4492" s="1">
        <v>44354.042187500003</v>
      </c>
      <c r="AV4492" t="s">
        <v>71</v>
      </c>
      <c r="AW4492" t="s">
        <v>72</v>
      </c>
      <c r="AX4492" t="s">
        <v>73</v>
      </c>
    </row>
    <row r="4493" spans="1:50" x14ac:dyDescent="0.3">
      <c r="A4493" t="str">
        <f>"200312B0000"</f>
        <v>200312B0000</v>
      </c>
      <c r="B4493" t="str">
        <f>"200312B00002"</f>
        <v>200312B00002</v>
      </c>
      <c r="C4493" t="str">
        <f t="shared" si="231"/>
        <v>20</v>
      </c>
      <c r="D4493" t="s">
        <v>67</v>
      </c>
      <c r="E4493" t="str">
        <f t="shared" si="230"/>
        <v>020</v>
      </c>
      <c r="F4493" t="s">
        <v>4506</v>
      </c>
      <c r="G4493" t="str">
        <f>"0312"</f>
        <v>0312</v>
      </c>
      <c r="H4493" t="str">
        <f>"0000"</f>
        <v>0000</v>
      </c>
      <c r="I4493" t="s">
        <v>69</v>
      </c>
      <c r="J4493">
        <v>0</v>
      </c>
      <c r="K4493">
        <v>1</v>
      </c>
      <c r="L4493">
        <v>2</v>
      </c>
      <c r="M4493">
        <v>234</v>
      </c>
      <c r="N4493">
        <v>458</v>
      </c>
      <c r="O4493">
        <v>6</v>
      </c>
      <c r="P4493">
        <v>458</v>
      </c>
      <c r="Q4493">
        <v>1</v>
      </c>
      <c r="R4493">
        <v>58</v>
      </c>
      <c r="S4493">
        <v>15</v>
      </c>
      <c r="T4493">
        <v>4</v>
      </c>
      <c r="U4493">
        <v>97</v>
      </c>
      <c r="V4493">
        <v>5</v>
      </c>
      <c r="W4493">
        <v>3</v>
      </c>
      <c r="X4493">
        <v>216</v>
      </c>
      <c r="Y4493">
        <v>10</v>
      </c>
      <c r="Z4493">
        <v>21</v>
      </c>
      <c r="AA4493">
        <v>7</v>
      </c>
      <c r="AB4493">
        <v>3</v>
      </c>
      <c r="AD4493">
        <v>0</v>
      </c>
      <c r="AE4493">
        <v>0</v>
      </c>
      <c r="AF4493">
        <v>0</v>
      </c>
      <c r="AG4493">
        <v>0</v>
      </c>
      <c r="AH4493">
        <v>1</v>
      </c>
      <c r="AI4493">
        <v>0</v>
      </c>
      <c r="AJ4493">
        <v>17</v>
      </c>
      <c r="AK4493">
        <v>458</v>
      </c>
      <c r="AL4493">
        <v>458</v>
      </c>
      <c r="AM4493">
        <v>648</v>
      </c>
      <c r="AN4493">
        <v>44</v>
      </c>
      <c r="AP4493">
        <v>1</v>
      </c>
      <c r="AR4493" t="s">
        <v>4594</v>
      </c>
      <c r="AS4493" s="1">
        <v>44354.049305555556</v>
      </c>
      <c r="AT4493" s="1">
        <v>44354.057766203703</v>
      </c>
      <c r="AU4493" s="1">
        <v>44354.058599537035</v>
      </c>
      <c r="AV4493" t="s">
        <v>71</v>
      </c>
      <c r="AW4493" t="s">
        <v>72</v>
      </c>
      <c r="AX4493" t="s">
        <v>73</v>
      </c>
    </row>
    <row r="4494" spans="1:50" x14ac:dyDescent="0.3">
      <c r="A4494" t="str">
        <f>"200312C0100"</f>
        <v>200312C0100</v>
      </c>
      <c r="B4494" t="str">
        <f>"200312C01002"</f>
        <v>200312C01002</v>
      </c>
      <c r="C4494" t="str">
        <f t="shared" si="231"/>
        <v>20</v>
      </c>
      <c r="D4494" t="s">
        <v>67</v>
      </c>
      <c r="E4494" t="str">
        <f t="shared" si="230"/>
        <v>020</v>
      </c>
      <c r="F4494" t="s">
        <v>4506</v>
      </c>
      <c r="G4494" t="str">
        <f>"0312"</f>
        <v>0312</v>
      </c>
      <c r="H4494" t="str">
        <f>"0001"</f>
        <v>0001</v>
      </c>
      <c r="I4494" t="s">
        <v>75</v>
      </c>
      <c r="J4494">
        <v>0</v>
      </c>
      <c r="K4494">
        <v>1</v>
      </c>
      <c r="L4494">
        <v>2</v>
      </c>
      <c r="M4494">
        <v>249</v>
      </c>
      <c r="N4494">
        <v>443</v>
      </c>
      <c r="O4494">
        <v>6</v>
      </c>
      <c r="P4494">
        <v>443</v>
      </c>
      <c r="Q4494">
        <v>1</v>
      </c>
      <c r="R4494">
        <v>68</v>
      </c>
      <c r="S4494">
        <v>2</v>
      </c>
      <c r="T4494">
        <v>6</v>
      </c>
      <c r="U4494">
        <v>111</v>
      </c>
      <c r="V4494">
        <v>8</v>
      </c>
      <c r="W4494">
        <v>3</v>
      </c>
      <c r="X4494">
        <v>181</v>
      </c>
      <c r="Y4494">
        <v>6</v>
      </c>
      <c r="Z4494">
        <v>25</v>
      </c>
      <c r="AA4494">
        <v>5</v>
      </c>
      <c r="AB4494">
        <v>5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22</v>
      </c>
      <c r="AK4494">
        <v>443</v>
      </c>
      <c r="AL4494">
        <v>443</v>
      </c>
      <c r="AM4494">
        <v>648</v>
      </c>
      <c r="AN4494">
        <v>44</v>
      </c>
      <c r="AP4494">
        <v>1</v>
      </c>
      <c r="AR4494" t="s">
        <v>4595</v>
      </c>
      <c r="AS4494" s="1">
        <v>44354.054861111108</v>
      </c>
      <c r="AT4494" s="1">
        <v>44354.061493055553</v>
      </c>
      <c r="AU4494" s="1">
        <v>44354.061944444446</v>
      </c>
      <c r="AV4494" t="s">
        <v>71</v>
      </c>
      <c r="AW4494" t="s">
        <v>72</v>
      </c>
      <c r="AX4494" t="s">
        <v>73</v>
      </c>
    </row>
    <row r="4495" spans="1:50" x14ac:dyDescent="0.3">
      <c r="A4495" t="str">
        <f>"200313B0000"</f>
        <v>200313B0000</v>
      </c>
      <c r="B4495" t="str">
        <f>"200313B00002"</f>
        <v>200313B00002</v>
      </c>
      <c r="C4495" t="str">
        <f t="shared" si="231"/>
        <v>20</v>
      </c>
      <c r="D4495" t="s">
        <v>67</v>
      </c>
      <c r="E4495" t="str">
        <f t="shared" si="230"/>
        <v>020</v>
      </c>
      <c r="F4495" t="s">
        <v>4506</v>
      </c>
      <c r="G4495" t="str">
        <f>"0313"</f>
        <v>0313</v>
      </c>
      <c r="H4495" t="str">
        <f>"0000"</f>
        <v>0000</v>
      </c>
      <c r="I4495" t="s">
        <v>69</v>
      </c>
      <c r="J4495">
        <v>0</v>
      </c>
      <c r="K4495">
        <v>1</v>
      </c>
      <c r="L4495">
        <v>2</v>
      </c>
      <c r="M4495">
        <v>253</v>
      </c>
      <c r="N4495">
        <v>438</v>
      </c>
      <c r="O4495">
        <v>3</v>
      </c>
      <c r="P4495">
        <v>438</v>
      </c>
      <c r="Q4495">
        <v>4</v>
      </c>
      <c r="R4495">
        <v>58</v>
      </c>
      <c r="S4495">
        <v>9</v>
      </c>
      <c r="T4495">
        <v>1</v>
      </c>
      <c r="U4495">
        <v>86</v>
      </c>
      <c r="V4495">
        <v>7</v>
      </c>
      <c r="W4495">
        <v>1</v>
      </c>
      <c r="X4495">
        <v>201</v>
      </c>
      <c r="Y4495">
        <v>8</v>
      </c>
      <c r="Z4495">
        <v>39</v>
      </c>
      <c r="AA4495">
        <v>4</v>
      </c>
      <c r="AB4495">
        <v>2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18</v>
      </c>
      <c r="AK4495">
        <v>438</v>
      </c>
      <c r="AL4495">
        <v>438</v>
      </c>
      <c r="AM4495">
        <v>647</v>
      </c>
      <c r="AN4495">
        <v>44</v>
      </c>
      <c r="AP4495">
        <v>1</v>
      </c>
      <c r="AR4495" t="s">
        <v>4596</v>
      </c>
      <c r="AS4495" s="1">
        <v>44354.054166666669</v>
      </c>
      <c r="AT4495" s="1">
        <v>44354.06108796296</v>
      </c>
      <c r="AU4495" s="1">
        <v>44354.061956018515</v>
      </c>
      <c r="AV4495" t="s">
        <v>71</v>
      </c>
      <c r="AW4495" t="s">
        <v>72</v>
      </c>
      <c r="AX4495" t="s">
        <v>73</v>
      </c>
    </row>
    <row r="4496" spans="1:50" x14ac:dyDescent="0.3">
      <c r="A4496" t="str">
        <f>"200313C0100"</f>
        <v>200313C0100</v>
      </c>
      <c r="B4496" t="str">
        <f>"200313C01002"</f>
        <v>200313C01002</v>
      </c>
      <c r="C4496" t="str">
        <f t="shared" si="231"/>
        <v>20</v>
      </c>
      <c r="D4496" t="s">
        <v>67</v>
      </c>
      <c r="E4496" t="str">
        <f t="shared" si="230"/>
        <v>020</v>
      </c>
      <c r="F4496" t="s">
        <v>4506</v>
      </c>
      <c r="G4496" t="str">
        <f>"0313"</f>
        <v>0313</v>
      </c>
      <c r="H4496" t="str">
        <f>"0001"</f>
        <v>0001</v>
      </c>
      <c r="I4496" t="s">
        <v>75</v>
      </c>
      <c r="J4496">
        <v>0</v>
      </c>
      <c r="K4496">
        <v>1</v>
      </c>
      <c r="L4496">
        <v>2</v>
      </c>
      <c r="M4496">
        <v>239</v>
      </c>
      <c r="N4496">
        <v>452</v>
      </c>
      <c r="O4496">
        <v>5</v>
      </c>
      <c r="P4496">
        <v>452</v>
      </c>
      <c r="Q4496">
        <v>4</v>
      </c>
      <c r="R4496">
        <v>75</v>
      </c>
      <c r="S4496">
        <v>10</v>
      </c>
      <c r="T4496">
        <v>0</v>
      </c>
      <c r="U4496">
        <v>93</v>
      </c>
      <c r="V4496">
        <v>14</v>
      </c>
      <c r="W4496">
        <v>3</v>
      </c>
      <c r="X4496">
        <v>197</v>
      </c>
      <c r="Y4496">
        <v>7</v>
      </c>
      <c r="Z4496">
        <v>37</v>
      </c>
      <c r="AA4496">
        <v>3</v>
      </c>
      <c r="AB4496">
        <v>2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7</v>
      </c>
      <c r="AK4496">
        <v>452</v>
      </c>
      <c r="AL4496">
        <v>452</v>
      </c>
      <c r="AM4496">
        <v>647</v>
      </c>
      <c r="AN4496">
        <v>44</v>
      </c>
      <c r="AP4496">
        <v>1</v>
      </c>
      <c r="AR4496" t="s">
        <v>4597</v>
      </c>
      <c r="AS4496" s="1">
        <v>44354.04791666667</v>
      </c>
      <c r="AT4496" s="1">
        <v>44354.056562500002</v>
      </c>
      <c r="AU4496" s="1">
        <v>44354.057187500002</v>
      </c>
      <c r="AV4496" t="s">
        <v>71</v>
      </c>
      <c r="AW4496" t="s">
        <v>72</v>
      </c>
      <c r="AX4496" t="s">
        <v>73</v>
      </c>
    </row>
    <row r="4497" spans="1:50" x14ac:dyDescent="0.3">
      <c r="A4497" t="str">
        <f>"200314B0000"</f>
        <v>200314B0000</v>
      </c>
      <c r="B4497" t="str">
        <f>"200314B00002"</f>
        <v>200314B00002</v>
      </c>
      <c r="C4497" t="str">
        <f t="shared" si="231"/>
        <v>20</v>
      </c>
      <c r="D4497" t="s">
        <v>67</v>
      </c>
      <c r="E4497" t="str">
        <f t="shared" si="230"/>
        <v>020</v>
      </c>
      <c r="F4497" t="s">
        <v>4506</v>
      </c>
      <c r="G4497" t="str">
        <f>"0314"</f>
        <v>0314</v>
      </c>
      <c r="H4497" t="str">
        <f>"0000"</f>
        <v>0000</v>
      </c>
      <c r="I4497" t="s">
        <v>69</v>
      </c>
      <c r="J4497">
        <v>0</v>
      </c>
      <c r="K4497">
        <v>1</v>
      </c>
      <c r="L4497">
        <v>2</v>
      </c>
      <c r="M4497">
        <v>203</v>
      </c>
      <c r="N4497">
        <v>335</v>
      </c>
      <c r="O4497">
        <v>5</v>
      </c>
      <c r="P4497">
        <v>335</v>
      </c>
      <c r="Q4497">
        <v>1</v>
      </c>
      <c r="R4497">
        <v>53</v>
      </c>
      <c r="S4497">
        <v>5</v>
      </c>
      <c r="T4497">
        <v>0</v>
      </c>
      <c r="U4497">
        <v>44</v>
      </c>
      <c r="V4497">
        <v>6</v>
      </c>
      <c r="W4497">
        <v>3</v>
      </c>
      <c r="X4497">
        <v>161</v>
      </c>
      <c r="Y4497">
        <v>3</v>
      </c>
      <c r="Z4497">
        <v>37</v>
      </c>
      <c r="AA4497">
        <v>10</v>
      </c>
      <c r="AB4497">
        <v>2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10</v>
      </c>
      <c r="AK4497">
        <v>335</v>
      </c>
      <c r="AL4497">
        <v>335</v>
      </c>
      <c r="AM4497">
        <v>494</v>
      </c>
      <c r="AN4497">
        <v>44</v>
      </c>
      <c r="AP4497">
        <v>1</v>
      </c>
      <c r="AR4497" t="s">
        <v>4598</v>
      </c>
      <c r="AS4497" s="1">
        <v>44353.982638888891</v>
      </c>
      <c r="AT4497" s="1">
        <v>44353.98646990741</v>
      </c>
      <c r="AU4497" s="1">
        <v>44353.987800925926</v>
      </c>
      <c r="AV4497" t="s">
        <v>71</v>
      </c>
      <c r="AW4497" t="s">
        <v>72</v>
      </c>
      <c r="AX4497" t="s">
        <v>73</v>
      </c>
    </row>
    <row r="4498" spans="1:50" x14ac:dyDescent="0.3">
      <c r="A4498" t="str">
        <f>"200314C0100"</f>
        <v>200314C0100</v>
      </c>
      <c r="B4498" t="str">
        <f>"200314C01002"</f>
        <v>200314C01002</v>
      </c>
      <c r="C4498" t="str">
        <f t="shared" si="231"/>
        <v>20</v>
      </c>
      <c r="D4498" t="s">
        <v>67</v>
      </c>
      <c r="E4498" t="str">
        <f t="shared" si="230"/>
        <v>020</v>
      </c>
      <c r="F4498" t="s">
        <v>4506</v>
      </c>
      <c r="G4498" t="str">
        <f>"0314"</f>
        <v>0314</v>
      </c>
      <c r="H4498" t="str">
        <f>"0001"</f>
        <v>0001</v>
      </c>
      <c r="I4498" t="s">
        <v>75</v>
      </c>
      <c r="J4498">
        <v>0</v>
      </c>
      <c r="K4498">
        <v>1</v>
      </c>
      <c r="L4498">
        <v>2</v>
      </c>
      <c r="M4498">
        <v>198</v>
      </c>
      <c r="N4498">
        <v>340</v>
      </c>
      <c r="O4498">
        <v>2</v>
      </c>
      <c r="P4498">
        <v>340</v>
      </c>
      <c r="Q4498">
        <v>4</v>
      </c>
      <c r="R4498">
        <v>45</v>
      </c>
      <c r="S4498">
        <v>7</v>
      </c>
      <c r="T4498">
        <v>3</v>
      </c>
      <c r="U4498">
        <v>68</v>
      </c>
      <c r="V4498">
        <v>8</v>
      </c>
      <c r="W4498">
        <v>1</v>
      </c>
      <c r="X4498">
        <v>149</v>
      </c>
      <c r="Y4498">
        <v>6</v>
      </c>
      <c r="Z4498">
        <v>32</v>
      </c>
      <c r="AA4498">
        <v>4</v>
      </c>
      <c r="AB4498">
        <v>1</v>
      </c>
      <c r="AD4498">
        <v>0</v>
      </c>
      <c r="AE4498">
        <v>1</v>
      </c>
      <c r="AF4498">
        <v>0</v>
      </c>
      <c r="AG4498">
        <v>0</v>
      </c>
      <c r="AH4498">
        <v>0</v>
      </c>
      <c r="AI4498">
        <v>0</v>
      </c>
      <c r="AJ4498">
        <v>11</v>
      </c>
      <c r="AK4498">
        <v>340</v>
      </c>
      <c r="AL4498">
        <v>340</v>
      </c>
      <c r="AM4498">
        <v>494</v>
      </c>
      <c r="AN4498">
        <v>44</v>
      </c>
      <c r="AP4498">
        <v>1</v>
      </c>
      <c r="AR4498" t="s">
        <v>4599</v>
      </c>
      <c r="AS4498" s="1">
        <v>44353.854166666664</v>
      </c>
      <c r="AT4498" s="1">
        <v>44353.991701388892</v>
      </c>
      <c r="AU4498" s="1">
        <v>44353.992569444446</v>
      </c>
      <c r="AV4498" t="s">
        <v>71</v>
      </c>
      <c r="AW4498" t="s">
        <v>72</v>
      </c>
      <c r="AX4498" t="s">
        <v>73</v>
      </c>
    </row>
    <row r="4499" spans="1:50" x14ac:dyDescent="0.3">
      <c r="A4499" t="str">
        <f>"200315B0000"</f>
        <v>200315B0000</v>
      </c>
      <c r="B4499" t="str">
        <f>"200315B00002"</f>
        <v>200315B00002</v>
      </c>
      <c r="C4499" t="str">
        <f t="shared" si="231"/>
        <v>20</v>
      </c>
      <c r="D4499" t="s">
        <v>67</v>
      </c>
      <c r="E4499" t="str">
        <f t="shared" si="230"/>
        <v>020</v>
      </c>
      <c r="F4499" t="s">
        <v>4506</v>
      </c>
      <c r="G4499" t="str">
        <f>"0315"</f>
        <v>0315</v>
      </c>
      <c r="H4499" t="str">
        <f>"0000"</f>
        <v>0000</v>
      </c>
      <c r="I4499" t="s">
        <v>69</v>
      </c>
      <c r="J4499">
        <v>0</v>
      </c>
      <c r="K4499">
        <v>1</v>
      </c>
      <c r="L4499">
        <v>2</v>
      </c>
      <c r="M4499">
        <v>216</v>
      </c>
      <c r="N4499">
        <v>338</v>
      </c>
      <c r="O4499">
        <v>4</v>
      </c>
      <c r="P4499">
        <v>338</v>
      </c>
      <c r="Q4499">
        <v>6</v>
      </c>
      <c r="R4499">
        <v>83</v>
      </c>
      <c r="S4499">
        <v>5</v>
      </c>
      <c r="T4499">
        <v>0</v>
      </c>
      <c r="U4499">
        <v>58</v>
      </c>
      <c r="V4499">
        <v>3</v>
      </c>
      <c r="W4499">
        <v>4</v>
      </c>
      <c r="X4499">
        <v>134</v>
      </c>
      <c r="Y4499">
        <v>6</v>
      </c>
      <c r="Z4499">
        <v>20</v>
      </c>
      <c r="AA4499">
        <v>7</v>
      </c>
      <c r="AB4499">
        <v>2</v>
      </c>
      <c r="AD4499">
        <v>1</v>
      </c>
      <c r="AE4499">
        <v>0</v>
      </c>
      <c r="AF4499">
        <v>1</v>
      </c>
      <c r="AG4499">
        <v>0</v>
      </c>
      <c r="AH4499">
        <v>0</v>
      </c>
      <c r="AI4499">
        <v>0</v>
      </c>
      <c r="AJ4499">
        <v>8</v>
      </c>
      <c r="AK4499">
        <v>338</v>
      </c>
      <c r="AL4499">
        <v>338</v>
      </c>
      <c r="AM4499">
        <v>510</v>
      </c>
      <c r="AN4499">
        <v>44</v>
      </c>
      <c r="AP4499">
        <v>1</v>
      </c>
      <c r="AR4499" t="s">
        <v>4600</v>
      </c>
      <c r="AS4499" s="1">
        <v>44354.004166666666</v>
      </c>
      <c r="AT4499" s="1">
        <v>44354.011099537034</v>
      </c>
      <c r="AU4499" s="1">
        <v>44354.011863425927</v>
      </c>
      <c r="AV4499" t="s">
        <v>71</v>
      </c>
      <c r="AW4499" t="s">
        <v>72</v>
      </c>
      <c r="AX4499" t="s">
        <v>73</v>
      </c>
    </row>
    <row r="4500" spans="1:50" x14ac:dyDescent="0.3">
      <c r="A4500" t="str">
        <f>"200315C0100"</f>
        <v>200315C0100</v>
      </c>
      <c r="B4500" t="str">
        <f>"200315C01002"</f>
        <v>200315C01002</v>
      </c>
      <c r="C4500" t="str">
        <f t="shared" si="231"/>
        <v>20</v>
      </c>
      <c r="D4500" t="s">
        <v>67</v>
      </c>
      <c r="E4500" t="str">
        <f t="shared" si="230"/>
        <v>020</v>
      </c>
      <c r="F4500" t="s">
        <v>4506</v>
      </c>
      <c r="G4500" t="str">
        <f>"0315"</f>
        <v>0315</v>
      </c>
      <c r="H4500" t="str">
        <f>"0001"</f>
        <v>0001</v>
      </c>
      <c r="I4500" t="s">
        <v>75</v>
      </c>
      <c r="J4500">
        <v>0</v>
      </c>
      <c r="K4500">
        <v>1</v>
      </c>
      <c r="L4500">
        <v>2</v>
      </c>
      <c r="M4500">
        <v>226</v>
      </c>
      <c r="N4500">
        <v>327</v>
      </c>
      <c r="O4500">
        <v>7</v>
      </c>
      <c r="P4500">
        <v>327</v>
      </c>
      <c r="Q4500">
        <v>3</v>
      </c>
      <c r="R4500">
        <v>62</v>
      </c>
      <c r="S4500">
        <v>8</v>
      </c>
      <c r="T4500">
        <v>0</v>
      </c>
      <c r="U4500">
        <v>72</v>
      </c>
      <c r="V4500">
        <v>10</v>
      </c>
      <c r="W4500">
        <v>0</v>
      </c>
      <c r="X4500">
        <v>131</v>
      </c>
      <c r="Y4500">
        <v>6</v>
      </c>
      <c r="Z4500">
        <v>18</v>
      </c>
      <c r="AA4500">
        <v>1</v>
      </c>
      <c r="AB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16</v>
      </c>
      <c r="AK4500">
        <v>327</v>
      </c>
      <c r="AL4500">
        <v>327</v>
      </c>
      <c r="AM4500">
        <v>509</v>
      </c>
      <c r="AN4500">
        <v>44</v>
      </c>
      <c r="AP4500">
        <v>1</v>
      </c>
      <c r="AR4500" t="s">
        <v>4601</v>
      </c>
      <c r="AS4500" s="1">
        <v>44354.007638888892</v>
      </c>
      <c r="AT4500" s="1">
        <v>44354.014537037037</v>
      </c>
      <c r="AU4500" s="1">
        <v>44354.014965277776</v>
      </c>
      <c r="AV4500" t="s">
        <v>71</v>
      </c>
      <c r="AW4500" t="s">
        <v>72</v>
      </c>
      <c r="AX4500" t="s">
        <v>73</v>
      </c>
    </row>
    <row r="4501" spans="1:50" x14ac:dyDescent="0.3">
      <c r="A4501" t="str">
        <f>"200316B0000"</f>
        <v>200316B0000</v>
      </c>
      <c r="B4501" t="str">
        <f>"200316B00002"</f>
        <v>200316B00002</v>
      </c>
      <c r="C4501" t="str">
        <f t="shared" si="231"/>
        <v>20</v>
      </c>
      <c r="D4501" t="s">
        <v>67</v>
      </c>
      <c r="E4501" t="str">
        <f t="shared" si="230"/>
        <v>020</v>
      </c>
      <c r="F4501" t="s">
        <v>4506</v>
      </c>
      <c r="G4501" t="str">
        <f>"0316"</f>
        <v>0316</v>
      </c>
      <c r="H4501" t="str">
        <f>"0000"</f>
        <v>0000</v>
      </c>
      <c r="I4501" t="s">
        <v>69</v>
      </c>
      <c r="J4501">
        <v>0</v>
      </c>
      <c r="K4501">
        <v>1</v>
      </c>
      <c r="L4501">
        <v>2</v>
      </c>
      <c r="M4501">
        <v>308</v>
      </c>
      <c r="N4501">
        <v>6</v>
      </c>
      <c r="O4501">
        <v>6</v>
      </c>
      <c r="P4501">
        <v>427</v>
      </c>
      <c r="Q4501">
        <v>2</v>
      </c>
      <c r="R4501">
        <v>97</v>
      </c>
      <c r="S4501">
        <v>3</v>
      </c>
      <c r="T4501">
        <v>1</v>
      </c>
      <c r="U4501">
        <v>119</v>
      </c>
      <c r="V4501">
        <v>3</v>
      </c>
      <c r="W4501">
        <v>1</v>
      </c>
      <c r="X4501">
        <v>150</v>
      </c>
      <c r="Y4501">
        <v>5</v>
      </c>
      <c r="Z4501">
        <v>24</v>
      </c>
      <c r="AA4501">
        <v>7</v>
      </c>
      <c r="AB4501">
        <v>3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12</v>
      </c>
      <c r="AK4501">
        <v>427</v>
      </c>
      <c r="AL4501">
        <v>427</v>
      </c>
      <c r="AM4501">
        <v>691</v>
      </c>
      <c r="AN4501">
        <v>44</v>
      </c>
      <c r="AP4501">
        <v>1</v>
      </c>
      <c r="AR4501" t="s">
        <v>4602</v>
      </c>
      <c r="AS4501" s="1">
        <v>44354.006249999999</v>
      </c>
      <c r="AT4501" s="1">
        <v>44354.01321759259</v>
      </c>
      <c r="AU4501" s="1">
        <v>44354.013912037037</v>
      </c>
      <c r="AV4501" t="s">
        <v>71</v>
      </c>
      <c r="AW4501" t="s">
        <v>72</v>
      </c>
      <c r="AX4501" t="s">
        <v>73</v>
      </c>
    </row>
    <row r="4502" spans="1:50" x14ac:dyDescent="0.3">
      <c r="A4502" t="str">
        <f>"200316C0100"</f>
        <v>200316C0100</v>
      </c>
      <c r="B4502" t="str">
        <f>"200316C01002"</f>
        <v>200316C01002</v>
      </c>
      <c r="C4502" t="str">
        <f t="shared" si="231"/>
        <v>20</v>
      </c>
      <c r="D4502" t="s">
        <v>67</v>
      </c>
      <c r="E4502" t="str">
        <f t="shared" si="230"/>
        <v>020</v>
      </c>
      <c r="F4502" t="s">
        <v>4506</v>
      </c>
      <c r="G4502" t="str">
        <f>"0316"</f>
        <v>0316</v>
      </c>
      <c r="H4502" t="str">
        <f>"0001"</f>
        <v>0001</v>
      </c>
      <c r="I4502" t="s">
        <v>75</v>
      </c>
      <c r="J4502">
        <v>0</v>
      </c>
      <c r="K4502">
        <v>1</v>
      </c>
      <c r="L4502">
        <v>2</v>
      </c>
      <c r="M4502">
        <v>284</v>
      </c>
      <c r="N4502">
        <v>451</v>
      </c>
      <c r="O4502">
        <v>8</v>
      </c>
      <c r="P4502">
        <v>451</v>
      </c>
      <c r="Q4502">
        <v>3</v>
      </c>
      <c r="R4502">
        <v>65</v>
      </c>
      <c r="S4502">
        <v>6</v>
      </c>
      <c r="T4502">
        <v>1</v>
      </c>
      <c r="U4502">
        <v>165</v>
      </c>
      <c r="V4502">
        <v>4</v>
      </c>
      <c r="W4502">
        <v>1</v>
      </c>
      <c r="X4502">
        <v>157</v>
      </c>
      <c r="Y4502">
        <v>1</v>
      </c>
      <c r="Z4502">
        <v>20</v>
      </c>
      <c r="AA4502">
        <v>6</v>
      </c>
      <c r="AB4502">
        <v>10</v>
      </c>
      <c r="AD4502">
        <v>2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10</v>
      </c>
      <c r="AK4502">
        <v>451</v>
      </c>
      <c r="AL4502">
        <v>451</v>
      </c>
      <c r="AM4502">
        <v>691</v>
      </c>
      <c r="AN4502">
        <v>44</v>
      </c>
      <c r="AP4502">
        <v>1</v>
      </c>
      <c r="AR4502" t="s">
        <v>4603</v>
      </c>
      <c r="AS4502" s="1">
        <v>44354.006944444445</v>
      </c>
      <c r="AT4502" s="1">
        <v>44354.015451388892</v>
      </c>
      <c r="AU4502" s="1">
        <v>44354.016041666669</v>
      </c>
      <c r="AV4502" t="s">
        <v>71</v>
      </c>
      <c r="AW4502" t="s">
        <v>72</v>
      </c>
      <c r="AX4502" t="s">
        <v>73</v>
      </c>
    </row>
    <row r="4503" spans="1:50" x14ac:dyDescent="0.3">
      <c r="A4503" t="str">
        <f>"200317B0000"</f>
        <v>200317B0000</v>
      </c>
      <c r="B4503" t="str">
        <f>"200317B00002"</f>
        <v>200317B00002</v>
      </c>
      <c r="C4503" t="str">
        <f t="shared" si="231"/>
        <v>20</v>
      </c>
      <c r="D4503" t="s">
        <v>67</v>
      </c>
      <c r="E4503" t="str">
        <f t="shared" si="230"/>
        <v>020</v>
      </c>
      <c r="F4503" t="s">
        <v>4506</v>
      </c>
      <c r="G4503" t="str">
        <f>"0317"</f>
        <v>0317</v>
      </c>
      <c r="H4503" t="str">
        <f>"0000"</f>
        <v>0000</v>
      </c>
      <c r="I4503" t="s">
        <v>69</v>
      </c>
      <c r="J4503">
        <v>0</v>
      </c>
      <c r="K4503">
        <v>1</v>
      </c>
      <c r="L4503">
        <v>2</v>
      </c>
      <c r="M4503">
        <v>197</v>
      </c>
      <c r="N4503">
        <v>328</v>
      </c>
      <c r="O4503">
        <v>3</v>
      </c>
      <c r="P4503">
        <v>328</v>
      </c>
      <c r="Q4503">
        <v>1</v>
      </c>
      <c r="R4503">
        <v>34</v>
      </c>
      <c r="S4503">
        <v>5</v>
      </c>
      <c r="T4503">
        <v>1</v>
      </c>
      <c r="U4503">
        <v>75</v>
      </c>
      <c r="V4503">
        <v>10</v>
      </c>
      <c r="W4503">
        <v>1</v>
      </c>
      <c r="X4503">
        <v>148</v>
      </c>
      <c r="Y4503">
        <v>5</v>
      </c>
      <c r="Z4503">
        <v>34</v>
      </c>
      <c r="AA4503">
        <v>3</v>
      </c>
      <c r="AB4503">
        <v>2</v>
      </c>
      <c r="AD4503">
        <v>2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7</v>
      </c>
      <c r="AK4503">
        <v>328</v>
      </c>
      <c r="AL4503">
        <v>328</v>
      </c>
      <c r="AM4503">
        <v>481</v>
      </c>
      <c r="AN4503">
        <v>44</v>
      </c>
      <c r="AP4503">
        <v>1</v>
      </c>
      <c r="AR4503" t="s">
        <v>4604</v>
      </c>
      <c r="AS4503" s="1">
        <v>44353.962500000001</v>
      </c>
      <c r="AT4503" s="1">
        <v>44353.963912037034</v>
      </c>
      <c r="AU4503" s="1">
        <v>44353.964386574073</v>
      </c>
      <c r="AV4503" t="s">
        <v>71</v>
      </c>
      <c r="AW4503" t="s">
        <v>72</v>
      </c>
      <c r="AX4503" t="s">
        <v>73</v>
      </c>
    </row>
    <row r="4504" spans="1:50" x14ac:dyDescent="0.3">
      <c r="A4504" t="str">
        <f>"200317C0100"</f>
        <v>200317C0100</v>
      </c>
      <c r="B4504" t="str">
        <f>"200317C01002"</f>
        <v>200317C01002</v>
      </c>
      <c r="C4504" t="str">
        <f t="shared" si="231"/>
        <v>20</v>
      </c>
      <c r="D4504" t="s">
        <v>67</v>
      </c>
      <c r="E4504" t="str">
        <f t="shared" si="230"/>
        <v>020</v>
      </c>
      <c r="F4504" t="s">
        <v>4506</v>
      </c>
      <c r="G4504" t="str">
        <f>"0317"</f>
        <v>0317</v>
      </c>
      <c r="H4504" t="str">
        <f>"0001"</f>
        <v>0001</v>
      </c>
      <c r="I4504" t="s">
        <v>75</v>
      </c>
      <c r="J4504">
        <v>0</v>
      </c>
      <c r="K4504">
        <v>1</v>
      </c>
      <c r="L4504">
        <v>2</v>
      </c>
      <c r="M4504">
        <v>160</v>
      </c>
      <c r="N4504">
        <v>365</v>
      </c>
      <c r="O4504">
        <v>11</v>
      </c>
      <c r="P4504">
        <v>365</v>
      </c>
      <c r="Q4504">
        <v>1</v>
      </c>
      <c r="R4504">
        <v>74</v>
      </c>
      <c r="S4504">
        <v>6</v>
      </c>
      <c r="T4504">
        <v>1</v>
      </c>
      <c r="U4504">
        <v>55</v>
      </c>
      <c r="V4504">
        <v>8</v>
      </c>
      <c r="W4504">
        <v>6</v>
      </c>
      <c r="X4504">
        <v>143</v>
      </c>
      <c r="Y4504">
        <v>11</v>
      </c>
      <c r="Z4504">
        <v>40</v>
      </c>
      <c r="AA4504">
        <v>4</v>
      </c>
      <c r="AB4504">
        <v>5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11</v>
      </c>
      <c r="AK4504">
        <v>365</v>
      </c>
      <c r="AL4504">
        <v>365</v>
      </c>
      <c r="AM4504">
        <v>481</v>
      </c>
      <c r="AN4504">
        <v>44</v>
      </c>
      <c r="AP4504">
        <v>1</v>
      </c>
      <c r="AR4504" t="s">
        <v>4605</v>
      </c>
      <c r="AS4504" s="1">
        <v>44353.964166666665</v>
      </c>
      <c r="AT4504" s="1">
        <v>44353.965173611112</v>
      </c>
      <c r="AU4504" s="1">
        <v>44353.966053240743</v>
      </c>
      <c r="AV4504" t="s">
        <v>71</v>
      </c>
      <c r="AW4504" t="s">
        <v>72</v>
      </c>
      <c r="AX4504" t="s">
        <v>73</v>
      </c>
    </row>
    <row r="4505" spans="1:50" x14ac:dyDescent="0.3">
      <c r="A4505" t="str">
        <f>"200318B0000"</f>
        <v>200318B0000</v>
      </c>
      <c r="B4505" t="str">
        <f>"200318B00002"</f>
        <v>200318B00002</v>
      </c>
      <c r="C4505" t="str">
        <f t="shared" si="231"/>
        <v>20</v>
      </c>
      <c r="D4505" t="s">
        <v>67</v>
      </c>
      <c r="E4505" t="str">
        <f t="shared" si="230"/>
        <v>020</v>
      </c>
      <c r="F4505" t="s">
        <v>4506</v>
      </c>
      <c r="G4505" t="str">
        <f>"0318"</f>
        <v>0318</v>
      </c>
      <c r="H4505" t="str">
        <f>"0000"</f>
        <v>0000</v>
      </c>
      <c r="I4505" t="s">
        <v>69</v>
      </c>
      <c r="J4505">
        <v>0</v>
      </c>
      <c r="K4505">
        <v>1</v>
      </c>
      <c r="L4505">
        <v>2</v>
      </c>
      <c r="M4505">
        <v>283</v>
      </c>
      <c r="N4505">
        <v>385</v>
      </c>
      <c r="O4505">
        <v>6</v>
      </c>
      <c r="P4505">
        <v>385</v>
      </c>
      <c r="Q4505">
        <v>2</v>
      </c>
      <c r="R4505">
        <v>56</v>
      </c>
      <c r="S4505">
        <v>6</v>
      </c>
      <c r="T4505">
        <v>2</v>
      </c>
      <c r="U4505">
        <v>76</v>
      </c>
      <c r="V4505">
        <v>18</v>
      </c>
      <c r="W4505">
        <v>1</v>
      </c>
      <c r="X4505">
        <v>161</v>
      </c>
      <c r="Y4505">
        <v>6</v>
      </c>
      <c r="Z4505">
        <v>32</v>
      </c>
      <c r="AA4505">
        <v>6</v>
      </c>
      <c r="AB4505">
        <v>3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16</v>
      </c>
      <c r="AK4505">
        <v>385</v>
      </c>
      <c r="AL4505">
        <v>385</v>
      </c>
      <c r="AM4505">
        <v>624</v>
      </c>
      <c r="AN4505">
        <v>44</v>
      </c>
      <c r="AP4505">
        <v>1</v>
      </c>
      <c r="AR4505" t="s">
        <v>4606</v>
      </c>
      <c r="AS4505" s="1">
        <v>44353.955555555556</v>
      </c>
      <c r="AT4505" s="1">
        <v>44353.963009259256</v>
      </c>
      <c r="AU4505" s="1">
        <v>44353.964166666665</v>
      </c>
      <c r="AV4505" t="s">
        <v>71</v>
      </c>
      <c r="AW4505" t="s">
        <v>72</v>
      </c>
      <c r="AX4505" t="s">
        <v>73</v>
      </c>
    </row>
    <row r="4506" spans="1:50" x14ac:dyDescent="0.3">
      <c r="A4506" t="str">
        <f>"200318C0100"</f>
        <v>200318C0100</v>
      </c>
      <c r="B4506" t="str">
        <f>"200318C01002"</f>
        <v>200318C01002</v>
      </c>
      <c r="C4506" t="str">
        <f t="shared" si="231"/>
        <v>20</v>
      </c>
      <c r="D4506" t="s">
        <v>67</v>
      </c>
      <c r="E4506" t="str">
        <f t="shared" si="230"/>
        <v>020</v>
      </c>
      <c r="F4506" t="s">
        <v>4506</v>
      </c>
      <c r="G4506" t="str">
        <f>"0318"</f>
        <v>0318</v>
      </c>
      <c r="H4506" t="str">
        <f>"0001"</f>
        <v>0001</v>
      </c>
      <c r="I4506" t="s">
        <v>75</v>
      </c>
      <c r="J4506">
        <v>0</v>
      </c>
      <c r="K4506">
        <v>1</v>
      </c>
      <c r="L4506">
        <v>2</v>
      </c>
      <c r="M4506">
        <v>244</v>
      </c>
      <c r="N4506">
        <v>423</v>
      </c>
      <c r="O4506">
        <v>6</v>
      </c>
      <c r="P4506" t="s">
        <v>80</v>
      </c>
      <c r="Q4506">
        <v>4</v>
      </c>
      <c r="R4506">
        <v>65</v>
      </c>
      <c r="S4506">
        <v>10</v>
      </c>
      <c r="T4506">
        <v>2</v>
      </c>
      <c r="U4506">
        <v>61</v>
      </c>
      <c r="V4506">
        <v>13</v>
      </c>
      <c r="W4506">
        <v>3</v>
      </c>
      <c r="X4506">
        <v>190</v>
      </c>
      <c r="Y4506">
        <v>11</v>
      </c>
      <c r="Z4506">
        <v>43</v>
      </c>
      <c r="AA4506">
        <v>5</v>
      </c>
      <c r="AB4506">
        <v>4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12</v>
      </c>
      <c r="AK4506">
        <v>423</v>
      </c>
      <c r="AL4506">
        <v>423</v>
      </c>
      <c r="AM4506">
        <v>623</v>
      </c>
      <c r="AN4506">
        <v>44</v>
      </c>
      <c r="AP4506">
        <v>1</v>
      </c>
      <c r="AR4506" t="s">
        <v>4607</v>
      </c>
      <c r="AS4506" s="1">
        <v>44353.979166666664</v>
      </c>
      <c r="AT4506" s="1">
        <v>44353.981319444443</v>
      </c>
      <c r="AU4506" s="1">
        <v>44353.981724537036</v>
      </c>
      <c r="AV4506" t="s">
        <v>71</v>
      </c>
      <c r="AW4506" t="s">
        <v>72</v>
      </c>
      <c r="AX4506" t="s">
        <v>73</v>
      </c>
    </row>
    <row r="4507" spans="1:50" x14ac:dyDescent="0.3">
      <c r="A4507" t="str">
        <f>"200319B0000"</f>
        <v>200319B0000</v>
      </c>
      <c r="B4507" t="str">
        <f>"200319B00002"</f>
        <v>200319B00002</v>
      </c>
      <c r="C4507" t="str">
        <f t="shared" si="231"/>
        <v>20</v>
      </c>
      <c r="D4507" t="s">
        <v>67</v>
      </c>
      <c r="E4507" t="str">
        <f t="shared" si="230"/>
        <v>020</v>
      </c>
      <c r="F4507" t="s">
        <v>4506</v>
      </c>
      <c r="G4507" t="str">
        <f t="shared" ref="G4507:G4512" si="232">"0319"</f>
        <v>0319</v>
      </c>
      <c r="H4507" t="str">
        <f>"0000"</f>
        <v>0000</v>
      </c>
      <c r="I4507" t="s">
        <v>69</v>
      </c>
      <c r="J4507">
        <v>0</v>
      </c>
      <c r="K4507">
        <v>1</v>
      </c>
      <c r="L4507">
        <v>2</v>
      </c>
      <c r="M4507">
        <v>315</v>
      </c>
      <c r="N4507">
        <v>432</v>
      </c>
      <c r="O4507">
        <v>5</v>
      </c>
      <c r="P4507">
        <v>432</v>
      </c>
      <c r="Q4507">
        <v>0</v>
      </c>
      <c r="R4507">
        <v>68</v>
      </c>
      <c r="S4507">
        <v>8</v>
      </c>
      <c r="T4507">
        <v>2</v>
      </c>
      <c r="U4507">
        <v>136</v>
      </c>
      <c r="V4507">
        <v>14</v>
      </c>
      <c r="W4507">
        <v>4</v>
      </c>
      <c r="X4507">
        <v>141</v>
      </c>
      <c r="Y4507">
        <v>2</v>
      </c>
      <c r="Z4507">
        <v>39</v>
      </c>
      <c r="AA4507">
        <v>5</v>
      </c>
      <c r="AB4507">
        <v>2</v>
      </c>
      <c r="AD4507">
        <v>0</v>
      </c>
      <c r="AE4507">
        <v>0</v>
      </c>
      <c r="AF4507">
        <v>0</v>
      </c>
      <c r="AG4507">
        <v>0</v>
      </c>
      <c r="AH4507">
        <v>1</v>
      </c>
      <c r="AI4507">
        <v>0</v>
      </c>
      <c r="AJ4507">
        <v>10</v>
      </c>
      <c r="AK4507">
        <v>432</v>
      </c>
      <c r="AL4507">
        <v>432</v>
      </c>
      <c r="AM4507">
        <v>703</v>
      </c>
      <c r="AN4507">
        <v>44</v>
      </c>
      <c r="AP4507">
        <v>1</v>
      </c>
      <c r="AR4507" t="s">
        <v>4608</v>
      </c>
      <c r="AS4507" s="1">
        <v>44354.043055555558</v>
      </c>
      <c r="AT4507" s="1">
        <v>44354.053101851852</v>
      </c>
      <c r="AU4507" s="1">
        <v>44354.054467592592</v>
      </c>
      <c r="AV4507" t="s">
        <v>71</v>
      </c>
      <c r="AW4507" t="s">
        <v>72</v>
      </c>
      <c r="AX4507" t="s">
        <v>73</v>
      </c>
    </row>
    <row r="4508" spans="1:50" x14ac:dyDescent="0.3">
      <c r="A4508" t="str">
        <f>"200319C0100"</f>
        <v>200319C0100</v>
      </c>
      <c r="B4508" t="str">
        <f>"200319C01002"</f>
        <v>200319C01002</v>
      </c>
      <c r="C4508" t="str">
        <f t="shared" si="231"/>
        <v>20</v>
      </c>
      <c r="D4508" t="s">
        <v>67</v>
      </c>
      <c r="E4508" t="str">
        <f t="shared" si="230"/>
        <v>020</v>
      </c>
      <c r="F4508" t="s">
        <v>4506</v>
      </c>
      <c r="G4508" t="str">
        <f t="shared" si="232"/>
        <v>0319</v>
      </c>
      <c r="H4508" t="str">
        <f>"0001"</f>
        <v>0001</v>
      </c>
      <c r="I4508" t="s">
        <v>75</v>
      </c>
      <c r="J4508">
        <v>0</v>
      </c>
      <c r="K4508">
        <v>1</v>
      </c>
      <c r="L4508">
        <v>2</v>
      </c>
      <c r="M4508">
        <v>311</v>
      </c>
      <c r="N4508">
        <v>436</v>
      </c>
      <c r="O4508">
        <v>5</v>
      </c>
      <c r="P4508">
        <v>436</v>
      </c>
      <c r="Q4508">
        <v>6</v>
      </c>
      <c r="R4508">
        <v>52</v>
      </c>
      <c r="S4508">
        <v>15</v>
      </c>
      <c r="T4508">
        <v>2</v>
      </c>
      <c r="U4508">
        <v>145</v>
      </c>
      <c r="V4508">
        <v>14</v>
      </c>
      <c r="W4508">
        <v>2</v>
      </c>
      <c r="X4508">
        <v>138</v>
      </c>
      <c r="Y4508">
        <v>3</v>
      </c>
      <c r="Z4508">
        <v>43</v>
      </c>
      <c r="AA4508">
        <v>3</v>
      </c>
      <c r="AB4508">
        <v>3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9</v>
      </c>
      <c r="AK4508">
        <v>436</v>
      </c>
      <c r="AL4508">
        <v>435</v>
      </c>
      <c r="AM4508">
        <v>703</v>
      </c>
      <c r="AN4508">
        <v>44</v>
      </c>
      <c r="AP4508">
        <v>1</v>
      </c>
      <c r="AR4508" t="s">
        <v>4609</v>
      </c>
      <c r="AS4508" s="1">
        <v>44354.059027777781</v>
      </c>
      <c r="AT4508" s="1">
        <v>44354.067199074074</v>
      </c>
      <c r="AU4508" s="1">
        <v>44354.067847222221</v>
      </c>
      <c r="AV4508" t="s">
        <v>71</v>
      </c>
      <c r="AW4508" t="s">
        <v>72</v>
      </c>
      <c r="AX4508" t="s">
        <v>73</v>
      </c>
    </row>
    <row r="4509" spans="1:50" x14ac:dyDescent="0.3">
      <c r="A4509" t="str">
        <f>"200319C0200"</f>
        <v>200319C0200</v>
      </c>
      <c r="B4509" t="str">
        <f>"200319C02002"</f>
        <v>200319C02002</v>
      </c>
      <c r="C4509" t="str">
        <f t="shared" si="231"/>
        <v>20</v>
      </c>
      <c r="D4509" t="s">
        <v>67</v>
      </c>
      <c r="E4509" t="str">
        <f t="shared" si="230"/>
        <v>020</v>
      </c>
      <c r="F4509" t="s">
        <v>4506</v>
      </c>
      <c r="G4509" t="str">
        <f t="shared" si="232"/>
        <v>0319</v>
      </c>
      <c r="H4509" t="str">
        <f>"0002"</f>
        <v>0002</v>
      </c>
      <c r="I4509" t="s">
        <v>75</v>
      </c>
      <c r="J4509">
        <v>0</v>
      </c>
      <c r="K4509">
        <v>1</v>
      </c>
      <c r="L4509">
        <v>2</v>
      </c>
      <c r="M4509">
        <v>290</v>
      </c>
      <c r="N4509">
        <v>461</v>
      </c>
      <c r="O4509">
        <v>9</v>
      </c>
      <c r="P4509" t="s">
        <v>80</v>
      </c>
      <c r="Q4509">
        <v>2</v>
      </c>
      <c r="R4509">
        <v>59</v>
      </c>
      <c r="S4509">
        <v>8</v>
      </c>
      <c r="T4509">
        <v>1</v>
      </c>
      <c r="U4509">
        <v>145</v>
      </c>
      <c r="V4509">
        <v>5</v>
      </c>
      <c r="W4509">
        <v>0</v>
      </c>
      <c r="X4509">
        <v>168</v>
      </c>
      <c r="Y4509">
        <v>2</v>
      </c>
      <c r="Z4509">
        <v>46</v>
      </c>
      <c r="AA4509">
        <v>3</v>
      </c>
      <c r="AB4509">
        <v>4</v>
      </c>
      <c r="AD4509">
        <v>1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12</v>
      </c>
      <c r="AK4509">
        <v>456</v>
      </c>
      <c r="AL4509">
        <v>456</v>
      </c>
      <c r="AM4509">
        <v>703</v>
      </c>
      <c r="AN4509">
        <v>44</v>
      </c>
      <c r="AP4509">
        <v>1</v>
      </c>
      <c r="AR4509" t="s">
        <v>4610</v>
      </c>
      <c r="AS4509" s="1">
        <v>44354.072916666664</v>
      </c>
      <c r="AT4509" s="1">
        <v>44354.082881944443</v>
      </c>
      <c r="AU4509" s="1">
        <v>44354.083333333336</v>
      </c>
      <c r="AV4509" t="s">
        <v>71</v>
      </c>
      <c r="AW4509" t="s">
        <v>72</v>
      </c>
      <c r="AX4509" t="s">
        <v>73</v>
      </c>
    </row>
    <row r="4510" spans="1:50" x14ac:dyDescent="0.3">
      <c r="A4510" t="str">
        <f>"200319C0300"</f>
        <v>200319C0300</v>
      </c>
      <c r="B4510" t="str">
        <f>"200319C03002"</f>
        <v>200319C03002</v>
      </c>
      <c r="C4510" t="str">
        <f t="shared" si="231"/>
        <v>20</v>
      </c>
      <c r="D4510" t="s">
        <v>67</v>
      </c>
      <c r="E4510" t="str">
        <f t="shared" si="230"/>
        <v>020</v>
      </c>
      <c r="F4510" t="s">
        <v>4506</v>
      </c>
      <c r="G4510" t="str">
        <f t="shared" si="232"/>
        <v>0319</v>
      </c>
      <c r="H4510" t="str">
        <f>"0003"</f>
        <v>0003</v>
      </c>
      <c r="I4510" t="s">
        <v>75</v>
      </c>
      <c r="J4510">
        <v>0</v>
      </c>
      <c r="K4510">
        <v>1</v>
      </c>
      <c r="L4510">
        <v>2</v>
      </c>
      <c r="M4510">
        <v>294</v>
      </c>
      <c r="N4510">
        <v>453</v>
      </c>
      <c r="O4510">
        <v>8</v>
      </c>
      <c r="P4510">
        <v>453</v>
      </c>
      <c r="Q4510">
        <v>4</v>
      </c>
      <c r="R4510">
        <v>62</v>
      </c>
      <c r="S4510">
        <v>9</v>
      </c>
      <c r="T4510">
        <v>0</v>
      </c>
      <c r="U4510">
        <v>155</v>
      </c>
      <c r="V4510">
        <v>6</v>
      </c>
      <c r="W4510">
        <v>1</v>
      </c>
      <c r="X4510">
        <v>161</v>
      </c>
      <c r="Y4510">
        <v>3</v>
      </c>
      <c r="Z4510">
        <v>37</v>
      </c>
      <c r="AA4510">
        <v>5</v>
      </c>
      <c r="AB4510">
        <v>3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7</v>
      </c>
      <c r="AK4510">
        <v>453</v>
      </c>
      <c r="AL4510">
        <v>453</v>
      </c>
      <c r="AM4510">
        <v>703</v>
      </c>
      <c r="AN4510">
        <v>44</v>
      </c>
      <c r="AP4510">
        <v>1</v>
      </c>
      <c r="AR4510" t="s">
        <v>4611</v>
      </c>
      <c r="AS4510" s="1">
        <v>44354.072222222225</v>
      </c>
      <c r="AT4510" s="1">
        <v>44354.084965277776</v>
      </c>
      <c r="AU4510" s="1">
        <v>44354.085763888892</v>
      </c>
      <c r="AV4510" t="s">
        <v>71</v>
      </c>
      <c r="AW4510" t="s">
        <v>72</v>
      </c>
      <c r="AX4510" t="s">
        <v>73</v>
      </c>
    </row>
    <row r="4511" spans="1:50" x14ac:dyDescent="0.3">
      <c r="A4511" t="str">
        <f>"200319C0400"</f>
        <v>200319C0400</v>
      </c>
      <c r="B4511" t="str">
        <f>"200319C04002"</f>
        <v>200319C04002</v>
      </c>
      <c r="C4511" t="str">
        <f t="shared" si="231"/>
        <v>20</v>
      </c>
      <c r="D4511" t="s">
        <v>67</v>
      </c>
      <c r="E4511" t="str">
        <f t="shared" si="230"/>
        <v>020</v>
      </c>
      <c r="F4511" t="s">
        <v>4506</v>
      </c>
      <c r="G4511" t="str">
        <f t="shared" si="232"/>
        <v>0319</v>
      </c>
      <c r="H4511" t="str">
        <f>"0004"</f>
        <v>0004</v>
      </c>
      <c r="I4511" t="s">
        <v>75</v>
      </c>
      <c r="J4511">
        <v>0</v>
      </c>
      <c r="K4511">
        <v>1</v>
      </c>
      <c r="L4511">
        <v>2</v>
      </c>
      <c r="M4511">
        <v>313</v>
      </c>
      <c r="N4511">
        <v>433</v>
      </c>
      <c r="O4511">
        <v>3</v>
      </c>
      <c r="P4511">
        <v>433</v>
      </c>
      <c r="Q4511">
        <v>1</v>
      </c>
      <c r="R4511">
        <v>62</v>
      </c>
      <c r="S4511">
        <v>7</v>
      </c>
      <c r="T4511">
        <v>0</v>
      </c>
      <c r="U4511">
        <v>148</v>
      </c>
      <c r="V4511">
        <v>3</v>
      </c>
      <c r="W4511">
        <v>0</v>
      </c>
      <c r="X4511">
        <v>153</v>
      </c>
      <c r="Y4511">
        <v>5</v>
      </c>
      <c r="Z4511">
        <v>39</v>
      </c>
      <c r="AA4511">
        <v>3</v>
      </c>
      <c r="AB4511">
        <v>1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8</v>
      </c>
      <c r="AK4511">
        <v>433</v>
      </c>
      <c r="AL4511">
        <v>430</v>
      </c>
      <c r="AM4511">
        <v>702</v>
      </c>
      <c r="AN4511">
        <v>44</v>
      </c>
      <c r="AP4511">
        <v>1</v>
      </c>
      <c r="AR4511" t="s">
        <v>4612</v>
      </c>
      <c r="AS4511" s="1">
        <v>44354.06527777778</v>
      </c>
      <c r="AT4511" s="1">
        <v>44354.071736111109</v>
      </c>
      <c r="AU4511" s="1">
        <v>44354.072118055556</v>
      </c>
      <c r="AV4511" t="s">
        <v>71</v>
      </c>
      <c r="AW4511" t="s">
        <v>72</v>
      </c>
      <c r="AX4511" t="s">
        <v>73</v>
      </c>
    </row>
    <row r="4512" spans="1:50" x14ac:dyDescent="0.3">
      <c r="A4512" t="str">
        <f>"200319E0100"</f>
        <v>200319E0100</v>
      </c>
      <c r="B4512" t="str">
        <f>"200319E01002"</f>
        <v>200319E01002</v>
      </c>
      <c r="C4512" t="str">
        <f t="shared" si="231"/>
        <v>20</v>
      </c>
      <c r="D4512" t="s">
        <v>67</v>
      </c>
      <c r="E4512" t="str">
        <f t="shared" si="230"/>
        <v>020</v>
      </c>
      <c r="F4512" t="s">
        <v>4506</v>
      </c>
      <c r="G4512" t="str">
        <f t="shared" si="232"/>
        <v>0319</v>
      </c>
      <c r="H4512" t="str">
        <f>"0001"</f>
        <v>0001</v>
      </c>
      <c r="I4512" t="s">
        <v>109</v>
      </c>
      <c r="J4512">
        <v>0</v>
      </c>
      <c r="K4512">
        <v>1</v>
      </c>
      <c r="L4512">
        <v>2</v>
      </c>
      <c r="M4512">
        <v>116</v>
      </c>
      <c r="N4512">
        <v>255</v>
      </c>
      <c r="O4512">
        <v>6</v>
      </c>
      <c r="P4512">
        <v>255</v>
      </c>
      <c r="Q4512">
        <v>0</v>
      </c>
      <c r="R4512">
        <v>31</v>
      </c>
      <c r="S4512">
        <v>5</v>
      </c>
      <c r="T4512">
        <v>1</v>
      </c>
      <c r="U4512">
        <v>146</v>
      </c>
      <c r="V4512">
        <v>17</v>
      </c>
      <c r="W4512">
        <v>1</v>
      </c>
      <c r="X4512">
        <v>38</v>
      </c>
      <c r="Y4512">
        <v>0</v>
      </c>
      <c r="Z4512">
        <v>10</v>
      </c>
      <c r="AA4512">
        <v>0</v>
      </c>
      <c r="AB4512">
        <v>1</v>
      </c>
      <c r="AD4512">
        <v>1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4</v>
      </c>
      <c r="AK4512">
        <v>255</v>
      </c>
      <c r="AL4512">
        <v>255</v>
      </c>
      <c r="AM4512">
        <v>327</v>
      </c>
      <c r="AN4512">
        <v>44</v>
      </c>
      <c r="AP4512">
        <v>1</v>
      </c>
      <c r="AR4512" t="s">
        <v>4613</v>
      </c>
      <c r="AS4512" s="1">
        <v>44353.961805555555</v>
      </c>
      <c r="AT4512" s="1">
        <v>44353.962905092594</v>
      </c>
      <c r="AU4512" s="1">
        <v>44353.963217592594</v>
      </c>
      <c r="AV4512" t="s">
        <v>71</v>
      </c>
      <c r="AW4512" t="s">
        <v>72</v>
      </c>
      <c r="AX4512" t="s">
        <v>73</v>
      </c>
    </row>
    <row r="4513" spans="1:50" x14ac:dyDescent="0.3">
      <c r="A4513" t="str">
        <f>"200320B0000"</f>
        <v>200320B0000</v>
      </c>
      <c r="B4513" t="str">
        <f>"200320B00002"</f>
        <v>200320B00002</v>
      </c>
      <c r="C4513" t="str">
        <f t="shared" si="231"/>
        <v>20</v>
      </c>
      <c r="D4513" t="s">
        <v>67</v>
      </c>
      <c r="E4513" t="str">
        <f t="shared" si="230"/>
        <v>020</v>
      </c>
      <c r="F4513" t="s">
        <v>4506</v>
      </c>
      <c r="G4513" t="str">
        <f>"0320"</f>
        <v>0320</v>
      </c>
      <c r="H4513" t="str">
        <f>"0000"</f>
        <v>0000</v>
      </c>
      <c r="I4513" t="s">
        <v>69</v>
      </c>
      <c r="J4513">
        <v>0</v>
      </c>
      <c r="K4513">
        <v>1</v>
      </c>
      <c r="L4513">
        <v>2</v>
      </c>
      <c r="M4513">
        <v>326</v>
      </c>
      <c r="N4513">
        <v>458</v>
      </c>
      <c r="O4513">
        <v>0</v>
      </c>
      <c r="P4513">
        <v>458</v>
      </c>
      <c r="Q4513">
        <v>0</v>
      </c>
      <c r="R4513">
        <v>68</v>
      </c>
      <c r="S4513">
        <v>12</v>
      </c>
      <c r="T4513">
        <v>3</v>
      </c>
      <c r="U4513">
        <v>93</v>
      </c>
      <c r="V4513">
        <v>8</v>
      </c>
      <c r="W4513">
        <v>2</v>
      </c>
      <c r="X4513">
        <v>194</v>
      </c>
      <c r="Y4513">
        <v>6</v>
      </c>
      <c r="Z4513">
        <v>47</v>
      </c>
      <c r="AA4513">
        <v>3</v>
      </c>
      <c r="AB4513">
        <v>3</v>
      </c>
      <c r="AD4513">
        <v>4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15</v>
      </c>
      <c r="AK4513">
        <v>458</v>
      </c>
      <c r="AL4513">
        <v>458</v>
      </c>
      <c r="AM4513">
        <v>740</v>
      </c>
      <c r="AN4513">
        <v>44</v>
      </c>
      <c r="AP4513">
        <v>1</v>
      </c>
      <c r="AR4513" t="s">
        <v>4614</v>
      </c>
      <c r="AS4513" s="1">
        <v>44353.981249999997</v>
      </c>
      <c r="AT4513" s="1">
        <v>44353.985300925924</v>
      </c>
      <c r="AU4513" s="1">
        <v>44353.985856481479</v>
      </c>
      <c r="AV4513" t="s">
        <v>71</v>
      </c>
      <c r="AW4513" t="s">
        <v>72</v>
      </c>
      <c r="AX4513" t="s">
        <v>73</v>
      </c>
    </row>
    <row r="4514" spans="1:50" x14ac:dyDescent="0.3">
      <c r="A4514" t="str">
        <f>"200320C0100"</f>
        <v>200320C0100</v>
      </c>
      <c r="B4514" t="str">
        <f>"200320C01002"</f>
        <v>200320C01002</v>
      </c>
      <c r="C4514" t="str">
        <f t="shared" si="231"/>
        <v>20</v>
      </c>
      <c r="D4514" t="s">
        <v>67</v>
      </c>
      <c r="E4514" t="str">
        <f t="shared" si="230"/>
        <v>020</v>
      </c>
      <c r="F4514" t="s">
        <v>4506</v>
      </c>
      <c r="G4514" t="str">
        <f>"0320"</f>
        <v>0320</v>
      </c>
      <c r="H4514" t="str">
        <f>"0001"</f>
        <v>0001</v>
      </c>
      <c r="I4514" t="s">
        <v>75</v>
      </c>
      <c r="J4514">
        <v>0</v>
      </c>
      <c r="K4514">
        <v>1</v>
      </c>
      <c r="L4514">
        <v>2</v>
      </c>
      <c r="M4514">
        <v>329</v>
      </c>
      <c r="N4514">
        <v>453</v>
      </c>
      <c r="O4514">
        <v>8</v>
      </c>
      <c r="P4514">
        <v>454</v>
      </c>
      <c r="Q4514">
        <v>1</v>
      </c>
      <c r="R4514">
        <v>77</v>
      </c>
      <c r="S4514">
        <v>8</v>
      </c>
      <c r="T4514">
        <v>1</v>
      </c>
      <c r="U4514">
        <v>83</v>
      </c>
      <c r="V4514">
        <v>9</v>
      </c>
      <c r="W4514">
        <v>4</v>
      </c>
      <c r="X4514">
        <v>177</v>
      </c>
      <c r="Y4514">
        <v>12</v>
      </c>
      <c r="Z4514">
        <v>59</v>
      </c>
      <c r="AA4514">
        <v>4</v>
      </c>
      <c r="AB4514">
        <v>2</v>
      </c>
      <c r="AD4514">
        <v>2</v>
      </c>
      <c r="AE4514">
        <v>0</v>
      </c>
      <c r="AF4514">
        <v>0</v>
      </c>
      <c r="AG4514">
        <v>0</v>
      </c>
      <c r="AH4514">
        <v>0</v>
      </c>
      <c r="AI4514">
        <v>1</v>
      </c>
      <c r="AJ4514">
        <v>12</v>
      </c>
      <c r="AK4514">
        <v>452</v>
      </c>
      <c r="AL4514">
        <v>452</v>
      </c>
      <c r="AM4514">
        <v>739</v>
      </c>
      <c r="AN4514">
        <v>44</v>
      </c>
      <c r="AP4514">
        <v>1</v>
      </c>
      <c r="AR4514" t="s">
        <v>4615</v>
      </c>
      <c r="AS4514" s="1">
        <v>44353.982638888891</v>
      </c>
      <c r="AT4514" s="1">
        <v>44353.988078703704</v>
      </c>
      <c r="AU4514" s="1">
        <v>44353.989907407406</v>
      </c>
      <c r="AV4514" t="s">
        <v>71</v>
      </c>
      <c r="AW4514" t="s">
        <v>72</v>
      </c>
      <c r="AX4514" t="s">
        <v>73</v>
      </c>
    </row>
    <row r="4515" spans="1:50" x14ac:dyDescent="0.3">
      <c r="A4515" t="str">
        <f>"200321B0000"</f>
        <v>200321B0000</v>
      </c>
      <c r="B4515" t="str">
        <f>"200321B00002"</f>
        <v>200321B00002</v>
      </c>
      <c r="C4515" t="str">
        <f t="shared" si="231"/>
        <v>20</v>
      </c>
      <c r="D4515" t="s">
        <v>67</v>
      </c>
      <c r="E4515" t="str">
        <f t="shared" si="230"/>
        <v>020</v>
      </c>
      <c r="F4515" t="s">
        <v>4506</v>
      </c>
      <c r="G4515" t="str">
        <f>"0321"</f>
        <v>0321</v>
      </c>
      <c r="H4515" t="str">
        <f>"0000"</f>
        <v>0000</v>
      </c>
      <c r="I4515" t="s">
        <v>69</v>
      </c>
      <c r="J4515">
        <v>0</v>
      </c>
      <c r="K4515">
        <v>1</v>
      </c>
      <c r="L4515">
        <v>2</v>
      </c>
      <c r="M4515">
        <v>277</v>
      </c>
      <c r="N4515">
        <v>383</v>
      </c>
      <c r="O4515">
        <v>6</v>
      </c>
      <c r="P4515">
        <v>382</v>
      </c>
      <c r="Q4515">
        <v>3</v>
      </c>
      <c r="R4515">
        <v>69</v>
      </c>
      <c r="S4515">
        <v>3</v>
      </c>
      <c r="T4515">
        <v>1</v>
      </c>
      <c r="U4515">
        <v>84</v>
      </c>
      <c r="V4515">
        <v>8</v>
      </c>
      <c r="W4515">
        <v>1</v>
      </c>
      <c r="X4515">
        <v>131</v>
      </c>
      <c r="Y4515">
        <v>2</v>
      </c>
      <c r="Z4515">
        <v>62</v>
      </c>
      <c r="AA4515">
        <v>3</v>
      </c>
      <c r="AB4515">
        <v>2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13</v>
      </c>
      <c r="AK4515">
        <v>382</v>
      </c>
      <c r="AL4515">
        <v>382</v>
      </c>
      <c r="AM4515">
        <v>618</v>
      </c>
      <c r="AN4515">
        <v>44</v>
      </c>
      <c r="AP4515">
        <v>1</v>
      </c>
      <c r="AR4515" t="s">
        <v>4616</v>
      </c>
      <c r="AS4515" s="1">
        <v>44353.958333333336</v>
      </c>
      <c r="AT4515" s="1">
        <v>44353.962071759262</v>
      </c>
      <c r="AU4515" s="1">
        <v>44353.96334490741</v>
      </c>
      <c r="AV4515" t="s">
        <v>71</v>
      </c>
      <c r="AW4515" t="s">
        <v>72</v>
      </c>
      <c r="AX4515" t="s">
        <v>73</v>
      </c>
    </row>
    <row r="4516" spans="1:50" x14ac:dyDescent="0.3">
      <c r="A4516" t="str">
        <f>"200321C0100"</f>
        <v>200321C0100</v>
      </c>
      <c r="B4516" t="str">
        <f>"200321C01002"</f>
        <v>200321C01002</v>
      </c>
      <c r="C4516" t="str">
        <f t="shared" si="231"/>
        <v>20</v>
      </c>
      <c r="D4516" t="s">
        <v>67</v>
      </c>
      <c r="E4516" t="str">
        <f t="shared" si="230"/>
        <v>020</v>
      </c>
      <c r="F4516" t="s">
        <v>4506</v>
      </c>
      <c r="G4516" t="str">
        <f>"0321"</f>
        <v>0321</v>
      </c>
      <c r="H4516" t="str">
        <f>"0001"</f>
        <v>0001</v>
      </c>
      <c r="I4516" t="s">
        <v>75</v>
      </c>
      <c r="J4516">
        <v>0</v>
      </c>
      <c r="K4516">
        <v>1</v>
      </c>
      <c r="L4516">
        <v>2</v>
      </c>
      <c r="M4516">
        <v>265</v>
      </c>
      <c r="N4516">
        <v>402</v>
      </c>
      <c r="O4516">
        <v>7</v>
      </c>
      <c r="P4516">
        <v>395</v>
      </c>
      <c r="Q4516">
        <v>1</v>
      </c>
      <c r="R4516">
        <v>77</v>
      </c>
      <c r="S4516">
        <v>4</v>
      </c>
      <c r="T4516">
        <v>1</v>
      </c>
      <c r="U4516">
        <v>84</v>
      </c>
      <c r="V4516">
        <v>1</v>
      </c>
      <c r="W4516">
        <v>4</v>
      </c>
      <c r="X4516">
        <v>119</v>
      </c>
      <c r="Y4516">
        <v>1</v>
      </c>
      <c r="Z4516">
        <v>84</v>
      </c>
      <c r="AA4516">
        <v>4</v>
      </c>
      <c r="AB4516">
        <v>0</v>
      </c>
      <c r="AD4516">
        <v>1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14</v>
      </c>
      <c r="AK4516">
        <v>395</v>
      </c>
      <c r="AL4516">
        <v>395</v>
      </c>
      <c r="AM4516">
        <v>617</v>
      </c>
      <c r="AN4516">
        <v>44</v>
      </c>
      <c r="AP4516">
        <v>1</v>
      </c>
      <c r="AR4516" t="s">
        <v>4617</v>
      </c>
      <c r="AS4516" s="1">
        <v>44353.963194444441</v>
      </c>
      <c r="AT4516" s="1">
        <v>44353.965729166666</v>
      </c>
      <c r="AU4516" s="1">
        <v>44353.966365740744</v>
      </c>
      <c r="AV4516" t="s">
        <v>71</v>
      </c>
      <c r="AW4516" t="s">
        <v>72</v>
      </c>
      <c r="AX4516" t="s">
        <v>73</v>
      </c>
    </row>
    <row r="4517" spans="1:50" x14ac:dyDescent="0.3">
      <c r="A4517" t="str">
        <f>"200321C0200"</f>
        <v>200321C0200</v>
      </c>
      <c r="B4517" t="str">
        <f>"200321C02002"</f>
        <v>200321C02002</v>
      </c>
      <c r="C4517" t="str">
        <f t="shared" si="231"/>
        <v>20</v>
      </c>
      <c r="D4517" t="s">
        <v>67</v>
      </c>
      <c r="E4517" t="str">
        <f t="shared" si="230"/>
        <v>020</v>
      </c>
      <c r="F4517" t="s">
        <v>4506</v>
      </c>
      <c r="G4517" t="str">
        <f>"0321"</f>
        <v>0321</v>
      </c>
      <c r="H4517" t="str">
        <f>"0002"</f>
        <v>0002</v>
      </c>
      <c r="I4517" t="s">
        <v>75</v>
      </c>
      <c r="J4517">
        <v>0</v>
      </c>
      <c r="K4517">
        <v>1</v>
      </c>
      <c r="L4517">
        <v>2</v>
      </c>
      <c r="M4517">
        <v>299</v>
      </c>
      <c r="N4517">
        <v>362</v>
      </c>
      <c r="O4517">
        <v>3</v>
      </c>
      <c r="P4517" t="s">
        <v>80</v>
      </c>
      <c r="Q4517">
        <v>3</v>
      </c>
      <c r="R4517">
        <v>92</v>
      </c>
      <c r="S4517">
        <v>5</v>
      </c>
      <c r="T4517">
        <v>0</v>
      </c>
      <c r="U4517">
        <v>60</v>
      </c>
      <c r="V4517">
        <v>1</v>
      </c>
      <c r="W4517">
        <v>1</v>
      </c>
      <c r="X4517">
        <v>111</v>
      </c>
      <c r="Y4517">
        <v>2</v>
      </c>
      <c r="Z4517">
        <v>73</v>
      </c>
      <c r="AA4517">
        <v>2</v>
      </c>
      <c r="AB4517">
        <v>2</v>
      </c>
      <c r="AD4517" t="s">
        <v>77</v>
      </c>
      <c r="AE4517" t="s">
        <v>77</v>
      </c>
      <c r="AF4517" t="s">
        <v>77</v>
      </c>
      <c r="AG4517" t="s">
        <v>77</v>
      </c>
      <c r="AH4517" t="s">
        <v>77</v>
      </c>
      <c r="AI4517" t="s">
        <v>77</v>
      </c>
      <c r="AJ4517">
        <v>10</v>
      </c>
      <c r="AK4517">
        <v>362</v>
      </c>
      <c r="AL4517">
        <v>362</v>
      </c>
      <c r="AM4517">
        <v>617</v>
      </c>
      <c r="AN4517">
        <v>44</v>
      </c>
      <c r="AO4517" t="s">
        <v>78</v>
      </c>
      <c r="AP4517">
        <v>1</v>
      </c>
      <c r="AR4517" t="s">
        <v>4618</v>
      </c>
      <c r="AS4517" s="1">
        <v>44353.978900462964</v>
      </c>
      <c r="AT4517" s="1">
        <v>44353.980185185188</v>
      </c>
      <c r="AU4517" s="1">
        <v>44353.980543981481</v>
      </c>
      <c r="AV4517" t="s">
        <v>71</v>
      </c>
      <c r="AW4517" t="s">
        <v>72</v>
      </c>
      <c r="AX4517" t="s">
        <v>73</v>
      </c>
    </row>
    <row r="4518" spans="1:50" x14ac:dyDescent="0.3">
      <c r="A4518" t="str">
        <f>"200322B0000"</f>
        <v>200322B0000</v>
      </c>
      <c r="B4518" t="str">
        <f>"200322B00002"</f>
        <v>200322B00002</v>
      </c>
      <c r="C4518" t="str">
        <f t="shared" si="231"/>
        <v>20</v>
      </c>
      <c r="D4518" t="s">
        <v>67</v>
      </c>
      <c r="E4518" t="str">
        <f t="shared" si="230"/>
        <v>020</v>
      </c>
      <c r="F4518" t="s">
        <v>4506</v>
      </c>
      <c r="G4518" t="str">
        <f>"0322"</f>
        <v>0322</v>
      </c>
      <c r="H4518" t="str">
        <f>"0000"</f>
        <v>0000</v>
      </c>
      <c r="I4518" t="s">
        <v>69</v>
      </c>
      <c r="J4518">
        <v>0</v>
      </c>
      <c r="K4518">
        <v>1</v>
      </c>
      <c r="L4518">
        <v>2</v>
      </c>
      <c r="M4518">
        <v>283</v>
      </c>
      <c r="N4518">
        <v>483</v>
      </c>
      <c r="O4518">
        <v>6</v>
      </c>
      <c r="P4518">
        <v>483</v>
      </c>
      <c r="Q4518">
        <v>3</v>
      </c>
      <c r="R4518">
        <v>77</v>
      </c>
      <c r="S4518">
        <v>5</v>
      </c>
      <c r="T4518">
        <v>0</v>
      </c>
      <c r="U4518">
        <v>102</v>
      </c>
      <c r="V4518">
        <v>4</v>
      </c>
      <c r="W4518">
        <v>2</v>
      </c>
      <c r="X4518">
        <v>172</v>
      </c>
      <c r="Y4518">
        <v>13</v>
      </c>
      <c r="Z4518">
        <v>87</v>
      </c>
      <c r="AA4518">
        <v>1</v>
      </c>
      <c r="AB4518">
        <v>2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15</v>
      </c>
      <c r="AK4518">
        <v>483</v>
      </c>
      <c r="AL4518">
        <v>483</v>
      </c>
      <c r="AM4518">
        <v>722</v>
      </c>
      <c r="AN4518">
        <v>44</v>
      </c>
      <c r="AP4518">
        <v>1</v>
      </c>
      <c r="AR4518" t="s">
        <v>4619</v>
      </c>
      <c r="AS4518" s="1">
        <v>44354.010416666664</v>
      </c>
      <c r="AT4518" s="1">
        <v>44354.018587962964</v>
      </c>
      <c r="AU4518" s="1">
        <v>44354.019525462965</v>
      </c>
      <c r="AV4518" t="s">
        <v>71</v>
      </c>
      <c r="AW4518" t="s">
        <v>72</v>
      </c>
      <c r="AX4518" t="s">
        <v>73</v>
      </c>
    </row>
    <row r="4519" spans="1:50" x14ac:dyDescent="0.3">
      <c r="A4519" t="str">
        <f>"200322C0100"</f>
        <v>200322C0100</v>
      </c>
      <c r="B4519" t="str">
        <f>"200322C01002"</f>
        <v>200322C01002</v>
      </c>
      <c r="C4519" t="str">
        <f t="shared" si="231"/>
        <v>20</v>
      </c>
      <c r="D4519" t="s">
        <v>67</v>
      </c>
      <c r="E4519" t="str">
        <f t="shared" si="230"/>
        <v>020</v>
      </c>
      <c r="F4519" t="s">
        <v>4506</v>
      </c>
      <c r="G4519" t="str">
        <f>"0322"</f>
        <v>0322</v>
      </c>
      <c r="H4519" t="str">
        <f>"0001"</f>
        <v>0001</v>
      </c>
      <c r="I4519" t="s">
        <v>75</v>
      </c>
      <c r="J4519">
        <v>0</v>
      </c>
      <c r="K4519">
        <v>1</v>
      </c>
      <c r="L4519">
        <v>2</v>
      </c>
      <c r="M4519">
        <v>313</v>
      </c>
      <c r="N4519">
        <v>453</v>
      </c>
      <c r="O4519">
        <v>4</v>
      </c>
      <c r="P4519">
        <v>453</v>
      </c>
      <c r="Q4519">
        <v>1</v>
      </c>
      <c r="R4519">
        <v>80</v>
      </c>
      <c r="S4519">
        <v>10</v>
      </c>
      <c r="T4519">
        <v>0</v>
      </c>
      <c r="U4519">
        <v>87</v>
      </c>
      <c r="V4519">
        <v>7</v>
      </c>
      <c r="W4519">
        <v>2</v>
      </c>
      <c r="X4519">
        <v>144</v>
      </c>
      <c r="Y4519">
        <v>10</v>
      </c>
      <c r="Z4519">
        <v>93</v>
      </c>
      <c r="AA4519">
        <v>5</v>
      </c>
      <c r="AB4519">
        <v>2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12</v>
      </c>
      <c r="AK4519">
        <v>453</v>
      </c>
      <c r="AL4519">
        <v>453</v>
      </c>
      <c r="AM4519">
        <v>722</v>
      </c>
      <c r="AN4519">
        <v>44</v>
      </c>
      <c r="AP4519">
        <v>1</v>
      </c>
      <c r="AR4519" t="s">
        <v>4620</v>
      </c>
      <c r="AS4519" s="1">
        <v>44354.012499999997</v>
      </c>
      <c r="AT4519" s="1">
        <v>44354.020405092589</v>
      </c>
      <c r="AU4519" s="1">
        <v>44354.021041666667</v>
      </c>
      <c r="AV4519" t="s">
        <v>71</v>
      </c>
      <c r="AW4519" t="s">
        <v>72</v>
      </c>
      <c r="AX4519" t="s">
        <v>73</v>
      </c>
    </row>
    <row r="4520" spans="1:50" x14ac:dyDescent="0.3">
      <c r="A4520" t="str">
        <f>"200322C0200"</f>
        <v>200322C0200</v>
      </c>
      <c r="B4520" t="str">
        <f>"200322C02002"</f>
        <v>200322C02002</v>
      </c>
      <c r="C4520" t="str">
        <f t="shared" si="231"/>
        <v>20</v>
      </c>
      <c r="D4520" t="s">
        <v>67</v>
      </c>
      <c r="E4520" t="str">
        <f t="shared" si="230"/>
        <v>020</v>
      </c>
      <c r="F4520" t="s">
        <v>4506</v>
      </c>
      <c r="G4520" t="str">
        <f>"0322"</f>
        <v>0322</v>
      </c>
      <c r="H4520" t="str">
        <f>"0002"</f>
        <v>0002</v>
      </c>
      <c r="I4520" t="s">
        <v>75</v>
      </c>
      <c r="J4520">
        <v>0</v>
      </c>
      <c r="K4520">
        <v>1</v>
      </c>
      <c r="L4520">
        <v>2</v>
      </c>
      <c r="M4520">
        <v>333</v>
      </c>
      <c r="N4520">
        <v>433</v>
      </c>
      <c r="O4520">
        <v>8</v>
      </c>
      <c r="P4520">
        <v>433</v>
      </c>
      <c r="Q4520">
        <v>1</v>
      </c>
      <c r="R4520">
        <v>74</v>
      </c>
      <c r="S4520">
        <v>2</v>
      </c>
      <c r="T4520">
        <v>0</v>
      </c>
      <c r="U4520">
        <v>98</v>
      </c>
      <c r="V4520">
        <v>3</v>
      </c>
      <c r="W4520">
        <v>0</v>
      </c>
      <c r="X4520">
        <v>136</v>
      </c>
      <c r="Y4520">
        <v>11</v>
      </c>
      <c r="Z4520">
        <v>80</v>
      </c>
      <c r="AA4520">
        <v>9</v>
      </c>
      <c r="AB4520">
        <v>4</v>
      </c>
      <c r="AD4520">
        <v>3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12</v>
      </c>
      <c r="AK4520">
        <v>433</v>
      </c>
      <c r="AL4520">
        <v>433</v>
      </c>
      <c r="AM4520">
        <v>722</v>
      </c>
      <c r="AN4520">
        <v>44</v>
      </c>
      <c r="AP4520">
        <v>1</v>
      </c>
      <c r="AR4520" t="s">
        <v>4621</v>
      </c>
      <c r="AS4520" s="1">
        <v>44354.015277777777</v>
      </c>
      <c r="AT4520" s="1">
        <v>44354.02375</v>
      </c>
      <c r="AU4520" s="1">
        <v>44354.024398148147</v>
      </c>
      <c r="AV4520" t="s">
        <v>71</v>
      </c>
      <c r="AW4520" t="s">
        <v>72</v>
      </c>
      <c r="AX4520" t="s">
        <v>73</v>
      </c>
    </row>
    <row r="4521" spans="1:50" x14ac:dyDescent="0.3">
      <c r="A4521" t="str">
        <f>"200322C0300"</f>
        <v>200322C0300</v>
      </c>
      <c r="B4521" t="str">
        <f>"200322C03002"</f>
        <v>200322C03002</v>
      </c>
      <c r="C4521" t="str">
        <f t="shared" si="231"/>
        <v>20</v>
      </c>
      <c r="D4521" t="s">
        <v>67</v>
      </c>
      <c r="E4521" t="str">
        <f t="shared" si="230"/>
        <v>020</v>
      </c>
      <c r="F4521" t="s">
        <v>4506</v>
      </c>
      <c r="G4521" t="str">
        <f>"0322"</f>
        <v>0322</v>
      </c>
      <c r="H4521" t="str">
        <f>"0003"</f>
        <v>0003</v>
      </c>
      <c r="I4521" t="s">
        <v>75</v>
      </c>
      <c r="J4521">
        <v>0</v>
      </c>
      <c r="K4521">
        <v>1</v>
      </c>
      <c r="L4521">
        <v>2</v>
      </c>
      <c r="M4521">
        <v>330</v>
      </c>
      <c r="N4521">
        <v>436</v>
      </c>
      <c r="O4521">
        <v>6</v>
      </c>
      <c r="P4521">
        <v>436</v>
      </c>
      <c r="Q4521">
        <v>4</v>
      </c>
      <c r="R4521">
        <v>78</v>
      </c>
      <c r="S4521">
        <v>3</v>
      </c>
      <c r="T4521">
        <v>1</v>
      </c>
      <c r="U4521">
        <v>93</v>
      </c>
      <c r="V4521">
        <v>7</v>
      </c>
      <c r="W4521">
        <v>1</v>
      </c>
      <c r="X4521">
        <v>124</v>
      </c>
      <c r="Y4521">
        <v>9</v>
      </c>
      <c r="Z4521">
        <v>91</v>
      </c>
      <c r="AA4521">
        <v>7</v>
      </c>
      <c r="AB4521">
        <v>3</v>
      </c>
      <c r="AD4521" t="s">
        <v>77</v>
      </c>
      <c r="AE4521" t="s">
        <v>77</v>
      </c>
      <c r="AF4521" t="s">
        <v>77</v>
      </c>
      <c r="AG4521" t="s">
        <v>77</v>
      </c>
      <c r="AH4521" t="s">
        <v>77</v>
      </c>
      <c r="AI4521" t="s">
        <v>77</v>
      </c>
      <c r="AJ4521">
        <v>15</v>
      </c>
      <c r="AK4521">
        <v>436</v>
      </c>
      <c r="AL4521">
        <v>436</v>
      </c>
      <c r="AM4521">
        <v>722</v>
      </c>
      <c r="AN4521">
        <v>44</v>
      </c>
      <c r="AO4521" t="s">
        <v>78</v>
      </c>
      <c r="AP4521">
        <v>1</v>
      </c>
      <c r="AR4521" t="s">
        <v>4622</v>
      </c>
      <c r="AS4521" s="1">
        <v>44354.012499999997</v>
      </c>
      <c r="AT4521" s="1">
        <v>44354.032141203701</v>
      </c>
      <c r="AU4521" s="1">
        <v>44354.050439814811</v>
      </c>
      <c r="AV4521" t="s">
        <v>71</v>
      </c>
      <c r="AW4521" t="s">
        <v>72</v>
      </c>
      <c r="AX4521" t="s">
        <v>73</v>
      </c>
    </row>
    <row r="4522" spans="1:50" x14ac:dyDescent="0.3">
      <c r="A4522" t="str">
        <f>"200323B0000"</f>
        <v>200323B0000</v>
      </c>
      <c r="B4522" t="str">
        <f>"200323B00002"</f>
        <v>200323B00002</v>
      </c>
      <c r="C4522" t="str">
        <f t="shared" si="231"/>
        <v>20</v>
      </c>
      <c r="D4522" t="s">
        <v>67</v>
      </c>
      <c r="E4522" t="str">
        <f t="shared" si="230"/>
        <v>020</v>
      </c>
      <c r="F4522" t="s">
        <v>4506</v>
      </c>
      <c r="G4522" t="str">
        <f>"0323"</f>
        <v>0323</v>
      </c>
      <c r="H4522" t="str">
        <f>"0000"</f>
        <v>0000</v>
      </c>
      <c r="I4522" t="s">
        <v>69</v>
      </c>
      <c r="J4522">
        <v>0</v>
      </c>
      <c r="K4522">
        <v>1</v>
      </c>
      <c r="L4522">
        <v>2</v>
      </c>
      <c r="M4522">
        <v>243</v>
      </c>
      <c r="N4522">
        <v>293</v>
      </c>
      <c r="O4522">
        <v>1</v>
      </c>
      <c r="P4522">
        <v>293</v>
      </c>
      <c r="Q4522">
        <v>3</v>
      </c>
      <c r="R4522">
        <v>35</v>
      </c>
      <c r="S4522">
        <v>4</v>
      </c>
      <c r="T4522">
        <v>1</v>
      </c>
      <c r="U4522">
        <v>57</v>
      </c>
      <c r="V4522">
        <v>7</v>
      </c>
      <c r="W4522">
        <v>0</v>
      </c>
      <c r="X4522">
        <v>156</v>
      </c>
      <c r="Y4522">
        <v>2</v>
      </c>
      <c r="Z4522">
        <v>9</v>
      </c>
      <c r="AA4522">
        <v>0</v>
      </c>
      <c r="AB4522">
        <v>8</v>
      </c>
      <c r="AD4522">
        <v>2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9</v>
      </c>
      <c r="AK4522">
        <v>293</v>
      </c>
      <c r="AL4522">
        <v>293</v>
      </c>
      <c r="AM4522">
        <v>492</v>
      </c>
      <c r="AN4522">
        <v>44</v>
      </c>
      <c r="AP4522">
        <v>1</v>
      </c>
      <c r="AR4522" t="s">
        <v>4623</v>
      </c>
      <c r="AS4522" s="1">
        <v>44354.131944444445</v>
      </c>
      <c r="AT4522" s="1">
        <v>44354.135185185187</v>
      </c>
      <c r="AU4522" s="1">
        <v>44354.135821759257</v>
      </c>
      <c r="AV4522" t="s">
        <v>71</v>
      </c>
      <c r="AW4522" t="s">
        <v>72</v>
      </c>
      <c r="AX4522" t="s">
        <v>73</v>
      </c>
    </row>
    <row r="4523" spans="1:50" x14ac:dyDescent="0.3">
      <c r="A4523" t="str">
        <f>"200323C0100"</f>
        <v>200323C0100</v>
      </c>
      <c r="B4523" t="str">
        <f>"200323C01002"</f>
        <v>200323C01002</v>
      </c>
      <c r="C4523" t="str">
        <f t="shared" si="231"/>
        <v>20</v>
      </c>
      <c r="D4523" t="s">
        <v>67</v>
      </c>
      <c r="E4523" t="str">
        <f t="shared" si="230"/>
        <v>020</v>
      </c>
      <c r="F4523" t="s">
        <v>4506</v>
      </c>
      <c r="G4523" t="str">
        <f>"0323"</f>
        <v>0323</v>
      </c>
      <c r="H4523" t="str">
        <f>"0001"</f>
        <v>0001</v>
      </c>
      <c r="I4523" t="s">
        <v>75</v>
      </c>
      <c r="J4523">
        <v>0</v>
      </c>
      <c r="K4523">
        <v>1</v>
      </c>
      <c r="L4523">
        <v>2</v>
      </c>
      <c r="M4523">
        <v>271</v>
      </c>
      <c r="N4523">
        <v>264</v>
      </c>
      <c r="O4523">
        <v>0</v>
      </c>
      <c r="P4523">
        <v>264</v>
      </c>
      <c r="Q4523">
        <v>4</v>
      </c>
      <c r="R4523">
        <v>30</v>
      </c>
      <c r="S4523">
        <v>4</v>
      </c>
      <c r="T4523">
        <v>2</v>
      </c>
      <c r="U4523">
        <v>41</v>
      </c>
      <c r="V4523">
        <v>8</v>
      </c>
      <c r="W4523">
        <v>0</v>
      </c>
      <c r="X4523">
        <v>157</v>
      </c>
      <c r="Y4523">
        <v>1</v>
      </c>
      <c r="Z4523">
        <v>6</v>
      </c>
      <c r="AA4523">
        <v>0</v>
      </c>
      <c r="AB4523">
        <v>0</v>
      </c>
      <c r="AD4523">
        <v>0</v>
      </c>
      <c r="AE4523">
        <v>1</v>
      </c>
      <c r="AF4523">
        <v>0</v>
      </c>
      <c r="AG4523">
        <v>0</v>
      </c>
      <c r="AH4523">
        <v>0</v>
      </c>
      <c r="AI4523">
        <v>0</v>
      </c>
      <c r="AJ4523">
        <v>10</v>
      </c>
      <c r="AK4523">
        <v>264</v>
      </c>
      <c r="AL4523">
        <v>264</v>
      </c>
      <c r="AM4523">
        <v>491</v>
      </c>
      <c r="AN4523">
        <v>44</v>
      </c>
      <c r="AP4523">
        <v>1</v>
      </c>
      <c r="AR4523" t="s">
        <v>4624</v>
      </c>
      <c r="AS4523" s="1">
        <v>44354.129861111112</v>
      </c>
      <c r="AT4523" s="1">
        <v>44354.132708333331</v>
      </c>
      <c r="AU4523" s="1">
        <v>44354.133298611108</v>
      </c>
      <c r="AV4523" t="s">
        <v>71</v>
      </c>
      <c r="AW4523" t="s">
        <v>72</v>
      </c>
      <c r="AX4523" t="s">
        <v>73</v>
      </c>
    </row>
    <row r="4524" spans="1:50" x14ac:dyDescent="0.3">
      <c r="A4524" t="str">
        <f>"200324B0000"</f>
        <v>200324B0000</v>
      </c>
      <c r="B4524" t="str">
        <f>"200324B00002"</f>
        <v>200324B00002</v>
      </c>
      <c r="C4524" t="str">
        <f t="shared" si="231"/>
        <v>20</v>
      </c>
      <c r="D4524" t="s">
        <v>67</v>
      </c>
      <c r="E4524" t="str">
        <f t="shared" si="230"/>
        <v>020</v>
      </c>
      <c r="F4524" t="s">
        <v>4506</v>
      </c>
      <c r="G4524" t="str">
        <f>"0324"</f>
        <v>0324</v>
      </c>
      <c r="H4524" t="str">
        <f>"0000"</f>
        <v>0000</v>
      </c>
      <c r="I4524" t="s">
        <v>69</v>
      </c>
      <c r="J4524">
        <v>0</v>
      </c>
      <c r="K4524">
        <v>1</v>
      </c>
      <c r="L4524">
        <v>2</v>
      </c>
      <c r="M4524">
        <v>205</v>
      </c>
      <c r="N4524">
        <v>231</v>
      </c>
      <c r="O4524">
        <v>0</v>
      </c>
      <c r="P4524">
        <v>231</v>
      </c>
      <c r="Q4524">
        <v>1</v>
      </c>
      <c r="R4524">
        <v>36</v>
      </c>
      <c r="S4524">
        <v>3</v>
      </c>
      <c r="T4524">
        <v>1</v>
      </c>
      <c r="U4524">
        <v>30</v>
      </c>
      <c r="V4524">
        <v>8</v>
      </c>
      <c r="W4524">
        <v>0</v>
      </c>
      <c r="X4524">
        <v>131</v>
      </c>
      <c r="Y4524">
        <v>2</v>
      </c>
      <c r="Z4524">
        <v>3</v>
      </c>
      <c r="AA4524">
        <v>0</v>
      </c>
      <c r="AB4524">
        <v>10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6</v>
      </c>
      <c r="AK4524">
        <v>231</v>
      </c>
      <c r="AL4524">
        <v>231</v>
      </c>
      <c r="AM4524">
        <v>392</v>
      </c>
      <c r="AN4524">
        <v>44</v>
      </c>
      <c r="AP4524">
        <v>1</v>
      </c>
      <c r="AR4524" t="s">
        <v>4625</v>
      </c>
      <c r="AS4524" s="1">
        <v>44354.133333333331</v>
      </c>
      <c r="AT4524" s="1">
        <v>44354.135289351849</v>
      </c>
      <c r="AU4524" s="1">
        <v>44354.136284722219</v>
      </c>
      <c r="AV4524" t="s">
        <v>71</v>
      </c>
      <c r="AW4524" t="s">
        <v>72</v>
      </c>
      <c r="AX4524" t="s">
        <v>73</v>
      </c>
    </row>
    <row r="4525" spans="1:50" x14ac:dyDescent="0.3">
      <c r="A4525" t="str">
        <f>"200324C0100"</f>
        <v>200324C0100</v>
      </c>
      <c r="B4525" t="str">
        <f>"200324C01002"</f>
        <v>200324C01002</v>
      </c>
      <c r="C4525" t="str">
        <f t="shared" si="231"/>
        <v>20</v>
      </c>
      <c r="D4525" t="s">
        <v>67</v>
      </c>
      <c r="E4525" t="str">
        <f t="shared" si="230"/>
        <v>020</v>
      </c>
      <c r="F4525" t="s">
        <v>4506</v>
      </c>
      <c r="G4525" t="str">
        <f>"0324"</f>
        <v>0324</v>
      </c>
      <c r="H4525" t="str">
        <f>"0001"</f>
        <v>0001</v>
      </c>
      <c r="I4525" t="s">
        <v>75</v>
      </c>
      <c r="J4525">
        <v>0</v>
      </c>
      <c r="K4525">
        <v>1</v>
      </c>
      <c r="L4525">
        <v>2</v>
      </c>
      <c r="M4525">
        <v>248</v>
      </c>
      <c r="N4525">
        <v>188</v>
      </c>
      <c r="O4525">
        <v>0</v>
      </c>
      <c r="P4525">
        <v>188</v>
      </c>
      <c r="Q4525">
        <v>0</v>
      </c>
      <c r="R4525">
        <v>26</v>
      </c>
      <c r="S4525">
        <v>2</v>
      </c>
      <c r="T4525">
        <v>0</v>
      </c>
      <c r="U4525">
        <v>26</v>
      </c>
      <c r="V4525">
        <v>5</v>
      </c>
      <c r="W4525">
        <v>0</v>
      </c>
      <c r="X4525">
        <v>113</v>
      </c>
      <c r="Y4525">
        <v>1</v>
      </c>
      <c r="Z4525">
        <v>0</v>
      </c>
      <c r="AA4525">
        <v>0</v>
      </c>
      <c r="AB4525">
        <v>7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8</v>
      </c>
      <c r="AK4525">
        <v>188</v>
      </c>
      <c r="AL4525">
        <v>188</v>
      </c>
      <c r="AM4525">
        <v>392</v>
      </c>
      <c r="AN4525">
        <v>44</v>
      </c>
      <c r="AP4525">
        <v>1</v>
      </c>
      <c r="AR4525" t="s">
        <v>4626</v>
      </c>
      <c r="AS4525" s="1">
        <v>44354.130555555559</v>
      </c>
      <c r="AT4525" s="1">
        <v>44354.132939814815</v>
      </c>
      <c r="AU4525" s="1">
        <v>44354.136493055557</v>
      </c>
      <c r="AV4525" t="s">
        <v>71</v>
      </c>
      <c r="AW4525" t="s">
        <v>72</v>
      </c>
      <c r="AX4525" t="s">
        <v>73</v>
      </c>
    </row>
    <row r="4526" spans="1:50" x14ac:dyDescent="0.3">
      <c r="A4526" t="str">
        <f>"200325B0000"</f>
        <v>200325B0000</v>
      </c>
      <c r="B4526" t="str">
        <f>"200325B00002"</f>
        <v>200325B00002</v>
      </c>
      <c r="C4526" t="str">
        <f t="shared" si="231"/>
        <v>20</v>
      </c>
      <c r="D4526" t="s">
        <v>67</v>
      </c>
      <c r="E4526" t="str">
        <f t="shared" si="230"/>
        <v>020</v>
      </c>
      <c r="F4526" t="s">
        <v>4506</v>
      </c>
      <c r="G4526" t="str">
        <f>"0325"</f>
        <v>0325</v>
      </c>
      <c r="H4526" t="str">
        <f>"0000"</f>
        <v>0000</v>
      </c>
      <c r="I4526" t="s">
        <v>69</v>
      </c>
      <c r="J4526">
        <v>0</v>
      </c>
      <c r="K4526">
        <v>1</v>
      </c>
      <c r="L4526">
        <v>2</v>
      </c>
      <c r="M4526">
        <v>316</v>
      </c>
      <c r="N4526">
        <v>368</v>
      </c>
      <c r="O4526">
        <v>4</v>
      </c>
      <c r="P4526">
        <v>368</v>
      </c>
      <c r="Q4526">
        <v>14</v>
      </c>
      <c r="R4526">
        <v>151</v>
      </c>
      <c r="S4526">
        <v>7</v>
      </c>
      <c r="T4526" t="s">
        <v>77</v>
      </c>
      <c r="U4526">
        <v>12</v>
      </c>
      <c r="V4526">
        <v>15</v>
      </c>
      <c r="W4526" t="s">
        <v>77</v>
      </c>
      <c r="X4526">
        <v>145</v>
      </c>
      <c r="Y4526" t="s">
        <v>77</v>
      </c>
      <c r="Z4526">
        <v>6</v>
      </c>
      <c r="AA4526">
        <v>2</v>
      </c>
      <c r="AB4526">
        <v>8</v>
      </c>
      <c r="AD4526">
        <v>1</v>
      </c>
      <c r="AE4526" t="s">
        <v>77</v>
      </c>
      <c r="AF4526" t="s">
        <v>77</v>
      </c>
      <c r="AG4526">
        <v>1</v>
      </c>
      <c r="AH4526" t="s">
        <v>77</v>
      </c>
      <c r="AI4526" t="s">
        <v>77</v>
      </c>
      <c r="AJ4526">
        <v>6</v>
      </c>
      <c r="AK4526">
        <v>368</v>
      </c>
      <c r="AL4526">
        <v>368</v>
      </c>
      <c r="AM4526">
        <v>636</v>
      </c>
      <c r="AN4526">
        <v>44</v>
      </c>
      <c r="AO4526" t="s">
        <v>78</v>
      </c>
      <c r="AP4526">
        <v>1</v>
      </c>
      <c r="AR4526" t="s">
        <v>4627</v>
      </c>
      <c r="AS4526" s="1">
        <v>44353.990277777775</v>
      </c>
      <c r="AT4526" s="1">
        <v>44353.995520833334</v>
      </c>
      <c r="AU4526" s="1">
        <v>44353.996006944442</v>
      </c>
      <c r="AV4526" t="s">
        <v>71</v>
      </c>
      <c r="AW4526" t="s">
        <v>72</v>
      </c>
      <c r="AX4526" t="s">
        <v>73</v>
      </c>
    </row>
    <row r="4527" spans="1:50" x14ac:dyDescent="0.3">
      <c r="A4527" t="str">
        <f>"200325C0100"</f>
        <v>200325C0100</v>
      </c>
      <c r="B4527" t="str">
        <f>"200325C01002"</f>
        <v>200325C01002</v>
      </c>
      <c r="C4527" t="str">
        <f t="shared" si="231"/>
        <v>20</v>
      </c>
      <c r="D4527" t="s">
        <v>67</v>
      </c>
      <c r="E4527" t="str">
        <f t="shared" si="230"/>
        <v>020</v>
      </c>
      <c r="F4527" t="s">
        <v>4506</v>
      </c>
      <c r="G4527" t="str">
        <f>"0325"</f>
        <v>0325</v>
      </c>
      <c r="H4527" t="str">
        <f>"0001"</f>
        <v>0001</v>
      </c>
      <c r="I4527" t="s">
        <v>75</v>
      </c>
      <c r="J4527">
        <v>0</v>
      </c>
      <c r="K4527">
        <v>1</v>
      </c>
      <c r="L4527">
        <v>2</v>
      </c>
      <c r="M4527">
        <v>272</v>
      </c>
      <c r="N4527">
        <v>405</v>
      </c>
      <c r="O4527">
        <v>1</v>
      </c>
      <c r="P4527">
        <v>404</v>
      </c>
      <c r="Q4527">
        <v>2</v>
      </c>
      <c r="R4527">
        <v>71</v>
      </c>
      <c r="S4527">
        <v>2</v>
      </c>
      <c r="T4527">
        <v>0</v>
      </c>
      <c r="U4527">
        <v>12</v>
      </c>
      <c r="V4527">
        <v>165</v>
      </c>
      <c r="W4527">
        <v>0</v>
      </c>
      <c r="X4527">
        <v>122</v>
      </c>
      <c r="Y4527">
        <v>4</v>
      </c>
      <c r="Z4527">
        <v>9</v>
      </c>
      <c r="AA4527">
        <v>0</v>
      </c>
      <c r="AB4527">
        <v>7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10</v>
      </c>
      <c r="AK4527">
        <v>404</v>
      </c>
      <c r="AL4527">
        <v>404</v>
      </c>
      <c r="AM4527">
        <v>636</v>
      </c>
      <c r="AN4527">
        <v>44</v>
      </c>
      <c r="AP4527">
        <v>1</v>
      </c>
      <c r="AR4527" t="s">
        <v>4628</v>
      </c>
      <c r="AS4527" s="1">
        <v>44353.988888888889</v>
      </c>
      <c r="AT4527" s="1">
        <v>44353.994247685187</v>
      </c>
      <c r="AU4527" s="1">
        <v>44353.994895833333</v>
      </c>
      <c r="AV4527" t="s">
        <v>71</v>
      </c>
      <c r="AW4527" t="s">
        <v>72</v>
      </c>
      <c r="AX4527" t="s">
        <v>73</v>
      </c>
    </row>
    <row r="4528" spans="1:50" x14ac:dyDescent="0.3">
      <c r="A4528" t="str">
        <f>"200325C0200"</f>
        <v>200325C0200</v>
      </c>
      <c r="B4528" t="str">
        <f>"200325C02002"</f>
        <v>200325C02002</v>
      </c>
      <c r="C4528" t="str">
        <f t="shared" si="231"/>
        <v>20</v>
      </c>
      <c r="D4528" t="s">
        <v>67</v>
      </c>
      <c r="E4528" t="str">
        <f t="shared" si="230"/>
        <v>020</v>
      </c>
      <c r="F4528" t="s">
        <v>4506</v>
      </c>
      <c r="G4528" t="str">
        <f>"0325"</f>
        <v>0325</v>
      </c>
      <c r="H4528" t="str">
        <f>"0002"</f>
        <v>0002</v>
      </c>
      <c r="I4528" t="s">
        <v>75</v>
      </c>
      <c r="J4528">
        <v>0</v>
      </c>
      <c r="K4528">
        <v>1</v>
      </c>
      <c r="L4528">
        <v>2</v>
      </c>
      <c r="M4528" t="s">
        <v>80</v>
      </c>
      <c r="N4528" t="s">
        <v>80</v>
      </c>
      <c r="O4528" t="s">
        <v>80</v>
      </c>
      <c r="P4528" t="s">
        <v>80</v>
      </c>
      <c r="Q4528">
        <v>2</v>
      </c>
      <c r="R4528">
        <v>81</v>
      </c>
      <c r="S4528">
        <v>3</v>
      </c>
      <c r="T4528">
        <v>0</v>
      </c>
      <c r="U4528">
        <v>17</v>
      </c>
      <c r="V4528">
        <v>148</v>
      </c>
      <c r="W4528">
        <v>0</v>
      </c>
      <c r="X4528">
        <v>138</v>
      </c>
      <c r="Y4528">
        <v>1</v>
      </c>
      <c r="Z4528">
        <v>14</v>
      </c>
      <c r="AA4528">
        <v>2</v>
      </c>
      <c r="AB4528">
        <v>4</v>
      </c>
      <c r="AD4528">
        <v>0</v>
      </c>
      <c r="AE4528">
        <v>1</v>
      </c>
      <c r="AF4528">
        <v>0</v>
      </c>
      <c r="AG4528">
        <v>1</v>
      </c>
      <c r="AH4528">
        <v>0</v>
      </c>
      <c r="AI4528">
        <v>0</v>
      </c>
      <c r="AJ4528">
        <v>8</v>
      </c>
      <c r="AK4528">
        <v>420</v>
      </c>
      <c r="AL4528">
        <v>420</v>
      </c>
      <c r="AM4528">
        <v>635</v>
      </c>
      <c r="AN4528">
        <v>44</v>
      </c>
      <c r="AP4528">
        <v>1</v>
      </c>
      <c r="AR4528" t="s">
        <v>4629</v>
      </c>
      <c r="AS4528" s="1">
        <v>44353.987500000003</v>
      </c>
      <c r="AT4528" s="1">
        <v>44353.99324074074</v>
      </c>
      <c r="AU4528" s="1">
        <v>44353.993807870371</v>
      </c>
      <c r="AV4528" t="s">
        <v>71</v>
      </c>
      <c r="AW4528" t="s">
        <v>72</v>
      </c>
      <c r="AX4528" t="s">
        <v>73</v>
      </c>
    </row>
    <row r="4529" spans="1:50" x14ac:dyDescent="0.3">
      <c r="A4529" t="str">
        <f>"200326B0000"</f>
        <v>200326B0000</v>
      </c>
      <c r="B4529" t="str">
        <f>"200326B00002"</f>
        <v>200326B00002</v>
      </c>
      <c r="C4529" t="str">
        <f t="shared" si="231"/>
        <v>20</v>
      </c>
      <c r="D4529" t="s">
        <v>67</v>
      </c>
      <c r="E4529" t="str">
        <f t="shared" si="230"/>
        <v>020</v>
      </c>
      <c r="F4529" t="s">
        <v>4506</v>
      </c>
      <c r="G4529" t="str">
        <f>"0326"</f>
        <v>0326</v>
      </c>
      <c r="H4529" t="str">
        <f>"0000"</f>
        <v>0000</v>
      </c>
      <c r="I4529" t="s">
        <v>69</v>
      </c>
      <c r="J4529">
        <v>0</v>
      </c>
      <c r="K4529">
        <v>1</v>
      </c>
      <c r="L4529">
        <v>2</v>
      </c>
      <c r="M4529">
        <v>284</v>
      </c>
      <c r="N4529">
        <v>338</v>
      </c>
      <c r="O4529">
        <v>3</v>
      </c>
      <c r="P4529">
        <v>338</v>
      </c>
      <c r="Q4529">
        <v>8</v>
      </c>
      <c r="R4529">
        <v>103</v>
      </c>
      <c r="S4529">
        <v>6</v>
      </c>
      <c r="T4529">
        <v>0</v>
      </c>
      <c r="U4529">
        <v>20</v>
      </c>
      <c r="V4529">
        <v>73</v>
      </c>
      <c r="W4529">
        <v>0</v>
      </c>
      <c r="X4529">
        <v>109</v>
      </c>
      <c r="Y4529">
        <v>2</v>
      </c>
      <c r="Z4529">
        <v>9</v>
      </c>
      <c r="AA4529">
        <v>3</v>
      </c>
      <c r="AB4529">
        <v>2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3</v>
      </c>
      <c r="AK4529">
        <v>338</v>
      </c>
      <c r="AL4529">
        <v>338</v>
      </c>
      <c r="AM4529">
        <v>578</v>
      </c>
      <c r="AN4529">
        <v>44</v>
      </c>
      <c r="AP4529">
        <v>1</v>
      </c>
      <c r="AR4529" t="s">
        <v>4630</v>
      </c>
      <c r="AS4529" s="1">
        <v>44353.955555555556</v>
      </c>
      <c r="AT4529" s="1">
        <v>44353.95815972222</v>
      </c>
      <c r="AU4529" s="1">
        <v>44353.958611111113</v>
      </c>
      <c r="AV4529" t="s">
        <v>71</v>
      </c>
      <c r="AW4529" t="s">
        <v>72</v>
      </c>
      <c r="AX4529" t="s">
        <v>73</v>
      </c>
    </row>
    <row r="4530" spans="1:50" x14ac:dyDescent="0.3">
      <c r="A4530" t="str">
        <f>"200326C0100"</f>
        <v>200326C0100</v>
      </c>
      <c r="B4530" t="str">
        <f>"200326C01002"</f>
        <v>200326C01002</v>
      </c>
      <c r="C4530" t="str">
        <f t="shared" si="231"/>
        <v>20</v>
      </c>
      <c r="D4530" t="s">
        <v>67</v>
      </c>
      <c r="E4530" t="str">
        <f t="shared" si="230"/>
        <v>020</v>
      </c>
      <c r="F4530" t="s">
        <v>4506</v>
      </c>
      <c r="G4530" t="str">
        <f>"0326"</f>
        <v>0326</v>
      </c>
      <c r="H4530" t="str">
        <f>"0001"</f>
        <v>0001</v>
      </c>
      <c r="I4530" t="s">
        <v>75</v>
      </c>
      <c r="J4530">
        <v>0</v>
      </c>
      <c r="K4530">
        <v>1</v>
      </c>
      <c r="L4530">
        <v>2</v>
      </c>
      <c r="AM4530">
        <v>577</v>
      </c>
      <c r="AN4530">
        <v>44</v>
      </c>
      <c r="AO4530" t="s">
        <v>143</v>
      </c>
      <c r="AP4530">
        <v>0</v>
      </c>
      <c r="AR4530" t="s">
        <v>4631</v>
      </c>
      <c r="AS4530" s="1">
        <v>44354.418749999997</v>
      </c>
      <c r="AT4530" s="1">
        <v>44354.427245370367</v>
      </c>
      <c r="AU4530" s="1">
        <v>44354.427245370367</v>
      </c>
      <c r="AV4530" t="s">
        <v>71</v>
      </c>
      <c r="AW4530" t="s">
        <v>72</v>
      </c>
      <c r="AX4530" t="s">
        <v>73</v>
      </c>
    </row>
    <row r="4531" spans="1:50" x14ac:dyDescent="0.3">
      <c r="A4531" t="str">
        <f>"200326C0200"</f>
        <v>200326C0200</v>
      </c>
      <c r="B4531" t="str">
        <f>"200326C02002"</f>
        <v>200326C02002</v>
      </c>
      <c r="C4531" t="str">
        <f t="shared" si="231"/>
        <v>20</v>
      </c>
      <c r="D4531" t="s">
        <v>67</v>
      </c>
      <c r="E4531" t="str">
        <f t="shared" si="230"/>
        <v>020</v>
      </c>
      <c r="F4531" t="s">
        <v>4506</v>
      </c>
      <c r="G4531" t="str">
        <f>"0326"</f>
        <v>0326</v>
      </c>
      <c r="H4531" t="str">
        <f>"0002"</f>
        <v>0002</v>
      </c>
      <c r="I4531" t="s">
        <v>75</v>
      </c>
      <c r="J4531">
        <v>0</v>
      </c>
      <c r="K4531">
        <v>1</v>
      </c>
      <c r="L4531">
        <v>2</v>
      </c>
      <c r="M4531">
        <v>351</v>
      </c>
      <c r="N4531">
        <v>351</v>
      </c>
      <c r="O4531">
        <v>0</v>
      </c>
      <c r="P4531">
        <v>351</v>
      </c>
      <c r="Q4531">
        <v>3</v>
      </c>
      <c r="R4531">
        <v>109</v>
      </c>
      <c r="S4531">
        <v>12</v>
      </c>
      <c r="T4531">
        <v>0</v>
      </c>
      <c r="U4531">
        <v>25</v>
      </c>
      <c r="V4531">
        <v>95</v>
      </c>
      <c r="W4531">
        <v>0</v>
      </c>
      <c r="X4531">
        <v>97</v>
      </c>
      <c r="Y4531">
        <v>1</v>
      </c>
      <c r="Z4531">
        <v>5</v>
      </c>
      <c r="AA4531">
        <v>0</v>
      </c>
      <c r="AB4531">
        <v>0</v>
      </c>
      <c r="AD4531">
        <v>2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1</v>
      </c>
      <c r="AK4531">
        <v>351</v>
      </c>
      <c r="AL4531">
        <v>350</v>
      </c>
      <c r="AM4531">
        <v>577</v>
      </c>
      <c r="AN4531">
        <v>44</v>
      </c>
      <c r="AP4531">
        <v>1</v>
      </c>
      <c r="AR4531" t="s">
        <v>4632</v>
      </c>
      <c r="AS4531" s="1">
        <v>44354.24722222222</v>
      </c>
      <c r="AT4531" s="1">
        <v>44354.251608796294</v>
      </c>
      <c r="AU4531" s="1">
        <v>44354.252523148149</v>
      </c>
      <c r="AV4531" t="s">
        <v>71</v>
      </c>
      <c r="AW4531" t="s">
        <v>72</v>
      </c>
      <c r="AX4531" t="s">
        <v>73</v>
      </c>
    </row>
    <row r="4532" spans="1:50" x14ac:dyDescent="0.3">
      <c r="A4532" t="str">
        <f>"200326C0300"</f>
        <v>200326C0300</v>
      </c>
      <c r="B4532" t="str">
        <f>"200326C03002"</f>
        <v>200326C03002</v>
      </c>
      <c r="C4532" t="str">
        <f t="shared" si="231"/>
        <v>20</v>
      </c>
      <c r="D4532" t="s">
        <v>67</v>
      </c>
      <c r="E4532" t="str">
        <f t="shared" si="230"/>
        <v>020</v>
      </c>
      <c r="F4532" t="s">
        <v>4506</v>
      </c>
      <c r="G4532" t="str">
        <f>"0326"</f>
        <v>0326</v>
      </c>
      <c r="H4532" t="str">
        <f>"0003"</f>
        <v>0003</v>
      </c>
      <c r="I4532" t="s">
        <v>75</v>
      </c>
      <c r="J4532">
        <v>0</v>
      </c>
      <c r="K4532">
        <v>1</v>
      </c>
      <c r="L4532">
        <v>2</v>
      </c>
      <c r="M4532">
        <v>285</v>
      </c>
      <c r="N4532">
        <v>336</v>
      </c>
      <c r="O4532">
        <v>2</v>
      </c>
      <c r="P4532">
        <v>335</v>
      </c>
      <c r="Q4532">
        <v>2</v>
      </c>
      <c r="R4532">
        <v>82</v>
      </c>
      <c r="S4532">
        <v>6</v>
      </c>
      <c r="T4532">
        <v>0</v>
      </c>
      <c r="U4532">
        <v>16</v>
      </c>
      <c r="V4532">
        <v>100</v>
      </c>
      <c r="W4532">
        <v>0</v>
      </c>
      <c r="X4532">
        <v>109</v>
      </c>
      <c r="Y4532">
        <v>1</v>
      </c>
      <c r="Z4532">
        <v>10</v>
      </c>
      <c r="AA4532">
        <v>1</v>
      </c>
      <c r="AB4532">
        <v>2</v>
      </c>
      <c r="AD4532">
        <v>1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5</v>
      </c>
      <c r="AK4532">
        <v>335</v>
      </c>
      <c r="AL4532">
        <v>335</v>
      </c>
      <c r="AM4532">
        <v>577</v>
      </c>
      <c r="AN4532">
        <v>44</v>
      </c>
      <c r="AP4532">
        <v>1</v>
      </c>
      <c r="AR4532" t="s">
        <v>4633</v>
      </c>
      <c r="AS4532" s="1">
        <v>44353.959027777775</v>
      </c>
      <c r="AT4532" s="1">
        <v>44353.960289351853</v>
      </c>
      <c r="AU4532" s="1">
        <v>44353.961539351854</v>
      </c>
      <c r="AV4532" t="s">
        <v>71</v>
      </c>
      <c r="AW4532" t="s">
        <v>72</v>
      </c>
      <c r="AX4532" t="s">
        <v>73</v>
      </c>
    </row>
    <row r="4533" spans="1:50" x14ac:dyDescent="0.3">
      <c r="A4533" t="str">
        <f>"200327B0000"</f>
        <v>200327B0000</v>
      </c>
      <c r="B4533" t="str">
        <f>"200327B00002"</f>
        <v>200327B00002</v>
      </c>
      <c r="C4533" t="str">
        <f t="shared" si="231"/>
        <v>20</v>
      </c>
      <c r="D4533" t="s">
        <v>67</v>
      </c>
      <c r="E4533" t="str">
        <f t="shared" si="230"/>
        <v>020</v>
      </c>
      <c r="F4533" t="s">
        <v>4506</v>
      </c>
      <c r="G4533" t="str">
        <f>"0327"</f>
        <v>0327</v>
      </c>
      <c r="H4533" t="str">
        <f>"0000"</f>
        <v>0000</v>
      </c>
      <c r="I4533" t="s">
        <v>69</v>
      </c>
      <c r="J4533">
        <v>0</v>
      </c>
      <c r="K4533">
        <v>1</v>
      </c>
      <c r="L4533">
        <v>2</v>
      </c>
      <c r="M4533">
        <v>195</v>
      </c>
      <c r="N4533">
        <v>308</v>
      </c>
      <c r="O4533">
        <v>1</v>
      </c>
      <c r="P4533">
        <v>308</v>
      </c>
      <c r="Q4533">
        <v>1</v>
      </c>
      <c r="R4533">
        <v>43</v>
      </c>
      <c r="S4533">
        <v>7</v>
      </c>
      <c r="T4533">
        <v>2</v>
      </c>
      <c r="U4533">
        <v>77</v>
      </c>
      <c r="V4533">
        <v>8</v>
      </c>
      <c r="W4533">
        <v>1</v>
      </c>
      <c r="X4533">
        <v>126</v>
      </c>
      <c r="Y4533">
        <v>3</v>
      </c>
      <c r="Z4533">
        <v>20</v>
      </c>
      <c r="AA4533">
        <v>5</v>
      </c>
      <c r="AB4533">
        <v>6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8</v>
      </c>
      <c r="AK4533">
        <v>308</v>
      </c>
      <c r="AL4533">
        <v>307</v>
      </c>
      <c r="AM4533">
        <v>459</v>
      </c>
      <c r="AN4533">
        <v>44</v>
      </c>
      <c r="AP4533">
        <v>1</v>
      </c>
      <c r="AR4533" t="s">
        <v>4634</v>
      </c>
      <c r="AS4533" s="1">
        <v>44354.07708333333</v>
      </c>
      <c r="AT4533" s="1">
        <v>44354.085902777777</v>
      </c>
      <c r="AU4533" s="1">
        <v>44354.086400462962</v>
      </c>
      <c r="AV4533" t="s">
        <v>71</v>
      </c>
      <c r="AW4533" t="s">
        <v>72</v>
      </c>
      <c r="AX4533" t="s">
        <v>73</v>
      </c>
    </row>
    <row r="4534" spans="1:50" x14ac:dyDescent="0.3">
      <c r="A4534" t="str">
        <f>"200327C0100"</f>
        <v>200327C0100</v>
      </c>
      <c r="B4534" t="str">
        <f>"200327C01002"</f>
        <v>200327C01002</v>
      </c>
      <c r="C4534" t="str">
        <f t="shared" si="231"/>
        <v>20</v>
      </c>
      <c r="D4534" t="s">
        <v>67</v>
      </c>
      <c r="E4534" t="str">
        <f t="shared" ref="E4534:E4597" si="233">"020"</f>
        <v>020</v>
      </c>
      <c r="F4534" t="s">
        <v>4506</v>
      </c>
      <c r="G4534" t="str">
        <f>"0327"</f>
        <v>0327</v>
      </c>
      <c r="H4534" t="str">
        <f>"0001"</f>
        <v>0001</v>
      </c>
      <c r="I4534" t="s">
        <v>75</v>
      </c>
      <c r="J4534">
        <v>0</v>
      </c>
      <c r="K4534">
        <v>1</v>
      </c>
      <c r="L4534">
        <v>2</v>
      </c>
      <c r="M4534">
        <v>196</v>
      </c>
      <c r="N4534">
        <v>306</v>
      </c>
      <c r="O4534">
        <v>1</v>
      </c>
      <c r="P4534">
        <v>306</v>
      </c>
      <c r="Q4534">
        <v>1</v>
      </c>
      <c r="R4534">
        <v>30</v>
      </c>
      <c r="S4534">
        <v>11</v>
      </c>
      <c r="T4534">
        <v>0</v>
      </c>
      <c r="U4534">
        <v>80</v>
      </c>
      <c r="V4534">
        <v>18</v>
      </c>
      <c r="W4534">
        <v>1</v>
      </c>
      <c r="X4534">
        <v>112</v>
      </c>
      <c r="Y4534">
        <v>4</v>
      </c>
      <c r="Z4534">
        <v>25</v>
      </c>
      <c r="AA4534">
        <v>8</v>
      </c>
      <c r="AB4534">
        <v>2</v>
      </c>
      <c r="AD4534">
        <v>1</v>
      </c>
      <c r="AE4534">
        <v>2</v>
      </c>
      <c r="AF4534">
        <v>0</v>
      </c>
      <c r="AG4534">
        <v>0</v>
      </c>
      <c r="AH4534">
        <v>0</v>
      </c>
      <c r="AI4534">
        <v>0</v>
      </c>
      <c r="AJ4534">
        <v>11</v>
      </c>
      <c r="AK4534">
        <v>306</v>
      </c>
      <c r="AL4534">
        <v>306</v>
      </c>
      <c r="AM4534">
        <v>458</v>
      </c>
      <c r="AN4534">
        <v>44</v>
      </c>
      <c r="AP4534">
        <v>1</v>
      </c>
      <c r="AR4534" t="s">
        <v>4635</v>
      </c>
      <c r="AS4534" s="1">
        <v>44354.079861111109</v>
      </c>
      <c r="AT4534" s="1">
        <v>44354.089074074072</v>
      </c>
      <c r="AU4534" s="1">
        <v>44354.089803240742</v>
      </c>
      <c r="AV4534" t="s">
        <v>71</v>
      </c>
      <c r="AW4534" t="s">
        <v>72</v>
      </c>
      <c r="AX4534" t="s">
        <v>73</v>
      </c>
    </row>
    <row r="4535" spans="1:50" x14ac:dyDescent="0.3">
      <c r="A4535" t="str">
        <f>"200328B0000"</f>
        <v>200328B0000</v>
      </c>
      <c r="B4535" t="str">
        <f>"200328B00002"</f>
        <v>200328B00002</v>
      </c>
      <c r="C4535" t="str">
        <f t="shared" si="231"/>
        <v>20</v>
      </c>
      <c r="D4535" t="s">
        <v>67</v>
      </c>
      <c r="E4535" t="str">
        <f t="shared" si="233"/>
        <v>020</v>
      </c>
      <c r="F4535" t="s">
        <v>4506</v>
      </c>
      <c r="G4535" t="str">
        <f>"0328"</f>
        <v>0328</v>
      </c>
      <c r="H4535" t="str">
        <f>"0000"</f>
        <v>0000</v>
      </c>
      <c r="I4535" t="s">
        <v>69</v>
      </c>
      <c r="J4535">
        <v>0</v>
      </c>
      <c r="K4535">
        <v>1</v>
      </c>
      <c r="L4535">
        <v>2</v>
      </c>
      <c r="M4535">
        <v>218</v>
      </c>
      <c r="N4535">
        <v>317</v>
      </c>
      <c r="O4535">
        <v>9</v>
      </c>
      <c r="P4535">
        <v>317</v>
      </c>
      <c r="Q4535">
        <v>4</v>
      </c>
      <c r="R4535">
        <v>73</v>
      </c>
      <c r="S4535">
        <v>6</v>
      </c>
      <c r="T4535">
        <v>1</v>
      </c>
      <c r="U4535">
        <v>87</v>
      </c>
      <c r="V4535">
        <v>8</v>
      </c>
      <c r="W4535">
        <v>0</v>
      </c>
      <c r="X4535">
        <v>74</v>
      </c>
      <c r="Y4535">
        <v>1</v>
      </c>
      <c r="Z4535">
        <v>38</v>
      </c>
      <c r="AA4535">
        <v>2</v>
      </c>
      <c r="AB4535">
        <v>13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10</v>
      </c>
      <c r="AK4535">
        <v>317</v>
      </c>
      <c r="AL4535">
        <v>317</v>
      </c>
      <c r="AM4535">
        <v>491</v>
      </c>
      <c r="AN4535">
        <v>44</v>
      </c>
      <c r="AP4535">
        <v>1</v>
      </c>
      <c r="AR4535" t="s">
        <v>4636</v>
      </c>
      <c r="AS4535" s="1">
        <v>44354.085416666669</v>
      </c>
      <c r="AT4535" s="1">
        <v>44354.093541666669</v>
      </c>
      <c r="AU4535" s="1">
        <v>44354.094282407408</v>
      </c>
      <c r="AV4535" t="s">
        <v>71</v>
      </c>
      <c r="AW4535" t="s">
        <v>72</v>
      </c>
      <c r="AX4535" t="s">
        <v>73</v>
      </c>
    </row>
    <row r="4536" spans="1:50" x14ac:dyDescent="0.3">
      <c r="A4536" t="str">
        <f>"200328C0100"</f>
        <v>200328C0100</v>
      </c>
      <c r="B4536" t="str">
        <f>"200328C01002"</f>
        <v>200328C01002</v>
      </c>
      <c r="C4536" t="str">
        <f t="shared" si="231"/>
        <v>20</v>
      </c>
      <c r="D4536" t="s">
        <v>67</v>
      </c>
      <c r="E4536" t="str">
        <f t="shared" si="233"/>
        <v>020</v>
      </c>
      <c r="F4536" t="s">
        <v>4506</v>
      </c>
      <c r="G4536" t="str">
        <f>"0328"</f>
        <v>0328</v>
      </c>
      <c r="H4536" t="str">
        <f>"0001"</f>
        <v>0001</v>
      </c>
      <c r="I4536" t="s">
        <v>75</v>
      </c>
      <c r="J4536">
        <v>0</v>
      </c>
      <c r="K4536">
        <v>1</v>
      </c>
      <c r="L4536">
        <v>2</v>
      </c>
      <c r="M4536">
        <v>241</v>
      </c>
      <c r="N4536">
        <v>294</v>
      </c>
      <c r="O4536">
        <v>3</v>
      </c>
      <c r="P4536">
        <v>294</v>
      </c>
      <c r="Q4536">
        <v>1</v>
      </c>
      <c r="R4536">
        <v>53</v>
      </c>
      <c r="S4536">
        <v>4</v>
      </c>
      <c r="T4536">
        <v>0</v>
      </c>
      <c r="U4536">
        <v>90</v>
      </c>
      <c r="V4536">
        <v>7</v>
      </c>
      <c r="W4536">
        <v>1</v>
      </c>
      <c r="X4536">
        <v>87</v>
      </c>
      <c r="Y4536">
        <v>0</v>
      </c>
      <c r="Z4536">
        <v>29</v>
      </c>
      <c r="AA4536">
        <v>4</v>
      </c>
      <c r="AB4536">
        <v>4</v>
      </c>
      <c r="AD4536">
        <v>2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12</v>
      </c>
      <c r="AK4536">
        <v>294</v>
      </c>
      <c r="AL4536">
        <v>294</v>
      </c>
      <c r="AM4536">
        <v>491</v>
      </c>
      <c r="AN4536">
        <v>44</v>
      </c>
      <c r="AP4536">
        <v>1</v>
      </c>
      <c r="AR4536" t="s">
        <v>4637</v>
      </c>
      <c r="AS4536" s="1">
        <v>44354.082638888889</v>
      </c>
      <c r="AT4536" s="1">
        <v>44354.09003472222</v>
      </c>
      <c r="AU4536" s="1">
        <v>44354.090763888889</v>
      </c>
      <c r="AV4536" t="s">
        <v>71</v>
      </c>
      <c r="AW4536" t="s">
        <v>72</v>
      </c>
      <c r="AX4536" t="s">
        <v>73</v>
      </c>
    </row>
    <row r="4537" spans="1:50" x14ac:dyDescent="0.3">
      <c r="A4537" t="str">
        <f>"200329B0000"</f>
        <v>200329B0000</v>
      </c>
      <c r="B4537" t="str">
        <f>"200329B00002"</f>
        <v>200329B00002</v>
      </c>
      <c r="C4537" t="str">
        <f t="shared" si="231"/>
        <v>20</v>
      </c>
      <c r="D4537" t="s">
        <v>67</v>
      </c>
      <c r="E4537" t="str">
        <f t="shared" si="233"/>
        <v>020</v>
      </c>
      <c r="F4537" t="s">
        <v>4506</v>
      </c>
      <c r="G4537" t="str">
        <f>"0329"</f>
        <v>0329</v>
      </c>
      <c r="H4537" t="str">
        <f>"0000"</f>
        <v>0000</v>
      </c>
      <c r="I4537" t="s">
        <v>69</v>
      </c>
      <c r="J4537">
        <v>0</v>
      </c>
      <c r="K4537">
        <v>1</v>
      </c>
      <c r="L4537">
        <v>2</v>
      </c>
      <c r="M4537">
        <v>179</v>
      </c>
      <c r="N4537">
        <v>257</v>
      </c>
      <c r="O4537">
        <v>5</v>
      </c>
      <c r="P4537">
        <v>257</v>
      </c>
      <c r="Q4537">
        <v>3</v>
      </c>
      <c r="R4537">
        <v>48</v>
      </c>
      <c r="S4537">
        <v>10</v>
      </c>
      <c r="T4537">
        <v>0</v>
      </c>
      <c r="U4537">
        <v>56</v>
      </c>
      <c r="V4537">
        <v>7</v>
      </c>
      <c r="W4537">
        <v>0</v>
      </c>
      <c r="X4537">
        <v>85</v>
      </c>
      <c r="Y4537">
        <v>3</v>
      </c>
      <c r="Z4537">
        <v>23</v>
      </c>
      <c r="AA4537">
        <v>6</v>
      </c>
      <c r="AB4537">
        <v>5</v>
      </c>
      <c r="AD4537">
        <v>0</v>
      </c>
      <c r="AE4537">
        <v>1</v>
      </c>
      <c r="AF4537">
        <v>0</v>
      </c>
      <c r="AG4537">
        <v>0</v>
      </c>
      <c r="AH4537">
        <v>0</v>
      </c>
      <c r="AI4537">
        <v>0</v>
      </c>
      <c r="AJ4537">
        <v>10</v>
      </c>
      <c r="AK4537">
        <v>257</v>
      </c>
      <c r="AL4537">
        <v>257</v>
      </c>
      <c r="AM4537">
        <v>392</v>
      </c>
      <c r="AN4537">
        <v>44</v>
      </c>
      <c r="AP4537">
        <v>1</v>
      </c>
      <c r="AR4537" t="s">
        <v>4638</v>
      </c>
      <c r="AS4537" s="1">
        <v>44354.138888888891</v>
      </c>
      <c r="AT4537" s="1">
        <v>44354.142638888887</v>
      </c>
      <c r="AU4537" s="1">
        <v>44354.143009259256</v>
      </c>
      <c r="AV4537" t="s">
        <v>71</v>
      </c>
      <c r="AW4537" t="s">
        <v>72</v>
      </c>
      <c r="AX4537" t="s">
        <v>73</v>
      </c>
    </row>
    <row r="4538" spans="1:50" x14ac:dyDescent="0.3">
      <c r="A4538" t="str">
        <f>"200329C0100"</f>
        <v>200329C0100</v>
      </c>
      <c r="B4538" t="str">
        <f>"200329C01002"</f>
        <v>200329C01002</v>
      </c>
      <c r="C4538" t="str">
        <f t="shared" si="231"/>
        <v>20</v>
      </c>
      <c r="D4538" t="s">
        <v>67</v>
      </c>
      <c r="E4538" t="str">
        <f t="shared" si="233"/>
        <v>020</v>
      </c>
      <c r="F4538" t="s">
        <v>4506</v>
      </c>
      <c r="G4538" t="str">
        <f>"0329"</f>
        <v>0329</v>
      </c>
      <c r="H4538" t="str">
        <f>"0001"</f>
        <v>0001</v>
      </c>
      <c r="I4538" t="s">
        <v>75</v>
      </c>
      <c r="J4538">
        <v>0</v>
      </c>
      <c r="K4538">
        <v>1</v>
      </c>
      <c r="L4538">
        <v>2</v>
      </c>
      <c r="M4538">
        <v>167</v>
      </c>
      <c r="N4538">
        <v>269</v>
      </c>
      <c r="O4538">
        <v>4</v>
      </c>
      <c r="P4538">
        <v>269</v>
      </c>
      <c r="Q4538">
        <v>2</v>
      </c>
      <c r="R4538">
        <v>45</v>
      </c>
      <c r="S4538">
        <v>5</v>
      </c>
      <c r="T4538">
        <v>0</v>
      </c>
      <c r="U4538">
        <v>89</v>
      </c>
      <c r="V4538">
        <v>6</v>
      </c>
      <c r="W4538">
        <v>0</v>
      </c>
      <c r="X4538">
        <v>82</v>
      </c>
      <c r="Y4538">
        <v>1</v>
      </c>
      <c r="Z4538">
        <v>22</v>
      </c>
      <c r="AA4538">
        <v>1</v>
      </c>
      <c r="AB4538">
        <v>8</v>
      </c>
      <c r="AD4538">
        <v>1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7</v>
      </c>
      <c r="AK4538">
        <v>269</v>
      </c>
      <c r="AL4538">
        <v>269</v>
      </c>
      <c r="AM4538">
        <v>392</v>
      </c>
      <c r="AN4538">
        <v>44</v>
      </c>
      <c r="AP4538">
        <v>1</v>
      </c>
      <c r="AR4538" t="s">
        <v>4639</v>
      </c>
      <c r="AS4538" s="1">
        <v>44354.138194444444</v>
      </c>
      <c r="AT4538" s="1">
        <v>44354.140983796293</v>
      </c>
      <c r="AU4538" s="1">
        <v>44354.141423611109</v>
      </c>
      <c r="AV4538" t="s">
        <v>71</v>
      </c>
      <c r="AW4538" t="s">
        <v>72</v>
      </c>
      <c r="AX4538" t="s">
        <v>73</v>
      </c>
    </row>
    <row r="4539" spans="1:50" x14ac:dyDescent="0.3">
      <c r="A4539" t="str">
        <f>"200330B0000"</f>
        <v>200330B0000</v>
      </c>
      <c r="B4539" t="str">
        <f>"200330B00002"</f>
        <v>200330B00002</v>
      </c>
      <c r="C4539" t="str">
        <f t="shared" si="231"/>
        <v>20</v>
      </c>
      <c r="D4539" t="s">
        <v>67</v>
      </c>
      <c r="E4539" t="str">
        <f t="shared" si="233"/>
        <v>020</v>
      </c>
      <c r="F4539" t="s">
        <v>4506</v>
      </c>
      <c r="G4539" t="str">
        <f>"0330"</f>
        <v>0330</v>
      </c>
      <c r="H4539" t="str">
        <f>"0000"</f>
        <v>0000</v>
      </c>
      <c r="I4539" t="s">
        <v>69</v>
      </c>
      <c r="J4539">
        <v>0</v>
      </c>
      <c r="K4539">
        <v>1</v>
      </c>
      <c r="L4539">
        <v>2</v>
      </c>
      <c r="AM4539">
        <v>687</v>
      </c>
      <c r="AN4539">
        <v>44</v>
      </c>
      <c r="AO4539" t="s">
        <v>143</v>
      </c>
      <c r="AP4539">
        <v>0</v>
      </c>
      <c r="AR4539" t="s">
        <v>4640</v>
      </c>
      <c r="AS4539" s="1">
        <v>44354.418749999997</v>
      </c>
      <c r="AT4539" s="1">
        <v>44354.433993055558</v>
      </c>
      <c r="AU4539" s="1">
        <v>44354.433993055558</v>
      </c>
      <c r="AV4539" t="s">
        <v>71</v>
      </c>
      <c r="AW4539" t="s">
        <v>72</v>
      </c>
      <c r="AX4539" t="s">
        <v>73</v>
      </c>
    </row>
    <row r="4540" spans="1:50" x14ac:dyDescent="0.3">
      <c r="A4540" t="str">
        <f>"200330C0100"</f>
        <v>200330C0100</v>
      </c>
      <c r="B4540" t="str">
        <f>"200330C01002"</f>
        <v>200330C01002</v>
      </c>
      <c r="C4540" t="str">
        <f t="shared" si="231"/>
        <v>20</v>
      </c>
      <c r="D4540" t="s">
        <v>67</v>
      </c>
      <c r="E4540" t="str">
        <f t="shared" si="233"/>
        <v>020</v>
      </c>
      <c r="F4540" t="s">
        <v>4506</v>
      </c>
      <c r="G4540" t="str">
        <f>"0330"</f>
        <v>0330</v>
      </c>
      <c r="H4540" t="str">
        <f>"0001"</f>
        <v>0001</v>
      </c>
      <c r="I4540" t="s">
        <v>75</v>
      </c>
      <c r="J4540">
        <v>0</v>
      </c>
      <c r="K4540">
        <v>1</v>
      </c>
      <c r="L4540">
        <v>2</v>
      </c>
      <c r="AM4540">
        <v>686</v>
      </c>
      <c r="AN4540">
        <v>44</v>
      </c>
      <c r="AO4540" t="s">
        <v>143</v>
      </c>
      <c r="AP4540">
        <v>0</v>
      </c>
      <c r="AR4540" t="s">
        <v>4641</v>
      </c>
      <c r="AS4540" s="1">
        <v>44354.416666666664</v>
      </c>
      <c r="AT4540" s="1">
        <v>44354.420011574075</v>
      </c>
      <c r="AU4540" s="1">
        <v>44354.420011574075</v>
      </c>
      <c r="AV4540" t="s">
        <v>71</v>
      </c>
      <c r="AW4540" t="s">
        <v>72</v>
      </c>
      <c r="AX4540" t="s">
        <v>73</v>
      </c>
    </row>
    <row r="4541" spans="1:50" x14ac:dyDescent="0.3">
      <c r="A4541" t="str">
        <f>"200330C0200"</f>
        <v>200330C0200</v>
      </c>
      <c r="B4541" t="str">
        <f>"200330C02002"</f>
        <v>200330C02002</v>
      </c>
      <c r="C4541" t="str">
        <f t="shared" si="231"/>
        <v>20</v>
      </c>
      <c r="D4541" t="s">
        <v>67</v>
      </c>
      <c r="E4541" t="str">
        <f t="shared" si="233"/>
        <v>020</v>
      </c>
      <c r="F4541" t="s">
        <v>4506</v>
      </c>
      <c r="G4541" t="str">
        <f>"0330"</f>
        <v>0330</v>
      </c>
      <c r="H4541" t="str">
        <f>"0002"</f>
        <v>0002</v>
      </c>
      <c r="I4541" t="s">
        <v>75</v>
      </c>
      <c r="J4541">
        <v>0</v>
      </c>
      <c r="K4541">
        <v>1</v>
      </c>
      <c r="L4541">
        <v>2</v>
      </c>
      <c r="AM4541">
        <v>686</v>
      </c>
      <c r="AN4541">
        <v>44</v>
      </c>
      <c r="AO4541" t="s">
        <v>143</v>
      </c>
      <c r="AP4541">
        <v>0</v>
      </c>
      <c r="AR4541" t="s">
        <v>4642</v>
      </c>
      <c r="AS4541" s="1">
        <v>44354.416666666664</v>
      </c>
      <c r="AT4541" s="1">
        <v>44354.419374999998</v>
      </c>
      <c r="AU4541" s="1">
        <v>44354.419374999998</v>
      </c>
      <c r="AV4541" t="s">
        <v>71</v>
      </c>
      <c r="AW4541" t="s">
        <v>72</v>
      </c>
      <c r="AX4541" t="s">
        <v>73</v>
      </c>
    </row>
    <row r="4542" spans="1:50" x14ac:dyDescent="0.3">
      <c r="A4542" t="str">
        <f>"200331B0000"</f>
        <v>200331B0000</v>
      </c>
      <c r="B4542" t="str">
        <f>"200331B00002"</f>
        <v>200331B00002</v>
      </c>
      <c r="C4542" t="str">
        <f t="shared" si="231"/>
        <v>20</v>
      </c>
      <c r="D4542" t="s">
        <v>67</v>
      </c>
      <c r="E4542" t="str">
        <f t="shared" si="233"/>
        <v>020</v>
      </c>
      <c r="F4542" t="s">
        <v>4506</v>
      </c>
      <c r="G4542" t="str">
        <f>"0331"</f>
        <v>0331</v>
      </c>
      <c r="H4542" t="str">
        <f>"0000"</f>
        <v>0000</v>
      </c>
      <c r="I4542" t="s">
        <v>69</v>
      </c>
      <c r="J4542">
        <v>0</v>
      </c>
      <c r="K4542">
        <v>1</v>
      </c>
      <c r="L4542">
        <v>2</v>
      </c>
      <c r="M4542">
        <v>229</v>
      </c>
      <c r="N4542">
        <v>472</v>
      </c>
      <c r="O4542">
        <v>3</v>
      </c>
      <c r="P4542">
        <v>472</v>
      </c>
      <c r="Q4542">
        <v>2</v>
      </c>
      <c r="R4542">
        <v>27</v>
      </c>
      <c r="S4542">
        <v>5</v>
      </c>
      <c r="T4542">
        <v>0</v>
      </c>
      <c r="U4542">
        <v>265</v>
      </c>
      <c r="V4542">
        <v>4</v>
      </c>
      <c r="W4542">
        <v>0</v>
      </c>
      <c r="X4542">
        <v>68</v>
      </c>
      <c r="Y4542">
        <v>2</v>
      </c>
      <c r="Z4542">
        <v>90</v>
      </c>
      <c r="AA4542">
        <v>1</v>
      </c>
      <c r="AB4542">
        <v>1</v>
      </c>
      <c r="AD4542">
        <v>0</v>
      </c>
      <c r="AE4542">
        <v>1</v>
      </c>
      <c r="AF4542">
        <v>0</v>
      </c>
      <c r="AG4542">
        <v>0</v>
      </c>
      <c r="AH4542">
        <v>0</v>
      </c>
      <c r="AI4542">
        <v>0</v>
      </c>
      <c r="AJ4542">
        <v>6</v>
      </c>
      <c r="AK4542">
        <v>0</v>
      </c>
      <c r="AL4542">
        <v>472</v>
      </c>
      <c r="AM4542">
        <v>658</v>
      </c>
      <c r="AN4542">
        <v>44</v>
      </c>
      <c r="AP4542">
        <v>1</v>
      </c>
      <c r="AR4542" t="s">
        <v>4643</v>
      </c>
      <c r="AS4542" s="1">
        <v>44353.976388888892</v>
      </c>
      <c r="AT4542" s="1">
        <v>44353.97755787037</v>
      </c>
      <c r="AU4542" s="1">
        <v>44353.978622685187</v>
      </c>
      <c r="AV4542" t="s">
        <v>71</v>
      </c>
      <c r="AW4542" t="s">
        <v>72</v>
      </c>
      <c r="AX4542" t="s">
        <v>73</v>
      </c>
    </row>
    <row r="4543" spans="1:50" x14ac:dyDescent="0.3">
      <c r="A4543" t="str">
        <f>"200331C0100"</f>
        <v>200331C0100</v>
      </c>
      <c r="B4543" t="str">
        <f>"200331C01002"</f>
        <v>200331C01002</v>
      </c>
      <c r="C4543" t="str">
        <f t="shared" si="231"/>
        <v>20</v>
      </c>
      <c r="D4543" t="s">
        <v>67</v>
      </c>
      <c r="E4543" t="str">
        <f t="shared" si="233"/>
        <v>020</v>
      </c>
      <c r="F4543" t="s">
        <v>4506</v>
      </c>
      <c r="G4543" t="str">
        <f>"0331"</f>
        <v>0331</v>
      </c>
      <c r="H4543" t="str">
        <f>"0001"</f>
        <v>0001</v>
      </c>
      <c r="I4543" t="s">
        <v>75</v>
      </c>
      <c r="J4543">
        <v>0</v>
      </c>
      <c r="K4543">
        <v>1</v>
      </c>
      <c r="L4543">
        <v>2</v>
      </c>
      <c r="M4543">
        <v>237</v>
      </c>
      <c r="N4543" t="s">
        <v>80</v>
      </c>
      <c r="O4543" t="s">
        <v>80</v>
      </c>
      <c r="P4543" t="s">
        <v>80</v>
      </c>
      <c r="Q4543">
        <v>2</v>
      </c>
      <c r="R4543">
        <v>15</v>
      </c>
      <c r="S4543">
        <v>5</v>
      </c>
      <c r="T4543">
        <v>1</v>
      </c>
      <c r="U4543">
        <v>256</v>
      </c>
      <c r="V4543">
        <v>8</v>
      </c>
      <c r="W4543">
        <v>0</v>
      </c>
      <c r="X4543">
        <v>65</v>
      </c>
      <c r="Y4543">
        <v>3</v>
      </c>
      <c r="Z4543">
        <v>94</v>
      </c>
      <c r="AA4543">
        <v>5</v>
      </c>
      <c r="AB4543">
        <v>1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10</v>
      </c>
      <c r="AK4543">
        <v>445</v>
      </c>
      <c r="AL4543">
        <v>465</v>
      </c>
      <c r="AM4543">
        <v>658</v>
      </c>
      <c r="AN4543">
        <v>44</v>
      </c>
      <c r="AP4543">
        <v>1</v>
      </c>
      <c r="AR4543" s="2" t="s">
        <v>4644</v>
      </c>
      <c r="AS4543" s="1">
        <v>44353.918749999997</v>
      </c>
      <c r="AT4543" s="1">
        <v>44353.99596064815</v>
      </c>
      <c r="AU4543" s="1">
        <v>44354.021249999998</v>
      </c>
      <c r="AV4543" t="s">
        <v>71</v>
      </c>
      <c r="AW4543" t="s">
        <v>72</v>
      </c>
      <c r="AX4543" t="s">
        <v>73</v>
      </c>
    </row>
    <row r="4544" spans="1:50" x14ac:dyDescent="0.3">
      <c r="A4544" t="str">
        <f>"200331C0200"</f>
        <v>200331C0200</v>
      </c>
      <c r="B4544" t="str">
        <f>"200331C02002"</f>
        <v>200331C02002</v>
      </c>
      <c r="C4544" t="str">
        <f t="shared" si="231"/>
        <v>20</v>
      </c>
      <c r="D4544" t="s">
        <v>67</v>
      </c>
      <c r="E4544" t="str">
        <f t="shared" si="233"/>
        <v>020</v>
      </c>
      <c r="F4544" t="s">
        <v>4506</v>
      </c>
      <c r="G4544" t="str">
        <f>"0331"</f>
        <v>0331</v>
      </c>
      <c r="H4544" t="str">
        <f>"0002"</f>
        <v>0002</v>
      </c>
      <c r="I4544" t="s">
        <v>75</v>
      </c>
      <c r="J4544">
        <v>0</v>
      </c>
      <c r="K4544">
        <v>1</v>
      </c>
      <c r="L4544">
        <v>2</v>
      </c>
      <c r="M4544">
        <v>216</v>
      </c>
      <c r="N4544" t="s">
        <v>80</v>
      </c>
      <c r="O4544">
        <v>2</v>
      </c>
      <c r="P4544" t="s">
        <v>80</v>
      </c>
      <c r="Q4544">
        <v>0</v>
      </c>
      <c r="R4544">
        <v>29</v>
      </c>
      <c r="S4544">
        <v>2</v>
      </c>
      <c r="T4544">
        <v>0</v>
      </c>
      <c r="U4544">
        <v>263</v>
      </c>
      <c r="V4544">
        <v>0</v>
      </c>
      <c r="W4544">
        <v>0</v>
      </c>
      <c r="X4544">
        <v>86</v>
      </c>
      <c r="Y4544">
        <v>1</v>
      </c>
      <c r="Z4544">
        <v>92</v>
      </c>
      <c r="AA4544">
        <v>1</v>
      </c>
      <c r="AB4544">
        <v>1</v>
      </c>
      <c r="AD4544" t="s">
        <v>77</v>
      </c>
      <c r="AE4544" t="s">
        <v>77</v>
      </c>
      <c r="AF4544" t="s">
        <v>77</v>
      </c>
      <c r="AG4544" t="s">
        <v>77</v>
      </c>
      <c r="AH4544" t="s">
        <v>77</v>
      </c>
      <c r="AI4544" t="s">
        <v>77</v>
      </c>
      <c r="AJ4544" t="s">
        <v>77</v>
      </c>
      <c r="AK4544" t="s">
        <v>77</v>
      </c>
      <c r="AL4544">
        <v>475</v>
      </c>
      <c r="AM4544">
        <v>657</v>
      </c>
      <c r="AN4544">
        <v>44</v>
      </c>
      <c r="AO4544" t="s">
        <v>78</v>
      </c>
      <c r="AP4544">
        <v>1</v>
      </c>
      <c r="AR4544" t="s">
        <v>4645</v>
      </c>
      <c r="AS4544" s="1">
        <v>44353.95208333333</v>
      </c>
      <c r="AT4544" s="1">
        <v>44353.954143518517</v>
      </c>
      <c r="AU4544" s="1">
        <v>44353.956388888888</v>
      </c>
      <c r="AV4544" t="s">
        <v>71</v>
      </c>
      <c r="AW4544" t="s">
        <v>72</v>
      </c>
      <c r="AX4544" t="s">
        <v>73</v>
      </c>
    </row>
    <row r="4545" spans="1:50" x14ac:dyDescent="0.3">
      <c r="A4545" t="str">
        <f>"200332B0000"</f>
        <v>200332B0000</v>
      </c>
      <c r="B4545" t="str">
        <f>"200332B00002"</f>
        <v>200332B00002</v>
      </c>
      <c r="C4545" t="str">
        <f t="shared" si="231"/>
        <v>20</v>
      </c>
      <c r="D4545" t="s">
        <v>67</v>
      </c>
      <c r="E4545" t="str">
        <f t="shared" si="233"/>
        <v>020</v>
      </c>
      <c r="F4545" t="s">
        <v>4506</v>
      </c>
      <c r="G4545" t="str">
        <f>"0332"</f>
        <v>0332</v>
      </c>
      <c r="H4545" t="str">
        <f>"0000"</f>
        <v>0000</v>
      </c>
      <c r="I4545" t="s">
        <v>69</v>
      </c>
      <c r="J4545">
        <v>0</v>
      </c>
      <c r="K4545">
        <v>1</v>
      </c>
      <c r="L4545">
        <v>2</v>
      </c>
      <c r="M4545">
        <v>260</v>
      </c>
      <c r="N4545">
        <v>408</v>
      </c>
      <c r="O4545">
        <v>0</v>
      </c>
      <c r="P4545" t="s">
        <v>80</v>
      </c>
      <c r="Q4545">
        <v>7</v>
      </c>
      <c r="R4545">
        <v>87</v>
      </c>
      <c r="S4545">
        <v>24</v>
      </c>
      <c r="T4545">
        <v>2</v>
      </c>
      <c r="U4545">
        <v>53</v>
      </c>
      <c r="V4545">
        <v>52</v>
      </c>
      <c r="W4545">
        <v>4</v>
      </c>
      <c r="X4545">
        <v>114</v>
      </c>
      <c r="Y4545">
        <v>0</v>
      </c>
      <c r="Z4545">
        <v>40</v>
      </c>
      <c r="AA4545">
        <v>16</v>
      </c>
      <c r="AB4545">
        <v>0</v>
      </c>
      <c r="AD4545">
        <v>1</v>
      </c>
      <c r="AE4545">
        <v>0</v>
      </c>
      <c r="AF4545">
        <v>0</v>
      </c>
      <c r="AG4545">
        <v>0</v>
      </c>
      <c r="AH4545">
        <v>0</v>
      </c>
      <c r="AI4545" t="s">
        <v>77</v>
      </c>
      <c r="AJ4545">
        <v>8</v>
      </c>
      <c r="AK4545">
        <v>408</v>
      </c>
      <c r="AL4545">
        <v>408</v>
      </c>
      <c r="AM4545">
        <v>624</v>
      </c>
      <c r="AN4545">
        <v>44</v>
      </c>
      <c r="AO4545" t="s">
        <v>78</v>
      </c>
      <c r="AP4545">
        <v>1</v>
      </c>
      <c r="AR4545" t="s">
        <v>4646</v>
      </c>
      <c r="AS4545" s="1">
        <v>44354.140277777777</v>
      </c>
      <c r="AT4545" s="1">
        <v>44354.144409722219</v>
      </c>
      <c r="AU4545" s="1">
        <v>44354.144641203704</v>
      </c>
      <c r="AV4545" t="s">
        <v>71</v>
      </c>
      <c r="AW4545" t="s">
        <v>72</v>
      </c>
      <c r="AX4545" t="s">
        <v>73</v>
      </c>
    </row>
    <row r="4546" spans="1:50" x14ac:dyDescent="0.3">
      <c r="A4546" t="str">
        <f>"200838B0000"</f>
        <v>200838B0000</v>
      </c>
      <c r="B4546" t="str">
        <f>"200838B00002"</f>
        <v>200838B00002</v>
      </c>
      <c r="C4546" t="str">
        <f t="shared" si="231"/>
        <v>20</v>
      </c>
      <c r="D4546" t="s">
        <v>67</v>
      </c>
      <c r="E4546" t="str">
        <f t="shared" si="233"/>
        <v>020</v>
      </c>
      <c r="F4546" t="s">
        <v>4506</v>
      </c>
      <c r="G4546" t="str">
        <f>"0838"</f>
        <v>0838</v>
      </c>
      <c r="H4546" t="str">
        <f>"0000"</f>
        <v>0000</v>
      </c>
      <c r="I4546" t="s">
        <v>69</v>
      </c>
      <c r="J4546">
        <v>0</v>
      </c>
      <c r="K4546">
        <v>1</v>
      </c>
      <c r="L4546">
        <v>2</v>
      </c>
      <c r="M4546" t="s">
        <v>80</v>
      </c>
      <c r="N4546" t="s">
        <v>80</v>
      </c>
      <c r="O4546" t="s">
        <v>80</v>
      </c>
      <c r="P4546">
        <v>376</v>
      </c>
      <c r="Q4546">
        <v>0</v>
      </c>
      <c r="R4546">
        <v>120</v>
      </c>
      <c r="S4546">
        <v>16</v>
      </c>
      <c r="T4546">
        <v>0</v>
      </c>
      <c r="U4546">
        <v>9</v>
      </c>
      <c r="V4546">
        <v>13</v>
      </c>
      <c r="W4546">
        <v>0</v>
      </c>
      <c r="X4546">
        <v>45</v>
      </c>
      <c r="Y4546">
        <v>1</v>
      </c>
      <c r="Z4546">
        <v>4</v>
      </c>
      <c r="AA4546">
        <v>85</v>
      </c>
      <c r="AB4546">
        <v>75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8</v>
      </c>
      <c r="AK4546">
        <v>376</v>
      </c>
      <c r="AL4546">
        <v>376</v>
      </c>
      <c r="AM4546">
        <v>547</v>
      </c>
      <c r="AN4546">
        <v>44</v>
      </c>
      <c r="AP4546">
        <v>1</v>
      </c>
      <c r="AR4546" t="s">
        <v>4647</v>
      </c>
      <c r="AS4546" s="1">
        <v>44354.065972222219</v>
      </c>
      <c r="AT4546" s="1">
        <v>44354.074293981481</v>
      </c>
      <c r="AU4546" s="1">
        <v>44354.074895833335</v>
      </c>
      <c r="AV4546" t="s">
        <v>71</v>
      </c>
      <c r="AW4546" t="s">
        <v>72</v>
      </c>
      <c r="AX4546" t="s">
        <v>73</v>
      </c>
    </row>
    <row r="4547" spans="1:50" x14ac:dyDescent="0.3">
      <c r="A4547" t="str">
        <f>"200838C0100"</f>
        <v>200838C0100</v>
      </c>
      <c r="B4547" t="str">
        <f>"200838C01002"</f>
        <v>200838C01002</v>
      </c>
      <c r="C4547" t="str">
        <f t="shared" si="231"/>
        <v>20</v>
      </c>
      <c r="D4547" t="s">
        <v>67</v>
      </c>
      <c r="E4547" t="str">
        <f t="shared" si="233"/>
        <v>020</v>
      </c>
      <c r="F4547" t="s">
        <v>4506</v>
      </c>
      <c r="G4547" t="str">
        <f>"0838"</f>
        <v>0838</v>
      </c>
      <c r="H4547" t="str">
        <f>"0001"</f>
        <v>0001</v>
      </c>
      <c r="I4547" t="s">
        <v>75</v>
      </c>
      <c r="J4547">
        <v>0</v>
      </c>
      <c r="K4547">
        <v>1</v>
      </c>
      <c r="L4547">
        <v>2</v>
      </c>
      <c r="M4547">
        <v>182</v>
      </c>
      <c r="N4547">
        <v>408</v>
      </c>
      <c r="O4547">
        <v>0</v>
      </c>
      <c r="P4547">
        <v>408</v>
      </c>
      <c r="Q4547">
        <v>1</v>
      </c>
      <c r="R4547">
        <v>127</v>
      </c>
      <c r="S4547">
        <v>39</v>
      </c>
      <c r="T4547">
        <v>1</v>
      </c>
      <c r="U4547">
        <v>12</v>
      </c>
      <c r="V4547">
        <v>14</v>
      </c>
      <c r="W4547">
        <v>1</v>
      </c>
      <c r="X4547">
        <v>78</v>
      </c>
      <c r="Y4547">
        <v>1</v>
      </c>
      <c r="Z4547">
        <v>5</v>
      </c>
      <c r="AA4547">
        <v>57</v>
      </c>
      <c r="AB4547">
        <v>62</v>
      </c>
      <c r="AD4547">
        <v>1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9</v>
      </c>
      <c r="AK4547">
        <v>408</v>
      </c>
      <c r="AL4547">
        <v>408</v>
      </c>
      <c r="AM4547">
        <v>547</v>
      </c>
      <c r="AN4547">
        <v>44</v>
      </c>
      <c r="AP4547">
        <v>1</v>
      </c>
      <c r="AR4547" t="s">
        <v>4648</v>
      </c>
      <c r="AS4547" s="1">
        <v>44354.069444444445</v>
      </c>
      <c r="AT4547" s="1">
        <v>44354.077430555553</v>
      </c>
      <c r="AU4547" s="1">
        <v>44354.078541666669</v>
      </c>
      <c r="AV4547" t="s">
        <v>71</v>
      </c>
      <c r="AW4547" t="s">
        <v>72</v>
      </c>
      <c r="AX4547" t="s">
        <v>73</v>
      </c>
    </row>
    <row r="4548" spans="1:50" x14ac:dyDescent="0.3">
      <c r="A4548" t="str">
        <f>"200838C0200"</f>
        <v>200838C0200</v>
      </c>
      <c r="B4548" t="str">
        <f>"200838C02002"</f>
        <v>200838C02002</v>
      </c>
      <c r="C4548" t="str">
        <f t="shared" si="231"/>
        <v>20</v>
      </c>
      <c r="D4548" t="s">
        <v>67</v>
      </c>
      <c r="E4548" t="str">
        <f t="shared" si="233"/>
        <v>020</v>
      </c>
      <c r="F4548" t="s">
        <v>4506</v>
      </c>
      <c r="G4548" t="str">
        <f>"0838"</f>
        <v>0838</v>
      </c>
      <c r="H4548" t="str">
        <f>"0002"</f>
        <v>0002</v>
      </c>
      <c r="I4548" t="s">
        <v>75</v>
      </c>
      <c r="J4548">
        <v>0</v>
      </c>
      <c r="K4548">
        <v>1</v>
      </c>
      <c r="L4548">
        <v>2</v>
      </c>
      <c r="M4548" t="s">
        <v>80</v>
      </c>
      <c r="N4548" t="s">
        <v>80</v>
      </c>
      <c r="O4548" t="s">
        <v>80</v>
      </c>
      <c r="P4548" t="s">
        <v>80</v>
      </c>
      <c r="Q4548">
        <v>1</v>
      </c>
      <c r="R4548">
        <v>97</v>
      </c>
      <c r="S4548">
        <v>26</v>
      </c>
      <c r="T4548">
        <v>2</v>
      </c>
      <c r="U4548">
        <v>12</v>
      </c>
      <c r="V4548">
        <v>9</v>
      </c>
      <c r="W4548">
        <v>0</v>
      </c>
      <c r="X4548">
        <v>77</v>
      </c>
      <c r="Y4548">
        <v>1</v>
      </c>
      <c r="Z4548">
        <v>8</v>
      </c>
      <c r="AA4548">
        <v>81</v>
      </c>
      <c r="AB4548">
        <v>80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8</v>
      </c>
      <c r="AK4548">
        <v>402</v>
      </c>
      <c r="AL4548">
        <v>402</v>
      </c>
      <c r="AM4548">
        <v>546</v>
      </c>
      <c r="AN4548">
        <v>44</v>
      </c>
      <c r="AP4548">
        <v>1</v>
      </c>
      <c r="AR4548" s="2" t="s">
        <v>4649</v>
      </c>
      <c r="AS4548" s="1">
        <v>44354.076388888891</v>
      </c>
      <c r="AT4548" s="1">
        <v>44354.08452546296</v>
      </c>
      <c r="AU4548" s="1">
        <v>44354.085474537038</v>
      </c>
      <c r="AV4548" t="s">
        <v>71</v>
      </c>
      <c r="AW4548" t="s">
        <v>72</v>
      </c>
      <c r="AX4548" t="s">
        <v>73</v>
      </c>
    </row>
    <row r="4549" spans="1:50" x14ac:dyDescent="0.3">
      <c r="A4549" t="str">
        <f>"200839B0000"</f>
        <v>200839B0000</v>
      </c>
      <c r="B4549" t="str">
        <f>"200839B00002"</f>
        <v>200839B00002</v>
      </c>
      <c r="C4549" t="str">
        <f t="shared" si="231"/>
        <v>20</v>
      </c>
      <c r="D4549" t="s">
        <v>67</v>
      </c>
      <c r="E4549" t="str">
        <f t="shared" si="233"/>
        <v>020</v>
      </c>
      <c r="F4549" t="s">
        <v>4506</v>
      </c>
      <c r="G4549" t="str">
        <f>"0839"</f>
        <v>0839</v>
      </c>
      <c r="H4549" t="str">
        <f>"0000"</f>
        <v>0000</v>
      </c>
      <c r="I4549" t="s">
        <v>69</v>
      </c>
      <c r="J4549">
        <v>0</v>
      </c>
      <c r="K4549">
        <v>1</v>
      </c>
      <c r="L4549">
        <v>2</v>
      </c>
      <c r="M4549">
        <v>177</v>
      </c>
      <c r="N4549">
        <v>410</v>
      </c>
      <c r="O4549">
        <v>2</v>
      </c>
      <c r="P4549">
        <v>410</v>
      </c>
      <c r="Q4549">
        <v>0</v>
      </c>
      <c r="R4549">
        <v>128</v>
      </c>
      <c r="S4549">
        <v>19</v>
      </c>
      <c r="T4549">
        <v>1</v>
      </c>
      <c r="U4549">
        <v>12</v>
      </c>
      <c r="V4549">
        <v>13</v>
      </c>
      <c r="W4549">
        <v>2</v>
      </c>
      <c r="X4549">
        <v>51</v>
      </c>
      <c r="Y4549">
        <v>0</v>
      </c>
      <c r="Z4549">
        <v>8</v>
      </c>
      <c r="AA4549">
        <v>103</v>
      </c>
      <c r="AB4549">
        <v>59</v>
      </c>
      <c r="AD4549">
        <v>1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13</v>
      </c>
      <c r="AK4549">
        <v>410</v>
      </c>
      <c r="AL4549">
        <v>410</v>
      </c>
      <c r="AM4549">
        <v>543</v>
      </c>
      <c r="AN4549">
        <v>44</v>
      </c>
      <c r="AP4549">
        <v>1</v>
      </c>
      <c r="AR4549" t="s">
        <v>4650</v>
      </c>
      <c r="AS4549" s="1">
        <v>44353.891909722224</v>
      </c>
      <c r="AT4549" s="1">
        <v>44353.909780092596</v>
      </c>
      <c r="AU4549" s="1">
        <v>44353.91207175926</v>
      </c>
      <c r="AV4549" t="s">
        <v>269</v>
      </c>
      <c r="AW4549" t="s">
        <v>270</v>
      </c>
      <c r="AX4549" t="s">
        <v>73</v>
      </c>
    </row>
    <row r="4550" spans="1:50" x14ac:dyDescent="0.3">
      <c r="A4550" t="str">
        <f>"200839C0100"</f>
        <v>200839C0100</v>
      </c>
      <c r="B4550" t="str">
        <f>"200839C01002"</f>
        <v>200839C01002</v>
      </c>
      <c r="C4550" t="str">
        <f t="shared" si="231"/>
        <v>20</v>
      </c>
      <c r="D4550" t="s">
        <v>67</v>
      </c>
      <c r="E4550" t="str">
        <f t="shared" si="233"/>
        <v>020</v>
      </c>
      <c r="F4550" t="s">
        <v>4506</v>
      </c>
      <c r="G4550" t="str">
        <f>"0839"</f>
        <v>0839</v>
      </c>
      <c r="H4550" t="str">
        <f>"0001"</f>
        <v>0001</v>
      </c>
      <c r="I4550" t="s">
        <v>75</v>
      </c>
      <c r="J4550">
        <v>0</v>
      </c>
      <c r="K4550">
        <v>1</v>
      </c>
      <c r="L4550">
        <v>2</v>
      </c>
      <c r="M4550">
        <v>182</v>
      </c>
      <c r="N4550">
        <v>405</v>
      </c>
      <c r="O4550">
        <v>1</v>
      </c>
      <c r="P4550">
        <v>404</v>
      </c>
      <c r="Q4550">
        <v>0</v>
      </c>
      <c r="R4550">
        <v>128</v>
      </c>
      <c r="S4550">
        <v>21</v>
      </c>
      <c r="T4550">
        <v>6</v>
      </c>
      <c r="U4550">
        <v>14</v>
      </c>
      <c r="V4550">
        <v>15</v>
      </c>
      <c r="W4550">
        <v>0</v>
      </c>
      <c r="X4550">
        <v>56</v>
      </c>
      <c r="Y4550">
        <v>1</v>
      </c>
      <c r="Z4550">
        <v>7</v>
      </c>
      <c r="AA4550">
        <v>71</v>
      </c>
      <c r="AB4550">
        <v>71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14</v>
      </c>
      <c r="AK4550">
        <v>404</v>
      </c>
      <c r="AL4550">
        <v>404</v>
      </c>
      <c r="AM4550">
        <v>543</v>
      </c>
      <c r="AN4550">
        <v>44</v>
      </c>
      <c r="AP4550">
        <v>1</v>
      </c>
      <c r="AR4550" t="s">
        <v>4651</v>
      </c>
      <c r="AS4550" s="1">
        <v>44353.895219907405</v>
      </c>
      <c r="AT4550" s="1">
        <v>44353.901018518518</v>
      </c>
      <c r="AU4550" s="1">
        <v>44353.901701388888</v>
      </c>
      <c r="AV4550" t="s">
        <v>269</v>
      </c>
      <c r="AW4550" t="s">
        <v>270</v>
      </c>
      <c r="AX4550" t="s">
        <v>73</v>
      </c>
    </row>
    <row r="4551" spans="1:50" x14ac:dyDescent="0.3">
      <c r="A4551" t="str">
        <f>"200840B0000"</f>
        <v>200840B0000</v>
      </c>
      <c r="B4551" t="str">
        <f>"200840B00002"</f>
        <v>200840B00002</v>
      </c>
      <c r="C4551" t="str">
        <f t="shared" ref="C4551:C4614" si="234">"20"</f>
        <v>20</v>
      </c>
      <c r="D4551" t="s">
        <v>67</v>
      </c>
      <c r="E4551" t="str">
        <f t="shared" si="233"/>
        <v>020</v>
      </c>
      <c r="F4551" t="s">
        <v>4506</v>
      </c>
      <c r="G4551" t="str">
        <f>"0840"</f>
        <v>0840</v>
      </c>
      <c r="H4551" t="str">
        <f>"0000"</f>
        <v>0000</v>
      </c>
      <c r="I4551" t="s">
        <v>69</v>
      </c>
      <c r="J4551">
        <v>0</v>
      </c>
      <c r="K4551">
        <v>1</v>
      </c>
      <c r="L4551">
        <v>2</v>
      </c>
      <c r="AM4551">
        <v>698</v>
      </c>
      <c r="AN4551">
        <v>44</v>
      </c>
      <c r="AO4551" t="s">
        <v>143</v>
      </c>
      <c r="AP4551">
        <v>0</v>
      </c>
      <c r="AR4551" t="s">
        <v>4652</v>
      </c>
      <c r="AS4551" s="1">
        <v>44354.418055555558</v>
      </c>
      <c r="AT4551" s="1">
        <v>44354.424108796295</v>
      </c>
      <c r="AU4551" s="1">
        <v>44354.424108796295</v>
      </c>
      <c r="AV4551" t="s">
        <v>71</v>
      </c>
      <c r="AW4551" t="s">
        <v>72</v>
      </c>
      <c r="AX4551" t="s">
        <v>73</v>
      </c>
    </row>
    <row r="4552" spans="1:50" x14ac:dyDescent="0.3">
      <c r="A4552" t="str">
        <f>"200840C0100"</f>
        <v>200840C0100</v>
      </c>
      <c r="B4552" t="str">
        <f>"200840C01002"</f>
        <v>200840C01002</v>
      </c>
      <c r="C4552" t="str">
        <f t="shared" si="234"/>
        <v>20</v>
      </c>
      <c r="D4552" t="s">
        <v>67</v>
      </c>
      <c r="E4552" t="str">
        <f t="shared" si="233"/>
        <v>020</v>
      </c>
      <c r="F4552" t="s">
        <v>4506</v>
      </c>
      <c r="G4552" t="str">
        <f>"0840"</f>
        <v>0840</v>
      </c>
      <c r="H4552" t="str">
        <f>"0001"</f>
        <v>0001</v>
      </c>
      <c r="I4552" t="s">
        <v>75</v>
      </c>
      <c r="J4552">
        <v>0</v>
      </c>
      <c r="K4552">
        <v>1</v>
      </c>
      <c r="L4552">
        <v>2</v>
      </c>
      <c r="AM4552">
        <v>698</v>
      </c>
      <c r="AN4552">
        <v>44</v>
      </c>
      <c r="AO4552" t="s">
        <v>143</v>
      </c>
      <c r="AP4552">
        <v>0</v>
      </c>
      <c r="AR4552" t="s">
        <v>4653</v>
      </c>
      <c r="AS4552" s="1">
        <v>44354.416666666664</v>
      </c>
      <c r="AT4552" s="1">
        <v>44354.419027777774</v>
      </c>
      <c r="AU4552" s="1">
        <v>44354.419027777774</v>
      </c>
      <c r="AV4552" t="s">
        <v>71</v>
      </c>
      <c r="AW4552" t="s">
        <v>72</v>
      </c>
      <c r="AX4552" t="s">
        <v>73</v>
      </c>
    </row>
    <row r="4553" spans="1:50" x14ac:dyDescent="0.3">
      <c r="A4553" t="str">
        <f>"200877B0000"</f>
        <v>200877B0000</v>
      </c>
      <c r="B4553" t="str">
        <f>"200877B00002"</f>
        <v>200877B00002</v>
      </c>
      <c r="C4553" t="str">
        <f t="shared" si="234"/>
        <v>20</v>
      </c>
      <c r="D4553" t="s">
        <v>67</v>
      </c>
      <c r="E4553" t="str">
        <f t="shared" si="233"/>
        <v>020</v>
      </c>
      <c r="F4553" t="s">
        <v>4506</v>
      </c>
      <c r="G4553" t="str">
        <f>"0877"</f>
        <v>0877</v>
      </c>
      <c r="H4553" t="str">
        <f>"0000"</f>
        <v>0000</v>
      </c>
      <c r="I4553" t="s">
        <v>69</v>
      </c>
      <c r="J4553">
        <v>0</v>
      </c>
      <c r="K4553">
        <v>1</v>
      </c>
      <c r="L4553">
        <v>2</v>
      </c>
      <c r="M4553">
        <v>166</v>
      </c>
      <c r="N4553">
        <v>628</v>
      </c>
      <c r="O4553">
        <v>0</v>
      </c>
      <c r="P4553">
        <v>462</v>
      </c>
      <c r="Q4553">
        <v>2</v>
      </c>
      <c r="R4553">
        <v>87</v>
      </c>
      <c r="S4553">
        <v>4</v>
      </c>
      <c r="T4553">
        <v>5</v>
      </c>
      <c r="U4553">
        <v>76</v>
      </c>
      <c r="V4553">
        <v>13</v>
      </c>
      <c r="W4553">
        <v>46</v>
      </c>
      <c r="X4553">
        <v>154</v>
      </c>
      <c r="Y4553">
        <v>2</v>
      </c>
      <c r="Z4553">
        <v>0</v>
      </c>
      <c r="AA4553">
        <v>59</v>
      </c>
      <c r="AB4553">
        <v>0</v>
      </c>
      <c r="AD4553" t="s">
        <v>77</v>
      </c>
      <c r="AE4553" t="s">
        <v>77</v>
      </c>
      <c r="AF4553" t="s">
        <v>77</v>
      </c>
      <c r="AG4553" t="s">
        <v>77</v>
      </c>
      <c r="AH4553" t="s">
        <v>77</v>
      </c>
      <c r="AI4553" t="s">
        <v>77</v>
      </c>
      <c r="AJ4553">
        <v>13</v>
      </c>
      <c r="AK4553">
        <v>462</v>
      </c>
      <c r="AL4553">
        <v>461</v>
      </c>
      <c r="AM4553">
        <v>584</v>
      </c>
      <c r="AN4553">
        <v>44</v>
      </c>
      <c r="AO4553" t="s">
        <v>78</v>
      </c>
      <c r="AP4553">
        <v>1</v>
      </c>
      <c r="AR4553" t="s">
        <v>4654</v>
      </c>
      <c r="AS4553" s="1">
        <v>44353.867847222224</v>
      </c>
      <c r="AT4553" s="1">
        <v>44353.87023148148</v>
      </c>
      <c r="AU4553" s="1">
        <v>44353.872152777774</v>
      </c>
      <c r="AV4553" t="s">
        <v>269</v>
      </c>
      <c r="AW4553" t="s">
        <v>270</v>
      </c>
      <c r="AX4553" t="s">
        <v>73</v>
      </c>
    </row>
    <row r="4554" spans="1:50" x14ac:dyDescent="0.3">
      <c r="A4554" t="str">
        <f>"200877C0100"</f>
        <v>200877C0100</v>
      </c>
      <c r="B4554" t="str">
        <f>"200877C01002"</f>
        <v>200877C01002</v>
      </c>
      <c r="C4554" t="str">
        <f t="shared" si="234"/>
        <v>20</v>
      </c>
      <c r="D4554" t="s">
        <v>67</v>
      </c>
      <c r="E4554" t="str">
        <f t="shared" si="233"/>
        <v>020</v>
      </c>
      <c r="F4554" t="s">
        <v>4506</v>
      </c>
      <c r="G4554" t="str">
        <f>"0877"</f>
        <v>0877</v>
      </c>
      <c r="H4554" t="str">
        <f>"0001"</f>
        <v>0001</v>
      </c>
      <c r="I4554" t="s">
        <v>75</v>
      </c>
      <c r="J4554">
        <v>0</v>
      </c>
      <c r="K4554">
        <v>1</v>
      </c>
      <c r="L4554">
        <v>2</v>
      </c>
      <c r="M4554">
        <v>161</v>
      </c>
      <c r="N4554">
        <v>468</v>
      </c>
      <c r="O4554">
        <v>9</v>
      </c>
      <c r="P4554" t="s">
        <v>80</v>
      </c>
      <c r="Q4554">
        <v>0</v>
      </c>
      <c r="R4554">
        <v>92</v>
      </c>
      <c r="S4554">
        <v>1</v>
      </c>
      <c r="T4554">
        <v>9</v>
      </c>
      <c r="U4554">
        <v>100</v>
      </c>
      <c r="V4554">
        <v>13</v>
      </c>
      <c r="W4554">
        <v>59</v>
      </c>
      <c r="X4554">
        <v>105</v>
      </c>
      <c r="Y4554">
        <v>0</v>
      </c>
      <c r="Z4554">
        <v>3</v>
      </c>
      <c r="AA4554">
        <v>70</v>
      </c>
      <c r="AB4554">
        <v>0</v>
      </c>
      <c r="AD4554">
        <v>0</v>
      </c>
      <c r="AE4554">
        <v>0</v>
      </c>
      <c r="AF4554">
        <v>0</v>
      </c>
      <c r="AG4554">
        <v>1</v>
      </c>
      <c r="AH4554">
        <v>0</v>
      </c>
      <c r="AI4554">
        <v>0</v>
      </c>
      <c r="AJ4554">
        <v>7</v>
      </c>
      <c r="AK4554">
        <v>466</v>
      </c>
      <c r="AL4554">
        <v>460</v>
      </c>
      <c r="AM4554">
        <v>584</v>
      </c>
      <c r="AN4554">
        <v>44</v>
      </c>
      <c r="AP4554">
        <v>1</v>
      </c>
      <c r="AR4554" t="s">
        <v>4655</v>
      </c>
      <c r="AS4554" s="1">
        <v>44353.884328703702</v>
      </c>
      <c r="AT4554" s="1">
        <v>44353.889374999999</v>
      </c>
      <c r="AU4554" s="1">
        <v>44353.894409722219</v>
      </c>
      <c r="AV4554" t="s">
        <v>269</v>
      </c>
      <c r="AW4554" t="s">
        <v>270</v>
      </c>
      <c r="AX4554" t="s">
        <v>73</v>
      </c>
    </row>
    <row r="4555" spans="1:50" x14ac:dyDescent="0.3">
      <c r="A4555" t="str">
        <f>"200877C0200"</f>
        <v>200877C0200</v>
      </c>
      <c r="B4555" t="str">
        <f>"200877C02002"</f>
        <v>200877C02002</v>
      </c>
      <c r="C4555" t="str">
        <f t="shared" si="234"/>
        <v>20</v>
      </c>
      <c r="D4555" t="s">
        <v>67</v>
      </c>
      <c r="E4555" t="str">
        <f t="shared" si="233"/>
        <v>020</v>
      </c>
      <c r="F4555" t="s">
        <v>4506</v>
      </c>
      <c r="G4555" t="str">
        <f>"0877"</f>
        <v>0877</v>
      </c>
      <c r="H4555" t="str">
        <f>"0002"</f>
        <v>0002</v>
      </c>
      <c r="I4555" t="s">
        <v>75</v>
      </c>
      <c r="J4555">
        <v>0</v>
      </c>
      <c r="K4555">
        <v>1</v>
      </c>
      <c r="L4555">
        <v>2</v>
      </c>
      <c r="M4555">
        <v>149</v>
      </c>
      <c r="N4555">
        <v>478</v>
      </c>
      <c r="O4555">
        <v>6</v>
      </c>
      <c r="P4555" t="s">
        <v>80</v>
      </c>
      <c r="Q4555">
        <v>4</v>
      </c>
      <c r="R4555">
        <v>85</v>
      </c>
      <c r="S4555">
        <v>1</v>
      </c>
      <c r="T4555">
        <v>2</v>
      </c>
      <c r="U4555">
        <v>87</v>
      </c>
      <c r="V4555">
        <v>15</v>
      </c>
      <c r="W4555">
        <v>61</v>
      </c>
      <c r="X4555">
        <v>153</v>
      </c>
      <c r="Y4555">
        <v>1</v>
      </c>
      <c r="Z4555">
        <v>1</v>
      </c>
      <c r="AA4555">
        <v>60</v>
      </c>
      <c r="AB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11</v>
      </c>
      <c r="AK4555">
        <v>479</v>
      </c>
      <c r="AL4555">
        <v>481</v>
      </c>
      <c r="AM4555">
        <v>584</v>
      </c>
      <c r="AN4555">
        <v>44</v>
      </c>
      <c r="AP4555">
        <v>1</v>
      </c>
      <c r="AR4555" t="s">
        <v>4656</v>
      </c>
      <c r="AS4555" s="1">
        <v>44353.907430555555</v>
      </c>
      <c r="AT4555" s="1">
        <v>44353.908819444441</v>
      </c>
      <c r="AU4555" s="1">
        <v>44353.910138888888</v>
      </c>
      <c r="AV4555" t="s">
        <v>269</v>
      </c>
      <c r="AW4555" t="s">
        <v>270</v>
      </c>
      <c r="AX4555" t="s">
        <v>73</v>
      </c>
    </row>
    <row r="4556" spans="1:50" x14ac:dyDescent="0.3">
      <c r="A4556" t="str">
        <f>"200877C0300"</f>
        <v>200877C0300</v>
      </c>
      <c r="B4556" t="str">
        <f>"200877C03002"</f>
        <v>200877C03002</v>
      </c>
      <c r="C4556" t="str">
        <f t="shared" si="234"/>
        <v>20</v>
      </c>
      <c r="D4556" t="s">
        <v>67</v>
      </c>
      <c r="E4556" t="str">
        <f t="shared" si="233"/>
        <v>020</v>
      </c>
      <c r="F4556" t="s">
        <v>4506</v>
      </c>
      <c r="G4556" t="str">
        <f>"0877"</f>
        <v>0877</v>
      </c>
      <c r="H4556" t="str">
        <f>"0003"</f>
        <v>0003</v>
      </c>
      <c r="I4556" t="s">
        <v>75</v>
      </c>
      <c r="J4556">
        <v>0</v>
      </c>
      <c r="K4556">
        <v>1</v>
      </c>
      <c r="L4556">
        <v>2</v>
      </c>
      <c r="M4556">
        <v>158</v>
      </c>
      <c r="N4556">
        <v>470</v>
      </c>
      <c r="O4556">
        <v>6</v>
      </c>
      <c r="P4556">
        <v>470</v>
      </c>
      <c r="Q4556">
        <v>2</v>
      </c>
      <c r="R4556">
        <v>75</v>
      </c>
      <c r="S4556">
        <v>5</v>
      </c>
      <c r="T4556">
        <v>5</v>
      </c>
      <c r="U4556">
        <v>74</v>
      </c>
      <c r="V4556">
        <v>8</v>
      </c>
      <c r="W4556">
        <v>68</v>
      </c>
      <c r="X4556">
        <v>161</v>
      </c>
      <c r="Y4556">
        <v>6</v>
      </c>
      <c r="Z4556">
        <v>3</v>
      </c>
      <c r="AA4556">
        <v>48</v>
      </c>
      <c r="AB4556">
        <v>0</v>
      </c>
      <c r="AD4556">
        <v>0</v>
      </c>
      <c r="AE4556">
        <v>0</v>
      </c>
      <c r="AF4556">
        <v>0</v>
      </c>
      <c r="AG4556">
        <v>0</v>
      </c>
      <c r="AH4556">
        <v>1</v>
      </c>
      <c r="AI4556">
        <v>0</v>
      </c>
      <c r="AJ4556">
        <v>14</v>
      </c>
      <c r="AK4556">
        <v>470</v>
      </c>
      <c r="AL4556">
        <v>470</v>
      </c>
      <c r="AM4556">
        <v>584</v>
      </c>
      <c r="AN4556">
        <v>44</v>
      </c>
      <c r="AP4556">
        <v>1</v>
      </c>
      <c r="AR4556" t="s">
        <v>4657</v>
      </c>
      <c r="AS4556" s="1">
        <v>44353.881226851852</v>
      </c>
      <c r="AT4556" s="1">
        <v>44353.882893518516</v>
      </c>
      <c r="AU4556" s="1">
        <v>44353.887696759259</v>
      </c>
      <c r="AV4556" t="s">
        <v>269</v>
      </c>
      <c r="AW4556" t="s">
        <v>270</v>
      </c>
      <c r="AX4556" t="s">
        <v>73</v>
      </c>
    </row>
    <row r="4557" spans="1:50" x14ac:dyDescent="0.3">
      <c r="A4557" t="str">
        <f>"200878B0000"</f>
        <v>200878B0000</v>
      </c>
      <c r="B4557" t="str">
        <f>"200878B00002"</f>
        <v>200878B00002</v>
      </c>
      <c r="C4557" t="str">
        <f t="shared" si="234"/>
        <v>20</v>
      </c>
      <c r="D4557" t="s">
        <v>67</v>
      </c>
      <c r="E4557" t="str">
        <f t="shared" si="233"/>
        <v>020</v>
      </c>
      <c r="F4557" t="s">
        <v>4506</v>
      </c>
      <c r="G4557" t="str">
        <f>"0878"</f>
        <v>0878</v>
      </c>
      <c r="H4557" t="str">
        <f>"0000"</f>
        <v>0000</v>
      </c>
      <c r="I4557" t="s">
        <v>69</v>
      </c>
      <c r="J4557">
        <v>0</v>
      </c>
      <c r="K4557">
        <v>1</v>
      </c>
      <c r="L4557">
        <v>2</v>
      </c>
      <c r="M4557">
        <v>179</v>
      </c>
      <c r="N4557">
        <v>520</v>
      </c>
      <c r="O4557">
        <v>6</v>
      </c>
      <c r="P4557">
        <v>520</v>
      </c>
      <c r="Q4557">
        <v>1</v>
      </c>
      <c r="R4557">
        <v>80</v>
      </c>
      <c r="S4557">
        <v>6</v>
      </c>
      <c r="T4557">
        <v>3</v>
      </c>
      <c r="U4557">
        <v>65</v>
      </c>
      <c r="V4557">
        <v>12</v>
      </c>
      <c r="W4557">
        <v>93</v>
      </c>
      <c r="X4557">
        <v>142</v>
      </c>
      <c r="Y4557">
        <v>0</v>
      </c>
      <c r="Z4557">
        <v>2</v>
      </c>
      <c r="AA4557">
        <v>105</v>
      </c>
      <c r="AB4557">
        <v>3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8</v>
      </c>
      <c r="AK4557">
        <v>520</v>
      </c>
      <c r="AL4557">
        <v>520</v>
      </c>
      <c r="AM4557">
        <v>655</v>
      </c>
      <c r="AN4557">
        <v>44</v>
      </c>
      <c r="AP4557">
        <v>1</v>
      </c>
      <c r="AR4557" t="s">
        <v>4658</v>
      </c>
      <c r="AS4557" s="1">
        <v>44354.210416666669</v>
      </c>
      <c r="AT4557" s="1">
        <v>44354.212812500002</v>
      </c>
      <c r="AU4557" s="1">
        <v>44354.213460648149</v>
      </c>
      <c r="AV4557" t="s">
        <v>71</v>
      </c>
      <c r="AW4557" t="s">
        <v>72</v>
      </c>
      <c r="AX4557" t="s">
        <v>73</v>
      </c>
    </row>
    <row r="4558" spans="1:50" x14ac:dyDescent="0.3">
      <c r="A4558" t="str">
        <f>"200878C0100"</f>
        <v>200878C0100</v>
      </c>
      <c r="B4558" t="str">
        <f>"200878C01002"</f>
        <v>200878C01002</v>
      </c>
      <c r="C4558" t="str">
        <f t="shared" si="234"/>
        <v>20</v>
      </c>
      <c r="D4558" t="s">
        <v>67</v>
      </c>
      <c r="E4558" t="str">
        <f t="shared" si="233"/>
        <v>020</v>
      </c>
      <c r="F4558" t="s">
        <v>4506</v>
      </c>
      <c r="G4558" t="str">
        <f>"0878"</f>
        <v>0878</v>
      </c>
      <c r="H4558" t="str">
        <f>"0001"</f>
        <v>0001</v>
      </c>
      <c r="I4558" t="s">
        <v>75</v>
      </c>
      <c r="J4558">
        <v>0</v>
      </c>
      <c r="K4558">
        <v>1</v>
      </c>
      <c r="L4558">
        <v>2</v>
      </c>
      <c r="M4558">
        <v>174</v>
      </c>
      <c r="N4558">
        <v>523</v>
      </c>
      <c r="O4558">
        <v>0</v>
      </c>
      <c r="P4558">
        <v>523</v>
      </c>
      <c r="Q4558">
        <v>1</v>
      </c>
      <c r="R4558">
        <v>106</v>
      </c>
      <c r="S4558">
        <v>7</v>
      </c>
      <c r="T4558">
        <v>4</v>
      </c>
      <c r="U4558">
        <v>77</v>
      </c>
      <c r="V4558">
        <v>13</v>
      </c>
      <c r="W4558">
        <v>57</v>
      </c>
      <c r="X4558">
        <v>143</v>
      </c>
      <c r="Y4558">
        <v>0</v>
      </c>
      <c r="Z4558">
        <v>4</v>
      </c>
      <c r="AA4558">
        <v>97</v>
      </c>
      <c r="AB4558">
        <v>1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13</v>
      </c>
      <c r="AK4558" t="s">
        <v>77</v>
      </c>
      <c r="AL4558">
        <v>523</v>
      </c>
      <c r="AM4558">
        <v>654</v>
      </c>
      <c r="AN4558">
        <v>44</v>
      </c>
      <c r="AP4558">
        <v>1</v>
      </c>
      <c r="AR4558" t="s">
        <v>4659</v>
      </c>
      <c r="AS4558" s="1">
        <v>44354.209722222222</v>
      </c>
      <c r="AT4558" s="1">
        <v>44354.214768518519</v>
      </c>
      <c r="AU4558" s="1">
        <v>44354.215891203705</v>
      </c>
      <c r="AV4558" t="s">
        <v>71</v>
      </c>
      <c r="AW4558" t="s">
        <v>72</v>
      </c>
      <c r="AX4558" t="s">
        <v>73</v>
      </c>
    </row>
    <row r="4559" spans="1:50" x14ac:dyDescent="0.3">
      <c r="A4559" t="str">
        <f>"200878C0200"</f>
        <v>200878C0200</v>
      </c>
      <c r="B4559" t="str">
        <f>"200878C02002"</f>
        <v>200878C02002</v>
      </c>
      <c r="C4559" t="str">
        <f t="shared" si="234"/>
        <v>20</v>
      </c>
      <c r="D4559" t="s">
        <v>67</v>
      </c>
      <c r="E4559" t="str">
        <f t="shared" si="233"/>
        <v>020</v>
      </c>
      <c r="F4559" t="s">
        <v>4506</v>
      </c>
      <c r="G4559" t="str">
        <f>"0878"</f>
        <v>0878</v>
      </c>
      <c r="H4559" t="str">
        <f>"0002"</f>
        <v>0002</v>
      </c>
      <c r="I4559" t="s">
        <v>75</v>
      </c>
      <c r="J4559">
        <v>0</v>
      </c>
      <c r="K4559">
        <v>1</v>
      </c>
      <c r="L4559">
        <v>2</v>
      </c>
      <c r="M4559">
        <v>179</v>
      </c>
      <c r="N4559">
        <v>519</v>
      </c>
      <c r="O4559">
        <v>2</v>
      </c>
      <c r="P4559">
        <v>519</v>
      </c>
      <c r="Q4559">
        <v>0</v>
      </c>
      <c r="R4559">
        <v>110</v>
      </c>
      <c r="S4559">
        <v>1</v>
      </c>
      <c r="T4559">
        <v>5</v>
      </c>
      <c r="U4559">
        <v>54</v>
      </c>
      <c r="V4559">
        <v>5</v>
      </c>
      <c r="W4559">
        <v>90</v>
      </c>
      <c r="X4559">
        <v>135</v>
      </c>
      <c r="Y4559">
        <v>0</v>
      </c>
      <c r="Z4559">
        <v>6</v>
      </c>
      <c r="AA4559">
        <v>103</v>
      </c>
      <c r="AB4559">
        <v>2</v>
      </c>
      <c r="AD4559">
        <v>1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7</v>
      </c>
      <c r="AK4559">
        <v>519</v>
      </c>
      <c r="AL4559">
        <v>519</v>
      </c>
      <c r="AM4559">
        <v>654</v>
      </c>
      <c r="AN4559">
        <v>44</v>
      </c>
      <c r="AP4559">
        <v>1</v>
      </c>
      <c r="AR4559" t="s">
        <v>4660</v>
      </c>
      <c r="AS4559" s="1">
        <v>44354.207638888889</v>
      </c>
      <c r="AT4559" s="1">
        <v>44354.21297453704</v>
      </c>
      <c r="AU4559" s="1">
        <v>44354.213321759256</v>
      </c>
      <c r="AV4559" t="s">
        <v>71</v>
      </c>
      <c r="AW4559" t="s">
        <v>72</v>
      </c>
      <c r="AX4559" t="s">
        <v>73</v>
      </c>
    </row>
    <row r="4560" spans="1:50" x14ac:dyDescent="0.3">
      <c r="A4560" t="str">
        <f>"200879B0000"</f>
        <v>200879B0000</v>
      </c>
      <c r="B4560" t="str">
        <f>"200879B00002"</f>
        <v>200879B00002</v>
      </c>
      <c r="C4560" t="str">
        <f t="shared" si="234"/>
        <v>20</v>
      </c>
      <c r="D4560" t="s">
        <v>67</v>
      </c>
      <c r="E4560" t="str">
        <f t="shared" si="233"/>
        <v>020</v>
      </c>
      <c r="F4560" t="s">
        <v>4506</v>
      </c>
      <c r="G4560" t="str">
        <f>"0879"</f>
        <v>0879</v>
      </c>
      <c r="H4560" t="str">
        <f>"0000"</f>
        <v>0000</v>
      </c>
      <c r="I4560" t="s">
        <v>69</v>
      </c>
      <c r="J4560">
        <v>0</v>
      </c>
      <c r="K4560">
        <v>1</v>
      </c>
      <c r="L4560">
        <v>2</v>
      </c>
      <c r="M4560">
        <v>135</v>
      </c>
      <c r="N4560">
        <v>610</v>
      </c>
      <c r="O4560">
        <v>7</v>
      </c>
      <c r="P4560">
        <v>610</v>
      </c>
      <c r="Q4560">
        <v>0</v>
      </c>
      <c r="R4560">
        <v>284</v>
      </c>
      <c r="S4560">
        <v>0</v>
      </c>
      <c r="T4560">
        <v>0</v>
      </c>
      <c r="U4560">
        <v>18</v>
      </c>
      <c r="V4560">
        <v>251</v>
      </c>
      <c r="W4560">
        <v>3</v>
      </c>
      <c r="X4560">
        <v>36</v>
      </c>
      <c r="Y4560">
        <v>0</v>
      </c>
      <c r="Z4560">
        <v>0</v>
      </c>
      <c r="AA4560">
        <v>13</v>
      </c>
      <c r="AB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5</v>
      </c>
      <c r="AK4560">
        <v>610</v>
      </c>
      <c r="AL4560">
        <v>610</v>
      </c>
      <c r="AM4560">
        <v>701</v>
      </c>
      <c r="AN4560">
        <v>44</v>
      </c>
      <c r="AP4560">
        <v>1</v>
      </c>
      <c r="AR4560" t="s">
        <v>4661</v>
      </c>
      <c r="AS4560" s="1">
        <v>44354.213194444441</v>
      </c>
      <c r="AT4560" s="1">
        <v>44354.217511574076</v>
      </c>
      <c r="AU4560" s="1">
        <v>44354.217905092592</v>
      </c>
      <c r="AV4560" t="s">
        <v>71</v>
      </c>
      <c r="AW4560" t="s">
        <v>72</v>
      </c>
      <c r="AX4560" t="s">
        <v>73</v>
      </c>
    </row>
    <row r="4561" spans="1:50" x14ac:dyDescent="0.3">
      <c r="A4561" t="str">
        <f>"200879E0100"</f>
        <v>200879E0100</v>
      </c>
      <c r="B4561" t="str">
        <f>"200879E01002"</f>
        <v>200879E01002</v>
      </c>
      <c r="C4561" t="str">
        <f t="shared" si="234"/>
        <v>20</v>
      </c>
      <c r="D4561" t="s">
        <v>67</v>
      </c>
      <c r="E4561" t="str">
        <f t="shared" si="233"/>
        <v>020</v>
      </c>
      <c r="F4561" t="s">
        <v>4506</v>
      </c>
      <c r="G4561" t="str">
        <f>"0879"</f>
        <v>0879</v>
      </c>
      <c r="H4561" t="str">
        <f>"0001"</f>
        <v>0001</v>
      </c>
      <c r="I4561" t="s">
        <v>109</v>
      </c>
      <c r="J4561">
        <v>0</v>
      </c>
      <c r="K4561">
        <v>1</v>
      </c>
      <c r="L4561">
        <v>2</v>
      </c>
      <c r="M4561">
        <v>69</v>
      </c>
      <c r="N4561">
        <v>94</v>
      </c>
      <c r="O4561">
        <v>4</v>
      </c>
      <c r="P4561">
        <v>94</v>
      </c>
      <c r="Q4561">
        <v>0</v>
      </c>
      <c r="R4561">
        <v>5</v>
      </c>
      <c r="S4561">
        <v>0</v>
      </c>
      <c r="T4561">
        <v>1</v>
      </c>
      <c r="U4561">
        <v>37</v>
      </c>
      <c r="V4561">
        <v>0</v>
      </c>
      <c r="W4561">
        <v>19</v>
      </c>
      <c r="X4561">
        <v>24</v>
      </c>
      <c r="Y4561">
        <v>0</v>
      </c>
      <c r="Z4561">
        <v>0</v>
      </c>
      <c r="AA4561">
        <v>8</v>
      </c>
      <c r="AB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94</v>
      </c>
      <c r="AL4561">
        <v>94</v>
      </c>
      <c r="AM4561">
        <v>119</v>
      </c>
      <c r="AN4561">
        <v>44</v>
      </c>
      <c r="AP4561">
        <v>1</v>
      </c>
      <c r="AR4561" t="s">
        <v>4662</v>
      </c>
      <c r="AS4561" s="1">
        <v>44354.213888888888</v>
      </c>
      <c r="AT4561" s="1">
        <v>44354.235868055555</v>
      </c>
      <c r="AU4561" s="1">
        <v>44354.236956018518</v>
      </c>
      <c r="AV4561" t="s">
        <v>71</v>
      </c>
      <c r="AW4561" t="s">
        <v>72</v>
      </c>
      <c r="AX4561" t="s">
        <v>73</v>
      </c>
    </row>
    <row r="4562" spans="1:50" x14ac:dyDescent="0.3">
      <c r="A4562" t="str">
        <f>"200880B0000"</f>
        <v>200880B0000</v>
      </c>
      <c r="B4562" t="str">
        <f>"200880B00002"</f>
        <v>200880B00002</v>
      </c>
      <c r="C4562" t="str">
        <f t="shared" si="234"/>
        <v>20</v>
      </c>
      <c r="D4562" t="s">
        <v>67</v>
      </c>
      <c r="E4562" t="str">
        <f t="shared" si="233"/>
        <v>020</v>
      </c>
      <c r="F4562" t="s">
        <v>4506</v>
      </c>
      <c r="G4562" t="str">
        <f>"0880"</f>
        <v>0880</v>
      </c>
      <c r="H4562" t="str">
        <f>"0000"</f>
        <v>0000</v>
      </c>
      <c r="I4562" t="s">
        <v>69</v>
      </c>
      <c r="J4562">
        <v>0</v>
      </c>
      <c r="K4562">
        <v>1</v>
      </c>
      <c r="L4562">
        <v>2</v>
      </c>
      <c r="M4562">
        <v>65</v>
      </c>
      <c r="N4562">
        <v>311</v>
      </c>
      <c r="O4562">
        <v>10</v>
      </c>
      <c r="P4562">
        <v>311</v>
      </c>
      <c r="Q4562">
        <v>2</v>
      </c>
      <c r="R4562">
        <v>31</v>
      </c>
      <c r="S4562">
        <v>2</v>
      </c>
      <c r="T4562">
        <v>3</v>
      </c>
      <c r="U4562">
        <v>70</v>
      </c>
      <c r="V4562">
        <v>118</v>
      </c>
      <c r="W4562">
        <v>5</v>
      </c>
      <c r="X4562">
        <v>66</v>
      </c>
      <c r="Y4562">
        <v>0</v>
      </c>
      <c r="Z4562">
        <v>2</v>
      </c>
      <c r="AA4562">
        <v>4</v>
      </c>
      <c r="AB4562">
        <v>6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2</v>
      </c>
      <c r="AK4562">
        <v>311</v>
      </c>
      <c r="AL4562">
        <v>311</v>
      </c>
      <c r="AM4562">
        <v>332</v>
      </c>
      <c r="AN4562">
        <v>44</v>
      </c>
      <c r="AP4562">
        <v>1</v>
      </c>
      <c r="AR4562" t="s">
        <v>4663</v>
      </c>
      <c r="AS4562" s="1">
        <v>44354.209722222222</v>
      </c>
      <c r="AT4562" s="1">
        <v>44354.214421296296</v>
      </c>
      <c r="AU4562" s="1">
        <v>44354.215127314812</v>
      </c>
      <c r="AV4562" t="s">
        <v>71</v>
      </c>
      <c r="AW4562" t="s">
        <v>72</v>
      </c>
      <c r="AX4562" t="s">
        <v>73</v>
      </c>
    </row>
    <row r="4563" spans="1:50" x14ac:dyDescent="0.3">
      <c r="A4563" t="str">
        <f>"200881B0000"</f>
        <v>200881B0000</v>
      </c>
      <c r="B4563" t="str">
        <f>"200881B00002"</f>
        <v>200881B00002</v>
      </c>
      <c r="C4563" t="str">
        <f t="shared" si="234"/>
        <v>20</v>
      </c>
      <c r="D4563" t="s">
        <v>67</v>
      </c>
      <c r="E4563" t="str">
        <f t="shared" si="233"/>
        <v>020</v>
      </c>
      <c r="F4563" t="s">
        <v>4506</v>
      </c>
      <c r="G4563" t="str">
        <f>"0881"</f>
        <v>0881</v>
      </c>
      <c r="H4563" t="str">
        <f>"0000"</f>
        <v>0000</v>
      </c>
      <c r="I4563" t="s">
        <v>69</v>
      </c>
      <c r="J4563">
        <v>0</v>
      </c>
      <c r="K4563">
        <v>1</v>
      </c>
      <c r="L4563">
        <v>2</v>
      </c>
      <c r="M4563">
        <v>117</v>
      </c>
      <c r="N4563">
        <v>447</v>
      </c>
      <c r="O4563">
        <v>1</v>
      </c>
      <c r="P4563">
        <v>447</v>
      </c>
      <c r="Q4563">
        <v>5</v>
      </c>
      <c r="R4563">
        <v>71</v>
      </c>
      <c r="S4563">
        <v>2</v>
      </c>
      <c r="T4563">
        <v>10</v>
      </c>
      <c r="U4563">
        <v>103</v>
      </c>
      <c r="V4563">
        <v>86</v>
      </c>
      <c r="W4563">
        <v>27</v>
      </c>
      <c r="X4563">
        <v>105</v>
      </c>
      <c r="Y4563">
        <v>2</v>
      </c>
      <c r="Z4563">
        <v>0</v>
      </c>
      <c r="AA4563">
        <v>28</v>
      </c>
      <c r="AB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8</v>
      </c>
      <c r="AK4563">
        <v>447</v>
      </c>
      <c r="AL4563">
        <v>447</v>
      </c>
      <c r="AM4563">
        <v>520</v>
      </c>
      <c r="AN4563">
        <v>44</v>
      </c>
      <c r="AP4563">
        <v>1</v>
      </c>
      <c r="AR4563" t="s">
        <v>4664</v>
      </c>
      <c r="AS4563" s="1">
        <v>44354.212500000001</v>
      </c>
      <c r="AT4563" s="1">
        <v>44354.21733796296</v>
      </c>
      <c r="AU4563" s="1">
        <v>44354.218715277777</v>
      </c>
      <c r="AV4563" t="s">
        <v>71</v>
      </c>
      <c r="AW4563" t="s">
        <v>72</v>
      </c>
      <c r="AX4563" t="s">
        <v>73</v>
      </c>
    </row>
    <row r="4564" spans="1:50" x14ac:dyDescent="0.3">
      <c r="A4564" t="str">
        <f>"200881C0100"</f>
        <v>200881C0100</v>
      </c>
      <c r="B4564" t="str">
        <f>"200881C01002"</f>
        <v>200881C01002</v>
      </c>
      <c r="C4564" t="str">
        <f t="shared" si="234"/>
        <v>20</v>
      </c>
      <c r="D4564" t="s">
        <v>67</v>
      </c>
      <c r="E4564" t="str">
        <f t="shared" si="233"/>
        <v>020</v>
      </c>
      <c r="F4564" t="s">
        <v>4506</v>
      </c>
      <c r="G4564" t="str">
        <f>"0881"</f>
        <v>0881</v>
      </c>
      <c r="H4564" t="str">
        <f>"0001"</f>
        <v>0001</v>
      </c>
      <c r="I4564" t="s">
        <v>75</v>
      </c>
      <c r="J4564">
        <v>0</v>
      </c>
      <c r="K4564">
        <v>1</v>
      </c>
      <c r="L4564">
        <v>2</v>
      </c>
      <c r="M4564">
        <v>115</v>
      </c>
      <c r="N4564">
        <v>448</v>
      </c>
      <c r="O4564">
        <v>7</v>
      </c>
      <c r="P4564" t="s">
        <v>80</v>
      </c>
      <c r="Q4564">
        <v>2</v>
      </c>
      <c r="R4564">
        <v>61</v>
      </c>
      <c r="S4564">
        <v>1</v>
      </c>
      <c r="T4564">
        <v>9</v>
      </c>
      <c r="U4564">
        <v>142</v>
      </c>
      <c r="V4564">
        <v>61</v>
      </c>
      <c r="W4564">
        <v>33</v>
      </c>
      <c r="X4564">
        <v>114</v>
      </c>
      <c r="Y4564">
        <v>0</v>
      </c>
      <c r="Z4564">
        <v>1</v>
      </c>
      <c r="AA4564">
        <v>13</v>
      </c>
      <c r="AB4564">
        <v>1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11</v>
      </c>
      <c r="AK4564">
        <v>449</v>
      </c>
      <c r="AL4564">
        <v>449</v>
      </c>
      <c r="AM4564">
        <v>520</v>
      </c>
      <c r="AN4564">
        <v>44</v>
      </c>
      <c r="AP4564">
        <v>1</v>
      </c>
      <c r="AR4564" t="s">
        <v>4665</v>
      </c>
      <c r="AS4564" s="1">
        <v>44354.214583333334</v>
      </c>
      <c r="AT4564" s="1">
        <v>44354.23715277778</v>
      </c>
      <c r="AU4564" s="1">
        <v>44354.237835648149</v>
      </c>
      <c r="AV4564" t="s">
        <v>71</v>
      </c>
      <c r="AW4564" t="s">
        <v>72</v>
      </c>
      <c r="AX4564" t="s">
        <v>73</v>
      </c>
    </row>
    <row r="4565" spans="1:50" x14ac:dyDescent="0.3">
      <c r="A4565" t="str">
        <f>"200883B0000"</f>
        <v>200883B0000</v>
      </c>
      <c r="B4565" t="str">
        <f>"200883B00002"</f>
        <v>200883B00002</v>
      </c>
      <c r="C4565" t="str">
        <f t="shared" si="234"/>
        <v>20</v>
      </c>
      <c r="D4565" t="s">
        <v>67</v>
      </c>
      <c r="E4565" t="str">
        <f t="shared" si="233"/>
        <v>020</v>
      </c>
      <c r="F4565" t="s">
        <v>4506</v>
      </c>
      <c r="G4565" t="str">
        <f>"0883"</f>
        <v>0883</v>
      </c>
      <c r="H4565" t="str">
        <f>"0000"</f>
        <v>0000</v>
      </c>
      <c r="I4565" t="s">
        <v>69</v>
      </c>
      <c r="J4565">
        <v>0</v>
      </c>
      <c r="K4565">
        <v>1</v>
      </c>
      <c r="L4565">
        <v>2</v>
      </c>
      <c r="M4565">
        <v>202</v>
      </c>
      <c r="N4565">
        <v>568</v>
      </c>
      <c r="O4565">
        <v>2</v>
      </c>
      <c r="P4565">
        <v>568</v>
      </c>
      <c r="Q4565">
        <v>8</v>
      </c>
      <c r="R4565">
        <v>169</v>
      </c>
      <c r="S4565">
        <v>4</v>
      </c>
      <c r="T4565">
        <v>5</v>
      </c>
      <c r="U4565">
        <v>7</v>
      </c>
      <c r="V4565">
        <v>12</v>
      </c>
      <c r="W4565">
        <v>3</v>
      </c>
      <c r="X4565">
        <v>289</v>
      </c>
      <c r="Y4565">
        <v>43</v>
      </c>
      <c r="Z4565">
        <v>3</v>
      </c>
      <c r="AA4565">
        <v>5</v>
      </c>
      <c r="AB4565">
        <v>4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16</v>
      </c>
      <c r="AK4565">
        <v>568</v>
      </c>
      <c r="AL4565">
        <v>568</v>
      </c>
      <c r="AM4565">
        <v>724</v>
      </c>
      <c r="AN4565">
        <v>46</v>
      </c>
      <c r="AP4565">
        <v>1</v>
      </c>
      <c r="AR4565" s="2" t="s">
        <v>4666</v>
      </c>
      <c r="AS4565" s="1">
        <v>44353.934999999998</v>
      </c>
      <c r="AT4565" s="1">
        <v>44353.936724537038</v>
      </c>
      <c r="AU4565" s="1">
        <v>44353.938009259262</v>
      </c>
      <c r="AV4565" t="s">
        <v>269</v>
      </c>
      <c r="AW4565" t="s">
        <v>270</v>
      </c>
      <c r="AX4565" t="s">
        <v>73</v>
      </c>
    </row>
    <row r="4566" spans="1:50" x14ac:dyDescent="0.3">
      <c r="A4566" t="str">
        <f>"200883E0100"</f>
        <v>200883E0100</v>
      </c>
      <c r="B4566" t="str">
        <f>"200883E01002"</f>
        <v>200883E01002</v>
      </c>
      <c r="C4566" t="str">
        <f t="shared" si="234"/>
        <v>20</v>
      </c>
      <c r="D4566" t="s">
        <v>67</v>
      </c>
      <c r="E4566" t="str">
        <f t="shared" si="233"/>
        <v>020</v>
      </c>
      <c r="F4566" t="s">
        <v>4506</v>
      </c>
      <c r="G4566" t="str">
        <f>"0883"</f>
        <v>0883</v>
      </c>
      <c r="H4566" t="str">
        <f>"0001"</f>
        <v>0001</v>
      </c>
      <c r="I4566" t="s">
        <v>109</v>
      </c>
      <c r="J4566">
        <v>0</v>
      </c>
      <c r="K4566">
        <v>1</v>
      </c>
      <c r="L4566">
        <v>2</v>
      </c>
      <c r="AM4566">
        <v>415</v>
      </c>
      <c r="AN4566">
        <v>46</v>
      </c>
      <c r="AO4566" t="s">
        <v>143</v>
      </c>
      <c r="AP4566">
        <v>0</v>
      </c>
      <c r="AR4566" t="s">
        <v>4667</v>
      </c>
      <c r="AS4566" s="1">
        <v>44354.417361111111</v>
      </c>
      <c r="AT4566" s="1">
        <v>44354.421157407407</v>
      </c>
      <c r="AU4566" s="1">
        <v>44354.421157407407</v>
      </c>
      <c r="AV4566" t="s">
        <v>71</v>
      </c>
      <c r="AW4566" t="s">
        <v>72</v>
      </c>
      <c r="AX4566" t="s">
        <v>73</v>
      </c>
    </row>
    <row r="4567" spans="1:50" x14ac:dyDescent="0.3">
      <c r="A4567" t="str">
        <f>"200884B0000"</f>
        <v>200884B0000</v>
      </c>
      <c r="B4567" t="str">
        <f>"200884B00002"</f>
        <v>200884B00002</v>
      </c>
      <c r="C4567" t="str">
        <f t="shared" si="234"/>
        <v>20</v>
      </c>
      <c r="D4567" t="s">
        <v>67</v>
      </c>
      <c r="E4567" t="str">
        <f t="shared" si="233"/>
        <v>020</v>
      </c>
      <c r="F4567" t="s">
        <v>4506</v>
      </c>
      <c r="G4567" t="str">
        <f>"0884"</f>
        <v>0884</v>
      </c>
      <c r="H4567" t="str">
        <f>"0000"</f>
        <v>0000</v>
      </c>
      <c r="I4567" t="s">
        <v>69</v>
      </c>
      <c r="J4567">
        <v>0</v>
      </c>
      <c r="K4567">
        <v>1</v>
      </c>
      <c r="L4567">
        <v>2</v>
      </c>
      <c r="M4567">
        <v>165</v>
      </c>
      <c r="N4567">
        <v>486</v>
      </c>
      <c r="O4567">
        <v>6</v>
      </c>
      <c r="P4567">
        <v>486</v>
      </c>
      <c r="Q4567">
        <v>10</v>
      </c>
      <c r="R4567">
        <v>118</v>
      </c>
      <c r="S4567">
        <v>2</v>
      </c>
      <c r="T4567">
        <v>2</v>
      </c>
      <c r="U4567">
        <v>12</v>
      </c>
      <c r="V4567">
        <v>9</v>
      </c>
      <c r="W4567">
        <v>2</v>
      </c>
      <c r="X4567">
        <v>273</v>
      </c>
      <c r="Y4567">
        <v>51</v>
      </c>
      <c r="Z4567">
        <v>2</v>
      </c>
      <c r="AA4567">
        <v>2</v>
      </c>
      <c r="AB4567">
        <v>1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2</v>
      </c>
      <c r="AK4567">
        <v>486</v>
      </c>
      <c r="AL4567">
        <v>486</v>
      </c>
      <c r="AM4567">
        <v>605</v>
      </c>
      <c r="AN4567">
        <v>46</v>
      </c>
      <c r="AP4567">
        <v>1</v>
      </c>
      <c r="AR4567" t="s">
        <v>4668</v>
      </c>
      <c r="AS4567" s="1">
        <v>44354.202777777777</v>
      </c>
      <c r="AT4567" s="1">
        <v>44354.206817129627</v>
      </c>
      <c r="AU4567" s="1">
        <v>44354.207962962966</v>
      </c>
      <c r="AV4567" t="s">
        <v>71</v>
      </c>
      <c r="AW4567" t="s">
        <v>72</v>
      </c>
      <c r="AX4567" t="s">
        <v>73</v>
      </c>
    </row>
    <row r="4568" spans="1:50" x14ac:dyDescent="0.3">
      <c r="A4568" t="str">
        <f>"200884C0100"</f>
        <v>200884C0100</v>
      </c>
      <c r="B4568" t="str">
        <f>"200884C01002"</f>
        <v>200884C01002</v>
      </c>
      <c r="C4568" t="str">
        <f t="shared" si="234"/>
        <v>20</v>
      </c>
      <c r="D4568" t="s">
        <v>67</v>
      </c>
      <c r="E4568" t="str">
        <f t="shared" si="233"/>
        <v>020</v>
      </c>
      <c r="F4568" t="s">
        <v>4506</v>
      </c>
      <c r="G4568" t="str">
        <f>"0884"</f>
        <v>0884</v>
      </c>
      <c r="H4568" t="str">
        <f>"0001"</f>
        <v>0001</v>
      </c>
      <c r="I4568" t="s">
        <v>75</v>
      </c>
      <c r="J4568">
        <v>0</v>
      </c>
      <c r="K4568">
        <v>1</v>
      </c>
      <c r="L4568">
        <v>2</v>
      </c>
      <c r="M4568">
        <v>196</v>
      </c>
      <c r="N4568">
        <v>454</v>
      </c>
      <c r="O4568">
        <v>7</v>
      </c>
      <c r="P4568">
        <v>454</v>
      </c>
      <c r="Q4568">
        <v>9</v>
      </c>
      <c r="R4568">
        <v>123</v>
      </c>
      <c r="S4568">
        <v>8</v>
      </c>
      <c r="T4568">
        <v>5</v>
      </c>
      <c r="U4568">
        <v>8</v>
      </c>
      <c r="V4568">
        <v>13</v>
      </c>
      <c r="W4568">
        <v>1</v>
      </c>
      <c r="X4568">
        <v>245</v>
      </c>
      <c r="Y4568">
        <v>29</v>
      </c>
      <c r="Z4568">
        <v>1</v>
      </c>
      <c r="AA4568">
        <v>4</v>
      </c>
      <c r="AB4568">
        <v>1</v>
      </c>
      <c r="AD4568">
        <v>0</v>
      </c>
      <c r="AE4568">
        <v>1</v>
      </c>
      <c r="AF4568">
        <v>0</v>
      </c>
      <c r="AG4568">
        <v>0</v>
      </c>
      <c r="AH4568">
        <v>0</v>
      </c>
      <c r="AI4568">
        <v>0</v>
      </c>
      <c r="AJ4568">
        <v>6</v>
      </c>
      <c r="AK4568">
        <v>454</v>
      </c>
      <c r="AL4568">
        <v>454</v>
      </c>
      <c r="AM4568">
        <v>604</v>
      </c>
      <c r="AN4568">
        <v>46</v>
      </c>
      <c r="AP4568">
        <v>1</v>
      </c>
      <c r="AR4568" t="s">
        <v>4669</v>
      </c>
      <c r="AS4568" s="1">
        <v>44353.954953703702</v>
      </c>
      <c r="AT4568" s="1">
        <v>44353.956504629627</v>
      </c>
      <c r="AU4568" s="1">
        <v>44353.957349537035</v>
      </c>
      <c r="AV4568" t="s">
        <v>269</v>
      </c>
      <c r="AW4568" t="s">
        <v>270</v>
      </c>
      <c r="AX4568" t="s">
        <v>73</v>
      </c>
    </row>
    <row r="4569" spans="1:50" x14ac:dyDescent="0.3">
      <c r="A4569" t="str">
        <f>"200884E0100"</f>
        <v>200884E0100</v>
      </c>
      <c r="B4569" t="str">
        <f>"200884E01002"</f>
        <v>200884E01002</v>
      </c>
      <c r="C4569" t="str">
        <f t="shared" si="234"/>
        <v>20</v>
      </c>
      <c r="D4569" t="s">
        <v>67</v>
      </c>
      <c r="E4569" t="str">
        <f t="shared" si="233"/>
        <v>020</v>
      </c>
      <c r="F4569" t="s">
        <v>4506</v>
      </c>
      <c r="G4569" t="str">
        <f>"0884"</f>
        <v>0884</v>
      </c>
      <c r="H4569" t="str">
        <f>"0001"</f>
        <v>0001</v>
      </c>
      <c r="I4569" t="s">
        <v>109</v>
      </c>
      <c r="J4569">
        <v>0</v>
      </c>
      <c r="K4569">
        <v>1</v>
      </c>
      <c r="L4569">
        <v>2</v>
      </c>
      <c r="M4569">
        <v>77</v>
      </c>
      <c r="N4569">
        <v>232</v>
      </c>
      <c r="O4569">
        <v>6</v>
      </c>
      <c r="P4569">
        <v>232</v>
      </c>
      <c r="Q4569">
        <v>3</v>
      </c>
      <c r="R4569">
        <v>7</v>
      </c>
      <c r="S4569">
        <v>0</v>
      </c>
      <c r="T4569">
        <v>1</v>
      </c>
      <c r="U4569">
        <v>5</v>
      </c>
      <c r="V4569">
        <v>16</v>
      </c>
      <c r="W4569">
        <v>0</v>
      </c>
      <c r="X4569">
        <v>160</v>
      </c>
      <c r="Y4569">
        <v>17</v>
      </c>
      <c r="Z4569">
        <v>0</v>
      </c>
      <c r="AA4569">
        <v>0</v>
      </c>
      <c r="AB4569">
        <v>0</v>
      </c>
      <c r="AD4569">
        <v>1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12</v>
      </c>
      <c r="AK4569">
        <v>232</v>
      </c>
      <c r="AL4569">
        <v>222</v>
      </c>
      <c r="AM4569">
        <v>263</v>
      </c>
      <c r="AN4569">
        <v>46</v>
      </c>
      <c r="AP4569">
        <v>1</v>
      </c>
      <c r="AR4569" t="s">
        <v>4670</v>
      </c>
      <c r="AS4569" s="1">
        <v>44354.206944444442</v>
      </c>
      <c r="AT4569" s="1">
        <v>44354.241574074076</v>
      </c>
      <c r="AU4569" s="1">
        <v>44354.282743055555</v>
      </c>
      <c r="AV4569" t="s">
        <v>71</v>
      </c>
      <c r="AW4569" t="s">
        <v>72</v>
      </c>
      <c r="AX4569" t="s">
        <v>73</v>
      </c>
    </row>
    <row r="4570" spans="1:50" x14ac:dyDescent="0.3">
      <c r="A4570" t="str">
        <f>"200885B0000"</f>
        <v>200885B0000</v>
      </c>
      <c r="B4570" t="str">
        <f>"200885B00002"</f>
        <v>200885B00002</v>
      </c>
      <c r="C4570" t="str">
        <f t="shared" si="234"/>
        <v>20</v>
      </c>
      <c r="D4570" t="s">
        <v>67</v>
      </c>
      <c r="E4570" t="str">
        <f t="shared" si="233"/>
        <v>020</v>
      </c>
      <c r="F4570" t="s">
        <v>4506</v>
      </c>
      <c r="G4570" t="str">
        <f>"0885"</f>
        <v>0885</v>
      </c>
      <c r="H4570" t="str">
        <f>"0000"</f>
        <v>0000</v>
      </c>
      <c r="I4570" t="s">
        <v>69</v>
      </c>
      <c r="J4570">
        <v>0</v>
      </c>
      <c r="K4570">
        <v>1</v>
      </c>
      <c r="L4570">
        <v>2</v>
      </c>
      <c r="M4570">
        <v>205</v>
      </c>
      <c r="N4570">
        <v>561</v>
      </c>
      <c r="O4570">
        <v>1</v>
      </c>
      <c r="P4570">
        <v>561</v>
      </c>
      <c r="Q4570">
        <v>8</v>
      </c>
      <c r="R4570">
        <v>110</v>
      </c>
      <c r="S4570">
        <v>2</v>
      </c>
      <c r="T4570">
        <v>6</v>
      </c>
      <c r="U4570">
        <v>6</v>
      </c>
      <c r="V4570">
        <v>16</v>
      </c>
      <c r="W4570">
        <v>1</v>
      </c>
      <c r="X4570">
        <v>361</v>
      </c>
      <c r="Y4570">
        <v>32</v>
      </c>
      <c r="Z4570">
        <v>0</v>
      </c>
      <c r="AA4570">
        <v>1</v>
      </c>
      <c r="AB4570">
        <v>1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17</v>
      </c>
      <c r="AK4570">
        <v>561</v>
      </c>
      <c r="AL4570">
        <v>561</v>
      </c>
      <c r="AM4570">
        <v>720</v>
      </c>
      <c r="AN4570">
        <v>46</v>
      </c>
      <c r="AP4570">
        <v>1</v>
      </c>
      <c r="AR4570" t="s">
        <v>4671</v>
      </c>
      <c r="AS4570" s="1">
        <v>44354.031481481485</v>
      </c>
      <c r="AT4570" s="1">
        <v>44354.0390625</v>
      </c>
      <c r="AU4570" s="1">
        <v>44354.039629629631</v>
      </c>
      <c r="AV4570" t="s">
        <v>269</v>
      </c>
      <c r="AW4570" t="s">
        <v>270</v>
      </c>
      <c r="AX4570" t="s">
        <v>73</v>
      </c>
    </row>
    <row r="4571" spans="1:50" x14ac:dyDescent="0.3">
      <c r="A4571" t="str">
        <f>"200885C0100"</f>
        <v>200885C0100</v>
      </c>
      <c r="B4571" t="str">
        <f>"200885C01002"</f>
        <v>200885C01002</v>
      </c>
      <c r="C4571" t="str">
        <f t="shared" si="234"/>
        <v>20</v>
      </c>
      <c r="D4571" t="s">
        <v>67</v>
      </c>
      <c r="E4571" t="str">
        <f t="shared" si="233"/>
        <v>020</v>
      </c>
      <c r="F4571" t="s">
        <v>4506</v>
      </c>
      <c r="G4571" t="str">
        <f>"0885"</f>
        <v>0885</v>
      </c>
      <c r="H4571" t="str">
        <f>"0001"</f>
        <v>0001</v>
      </c>
      <c r="I4571" t="s">
        <v>75</v>
      </c>
      <c r="J4571">
        <v>0</v>
      </c>
      <c r="K4571">
        <v>1</v>
      </c>
      <c r="L4571">
        <v>2</v>
      </c>
      <c r="M4571">
        <v>244</v>
      </c>
      <c r="N4571">
        <v>521</v>
      </c>
      <c r="O4571">
        <v>0</v>
      </c>
      <c r="P4571">
        <v>521</v>
      </c>
      <c r="Q4571">
        <v>9</v>
      </c>
      <c r="R4571">
        <v>90</v>
      </c>
      <c r="S4571">
        <v>4</v>
      </c>
      <c r="T4571">
        <v>3</v>
      </c>
      <c r="U4571">
        <v>7</v>
      </c>
      <c r="V4571">
        <v>14</v>
      </c>
      <c r="W4571">
        <v>1</v>
      </c>
      <c r="X4571">
        <v>334</v>
      </c>
      <c r="Y4571">
        <v>35</v>
      </c>
      <c r="Z4571">
        <v>1</v>
      </c>
      <c r="AA4571">
        <v>4</v>
      </c>
      <c r="AB4571">
        <v>1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18</v>
      </c>
      <c r="AK4571">
        <v>521</v>
      </c>
      <c r="AL4571">
        <v>521</v>
      </c>
      <c r="AM4571">
        <v>719</v>
      </c>
      <c r="AN4571">
        <v>46</v>
      </c>
      <c r="AP4571">
        <v>1</v>
      </c>
      <c r="AR4571" t="s">
        <v>4672</v>
      </c>
      <c r="AS4571" s="1">
        <v>44353.952650462961</v>
      </c>
      <c r="AT4571" s="1">
        <v>44353.953796296293</v>
      </c>
      <c r="AU4571" s="1">
        <v>44353.954351851855</v>
      </c>
      <c r="AV4571" t="s">
        <v>269</v>
      </c>
      <c r="AW4571" t="s">
        <v>270</v>
      </c>
      <c r="AX4571" t="s">
        <v>73</v>
      </c>
    </row>
    <row r="4572" spans="1:50" x14ac:dyDescent="0.3">
      <c r="A4572" t="str">
        <f>"200886B0000"</f>
        <v>200886B0000</v>
      </c>
      <c r="B4572" t="str">
        <f>"200886B00002"</f>
        <v>200886B00002</v>
      </c>
      <c r="C4572" t="str">
        <f t="shared" si="234"/>
        <v>20</v>
      </c>
      <c r="D4572" t="s">
        <v>67</v>
      </c>
      <c r="E4572" t="str">
        <f t="shared" si="233"/>
        <v>020</v>
      </c>
      <c r="F4572" t="s">
        <v>4506</v>
      </c>
      <c r="G4572" t="str">
        <f>"0886"</f>
        <v>0886</v>
      </c>
      <c r="H4572" t="str">
        <f>"0000"</f>
        <v>0000</v>
      </c>
      <c r="I4572" t="s">
        <v>69</v>
      </c>
      <c r="J4572">
        <v>0</v>
      </c>
      <c r="K4572">
        <v>1</v>
      </c>
      <c r="L4572">
        <v>2</v>
      </c>
      <c r="M4572">
        <v>131</v>
      </c>
      <c r="N4572">
        <v>311</v>
      </c>
      <c r="O4572">
        <v>10</v>
      </c>
      <c r="P4572">
        <v>311</v>
      </c>
      <c r="Q4572">
        <v>9</v>
      </c>
      <c r="R4572">
        <v>86</v>
      </c>
      <c r="S4572">
        <v>3</v>
      </c>
      <c r="T4572">
        <v>2</v>
      </c>
      <c r="U4572">
        <v>2</v>
      </c>
      <c r="V4572">
        <v>7</v>
      </c>
      <c r="W4572">
        <v>0</v>
      </c>
      <c r="X4572">
        <v>170</v>
      </c>
      <c r="Y4572">
        <v>17</v>
      </c>
      <c r="Z4572">
        <v>0</v>
      </c>
      <c r="AA4572">
        <v>2</v>
      </c>
      <c r="AB4572">
        <v>1</v>
      </c>
      <c r="AD4572">
        <v>2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10</v>
      </c>
      <c r="AK4572">
        <v>311</v>
      </c>
      <c r="AL4572">
        <v>311</v>
      </c>
      <c r="AM4572">
        <v>396</v>
      </c>
      <c r="AN4572">
        <v>46</v>
      </c>
      <c r="AP4572">
        <v>1</v>
      </c>
      <c r="AR4572" t="s">
        <v>4673</v>
      </c>
      <c r="AS4572" s="1">
        <v>44353.858819444446</v>
      </c>
      <c r="AT4572" s="1">
        <v>44353.861273148148</v>
      </c>
      <c r="AU4572" s="1">
        <v>44353.862557870372</v>
      </c>
      <c r="AV4572" t="s">
        <v>269</v>
      </c>
      <c r="AW4572" t="s">
        <v>270</v>
      </c>
      <c r="AX4572" t="s">
        <v>73</v>
      </c>
    </row>
    <row r="4573" spans="1:50" x14ac:dyDescent="0.3">
      <c r="A4573" t="str">
        <f>"200886C0100"</f>
        <v>200886C0100</v>
      </c>
      <c r="B4573" t="str">
        <f>"200886C01002"</f>
        <v>200886C01002</v>
      </c>
      <c r="C4573" t="str">
        <f t="shared" si="234"/>
        <v>20</v>
      </c>
      <c r="D4573" t="s">
        <v>67</v>
      </c>
      <c r="E4573" t="str">
        <f t="shared" si="233"/>
        <v>020</v>
      </c>
      <c r="F4573" t="s">
        <v>4506</v>
      </c>
      <c r="G4573" t="str">
        <f>"0886"</f>
        <v>0886</v>
      </c>
      <c r="H4573" t="str">
        <f>"0001"</f>
        <v>0001</v>
      </c>
      <c r="I4573" t="s">
        <v>75</v>
      </c>
      <c r="J4573">
        <v>0</v>
      </c>
      <c r="K4573">
        <v>1</v>
      </c>
      <c r="L4573">
        <v>2</v>
      </c>
      <c r="M4573">
        <v>138</v>
      </c>
      <c r="N4573">
        <v>303</v>
      </c>
      <c r="O4573">
        <v>8</v>
      </c>
      <c r="P4573">
        <v>303</v>
      </c>
      <c r="Q4573">
        <v>4</v>
      </c>
      <c r="R4573">
        <v>63</v>
      </c>
      <c r="S4573">
        <v>3</v>
      </c>
      <c r="T4573">
        <v>3</v>
      </c>
      <c r="U4573">
        <v>7</v>
      </c>
      <c r="V4573">
        <v>9</v>
      </c>
      <c r="W4573">
        <v>4</v>
      </c>
      <c r="X4573">
        <v>181</v>
      </c>
      <c r="Y4573">
        <v>13</v>
      </c>
      <c r="Z4573">
        <v>1</v>
      </c>
      <c r="AA4573">
        <v>0</v>
      </c>
      <c r="AB4573">
        <v>2</v>
      </c>
      <c r="AD4573">
        <v>0</v>
      </c>
      <c r="AE4573">
        <v>1</v>
      </c>
      <c r="AF4573">
        <v>0</v>
      </c>
      <c r="AG4573">
        <v>0</v>
      </c>
      <c r="AH4573">
        <v>0</v>
      </c>
      <c r="AI4573">
        <v>0</v>
      </c>
      <c r="AJ4573">
        <v>12</v>
      </c>
      <c r="AK4573">
        <v>303</v>
      </c>
      <c r="AL4573">
        <v>303</v>
      </c>
      <c r="AM4573">
        <v>395</v>
      </c>
      <c r="AN4573">
        <v>46</v>
      </c>
      <c r="AP4573">
        <v>1</v>
      </c>
      <c r="AR4573" t="s">
        <v>4674</v>
      </c>
      <c r="AS4573" s="1">
        <v>44353.862002314818</v>
      </c>
      <c r="AT4573" s="1">
        <v>44353.864259259259</v>
      </c>
      <c r="AU4573" s="1">
        <v>44353.865543981483</v>
      </c>
      <c r="AV4573" t="s">
        <v>269</v>
      </c>
      <c r="AW4573" t="s">
        <v>270</v>
      </c>
      <c r="AX4573" t="s">
        <v>73</v>
      </c>
    </row>
    <row r="4574" spans="1:50" x14ac:dyDescent="0.3">
      <c r="A4574" t="str">
        <f>"200887B0000"</f>
        <v>200887B0000</v>
      </c>
      <c r="B4574" t="str">
        <f>"200887B00002"</f>
        <v>200887B00002</v>
      </c>
      <c r="C4574" t="str">
        <f t="shared" si="234"/>
        <v>20</v>
      </c>
      <c r="D4574" t="s">
        <v>67</v>
      </c>
      <c r="E4574" t="str">
        <f t="shared" si="233"/>
        <v>020</v>
      </c>
      <c r="F4574" t="s">
        <v>4506</v>
      </c>
      <c r="G4574" t="str">
        <f>"0887"</f>
        <v>0887</v>
      </c>
      <c r="H4574" t="str">
        <f>"0000"</f>
        <v>0000</v>
      </c>
      <c r="I4574" t="s">
        <v>69</v>
      </c>
      <c r="J4574">
        <v>0</v>
      </c>
      <c r="K4574">
        <v>1</v>
      </c>
      <c r="L4574">
        <v>2</v>
      </c>
      <c r="M4574">
        <v>199</v>
      </c>
      <c r="N4574">
        <v>546</v>
      </c>
      <c r="O4574">
        <v>5</v>
      </c>
      <c r="P4574">
        <v>547</v>
      </c>
      <c r="Q4574">
        <v>14</v>
      </c>
      <c r="R4574">
        <v>77</v>
      </c>
      <c r="S4574">
        <v>5</v>
      </c>
      <c r="T4574">
        <v>5</v>
      </c>
      <c r="U4574">
        <v>7</v>
      </c>
      <c r="V4574">
        <v>17</v>
      </c>
      <c r="W4574">
        <v>3</v>
      </c>
      <c r="X4574">
        <v>327</v>
      </c>
      <c r="Y4574">
        <v>63</v>
      </c>
      <c r="Z4574">
        <v>4</v>
      </c>
      <c r="AA4574">
        <v>5</v>
      </c>
      <c r="AB4574">
        <v>3</v>
      </c>
      <c r="AD4574">
        <v>1</v>
      </c>
      <c r="AE4574">
        <v>0</v>
      </c>
      <c r="AF4574">
        <v>1</v>
      </c>
      <c r="AG4574">
        <v>0</v>
      </c>
      <c r="AH4574">
        <v>0</v>
      </c>
      <c r="AI4574">
        <v>0</v>
      </c>
      <c r="AJ4574">
        <v>15</v>
      </c>
      <c r="AK4574">
        <v>547</v>
      </c>
      <c r="AL4574">
        <v>547</v>
      </c>
      <c r="AM4574">
        <v>700</v>
      </c>
      <c r="AN4574">
        <v>46</v>
      </c>
      <c r="AP4574">
        <v>1</v>
      </c>
      <c r="AR4574" t="s">
        <v>4675</v>
      </c>
      <c r="AS4574" s="1">
        <v>44353.913715277777</v>
      </c>
      <c r="AT4574" s="1">
        <v>44353.915092592593</v>
      </c>
      <c r="AU4574" s="1">
        <v>44353.916041666664</v>
      </c>
      <c r="AV4574" t="s">
        <v>269</v>
      </c>
      <c r="AW4574" t="s">
        <v>270</v>
      </c>
      <c r="AX4574" t="s">
        <v>73</v>
      </c>
    </row>
    <row r="4575" spans="1:50" x14ac:dyDescent="0.3">
      <c r="A4575" t="str">
        <f>"200887E0100"</f>
        <v>200887E0100</v>
      </c>
      <c r="B4575" t="str">
        <f>"200887E01002"</f>
        <v>200887E01002</v>
      </c>
      <c r="C4575" t="str">
        <f t="shared" si="234"/>
        <v>20</v>
      </c>
      <c r="D4575" t="s">
        <v>67</v>
      </c>
      <c r="E4575" t="str">
        <f t="shared" si="233"/>
        <v>020</v>
      </c>
      <c r="F4575" t="s">
        <v>4506</v>
      </c>
      <c r="G4575" t="str">
        <f>"0887"</f>
        <v>0887</v>
      </c>
      <c r="H4575" t="str">
        <f>"0001"</f>
        <v>0001</v>
      </c>
      <c r="I4575" t="s">
        <v>109</v>
      </c>
      <c r="J4575">
        <v>0</v>
      </c>
      <c r="K4575">
        <v>1</v>
      </c>
      <c r="L4575">
        <v>2</v>
      </c>
      <c r="M4575">
        <v>125</v>
      </c>
      <c r="N4575">
        <v>316</v>
      </c>
      <c r="O4575">
        <v>9</v>
      </c>
      <c r="P4575">
        <v>316</v>
      </c>
      <c r="Q4575">
        <v>12</v>
      </c>
      <c r="R4575">
        <v>41</v>
      </c>
      <c r="S4575">
        <v>5</v>
      </c>
      <c r="T4575">
        <v>0</v>
      </c>
      <c r="U4575">
        <v>8</v>
      </c>
      <c r="V4575">
        <v>19</v>
      </c>
      <c r="W4575">
        <v>0</v>
      </c>
      <c r="X4575">
        <v>160</v>
      </c>
      <c r="Y4575">
        <v>39</v>
      </c>
      <c r="Z4575">
        <v>0</v>
      </c>
      <c r="AA4575">
        <v>19</v>
      </c>
      <c r="AB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13</v>
      </c>
      <c r="AK4575">
        <v>316</v>
      </c>
      <c r="AL4575">
        <v>316</v>
      </c>
      <c r="AM4575">
        <v>395</v>
      </c>
      <c r="AN4575">
        <v>46</v>
      </c>
      <c r="AP4575">
        <v>1</v>
      </c>
      <c r="AR4575" t="s">
        <v>4676</v>
      </c>
      <c r="AS4575" s="1">
        <v>44354.322916666664</v>
      </c>
      <c r="AT4575" s="1">
        <v>44354.324930555558</v>
      </c>
      <c r="AU4575" s="1">
        <v>44354.32571759259</v>
      </c>
      <c r="AV4575" t="s">
        <v>71</v>
      </c>
      <c r="AW4575" t="s">
        <v>72</v>
      </c>
      <c r="AX4575" t="s">
        <v>73</v>
      </c>
    </row>
    <row r="4576" spans="1:50" x14ac:dyDescent="0.3">
      <c r="A4576" t="str">
        <f>"200887E0101"</f>
        <v>200887E0101</v>
      </c>
      <c r="B4576" t="str">
        <f>"200887E01012"</f>
        <v>200887E01012</v>
      </c>
      <c r="C4576" t="str">
        <f t="shared" si="234"/>
        <v>20</v>
      </c>
      <c r="D4576" t="s">
        <v>67</v>
      </c>
      <c r="E4576" t="str">
        <f t="shared" si="233"/>
        <v>020</v>
      </c>
      <c r="F4576" t="s">
        <v>4506</v>
      </c>
      <c r="G4576" t="str">
        <f>"0887"</f>
        <v>0887</v>
      </c>
      <c r="H4576" t="str">
        <f>"0001"</f>
        <v>0001</v>
      </c>
      <c r="I4576" t="s">
        <v>109</v>
      </c>
      <c r="J4576">
        <v>1</v>
      </c>
      <c r="K4576">
        <v>1</v>
      </c>
      <c r="L4576">
        <v>2</v>
      </c>
      <c r="M4576">
        <v>127</v>
      </c>
      <c r="N4576">
        <v>314</v>
      </c>
      <c r="O4576">
        <v>9</v>
      </c>
      <c r="P4576" t="s">
        <v>80</v>
      </c>
      <c r="Q4576">
        <v>24</v>
      </c>
      <c r="R4576">
        <v>36</v>
      </c>
      <c r="S4576">
        <v>1</v>
      </c>
      <c r="T4576">
        <v>0</v>
      </c>
      <c r="U4576">
        <v>3</v>
      </c>
      <c r="V4576">
        <v>7</v>
      </c>
      <c r="W4576">
        <v>7</v>
      </c>
      <c r="X4576">
        <v>163</v>
      </c>
      <c r="Y4576">
        <v>42</v>
      </c>
      <c r="Z4576">
        <v>1</v>
      </c>
      <c r="AA4576">
        <v>12</v>
      </c>
      <c r="AB4576">
        <v>1</v>
      </c>
      <c r="AD4576">
        <v>0</v>
      </c>
      <c r="AE4576">
        <v>1</v>
      </c>
      <c r="AF4576">
        <v>0</v>
      </c>
      <c r="AG4576">
        <v>0</v>
      </c>
      <c r="AH4576">
        <v>0</v>
      </c>
      <c r="AI4576">
        <v>0</v>
      </c>
      <c r="AJ4576">
        <v>16</v>
      </c>
      <c r="AK4576">
        <v>313</v>
      </c>
      <c r="AL4576">
        <v>314</v>
      </c>
      <c r="AM4576">
        <v>395</v>
      </c>
      <c r="AN4576">
        <v>46</v>
      </c>
      <c r="AP4576">
        <v>1</v>
      </c>
      <c r="AR4576" t="s">
        <v>4677</v>
      </c>
      <c r="AS4576" s="1">
        <v>44354.208333333336</v>
      </c>
      <c r="AT4576" s="1">
        <v>44354.215810185182</v>
      </c>
      <c r="AU4576" s="1">
        <v>44354.216284722221</v>
      </c>
      <c r="AV4576" t="s">
        <v>71</v>
      </c>
      <c r="AW4576" t="s">
        <v>72</v>
      </c>
      <c r="AX4576" t="s">
        <v>73</v>
      </c>
    </row>
    <row r="4577" spans="1:50" x14ac:dyDescent="0.3">
      <c r="A4577" t="str">
        <f>"200888B0000"</f>
        <v>200888B0000</v>
      </c>
      <c r="B4577" t="str">
        <f>"200888B00002"</f>
        <v>200888B00002</v>
      </c>
      <c r="C4577" t="str">
        <f t="shared" si="234"/>
        <v>20</v>
      </c>
      <c r="D4577" t="s">
        <v>67</v>
      </c>
      <c r="E4577" t="str">
        <f t="shared" si="233"/>
        <v>020</v>
      </c>
      <c r="F4577" t="s">
        <v>4506</v>
      </c>
      <c r="G4577" t="str">
        <f>"0888"</f>
        <v>0888</v>
      </c>
      <c r="H4577" t="str">
        <f>"0000"</f>
        <v>0000</v>
      </c>
      <c r="I4577" t="s">
        <v>69</v>
      </c>
      <c r="J4577">
        <v>0</v>
      </c>
      <c r="K4577">
        <v>1</v>
      </c>
      <c r="L4577">
        <v>2</v>
      </c>
      <c r="M4577">
        <v>64</v>
      </c>
      <c r="N4577">
        <v>191</v>
      </c>
      <c r="O4577">
        <v>9</v>
      </c>
      <c r="P4577">
        <v>191</v>
      </c>
      <c r="Q4577">
        <v>3</v>
      </c>
      <c r="R4577">
        <v>16</v>
      </c>
      <c r="S4577">
        <v>1</v>
      </c>
      <c r="T4577">
        <v>1</v>
      </c>
      <c r="U4577">
        <v>2</v>
      </c>
      <c r="V4577">
        <v>14</v>
      </c>
      <c r="W4577">
        <v>0</v>
      </c>
      <c r="X4577">
        <v>124</v>
      </c>
      <c r="Y4577">
        <v>16</v>
      </c>
      <c r="Z4577">
        <v>1</v>
      </c>
      <c r="AA4577">
        <v>5</v>
      </c>
      <c r="AB4577">
        <v>0</v>
      </c>
      <c r="AD4577" t="s">
        <v>77</v>
      </c>
      <c r="AE4577" t="s">
        <v>77</v>
      </c>
      <c r="AF4577" t="s">
        <v>77</v>
      </c>
      <c r="AG4577" t="s">
        <v>77</v>
      </c>
      <c r="AH4577" t="s">
        <v>77</v>
      </c>
      <c r="AI4577" t="s">
        <v>77</v>
      </c>
      <c r="AJ4577" t="s">
        <v>77</v>
      </c>
      <c r="AK4577">
        <v>191</v>
      </c>
      <c r="AL4577">
        <v>183</v>
      </c>
      <c r="AM4577">
        <v>209</v>
      </c>
      <c r="AN4577">
        <v>46</v>
      </c>
      <c r="AO4577" t="s">
        <v>78</v>
      </c>
      <c r="AP4577">
        <v>1</v>
      </c>
      <c r="AR4577" t="s">
        <v>4678</v>
      </c>
      <c r="AS4577" s="1">
        <v>44354.206944444442</v>
      </c>
      <c r="AT4577" s="1">
        <v>44354.212002314816</v>
      </c>
      <c r="AU4577" s="1">
        <v>44354.212592592594</v>
      </c>
      <c r="AV4577" t="s">
        <v>71</v>
      </c>
      <c r="AW4577" t="s">
        <v>72</v>
      </c>
      <c r="AX4577" t="s">
        <v>73</v>
      </c>
    </row>
    <row r="4578" spans="1:50" x14ac:dyDescent="0.3">
      <c r="A4578" t="str">
        <f>"200889B0000"</f>
        <v>200889B0000</v>
      </c>
      <c r="B4578" t="str">
        <f>"200889B00002"</f>
        <v>200889B00002</v>
      </c>
      <c r="C4578" t="str">
        <f t="shared" si="234"/>
        <v>20</v>
      </c>
      <c r="D4578" t="s">
        <v>67</v>
      </c>
      <c r="E4578" t="str">
        <f t="shared" si="233"/>
        <v>020</v>
      </c>
      <c r="F4578" t="s">
        <v>4506</v>
      </c>
      <c r="G4578" t="str">
        <f>"0889"</f>
        <v>0889</v>
      </c>
      <c r="H4578" t="str">
        <f>"0000"</f>
        <v>0000</v>
      </c>
      <c r="I4578" t="s">
        <v>69</v>
      </c>
      <c r="J4578">
        <v>0</v>
      </c>
      <c r="K4578">
        <v>1</v>
      </c>
      <c r="L4578">
        <v>2</v>
      </c>
      <c r="M4578">
        <v>137</v>
      </c>
      <c r="N4578">
        <v>362</v>
      </c>
      <c r="O4578">
        <v>8</v>
      </c>
      <c r="P4578">
        <v>362</v>
      </c>
      <c r="Q4578">
        <v>1</v>
      </c>
      <c r="R4578">
        <v>61</v>
      </c>
      <c r="S4578">
        <v>2</v>
      </c>
      <c r="T4578">
        <v>0</v>
      </c>
      <c r="U4578">
        <v>4</v>
      </c>
      <c r="V4578">
        <v>51</v>
      </c>
      <c r="W4578">
        <v>1</v>
      </c>
      <c r="X4578">
        <v>227</v>
      </c>
      <c r="Y4578">
        <v>5</v>
      </c>
      <c r="Z4578">
        <v>1</v>
      </c>
      <c r="AA4578">
        <v>2</v>
      </c>
      <c r="AB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7</v>
      </c>
      <c r="AK4578">
        <v>362</v>
      </c>
      <c r="AL4578">
        <v>362</v>
      </c>
      <c r="AM4578">
        <v>453</v>
      </c>
      <c r="AN4578">
        <v>46</v>
      </c>
      <c r="AP4578">
        <v>1</v>
      </c>
      <c r="AR4578" t="s">
        <v>4679</v>
      </c>
      <c r="AS4578" s="1">
        <v>44353.914687500001</v>
      </c>
      <c r="AT4578" s="1">
        <v>44354.018009259256</v>
      </c>
      <c r="AU4578" s="1">
        <v>44354.018946759257</v>
      </c>
      <c r="AV4578" t="s">
        <v>269</v>
      </c>
      <c r="AW4578" t="s">
        <v>270</v>
      </c>
      <c r="AX4578" t="s">
        <v>73</v>
      </c>
    </row>
    <row r="4579" spans="1:50" x14ac:dyDescent="0.3">
      <c r="A4579" t="str">
        <f>"200889C0100"</f>
        <v>200889C0100</v>
      </c>
      <c r="B4579" t="str">
        <f>"200889C01002"</f>
        <v>200889C01002</v>
      </c>
      <c r="C4579" t="str">
        <f t="shared" si="234"/>
        <v>20</v>
      </c>
      <c r="D4579" t="s">
        <v>67</v>
      </c>
      <c r="E4579" t="str">
        <f t="shared" si="233"/>
        <v>020</v>
      </c>
      <c r="F4579" t="s">
        <v>4506</v>
      </c>
      <c r="G4579" t="str">
        <f>"0889"</f>
        <v>0889</v>
      </c>
      <c r="H4579" t="str">
        <f>"0001"</f>
        <v>0001</v>
      </c>
      <c r="I4579" t="s">
        <v>75</v>
      </c>
      <c r="J4579">
        <v>0</v>
      </c>
      <c r="K4579">
        <v>1</v>
      </c>
      <c r="L4579">
        <v>2</v>
      </c>
      <c r="M4579">
        <v>112</v>
      </c>
      <c r="N4579">
        <v>386</v>
      </c>
      <c r="O4579">
        <v>9</v>
      </c>
      <c r="P4579" t="s">
        <v>80</v>
      </c>
      <c r="Q4579">
        <v>3</v>
      </c>
      <c r="R4579">
        <v>81</v>
      </c>
      <c r="S4579">
        <v>5</v>
      </c>
      <c r="T4579">
        <v>2</v>
      </c>
      <c r="U4579">
        <v>6</v>
      </c>
      <c r="V4579">
        <v>40</v>
      </c>
      <c r="W4579">
        <v>0</v>
      </c>
      <c r="X4579">
        <v>220</v>
      </c>
      <c r="Y4579">
        <v>15</v>
      </c>
      <c r="Z4579">
        <v>1</v>
      </c>
      <c r="AA4579">
        <v>3</v>
      </c>
      <c r="AB4579">
        <v>2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9</v>
      </c>
      <c r="AK4579">
        <v>387</v>
      </c>
      <c r="AL4579">
        <v>387</v>
      </c>
      <c r="AM4579">
        <v>453</v>
      </c>
      <c r="AN4579">
        <v>46</v>
      </c>
      <c r="AP4579">
        <v>1</v>
      </c>
      <c r="AR4579" t="s">
        <v>4680</v>
      </c>
      <c r="AS4579" s="1">
        <v>44353.919745370367</v>
      </c>
      <c r="AT4579" s="1">
        <v>44354.017893518518</v>
      </c>
      <c r="AU4579" s="1">
        <v>44354.01835648148</v>
      </c>
      <c r="AV4579" t="s">
        <v>269</v>
      </c>
      <c r="AW4579" t="s">
        <v>270</v>
      </c>
      <c r="AX4579" t="s">
        <v>73</v>
      </c>
    </row>
    <row r="4580" spans="1:50" x14ac:dyDescent="0.3">
      <c r="A4580" t="str">
        <f>"200890B0000"</f>
        <v>200890B0000</v>
      </c>
      <c r="B4580" t="str">
        <f>"200890B00002"</f>
        <v>200890B00002</v>
      </c>
      <c r="C4580" t="str">
        <f t="shared" si="234"/>
        <v>20</v>
      </c>
      <c r="D4580" t="s">
        <v>67</v>
      </c>
      <c r="E4580" t="str">
        <f t="shared" si="233"/>
        <v>020</v>
      </c>
      <c r="F4580" t="s">
        <v>4506</v>
      </c>
      <c r="G4580" t="str">
        <f>"0890"</f>
        <v>0890</v>
      </c>
      <c r="H4580" t="str">
        <f>"0000"</f>
        <v>0000</v>
      </c>
      <c r="I4580" t="s">
        <v>69</v>
      </c>
      <c r="J4580">
        <v>0</v>
      </c>
      <c r="K4580">
        <v>1</v>
      </c>
      <c r="L4580">
        <v>2</v>
      </c>
      <c r="M4580">
        <v>72</v>
      </c>
      <c r="N4580">
        <v>54</v>
      </c>
      <c r="O4580">
        <v>4</v>
      </c>
      <c r="P4580">
        <v>54</v>
      </c>
      <c r="Q4580">
        <v>1</v>
      </c>
      <c r="R4580">
        <v>5</v>
      </c>
      <c r="S4580">
        <v>1</v>
      </c>
      <c r="T4580" t="s">
        <v>77</v>
      </c>
      <c r="U4580" t="s">
        <v>77</v>
      </c>
      <c r="V4580">
        <v>1</v>
      </c>
      <c r="W4580">
        <v>1</v>
      </c>
      <c r="X4580">
        <v>38</v>
      </c>
      <c r="Y4580">
        <v>2</v>
      </c>
      <c r="Z4580">
        <v>1</v>
      </c>
      <c r="AA4580">
        <v>1</v>
      </c>
      <c r="AB4580" t="s">
        <v>77</v>
      </c>
      <c r="AD4580" t="s">
        <v>77</v>
      </c>
      <c r="AE4580" t="s">
        <v>77</v>
      </c>
      <c r="AF4580" t="s">
        <v>77</v>
      </c>
      <c r="AG4580" t="s">
        <v>77</v>
      </c>
      <c r="AH4580" t="s">
        <v>77</v>
      </c>
      <c r="AI4580" t="s">
        <v>77</v>
      </c>
      <c r="AJ4580">
        <v>3</v>
      </c>
      <c r="AK4580">
        <v>54</v>
      </c>
      <c r="AL4580">
        <v>54</v>
      </c>
      <c r="AM4580">
        <v>80</v>
      </c>
      <c r="AN4580">
        <v>46</v>
      </c>
      <c r="AO4580" t="s">
        <v>78</v>
      </c>
      <c r="AP4580">
        <v>1</v>
      </c>
      <c r="AR4580" t="s">
        <v>4681</v>
      </c>
      <c r="AS4580" s="1">
        <v>44354.203472222223</v>
      </c>
      <c r="AT4580" s="1">
        <v>44354.208425925928</v>
      </c>
      <c r="AU4580" s="1">
        <v>44354.209305555552</v>
      </c>
      <c r="AV4580" t="s">
        <v>71</v>
      </c>
      <c r="AW4580" t="s">
        <v>72</v>
      </c>
      <c r="AX4580" t="s">
        <v>73</v>
      </c>
    </row>
    <row r="4581" spans="1:50" x14ac:dyDescent="0.3">
      <c r="A4581" t="str">
        <f>"202394B0000"</f>
        <v>202394B0000</v>
      </c>
      <c r="B4581" t="str">
        <f>"202394B00002"</f>
        <v>202394B00002</v>
      </c>
      <c r="C4581" t="str">
        <f t="shared" si="234"/>
        <v>20</v>
      </c>
      <c r="D4581" t="s">
        <v>67</v>
      </c>
      <c r="E4581" t="str">
        <f t="shared" si="233"/>
        <v>020</v>
      </c>
      <c r="F4581" t="s">
        <v>4506</v>
      </c>
      <c r="G4581" t="str">
        <f>"2394"</f>
        <v>2394</v>
      </c>
      <c r="H4581" t="str">
        <f>"0000"</f>
        <v>0000</v>
      </c>
      <c r="I4581" t="s">
        <v>69</v>
      </c>
      <c r="J4581">
        <v>0</v>
      </c>
      <c r="K4581">
        <v>1</v>
      </c>
      <c r="L4581">
        <v>2</v>
      </c>
      <c r="M4581">
        <v>215</v>
      </c>
      <c r="N4581">
        <v>532</v>
      </c>
      <c r="O4581">
        <v>2</v>
      </c>
      <c r="P4581">
        <v>532</v>
      </c>
      <c r="Q4581">
        <v>10</v>
      </c>
      <c r="R4581">
        <v>110</v>
      </c>
      <c r="S4581">
        <v>2</v>
      </c>
      <c r="T4581">
        <v>7</v>
      </c>
      <c r="U4581">
        <v>7</v>
      </c>
      <c r="V4581">
        <v>64</v>
      </c>
      <c r="W4581">
        <v>0</v>
      </c>
      <c r="X4581">
        <v>271</v>
      </c>
      <c r="Y4581">
        <v>13</v>
      </c>
      <c r="Z4581">
        <v>11</v>
      </c>
      <c r="AA4581">
        <v>1</v>
      </c>
      <c r="AB4581">
        <v>28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8</v>
      </c>
      <c r="AK4581">
        <v>532</v>
      </c>
      <c r="AL4581">
        <v>532</v>
      </c>
      <c r="AM4581">
        <v>703</v>
      </c>
      <c r="AN4581">
        <v>44</v>
      </c>
      <c r="AP4581">
        <v>1</v>
      </c>
      <c r="AR4581" t="s">
        <v>4682</v>
      </c>
      <c r="AS4581" s="1">
        <v>44354.126388888886</v>
      </c>
      <c r="AT4581" s="1">
        <v>44354.128807870373</v>
      </c>
      <c r="AU4581" s="1">
        <v>44354.12939814815</v>
      </c>
      <c r="AV4581" t="s">
        <v>71</v>
      </c>
      <c r="AW4581" t="s">
        <v>72</v>
      </c>
      <c r="AX4581" t="s">
        <v>73</v>
      </c>
    </row>
    <row r="4582" spans="1:50" x14ac:dyDescent="0.3">
      <c r="A4582" t="str">
        <f>"202394C0100"</f>
        <v>202394C0100</v>
      </c>
      <c r="B4582" t="str">
        <f>"202394C01002"</f>
        <v>202394C01002</v>
      </c>
      <c r="C4582" t="str">
        <f t="shared" si="234"/>
        <v>20</v>
      </c>
      <c r="D4582" t="s">
        <v>67</v>
      </c>
      <c r="E4582" t="str">
        <f t="shared" si="233"/>
        <v>020</v>
      </c>
      <c r="F4582" t="s">
        <v>4506</v>
      </c>
      <c r="G4582" t="str">
        <f>"2394"</f>
        <v>2394</v>
      </c>
      <c r="H4582" t="str">
        <f>"0001"</f>
        <v>0001</v>
      </c>
      <c r="I4582" t="s">
        <v>75</v>
      </c>
      <c r="J4582">
        <v>0</v>
      </c>
      <c r="K4582">
        <v>1</v>
      </c>
      <c r="L4582">
        <v>2</v>
      </c>
      <c r="AM4582">
        <v>703</v>
      </c>
      <c r="AN4582">
        <v>44</v>
      </c>
      <c r="AO4582" t="s">
        <v>143</v>
      </c>
      <c r="AP4582">
        <v>0</v>
      </c>
      <c r="AR4582" t="s">
        <v>4683</v>
      </c>
      <c r="AS4582" s="1">
        <v>44354.417361111111</v>
      </c>
      <c r="AT4582" s="1">
        <v>44354.421423611115</v>
      </c>
      <c r="AU4582" s="1">
        <v>44354.421423611115</v>
      </c>
      <c r="AV4582" t="s">
        <v>71</v>
      </c>
      <c r="AW4582" t="s">
        <v>72</v>
      </c>
      <c r="AX4582" t="s">
        <v>73</v>
      </c>
    </row>
    <row r="4583" spans="1:50" x14ac:dyDescent="0.3">
      <c r="A4583" t="str">
        <f>"202395B0000"</f>
        <v>202395B0000</v>
      </c>
      <c r="B4583" t="str">
        <f>"202395B00002"</f>
        <v>202395B00002</v>
      </c>
      <c r="C4583" t="str">
        <f t="shared" si="234"/>
        <v>20</v>
      </c>
      <c r="D4583" t="s">
        <v>67</v>
      </c>
      <c r="E4583" t="str">
        <f t="shared" si="233"/>
        <v>020</v>
      </c>
      <c r="F4583" t="s">
        <v>4506</v>
      </c>
      <c r="G4583" t="str">
        <f>"2395"</f>
        <v>2395</v>
      </c>
      <c r="H4583" t="str">
        <f>"0000"</f>
        <v>0000</v>
      </c>
      <c r="I4583" t="s">
        <v>69</v>
      </c>
      <c r="J4583">
        <v>0</v>
      </c>
      <c r="K4583">
        <v>1</v>
      </c>
      <c r="L4583">
        <v>2</v>
      </c>
      <c r="M4583">
        <v>151</v>
      </c>
      <c r="N4583">
        <v>347</v>
      </c>
      <c r="O4583">
        <v>1</v>
      </c>
      <c r="P4583">
        <v>347</v>
      </c>
      <c r="Q4583">
        <v>8</v>
      </c>
      <c r="R4583">
        <v>80</v>
      </c>
      <c r="S4583">
        <v>1</v>
      </c>
      <c r="T4583">
        <v>1</v>
      </c>
      <c r="U4583">
        <v>8</v>
      </c>
      <c r="V4583">
        <v>20</v>
      </c>
      <c r="W4583">
        <v>0</v>
      </c>
      <c r="X4583">
        <v>182</v>
      </c>
      <c r="Y4583">
        <v>10</v>
      </c>
      <c r="Z4583">
        <v>9</v>
      </c>
      <c r="AA4583">
        <v>0</v>
      </c>
      <c r="AB4583">
        <v>12</v>
      </c>
      <c r="AD4583">
        <v>1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15</v>
      </c>
      <c r="AK4583">
        <v>347</v>
      </c>
      <c r="AL4583">
        <v>347</v>
      </c>
      <c r="AM4583">
        <v>454</v>
      </c>
      <c r="AN4583">
        <v>44</v>
      </c>
      <c r="AP4583">
        <v>1</v>
      </c>
      <c r="AR4583" t="s">
        <v>4684</v>
      </c>
      <c r="AS4583" s="1">
        <v>44354.132638888892</v>
      </c>
      <c r="AT4583" s="1">
        <v>44354.135451388887</v>
      </c>
      <c r="AU4583" s="1">
        <v>44354.136562500003</v>
      </c>
      <c r="AV4583" t="s">
        <v>71</v>
      </c>
      <c r="AW4583" t="s">
        <v>72</v>
      </c>
      <c r="AX4583" t="s">
        <v>73</v>
      </c>
    </row>
    <row r="4584" spans="1:50" x14ac:dyDescent="0.3">
      <c r="A4584" t="str">
        <f>"202395C0100"</f>
        <v>202395C0100</v>
      </c>
      <c r="B4584" t="str">
        <f>"202395C01002"</f>
        <v>202395C01002</v>
      </c>
      <c r="C4584" t="str">
        <f t="shared" si="234"/>
        <v>20</v>
      </c>
      <c r="D4584" t="s">
        <v>67</v>
      </c>
      <c r="E4584" t="str">
        <f t="shared" si="233"/>
        <v>020</v>
      </c>
      <c r="F4584" t="s">
        <v>4506</v>
      </c>
      <c r="G4584" t="str">
        <f>"2395"</f>
        <v>2395</v>
      </c>
      <c r="H4584" t="str">
        <f>"0001"</f>
        <v>0001</v>
      </c>
      <c r="I4584" t="s">
        <v>75</v>
      </c>
      <c r="J4584">
        <v>0</v>
      </c>
      <c r="K4584">
        <v>1</v>
      </c>
      <c r="L4584">
        <v>2</v>
      </c>
      <c r="M4584">
        <v>144</v>
      </c>
      <c r="N4584">
        <v>353</v>
      </c>
      <c r="O4584">
        <v>5</v>
      </c>
      <c r="P4584">
        <v>353</v>
      </c>
      <c r="Q4584">
        <v>6</v>
      </c>
      <c r="R4584">
        <v>70</v>
      </c>
      <c r="S4584">
        <v>4</v>
      </c>
      <c r="T4584">
        <v>2</v>
      </c>
      <c r="U4584">
        <v>7</v>
      </c>
      <c r="V4584">
        <v>27</v>
      </c>
      <c r="W4584">
        <v>0</v>
      </c>
      <c r="X4584">
        <v>188</v>
      </c>
      <c r="Y4584">
        <v>12</v>
      </c>
      <c r="Z4584">
        <v>9</v>
      </c>
      <c r="AA4584">
        <v>1</v>
      </c>
      <c r="AB4584">
        <v>14</v>
      </c>
      <c r="AD4584" t="s">
        <v>77</v>
      </c>
      <c r="AE4584" t="s">
        <v>77</v>
      </c>
      <c r="AF4584" t="s">
        <v>77</v>
      </c>
      <c r="AG4584" t="s">
        <v>77</v>
      </c>
      <c r="AH4584" t="s">
        <v>77</v>
      </c>
      <c r="AI4584">
        <v>11</v>
      </c>
      <c r="AJ4584" t="s">
        <v>77</v>
      </c>
      <c r="AK4584">
        <v>353</v>
      </c>
      <c r="AL4584">
        <v>351</v>
      </c>
      <c r="AM4584">
        <v>453</v>
      </c>
      <c r="AN4584">
        <v>44</v>
      </c>
      <c r="AO4584" t="s">
        <v>78</v>
      </c>
      <c r="AP4584">
        <v>1</v>
      </c>
      <c r="AR4584" t="s">
        <v>4685</v>
      </c>
      <c r="AS4584" s="1">
        <v>44354.132638888892</v>
      </c>
      <c r="AT4584" s="1">
        <v>44354.135370370372</v>
      </c>
      <c r="AU4584" s="1">
        <v>44354.135995370372</v>
      </c>
      <c r="AV4584" t="s">
        <v>71</v>
      </c>
      <c r="AW4584" t="s">
        <v>72</v>
      </c>
      <c r="AX4584" t="s">
        <v>73</v>
      </c>
    </row>
    <row r="4585" spans="1:50" x14ac:dyDescent="0.3">
      <c r="A4585" t="str">
        <f>"202396B0000"</f>
        <v>202396B0000</v>
      </c>
      <c r="B4585" t="str">
        <f>"202396B00002"</f>
        <v>202396B00002</v>
      </c>
      <c r="C4585" t="str">
        <f t="shared" si="234"/>
        <v>20</v>
      </c>
      <c r="D4585" t="s">
        <v>67</v>
      </c>
      <c r="E4585" t="str">
        <f t="shared" si="233"/>
        <v>020</v>
      </c>
      <c r="F4585" t="s">
        <v>4506</v>
      </c>
      <c r="G4585" t="str">
        <f>"2396"</f>
        <v>2396</v>
      </c>
      <c r="H4585" t="str">
        <f>"0000"</f>
        <v>0000</v>
      </c>
      <c r="I4585" t="s">
        <v>69</v>
      </c>
      <c r="J4585">
        <v>0</v>
      </c>
      <c r="K4585">
        <v>1</v>
      </c>
      <c r="L4585">
        <v>2</v>
      </c>
      <c r="M4585">
        <v>123</v>
      </c>
      <c r="N4585">
        <v>306</v>
      </c>
      <c r="O4585">
        <v>3</v>
      </c>
      <c r="P4585">
        <v>306</v>
      </c>
      <c r="Q4585">
        <v>0</v>
      </c>
      <c r="R4585">
        <v>69</v>
      </c>
      <c r="S4585">
        <v>2</v>
      </c>
      <c r="T4585">
        <v>4</v>
      </c>
      <c r="U4585">
        <v>3</v>
      </c>
      <c r="V4585">
        <v>21</v>
      </c>
      <c r="W4585">
        <v>0</v>
      </c>
      <c r="X4585">
        <v>168</v>
      </c>
      <c r="Y4585">
        <v>11</v>
      </c>
      <c r="Z4585">
        <v>1</v>
      </c>
      <c r="AA4585">
        <v>2</v>
      </c>
      <c r="AB4585">
        <v>14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11</v>
      </c>
      <c r="AK4585">
        <v>306</v>
      </c>
      <c r="AL4585">
        <v>306</v>
      </c>
      <c r="AM4585">
        <v>385</v>
      </c>
      <c r="AN4585">
        <v>44</v>
      </c>
      <c r="AP4585">
        <v>1</v>
      </c>
      <c r="AR4585" t="s">
        <v>4686</v>
      </c>
      <c r="AS4585" s="1">
        <v>44354.24722222222</v>
      </c>
      <c r="AT4585" s="1">
        <v>44354.250960648147</v>
      </c>
      <c r="AU4585" s="1">
        <v>44354.251585648148</v>
      </c>
      <c r="AV4585" t="s">
        <v>71</v>
      </c>
      <c r="AW4585" t="s">
        <v>72</v>
      </c>
      <c r="AX4585" t="s">
        <v>73</v>
      </c>
    </row>
    <row r="4586" spans="1:50" x14ac:dyDescent="0.3">
      <c r="A4586" t="str">
        <f>"202396C0100"</f>
        <v>202396C0100</v>
      </c>
      <c r="B4586" t="str">
        <f>"202396C01002"</f>
        <v>202396C01002</v>
      </c>
      <c r="C4586" t="str">
        <f t="shared" si="234"/>
        <v>20</v>
      </c>
      <c r="D4586" t="s">
        <v>67</v>
      </c>
      <c r="E4586" t="str">
        <f t="shared" si="233"/>
        <v>020</v>
      </c>
      <c r="F4586" t="s">
        <v>4506</v>
      </c>
      <c r="G4586" t="str">
        <f>"2396"</f>
        <v>2396</v>
      </c>
      <c r="H4586" t="str">
        <f>"0001"</f>
        <v>0001</v>
      </c>
      <c r="I4586" t="s">
        <v>75</v>
      </c>
      <c r="J4586">
        <v>0</v>
      </c>
      <c r="K4586">
        <v>1</v>
      </c>
      <c r="L4586">
        <v>2</v>
      </c>
      <c r="M4586">
        <v>108</v>
      </c>
      <c r="N4586">
        <v>321</v>
      </c>
      <c r="O4586">
        <v>2</v>
      </c>
      <c r="P4586">
        <v>321</v>
      </c>
      <c r="Q4586">
        <v>1</v>
      </c>
      <c r="R4586">
        <v>75</v>
      </c>
      <c r="S4586">
        <v>2</v>
      </c>
      <c r="T4586">
        <v>2</v>
      </c>
      <c r="U4586">
        <v>3</v>
      </c>
      <c r="V4586">
        <v>19</v>
      </c>
      <c r="W4586">
        <v>0</v>
      </c>
      <c r="X4586">
        <v>180</v>
      </c>
      <c r="Y4586">
        <v>12</v>
      </c>
      <c r="Z4586">
        <v>9</v>
      </c>
      <c r="AA4586">
        <v>0</v>
      </c>
      <c r="AB4586">
        <v>14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4</v>
      </c>
      <c r="AK4586">
        <v>321</v>
      </c>
      <c r="AL4586">
        <v>321</v>
      </c>
      <c r="AM4586">
        <v>385</v>
      </c>
      <c r="AN4586">
        <v>44</v>
      </c>
      <c r="AP4586">
        <v>1</v>
      </c>
      <c r="AR4586" t="s">
        <v>4687</v>
      </c>
      <c r="AS4586" s="1">
        <v>44354.125694444447</v>
      </c>
      <c r="AT4586" s="1">
        <v>44354.12872685185</v>
      </c>
      <c r="AU4586" s="1">
        <v>44354.131458333337</v>
      </c>
      <c r="AV4586" t="s">
        <v>71</v>
      </c>
      <c r="AW4586" t="s">
        <v>72</v>
      </c>
      <c r="AX4586" t="s">
        <v>73</v>
      </c>
    </row>
    <row r="4587" spans="1:50" x14ac:dyDescent="0.3">
      <c r="A4587" t="str">
        <f>"202397B0000"</f>
        <v>202397B0000</v>
      </c>
      <c r="B4587" t="str">
        <f>"202397B00002"</f>
        <v>202397B00002</v>
      </c>
      <c r="C4587" t="str">
        <f t="shared" si="234"/>
        <v>20</v>
      </c>
      <c r="D4587" t="s">
        <v>67</v>
      </c>
      <c r="E4587" t="str">
        <f t="shared" si="233"/>
        <v>020</v>
      </c>
      <c r="F4587" t="s">
        <v>4506</v>
      </c>
      <c r="G4587" t="str">
        <f>"2397"</f>
        <v>2397</v>
      </c>
      <c r="H4587" t="str">
        <f>"0000"</f>
        <v>0000</v>
      </c>
      <c r="I4587" t="s">
        <v>69</v>
      </c>
      <c r="J4587">
        <v>0</v>
      </c>
      <c r="K4587">
        <v>1</v>
      </c>
      <c r="L4587">
        <v>2</v>
      </c>
      <c r="M4587">
        <v>146</v>
      </c>
      <c r="N4587">
        <v>360</v>
      </c>
      <c r="O4587">
        <v>2</v>
      </c>
      <c r="P4587">
        <v>358</v>
      </c>
      <c r="Q4587">
        <v>3</v>
      </c>
      <c r="R4587">
        <v>54</v>
      </c>
      <c r="S4587">
        <v>2</v>
      </c>
      <c r="T4587">
        <v>12</v>
      </c>
      <c r="U4587">
        <v>4</v>
      </c>
      <c r="V4587">
        <v>45</v>
      </c>
      <c r="W4587">
        <v>0</v>
      </c>
      <c r="X4587">
        <v>179</v>
      </c>
      <c r="Y4587">
        <v>8</v>
      </c>
      <c r="Z4587">
        <v>4</v>
      </c>
      <c r="AA4587">
        <v>1</v>
      </c>
      <c r="AB4587">
        <v>25</v>
      </c>
      <c r="AD4587">
        <v>0</v>
      </c>
      <c r="AE4587">
        <v>1</v>
      </c>
      <c r="AF4587">
        <v>0</v>
      </c>
      <c r="AG4587">
        <v>0</v>
      </c>
      <c r="AH4587">
        <v>0</v>
      </c>
      <c r="AI4587">
        <v>0</v>
      </c>
      <c r="AJ4587">
        <v>20</v>
      </c>
      <c r="AK4587">
        <v>358</v>
      </c>
      <c r="AL4587">
        <v>358</v>
      </c>
      <c r="AM4587">
        <v>460</v>
      </c>
      <c r="AN4587">
        <v>44</v>
      </c>
      <c r="AP4587">
        <v>1</v>
      </c>
      <c r="AR4587" t="s">
        <v>4688</v>
      </c>
      <c r="AS4587" s="1">
        <v>44354.129166666666</v>
      </c>
      <c r="AT4587" s="1">
        <v>44354.131458333337</v>
      </c>
      <c r="AU4587" s="1">
        <v>44354.132280092592</v>
      </c>
      <c r="AV4587" t="s">
        <v>71</v>
      </c>
      <c r="AW4587" t="s">
        <v>72</v>
      </c>
      <c r="AX4587" t="s">
        <v>73</v>
      </c>
    </row>
    <row r="4588" spans="1:50" x14ac:dyDescent="0.3">
      <c r="A4588" t="str">
        <f>"202397C0100"</f>
        <v>202397C0100</v>
      </c>
      <c r="B4588" t="str">
        <f>"202397C01002"</f>
        <v>202397C01002</v>
      </c>
      <c r="C4588" t="str">
        <f t="shared" si="234"/>
        <v>20</v>
      </c>
      <c r="D4588" t="s">
        <v>67</v>
      </c>
      <c r="E4588" t="str">
        <f t="shared" si="233"/>
        <v>020</v>
      </c>
      <c r="F4588" t="s">
        <v>4506</v>
      </c>
      <c r="G4588" t="str">
        <f>"2397"</f>
        <v>2397</v>
      </c>
      <c r="H4588" t="str">
        <f>"0001"</f>
        <v>0001</v>
      </c>
      <c r="I4588" t="s">
        <v>75</v>
      </c>
      <c r="J4588">
        <v>0</v>
      </c>
      <c r="K4588">
        <v>1</v>
      </c>
      <c r="L4588">
        <v>2</v>
      </c>
      <c r="M4588">
        <v>134</v>
      </c>
      <c r="N4588">
        <v>369</v>
      </c>
      <c r="O4588">
        <v>7</v>
      </c>
      <c r="P4588">
        <v>369</v>
      </c>
      <c r="Q4588">
        <v>5</v>
      </c>
      <c r="R4588">
        <v>69</v>
      </c>
      <c r="S4588">
        <v>0</v>
      </c>
      <c r="T4588">
        <v>7</v>
      </c>
      <c r="U4588">
        <v>3</v>
      </c>
      <c r="V4588">
        <v>46</v>
      </c>
      <c r="W4588">
        <v>4</v>
      </c>
      <c r="X4588">
        <v>189</v>
      </c>
      <c r="Y4588">
        <v>8</v>
      </c>
      <c r="Z4588">
        <v>3</v>
      </c>
      <c r="AA4588">
        <v>2</v>
      </c>
      <c r="AB4588">
        <v>26</v>
      </c>
      <c r="AD4588">
        <v>2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5</v>
      </c>
      <c r="AK4588">
        <v>369</v>
      </c>
      <c r="AL4588">
        <v>369</v>
      </c>
      <c r="AM4588">
        <v>459</v>
      </c>
      <c r="AN4588">
        <v>44</v>
      </c>
      <c r="AP4588">
        <v>1</v>
      </c>
      <c r="AR4588" t="s">
        <v>4689</v>
      </c>
      <c r="AS4588" s="1">
        <v>44354.129861111112</v>
      </c>
      <c r="AT4588" s="1">
        <v>44354.132141203707</v>
      </c>
      <c r="AU4588" s="1">
        <v>44354.132800925923</v>
      </c>
      <c r="AV4588" t="s">
        <v>71</v>
      </c>
      <c r="AW4588" t="s">
        <v>72</v>
      </c>
      <c r="AX4588" t="s">
        <v>73</v>
      </c>
    </row>
    <row r="4589" spans="1:50" x14ac:dyDescent="0.3">
      <c r="A4589" t="str">
        <f>"202398B0000"</f>
        <v>202398B0000</v>
      </c>
      <c r="B4589" t="str">
        <f>"202398B00002"</f>
        <v>202398B00002</v>
      </c>
      <c r="C4589" t="str">
        <f t="shared" si="234"/>
        <v>20</v>
      </c>
      <c r="D4589" t="s">
        <v>67</v>
      </c>
      <c r="E4589" t="str">
        <f t="shared" si="233"/>
        <v>020</v>
      </c>
      <c r="F4589" t="s">
        <v>4506</v>
      </c>
      <c r="G4589" t="str">
        <f>"2398"</f>
        <v>2398</v>
      </c>
      <c r="H4589" t="str">
        <f>"0000"</f>
        <v>0000</v>
      </c>
      <c r="I4589" t="s">
        <v>69</v>
      </c>
      <c r="J4589">
        <v>0</v>
      </c>
      <c r="K4589">
        <v>1</v>
      </c>
      <c r="L4589">
        <v>2</v>
      </c>
      <c r="M4589">
        <v>140</v>
      </c>
      <c r="N4589">
        <v>337</v>
      </c>
      <c r="O4589">
        <v>4</v>
      </c>
      <c r="P4589">
        <v>337</v>
      </c>
      <c r="Q4589">
        <v>3</v>
      </c>
      <c r="R4589">
        <v>65</v>
      </c>
      <c r="S4589">
        <v>1</v>
      </c>
      <c r="T4589">
        <v>10</v>
      </c>
      <c r="U4589">
        <v>9</v>
      </c>
      <c r="V4589">
        <v>19</v>
      </c>
      <c r="W4589">
        <v>1</v>
      </c>
      <c r="X4589">
        <v>180</v>
      </c>
      <c r="Y4589">
        <v>8</v>
      </c>
      <c r="Z4589">
        <v>0</v>
      </c>
      <c r="AA4589">
        <v>1</v>
      </c>
      <c r="AB4589">
        <v>38</v>
      </c>
      <c r="AD4589">
        <v>0</v>
      </c>
      <c r="AE4589">
        <v>0</v>
      </c>
      <c r="AF4589">
        <v>0</v>
      </c>
      <c r="AG4589">
        <v>0</v>
      </c>
      <c r="AH4589">
        <v>1</v>
      </c>
      <c r="AI4589">
        <v>0</v>
      </c>
      <c r="AJ4589">
        <v>1</v>
      </c>
      <c r="AK4589">
        <v>337</v>
      </c>
      <c r="AL4589">
        <v>337</v>
      </c>
      <c r="AM4589">
        <v>433</v>
      </c>
      <c r="AN4589">
        <v>44</v>
      </c>
      <c r="AP4589">
        <v>1</v>
      </c>
      <c r="AR4589" t="s">
        <v>4690</v>
      </c>
      <c r="AS4589" s="1">
        <v>44354.122916666667</v>
      </c>
      <c r="AT4589" s="1">
        <v>44354.125439814816</v>
      </c>
      <c r="AU4589" s="1">
        <v>44354.126342592594</v>
      </c>
      <c r="AV4589" t="s">
        <v>71</v>
      </c>
      <c r="AW4589" t="s">
        <v>72</v>
      </c>
      <c r="AX4589" t="s">
        <v>73</v>
      </c>
    </row>
    <row r="4590" spans="1:50" x14ac:dyDescent="0.3">
      <c r="A4590" t="str">
        <f>"202398C0100"</f>
        <v>202398C0100</v>
      </c>
      <c r="B4590" t="str">
        <f>"202398C01002"</f>
        <v>202398C01002</v>
      </c>
      <c r="C4590" t="str">
        <f t="shared" si="234"/>
        <v>20</v>
      </c>
      <c r="D4590" t="s">
        <v>67</v>
      </c>
      <c r="E4590" t="str">
        <f t="shared" si="233"/>
        <v>020</v>
      </c>
      <c r="F4590" t="s">
        <v>4506</v>
      </c>
      <c r="G4590" t="str">
        <f>"2398"</f>
        <v>2398</v>
      </c>
      <c r="H4590" t="str">
        <f>"0001"</f>
        <v>0001</v>
      </c>
      <c r="I4590" t="s">
        <v>75</v>
      </c>
      <c r="J4590">
        <v>0</v>
      </c>
      <c r="K4590">
        <v>1</v>
      </c>
      <c r="L4590">
        <v>2</v>
      </c>
      <c r="M4590">
        <v>131</v>
      </c>
      <c r="N4590">
        <v>346</v>
      </c>
      <c r="O4590">
        <v>3</v>
      </c>
      <c r="P4590">
        <v>346</v>
      </c>
      <c r="Q4590">
        <v>1</v>
      </c>
      <c r="R4590">
        <v>52</v>
      </c>
      <c r="S4590">
        <v>3</v>
      </c>
      <c r="T4590">
        <v>3</v>
      </c>
      <c r="U4590">
        <v>15</v>
      </c>
      <c r="V4590">
        <v>39</v>
      </c>
      <c r="W4590">
        <v>1</v>
      </c>
      <c r="X4590">
        <v>170</v>
      </c>
      <c r="Y4590">
        <v>8</v>
      </c>
      <c r="Z4590">
        <v>6</v>
      </c>
      <c r="AA4590">
        <v>2</v>
      </c>
      <c r="AB4590">
        <v>36</v>
      </c>
      <c r="AD4590">
        <v>1</v>
      </c>
      <c r="AE4590">
        <v>1</v>
      </c>
      <c r="AF4590">
        <v>0</v>
      </c>
      <c r="AG4590">
        <v>0</v>
      </c>
      <c r="AH4590">
        <v>0</v>
      </c>
      <c r="AI4590">
        <v>0</v>
      </c>
      <c r="AJ4590">
        <v>8</v>
      </c>
      <c r="AK4590">
        <v>346</v>
      </c>
      <c r="AL4590">
        <v>346</v>
      </c>
      <c r="AM4590">
        <v>433</v>
      </c>
      <c r="AN4590">
        <v>44</v>
      </c>
      <c r="AP4590">
        <v>1</v>
      </c>
      <c r="AR4590" t="s">
        <v>4691</v>
      </c>
      <c r="AS4590" s="1">
        <v>44354.125694444447</v>
      </c>
      <c r="AT4590" s="1">
        <v>44354.128703703704</v>
      </c>
      <c r="AU4590" s="1">
        <v>44354.129814814813</v>
      </c>
      <c r="AV4590" t="s">
        <v>71</v>
      </c>
      <c r="AW4590" t="s">
        <v>72</v>
      </c>
      <c r="AX4590" t="s">
        <v>73</v>
      </c>
    </row>
    <row r="4591" spans="1:50" x14ac:dyDescent="0.3">
      <c r="A4591" t="str">
        <f>"202399B0000"</f>
        <v>202399B0000</v>
      </c>
      <c r="B4591" t="str">
        <f>"202399B00002"</f>
        <v>202399B00002</v>
      </c>
      <c r="C4591" t="str">
        <f t="shared" si="234"/>
        <v>20</v>
      </c>
      <c r="D4591" t="s">
        <v>67</v>
      </c>
      <c r="E4591" t="str">
        <f t="shared" si="233"/>
        <v>020</v>
      </c>
      <c r="F4591" t="s">
        <v>4506</v>
      </c>
      <c r="G4591" t="str">
        <f>"2399"</f>
        <v>2399</v>
      </c>
      <c r="H4591" t="str">
        <f>"0000"</f>
        <v>0000</v>
      </c>
      <c r="I4591" t="s">
        <v>69</v>
      </c>
      <c r="J4591">
        <v>0</v>
      </c>
      <c r="K4591">
        <v>1</v>
      </c>
      <c r="L4591">
        <v>2</v>
      </c>
      <c r="M4591">
        <v>202</v>
      </c>
      <c r="N4591">
        <v>534</v>
      </c>
      <c r="O4591">
        <v>2</v>
      </c>
      <c r="P4591">
        <v>534</v>
      </c>
      <c r="Q4591">
        <v>6</v>
      </c>
      <c r="R4591">
        <v>71</v>
      </c>
      <c r="S4591">
        <v>4</v>
      </c>
      <c r="T4591">
        <v>5</v>
      </c>
      <c r="U4591">
        <v>17</v>
      </c>
      <c r="V4591">
        <v>31</v>
      </c>
      <c r="W4591">
        <v>0</v>
      </c>
      <c r="X4591">
        <v>333</v>
      </c>
      <c r="Y4591">
        <v>24</v>
      </c>
      <c r="Z4591">
        <v>4</v>
      </c>
      <c r="AA4591">
        <v>1</v>
      </c>
      <c r="AB4591">
        <v>33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5</v>
      </c>
      <c r="AK4591">
        <v>534</v>
      </c>
      <c r="AL4591">
        <v>534</v>
      </c>
      <c r="AM4591">
        <v>692</v>
      </c>
      <c r="AN4591">
        <v>44</v>
      </c>
      <c r="AP4591">
        <v>1</v>
      </c>
      <c r="AR4591" t="s">
        <v>4692</v>
      </c>
      <c r="AS4591" s="1">
        <v>44354.124305555553</v>
      </c>
      <c r="AT4591" s="1">
        <v>44354.127453703702</v>
      </c>
      <c r="AU4591" s="1">
        <v>44354.128194444442</v>
      </c>
      <c r="AV4591" t="s">
        <v>71</v>
      </c>
      <c r="AW4591" t="s">
        <v>72</v>
      </c>
      <c r="AX4591" t="s">
        <v>73</v>
      </c>
    </row>
    <row r="4592" spans="1:50" x14ac:dyDescent="0.3">
      <c r="A4592" t="str">
        <f>"202400B0000"</f>
        <v>202400B0000</v>
      </c>
      <c r="B4592" t="str">
        <f>"202400B00002"</f>
        <v>202400B00002</v>
      </c>
      <c r="C4592" t="str">
        <f t="shared" si="234"/>
        <v>20</v>
      </c>
      <c r="D4592" t="s">
        <v>67</v>
      </c>
      <c r="E4592" t="str">
        <f t="shared" si="233"/>
        <v>020</v>
      </c>
      <c r="F4592" t="s">
        <v>4506</v>
      </c>
      <c r="G4592" t="str">
        <f>"2400"</f>
        <v>2400</v>
      </c>
      <c r="H4592" t="str">
        <f>"0000"</f>
        <v>0000</v>
      </c>
      <c r="I4592" t="s">
        <v>69</v>
      </c>
      <c r="J4592">
        <v>0</v>
      </c>
      <c r="K4592">
        <v>1</v>
      </c>
      <c r="L4592">
        <v>2</v>
      </c>
      <c r="M4592">
        <v>131</v>
      </c>
      <c r="N4592">
        <v>302</v>
      </c>
      <c r="O4592">
        <v>2</v>
      </c>
      <c r="P4592">
        <v>302</v>
      </c>
      <c r="Q4592">
        <v>7</v>
      </c>
      <c r="R4592">
        <v>55</v>
      </c>
      <c r="S4592">
        <v>4</v>
      </c>
      <c r="T4592">
        <v>3</v>
      </c>
      <c r="U4592">
        <v>9</v>
      </c>
      <c r="V4592">
        <v>18</v>
      </c>
      <c r="W4592">
        <v>1</v>
      </c>
      <c r="X4592">
        <v>163</v>
      </c>
      <c r="Y4592">
        <v>8</v>
      </c>
      <c r="Z4592">
        <v>2</v>
      </c>
      <c r="AA4592">
        <v>1</v>
      </c>
      <c r="AB4592">
        <v>23</v>
      </c>
      <c r="AD4592">
        <v>1</v>
      </c>
      <c r="AE4592">
        <v>0</v>
      </c>
      <c r="AF4592">
        <v>0</v>
      </c>
      <c r="AG4592">
        <v>0</v>
      </c>
      <c r="AH4592">
        <v>1</v>
      </c>
      <c r="AI4592">
        <v>0</v>
      </c>
      <c r="AJ4592">
        <v>6</v>
      </c>
      <c r="AK4592">
        <v>302</v>
      </c>
      <c r="AL4592">
        <v>302</v>
      </c>
      <c r="AM4592">
        <v>389</v>
      </c>
      <c r="AN4592">
        <v>44</v>
      </c>
      <c r="AP4592">
        <v>1</v>
      </c>
      <c r="AR4592" t="s">
        <v>4693</v>
      </c>
      <c r="AS4592" s="1">
        <v>44354.12222222222</v>
      </c>
      <c r="AT4592" s="1">
        <v>44354.125208333331</v>
      </c>
      <c r="AU4592" s="1">
        <v>44354.125879629632</v>
      </c>
      <c r="AV4592" t="s">
        <v>71</v>
      </c>
      <c r="AW4592" t="s">
        <v>72</v>
      </c>
      <c r="AX4592" t="s">
        <v>73</v>
      </c>
    </row>
    <row r="4593" spans="1:50" x14ac:dyDescent="0.3">
      <c r="A4593" t="str">
        <f>"202400C0100"</f>
        <v>202400C0100</v>
      </c>
      <c r="B4593" t="str">
        <f>"202400C01002"</f>
        <v>202400C01002</v>
      </c>
      <c r="C4593" t="str">
        <f t="shared" si="234"/>
        <v>20</v>
      </c>
      <c r="D4593" t="s">
        <v>67</v>
      </c>
      <c r="E4593" t="str">
        <f t="shared" si="233"/>
        <v>020</v>
      </c>
      <c r="F4593" t="s">
        <v>4506</v>
      </c>
      <c r="G4593" t="str">
        <f>"2400"</f>
        <v>2400</v>
      </c>
      <c r="H4593" t="str">
        <f>"0001"</f>
        <v>0001</v>
      </c>
      <c r="I4593" t="s">
        <v>75</v>
      </c>
      <c r="J4593">
        <v>0</v>
      </c>
      <c r="K4593">
        <v>1</v>
      </c>
      <c r="L4593">
        <v>2</v>
      </c>
      <c r="M4593">
        <v>134</v>
      </c>
      <c r="N4593">
        <v>299</v>
      </c>
      <c r="O4593">
        <v>4</v>
      </c>
      <c r="P4593">
        <v>299</v>
      </c>
      <c r="Q4593">
        <v>3</v>
      </c>
      <c r="R4593">
        <v>62</v>
      </c>
      <c r="S4593">
        <v>2</v>
      </c>
      <c r="T4593">
        <v>3</v>
      </c>
      <c r="U4593">
        <v>8</v>
      </c>
      <c r="V4593">
        <v>29</v>
      </c>
      <c r="W4593">
        <v>0</v>
      </c>
      <c r="X4593">
        <v>158</v>
      </c>
      <c r="Y4593">
        <v>8</v>
      </c>
      <c r="Z4593">
        <v>4</v>
      </c>
      <c r="AA4593">
        <v>1</v>
      </c>
      <c r="AB4593">
        <v>15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6</v>
      </c>
      <c r="AK4593">
        <v>299</v>
      </c>
      <c r="AL4593">
        <v>299</v>
      </c>
      <c r="AM4593">
        <v>389</v>
      </c>
      <c r="AN4593">
        <v>44</v>
      </c>
      <c r="AP4593">
        <v>1</v>
      </c>
      <c r="AR4593" t="s">
        <v>4694</v>
      </c>
      <c r="AS4593" s="1">
        <v>44354.131249999999</v>
      </c>
      <c r="AT4593" s="1">
        <v>44354.13386574074</v>
      </c>
      <c r="AU4593" s="1">
        <v>44354.134270833332</v>
      </c>
      <c r="AV4593" t="s">
        <v>71</v>
      </c>
      <c r="AW4593" t="s">
        <v>72</v>
      </c>
      <c r="AX4593" t="s">
        <v>73</v>
      </c>
    </row>
    <row r="4594" spans="1:50" x14ac:dyDescent="0.3">
      <c r="A4594" t="str">
        <f>"202401B0000"</f>
        <v>202401B0000</v>
      </c>
      <c r="B4594" t="str">
        <f>"202401B00002"</f>
        <v>202401B00002</v>
      </c>
      <c r="C4594" t="str">
        <f t="shared" si="234"/>
        <v>20</v>
      </c>
      <c r="D4594" t="s">
        <v>67</v>
      </c>
      <c r="E4594" t="str">
        <f t="shared" si="233"/>
        <v>020</v>
      </c>
      <c r="F4594" t="s">
        <v>4506</v>
      </c>
      <c r="G4594" t="str">
        <f>"2401"</f>
        <v>2401</v>
      </c>
      <c r="H4594" t="str">
        <f>"0000"</f>
        <v>0000</v>
      </c>
      <c r="I4594" t="s">
        <v>69</v>
      </c>
      <c r="J4594">
        <v>0</v>
      </c>
      <c r="K4594">
        <v>1</v>
      </c>
      <c r="L4594">
        <v>2</v>
      </c>
      <c r="M4594">
        <v>232</v>
      </c>
      <c r="N4594">
        <v>542</v>
      </c>
      <c r="O4594">
        <v>1</v>
      </c>
      <c r="P4594">
        <v>542</v>
      </c>
      <c r="Q4594">
        <v>8</v>
      </c>
      <c r="R4594">
        <v>122</v>
      </c>
      <c r="S4594">
        <v>4</v>
      </c>
      <c r="T4594">
        <v>1</v>
      </c>
      <c r="U4594">
        <v>13</v>
      </c>
      <c r="V4594">
        <v>48</v>
      </c>
      <c r="W4594">
        <v>1</v>
      </c>
      <c r="X4594">
        <v>245</v>
      </c>
      <c r="Y4594">
        <v>28</v>
      </c>
      <c r="Z4594">
        <v>16</v>
      </c>
      <c r="AA4594">
        <v>1</v>
      </c>
      <c r="AB4594">
        <v>34</v>
      </c>
      <c r="AD4594">
        <v>0</v>
      </c>
      <c r="AE4594">
        <v>0</v>
      </c>
      <c r="AF4594">
        <v>0</v>
      </c>
      <c r="AG4594">
        <v>1</v>
      </c>
      <c r="AH4594">
        <v>0</v>
      </c>
      <c r="AI4594">
        <v>0</v>
      </c>
      <c r="AJ4594">
        <v>20</v>
      </c>
      <c r="AK4594">
        <v>542</v>
      </c>
      <c r="AL4594">
        <v>542</v>
      </c>
      <c r="AM4594">
        <v>730</v>
      </c>
      <c r="AN4594">
        <v>44</v>
      </c>
      <c r="AP4594">
        <v>1</v>
      </c>
      <c r="AR4594" t="s">
        <v>4695</v>
      </c>
      <c r="AS4594" s="1">
        <v>44354.125694444447</v>
      </c>
      <c r="AT4594" s="1">
        <v>44354.128252314818</v>
      </c>
      <c r="AU4594" s="1">
        <v>44354.12903935185</v>
      </c>
      <c r="AV4594" t="s">
        <v>71</v>
      </c>
      <c r="AW4594" t="s">
        <v>72</v>
      </c>
      <c r="AX4594" t="s">
        <v>73</v>
      </c>
    </row>
    <row r="4595" spans="1:50" x14ac:dyDescent="0.3">
      <c r="A4595" t="str">
        <f>"202401C0100"</f>
        <v>202401C0100</v>
      </c>
      <c r="B4595" t="str">
        <f>"202401C01002"</f>
        <v>202401C01002</v>
      </c>
      <c r="C4595" t="str">
        <f t="shared" si="234"/>
        <v>20</v>
      </c>
      <c r="D4595" t="s">
        <v>67</v>
      </c>
      <c r="E4595" t="str">
        <f t="shared" si="233"/>
        <v>020</v>
      </c>
      <c r="F4595" t="s">
        <v>4506</v>
      </c>
      <c r="G4595" t="str">
        <f>"2401"</f>
        <v>2401</v>
      </c>
      <c r="H4595" t="str">
        <f>"0001"</f>
        <v>0001</v>
      </c>
      <c r="I4595" t="s">
        <v>75</v>
      </c>
      <c r="J4595">
        <v>0</v>
      </c>
      <c r="K4595">
        <v>1</v>
      </c>
      <c r="L4595">
        <v>2</v>
      </c>
      <c r="M4595">
        <v>227</v>
      </c>
      <c r="N4595">
        <v>546</v>
      </c>
      <c r="O4595">
        <v>1</v>
      </c>
      <c r="P4595">
        <v>546</v>
      </c>
      <c r="Q4595">
        <v>9</v>
      </c>
      <c r="R4595">
        <v>103</v>
      </c>
      <c r="S4595">
        <v>2</v>
      </c>
      <c r="T4595">
        <v>3</v>
      </c>
      <c r="U4595">
        <v>15</v>
      </c>
      <c r="V4595">
        <v>42</v>
      </c>
      <c r="W4595">
        <v>2</v>
      </c>
      <c r="X4595">
        <v>290</v>
      </c>
      <c r="Y4595">
        <v>14</v>
      </c>
      <c r="Z4595">
        <v>17</v>
      </c>
      <c r="AA4595">
        <v>3</v>
      </c>
      <c r="AB4595">
        <v>38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7</v>
      </c>
      <c r="AK4595">
        <v>546</v>
      </c>
      <c r="AL4595">
        <v>545</v>
      </c>
      <c r="AM4595">
        <v>729</v>
      </c>
      <c r="AN4595">
        <v>44</v>
      </c>
      <c r="AP4595">
        <v>1</v>
      </c>
      <c r="AR4595" t="s">
        <v>4696</v>
      </c>
      <c r="AS4595" s="1">
        <v>44354.12777777778</v>
      </c>
      <c r="AT4595" s="1">
        <v>44354.130567129629</v>
      </c>
      <c r="AU4595" s="1">
        <v>44354.131180555552</v>
      </c>
      <c r="AV4595" t="s">
        <v>71</v>
      </c>
      <c r="AW4595" t="s">
        <v>72</v>
      </c>
      <c r="AX4595" t="s">
        <v>73</v>
      </c>
    </row>
    <row r="4596" spans="1:50" x14ac:dyDescent="0.3">
      <c r="A4596" t="str">
        <f>"202402B0000"</f>
        <v>202402B0000</v>
      </c>
      <c r="B4596" t="str">
        <f>"202402B00002"</f>
        <v>202402B00002</v>
      </c>
      <c r="C4596" t="str">
        <f t="shared" si="234"/>
        <v>20</v>
      </c>
      <c r="D4596" t="s">
        <v>67</v>
      </c>
      <c r="E4596" t="str">
        <f t="shared" si="233"/>
        <v>020</v>
      </c>
      <c r="F4596" t="s">
        <v>4506</v>
      </c>
      <c r="G4596" t="str">
        <f>"2402"</f>
        <v>2402</v>
      </c>
      <c r="H4596" t="str">
        <f>"0000"</f>
        <v>0000</v>
      </c>
      <c r="I4596" t="s">
        <v>69</v>
      </c>
      <c r="J4596">
        <v>0</v>
      </c>
      <c r="K4596">
        <v>1</v>
      </c>
      <c r="L4596">
        <v>2</v>
      </c>
      <c r="M4596">
        <v>167</v>
      </c>
      <c r="N4596">
        <v>427</v>
      </c>
      <c r="O4596">
        <v>1</v>
      </c>
      <c r="P4596">
        <v>427</v>
      </c>
      <c r="Q4596">
        <v>3</v>
      </c>
      <c r="R4596">
        <v>88</v>
      </c>
      <c r="S4596">
        <v>4</v>
      </c>
      <c r="T4596">
        <v>2</v>
      </c>
      <c r="U4596">
        <v>11</v>
      </c>
      <c r="V4596">
        <v>57</v>
      </c>
      <c r="W4596">
        <v>0</v>
      </c>
      <c r="X4596">
        <v>194</v>
      </c>
      <c r="Y4596">
        <v>12</v>
      </c>
      <c r="Z4596">
        <v>7</v>
      </c>
      <c r="AA4596">
        <v>2</v>
      </c>
      <c r="AB4596">
        <v>36</v>
      </c>
      <c r="AD4596">
        <v>1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10</v>
      </c>
      <c r="AK4596">
        <v>427</v>
      </c>
      <c r="AL4596">
        <v>427</v>
      </c>
      <c r="AM4596">
        <v>550</v>
      </c>
      <c r="AN4596">
        <v>44</v>
      </c>
      <c r="AP4596">
        <v>1</v>
      </c>
      <c r="AR4596" t="s">
        <v>4697</v>
      </c>
      <c r="AS4596" s="1">
        <v>44354.130555555559</v>
      </c>
      <c r="AT4596" s="1">
        <v>44354.134120370371</v>
      </c>
      <c r="AU4596" s="1">
        <v>44354.134733796294</v>
      </c>
      <c r="AV4596" t="s">
        <v>71</v>
      </c>
      <c r="AW4596" t="s">
        <v>72</v>
      </c>
      <c r="AX4596" t="s">
        <v>73</v>
      </c>
    </row>
    <row r="4597" spans="1:50" x14ac:dyDescent="0.3">
      <c r="A4597" t="str">
        <f>"202402C0100"</f>
        <v>202402C0100</v>
      </c>
      <c r="B4597" t="str">
        <f>"202402C01002"</f>
        <v>202402C01002</v>
      </c>
      <c r="C4597" t="str">
        <f t="shared" si="234"/>
        <v>20</v>
      </c>
      <c r="D4597" t="s">
        <v>67</v>
      </c>
      <c r="E4597" t="str">
        <f t="shared" si="233"/>
        <v>020</v>
      </c>
      <c r="F4597" t="s">
        <v>4506</v>
      </c>
      <c r="G4597" t="str">
        <f>"2402"</f>
        <v>2402</v>
      </c>
      <c r="H4597" t="str">
        <f>"0001"</f>
        <v>0001</v>
      </c>
      <c r="I4597" t="s">
        <v>75</v>
      </c>
      <c r="J4597">
        <v>0</v>
      </c>
      <c r="K4597">
        <v>1</v>
      </c>
      <c r="L4597">
        <v>2</v>
      </c>
      <c r="M4597">
        <v>170</v>
      </c>
      <c r="N4597">
        <v>424</v>
      </c>
      <c r="O4597">
        <v>1</v>
      </c>
      <c r="P4597" t="s">
        <v>80</v>
      </c>
      <c r="Q4597">
        <v>2</v>
      </c>
      <c r="R4597">
        <v>100</v>
      </c>
      <c r="S4597">
        <v>2</v>
      </c>
      <c r="T4597">
        <v>3</v>
      </c>
      <c r="U4597">
        <v>6</v>
      </c>
      <c r="V4597">
        <v>55</v>
      </c>
      <c r="W4597">
        <v>0</v>
      </c>
      <c r="X4597">
        <v>187</v>
      </c>
      <c r="Y4597">
        <v>12</v>
      </c>
      <c r="Z4597">
        <v>12</v>
      </c>
      <c r="AA4597">
        <v>0</v>
      </c>
      <c r="AB4597">
        <v>40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5</v>
      </c>
      <c r="AK4597">
        <v>424</v>
      </c>
      <c r="AL4597">
        <v>424</v>
      </c>
      <c r="AM4597">
        <v>550</v>
      </c>
      <c r="AN4597">
        <v>44</v>
      </c>
      <c r="AP4597">
        <v>1</v>
      </c>
      <c r="AR4597" t="s">
        <v>4698</v>
      </c>
      <c r="AS4597" s="1">
        <v>44354.123611111114</v>
      </c>
      <c r="AT4597" s="1">
        <v>44354.126504629632</v>
      </c>
      <c r="AU4597" s="1">
        <v>44354.126921296294</v>
      </c>
      <c r="AV4597" t="s">
        <v>71</v>
      </c>
      <c r="AW4597" t="s">
        <v>72</v>
      </c>
      <c r="AX4597" t="s">
        <v>73</v>
      </c>
    </row>
    <row r="4598" spans="1:50" x14ac:dyDescent="0.3">
      <c r="A4598" t="str">
        <f>"202402C0200"</f>
        <v>202402C0200</v>
      </c>
      <c r="B4598" t="str">
        <f>"202402C02002"</f>
        <v>202402C02002</v>
      </c>
      <c r="C4598" t="str">
        <f t="shared" si="234"/>
        <v>20</v>
      </c>
      <c r="D4598" t="s">
        <v>67</v>
      </c>
      <c r="E4598" t="str">
        <f t="shared" ref="E4598:E4609" si="235">"020"</f>
        <v>020</v>
      </c>
      <c r="F4598" t="s">
        <v>4506</v>
      </c>
      <c r="G4598" t="str">
        <f>"2402"</f>
        <v>2402</v>
      </c>
      <c r="H4598" t="str">
        <f>"0002"</f>
        <v>0002</v>
      </c>
      <c r="I4598" t="s">
        <v>75</v>
      </c>
      <c r="J4598">
        <v>0</v>
      </c>
      <c r="K4598">
        <v>1</v>
      </c>
      <c r="L4598">
        <v>2</v>
      </c>
      <c r="M4598">
        <v>156</v>
      </c>
      <c r="N4598">
        <v>438</v>
      </c>
      <c r="O4598">
        <v>1</v>
      </c>
      <c r="P4598">
        <v>438</v>
      </c>
      <c r="Q4598">
        <v>5</v>
      </c>
      <c r="R4598">
        <v>84</v>
      </c>
      <c r="S4598">
        <v>2</v>
      </c>
      <c r="T4598">
        <v>2</v>
      </c>
      <c r="U4598">
        <v>6</v>
      </c>
      <c r="V4598">
        <v>44</v>
      </c>
      <c r="W4598">
        <v>2</v>
      </c>
      <c r="X4598">
        <v>231</v>
      </c>
      <c r="Y4598">
        <v>7</v>
      </c>
      <c r="Z4598">
        <v>4</v>
      </c>
      <c r="AA4598">
        <v>0</v>
      </c>
      <c r="AB4598">
        <v>41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10</v>
      </c>
      <c r="AK4598">
        <v>438</v>
      </c>
      <c r="AL4598">
        <v>438</v>
      </c>
      <c r="AM4598">
        <v>550</v>
      </c>
      <c r="AN4598">
        <v>44</v>
      </c>
      <c r="AP4598">
        <v>1</v>
      </c>
      <c r="AR4598" t="s">
        <v>4699</v>
      </c>
      <c r="AS4598" s="1">
        <v>44354.128472222219</v>
      </c>
      <c r="AT4598" s="1">
        <v>44354.132372685184</v>
      </c>
      <c r="AU4598" s="1">
        <v>44354.133090277777</v>
      </c>
      <c r="AV4598" t="s">
        <v>71</v>
      </c>
      <c r="AW4598" t="s">
        <v>72</v>
      </c>
      <c r="AX4598" t="s">
        <v>73</v>
      </c>
    </row>
    <row r="4599" spans="1:50" x14ac:dyDescent="0.3">
      <c r="A4599" t="str">
        <f>"202403B0000"</f>
        <v>202403B0000</v>
      </c>
      <c r="B4599" t="str">
        <f>"202403B00002"</f>
        <v>202403B00002</v>
      </c>
      <c r="C4599" t="str">
        <f t="shared" si="234"/>
        <v>20</v>
      </c>
      <c r="D4599" t="s">
        <v>67</v>
      </c>
      <c r="E4599" t="str">
        <f t="shared" si="235"/>
        <v>020</v>
      </c>
      <c r="F4599" t="s">
        <v>4506</v>
      </c>
      <c r="G4599" t="str">
        <f>"2403"</f>
        <v>2403</v>
      </c>
      <c r="H4599" t="str">
        <f>"0000"</f>
        <v>0000</v>
      </c>
      <c r="I4599" t="s">
        <v>69</v>
      </c>
      <c r="J4599">
        <v>0</v>
      </c>
      <c r="K4599">
        <v>1</v>
      </c>
      <c r="L4599">
        <v>2</v>
      </c>
      <c r="M4599">
        <v>180</v>
      </c>
      <c r="N4599">
        <v>440</v>
      </c>
      <c r="O4599">
        <v>3</v>
      </c>
      <c r="P4599">
        <v>440</v>
      </c>
      <c r="Q4599">
        <v>5</v>
      </c>
      <c r="R4599">
        <v>75</v>
      </c>
      <c r="S4599">
        <v>1</v>
      </c>
      <c r="T4599">
        <v>2</v>
      </c>
      <c r="U4599">
        <v>11</v>
      </c>
      <c r="V4599">
        <v>24</v>
      </c>
      <c r="W4599">
        <v>0</v>
      </c>
      <c r="X4599">
        <v>239</v>
      </c>
      <c r="Y4599">
        <v>23</v>
      </c>
      <c r="Z4599">
        <v>4</v>
      </c>
      <c r="AA4599">
        <v>0</v>
      </c>
      <c r="AB4599">
        <v>42</v>
      </c>
      <c r="AD4599">
        <v>1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13</v>
      </c>
      <c r="AK4599">
        <v>440</v>
      </c>
      <c r="AL4599">
        <v>440</v>
      </c>
      <c r="AM4599">
        <v>576</v>
      </c>
      <c r="AN4599">
        <v>44</v>
      </c>
      <c r="AP4599">
        <v>1</v>
      </c>
      <c r="AR4599" t="s">
        <v>4700</v>
      </c>
      <c r="AS4599" s="1">
        <v>44354.081250000003</v>
      </c>
      <c r="AT4599" s="1">
        <v>44354.089282407411</v>
      </c>
      <c r="AU4599" s="1">
        <v>44354.090277777781</v>
      </c>
      <c r="AV4599" t="s">
        <v>71</v>
      </c>
      <c r="AW4599" t="s">
        <v>72</v>
      </c>
      <c r="AX4599" t="s">
        <v>73</v>
      </c>
    </row>
    <row r="4600" spans="1:50" x14ac:dyDescent="0.3">
      <c r="A4600" t="str">
        <f>"202403C0100"</f>
        <v>202403C0100</v>
      </c>
      <c r="B4600" t="str">
        <f>"202403C01002"</f>
        <v>202403C01002</v>
      </c>
      <c r="C4600" t="str">
        <f t="shared" si="234"/>
        <v>20</v>
      </c>
      <c r="D4600" t="s">
        <v>67</v>
      </c>
      <c r="E4600" t="str">
        <f t="shared" si="235"/>
        <v>020</v>
      </c>
      <c r="F4600" t="s">
        <v>4506</v>
      </c>
      <c r="G4600" t="str">
        <f>"2403"</f>
        <v>2403</v>
      </c>
      <c r="H4600" t="str">
        <f>"0001"</f>
        <v>0001</v>
      </c>
      <c r="I4600" t="s">
        <v>75</v>
      </c>
      <c r="J4600">
        <v>0</v>
      </c>
      <c r="K4600">
        <v>1</v>
      </c>
      <c r="L4600">
        <v>2</v>
      </c>
      <c r="M4600">
        <v>155</v>
      </c>
      <c r="N4600">
        <v>464</v>
      </c>
      <c r="O4600">
        <v>7</v>
      </c>
      <c r="P4600">
        <v>464</v>
      </c>
      <c r="Q4600">
        <v>3</v>
      </c>
      <c r="R4600">
        <v>80</v>
      </c>
      <c r="S4600">
        <v>1</v>
      </c>
      <c r="T4600">
        <v>2</v>
      </c>
      <c r="U4600">
        <v>6</v>
      </c>
      <c r="V4600">
        <v>43</v>
      </c>
      <c r="W4600">
        <v>0</v>
      </c>
      <c r="X4600">
        <v>247</v>
      </c>
      <c r="Y4600">
        <v>17</v>
      </c>
      <c r="Z4600">
        <v>5</v>
      </c>
      <c r="AA4600">
        <v>4</v>
      </c>
      <c r="AB4600">
        <v>50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6</v>
      </c>
      <c r="AK4600">
        <v>464</v>
      </c>
      <c r="AL4600">
        <v>464</v>
      </c>
      <c r="AM4600">
        <v>575</v>
      </c>
      <c r="AN4600">
        <v>44</v>
      </c>
      <c r="AP4600">
        <v>1</v>
      </c>
      <c r="AR4600" t="s">
        <v>4701</v>
      </c>
      <c r="AS4600" s="1">
        <v>44354.083333333336</v>
      </c>
      <c r="AT4600" s="1">
        <v>44354.09033564815</v>
      </c>
      <c r="AU4600" s="1">
        <v>44354.091145833336</v>
      </c>
      <c r="AV4600" t="s">
        <v>71</v>
      </c>
      <c r="AW4600" t="s">
        <v>72</v>
      </c>
      <c r="AX4600" t="s">
        <v>73</v>
      </c>
    </row>
    <row r="4601" spans="1:50" x14ac:dyDescent="0.3">
      <c r="A4601" t="str">
        <f>"202404B0000"</f>
        <v>202404B0000</v>
      </c>
      <c r="B4601" t="str">
        <f>"202404B00002"</f>
        <v>202404B00002</v>
      </c>
      <c r="C4601" t="str">
        <f t="shared" si="234"/>
        <v>20</v>
      </c>
      <c r="D4601" t="s">
        <v>67</v>
      </c>
      <c r="E4601" t="str">
        <f t="shared" si="235"/>
        <v>020</v>
      </c>
      <c r="F4601" t="s">
        <v>4506</v>
      </c>
      <c r="G4601" t="str">
        <f>"2404"</f>
        <v>2404</v>
      </c>
      <c r="H4601" t="str">
        <f>"0000"</f>
        <v>0000</v>
      </c>
      <c r="I4601" t="s">
        <v>69</v>
      </c>
      <c r="J4601">
        <v>0</v>
      </c>
      <c r="K4601">
        <v>1</v>
      </c>
      <c r="L4601">
        <v>2</v>
      </c>
      <c r="M4601">
        <v>142</v>
      </c>
      <c r="N4601">
        <v>355</v>
      </c>
      <c r="O4601">
        <v>1</v>
      </c>
      <c r="P4601">
        <v>355</v>
      </c>
      <c r="Q4601">
        <v>3</v>
      </c>
      <c r="R4601">
        <v>71</v>
      </c>
      <c r="S4601">
        <v>2</v>
      </c>
      <c r="T4601">
        <v>3</v>
      </c>
      <c r="U4601">
        <v>8</v>
      </c>
      <c r="V4601">
        <v>46</v>
      </c>
      <c r="W4601">
        <v>3</v>
      </c>
      <c r="X4601">
        <v>122</v>
      </c>
      <c r="Y4601">
        <v>9</v>
      </c>
      <c r="Z4601">
        <v>2</v>
      </c>
      <c r="AA4601">
        <v>1</v>
      </c>
      <c r="AB4601">
        <v>72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13</v>
      </c>
      <c r="AK4601">
        <v>355</v>
      </c>
      <c r="AL4601">
        <v>355</v>
      </c>
      <c r="AM4601">
        <v>453</v>
      </c>
      <c r="AN4601">
        <v>44</v>
      </c>
      <c r="AP4601">
        <v>1</v>
      </c>
      <c r="AR4601" t="s">
        <v>4702</v>
      </c>
      <c r="AS4601" s="1">
        <v>44354.085416666669</v>
      </c>
      <c r="AT4601" s="1">
        <v>44354.092719907407</v>
      </c>
      <c r="AU4601" s="1">
        <v>44354.093912037039</v>
      </c>
      <c r="AV4601" t="s">
        <v>71</v>
      </c>
      <c r="AW4601" t="s">
        <v>72</v>
      </c>
      <c r="AX4601" t="s">
        <v>73</v>
      </c>
    </row>
    <row r="4602" spans="1:50" x14ac:dyDescent="0.3">
      <c r="A4602" t="str">
        <f>"202404C0100"</f>
        <v>202404C0100</v>
      </c>
      <c r="B4602" t="str">
        <f>"202404C01002"</f>
        <v>202404C01002</v>
      </c>
      <c r="C4602" t="str">
        <f t="shared" si="234"/>
        <v>20</v>
      </c>
      <c r="D4602" t="s">
        <v>67</v>
      </c>
      <c r="E4602" t="str">
        <f t="shared" si="235"/>
        <v>020</v>
      </c>
      <c r="F4602" t="s">
        <v>4506</v>
      </c>
      <c r="G4602" t="str">
        <f>"2404"</f>
        <v>2404</v>
      </c>
      <c r="H4602" t="str">
        <f>"0001"</f>
        <v>0001</v>
      </c>
      <c r="I4602" t="s">
        <v>75</v>
      </c>
      <c r="J4602">
        <v>0</v>
      </c>
      <c r="K4602">
        <v>1</v>
      </c>
      <c r="L4602">
        <v>2</v>
      </c>
      <c r="M4602">
        <v>136</v>
      </c>
      <c r="N4602">
        <v>360</v>
      </c>
      <c r="O4602">
        <v>2</v>
      </c>
      <c r="P4602">
        <v>360</v>
      </c>
      <c r="Q4602">
        <v>5</v>
      </c>
      <c r="R4602">
        <v>71</v>
      </c>
      <c r="S4602">
        <v>2</v>
      </c>
      <c r="T4602">
        <v>8</v>
      </c>
      <c r="U4602">
        <v>19</v>
      </c>
      <c r="V4602">
        <v>30</v>
      </c>
      <c r="W4602">
        <v>0</v>
      </c>
      <c r="X4602">
        <v>150</v>
      </c>
      <c r="Y4602">
        <v>12</v>
      </c>
      <c r="Z4602">
        <v>2</v>
      </c>
      <c r="AA4602">
        <v>1</v>
      </c>
      <c r="AB4602">
        <v>55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5</v>
      </c>
      <c r="AK4602">
        <v>360</v>
      </c>
      <c r="AL4602">
        <v>360</v>
      </c>
      <c r="AM4602">
        <v>452</v>
      </c>
      <c r="AN4602">
        <v>44</v>
      </c>
      <c r="AP4602">
        <v>1</v>
      </c>
      <c r="AR4602" t="s">
        <v>4703</v>
      </c>
      <c r="AS4602" s="1">
        <v>44354.077777777777</v>
      </c>
      <c r="AT4602" s="1">
        <v>44354.087627314817</v>
      </c>
      <c r="AU4602" s="1">
        <v>44354.088136574072</v>
      </c>
      <c r="AV4602" t="s">
        <v>71</v>
      </c>
      <c r="AW4602" t="s">
        <v>72</v>
      </c>
      <c r="AX4602" t="s">
        <v>73</v>
      </c>
    </row>
    <row r="4603" spans="1:50" x14ac:dyDescent="0.3">
      <c r="A4603" t="str">
        <f>"202468B0000"</f>
        <v>202468B0000</v>
      </c>
      <c r="B4603" t="str">
        <f>"202468B00002"</f>
        <v>202468B00002</v>
      </c>
      <c r="C4603" t="str">
        <f t="shared" si="234"/>
        <v>20</v>
      </c>
      <c r="D4603" t="s">
        <v>67</v>
      </c>
      <c r="E4603" t="str">
        <f t="shared" si="235"/>
        <v>020</v>
      </c>
      <c r="F4603" t="s">
        <v>4506</v>
      </c>
      <c r="G4603" t="str">
        <f>"2468"</f>
        <v>2468</v>
      </c>
      <c r="H4603" t="str">
        <f>"0000"</f>
        <v>0000</v>
      </c>
      <c r="I4603" t="s">
        <v>69</v>
      </c>
      <c r="J4603">
        <v>0</v>
      </c>
      <c r="K4603">
        <v>1</v>
      </c>
      <c r="L4603">
        <v>2</v>
      </c>
      <c r="M4603">
        <v>261</v>
      </c>
      <c r="N4603" t="s">
        <v>80</v>
      </c>
      <c r="O4603">
        <v>5</v>
      </c>
      <c r="P4603">
        <v>401</v>
      </c>
      <c r="Q4603">
        <v>1</v>
      </c>
      <c r="R4603">
        <v>60</v>
      </c>
      <c r="S4603">
        <v>4</v>
      </c>
      <c r="T4603">
        <v>3</v>
      </c>
      <c r="U4603">
        <v>97</v>
      </c>
      <c r="V4603">
        <v>13</v>
      </c>
      <c r="W4603">
        <v>7</v>
      </c>
      <c r="X4603">
        <v>155</v>
      </c>
      <c r="Y4603">
        <v>3</v>
      </c>
      <c r="Z4603">
        <v>40</v>
      </c>
      <c r="AA4603">
        <v>3</v>
      </c>
      <c r="AB4603">
        <v>2</v>
      </c>
      <c r="AD4603">
        <v>2</v>
      </c>
      <c r="AE4603">
        <v>1</v>
      </c>
      <c r="AF4603">
        <v>0</v>
      </c>
      <c r="AG4603">
        <v>0</v>
      </c>
      <c r="AH4603">
        <v>0</v>
      </c>
      <c r="AI4603">
        <v>0</v>
      </c>
      <c r="AJ4603">
        <v>10</v>
      </c>
      <c r="AK4603">
        <v>401</v>
      </c>
      <c r="AL4603">
        <v>401</v>
      </c>
      <c r="AM4603">
        <v>618</v>
      </c>
      <c r="AN4603">
        <v>44</v>
      </c>
      <c r="AP4603">
        <v>1</v>
      </c>
      <c r="AR4603" t="s">
        <v>4704</v>
      </c>
      <c r="AS4603" s="1">
        <v>44354.001388888886</v>
      </c>
      <c r="AT4603" s="1">
        <v>44354.010208333333</v>
      </c>
      <c r="AU4603" s="1">
        <v>44354.010787037034</v>
      </c>
      <c r="AV4603" t="s">
        <v>71</v>
      </c>
      <c r="AW4603" t="s">
        <v>72</v>
      </c>
      <c r="AX4603" t="s">
        <v>73</v>
      </c>
    </row>
    <row r="4604" spans="1:50" x14ac:dyDescent="0.3">
      <c r="A4604" t="str">
        <f>"202468C0100"</f>
        <v>202468C0100</v>
      </c>
      <c r="B4604" t="str">
        <f>"202468C01002"</f>
        <v>202468C01002</v>
      </c>
      <c r="C4604" t="str">
        <f t="shared" si="234"/>
        <v>20</v>
      </c>
      <c r="D4604" t="s">
        <v>67</v>
      </c>
      <c r="E4604" t="str">
        <f t="shared" si="235"/>
        <v>020</v>
      </c>
      <c r="F4604" t="s">
        <v>4506</v>
      </c>
      <c r="G4604" t="str">
        <f>"2468"</f>
        <v>2468</v>
      </c>
      <c r="H4604" t="str">
        <f>"0001"</f>
        <v>0001</v>
      </c>
      <c r="I4604" t="s">
        <v>75</v>
      </c>
      <c r="J4604">
        <v>0</v>
      </c>
      <c r="K4604">
        <v>1</v>
      </c>
      <c r="L4604">
        <v>2</v>
      </c>
      <c r="M4604">
        <v>226</v>
      </c>
      <c r="N4604">
        <v>437</v>
      </c>
      <c r="O4604">
        <v>2</v>
      </c>
      <c r="P4604">
        <v>426</v>
      </c>
      <c r="Q4604">
        <v>2</v>
      </c>
      <c r="R4604">
        <v>56</v>
      </c>
      <c r="S4604">
        <v>8</v>
      </c>
      <c r="T4604">
        <v>2</v>
      </c>
      <c r="U4604">
        <v>95</v>
      </c>
      <c r="V4604">
        <v>9</v>
      </c>
      <c r="W4604">
        <v>14</v>
      </c>
      <c r="X4604">
        <v>177</v>
      </c>
      <c r="Y4604">
        <v>11</v>
      </c>
      <c r="Z4604">
        <v>42</v>
      </c>
      <c r="AA4604">
        <v>8</v>
      </c>
      <c r="AB4604">
        <v>2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10</v>
      </c>
      <c r="AK4604">
        <v>426</v>
      </c>
      <c r="AL4604">
        <v>436</v>
      </c>
      <c r="AM4604">
        <v>618</v>
      </c>
      <c r="AN4604">
        <v>44</v>
      </c>
      <c r="AP4604">
        <v>1</v>
      </c>
      <c r="AR4604" t="s">
        <v>4705</v>
      </c>
      <c r="AS4604" s="1">
        <v>44353.997916666667</v>
      </c>
      <c r="AT4604" s="1">
        <v>44354.004525462966</v>
      </c>
      <c r="AU4604" s="1">
        <v>44354.005196759259</v>
      </c>
      <c r="AV4604" t="s">
        <v>71</v>
      </c>
      <c r="AW4604" t="s">
        <v>72</v>
      </c>
      <c r="AX4604" t="s">
        <v>73</v>
      </c>
    </row>
    <row r="4605" spans="1:50" x14ac:dyDescent="0.3">
      <c r="A4605" t="str">
        <f>"202468C0200"</f>
        <v>202468C0200</v>
      </c>
      <c r="B4605" t="str">
        <f>"202468C02002"</f>
        <v>202468C02002</v>
      </c>
      <c r="C4605" t="str">
        <f t="shared" si="234"/>
        <v>20</v>
      </c>
      <c r="D4605" t="s">
        <v>67</v>
      </c>
      <c r="E4605" t="str">
        <f t="shared" si="235"/>
        <v>020</v>
      </c>
      <c r="F4605" t="s">
        <v>4506</v>
      </c>
      <c r="G4605" t="str">
        <f>"2468"</f>
        <v>2468</v>
      </c>
      <c r="H4605" t="str">
        <f>"0002"</f>
        <v>0002</v>
      </c>
      <c r="I4605" t="s">
        <v>75</v>
      </c>
      <c r="J4605">
        <v>0</v>
      </c>
      <c r="K4605">
        <v>1</v>
      </c>
      <c r="L4605">
        <v>2</v>
      </c>
      <c r="M4605">
        <v>243</v>
      </c>
      <c r="N4605">
        <v>418</v>
      </c>
      <c r="O4605">
        <v>7</v>
      </c>
      <c r="P4605">
        <v>418</v>
      </c>
      <c r="Q4605">
        <v>4</v>
      </c>
      <c r="R4605">
        <v>49</v>
      </c>
      <c r="S4605">
        <v>8</v>
      </c>
      <c r="T4605">
        <v>0</v>
      </c>
      <c r="U4605">
        <v>92</v>
      </c>
      <c r="V4605">
        <v>14</v>
      </c>
      <c r="W4605">
        <v>6</v>
      </c>
      <c r="X4605">
        <v>174</v>
      </c>
      <c r="Y4605">
        <v>9</v>
      </c>
      <c r="Z4605">
        <v>38</v>
      </c>
      <c r="AA4605">
        <v>9</v>
      </c>
      <c r="AB4605">
        <v>1</v>
      </c>
      <c r="AD4605" t="s">
        <v>77</v>
      </c>
      <c r="AE4605" t="s">
        <v>77</v>
      </c>
      <c r="AF4605" t="s">
        <v>77</v>
      </c>
      <c r="AG4605" t="s">
        <v>77</v>
      </c>
      <c r="AH4605" t="s">
        <v>77</v>
      </c>
      <c r="AI4605" t="s">
        <v>77</v>
      </c>
      <c r="AJ4605">
        <v>14</v>
      </c>
      <c r="AK4605">
        <v>418</v>
      </c>
      <c r="AL4605">
        <v>418</v>
      </c>
      <c r="AM4605">
        <v>617</v>
      </c>
      <c r="AN4605">
        <v>44</v>
      </c>
      <c r="AO4605" t="s">
        <v>78</v>
      </c>
      <c r="AP4605">
        <v>1</v>
      </c>
      <c r="AR4605" t="s">
        <v>4706</v>
      </c>
      <c r="AS4605" s="1">
        <v>44354.002083333333</v>
      </c>
      <c r="AT4605" s="1">
        <v>44354.00885416667</v>
      </c>
      <c r="AU4605" s="1">
        <v>44354.009756944448</v>
      </c>
      <c r="AV4605" t="s">
        <v>71</v>
      </c>
      <c r="AW4605" t="s">
        <v>72</v>
      </c>
      <c r="AX4605" t="s">
        <v>73</v>
      </c>
    </row>
    <row r="4606" spans="1:50" x14ac:dyDescent="0.3">
      <c r="A4606" t="str">
        <f>"202468C0300"</f>
        <v>202468C0300</v>
      </c>
      <c r="B4606" t="str">
        <f>"202468C03002"</f>
        <v>202468C03002</v>
      </c>
      <c r="C4606" t="str">
        <f t="shared" si="234"/>
        <v>20</v>
      </c>
      <c r="D4606" t="s">
        <v>67</v>
      </c>
      <c r="E4606" t="str">
        <f t="shared" si="235"/>
        <v>020</v>
      </c>
      <c r="F4606" t="s">
        <v>4506</v>
      </c>
      <c r="G4606" t="str">
        <f>"2468"</f>
        <v>2468</v>
      </c>
      <c r="H4606" t="str">
        <f>"0003"</f>
        <v>0003</v>
      </c>
      <c r="I4606" t="s">
        <v>75</v>
      </c>
      <c r="J4606">
        <v>0</v>
      </c>
      <c r="K4606">
        <v>1</v>
      </c>
      <c r="L4606">
        <v>2</v>
      </c>
      <c r="M4606" t="s">
        <v>80</v>
      </c>
      <c r="N4606" t="s">
        <v>80</v>
      </c>
      <c r="O4606" t="s">
        <v>80</v>
      </c>
      <c r="P4606" t="s">
        <v>80</v>
      </c>
      <c r="Q4606">
        <v>0</v>
      </c>
      <c r="R4606">
        <v>67</v>
      </c>
      <c r="S4606">
        <v>6</v>
      </c>
      <c r="T4606">
        <v>0</v>
      </c>
      <c r="U4606">
        <v>87</v>
      </c>
      <c r="V4606">
        <v>15</v>
      </c>
      <c r="W4606">
        <v>7</v>
      </c>
      <c r="X4606">
        <v>159</v>
      </c>
      <c r="Y4606">
        <v>11</v>
      </c>
      <c r="Z4606">
        <v>43</v>
      </c>
      <c r="AA4606">
        <v>5</v>
      </c>
      <c r="AB4606">
        <v>1</v>
      </c>
      <c r="AD4606" t="s">
        <v>77</v>
      </c>
      <c r="AE4606" t="s">
        <v>77</v>
      </c>
      <c r="AF4606" t="s">
        <v>77</v>
      </c>
      <c r="AG4606" t="s">
        <v>77</v>
      </c>
      <c r="AH4606" t="s">
        <v>77</v>
      </c>
      <c r="AI4606" t="s">
        <v>77</v>
      </c>
      <c r="AJ4606">
        <v>16</v>
      </c>
      <c r="AK4606">
        <v>418</v>
      </c>
      <c r="AL4606">
        <v>417</v>
      </c>
      <c r="AM4606">
        <v>617</v>
      </c>
      <c r="AN4606">
        <v>44</v>
      </c>
      <c r="AO4606" t="s">
        <v>78</v>
      </c>
      <c r="AP4606">
        <v>1</v>
      </c>
      <c r="AR4606" t="s">
        <v>4707</v>
      </c>
      <c r="AS4606" s="1">
        <v>44354.000694444447</v>
      </c>
      <c r="AT4606" s="1">
        <v>44354.006747685184</v>
      </c>
      <c r="AU4606" s="1">
        <v>44354.007256944446</v>
      </c>
      <c r="AV4606" t="s">
        <v>71</v>
      </c>
      <c r="AW4606" t="s">
        <v>72</v>
      </c>
      <c r="AX4606" t="s">
        <v>73</v>
      </c>
    </row>
    <row r="4607" spans="1:50" x14ac:dyDescent="0.3">
      <c r="A4607" t="str">
        <f>"202468S0100"</f>
        <v>202468S0100</v>
      </c>
      <c r="B4607" t="str">
        <f>"202468S01002EMR"</f>
        <v>202468S01002EMR</v>
      </c>
      <c r="C4607" t="str">
        <f t="shared" si="234"/>
        <v>20</v>
      </c>
      <c r="D4607" t="s">
        <v>67</v>
      </c>
      <c r="E4607" t="str">
        <f t="shared" si="235"/>
        <v>020</v>
      </c>
      <c r="F4607" t="s">
        <v>4506</v>
      </c>
      <c r="G4607" t="str">
        <f>"2468"</f>
        <v>2468</v>
      </c>
      <c r="H4607" t="str">
        <f>"0001"</f>
        <v>0001</v>
      </c>
      <c r="I4607" t="s">
        <v>85</v>
      </c>
      <c r="J4607">
        <v>0</v>
      </c>
      <c r="K4607">
        <v>1</v>
      </c>
      <c r="L4607" t="s">
        <v>86</v>
      </c>
      <c r="AM4607">
        <v>0</v>
      </c>
      <c r="AN4607">
        <v>44</v>
      </c>
      <c r="AO4607" t="s">
        <v>143</v>
      </c>
      <c r="AP4607">
        <v>0</v>
      </c>
      <c r="AR4607" t="s">
        <v>4708</v>
      </c>
      <c r="AS4607" s="1">
        <v>44354.419444444444</v>
      </c>
      <c r="AT4607" s="1">
        <v>44354.434432870374</v>
      </c>
      <c r="AU4607" s="1">
        <v>44354.434432870374</v>
      </c>
      <c r="AV4607" t="s">
        <v>71</v>
      </c>
      <c r="AW4607" t="s">
        <v>72</v>
      </c>
      <c r="AX4607" t="s">
        <v>73</v>
      </c>
    </row>
    <row r="4608" spans="1:50" x14ac:dyDescent="0.3">
      <c r="A4608" t="str">
        <f>"202469B0000"</f>
        <v>202469B0000</v>
      </c>
      <c r="B4608" t="str">
        <f>"202469B00002"</f>
        <v>202469B00002</v>
      </c>
      <c r="C4608" t="str">
        <f t="shared" si="234"/>
        <v>20</v>
      </c>
      <c r="D4608" t="s">
        <v>67</v>
      </c>
      <c r="E4608" t="str">
        <f t="shared" si="235"/>
        <v>020</v>
      </c>
      <c r="F4608" t="s">
        <v>4506</v>
      </c>
      <c r="G4608" t="str">
        <f>"2469"</f>
        <v>2469</v>
      </c>
      <c r="H4608" t="str">
        <f>"0000"</f>
        <v>0000</v>
      </c>
      <c r="I4608" t="s">
        <v>69</v>
      </c>
      <c r="J4608">
        <v>0</v>
      </c>
      <c r="K4608">
        <v>1</v>
      </c>
      <c r="L4608">
        <v>2</v>
      </c>
      <c r="M4608">
        <v>216</v>
      </c>
      <c r="N4608">
        <v>394</v>
      </c>
      <c r="O4608">
        <v>6</v>
      </c>
      <c r="P4608">
        <v>394</v>
      </c>
      <c r="Q4608">
        <v>0</v>
      </c>
      <c r="R4608">
        <v>43</v>
      </c>
      <c r="S4608">
        <v>7</v>
      </c>
      <c r="T4608">
        <v>2</v>
      </c>
      <c r="U4608">
        <v>101</v>
      </c>
      <c r="V4608">
        <v>12</v>
      </c>
      <c r="W4608">
        <v>2</v>
      </c>
      <c r="X4608">
        <v>183</v>
      </c>
      <c r="Y4608">
        <v>3</v>
      </c>
      <c r="Z4608">
        <v>21</v>
      </c>
      <c r="AA4608">
        <v>4</v>
      </c>
      <c r="AB4608">
        <v>3</v>
      </c>
      <c r="AD4608">
        <v>0</v>
      </c>
      <c r="AE4608">
        <v>0</v>
      </c>
      <c r="AF4608">
        <v>0</v>
      </c>
      <c r="AG4608">
        <v>1</v>
      </c>
      <c r="AH4608">
        <v>0</v>
      </c>
      <c r="AI4608">
        <v>0</v>
      </c>
      <c r="AJ4608">
        <v>12</v>
      </c>
      <c r="AK4608">
        <v>394</v>
      </c>
      <c r="AL4608">
        <v>394</v>
      </c>
      <c r="AM4608">
        <v>566</v>
      </c>
      <c r="AN4608">
        <v>44</v>
      </c>
      <c r="AP4608">
        <v>1</v>
      </c>
      <c r="AR4608" t="s">
        <v>4709</v>
      </c>
      <c r="AS4608" s="1">
        <v>44354.102777777778</v>
      </c>
      <c r="AT4608" s="1">
        <v>44354.105810185189</v>
      </c>
      <c r="AU4608" s="1">
        <v>44354.106550925928</v>
      </c>
      <c r="AV4608" t="s">
        <v>71</v>
      </c>
      <c r="AW4608" t="s">
        <v>72</v>
      </c>
      <c r="AX4608" t="s">
        <v>73</v>
      </c>
    </row>
    <row r="4609" spans="1:50" x14ac:dyDescent="0.3">
      <c r="A4609" t="str">
        <f>"202469C0100"</f>
        <v>202469C0100</v>
      </c>
      <c r="B4609" t="str">
        <f>"202469C01002"</f>
        <v>202469C01002</v>
      </c>
      <c r="C4609" t="str">
        <f t="shared" si="234"/>
        <v>20</v>
      </c>
      <c r="D4609" t="s">
        <v>67</v>
      </c>
      <c r="E4609" t="str">
        <f t="shared" si="235"/>
        <v>020</v>
      </c>
      <c r="F4609" t="s">
        <v>4506</v>
      </c>
      <c r="G4609" t="str">
        <f>"2469"</f>
        <v>2469</v>
      </c>
      <c r="H4609" t="str">
        <f>"0001"</f>
        <v>0001</v>
      </c>
      <c r="I4609" t="s">
        <v>75</v>
      </c>
      <c r="J4609">
        <v>0</v>
      </c>
      <c r="K4609">
        <v>1</v>
      </c>
      <c r="L4609">
        <v>2</v>
      </c>
      <c r="M4609">
        <v>195</v>
      </c>
      <c r="N4609">
        <v>414</v>
      </c>
      <c r="O4609">
        <v>6</v>
      </c>
      <c r="P4609">
        <v>414</v>
      </c>
      <c r="Q4609">
        <v>2</v>
      </c>
      <c r="R4609">
        <v>54</v>
      </c>
      <c r="S4609">
        <v>6</v>
      </c>
      <c r="T4609">
        <v>0</v>
      </c>
      <c r="U4609">
        <v>95</v>
      </c>
      <c r="V4609">
        <v>2</v>
      </c>
      <c r="W4609">
        <v>7</v>
      </c>
      <c r="X4609">
        <v>182</v>
      </c>
      <c r="Y4609">
        <v>6</v>
      </c>
      <c r="Z4609">
        <v>47</v>
      </c>
      <c r="AA4609">
        <v>2</v>
      </c>
      <c r="AB4609">
        <v>2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8</v>
      </c>
      <c r="AK4609">
        <v>414</v>
      </c>
      <c r="AL4609">
        <v>413</v>
      </c>
      <c r="AM4609">
        <v>565</v>
      </c>
      <c r="AN4609">
        <v>44</v>
      </c>
      <c r="AP4609">
        <v>1</v>
      </c>
      <c r="AR4609" t="s">
        <v>4710</v>
      </c>
      <c r="AS4609" s="1">
        <v>44354.103472222225</v>
      </c>
      <c r="AT4609" s="1">
        <v>44354.107060185182</v>
      </c>
      <c r="AU4609" s="1">
        <v>44354.107743055552</v>
      </c>
      <c r="AV4609" t="s">
        <v>71</v>
      </c>
      <c r="AW4609" t="s">
        <v>72</v>
      </c>
      <c r="AX4609" t="s">
        <v>73</v>
      </c>
    </row>
    <row r="4610" spans="1:50" x14ac:dyDescent="0.3">
      <c r="A4610" t="str">
        <f>"200113B0000"</f>
        <v>200113B0000</v>
      </c>
      <c r="B4610" t="str">
        <f>"200113B00002"</f>
        <v>200113B00002</v>
      </c>
      <c r="C4610" t="str">
        <f t="shared" si="234"/>
        <v>20</v>
      </c>
      <c r="D4610" t="s">
        <v>67</v>
      </c>
      <c r="E4610" t="str">
        <f t="shared" ref="E4610:E4673" si="236">"021"</f>
        <v>021</v>
      </c>
      <c r="F4610" t="s">
        <v>4711</v>
      </c>
      <c r="G4610" t="str">
        <f>"0113"</f>
        <v>0113</v>
      </c>
      <c r="H4610" t="str">
        <f>"0000"</f>
        <v>0000</v>
      </c>
      <c r="I4610" t="s">
        <v>69</v>
      </c>
      <c r="J4610">
        <v>0</v>
      </c>
      <c r="K4610">
        <v>1</v>
      </c>
      <c r="L4610">
        <v>2</v>
      </c>
      <c r="M4610">
        <v>390</v>
      </c>
      <c r="N4610">
        <v>287</v>
      </c>
      <c r="O4610">
        <v>1</v>
      </c>
      <c r="P4610">
        <v>287</v>
      </c>
      <c r="Q4610">
        <v>34</v>
      </c>
      <c r="R4610">
        <v>54</v>
      </c>
      <c r="S4610">
        <v>4</v>
      </c>
      <c r="T4610">
        <v>4</v>
      </c>
      <c r="U4610">
        <v>17</v>
      </c>
      <c r="V4610">
        <v>5</v>
      </c>
      <c r="W4610">
        <v>4</v>
      </c>
      <c r="X4610">
        <v>114</v>
      </c>
      <c r="Y4610">
        <v>0</v>
      </c>
      <c r="Z4610">
        <v>2</v>
      </c>
      <c r="AA4610">
        <v>13</v>
      </c>
      <c r="AB4610">
        <v>3</v>
      </c>
      <c r="AD4610">
        <v>0</v>
      </c>
      <c r="AE4610">
        <v>1</v>
      </c>
      <c r="AF4610">
        <v>0</v>
      </c>
      <c r="AG4610">
        <v>1</v>
      </c>
      <c r="AI4610">
        <v>0</v>
      </c>
      <c r="AJ4610">
        <v>31</v>
      </c>
      <c r="AK4610">
        <v>287</v>
      </c>
      <c r="AL4610">
        <v>287</v>
      </c>
      <c r="AM4610">
        <v>633</v>
      </c>
      <c r="AN4610">
        <v>44</v>
      </c>
      <c r="AP4610">
        <v>1</v>
      </c>
      <c r="AR4610" t="s">
        <v>4712</v>
      </c>
      <c r="AS4610" s="1">
        <v>44354.074999999997</v>
      </c>
      <c r="AT4610" s="1">
        <v>44354.089965277781</v>
      </c>
      <c r="AU4610" s="1">
        <v>44354.09039351852</v>
      </c>
      <c r="AV4610" t="s">
        <v>71</v>
      </c>
      <c r="AW4610" t="s">
        <v>72</v>
      </c>
      <c r="AX4610" t="s">
        <v>73</v>
      </c>
    </row>
    <row r="4611" spans="1:50" x14ac:dyDescent="0.3">
      <c r="A4611" t="str">
        <f>"200113C0100"</f>
        <v>200113C0100</v>
      </c>
      <c r="B4611" t="str">
        <f>"200113C01002"</f>
        <v>200113C01002</v>
      </c>
      <c r="C4611" t="str">
        <f t="shared" si="234"/>
        <v>20</v>
      </c>
      <c r="D4611" t="s">
        <v>67</v>
      </c>
      <c r="E4611" t="str">
        <f t="shared" si="236"/>
        <v>021</v>
      </c>
      <c r="F4611" t="s">
        <v>4711</v>
      </c>
      <c r="G4611" t="str">
        <f>"0113"</f>
        <v>0113</v>
      </c>
      <c r="H4611" t="str">
        <f>"0001"</f>
        <v>0001</v>
      </c>
      <c r="I4611" t="s">
        <v>75</v>
      </c>
      <c r="J4611">
        <v>0</v>
      </c>
      <c r="K4611">
        <v>1</v>
      </c>
      <c r="L4611">
        <v>2</v>
      </c>
      <c r="M4611">
        <v>399</v>
      </c>
      <c r="N4611">
        <v>276</v>
      </c>
      <c r="O4611">
        <v>2</v>
      </c>
      <c r="P4611" t="s">
        <v>80</v>
      </c>
      <c r="Q4611">
        <v>25</v>
      </c>
      <c r="R4611">
        <v>62</v>
      </c>
      <c r="S4611">
        <v>8</v>
      </c>
      <c r="T4611">
        <v>14</v>
      </c>
      <c r="U4611">
        <v>16</v>
      </c>
      <c r="V4611">
        <v>4</v>
      </c>
      <c r="W4611">
        <v>4</v>
      </c>
      <c r="X4611">
        <v>105</v>
      </c>
      <c r="Y4611">
        <v>3</v>
      </c>
      <c r="Z4611">
        <v>8</v>
      </c>
      <c r="AA4611">
        <v>5</v>
      </c>
      <c r="AB4611">
        <v>2</v>
      </c>
      <c r="AD4611">
        <v>0</v>
      </c>
      <c r="AE4611">
        <v>0</v>
      </c>
      <c r="AF4611">
        <v>0</v>
      </c>
      <c r="AG4611">
        <v>0</v>
      </c>
      <c r="AI4611">
        <v>0</v>
      </c>
      <c r="AJ4611">
        <v>21</v>
      </c>
      <c r="AK4611">
        <v>277</v>
      </c>
      <c r="AL4611">
        <v>277</v>
      </c>
      <c r="AM4611">
        <v>633</v>
      </c>
      <c r="AN4611">
        <v>44</v>
      </c>
      <c r="AP4611">
        <v>1</v>
      </c>
      <c r="AR4611" t="s">
        <v>4713</v>
      </c>
      <c r="AS4611" s="1">
        <v>44354.075694444444</v>
      </c>
      <c r="AT4611" s="1">
        <v>44354.083587962959</v>
      </c>
      <c r="AU4611" s="1">
        <v>44354.084421296298</v>
      </c>
      <c r="AV4611" t="s">
        <v>71</v>
      </c>
      <c r="AW4611" t="s">
        <v>72</v>
      </c>
      <c r="AX4611" t="s">
        <v>73</v>
      </c>
    </row>
    <row r="4612" spans="1:50" x14ac:dyDescent="0.3">
      <c r="A4612" t="str">
        <f>"200114B0000"</f>
        <v>200114B0000</v>
      </c>
      <c r="B4612" t="str">
        <f>"200114B00002"</f>
        <v>200114B00002</v>
      </c>
      <c r="C4612" t="str">
        <f t="shared" si="234"/>
        <v>20</v>
      </c>
      <c r="D4612" t="s">
        <v>67</v>
      </c>
      <c r="E4612" t="str">
        <f t="shared" si="236"/>
        <v>021</v>
      </c>
      <c r="F4612" t="s">
        <v>4711</v>
      </c>
      <c r="G4612" t="str">
        <f>"0114"</f>
        <v>0114</v>
      </c>
      <c r="H4612" t="str">
        <f>"0000"</f>
        <v>0000</v>
      </c>
      <c r="I4612" t="s">
        <v>69</v>
      </c>
      <c r="J4612">
        <v>0</v>
      </c>
      <c r="K4612">
        <v>1</v>
      </c>
      <c r="L4612">
        <v>2</v>
      </c>
      <c r="M4612">
        <v>359</v>
      </c>
      <c r="N4612">
        <v>205</v>
      </c>
      <c r="O4612">
        <v>0</v>
      </c>
      <c r="P4612">
        <v>205</v>
      </c>
      <c r="Q4612">
        <v>36</v>
      </c>
      <c r="R4612">
        <v>23</v>
      </c>
      <c r="S4612">
        <v>9</v>
      </c>
      <c r="T4612">
        <v>5</v>
      </c>
      <c r="U4612">
        <v>8</v>
      </c>
      <c r="V4612">
        <v>3</v>
      </c>
      <c r="W4612">
        <v>3</v>
      </c>
      <c r="X4612">
        <v>82</v>
      </c>
      <c r="Y4612">
        <v>0</v>
      </c>
      <c r="Z4612">
        <v>1</v>
      </c>
      <c r="AA4612">
        <v>8</v>
      </c>
      <c r="AB4612">
        <v>2</v>
      </c>
      <c r="AD4612">
        <v>1</v>
      </c>
      <c r="AE4612">
        <v>0</v>
      </c>
      <c r="AF4612">
        <v>1</v>
      </c>
      <c r="AG4612">
        <v>1</v>
      </c>
      <c r="AI4612" t="s">
        <v>77</v>
      </c>
      <c r="AJ4612">
        <v>22</v>
      </c>
      <c r="AK4612">
        <v>205</v>
      </c>
      <c r="AL4612">
        <v>205</v>
      </c>
      <c r="AM4612">
        <v>520</v>
      </c>
      <c r="AN4612">
        <v>44</v>
      </c>
      <c r="AO4612" t="s">
        <v>78</v>
      </c>
      <c r="AP4612">
        <v>1</v>
      </c>
      <c r="AR4612" t="s">
        <v>4714</v>
      </c>
      <c r="AS4612" s="1">
        <v>44354.074305555558</v>
      </c>
      <c r="AT4612" s="1">
        <v>44354.270543981482</v>
      </c>
      <c r="AU4612" s="1">
        <v>44354.270868055559</v>
      </c>
      <c r="AV4612" t="s">
        <v>71</v>
      </c>
      <c r="AW4612" t="s">
        <v>72</v>
      </c>
      <c r="AX4612" t="s">
        <v>73</v>
      </c>
    </row>
    <row r="4613" spans="1:50" x14ac:dyDescent="0.3">
      <c r="A4613" t="str">
        <f>"200114C0100"</f>
        <v>200114C0100</v>
      </c>
      <c r="B4613" t="str">
        <f>"200114C01002"</f>
        <v>200114C01002</v>
      </c>
      <c r="C4613" t="str">
        <f t="shared" si="234"/>
        <v>20</v>
      </c>
      <c r="D4613" t="s">
        <v>67</v>
      </c>
      <c r="E4613" t="str">
        <f t="shared" si="236"/>
        <v>021</v>
      </c>
      <c r="F4613" t="s">
        <v>4711</v>
      </c>
      <c r="G4613" t="str">
        <f>"0114"</f>
        <v>0114</v>
      </c>
      <c r="H4613" t="str">
        <f>"0001"</f>
        <v>0001</v>
      </c>
      <c r="I4613" t="s">
        <v>75</v>
      </c>
      <c r="J4613">
        <v>0</v>
      </c>
      <c r="K4613">
        <v>1</v>
      </c>
      <c r="L4613">
        <v>2</v>
      </c>
      <c r="M4613">
        <v>344</v>
      </c>
      <c r="N4613">
        <v>220</v>
      </c>
      <c r="O4613">
        <v>0</v>
      </c>
      <c r="P4613" t="s">
        <v>80</v>
      </c>
      <c r="Q4613">
        <v>50</v>
      </c>
      <c r="R4613">
        <v>26</v>
      </c>
      <c r="S4613">
        <v>5</v>
      </c>
      <c r="T4613">
        <v>2</v>
      </c>
      <c r="U4613">
        <v>5</v>
      </c>
      <c r="V4613">
        <v>4</v>
      </c>
      <c r="W4613">
        <v>1</v>
      </c>
      <c r="X4613">
        <v>91</v>
      </c>
      <c r="Y4613">
        <v>3</v>
      </c>
      <c r="Z4613">
        <v>2</v>
      </c>
      <c r="AA4613">
        <v>4</v>
      </c>
      <c r="AB4613">
        <v>6</v>
      </c>
      <c r="AD4613">
        <v>0</v>
      </c>
      <c r="AE4613">
        <v>2</v>
      </c>
      <c r="AF4613">
        <v>2</v>
      </c>
      <c r="AG4613">
        <v>0</v>
      </c>
      <c r="AI4613">
        <v>0</v>
      </c>
      <c r="AJ4613">
        <v>17</v>
      </c>
      <c r="AK4613">
        <v>220</v>
      </c>
      <c r="AL4613">
        <v>220</v>
      </c>
      <c r="AM4613">
        <v>520</v>
      </c>
      <c r="AN4613">
        <v>44</v>
      </c>
      <c r="AP4613">
        <v>1</v>
      </c>
      <c r="AR4613" t="s">
        <v>4715</v>
      </c>
      <c r="AS4613" s="1">
        <v>44354.074305555558</v>
      </c>
      <c r="AT4613" s="1">
        <v>44354.095208333332</v>
      </c>
      <c r="AU4613" s="1">
        <v>44354.09574074074</v>
      </c>
      <c r="AV4613" t="s">
        <v>71</v>
      </c>
      <c r="AW4613" t="s">
        <v>72</v>
      </c>
      <c r="AX4613" t="s">
        <v>73</v>
      </c>
    </row>
    <row r="4614" spans="1:50" x14ac:dyDescent="0.3">
      <c r="A4614" t="str">
        <f>"200114C0200"</f>
        <v>200114C0200</v>
      </c>
      <c r="B4614" t="str">
        <f>"200114C02002"</f>
        <v>200114C02002</v>
      </c>
      <c r="C4614" t="str">
        <f t="shared" si="234"/>
        <v>20</v>
      </c>
      <c r="D4614" t="s">
        <v>67</v>
      </c>
      <c r="E4614" t="str">
        <f t="shared" si="236"/>
        <v>021</v>
      </c>
      <c r="F4614" t="s">
        <v>4711</v>
      </c>
      <c r="G4614" t="str">
        <f>"0114"</f>
        <v>0114</v>
      </c>
      <c r="H4614" t="str">
        <f>"0002"</f>
        <v>0002</v>
      </c>
      <c r="I4614" t="s">
        <v>75</v>
      </c>
      <c r="J4614">
        <v>0</v>
      </c>
      <c r="K4614">
        <v>1</v>
      </c>
      <c r="L4614">
        <v>2</v>
      </c>
      <c r="M4614">
        <v>359</v>
      </c>
      <c r="N4614">
        <v>204</v>
      </c>
      <c r="O4614">
        <v>0</v>
      </c>
      <c r="P4614">
        <v>204</v>
      </c>
      <c r="Q4614">
        <v>32</v>
      </c>
      <c r="R4614">
        <v>16</v>
      </c>
      <c r="S4614">
        <v>18</v>
      </c>
      <c r="T4614">
        <v>7</v>
      </c>
      <c r="U4614">
        <v>22</v>
      </c>
      <c r="V4614">
        <v>5</v>
      </c>
      <c r="W4614">
        <v>2</v>
      </c>
      <c r="X4614">
        <v>67</v>
      </c>
      <c r="Y4614">
        <v>2</v>
      </c>
      <c r="Z4614">
        <v>7</v>
      </c>
      <c r="AA4614">
        <v>6</v>
      </c>
      <c r="AB4614">
        <v>3</v>
      </c>
      <c r="AD4614">
        <v>2</v>
      </c>
      <c r="AE4614">
        <v>2</v>
      </c>
      <c r="AF4614" t="s">
        <v>77</v>
      </c>
      <c r="AG4614" t="s">
        <v>77</v>
      </c>
      <c r="AI4614" t="s">
        <v>77</v>
      </c>
      <c r="AJ4614">
        <v>13</v>
      </c>
      <c r="AK4614">
        <v>204</v>
      </c>
      <c r="AL4614">
        <v>204</v>
      </c>
      <c r="AM4614">
        <v>519</v>
      </c>
      <c r="AN4614">
        <v>44</v>
      </c>
      <c r="AO4614" t="s">
        <v>78</v>
      </c>
      <c r="AP4614">
        <v>1</v>
      </c>
      <c r="AR4614" t="s">
        <v>4716</v>
      </c>
      <c r="AS4614" s="1">
        <v>44354.073611111111</v>
      </c>
      <c r="AT4614" s="1">
        <v>44354.389340277776</v>
      </c>
      <c r="AU4614" s="1">
        <v>44354.390416666669</v>
      </c>
      <c r="AV4614" t="s">
        <v>71</v>
      </c>
      <c r="AW4614" t="s">
        <v>72</v>
      </c>
      <c r="AX4614" t="s">
        <v>73</v>
      </c>
    </row>
    <row r="4615" spans="1:50" x14ac:dyDescent="0.3">
      <c r="A4615" t="str">
        <f>"200115B0000"</f>
        <v>200115B0000</v>
      </c>
      <c r="B4615" t="str">
        <f>"200115B00002"</f>
        <v>200115B00002</v>
      </c>
      <c r="C4615" t="str">
        <f t="shared" ref="C4615:C4678" si="237">"20"</f>
        <v>20</v>
      </c>
      <c r="D4615" t="s">
        <v>67</v>
      </c>
      <c r="E4615" t="str">
        <f t="shared" si="236"/>
        <v>021</v>
      </c>
      <c r="F4615" t="s">
        <v>4711</v>
      </c>
      <c r="G4615" t="str">
        <f>"0115"</f>
        <v>0115</v>
      </c>
      <c r="H4615" t="str">
        <f>"0000"</f>
        <v>0000</v>
      </c>
      <c r="I4615" t="s">
        <v>69</v>
      </c>
      <c r="J4615">
        <v>0</v>
      </c>
      <c r="K4615">
        <v>1</v>
      </c>
      <c r="L4615">
        <v>2</v>
      </c>
      <c r="M4615">
        <v>355</v>
      </c>
      <c r="N4615">
        <v>406</v>
      </c>
      <c r="O4615">
        <v>0</v>
      </c>
      <c r="P4615">
        <v>406</v>
      </c>
      <c r="Q4615">
        <v>56</v>
      </c>
      <c r="R4615">
        <v>109</v>
      </c>
      <c r="S4615">
        <v>1</v>
      </c>
      <c r="T4615">
        <v>21</v>
      </c>
      <c r="U4615">
        <v>49</v>
      </c>
      <c r="V4615">
        <v>6</v>
      </c>
      <c r="W4615">
        <v>3</v>
      </c>
      <c r="X4615">
        <v>90</v>
      </c>
      <c r="Y4615">
        <v>1</v>
      </c>
      <c r="Z4615">
        <v>19</v>
      </c>
      <c r="AA4615">
        <v>3</v>
      </c>
      <c r="AB4615">
        <v>9</v>
      </c>
      <c r="AD4615">
        <v>3</v>
      </c>
      <c r="AE4615">
        <v>5</v>
      </c>
      <c r="AF4615">
        <v>0</v>
      </c>
      <c r="AG4615">
        <v>0</v>
      </c>
      <c r="AI4615">
        <v>0</v>
      </c>
      <c r="AJ4615">
        <v>31</v>
      </c>
      <c r="AK4615">
        <v>406</v>
      </c>
      <c r="AL4615">
        <v>406</v>
      </c>
      <c r="AM4615">
        <v>718</v>
      </c>
      <c r="AN4615">
        <v>44</v>
      </c>
      <c r="AP4615">
        <v>1</v>
      </c>
      <c r="AR4615" t="s">
        <v>4717</v>
      </c>
      <c r="AS4615" s="1">
        <v>44354.072916666664</v>
      </c>
      <c r="AT4615" s="1">
        <v>44354.081504629627</v>
      </c>
      <c r="AU4615" s="1">
        <v>44354.082372685189</v>
      </c>
      <c r="AV4615" t="s">
        <v>71</v>
      </c>
      <c r="AW4615" t="s">
        <v>72</v>
      </c>
      <c r="AX4615" t="s">
        <v>73</v>
      </c>
    </row>
    <row r="4616" spans="1:50" x14ac:dyDescent="0.3">
      <c r="A4616" t="str">
        <f>"200116B0000"</f>
        <v>200116B0000</v>
      </c>
      <c r="B4616" t="str">
        <f>"200116B00002"</f>
        <v>200116B00002</v>
      </c>
      <c r="C4616" t="str">
        <f t="shared" si="237"/>
        <v>20</v>
      </c>
      <c r="D4616" t="s">
        <v>67</v>
      </c>
      <c r="E4616" t="str">
        <f t="shared" si="236"/>
        <v>021</v>
      </c>
      <c r="F4616" t="s">
        <v>4711</v>
      </c>
      <c r="G4616" t="str">
        <f>"0116"</f>
        <v>0116</v>
      </c>
      <c r="H4616" t="str">
        <f>"0000"</f>
        <v>0000</v>
      </c>
      <c r="I4616" t="s">
        <v>69</v>
      </c>
      <c r="J4616">
        <v>0</v>
      </c>
      <c r="K4616">
        <v>1</v>
      </c>
      <c r="L4616">
        <v>2</v>
      </c>
      <c r="M4616">
        <v>452</v>
      </c>
      <c r="N4616">
        <v>298</v>
      </c>
      <c r="O4616">
        <v>1</v>
      </c>
      <c r="P4616">
        <v>298</v>
      </c>
      <c r="Q4616">
        <v>74</v>
      </c>
      <c r="R4616">
        <v>80</v>
      </c>
      <c r="S4616">
        <v>2</v>
      </c>
      <c r="T4616">
        <v>18</v>
      </c>
      <c r="U4616">
        <v>11</v>
      </c>
      <c r="V4616">
        <v>5</v>
      </c>
      <c r="W4616">
        <v>2</v>
      </c>
      <c r="X4616">
        <v>65</v>
      </c>
      <c r="Y4616">
        <v>2</v>
      </c>
      <c r="Z4616">
        <v>11</v>
      </c>
      <c r="AA4616">
        <v>3</v>
      </c>
      <c r="AB4616">
        <v>2</v>
      </c>
      <c r="AD4616">
        <v>1</v>
      </c>
      <c r="AE4616">
        <v>5</v>
      </c>
      <c r="AF4616">
        <v>0</v>
      </c>
      <c r="AG4616">
        <v>0</v>
      </c>
      <c r="AI4616">
        <v>0</v>
      </c>
      <c r="AJ4616">
        <v>17</v>
      </c>
      <c r="AK4616">
        <v>298</v>
      </c>
      <c r="AL4616">
        <v>298</v>
      </c>
      <c r="AM4616">
        <v>706</v>
      </c>
      <c r="AN4616">
        <v>44</v>
      </c>
      <c r="AP4616">
        <v>1</v>
      </c>
      <c r="AR4616" t="s">
        <v>4718</v>
      </c>
      <c r="AS4616" s="1">
        <v>44354.074999999997</v>
      </c>
      <c r="AT4616" s="1">
        <v>44354.089004629626</v>
      </c>
      <c r="AU4616" s="1">
        <v>44354.089641203704</v>
      </c>
      <c r="AV4616" t="s">
        <v>71</v>
      </c>
      <c r="AW4616" t="s">
        <v>72</v>
      </c>
      <c r="AX4616" t="s">
        <v>73</v>
      </c>
    </row>
    <row r="4617" spans="1:50" x14ac:dyDescent="0.3">
      <c r="A4617" t="str">
        <f>"200121B0000"</f>
        <v>200121B0000</v>
      </c>
      <c r="B4617" t="str">
        <f>"200121B00002"</f>
        <v>200121B00002</v>
      </c>
      <c r="C4617" t="str">
        <f t="shared" si="237"/>
        <v>20</v>
      </c>
      <c r="D4617" t="s">
        <v>67</v>
      </c>
      <c r="E4617" t="str">
        <f t="shared" si="236"/>
        <v>021</v>
      </c>
      <c r="F4617" t="s">
        <v>4711</v>
      </c>
      <c r="G4617" t="str">
        <f>"0121"</f>
        <v>0121</v>
      </c>
      <c r="H4617" t="str">
        <f>"0000"</f>
        <v>0000</v>
      </c>
      <c r="I4617" t="s">
        <v>69</v>
      </c>
      <c r="J4617">
        <v>0</v>
      </c>
      <c r="K4617">
        <v>1</v>
      </c>
      <c r="L4617">
        <v>2</v>
      </c>
      <c r="M4617">
        <v>276</v>
      </c>
      <c r="N4617">
        <v>171</v>
      </c>
      <c r="O4617">
        <v>0</v>
      </c>
      <c r="P4617">
        <v>171</v>
      </c>
      <c r="Q4617">
        <v>13</v>
      </c>
      <c r="R4617">
        <v>78</v>
      </c>
      <c r="S4617">
        <v>1</v>
      </c>
      <c r="T4617">
        <v>18</v>
      </c>
      <c r="U4617">
        <v>1</v>
      </c>
      <c r="V4617">
        <v>2</v>
      </c>
      <c r="W4617">
        <v>4</v>
      </c>
      <c r="X4617">
        <v>41</v>
      </c>
      <c r="Y4617">
        <v>0</v>
      </c>
      <c r="Z4617">
        <v>1</v>
      </c>
      <c r="AA4617">
        <v>0</v>
      </c>
      <c r="AB4617">
        <v>0</v>
      </c>
      <c r="AD4617">
        <v>0</v>
      </c>
      <c r="AE4617">
        <v>0</v>
      </c>
      <c r="AF4617">
        <v>0</v>
      </c>
      <c r="AG4617">
        <v>1</v>
      </c>
      <c r="AI4617">
        <v>0</v>
      </c>
      <c r="AJ4617">
        <v>11</v>
      </c>
      <c r="AK4617">
        <v>171</v>
      </c>
      <c r="AL4617">
        <v>171</v>
      </c>
      <c r="AM4617">
        <v>403</v>
      </c>
      <c r="AN4617">
        <v>44</v>
      </c>
      <c r="AP4617">
        <v>1</v>
      </c>
      <c r="AR4617" t="s">
        <v>4719</v>
      </c>
      <c r="AS4617" s="1">
        <v>44354.061805555553</v>
      </c>
      <c r="AT4617" s="1">
        <v>44354.073738425926</v>
      </c>
      <c r="AU4617" s="1">
        <v>44354.074293981481</v>
      </c>
      <c r="AV4617" t="s">
        <v>71</v>
      </c>
      <c r="AW4617" t="s">
        <v>72</v>
      </c>
      <c r="AX4617" t="s">
        <v>73</v>
      </c>
    </row>
    <row r="4618" spans="1:50" x14ac:dyDescent="0.3">
      <c r="A4618" t="str">
        <f>"200121C0100"</f>
        <v>200121C0100</v>
      </c>
      <c r="B4618" t="str">
        <f>"200121C01002"</f>
        <v>200121C01002</v>
      </c>
      <c r="C4618" t="str">
        <f t="shared" si="237"/>
        <v>20</v>
      </c>
      <c r="D4618" t="s">
        <v>67</v>
      </c>
      <c r="E4618" t="str">
        <f t="shared" si="236"/>
        <v>021</v>
      </c>
      <c r="F4618" t="s">
        <v>4711</v>
      </c>
      <c r="G4618" t="str">
        <f>"0121"</f>
        <v>0121</v>
      </c>
      <c r="H4618" t="str">
        <f>"0001"</f>
        <v>0001</v>
      </c>
      <c r="I4618" t="s">
        <v>75</v>
      </c>
      <c r="J4618">
        <v>0</v>
      </c>
      <c r="K4618">
        <v>1</v>
      </c>
      <c r="L4618">
        <v>2</v>
      </c>
      <c r="M4618">
        <v>321</v>
      </c>
      <c r="N4618">
        <v>126</v>
      </c>
      <c r="O4618">
        <v>0</v>
      </c>
      <c r="P4618">
        <v>126</v>
      </c>
      <c r="Q4618">
        <v>10</v>
      </c>
      <c r="R4618">
        <v>53</v>
      </c>
      <c r="S4618">
        <v>0</v>
      </c>
      <c r="T4618">
        <v>23</v>
      </c>
      <c r="U4618">
        <v>1</v>
      </c>
      <c r="V4618">
        <v>0</v>
      </c>
      <c r="W4618">
        <v>7</v>
      </c>
      <c r="X4618">
        <v>27</v>
      </c>
      <c r="Y4618">
        <v>0</v>
      </c>
      <c r="Z4618">
        <v>2</v>
      </c>
      <c r="AA4618">
        <v>3</v>
      </c>
      <c r="AB4618">
        <v>0</v>
      </c>
      <c r="AD4618">
        <v>0</v>
      </c>
      <c r="AE4618">
        <v>0</v>
      </c>
      <c r="AF4618">
        <v>0</v>
      </c>
      <c r="AG4618">
        <v>0</v>
      </c>
      <c r="AI4618">
        <v>0</v>
      </c>
      <c r="AJ4618">
        <v>5</v>
      </c>
      <c r="AK4618">
        <v>126</v>
      </c>
      <c r="AL4618">
        <v>131</v>
      </c>
      <c r="AM4618">
        <v>403</v>
      </c>
      <c r="AN4618">
        <v>44</v>
      </c>
      <c r="AP4618">
        <v>1</v>
      </c>
      <c r="AR4618" t="s">
        <v>4720</v>
      </c>
      <c r="AS4618" s="1">
        <v>44354.061805555553</v>
      </c>
      <c r="AT4618" s="1">
        <v>44354.070821759262</v>
      </c>
      <c r="AU4618" s="1">
        <v>44354.071539351855</v>
      </c>
      <c r="AV4618" t="s">
        <v>71</v>
      </c>
      <c r="AW4618" t="s">
        <v>72</v>
      </c>
      <c r="AX4618" t="s">
        <v>73</v>
      </c>
    </row>
    <row r="4619" spans="1:50" x14ac:dyDescent="0.3">
      <c r="A4619" t="str">
        <f>"200122B0000"</f>
        <v>200122B0000</v>
      </c>
      <c r="B4619" t="str">
        <f>"200122B00002"</f>
        <v>200122B00002</v>
      </c>
      <c r="C4619" t="str">
        <f t="shared" si="237"/>
        <v>20</v>
      </c>
      <c r="D4619" t="s">
        <v>67</v>
      </c>
      <c r="E4619" t="str">
        <f t="shared" si="236"/>
        <v>021</v>
      </c>
      <c r="F4619" t="s">
        <v>4711</v>
      </c>
      <c r="G4619" t="str">
        <f>"0122"</f>
        <v>0122</v>
      </c>
      <c r="H4619" t="str">
        <f>"0000"</f>
        <v>0000</v>
      </c>
      <c r="I4619" t="s">
        <v>69</v>
      </c>
      <c r="J4619">
        <v>0</v>
      </c>
      <c r="K4619">
        <v>1</v>
      </c>
      <c r="L4619">
        <v>2</v>
      </c>
      <c r="M4619">
        <v>260</v>
      </c>
      <c r="N4619">
        <v>206</v>
      </c>
      <c r="O4619">
        <v>0</v>
      </c>
      <c r="P4619">
        <v>206</v>
      </c>
      <c r="Q4619">
        <v>11</v>
      </c>
      <c r="R4619">
        <v>44</v>
      </c>
      <c r="S4619">
        <v>3</v>
      </c>
      <c r="T4619">
        <v>3</v>
      </c>
      <c r="U4619">
        <v>33</v>
      </c>
      <c r="V4619">
        <v>3</v>
      </c>
      <c r="W4619">
        <v>14</v>
      </c>
      <c r="X4619">
        <v>72</v>
      </c>
      <c r="Y4619" t="s">
        <v>77</v>
      </c>
      <c r="Z4619">
        <v>2</v>
      </c>
      <c r="AA4619">
        <v>14</v>
      </c>
      <c r="AB4619" t="s">
        <v>77</v>
      </c>
      <c r="AD4619">
        <v>1</v>
      </c>
      <c r="AE4619">
        <v>1</v>
      </c>
      <c r="AF4619" t="s">
        <v>77</v>
      </c>
      <c r="AG4619" t="s">
        <v>77</v>
      </c>
      <c r="AI4619" t="s">
        <v>77</v>
      </c>
      <c r="AJ4619" t="s">
        <v>77</v>
      </c>
      <c r="AK4619" t="s">
        <v>77</v>
      </c>
      <c r="AL4619">
        <v>201</v>
      </c>
      <c r="AM4619">
        <v>423</v>
      </c>
      <c r="AN4619">
        <v>44</v>
      </c>
      <c r="AO4619" t="s">
        <v>78</v>
      </c>
      <c r="AP4619">
        <v>1</v>
      </c>
      <c r="AR4619" t="s">
        <v>4721</v>
      </c>
      <c r="AS4619" s="1">
        <v>44354.015972222223</v>
      </c>
      <c r="AT4619" s="1">
        <v>44354.115937499999</v>
      </c>
      <c r="AU4619" s="1">
        <v>44354.116736111115</v>
      </c>
      <c r="AV4619" t="s">
        <v>71</v>
      </c>
      <c r="AW4619" t="s">
        <v>72</v>
      </c>
      <c r="AX4619" t="s">
        <v>73</v>
      </c>
    </row>
    <row r="4620" spans="1:50" x14ac:dyDescent="0.3">
      <c r="A4620" t="str">
        <f>"200123B0000"</f>
        <v>200123B0000</v>
      </c>
      <c r="B4620" t="str">
        <f>"200123B00002"</f>
        <v>200123B00002</v>
      </c>
      <c r="C4620" t="str">
        <f t="shared" si="237"/>
        <v>20</v>
      </c>
      <c r="D4620" t="s">
        <v>67</v>
      </c>
      <c r="E4620" t="str">
        <f t="shared" si="236"/>
        <v>021</v>
      </c>
      <c r="F4620" t="s">
        <v>4711</v>
      </c>
      <c r="G4620" t="str">
        <f>"0123"</f>
        <v>0123</v>
      </c>
      <c r="H4620" t="str">
        <f>"0000"</f>
        <v>0000</v>
      </c>
      <c r="I4620" t="s">
        <v>69</v>
      </c>
      <c r="J4620">
        <v>0</v>
      </c>
      <c r="K4620">
        <v>1</v>
      </c>
      <c r="L4620">
        <v>2</v>
      </c>
      <c r="M4620">
        <v>297</v>
      </c>
      <c r="N4620">
        <v>216</v>
      </c>
      <c r="O4620">
        <v>0</v>
      </c>
      <c r="P4620">
        <v>216</v>
      </c>
      <c r="Q4620">
        <v>8</v>
      </c>
      <c r="R4620">
        <v>49</v>
      </c>
      <c r="S4620">
        <v>1</v>
      </c>
      <c r="T4620">
        <v>11</v>
      </c>
      <c r="U4620">
        <v>0</v>
      </c>
      <c r="V4620">
        <v>0</v>
      </c>
      <c r="W4620">
        <v>98</v>
      </c>
      <c r="X4620">
        <v>31</v>
      </c>
      <c r="Y4620">
        <v>1</v>
      </c>
      <c r="Z4620">
        <v>3</v>
      </c>
      <c r="AA4620">
        <v>3</v>
      </c>
      <c r="AB4620">
        <v>0</v>
      </c>
      <c r="AD4620">
        <v>0</v>
      </c>
      <c r="AE4620">
        <v>0</v>
      </c>
      <c r="AF4620">
        <v>0</v>
      </c>
      <c r="AG4620">
        <v>0</v>
      </c>
      <c r="AI4620">
        <v>0</v>
      </c>
      <c r="AJ4620">
        <v>11</v>
      </c>
      <c r="AK4620">
        <v>216</v>
      </c>
      <c r="AL4620">
        <v>216</v>
      </c>
      <c r="AM4620">
        <v>469</v>
      </c>
      <c r="AN4620">
        <v>44</v>
      </c>
      <c r="AP4620">
        <v>1</v>
      </c>
      <c r="AR4620" t="s">
        <v>4722</v>
      </c>
      <c r="AS4620" s="1">
        <v>44354.061111111114</v>
      </c>
      <c r="AT4620" s="1">
        <v>44354.098958333336</v>
      </c>
      <c r="AU4620" s="1">
        <v>44354.099652777775</v>
      </c>
      <c r="AV4620" t="s">
        <v>71</v>
      </c>
      <c r="AW4620" t="s">
        <v>72</v>
      </c>
      <c r="AX4620" t="s">
        <v>73</v>
      </c>
    </row>
    <row r="4621" spans="1:50" x14ac:dyDescent="0.3">
      <c r="A4621" t="str">
        <f>"200123C0100"</f>
        <v>200123C0100</v>
      </c>
      <c r="B4621" t="str">
        <f>"200123C01002"</f>
        <v>200123C01002</v>
      </c>
      <c r="C4621" t="str">
        <f t="shared" si="237"/>
        <v>20</v>
      </c>
      <c r="D4621" t="s">
        <v>67</v>
      </c>
      <c r="E4621" t="str">
        <f t="shared" si="236"/>
        <v>021</v>
      </c>
      <c r="F4621" t="s">
        <v>4711</v>
      </c>
      <c r="G4621" t="str">
        <f>"0123"</f>
        <v>0123</v>
      </c>
      <c r="H4621" t="str">
        <f>"0001"</f>
        <v>0001</v>
      </c>
      <c r="I4621" t="s">
        <v>75</v>
      </c>
      <c r="J4621">
        <v>0</v>
      </c>
      <c r="K4621">
        <v>1</v>
      </c>
      <c r="L4621">
        <v>2</v>
      </c>
      <c r="M4621">
        <v>322</v>
      </c>
      <c r="N4621">
        <v>191</v>
      </c>
      <c r="O4621">
        <v>0</v>
      </c>
      <c r="P4621">
        <v>191</v>
      </c>
      <c r="Q4621">
        <v>2</v>
      </c>
      <c r="R4621">
        <v>53</v>
      </c>
      <c r="S4621">
        <v>0</v>
      </c>
      <c r="T4621">
        <v>11</v>
      </c>
      <c r="U4621">
        <v>2</v>
      </c>
      <c r="V4621">
        <v>0</v>
      </c>
      <c r="W4621">
        <v>68</v>
      </c>
      <c r="X4621">
        <v>35</v>
      </c>
      <c r="Y4621">
        <v>1</v>
      </c>
      <c r="Z4621">
        <v>2</v>
      </c>
      <c r="AA4621">
        <v>3</v>
      </c>
      <c r="AB4621">
        <v>0</v>
      </c>
      <c r="AD4621">
        <v>2</v>
      </c>
      <c r="AE4621">
        <v>0</v>
      </c>
      <c r="AF4621">
        <v>0</v>
      </c>
      <c r="AG4621">
        <v>0</v>
      </c>
      <c r="AI4621">
        <v>0</v>
      </c>
      <c r="AJ4621">
        <v>12</v>
      </c>
      <c r="AK4621">
        <v>191</v>
      </c>
      <c r="AL4621">
        <v>191</v>
      </c>
      <c r="AM4621">
        <v>469</v>
      </c>
      <c r="AN4621">
        <v>44</v>
      </c>
      <c r="AP4621">
        <v>1</v>
      </c>
      <c r="AR4621" t="s">
        <v>4723</v>
      </c>
      <c r="AS4621" s="1">
        <v>44354.061111111114</v>
      </c>
      <c r="AT4621" s="1">
        <v>44354.098935185182</v>
      </c>
      <c r="AU4621" s="1">
        <v>44354.099560185183</v>
      </c>
      <c r="AV4621" t="s">
        <v>71</v>
      </c>
      <c r="AW4621" t="s">
        <v>72</v>
      </c>
      <c r="AX4621" t="s">
        <v>73</v>
      </c>
    </row>
    <row r="4622" spans="1:50" x14ac:dyDescent="0.3">
      <c r="A4622" t="str">
        <f>"200124B0000"</f>
        <v>200124B0000</v>
      </c>
      <c r="B4622" t="str">
        <f>"200124B00002"</f>
        <v>200124B00002</v>
      </c>
      <c r="C4622" t="str">
        <f t="shared" si="237"/>
        <v>20</v>
      </c>
      <c r="D4622" t="s">
        <v>67</v>
      </c>
      <c r="E4622" t="str">
        <f t="shared" si="236"/>
        <v>021</v>
      </c>
      <c r="F4622" t="s">
        <v>4711</v>
      </c>
      <c r="G4622" t="str">
        <f>"0124"</f>
        <v>0124</v>
      </c>
      <c r="H4622" t="str">
        <f>"0000"</f>
        <v>0000</v>
      </c>
      <c r="I4622" t="s">
        <v>69</v>
      </c>
      <c r="J4622">
        <v>0</v>
      </c>
      <c r="K4622">
        <v>1</v>
      </c>
      <c r="L4622">
        <v>2</v>
      </c>
      <c r="M4622">
        <v>316</v>
      </c>
      <c r="N4622">
        <v>345</v>
      </c>
      <c r="O4622">
        <v>7</v>
      </c>
      <c r="P4622">
        <v>238</v>
      </c>
      <c r="Q4622">
        <v>23</v>
      </c>
      <c r="R4622">
        <v>126</v>
      </c>
      <c r="S4622">
        <v>4</v>
      </c>
      <c r="T4622">
        <v>18</v>
      </c>
      <c r="U4622">
        <v>39</v>
      </c>
      <c r="V4622">
        <v>2</v>
      </c>
      <c r="W4622">
        <v>45</v>
      </c>
      <c r="X4622">
        <v>41</v>
      </c>
      <c r="Y4622" t="s">
        <v>77</v>
      </c>
      <c r="Z4622">
        <v>6</v>
      </c>
      <c r="AA4622">
        <v>3</v>
      </c>
      <c r="AB4622">
        <v>3</v>
      </c>
      <c r="AD4622">
        <v>3</v>
      </c>
      <c r="AE4622">
        <v>1</v>
      </c>
      <c r="AF4622" t="s">
        <v>99</v>
      </c>
      <c r="AG4622">
        <v>3</v>
      </c>
      <c r="AI4622" t="s">
        <v>77</v>
      </c>
      <c r="AJ4622">
        <v>21</v>
      </c>
      <c r="AK4622">
        <v>238</v>
      </c>
      <c r="AL4622">
        <v>338</v>
      </c>
      <c r="AM4622">
        <v>610</v>
      </c>
      <c r="AN4622">
        <v>44</v>
      </c>
      <c r="AO4622" t="s">
        <v>78</v>
      </c>
      <c r="AP4622">
        <v>1</v>
      </c>
      <c r="AR4622" t="s">
        <v>4724</v>
      </c>
      <c r="AS4622" s="1">
        <v>44354.060416666667</v>
      </c>
      <c r="AT4622" s="1">
        <v>44354.100462962961</v>
      </c>
      <c r="AU4622" s="1">
        <v>44354.102118055554</v>
      </c>
      <c r="AV4622" t="s">
        <v>71</v>
      </c>
      <c r="AW4622" t="s">
        <v>72</v>
      </c>
      <c r="AX4622" t="s">
        <v>73</v>
      </c>
    </row>
    <row r="4623" spans="1:50" x14ac:dyDescent="0.3">
      <c r="A4623" t="str">
        <f>"200157B0000"</f>
        <v>200157B0000</v>
      </c>
      <c r="B4623" t="str">
        <f>"200157B00002"</f>
        <v>200157B00002</v>
      </c>
      <c r="C4623" t="str">
        <f t="shared" si="237"/>
        <v>20</v>
      </c>
      <c r="D4623" t="s">
        <v>67</v>
      </c>
      <c r="E4623" t="str">
        <f t="shared" si="236"/>
        <v>021</v>
      </c>
      <c r="F4623" t="s">
        <v>4711</v>
      </c>
      <c r="G4623" t="str">
        <f>"0157"</f>
        <v>0157</v>
      </c>
      <c r="H4623" t="str">
        <f>"0000"</f>
        <v>0000</v>
      </c>
      <c r="I4623" t="s">
        <v>69</v>
      </c>
      <c r="J4623">
        <v>0</v>
      </c>
      <c r="K4623">
        <v>1</v>
      </c>
      <c r="L4623">
        <v>2</v>
      </c>
      <c r="M4623">
        <v>258</v>
      </c>
      <c r="N4623">
        <v>517</v>
      </c>
      <c r="O4623">
        <v>0</v>
      </c>
      <c r="P4623">
        <v>517</v>
      </c>
      <c r="Q4623">
        <v>172</v>
      </c>
      <c r="R4623">
        <v>28</v>
      </c>
      <c r="S4623">
        <v>0</v>
      </c>
      <c r="T4623">
        <v>181</v>
      </c>
      <c r="U4623">
        <v>14</v>
      </c>
      <c r="V4623">
        <v>3</v>
      </c>
      <c r="W4623">
        <v>1</v>
      </c>
      <c r="X4623">
        <v>85</v>
      </c>
      <c r="Y4623">
        <v>2</v>
      </c>
      <c r="Z4623">
        <v>8</v>
      </c>
      <c r="AA4623">
        <v>2</v>
      </c>
      <c r="AB4623">
        <v>1</v>
      </c>
      <c r="AD4623">
        <v>3</v>
      </c>
      <c r="AE4623">
        <v>0</v>
      </c>
      <c r="AF4623">
        <v>2</v>
      </c>
      <c r="AG4623">
        <v>0</v>
      </c>
      <c r="AI4623">
        <v>0</v>
      </c>
      <c r="AJ4623">
        <v>15</v>
      </c>
      <c r="AK4623">
        <v>517</v>
      </c>
      <c r="AL4623">
        <v>517</v>
      </c>
      <c r="AM4623">
        <v>731</v>
      </c>
      <c r="AN4623">
        <v>44</v>
      </c>
      <c r="AP4623">
        <v>1</v>
      </c>
      <c r="AR4623" t="s">
        <v>4725</v>
      </c>
      <c r="AS4623" s="1">
        <v>44354.038888888892</v>
      </c>
      <c r="AT4623" s="1">
        <v>44354.049155092594</v>
      </c>
      <c r="AU4623" s="1">
        <v>44354.049803240741</v>
      </c>
      <c r="AV4623" t="s">
        <v>71</v>
      </c>
      <c r="AW4623" t="s">
        <v>72</v>
      </c>
      <c r="AX4623" t="s">
        <v>73</v>
      </c>
    </row>
    <row r="4624" spans="1:50" x14ac:dyDescent="0.3">
      <c r="A4624" t="str">
        <f>"200157C0100"</f>
        <v>200157C0100</v>
      </c>
      <c r="B4624" t="str">
        <f>"200157C01002"</f>
        <v>200157C01002</v>
      </c>
      <c r="C4624" t="str">
        <f t="shared" si="237"/>
        <v>20</v>
      </c>
      <c r="D4624" t="s">
        <v>67</v>
      </c>
      <c r="E4624" t="str">
        <f t="shared" si="236"/>
        <v>021</v>
      </c>
      <c r="F4624" t="s">
        <v>4711</v>
      </c>
      <c r="G4624" t="str">
        <f>"0157"</f>
        <v>0157</v>
      </c>
      <c r="H4624" t="str">
        <f>"0001"</f>
        <v>0001</v>
      </c>
      <c r="I4624" t="s">
        <v>75</v>
      </c>
      <c r="J4624">
        <v>0</v>
      </c>
      <c r="K4624">
        <v>1</v>
      </c>
      <c r="L4624">
        <v>2</v>
      </c>
      <c r="AM4624">
        <v>730</v>
      </c>
      <c r="AN4624">
        <v>44</v>
      </c>
      <c r="AO4624" t="s">
        <v>352</v>
      </c>
      <c r="AP4624">
        <v>0</v>
      </c>
      <c r="AR4624" t="s">
        <v>4726</v>
      </c>
      <c r="AS4624" s="1">
        <v>44354.674305555556</v>
      </c>
      <c r="AT4624" s="1">
        <v>44354.677835648145</v>
      </c>
      <c r="AU4624" s="1">
        <v>44354.677835648145</v>
      </c>
      <c r="AV4624" t="s">
        <v>71</v>
      </c>
      <c r="AW4624" t="s">
        <v>72</v>
      </c>
      <c r="AX4624" t="s">
        <v>73</v>
      </c>
    </row>
    <row r="4625" spans="1:50" x14ac:dyDescent="0.3">
      <c r="A4625" t="str">
        <f>"200157C0200"</f>
        <v>200157C0200</v>
      </c>
      <c r="B4625" t="str">
        <f>"200157C02002"</f>
        <v>200157C02002</v>
      </c>
      <c r="C4625" t="str">
        <f t="shared" si="237"/>
        <v>20</v>
      </c>
      <c r="D4625" t="s">
        <v>67</v>
      </c>
      <c r="E4625" t="str">
        <f t="shared" si="236"/>
        <v>021</v>
      </c>
      <c r="F4625" t="s">
        <v>4711</v>
      </c>
      <c r="G4625" t="str">
        <f>"0157"</f>
        <v>0157</v>
      </c>
      <c r="H4625" t="str">
        <f>"0002"</f>
        <v>0002</v>
      </c>
      <c r="I4625" t="s">
        <v>75</v>
      </c>
      <c r="J4625">
        <v>0</v>
      </c>
      <c r="K4625">
        <v>1</v>
      </c>
      <c r="L4625">
        <v>2</v>
      </c>
      <c r="M4625">
        <v>253</v>
      </c>
      <c r="N4625">
        <v>521</v>
      </c>
      <c r="O4625">
        <v>0</v>
      </c>
      <c r="P4625">
        <v>521</v>
      </c>
      <c r="Q4625">
        <v>149</v>
      </c>
      <c r="R4625">
        <v>16</v>
      </c>
      <c r="S4625">
        <v>0</v>
      </c>
      <c r="T4625">
        <v>210</v>
      </c>
      <c r="U4625">
        <v>13</v>
      </c>
      <c r="V4625">
        <v>4</v>
      </c>
      <c r="W4625">
        <v>1</v>
      </c>
      <c r="X4625">
        <v>99</v>
      </c>
      <c r="Y4625">
        <v>1</v>
      </c>
      <c r="Z4625">
        <v>7</v>
      </c>
      <c r="AA4625">
        <v>2</v>
      </c>
      <c r="AB4625">
        <v>2</v>
      </c>
      <c r="AD4625">
        <v>1</v>
      </c>
      <c r="AE4625">
        <v>1</v>
      </c>
      <c r="AF4625">
        <v>0</v>
      </c>
      <c r="AG4625">
        <v>0</v>
      </c>
      <c r="AI4625">
        <v>0</v>
      </c>
      <c r="AJ4625">
        <v>15</v>
      </c>
      <c r="AK4625">
        <v>521</v>
      </c>
      <c r="AL4625">
        <v>521</v>
      </c>
      <c r="AM4625">
        <v>730</v>
      </c>
      <c r="AN4625">
        <v>44</v>
      </c>
      <c r="AP4625">
        <v>1</v>
      </c>
      <c r="AR4625" t="s">
        <v>4727</v>
      </c>
      <c r="AS4625" s="1">
        <v>44354.038888888892</v>
      </c>
      <c r="AT4625" s="1">
        <v>44354.051354166666</v>
      </c>
      <c r="AU4625" s="1">
        <v>44354.052928240744</v>
      </c>
      <c r="AV4625" t="s">
        <v>71</v>
      </c>
      <c r="AW4625" t="s">
        <v>72</v>
      </c>
      <c r="AX4625" t="s">
        <v>73</v>
      </c>
    </row>
    <row r="4626" spans="1:50" x14ac:dyDescent="0.3">
      <c r="A4626" t="str">
        <f>"200157C0300"</f>
        <v>200157C0300</v>
      </c>
      <c r="B4626" t="str">
        <f>"200157C03002"</f>
        <v>200157C03002</v>
      </c>
      <c r="C4626" t="str">
        <f t="shared" si="237"/>
        <v>20</v>
      </c>
      <c r="D4626" t="s">
        <v>67</v>
      </c>
      <c r="E4626" t="str">
        <f t="shared" si="236"/>
        <v>021</v>
      </c>
      <c r="F4626" t="s">
        <v>4711</v>
      </c>
      <c r="G4626" t="str">
        <f>"0157"</f>
        <v>0157</v>
      </c>
      <c r="H4626" t="str">
        <f>"0003"</f>
        <v>0003</v>
      </c>
      <c r="I4626" t="s">
        <v>75</v>
      </c>
      <c r="J4626">
        <v>0</v>
      </c>
      <c r="K4626">
        <v>1</v>
      </c>
      <c r="L4626">
        <v>2</v>
      </c>
      <c r="M4626">
        <v>270</v>
      </c>
      <c r="N4626">
        <v>504</v>
      </c>
      <c r="O4626">
        <v>2</v>
      </c>
      <c r="P4626" t="s">
        <v>80</v>
      </c>
      <c r="Q4626">
        <v>142</v>
      </c>
      <c r="R4626">
        <v>17</v>
      </c>
      <c r="S4626">
        <v>2</v>
      </c>
      <c r="T4626">
        <v>178</v>
      </c>
      <c r="U4626">
        <v>12</v>
      </c>
      <c r="V4626">
        <v>5</v>
      </c>
      <c r="W4626">
        <v>0</v>
      </c>
      <c r="X4626">
        <v>115</v>
      </c>
      <c r="Y4626">
        <v>3</v>
      </c>
      <c r="Z4626">
        <v>3</v>
      </c>
      <c r="AA4626">
        <v>2</v>
      </c>
      <c r="AB4626">
        <v>2</v>
      </c>
      <c r="AD4626">
        <v>5</v>
      </c>
      <c r="AE4626">
        <v>0</v>
      </c>
      <c r="AF4626">
        <v>0</v>
      </c>
      <c r="AG4626">
        <v>0</v>
      </c>
      <c r="AI4626">
        <v>0</v>
      </c>
      <c r="AJ4626">
        <v>18</v>
      </c>
      <c r="AK4626">
        <v>504</v>
      </c>
      <c r="AL4626">
        <v>504</v>
      </c>
      <c r="AM4626">
        <v>730</v>
      </c>
      <c r="AN4626">
        <v>44</v>
      </c>
      <c r="AP4626">
        <v>1</v>
      </c>
      <c r="AR4626" t="s">
        <v>4728</v>
      </c>
      <c r="AS4626" s="1">
        <v>44354.26458333333</v>
      </c>
      <c r="AT4626" s="1">
        <v>44354.265960648147</v>
      </c>
      <c r="AU4626" s="1">
        <v>44354.266851851855</v>
      </c>
      <c r="AV4626" t="s">
        <v>71</v>
      </c>
      <c r="AW4626" t="s">
        <v>72</v>
      </c>
      <c r="AX4626" t="s">
        <v>73</v>
      </c>
    </row>
    <row r="4627" spans="1:50" x14ac:dyDescent="0.3">
      <c r="A4627" t="str">
        <f>"200158B0000"</f>
        <v>200158B0000</v>
      </c>
      <c r="B4627" t="str">
        <f>"200158B00002"</f>
        <v>200158B00002</v>
      </c>
      <c r="C4627" t="str">
        <f t="shared" si="237"/>
        <v>20</v>
      </c>
      <c r="D4627" t="s">
        <v>67</v>
      </c>
      <c r="E4627" t="str">
        <f t="shared" si="236"/>
        <v>021</v>
      </c>
      <c r="F4627" t="s">
        <v>4711</v>
      </c>
      <c r="G4627" t="str">
        <f>"0158"</f>
        <v>0158</v>
      </c>
      <c r="H4627" t="str">
        <f>"0000"</f>
        <v>0000</v>
      </c>
      <c r="I4627" t="s">
        <v>69</v>
      </c>
      <c r="J4627">
        <v>0</v>
      </c>
      <c r="K4627">
        <v>1</v>
      </c>
      <c r="L4627">
        <v>2</v>
      </c>
      <c r="M4627">
        <v>277</v>
      </c>
      <c r="N4627">
        <v>485</v>
      </c>
      <c r="O4627">
        <v>1</v>
      </c>
      <c r="P4627">
        <v>484</v>
      </c>
      <c r="Q4627">
        <v>172</v>
      </c>
      <c r="R4627">
        <v>20</v>
      </c>
      <c r="S4627">
        <v>1</v>
      </c>
      <c r="T4627">
        <v>139</v>
      </c>
      <c r="U4627">
        <v>12</v>
      </c>
      <c r="V4627">
        <v>5</v>
      </c>
      <c r="W4627">
        <v>1</v>
      </c>
      <c r="X4627">
        <v>101</v>
      </c>
      <c r="Y4627">
        <v>0</v>
      </c>
      <c r="Z4627">
        <v>1</v>
      </c>
      <c r="AA4627">
        <v>5</v>
      </c>
      <c r="AB4627">
        <v>9</v>
      </c>
      <c r="AD4627">
        <v>4</v>
      </c>
      <c r="AE4627">
        <v>0</v>
      </c>
      <c r="AF4627">
        <v>0</v>
      </c>
      <c r="AG4627">
        <v>0</v>
      </c>
      <c r="AI4627">
        <v>0</v>
      </c>
      <c r="AJ4627">
        <v>14</v>
      </c>
      <c r="AK4627">
        <v>484</v>
      </c>
      <c r="AL4627">
        <v>484</v>
      </c>
      <c r="AM4627">
        <v>718</v>
      </c>
      <c r="AN4627">
        <v>44</v>
      </c>
      <c r="AP4627">
        <v>1</v>
      </c>
      <c r="AR4627" t="s">
        <v>4729</v>
      </c>
      <c r="AS4627" s="1">
        <v>44354.057638888888</v>
      </c>
      <c r="AT4627" s="1">
        <v>44354.064768518518</v>
      </c>
      <c r="AU4627" s="1">
        <v>44354.065451388888</v>
      </c>
      <c r="AV4627" t="s">
        <v>71</v>
      </c>
      <c r="AW4627" t="s">
        <v>72</v>
      </c>
      <c r="AX4627" t="s">
        <v>73</v>
      </c>
    </row>
    <row r="4628" spans="1:50" x14ac:dyDescent="0.3">
      <c r="A4628" t="str">
        <f>"200158C0100"</f>
        <v>200158C0100</v>
      </c>
      <c r="B4628" t="str">
        <f>"200158C01002"</f>
        <v>200158C01002</v>
      </c>
      <c r="C4628" t="str">
        <f t="shared" si="237"/>
        <v>20</v>
      </c>
      <c r="D4628" t="s">
        <v>67</v>
      </c>
      <c r="E4628" t="str">
        <f t="shared" si="236"/>
        <v>021</v>
      </c>
      <c r="F4628" t="s">
        <v>4711</v>
      </c>
      <c r="G4628" t="str">
        <f>"0158"</f>
        <v>0158</v>
      </c>
      <c r="H4628" t="str">
        <f>"0001"</f>
        <v>0001</v>
      </c>
      <c r="I4628" t="s">
        <v>75</v>
      </c>
      <c r="J4628">
        <v>0</v>
      </c>
      <c r="K4628">
        <v>1</v>
      </c>
      <c r="L4628">
        <v>2</v>
      </c>
      <c r="M4628">
        <v>271</v>
      </c>
      <c r="N4628">
        <v>490</v>
      </c>
      <c r="O4628">
        <v>0</v>
      </c>
      <c r="P4628">
        <v>490</v>
      </c>
      <c r="Q4628">
        <v>162</v>
      </c>
      <c r="R4628">
        <v>13</v>
      </c>
      <c r="S4628">
        <v>0</v>
      </c>
      <c r="T4628">
        <v>131</v>
      </c>
      <c r="U4628">
        <v>7</v>
      </c>
      <c r="V4628">
        <v>7</v>
      </c>
      <c r="W4628">
        <v>5</v>
      </c>
      <c r="X4628">
        <v>125</v>
      </c>
      <c r="Y4628">
        <v>1</v>
      </c>
      <c r="Z4628">
        <v>9</v>
      </c>
      <c r="AA4628">
        <v>4</v>
      </c>
      <c r="AB4628">
        <v>0</v>
      </c>
      <c r="AD4628">
        <v>3</v>
      </c>
      <c r="AE4628">
        <v>3</v>
      </c>
      <c r="AF4628">
        <v>0</v>
      </c>
      <c r="AG4628">
        <v>0</v>
      </c>
      <c r="AI4628">
        <v>0</v>
      </c>
      <c r="AJ4628">
        <v>20</v>
      </c>
      <c r="AK4628">
        <v>490</v>
      </c>
      <c r="AL4628">
        <v>490</v>
      </c>
      <c r="AM4628">
        <v>717</v>
      </c>
      <c r="AN4628">
        <v>44</v>
      </c>
      <c r="AP4628">
        <v>1</v>
      </c>
      <c r="AR4628" t="s">
        <v>4730</v>
      </c>
      <c r="AS4628" s="1">
        <v>44354.057638888888</v>
      </c>
      <c r="AT4628" s="1">
        <v>44354.067499999997</v>
      </c>
      <c r="AU4628" s="1">
        <v>44354.068101851852</v>
      </c>
      <c r="AV4628" t="s">
        <v>71</v>
      </c>
      <c r="AW4628" t="s">
        <v>72</v>
      </c>
      <c r="AX4628" t="s">
        <v>73</v>
      </c>
    </row>
    <row r="4629" spans="1:50" x14ac:dyDescent="0.3">
      <c r="A4629" t="str">
        <f>"200158C0200"</f>
        <v>200158C0200</v>
      </c>
      <c r="B4629" t="str">
        <f>"200158C02002"</f>
        <v>200158C02002</v>
      </c>
      <c r="C4629" t="str">
        <f t="shared" si="237"/>
        <v>20</v>
      </c>
      <c r="D4629" t="s">
        <v>67</v>
      </c>
      <c r="E4629" t="str">
        <f t="shared" si="236"/>
        <v>021</v>
      </c>
      <c r="F4629" t="s">
        <v>4711</v>
      </c>
      <c r="G4629" t="str">
        <f>"0158"</f>
        <v>0158</v>
      </c>
      <c r="H4629" t="str">
        <f>"0002"</f>
        <v>0002</v>
      </c>
      <c r="I4629" t="s">
        <v>75</v>
      </c>
      <c r="J4629">
        <v>0</v>
      </c>
      <c r="K4629">
        <v>1</v>
      </c>
      <c r="L4629">
        <v>2</v>
      </c>
      <c r="M4629">
        <v>282</v>
      </c>
      <c r="N4629">
        <v>479</v>
      </c>
      <c r="O4629">
        <v>3</v>
      </c>
      <c r="P4629">
        <v>479</v>
      </c>
      <c r="Q4629">
        <v>180</v>
      </c>
      <c r="R4629">
        <v>8</v>
      </c>
      <c r="S4629">
        <v>2</v>
      </c>
      <c r="T4629">
        <v>114</v>
      </c>
      <c r="U4629">
        <v>11</v>
      </c>
      <c r="V4629">
        <v>4</v>
      </c>
      <c r="W4629">
        <v>5</v>
      </c>
      <c r="X4629">
        <v>125</v>
      </c>
      <c r="Y4629">
        <v>2</v>
      </c>
      <c r="Z4629">
        <v>3</v>
      </c>
      <c r="AA4629">
        <v>4</v>
      </c>
      <c r="AB4629">
        <v>2</v>
      </c>
      <c r="AD4629">
        <v>1</v>
      </c>
      <c r="AE4629">
        <v>1</v>
      </c>
      <c r="AF4629">
        <v>0</v>
      </c>
      <c r="AG4629">
        <v>0</v>
      </c>
      <c r="AI4629">
        <v>0</v>
      </c>
      <c r="AJ4629">
        <v>17</v>
      </c>
      <c r="AK4629">
        <v>479</v>
      </c>
      <c r="AL4629">
        <v>479</v>
      </c>
      <c r="AM4629">
        <v>717</v>
      </c>
      <c r="AN4629">
        <v>44</v>
      </c>
      <c r="AP4629">
        <v>1</v>
      </c>
      <c r="AR4629" t="s">
        <v>4731</v>
      </c>
      <c r="AS4629" s="1">
        <v>44354.056944444441</v>
      </c>
      <c r="AT4629" s="1">
        <v>44354.111215277779</v>
      </c>
      <c r="AU4629" s="1">
        <v>44354.112256944441</v>
      </c>
      <c r="AV4629" t="s">
        <v>71</v>
      </c>
      <c r="AW4629" t="s">
        <v>72</v>
      </c>
      <c r="AX4629" t="s">
        <v>73</v>
      </c>
    </row>
    <row r="4630" spans="1:50" x14ac:dyDescent="0.3">
      <c r="A4630" t="str">
        <f>"200159B0000"</f>
        <v>200159B0000</v>
      </c>
      <c r="B4630" t="str">
        <f>"200159B00002"</f>
        <v>200159B00002</v>
      </c>
      <c r="C4630" t="str">
        <f t="shared" si="237"/>
        <v>20</v>
      </c>
      <c r="D4630" t="s">
        <v>67</v>
      </c>
      <c r="E4630" t="str">
        <f t="shared" si="236"/>
        <v>021</v>
      </c>
      <c r="F4630" t="s">
        <v>4711</v>
      </c>
      <c r="G4630" t="str">
        <f>"0159"</f>
        <v>0159</v>
      </c>
      <c r="H4630" t="str">
        <f>"0000"</f>
        <v>0000</v>
      </c>
      <c r="I4630" t="s">
        <v>69</v>
      </c>
      <c r="J4630">
        <v>0</v>
      </c>
      <c r="K4630">
        <v>1</v>
      </c>
      <c r="L4630">
        <v>2</v>
      </c>
      <c r="M4630">
        <v>197</v>
      </c>
      <c r="N4630">
        <v>388</v>
      </c>
      <c r="O4630">
        <v>0</v>
      </c>
      <c r="P4630">
        <v>388</v>
      </c>
      <c r="Q4630">
        <v>154</v>
      </c>
      <c r="R4630">
        <v>11</v>
      </c>
      <c r="S4630">
        <v>0</v>
      </c>
      <c r="T4630">
        <v>83</v>
      </c>
      <c r="U4630">
        <v>21</v>
      </c>
      <c r="V4630">
        <v>2</v>
      </c>
      <c r="W4630">
        <v>2</v>
      </c>
      <c r="X4630">
        <v>92</v>
      </c>
      <c r="Y4630">
        <v>1</v>
      </c>
      <c r="Z4630">
        <v>4</v>
      </c>
      <c r="AA4630">
        <v>3</v>
      </c>
      <c r="AB4630">
        <v>3</v>
      </c>
      <c r="AD4630">
        <v>0</v>
      </c>
      <c r="AE4630">
        <v>0</v>
      </c>
      <c r="AF4630">
        <v>0</v>
      </c>
      <c r="AG4630">
        <v>0</v>
      </c>
      <c r="AI4630">
        <v>0</v>
      </c>
      <c r="AJ4630">
        <v>12</v>
      </c>
      <c r="AK4630">
        <v>388</v>
      </c>
      <c r="AL4630">
        <v>388</v>
      </c>
      <c r="AM4630">
        <v>543</v>
      </c>
      <c r="AN4630">
        <v>44</v>
      </c>
      <c r="AP4630">
        <v>1</v>
      </c>
      <c r="AR4630" t="s">
        <v>4732</v>
      </c>
      <c r="AS4630" s="1">
        <v>44354.056944444441</v>
      </c>
      <c r="AT4630" s="1">
        <v>44354.109895833331</v>
      </c>
      <c r="AU4630" s="1">
        <v>44354.111863425926</v>
      </c>
      <c r="AV4630" t="s">
        <v>71</v>
      </c>
      <c r="AW4630" t="s">
        <v>72</v>
      </c>
      <c r="AX4630" t="s">
        <v>73</v>
      </c>
    </row>
    <row r="4631" spans="1:50" x14ac:dyDescent="0.3">
      <c r="A4631" t="str">
        <f>"200159C0100"</f>
        <v>200159C0100</v>
      </c>
      <c r="B4631" t="str">
        <f>"200159C01002"</f>
        <v>200159C01002</v>
      </c>
      <c r="C4631" t="str">
        <f t="shared" si="237"/>
        <v>20</v>
      </c>
      <c r="D4631" t="s">
        <v>67</v>
      </c>
      <c r="E4631" t="str">
        <f t="shared" si="236"/>
        <v>021</v>
      </c>
      <c r="F4631" t="s">
        <v>4711</v>
      </c>
      <c r="G4631" t="str">
        <f>"0159"</f>
        <v>0159</v>
      </c>
      <c r="H4631" t="str">
        <f>"0001"</f>
        <v>0001</v>
      </c>
      <c r="I4631" t="s">
        <v>75</v>
      </c>
      <c r="J4631">
        <v>0</v>
      </c>
      <c r="K4631">
        <v>1</v>
      </c>
      <c r="L4631">
        <v>2</v>
      </c>
      <c r="M4631">
        <v>177</v>
      </c>
      <c r="N4631">
        <v>409</v>
      </c>
      <c r="O4631">
        <v>1</v>
      </c>
      <c r="P4631">
        <v>409</v>
      </c>
      <c r="Q4631">
        <v>127</v>
      </c>
      <c r="R4631">
        <v>10</v>
      </c>
      <c r="S4631">
        <v>0</v>
      </c>
      <c r="T4631">
        <v>101</v>
      </c>
      <c r="U4631">
        <v>21</v>
      </c>
      <c r="V4631">
        <v>2</v>
      </c>
      <c r="W4631">
        <v>3</v>
      </c>
      <c r="X4631">
        <v>108</v>
      </c>
      <c r="Y4631">
        <v>3</v>
      </c>
      <c r="Z4631">
        <v>4</v>
      </c>
      <c r="AA4631">
        <v>1</v>
      </c>
      <c r="AB4631">
        <v>3</v>
      </c>
      <c r="AD4631">
        <v>2</v>
      </c>
      <c r="AE4631">
        <v>3</v>
      </c>
      <c r="AF4631">
        <v>0</v>
      </c>
      <c r="AG4631">
        <v>0</v>
      </c>
      <c r="AI4631">
        <v>0</v>
      </c>
      <c r="AJ4631">
        <v>21</v>
      </c>
      <c r="AK4631">
        <v>409</v>
      </c>
      <c r="AL4631">
        <v>409</v>
      </c>
      <c r="AM4631">
        <v>543</v>
      </c>
      <c r="AN4631">
        <v>44</v>
      </c>
      <c r="AP4631">
        <v>1</v>
      </c>
      <c r="AR4631" t="s">
        <v>4733</v>
      </c>
      <c r="AS4631" s="1">
        <v>44354.056944444441</v>
      </c>
      <c r="AT4631" s="1">
        <v>44354.062951388885</v>
      </c>
      <c r="AU4631" s="1">
        <v>44354.063298611109</v>
      </c>
      <c r="AV4631" t="s">
        <v>71</v>
      </c>
      <c r="AW4631" t="s">
        <v>72</v>
      </c>
      <c r="AX4631" t="s">
        <v>73</v>
      </c>
    </row>
    <row r="4632" spans="1:50" x14ac:dyDescent="0.3">
      <c r="A4632" t="str">
        <f>"200160B0000"</f>
        <v>200160B0000</v>
      </c>
      <c r="B4632" t="str">
        <f>"200160B00002"</f>
        <v>200160B00002</v>
      </c>
      <c r="C4632" t="str">
        <f t="shared" si="237"/>
        <v>20</v>
      </c>
      <c r="D4632" t="s">
        <v>67</v>
      </c>
      <c r="E4632" t="str">
        <f t="shared" si="236"/>
        <v>021</v>
      </c>
      <c r="F4632" t="s">
        <v>4711</v>
      </c>
      <c r="G4632" t="str">
        <f>"0160"</f>
        <v>0160</v>
      </c>
      <c r="H4632" t="str">
        <f>"0000"</f>
        <v>0000</v>
      </c>
      <c r="I4632" t="s">
        <v>69</v>
      </c>
      <c r="J4632">
        <v>0</v>
      </c>
      <c r="K4632">
        <v>1</v>
      </c>
      <c r="L4632">
        <v>2</v>
      </c>
      <c r="M4632">
        <v>237</v>
      </c>
      <c r="N4632">
        <v>435</v>
      </c>
      <c r="O4632">
        <v>5</v>
      </c>
      <c r="P4632">
        <v>434</v>
      </c>
      <c r="Q4632">
        <v>151</v>
      </c>
      <c r="R4632">
        <v>17</v>
      </c>
      <c r="S4632">
        <v>2</v>
      </c>
      <c r="T4632">
        <v>129</v>
      </c>
      <c r="U4632">
        <v>9</v>
      </c>
      <c r="V4632">
        <v>4</v>
      </c>
      <c r="W4632">
        <v>4</v>
      </c>
      <c r="X4632">
        <v>84</v>
      </c>
      <c r="Y4632">
        <v>0</v>
      </c>
      <c r="Z4632">
        <v>6</v>
      </c>
      <c r="AA4632">
        <v>4</v>
      </c>
      <c r="AB4632">
        <v>0</v>
      </c>
      <c r="AD4632">
        <v>1</v>
      </c>
      <c r="AE4632">
        <v>0</v>
      </c>
      <c r="AF4632">
        <v>2</v>
      </c>
      <c r="AG4632">
        <v>0</v>
      </c>
      <c r="AI4632" t="s">
        <v>77</v>
      </c>
      <c r="AJ4632">
        <v>21</v>
      </c>
      <c r="AK4632">
        <v>434</v>
      </c>
      <c r="AL4632">
        <v>434</v>
      </c>
      <c r="AM4632">
        <v>638</v>
      </c>
      <c r="AN4632">
        <v>44</v>
      </c>
      <c r="AO4632" t="s">
        <v>78</v>
      </c>
      <c r="AP4632">
        <v>1</v>
      </c>
      <c r="AR4632" t="s">
        <v>4734</v>
      </c>
      <c r="AS4632" s="1">
        <v>44353.940821759257</v>
      </c>
      <c r="AT4632" s="1">
        <v>44353.95034722222</v>
      </c>
      <c r="AU4632" s="1">
        <v>44353.950706018521</v>
      </c>
      <c r="AV4632" t="s">
        <v>269</v>
      </c>
      <c r="AW4632" t="s">
        <v>270</v>
      </c>
      <c r="AX4632" t="s">
        <v>73</v>
      </c>
    </row>
    <row r="4633" spans="1:50" x14ac:dyDescent="0.3">
      <c r="A4633" t="str">
        <f>"200160C0100"</f>
        <v>200160C0100</v>
      </c>
      <c r="B4633" t="str">
        <f>"200160C01002"</f>
        <v>200160C01002</v>
      </c>
      <c r="C4633" t="str">
        <f t="shared" si="237"/>
        <v>20</v>
      </c>
      <c r="D4633" t="s">
        <v>67</v>
      </c>
      <c r="E4633" t="str">
        <f t="shared" si="236"/>
        <v>021</v>
      </c>
      <c r="F4633" t="s">
        <v>4711</v>
      </c>
      <c r="G4633" t="str">
        <f>"0160"</f>
        <v>0160</v>
      </c>
      <c r="H4633" t="str">
        <f>"0001"</f>
        <v>0001</v>
      </c>
      <c r="I4633" t="s">
        <v>75</v>
      </c>
      <c r="J4633">
        <v>0</v>
      </c>
      <c r="K4633">
        <v>1</v>
      </c>
      <c r="L4633">
        <v>2</v>
      </c>
      <c r="M4633">
        <v>252</v>
      </c>
      <c r="N4633">
        <v>428</v>
      </c>
      <c r="O4633">
        <v>0</v>
      </c>
      <c r="P4633">
        <v>428</v>
      </c>
      <c r="Q4633">
        <v>117</v>
      </c>
      <c r="R4633">
        <v>9</v>
      </c>
      <c r="S4633">
        <v>2</v>
      </c>
      <c r="T4633">
        <v>197</v>
      </c>
      <c r="U4633">
        <v>9</v>
      </c>
      <c r="V4633">
        <v>5</v>
      </c>
      <c r="W4633">
        <v>1</v>
      </c>
      <c r="X4633">
        <v>55</v>
      </c>
      <c r="Y4633">
        <v>1</v>
      </c>
      <c r="Z4633">
        <v>4</v>
      </c>
      <c r="AA4633">
        <v>6</v>
      </c>
      <c r="AB4633">
        <v>3</v>
      </c>
      <c r="AD4633">
        <v>1</v>
      </c>
      <c r="AE4633">
        <v>1</v>
      </c>
      <c r="AF4633">
        <v>0</v>
      </c>
      <c r="AG4633">
        <v>0</v>
      </c>
      <c r="AI4633">
        <v>0</v>
      </c>
      <c r="AJ4633">
        <v>17</v>
      </c>
      <c r="AK4633">
        <v>428</v>
      </c>
      <c r="AL4633">
        <v>428</v>
      </c>
      <c r="AM4633">
        <v>638</v>
      </c>
      <c r="AN4633">
        <v>44</v>
      </c>
      <c r="AP4633">
        <v>1</v>
      </c>
      <c r="AR4633" t="s">
        <v>4735</v>
      </c>
      <c r="AS4633" s="1">
        <v>44353.896724537037</v>
      </c>
      <c r="AT4633" s="1">
        <v>44353.89912037037</v>
      </c>
      <c r="AU4633" s="1">
        <v>44353.899791666663</v>
      </c>
      <c r="AV4633" t="s">
        <v>269</v>
      </c>
      <c r="AW4633" t="s">
        <v>270</v>
      </c>
      <c r="AX4633" t="s">
        <v>73</v>
      </c>
    </row>
    <row r="4634" spans="1:50" x14ac:dyDescent="0.3">
      <c r="A4634" t="str">
        <f>"200160C0200"</f>
        <v>200160C0200</v>
      </c>
      <c r="B4634" t="str">
        <f>"200160C02002"</f>
        <v>200160C02002</v>
      </c>
      <c r="C4634" t="str">
        <f t="shared" si="237"/>
        <v>20</v>
      </c>
      <c r="D4634" t="s">
        <v>67</v>
      </c>
      <c r="E4634" t="str">
        <f t="shared" si="236"/>
        <v>021</v>
      </c>
      <c r="F4634" t="s">
        <v>4711</v>
      </c>
      <c r="G4634" t="str">
        <f>"0160"</f>
        <v>0160</v>
      </c>
      <c r="H4634" t="str">
        <f>"0002"</f>
        <v>0002</v>
      </c>
      <c r="I4634" t="s">
        <v>75</v>
      </c>
      <c r="J4634">
        <v>0</v>
      </c>
      <c r="K4634">
        <v>1</v>
      </c>
      <c r="L4634">
        <v>2</v>
      </c>
      <c r="M4634">
        <v>247</v>
      </c>
      <c r="N4634">
        <v>434</v>
      </c>
      <c r="O4634">
        <v>0</v>
      </c>
      <c r="P4634">
        <v>434</v>
      </c>
      <c r="Q4634">
        <v>104</v>
      </c>
      <c r="R4634">
        <v>12</v>
      </c>
      <c r="S4634">
        <v>0</v>
      </c>
      <c r="T4634">
        <v>205</v>
      </c>
      <c r="U4634">
        <v>5</v>
      </c>
      <c r="V4634">
        <v>2</v>
      </c>
      <c r="W4634">
        <v>8</v>
      </c>
      <c r="X4634">
        <v>76</v>
      </c>
      <c r="Y4634">
        <v>1</v>
      </c>
      <c r="Z4634">
        <v>3</v>
      </c>
      <c r="AA4634">
        <v>1</v>
      </c>
      <c r="AB4634">
        <v>1</v>
      </c>
      <c r="AD4634">
        <v>1</v>
      </c>
      <c r="AE4634">
        <v>1</v>
      </c>
      <c r="AF4634">
        <v>0</v>
      </c>
      <c r="AG4634">
        <v>0</v>
      </c>
      <c r="AI4634">
        <v>0</v>
      </c>
      <c r="AJ4634">
        <v>14</v>
      </c>
      <c r="AK4634">
        <v>434</v>
      </c>
      <c r="AL4634">
        <v>434</v>
      </c>
      <c r="AM4634">
        <v>637</v>
      </c>
      <c r="AN4634">
        <v>44</v>
      </c>
      <c r="AP4634">
        <v>1</v>
      </c>
      <c r="AR4634" s="2" t="s">
        <v>4736</v>
      </c>
      <c r="AS4634" s="1">
        <v>44353.883923611109</v>
      </c>
      <c r="AT4634" s="1">
        <v>44353.885833333334</v>
      </c>
      <c r="AU4634" s="1">
        <v>44353.886724537035</v>
      </c>
      <c r="AV4634" t="s">
        <v>269</v>
      </c>
      <c r="AW4634" t="s">
        <v>270</v>
      </c>
      <c r="AX4634" t="s">
        <v>73</v>
      </c>
    </row>
    <row r="4635" spans="1:50" x14ac:dyDescent="0.3">
      <c r="A4635" t="str">
        <f>"200160S0100"</f>
        <v>200160S0100</v>
      </c>
      <c r="B4635" t="str">
        <f>"200160S01002EMR"</f>
        <v>200160S01002EMR</v>
      </c>
      <c r="C4635" t="str">
        <f t="shared" si="237"/>
        <v>20</v>
      </c>
      <c r="D4635" t="s">
        <v>67</v>
      </c>
      <c r="E4635" t="str">
        <f t="shared" si="236"/>
        <v>021</v>
      </c>
      <c r="F4635" t="s">
        <v>4711</v>
      </c>
      <c r="G4635" t="str">
        <f>"0160"</f>
        <v>0160</v>
      </c>
      <c r="H4635" t="str">
        <f>"0001"</f>
        <v>0001</v>
      </c>
      <c r="I4635" t="s">
        <v>85</v>
      </c>
      <c r="J4635">
        <v>0</v>
      </c>
      <c r="K4635">
        <v>1</v>
      </c>
      <c r="L4635" t="s">
        <v>86</v>
      </c>
      <c r="M4635">
        <v>782</v>
      </c>
      <c r="N4635">
        <v>80</v>
      </c>
      <c r="O4635">
        <v>0</v>
      </c>
      <c r="P4635">
        <v>218</v>
      </c>
      <c r="Q4635">
        <v>31</v>
      </c>
      <c r="R4635">
        <v>3</v>
      </c>
      <c r="S4635">
        <v>0</v>
      </c>
      <c r="T4635">
        <v>22</v>
      </c>
      <c r="U4635">
        <v>1</v>
      </c>
      <c r="V4635">
        <v>0</v>
      </c>
      <c r="W4635">
        <v>0</v>
      </c>
      <c r="X4635">
        <v>19</v>
      </c>
      <c r="Y4635">
        <v>0</v>
      </c>
      <c r="Z4635">
        <v>1</v>
      </c>
      <c r="AA4635">
        <v>0</v>
      </c>
      <c r="AB4635">
        <v>1</v>
      </c>
      <c r="AD4635">
        <v>0</v>
      </c>
      <c r="AE4635">
        <v>0</v>
      </c>
      <c r="AF4635">
        <v>0</v>
      </c>
      <c r="AG4635">
        <v>0</v>
      </c>
      <c r="AI4635">
        <v>0</v>
      </c>
      <c r="AJ4635">
        <v>2</v>
      </c>
      <c r="AK4635">
        <v>80</v>
      </c>
      <c r="AL4635">
        <v>80</v>
      </c>
      <c r="AM4635">
        <v>0</v>
      </c>
      <c r="AN4635">
        <v>44</v>
      </c>
      <c r="AP4635">
        <v>1</v>
      </c>
      <c r="AR4635" t="s">
        <v>4737</v>
      </c>
      <c r="AS4635" s="1">
        <v>44354.00277777778</v>
      </c>
      <c r="AT4635" s="1">
        <v>44354.634421296294</v>
      </c>
      <c r="AU4635" s="1">
        <v>44354.635150462964</v>
      </c>
      <c r="AV4635" t="s">
        <v>71</v>
      </c>
      <c r="AW4635" t="s">
        <v>72</v>
      </c>
      <c r="AX4635" t="s">
        <v>73</v>
      </c>
    </row>
    <row r="4636" spans="1:50" x14ac:dyDescent="0.3">
      <c r="A4636" t="str">
        <f>"200161B0000"</f>
        <v>200161B0000</v>
      </c>
      <c r="B4636" t="str">
        <f>"200161B00002"</f>
        <v>200161B00002</v>
      </c>
      <c r="C4636" t="str">
        <f t="shared" si="237"/>
        <v>20</v>
      </c>
      <c r="D4636" t="s">
        <v>67</v>
      </c>
      <c r="E4636" t="str">
        <f t="shared" si="236"/>
        <v>021</v>
      </c>
      <c r="F4636" t="s">
        <v>4711</v>
      </c>
      <c r="G4636" t="str">
        <f>"0161"</f>
        <v>0161</v>
      </c>
      <c r="H4636" t="str">
        <f>"0000"</f>
        <v>0000</v>
      </c>
      <c r="I4636" t="s">
        <v>69</v>
      </c>
      <c r="J4636">
        <v>0</v>
      </c>
      <c r="K4636">
        <v>1</v>
      </c>
      <c r="L4636">
        <v>2</v>
      </c>
      <c r="M4636">
        <v>258</v>
      </c>
      <c r="N4636">
        <v>423</v>
      </c>
      <c r="O4636">
        <v>0</v>
      </c>
      <c r="P4636">
        <v>423</v>
      </c>
      <c r="Q4636">
        <v>136</v>
      </c>
      <c r="R4636">
        <v>11</v>
      </c>
      <c r="S4636">
        <v>1</v>
      </c>
      <c r="T4636">
        <v>108</v>
      </c>
      <c r="U4636">
        <v>7</v>
      </c>
      <c r="V4636">
        <v>5</v>
      </c>
      <c r="W4636">
        <v>0</v>
      </c>
      <c r="X4636">
        <v>110</v>
      </c>
      <c r="Y4636">
        <v>3</v>
      </c>
      <c r="Z4636">
        <v>11</v>
      </c>
      <c r="AA4636">
        <v>3</v>
      </c>
      <c r="AB4636">
        <v>2</v>
      </c>
      <c r="AD4636">
        <v>1</v>
      </c>
      <c r="AE4636">
        <v>4</v>
      </c>
      <c r="AF4636">
        <v>0</v>
      </c>
      <c r="AG4636">
        <v>0</v>
      </c>
      <c r="AI4636">
        <v>0</v>
      </c>
      <c r="AJ4636">
        <v>21</v>
      </c>
      <c r="AK4636">
        <v>423</v>
      </c>
      <c r="AL4636">
        <v>423</v>
      </c>
      <c r="AM4636">
        <v>637</v>
      </c>
      <c r="AN4636">
        <v>44</v>
      </c>
      <c r="AP4636">
        <v>1</v>
      </c>
      <c r="AR4636" t="s">
        <v>4738</v>
      </c>
      <c r="AS4636" s="1">
        <v>44353.98541666667</v>
      </c>
      <c r="AT4636" s="1">
        <v>44354.001261574071</v>
      </c>
      <c r="AU4636" s="1">
        <v>44354.002013888887</v>
      </c>
      <c r="AV4636" t="s">
        <v>71</v>
      </c>
      <c r="AW4636" t="s">
        <v>72</v>
      </c>
      <c r="AX4636" t="s">
        <v>73</v>
      </c>
    </row>
    <row r="4637" spans="1:50" x14ac:dyDescent="0.3">
      <c r="A4637" t="str">
        <f>"200161C0100"</f>
        <v>200161C0100</v>
      </c>
      <c r="B4637" t="str">
        <f>"200161C01002"</f>
        <v>200161C01002</v>
      </c>
      <c r="C4637" t="str">
        <f t="shared" si="237"/>
        <v>20</v>
      </c>
      <c r="D4637" t="s">
        <v>67</v>
      </c>
      <c r="E4637" t="str">
        <f t="shared" si="236"/>
        <v>021</v>
      </c>
      <c r="F4637" t="s">
        <v>4711</v>
      </c>
      <c r="G4637" t="str">
        <f>"0161"</f>
        <v>0161</v>
      </c>
      <c r="H4637" t="str">
        <f>"0001"</f>
        <v>0001</v>
      </c>
      <c r="I4637" t="s">
        <v>75</v>
      </c>
      <c r="J4637">
        <v>0</v>
      </c>
      <c r="K4637">
        <v>1</v>
      </c>
      <c r="L4637">
        <v>2</v>
      </c>
      <c r="M4637">
        <v>256</v>
      </c>
      <c r="N4637">
        <v>425</v>
      </c>
      <c r="O4637">
        <v>1</v>
      </c>
      <c r="P4637" t="s">
        <v>80</v>
      </c>
      <c r="Q4637">
        <v>165</v>
      </c>
      <c r="R4637">
        <v>8</v>
      </c>
      <c r="S4637">
        <v>3</v>
      </c>
      <c r="T4637">
        <v>111</v>
      </c>
      <c r="U4637">
        <v>7</v>
      </c>
      <c r="V4637">
        <v>3</v>
      </c>
      <c r="W4637">
        <v>0</v>
      </c>
      <c r="X4637">
        <v>89</v>
      </c>
      <c r="Y4637">
        <v>1</v>
      </c>
      <c r="Z4637">
        <v>5</v>
      </c>
      <c r="AA4637">
        <v>2</v>
      </c>
      <c r="AB4637">
        <v>1</v>
      </c>
      <c r="AD4637">
        <v>4</v>
      </c>
      <c r="AE4637">
        <v>7</v>
      </c>
      <c r="AF4637">
        <v>2</v>
      </c>
      <c r="AG4637">
        <v>0</v>
      </c>
      <c r="AI4637">
        <v>0</v>
      </c>
      <c r="AJ4637">
        <v>17</v>
      </c>
      <c r="AK4637">
        <v>425</v>
      </c>
      <c r="AL4637">
        <v>425</v>
      </c>
      <c r="AM4637">
        <v>637</v>
      </c>
      <c r="AN4637">
        <v>44</v>
      </c>
      <c r="AP4637">
        <v>1</v>
      </c>
      <c r="AR4637" t="s">
        <v>4739</v>
      </c>
      <c r="AS4637" s="1">
        <v>44353.986111111109</v>
      </c>
      <c r="AT4637" s="1">
        <v>44353.993067129632</v>
      </c>
      <c r="AU4637" s="1">
        <v>44353.993958333333</v>
      </c>
      <c r="AV4637" t="s">
        <v>71</v>
      </c>
      <c r="AW4637" t="s">
        <v>72</v>
      </c>
      <c r="AX4637" t="s">
        <v>73</v>
      </c>
    </row>
    <row r="4638" spans="1:50" x14ac:dyDescent="0.3">
      <c r="A4638" t="str">
        <f>"200162B0000"</f>
        <v>200162B0000</v>
      </c>
      <c r="B4638" t="str">
        <f>"200162B00002"</f>
        <v>200162B00002</v>
      </c>
      <c r="C4638" t="str">
        <f t="shared" si="237"/>
        <v>20</v>
      </c>
      <c r="D4638" t="s">
        <v>67</v>
      </c>
      <c r="E4638" t="str">
        <f t="shared" si="236"/>
        <v>021</v>
      </c>
      <c r="F4638" t="s">
        <v>4711</v>
      </c>
      <c r="G4638" t="str">
        <f>"0162"</f>
        <v>0162</v>
      </c>
      <c r="H4638" t="str">
        <f>"0000"</f>
        <v>0000</v>
      </c>
      <c r="I4638" t="s">
        <v>69</v>
      </c>
      <c r="J4638">
        <v>0</v>
      </c>
      <c r="K4638">
        <v>1</v>
      </c>
      <c r="L4638">
        <v>2</v>
      </c>
      <c r="M4638">
        <v>154</v>
      </c>
      <c r="N4638">
        <v>134</v>
      </c>
      <c r="O4638">
        <v>0</v>
      </c>
      <c r="P4638">
        <v>134</v>
      </c>
      <c r="Q4638">
        <v>57</v>
      </c>
      <c r="R4638">
        <v>8</v>
      </c>
      <c r="S4638">
        <v>2</v>
      </c>
      <c r="T4638">
        <v>14</v>
      </c>
      <c r="U4638">
        <v>1</v>
      </c>
      <c r="V4638">
        <v>2</v>
      </c>
      <c r="W4638">
        <v>1</v>
      </c>
      <c r="X4638">
        <v>36</v>
      </c>
      <c r="Y4638">
        <v>0</v>
      </c>
      <c r="Z4638">
        <v>2</v>
      </c>
      <c r="AA4638">
        <v>4</v>
      </c>
      <c r="AB4638">
        <v>1</v>
      </c>
      <c r="AD4638">
        <v>1</v>
      </c>
      <c r="AE4638">
        <v>0</v>
      </c>
      <c r="AF4638">
        <v>0</v>
      </c>
      <c r="AG4638">
        <v>0</v>
      </c>
      <c r="AI4638">
        <v>0</v>
      </c>
      <c r="AJ4638">
        <v>5</v>
      </c>
      <c r="AK4638">
        <v>134</v>
      </c>
      <c r="AL4638">
        <v>134</v>
      </c>
      <c r="AM4638">
        <v>244</v>
      </c>
      <c r="AN4638">
        <v>44</v>
      </c>
      <c r="AP4638">
        <v>1</v>
      </c>
      <c r="AR4638" t="s">
        <v>4740</v>
      </c>
      <c r="AS4638" s="1">
        <v>44354.121527777781</v>
      </c>
      <c r="AT4638" s="1">
        <v>44354.146851851852</v>
      </c>
      <c r="AU4638" s="1">
        <v>44354.147662037038</v>
      </c>
      <c r="AV4638" t="s">
        <v>71</v>
      </c>
      <c r="AW4638" t="s">
        <v>72</v>
      </c>
      <c r="AX4638" t="s">
        <v>73</v>
      </c>
    </row>
    <row r="4639" spans="1:50" x14ac:dyDescent="0.3">
      <c r="A4639" t="str">
        <f>"200163B0000"</f>
        <v>200163B0000</v>
      </c>
      <c r="B4639" t="str">
        <f>"200163B00002"</f>
        <v>200163B00002</v>
      </c>
      <c r="C4639" t="str">
        <f t="shared" si="237"/>
        <v>20</v>
      </c>
      <c r="D4639" t="s">
        <v>67</v>
      </c>
      <c r="E4639" t="str">
        <f t="shared" si="236"/>
        <v>021</v>
      </c>
      <c r="F4639" t="s">
        <v>4711</v>
      </c>
      <c r="G4639" t="str">
        <f>"0163"</f>
        <v>0163</v>
      </c>
      <c r="H4639" t="str">
        <f>"0000"</f>
        <v>0000</v>
      </c>
      <c r="I4639" t="s">
        <v>69</v>
      </c>
      <c r="J4639">
        <v>0</v>
      </c>
      <c r="K4639">
        <v>1</v>
      </c>
      <c r="L4639">
        <v>2</v>
      </c>
      <c r="M4639">
        <v>117</v>
      </c>
      <c r="N4639">
        <v>164</v>
      </c>
      <c r="O4639">
        <v>0</v>
      </c>
      <c r="P4639">
        <v>164</v>
      </c>
      <c r="Q4639">
        <v>105</v>
      </c>
      <c r="R4639">
        <v>9</v>
      </c>
      <c r="S4639">
        <v>0</v>
      </c>
      <c r="T4639">
        <v>27</v>
      </c>
      <c r="U4639">
        <v>1</v>
      </c>
      <c r="V4639">
        <v>0</v>
      </c>
      <c r="W4639">
        <v>0</v>
      </c>
      <c r="X4639">
        <v>17</v>
      </c>
      <c r="Y4639">
        <v>0</v>
      </c>
      <c r="Z4639">
        <v>0</v>
      </c>
      <c r="AA4639">
        <v>2</v>
      </c>
      <c r="AB4639">
        <v>0</v>
      </c>
      <c r="AD4639">
        <v>0</v>
      </c>
      <c r="AE4639">
        <v>1</v>
      </c>
      <c r="AF4639">
        <v>0</v>
      </c>
      <c r="AG4639">
        <v>0</v>
      </c>
      <c r="AI4639">
        <v>0</v>
      </c>
      <c r="AJ4639">
        <v>2</v>
      </c>
      <c r="AK4639">
        <v>164</v>
      </c>
      <c r="AL4639">
        <v>164</v>
      </c>
      <c r="AM4639">
        <v>237</v>
      </c>
      <c r="AN4639">
        <v>44</v>
      </c>
      <c r="AP4639">
        <v>1</v>
      </c>
      <c r="AR4639" t="s">
        <v>4741</v>
      </c>
      <c r="AS4639" s="1">
        <v>44354.002893518518</v>
      </c>
      <c r="AT4639" s="1">
        <v>44354.01525462963</v>
      </c>
      <c r="AU4639" s="1">
        <v>44354.015787037039</v>
      </c>
      <c r="AV4639" t="s">
        <v>269</v>
      </c>
      <c r="AW4639" t="s">
        <v>270</v>
      </c>
      <c r="AX4639" t="s">
        <v>73</v>
      </c>
    </row>
    <row r="4640" spans="1:50" x14ac:dyDescent="0.3">
      <c r="A4640" t="str">
        <f>"200164B0000"</f>
        <v>200164B0000</v>
      </c>
      <c r="B4640" t="str">
        <f>"200164B00002"</f>
        <v>200164B00002</v>
      </c>
      <c r="C4640" t="str">
        <f t="shared" si="237"/>
        <v>20</v>
      </c>
      <c r="D4640" t="s">
        <v>67</v>
      </c>
      <c r="E4640" t="str">
        <f t="shared" si="236"/>
        <v>021</v>
      </c>
      <c r="F4640" t="s">
        <v>4711</v>
      </c>
      <c r="G4640" t="str">
        <f>"0164"</f>
        <v>0164</v>
      </c>
      <c r="H4640" t="str">
        <f>"0000"</f>
        <v>0000</v>
      </c>
      <c r="I4640" t="s">
        <v>69</v>
      </c>
      <c r="J4640">
        <v>0</v>
      </c>
      <c r="K4640">
        <v>1</v>
      </c>
      <c r="L4640">
        <v>2</v>
      </c>
      <c r="M4640">
        <v>168</v>
      </c>
      <c r="N4640">
        <v>405</v>
      </c>
      <c r="O4640">
        <v>0</v>
      </c>
      <c r="P4640">
        <v>405</v>
      </c>
      <c r="Q4640">
        <v>287</v>
      </c>
      <c r="R4640">
        <v>5</v>
      </c>
      <c r="S4640">
        <v>3</v>
      </c>
      <c r="T4640">
        <v>24</v>
      </c>
      <c r="U4640">
        <v>3</v>
      </c>
      <c r="V4640">
        <v>2</v>
      </c>
      <c r="W4640">
        <v>2</v>
      </c>
      <c r="X4640">
        <v>56</v>
      </c>
      <c r="Y4640">
        <v>1</v>
      </c>
      <c r="Z4640">
        <v>6</v>
      </c>
      <c r="AA4640">
        <v>3</v>
      </c>
      <c r="AB4640">
        <v>1</v>
      </c>
      <c r="AD4640">
        <v>2</v>
      </c>
      <c r="AE4640">
        <v>0</v>
      </c>
      <c r="AF4640">
        <v>0</v>
      </c>
      <c r="AG4640">
        <v>1</v>
      </c>
      <c r="AI4640">
        <v>0</v>
      </c>
      <c r="AJ4640">
        <v>9</v>
      </c>
      <c r="AK4640">
        <v>405</v>
      </c>
      <c r="AL4640">
        <v>405</v>
      </c>
      <c r="AM4640">
        <v>529</v>
      </c>
      <c r="AN4640">
        <v>44</v>
      </c>
      <c r="AP4640">
        <v>1</v>
      </c>
      <c r="AR4640" t="s">
        <v>4742</v>
      </c>
      <c r="AS4640" s="1">
        <v>44354.123611111114</v>
      </c>
      <c r="AT4640" s="1">
        <v>44354.145914351851</v>
      </c>
      <c r="AU4640" s="1">
        <v>44354.146527777775</v>
      </c>
      <c r="AV4640" t="s">
        <v>71</v>
      </c>
      <c r="AW4640" t="s">
        <v>72</v>
      </c>
      <c r="AX4640" t="s">
        <v>73</v>
      </c>
    </row>
    <row r="4641" spans="1:50" x14ac:dyDescent="0.3">
      <c r="A4641" t="str">
        <f>"200165B0000"</f>
        <v>200165B0000</v>
      </c>
      <c r="B4641" t="str">
        <f>"200165B00002"</f>
        <v>200165B00002</v>
      </c>
      <c r="C4641" t="str">
        <f t="shared" si="237"/>
        <v>20</v>
      </c>
      <c r="D4641" t="s">
        <v>67</v>
      </c>
      <c r="E4641" t="str">
        <f t="shared" si="236"/>
        <v>021</v>
      </c>
      <c r="F4641" t="s">
        <v>4711</v>
      </c>
      <c r="G4641" t="str">
        <f>"0165"</f>
        <v>0165</v>
      </c>
      <c r="H4641" t="str">
        <f>"0000"</f>
        <v>0000</v>
      </c>
      <c r="I4641" t="s">
        <v>69</v>
      </c>
      <c r="J4641">
        <v>0</v>
      </c>
      <c r="K4641">
        <v>1</v>
      </c>
      <c r="L4641">
        <v>2</v>
      </c>
      <c r="M4641">
        <v>82</v>
      </c>
      <c r="N4641">
        <v>76</v>
      </c>
      <c r="O4641">
        <v>5</v>
      </c>
      <c r="P4641">
        <v>76</v>
      </c>
      <c r="Q4641">
        <v>13</v>
      </c>
      <c r="R4641">
        <v>3</v>
      </c>
      <c r="S4641">
        <v>2</v>
      </c>
      <c r="T4641">
        <v>28</v>
      </c>
      <c r="U4641">
        <v>1</v>
      </c>
      <c r="V4641">
        <v>2</v>
      </c>
      <c r="W4641">
        <v>0</v>
      </c>
      <c r="X4641">
        <v>24</v>
      </c>
      <c r="Y4641">
        <v>1</v>
      </c>
      <c r="Z4641">
        <v>0</v>
      </c>
      <c r="AA4641">
        <v>0</v>
      </c>
      <c r="AB4641">
        <v>0</v>
      </c>
      <c r="AD4641">
        <v>0</v>
      </c>
      <c r="AE4641">
        <v>0</v>
      </c>
      <c r="AF4641">
        <v>0</v>
      </c>
      <c r="AG4641">
        <v>0</v>
      </c>
      <c r="AI4641">
        <v>0</v>
      </c>
      <c r="AJ4641">
        <v>2</v>
      </c>
      <c r="AK4641">
        <v>76</v>
      </c>
      <c r="AL4641">
        <v>76</v>
      </c>
      <c r="AM4641">
        <v>114</v>
      </c>
      <c r="AN4641">
        <v>44</v>
      </c>
      <c r="AP4641">
        <v>1</v>
      </c>
      <c r="AR4641" t="s">
        <v>4743</v>
      </c>
      <c r="AS4641" s="1">
        <v>44354.03125</v>
      </c>
      <c r="AT4641" s="1">
        <v>44354.042199074072</v>
      </c>
      <c r="AU4641" s="1">
        <v>44354.043032407404</v>
      </c>
      <c r="AV4641" t="s">
        <v>71</v>
      </c>
      <c r="AW4641" t="s">
        <v>72</v>
      </c>
      <c r="AX4641" t="s">
        <v>73</v>
      </c>
    </row>
    <row r="4642" spans="1:50" x14ac:dyDescent="0.3">
      <c r="A4642" t="str">
        <f>"200166B0000"</f>
        <v>200166B0000</v>
      </c>
      <c r="B4642" t="str">
        <f>"200166B00002"</f>
        <v>200166B00002</v>
      </c>
      <c r="C4642" t="str">
        <f t="shared" si="237"/>
        <v>20</v>
      </c>
      <c r="D4642" t="s">
        <v>67</v>
      </c>
      <c r="E4642" t="str">
        <f t="shared" si="236"/>
        <v>021</v>
      </c>
      <c r="F4642" t="s">
        <v>4711</v>
      </c>
      <c r="G4642" t="str">
        <f>"0166"</f>
        <v>0166</v>
      </c>
      <c r="H4642" t="str">
        <f>"0000"</f>
        <v>0000</v>
      </c>
      <c r="I4642" t="s">
        <v>69</v>
      </c>
      <c r="J4642">
        <v>0</v>
      </c>
      <c r="K4642">
        <v>1</v>
      </c>
      <c r="L4642">
        <v>2</v>
      </c>
      <c r="M4642">
        <v>206</v>
      </c>
      <c r="N4642">
        <v>455</v>
      </c>
      <c r="O4642">
        <v>0</v>
      </c>
      <c r="P4642">
        <v>455</v>
      </c>
      <c r="Q4642">
        <v>235</v>
      </c>
      <c r="R4642">
        <v>4</v>
      </c>
      <c r="S4642">
        <v>0</v>
      </c>
      <c r="T4642">
        <v>130</v>
      </c>
      <c r="U4642">
        <v>9</v>
      </c>
      <c r="V4642">
        <v>4</v>
      </c>
      <c r="W4642">
        <v>2</v>
      </c>
      <c r="X4642">
        <v>74</v>
      </c>
      <c r="Y4642">
        <v>1</v>
      </c>
      <c r="Z4642">
        <v>15</v>
      </c>
      <c r="AA4642">
        <v>1</v>
      </c>
      <c r="AB4642">
        <v>2</v>
      </c>
      <c r="AD4642">
        <v>3</v>
      </c>
      <c r="AE4642">
        <v>3</v>
      </c>
      <c r="AF4642">
        <v>2</v>
      </c>
      <c r="AG4642">
        <v>0</v>
      </c>
      <c r="AI4642">
        <v>0</v>
      </c>
      <c r="AJ4642">
        <v>22</v>
      </c>
      <c r="AK4642">
        <v>455</v>
      </c>
      <c r="AL4642">
        <v>507</v>
      </c>
      <c r="AM4642">
        <v>618</v>
      </c>
      <c r="AN4642">
        <v>44</v>
      </c>
      <c r="AP4642">
        <v>1</v>
      </c>
      <c r="AR4642" t="s">
        <v>4744</v>
      </c>
      <c r="AS4642" s="1">
        <v>44354.031944444447</v>
      </c>
      <c r="AT4642" s="1">
        <v>44354.044490740744</v>
      </c>
      <c r="AU4642" s="1">
        <v>44354.045694444445</v>
      </c>
      <c r="AV4642" t="s">
        <v>71</v>
      </c>
      <c r="AW4642" t="s">
        <v>72</v>
      </c>
      <c r="AX4642" t="s">
        <v>73</v>
      </c>
    </row>
    <row r="4643" spans="1:50" x14ac:dyDescent="0.3">
      <c r="A4643" t="str">
        <f>"200166C0100"</f>
        <v>200166C0100</v>
      </c>
      <c r="B4643" t="str">
        <f>"200166C01002"</f>
        <v>200166C01002</v>
      </c>
      <c r="C4643" t="str">
        <f t="shared" si="237"/>
        <v>20</v>
      </c>
      <c r="D4643" t="s">
        <v>67</v>
      </c>
      <c r="E4643" t="str">
        <f t="shared" si="236"/>
        <v>021</v>
      </c>
      <c r="F4643" t="s">
        <v>4711</v>
      </c>
      <c r="G4643" t="str">
        <f>"0166"</f>
        <v>0166</v>
      </c>
      <c r="H4643" t="str">
        <f>"0001"</f>
        <v>0001</v>
      </c>
      <c r="I4643" t="s">
        <v>75</v>
      </c>
      <c r="J4643">
        <v>0</v>
      </c>
      <c r="K4643">
        <v>1</v>
      </c>
      <c r="L4643">
        <v>2</v>
      </c>
      <c r="M4643">
        <v>200</v>
      </c>
      <c r="N4643">
        <v>461</v>
      </c>
      <c r="O4643">
        <v>0</v>
      </c>
      <c r="P4643">
        <v>0</v>
      </c>
      <c r="Q4643">
        <v>235</v>
      </c>
      <c r="R4643">
        <v>8</v>
      </c>
      <c r="S4643">
        <v>3</v>
      </c>
      <c r="T4643">
        <v>62</v>
      </c>
      <c r="U4643">
        <v>13</v>
      </c>
      <c r="V4643">
        <v>5</v>
      </c>
      <c r="W4643">
        <v>3</v>
      </c>
      <c r="X4643">
        <v>66</v>
      </c>
      <c r="Y4643">
        <v>0</v>
      </c>
      <c r="Z4643">
        <v>10</v>
      </c>
      <c r="AA4643">
        <v>6</v>
      </c>
      <c r="AB4643">
        <v>0</v>
      </c>
      <c r="AD4643">
        <v>0</v>
      </c>
      <c r="AE4643">
        <v>3</v>
      </c>
      <c r="AF4643">
        <v>0</v>
      </c>
      <c r="AG4643">
        <v>0</v>
      </c>
      <c r="AI4643">
        <v>0</v>
      </c>
      <c r="AJ4643">
        <v>47</v>
      </c>
      <c r="AK4643">
        <v>461</v>
      </c>
      <c r="AL4643">
        <v>461</v>
      </c>
      <c r="AM4643">
        <v>617</v>
      </c>
      <c r="AN4643">
        <v>44</v>
      </c>
      <c r="AP4643">
        <v>1</v>
      </c>
      <c r="AR4643" t="s">
        <v>4745</v>
      </c>
      <c r="AS4643" s="1">
        <v>44353.937557870369</v>
      </c>
      <c r="AT4643" s="1">
        <v>44353.94017361111</v>
      </c>
      <c r="AU4643" s="1">
        <v>44353.940740740742</v>
      </c>
      <c r="AV4643" t="s">
        <v>269</v>
      </c>
      <c r="AW4643" t="s">
        <v>270</v>
      </c>
      <c r="AX4643" t="s">
        <v>73</v>
      </c>
    </row>
    <row r="4644" spans="1:50" x14ac:dyDescent="0.3">
      <c r="A4644" t="str">
        <f>"200167B0000"</f>
        <v>200167B0000</v>
      </c>
      <c r="B4644" t="str">
        <f>"200167B00002"</f>
        <v>200167B00002</v>
      </c>
      <c r="C4644" t="str">
        <f t="shared" si="237"/>
        <v>20</v>
      </c>
      <c r="D4644" t="s">
        <v>67</v>
      </c>
      <c r="E4644" t="str">
        <f t="shared" si="236"/>
        <v>021</v>
      </c>
      <c r="F4644" t="s">
        <v>4711</v>
      </c>
      <c r="G4644" t="str">
        <f>"0167"</f>
        <v>0167</v>
      </c>
      <c r="H4644" t="str">
        <f>"0000"</f>
        <v>0000</v>
      </c>
      <c r="I4644" t="s">
        <v>69</v>
      </c>
      <c r="J4644">
        <v>0</v>
      </c>
      <c r="K4644">
        <v>1</v>
      </c>
      <c r="L4644">
        <v>2</v>
      </c>
      <c r="M4644">
        <v>249</v>
      </c>
      <c r="N4644">
        <v>0</v>
      </c>
      <c r="O4644">
        <v>0</v>
      </c>
      <c r="P4644">
        <v>405</v>
      </c>
      <c r="Q4644">
        <v>132</v>
      </c>
      <c r="R4644">
        <v>7</v>
      </c>
      <c r="S4644">
        <v>2</v>
      </c>
      <c r="T4644">
        <v>143</v>
      </c>
      <c r="U4644">
        <v>4</v>
      </c>
      <c r="V4644">
        <v>2</v>
      </c>
      <c r="W4644">
        <v>3</v>
      </c>
      <c r="X4644">
        <v>92</v>
      </c>
      <c r="Y4644">
        <v>1</v>
      </c>
      <c r="Z4644">
        <v>6</v>
      </c>
      <c r="AA4644">
        <v>3</v>
      </c>
      <c r="AB4644">
        <v>1</v>
      </c>
      <c r="AD4644">
        <v>141</v>
      </c>
      <c r="AE4644">
        <v>139</v>
      </c>
      <c r="AF4644">
        <v>134</v>
      </c>
      <c r="AG4644">
        <v>9</v>
      </c>
      <c r="AI4644">
        <v>0</v>
      </c>
      <c r="AJ4644">
        <v>9</v>
      </c>
      <c r="AK4644">
        <v>405</v>
      </c>
      <c r="AL4644">
        <v>828</v>
      </c>
      <c r="AM4644">
        <v>610</v>
      </c>
      <c r="AN4644">
        <v>44</v>
      </c>
      <c r="AO4644" t="s">
        <v>245</v>
      </c>
      <c r="AP4644">
        <v>0</v>
      </c>
      <c r="AR4644" t="s">
        <v>4746</v>
      </c>
      <c r="AS4644" s="1">
        <v>44354.018750000003</v>
      </c>
      <c r="AT4644" s="1">
        <v>44354.060590277775</v>
      </c>
      <c r="AU4644" s="1">
        <v>44354.062060185184</v>
      </c>
      <c r="AV4644" t="s">
        <v>71</v>
      </c>
      <c r="AW4644" t="s">
        <v>72</v>
      </c>
      <c r="AX4644" t="s">
        <v>73</v>
      </c>
    </row>
    <row r="4645" spans="1:50" x14ac:dyDescent="0.3">
      <c r="A4645" t="str">
        <f>"200168B0000"</f>
        <v>200168B0000</v>
      </c>
      <c r="B4645" t="str">
        <f>"200168B00002"</f>
        <v>200168B00002</v>
      </c>
      <c r="C4645" t="str">
        <f t="shared" si="237"/>
        <v>20</v>
      </c>
      <c r="D4645" t="s">
        <v>67</v>
      </c>
      <c r="E4645" t="str">
        <f t="shared" si="236"/>
        <v>021</v>
      </c>
      <c r="F4645" t="s">
        <v>4711</v>
      </c>
      <c r="G4645" t="str">
        <f>"0168"</f>
        <v>0168</v>
      </c>
      <c r="H4645" t="str">
        <f>"0000"</f>
        <v>0000</v>
      </c>
      <c r="I4645" t="s">
        <v>69</v>
      </c>
      <c r="J4645">
        <v>0</v>
      </c>
      <c r="K4645">
        <v>1</v>
      </c>
      <c r="L4645">
        <v>2</v>
      </c>
      <c r="M4645">
        <v>271</v>
      </c>
      <c r="N4645">
        <v>423</v>
      </c>
      <c r="O4645">
        <v>7</v>
      </c>
      <c r="P4645">
        <v>423</v>
      </c>
      <c r="Q4645">
        <v>228</v>
      </c>
      <c r="R4645">
        <v>54</v>
      </c>
      <c r="S4645">
        <v>2</v>
      </c>
      <c r="T4645">
        <v>23</v>
      </c>
      <c r="U4645">
        <v>7</v>
      </c>
      <c r="V4645">
        <v>1</v>
      </c>
      <c r="W4645">
        <v>1</v>
      </c>
      <c r="X4645">
        <v>68</v>
      </c>
      <c r="Y4645">
        <v>1</v>
      </c>
      <c r="Z4645">
        <v>3</v>
      </c>
      <c r="AA4645">
        <v>6</v>
      </c>
      <c r="AB4645">
        <v>1</v>
      </c>
      <c r="AD4645">
        <v>2</v>
      </c>
      <c r="AE4645">
        <v>0</v>
      </c>
      <c r="AF4645">
        <v>1</v>
      </c>
      <c r="AG4645">
        <v>0</v>
      </c>
      <c r="AI4645">
        <v>0</v>
      </c>
      <c r="AJ4645">
        <v>25</v>
      </c>
      <c r="AK4645">
        <v>423</v>
      </c>
      <c r="AL4645">
        <v>423</v>
      </c>
      <c r="AM4645">
        <v>650</v>
      </c>
      <c r="AN4645">
        <v>44</v>
      </c>
      <c r="AP4645">
        <v>1</v>
      </c>
      <c r="AR4645" t="s">
        <v>4747</v>
      </c>
      <c r="AS4645" s="1">
        <v>44354.015277777777</v>
      </c>
      <c r="AT4645" s="1">
        <v>44354.024409722224</v>
      </c>
      <c r="AU4645" s="1">
        <v>44354.025393518517</v>
      </c>
      <c r="AV4645" t="s">
        <v>71</v>
      </c>
      <c r="AW4645" t="s">
        <v>72</v>
      </c>
      <c r="AX4645" t="s">
        <v>73</v>
      </c>
    </row>
    <row r="4646" spans="1:50" x14ac:dyDescent="0.3">
      <c r="A4646" t="str">
        <f>"200169B0000"</f>
        <v>200169B0000</v>
      </c>
      <c r="B4646" t="str">
        <f>"200169B00002"</f>
        <v>200169B00002</v>
      </c>
      <c r="C4646" t="str">
        <f t="shared" si="237"/>
        <v>20</v>
      </c>
      <c r="D4646" t="s">
        <v>67</v>
      </c>
      <c r="E4646" t="str">
        <f t="shared" si="236"/>
        <v>021</v>
      </c>
      <c r="F4646" t="s">
        <v>4711</v>
      </c>
      <c r="G4646" t="str">
        <f>"0169"</f>
        <v>0169</v>
      </c>
      <c r="H4646" t="str">
        <f>"0000"</f>
        <v>0000</v>
      </c>
      <c r="I4646" t="s">
        <v>69</v>
      </c>
      <c r="J4646">
        <v>0</v>
      </c>
      <c r="K4646">
        <v>1</v>
      </c>
      <c r="L4646">
        <v>2</v>
      </c>
      <c r="M4646">
        <v>259</v>
      </c>
      <c r="N4646">
        <v>428</v>
      </c>
      <c r="O4646">
        <v>0</v>
      </c>
      <c r="P4646">
        <v>428</v>
      </c>
      <c r="Q4646">
        <v>163</v>
      </c>
      <c r="R4646">
        <v>18</v>
      </c>
      <c r="S4646">
        <v>6</v>
      </c>
      <c r="T4646">
        <v>81</v>
      </c>
      <c r="U4646">
        <v>2</v>
      </c>
      <c r="V4646">
        <v>5</v>
      </c>
      <c r="W4646">
        <v>1</v>
      </c>
      <c r="X4646">
        <v>117</v>
      </c>
      <c r="Y4646">
        <v>1</v>
      </c>
      <c r="Z4646">
        <v>5</v>
      </c>
      <c r="AA4646">
        <v>7</v>
      </c>
      <c r="AB4646">
        <v>0</v>
      </c>
      <c r="AD4646">
        <v>2</v>
      </c>
      <c r="AE4646">
        <v>2</v>
      </c>
      <c r="AF4646">
        <v>2</v>
      </c>
      <c r="AG4646">
        <v>0</v>
      </c>
      <c r="AI4646">
        <v>0</v>
      </c>
      <c r="AJ4646">
        <v>16</v>
      </c>
      <c r="AK4646">
        <v>428</v>
      </c>
      <c r="AL4646">
        <v>428</v>
      </c>
      <c r="AM4646">
        <v>643</v>
      </c>
      <c r="AN4646">
        <v>44</v>
      </c>
      <c r="AP4646">
        <v>1</v>
      </c>
      <c r="AR4646" t="s">
        <v>4748</v>
      </c>
      <c r="AS4646" s="1">
        <v>44354.019444444442</v>
      </c>
      <c r="AT4646" s="1">
        <v>44354.059895833336</v>
      </c>
      <c r="AU4646" s="1">
        <v>44354.060439814813</v>
      </c>
      <c r="AV4646" t="s">
        <v>71</v>
      </c>
      <c r="AW4646" t="s">
        <v>72</v>
      </c>
      <c r="AX4646" t="s">
        <v>73</v>
      </c>
    </row>
    <row r="4647" spans="1:50" x14ac:dyDescent="0.3">
      <c r="A4647" t="str">
        <f>"200170B0000"</f>
        <v>200170B0000</v>
      </c>
      <c r="B4647" t="str">
        <f>"200170B00002"</f>
        <v>200170B00002</v>
      </c>
      <c r="C4647" t="str">
        <f t="shared" si="237"/>
        <v>20</v>
      </c>
      <c r="D4647" t="s">
        <v>67</v>
      </c>
      <c r="E4647" t="str">
        <f t="shared" si="236"/>
        <v>021</v>
      </c>
      <c r="F4647" t="s">
        <v>4711</v>
      </c>
      <c r="G4647" t="str">
        <f>"0170"</f>
        <v>0170</v>
      </c>
      <c r="H4647" t="str">
        <f>"0000"</f>
        <v>0000</v>
      </c>
      <c r="I4647" t="s">
        <v>69</v>
      </c>
      <c r="J4647">
        <v>0</v>
      </c>
      <c r="K4647">
        <v>1</v>
      </c>
      <c r="L4647">
        <v>2</v>
      </c>
      <c r="M4647">
        <v>172</v>
      </c>
      <c r="N4647">
        <v>269</v>
      </c>
      <c r="O4647">
        <v>0</v>
      </c>
      <c r="P4647">
        <v>269</v>
      </c>
      <c r="Q4647">
        <v>152</v>
      </c>
      <c r="R4647">
        <v>9</v>
      </c>
      <c r="S4647">
        <v>0</v>
      </c>
      <c r="T4647">
        <v>54</v>
      </c>
      <c r="U4647">
        <v>0</v>
      </c>
      <c r="V4647">
        <v>1</v>
      </c>
      <c r="W4647">
        <v>1</v>
      </c>
      <c r="X4647">
        <v>38</v>
      </c>
      <c r="Y4647">
        <v>0</v>
      </c>
      <c r="Z4647">
        <v>3</v>
      </c>
      <c r="AA4647">
        <v>1</v>
      </c>
      <c r="AB4647">
        <v>0</v>
      </c>
      <c r="AD4647">
        <v>4</v>
      </c>
      <c r="AE4647">
        <v>1</v>
      </c>
      <c r="AF4647">
        <v>0</v>
      </c>
      <c r="AG4647">
        <v>0</v>
      </c>
      <c r="AI4647">
        <v>0</v>
      </c>
      <c r="AJ4647">
        <v>5</v>
      </c>
      <c r="AK4647">
        <v>269</v>
      </c>
      <c r="AL4647">
        <v>269</v>
      </c>
      <c r="AM4647">
        <v>397</v>
      </c>
      <c r="AN4647">
        <v>44</v>
      </c>
      <c r="AP4647">
        <v>1</v>
      </c>
      <c r="AR4647" t="s">
        <v>4749</v>
      </c>
      <c r="AS4647" s="1">
        <v>44354.075694444444</v>
      </c>
      <c r="AT4647" s="1">
        <v>44354.085752314815</v>
      </c>
      <c r="AU4647" s="1">
        <v>44354.086354166669</v>
      </c>
      <c r="AV4647" t="s">
        <v>71</v>
      </c>
      <c r="AW4647" t="s">
        <v>72</v>
      </c>
      <c r="AX4647" t="s">
        <v>73</v>
      </c>
    </row>
    <row r="4648" spans="1:50" x14ac:dyDescent="0.3">
      <c r="A4648" t="str">
        <f>"200170C0100"</f>
        <v>200170C0100</v>
      </c>
      <c r="B4648" t="str">
        <f>"200170C01002"</f>
        <v>200170C01002</v>
      </c>
      <c r="C4648" t="str">
        <f t="shared" si="237"/>
        <v>20</v>
      </c>
      <c r="D4648" t="s">
        <v>67</v>
      </c>
      <c r="E4648" t="str">
        <f t="shared" si="236"/>
        <v>021</v>
      </c>
      <c r="F4648" t="s">
        <v>4711</v>
      </c>
      <c r="G4648" t="str">
        <f>"0170"</f>
        <v>0170</v>
      </c>
      <c r="H4648" t="str">
        <f>"0001"</f>
        <v>0001</v>
      </c>
      <c r="I4648" t="s">
        <v>75</v>
      </c>
      <c r="J4648">
        <v>0</v>
      </c>
      <c r="K4648">
        <v>1</v>
      </c>
      <c r="L4648">
        <v>2</v>
      </c>
      <c r="M4648">
        <v>181</v>
      </c>
      <c r="N4648">
        <v>259</v>
      </c>
      <c r="O4648">
        <v>0</v>
      </c>
      <c r="P4648">
        <v>259</v>
      </c>
      <c r="Q4648">
        <v>160</v>
      </c>
      <c r="R4648">
        <v>4</v>
      </c>
      <c r="S4648">
        <v>0</v>
      </c>
      <c r="T4648">
        <v>50</v>
      </c>
      <c r="U4648">
        <v>3</v>
      </c>
      <c r="V4648">
        <v>3</v>
      </c>
      <c r="W4648">
        <v>1</v>
      </c>
      <c r="X4648">
        <v>26</v>
      </c>
      <c r="Y4648">
        <v>1</v>
      </c>
      <c r="Z4648">
        <v>3</v>
      </c>
      <c r="AA4648">
        <v>0</v>
      </c>
      <c r="AB4648">
        <v>0</v>
      </c>
      <c r="AD4648">
        <v>4</v>
      </c>
      <c r="AE4648">
        <v>2</v>
      </c>
      <c r="AF4648">
        <v>0</v>
      </c>
      <c r="AG4648">
        <v>0</v>
      </c>
      <c r="AI4648">
        <v>0</v>
      </c>
      <c r="AJ4648">
        <v>2</v>
      </c>
      <c r="AK4648">
        <v>259</v>
      </c>
      <c r="AL4648">
        <v>259</v>
      </c>
      <c r="AM4648">
        <v>396</v>
      </c>
      <c r="AN4648">
        <v>44</v>
      </c>
      <c r="AP4648">
        <v>1</v>
      </c>
      <c r="AR4648" t="s">
        <v>4750</v>
      </c>
      <c r="AS4648" s="1">
        <v>44354.074999999997</v>
      </c>
      <c r="AT4648" s="1">
        <v>44354.082002314812</v>
      </c>
      <c r="AU4648" s="1">
        <v>44354.082291666666</v>
      </c>
      <c r="AV4648" t="s">
        <v>71</v>
      </c>
      <c r="AW4648" t="s">
        <v>72</v>
      </c>
      <c r="AX4648" t="s">
        <v>73</v>
      </c>
    </row>
    <row r="4649" spans="1:50" x14ac:dyDescent="0.3">
      <c r="A4649" t="str">
        <f>"200171B0000"</f>
        <v>200171B0000</v>
      </c>
      <c r="B4649" t="str">
        <f>"200171B00002"</f>
        <v>200171B00002</v>
      </c>
      <c r="C4649" t="str">
        <f t="shared" si="237"/>
        <v>20</v>
      </c>
      <c r="D4649" t="s">
        <v>67</v>
      </c>
      <c r="E4649" t="str">
        <f t="shared" si="236"/>
        <v>021</v>
      </c>
      <c r="F4649" t="s">
        <v>4711</v>
      </c>
      <c r="G4649" t="str">
        <f>"0171"</f>
        <v>0171</v>
      </c>
      <c r="H4649" t="str">
        <f>"0000"</f>
        <v>0000</v>
      </c>
      <c r="I4649" t="s">
        <v>69</v>
      </c>
      <c r="J4649">
        <v>0</v>
      </c>
      <c r="K4649">
        <v>1</v>
      </c>
      <c r="L4649">
        <v>2</v>
      </c>
      <c r="M4649">
        <v>125</v>
      </c>
      <c r="N4649">
        <v>201</v>
      </c>
      <c r="O4649">
        <v>8</v>
      </c>
      <c r="P4649">
        <v>201</v>
      </c>
      <c r="Q4649">
        <v>103</v>
      </c>
      <c r="R4649">
        <v>4</v>
      </c>
      <c r="S4649" t="s">
        <v>77</v>
      </c>
      <c r="T4649">
        <v>53</v>
      </c>
      <c r="U4649">
        <v>9</v>
      </c>
      <c r="V4649">
        <v>1</v>
      </c>
      <c r="W4649">
        <v>2</v>
      </c>
      <c r="X4649">
        <v>16</v>
      </c>
      <c r="Y4649" t="s">
        <v>77</v>
      </c>
      <c r="Z4649">
        <v>2</v>
      </c>
      <c r="AA4649">
        <v>1</v>
      </c>
      <c r="AB4649">
        <v>1</v>
      </c>
      <c r="AD4649">
        <v>2</v>
      </c>
      <c r="AE4649">
        <v>1</v>
      </c>
      <c r="AF4649" t="s">
        <v>77</v>
      </c>
      <c r="AG4649" t="s">
        <v>77</v>
      </c>
      <c r="AI4649" t="s">
        <v>77</v>
      </c>
      <c r="AJ4649">
        <v>6</v>
      </c>
      <c r="AK4649">
        <v>201</v>
      </c>
      <c r="AL4649">
        <v>201</v>
      </c>
      <c r="AM4649">
        <v>282</v>
      </c>
      <c r="AN4649">
        <v>44</v>
      </c>
      <c r="AO4649" t="s">
        <v>78</v>
      </c>
      <c r="AP4649">
        <v>1</v>
      </c>
      <c r="AR4649" t="s">
        <v>4751</v>
      </c>
      <c r="AS4649" s="1">
        <v>44354.127083333333</v>
      </c>
      <c r="AT4649" s="1">
        <v>44354.134525462963</v>
      </c>
      <c r="AU4649" s="1">
        <v>44354.135046296295</v>
      </c>
      <c r="AV4649" t="s">
        <v>71</v>
      </c>
      <c r="AW4649" t="s">
        <v>72</v>
      </c>
      <c r="AX4649" t="s">
        <v>73</v>
      </c>
    </row>
    <row r="4650" spans="1:50" x14ac:dyDescent="0.3">
      <c r="A4650" t="str">
        <f>"200172B0000"</f>
        <v>200172B0000</v>
      </c>
      <c r="B4650" t="str">
        <f>"200172B00002"</f>
        <v>200172B00002</v>
      </c>
      <c r="C4650" t="str">
        <f t="shared" si="237"/>
        <v>20</v>
      </c>
      <c r="D4650" t="s">
        <v>67</v>
      </c>
      <c r="E4650" t="str">
        <f t="shared" si="236"/>
        <v>021</v>
      </c>
      <c r="F4650" t="s">
        <v>4711</v>
      </c>
      <c r="G4650" t="str">
        <f>"0172"</f>
        <v>0172</v>
      </c>
      <c r="H4650" t="str">
        <f>"0000"</f>
        <v>0000</v>
      </c>
      <c r="I4650" t="s">
        <v>69</v>
      </c>
      <c r="J4650">
        <v>0</v>
      </c>
      <c r="K4650">
        <v>1</v>
      </c>
      <c r="L4650">
        <v>2</v>
      </c>
      <c r="M4650">
        <v>126</v>
      </c>
      <c r="N4650">
        <v>226</v>
      </c>
      <c r="O4650">
        <v>8</v>
      </c>
      <c r="P4650">
        <v>218</v>
      </c>
      <c r="Q4650">
        <v>90</v>
      </c>
      <c r="R4650">
        <v>4</v>
      </c>
      <c r="S4650">
        <v>1</v>
      </c>
      <c r="T4650">
        <v>25</v>
      </c>
      <c r="U4650">
        <v>2</v>
      </c>
      <c r="V4650">
        <v>3</v>
      </c>
      <c r="W4650">
        <v>1</v>
      </c>
      <c r="X4650">
        <v>72</v>
      </c>
      <c r="Y4650">
        <v>0</v>
      </c>
      <c r="Z4650">
        <v>5</v>
      </c>
      <c r="AA4650">
        <v>1</v>
      </c>
      <c r="AB4650">
        <v>1</v>
      </c>
      <c r="AD4650">
        <v>1</v>
      </c>
      <c r="AE4650">
        <v>0</v>
      </c>
      <c r="AF4650">
        <v>0</v>
      </c>
      <c r="AG4650">
        <v>0</v>
      </c>
      <c r="AI4650">
        <v>0</v>
      </c>
      <c r="AJ4650">
        <v>12</v>
      </c>
      <c r="AK4650">
        <v>218</v>
      </c>
      <c r="AL4650">
        <v>218</v>
      </c>
      <c r="AM4650">
        <v>300</v>
      </c>
      <c r="AN4650">
        <v>44</v>
      </c>
      <c r="AP4650">
        <v>1</v>
      </c>
      <c r="AR4650" t="s">
        <v>4752</v>
      </c>
      <c r="AS4650" s="1">
        <v>44354.126388888886</v>
      </c>
      <c r="AT4650" s="1">
        <v>44354.1327662037</v>
      </c>
      <c r="AU4650" s="1">
        <v>44354.133287037039</v>
      </c>
      <c r="AV4650" t="s">
        <v>71</v>
      </c>
      <c r="AW4650" t="s">
        <v>72</v>
      </c>
      <c r="AX4650" t="s">
        <v>73</v>
      </c>
    </row>
    <row r="4651" spans="1:50" x14ac:dyDescent="0.3">
      <c r="A4651" t="str">
        <f>"200173B0000"</f>
        <v>200173B0000</v>
      </c>
      <c r="B4651" t="str">
        <f>"200173B00002"</f>
        <v>200173B00002</v>
      </c>
      <c r="C4651" t="str">
        <f t="shared" si="237"/>
        <v>20</v>
      </c>
      <c r="D4651" t="s">
        <v>67</v>
      </c>
      <c r="E4651" t="str">
        <f t="shared" si="236"/>
        <v>021</v>
      </c>
      <c r="F4651" t="s">
        <v>4711</v>
      </c>
      <c r="G4651" t="str">
        <f>"0173"</f>
        <v>0173</v>
      </c>
      <c r="H4651" t="str">
        <f>"0000"</f>
        <v>0000</v>
      </c>
      <c r="I4651" t="s">
        <v>69</v>
      </c>
      <c r="J4651">
        <v>0</v>
      </c>
      <c r="K4651">
        <v>1</v>
      </c>
      <c r="L4651">
        <v>2</v>
      </c>
      <c r="M4651">
        <v>362</v>
      </c>
      <c r="N4651">
        <v>366</v>
      </c>
      <c r="O4651">
        <v>0</v>
      </c>
      <c r="P4651" t="s">
        <v>80</v>
      </c>
      <c r="Q4651">
        <v>109</v>
      </c>
      <c r="R4651">
        <v>12</v>
      </c>
      <c r="S4651">
        <v>2</v>
      </c>
      <c r="T4651">
        <v>117</v>
      </c>
      <c r="U4651">
        <v>3</v>
      </c>
      <c r="V4651">
        <v>1</v>
      </c>
      <c r="W4651">
        <v>2</v>
      </c>
      <c r="X4651">
        <v>77</v>
      </c>
      <c r="Y4651">
        <v>5</v>
      </c>
      <c r="Z4651">
        <v>11</v>
      </c>
      <c r="AA4651">
        <v>2</v>
      </c>
      <c r="AB4651">
        <v>1</v>
      </c>
      <c r="AD4651" t="s">
        <v>77</v>
      </c>
      <c r="AE4651" t="s">
        <v>77</v>
      </c>
      <c r="AF4651" t="s">
        <v>77</v>
      </c>
      <c r="AG4651" t="s">
        <v>77</v>
      </c>
      <c r="AI4651" t="s">
        <v>77</v>
      </c>
      <c r="AJ4651">
        <v>24</v>
      </c>
      <c r="AK4651">
        <v>366</v>
      </c>
      <c r="AL4651">
        <v>366</v>
      </c>
      <c r="AM4651">
        <v>684</v>
      </c>
      <c r="AN4651">
        <v>44</v>
      </c>
      <c r="AO4651" t="s">
        <v>78</v>
      </c>
      <c r="AP4651">
        <v>1</v>
      </c>
      <c r="AR4651" t="s">
        <v>4753</v>
      </c>
      <c r="AS4651" s="1">
        <v>44353.986111111109</v>
      </c>
      <c r="AT4651" s="1">
        <v>44353.999780092592</v>
      </c>
      <c r="AU4651" s="1">
        <v>44354.000625000001</v>
      </c>
      <c r="AV4651" t="s">
        <v>71</v>
      </c>
      <c r="AW4651" t="s">
        <v>72</v>
      </c>
      <c r="AX4651" t="s">
        <v>73</v>
      </c>
    </row>
    <row r="4652" spans="1:50" x14ac:dyDescent="0.3">
      <c r="A4652" t="str">
        <f>"200173C0100"</f>
        <v>200173C0100</v>
      </c>
      <c r="B4652" t="str">
        <f>"200173C01002"</f>
        <v>200173C01002</v>
      </c>
      <c r="C4652" t="str">
        <f t="shared" si="237"/>
        <v>20</v>
      </c>
      <c r="D4652" t="s">
        <v>67</v>
      </c>
      <c r="E4652" t="str">
        <f t="shared" si="236"/>
        <v>021</v>
      </c>
      <c r="F4652" t="s">
        <v>4711</v>
      </c>
      <c r="G4652" t="str">
        <f>"0173"</f>
        <v>0173</v>
      </c>
      <c r="H4652" t="str">
        <f>"0001"</f>
        <v>0001</v>
      </c>
      <c r="I4652" t="s">
        <v>75</v>
      </c>
      <c r="J4652">
        <v>0</v>
      </c>
      <c r="K4652">
        <v>1</v>
      </c>
      <c r="L4652">
        <v>2</v>
      </c>
      <c r="M4652">
        <v>307</v>
      </c>
      <c r="N4652">
        <v>420</v>
      </c>
      <c r="O4652">
        <v>0</v>
      </c>
      <c r="P4652">
        <v>420</v>
      </c>
      <c r="Q4652">
        <v>149</v>
      </c>
      <c r="R4652">
        <v>9</v>
      </c>
      <c r="S4652">
        <v>3</v>
      </c>
      <c r="T4652">
        <v>127</v>
      </c>
      <c r="U4652">
        <v>8</v>
      </c>
      <c r="V4652">
        <v>1</v>
      </c>
      <c r="W4652">
        <v>1</v>
      </c>
      <c r="X4652">
        <v>88</v>
      </c>
      <c r="Y4652">
        <v>1</v>
      </c>
      <c r="Z4652">
        <v>10</v>
      </c>
      <c r="AA4652">
        <v>8</v>
      </c>
      <c r="AB4652">
        <v>2</v>
      </c>
      <c r="AD4652">
        <v>0</v>
      </c>
      <c r="AE4652">
        <v>2</v>
      </c>
      <c r="AF4652">
        <v>0</v>
      </c>
      <c r="AG4652">
        <v>0</v>
      </c>
      <c r="AI4652">
        <v>0</v>
      </c>
      <c r="AJ4652">
        <v>11</v>
      </c>
      <c r="AK4652">
        <v>420</v>
      </c>
      <c r="AL4652">
        <v>420</v>
      </c>
      <c r="AM4652">
        <v>683</v>
      </c>
      <c r="AN4652">
        <v>44</v>
      </c>
      <c r="AP4652">
        <v>1</v>
      </c>
      <c r="AR4652" t="s">
        <v>4754</v>
      </c>
      <c r="AS4652" s="1">
        <v>44353.986805555556</v>
      </c>
      <c r="AT4652" s="1">
        <v>44353.991759259261</v>
      </c>
      <c r="AU4652" s="1">
        <v>44353.9922337963</v>
      </c>
      <c r="AV4652" t="s">
        <v>71</v>
      </c>
      <c r="AW4652" t="s">
        <v>72</v>
      </c>
      <c r="AX4652" t="s">
        <v>73</v>
      </c>
    </row>
    <row r="4653" spans="1:50" x14ac:dyDescent="0.3">
      <c r="A4653" t="str">
        <f>"200174B0000"</f>
        <v>200174B0000</v>
      </c>
      <c r="B4653" t="str">
        <f>"200174B00002"</f>
        <v>200174B00002</v>
      </c>
      <c r="C4653" t="str">
        <f t="shared" si="237"/>
        <v>20</v>
      </c>
      <c r="D4653" t="s">
        <v>67</v>
      </c>
      <c r="E4653" t="str">
        <f t="shared" si="236"/>
        <v>021</v>
      </c>
      <c r="F4653" t="s">
        <v>4711</v>
      </c>
      <c r="G4653" t="str">
        <f>"0174"</f>
        <v>0174</v>
      </c>
      <c r="H4653" t="str">
        <f>"0000"</f>
        <v>0000</v>
      </c>
      <c r="I4653" t="s">
        <v>69</v>
      </c>
      <c r="J4653">
        <v>0</v>
      </c>
      <c r="K4653">
        <v>1</v>
      </c>
      <c r="L4653">
        <v>2</v>
      </c>
      <c r="M4653">
        <v>159</v>
      </c>
      <c r="N4653">
        <v>263</v>
      </c>
      <c r="O4653">
        <v>0</v>
      </c>
      <c r="P4653">
        <v>263</v>
      </c>
      <c r="Q4653">
        <v>135</v>
      </c>
      <c r="R4653">
        <v>23</v>
      </c>
      <c r="S4653">
        <v>3</v>
      </c>
      <c r="T4653">
        <v>62</v>
      </c>
      <c r="U4653">
        <v>0</v>
      </c>
      <c r="V4653">
        <v>1</v>
      </c>
      <c r="W4653">
        <v>0</v>
      </c>
      <c r="X4653">
        <v>20</v>
      </c>
      <c r="Y4653">
        <v>1</v>
      </c>
      <c r="Z4653">
        <v>4</v>
      </c>
      <c r="AA4653">
        <v>1</v>
      </c>
      <c r="AB4653">
        <v>0</v>
      </c>
      <c r="AD4653">
        <v>0</v>
      </c>
      <c r="AE4653">
        <v>2</v>
      </c>
      <c r="AF4653">
        <v>0</v>
      </c>
      <c r="AG4653">
        <v>0</v>
      </c>
      <c r="AI4653">
        <v>0</v>
      </c>
      <c r="AJ4653">
        <v>11</v>
      </c>
      <c r="AK4653">
        <v>263</v>
      </c>
      <c r="AL4653">
        <v>263</v>
      </c>
      <c r="AM4653">
        <v>378</v>
      </c>
      <c r="AN4653">
        <v>44</v>
      </c>
      <c r="AP4653">
        <v>1</v>
      </c>
      <c r="AR4653" t="s">
        <v>4755</v>
      </c>
      <c r="AS4653" s="1">
        <v>44354.083703703705</v>
      </c>
      <c r="AT4653" s="1">
        <v>44354.12841435185</v>
      </c>
      <c r="AU4653" s="1">
        <v>44354.129120370373</v>
      </c>
      <c r="AV4653" t="s">
        <v>269</v>
      </c>
      <c r="AW4653" t="s">
        <v>270</v>
      </c>
      <c r="AX4653" t="s">
        <v>73</v>
      </c>
    </row>
    <row r="4654" spans="1:50" x14ac:dyDescent="0.3">
      <c r="A4654" t="str">
        <f>"200175B0000"</f>
        <v>200175B0000</v>
      </c>
      <c r="B4654" t="str">
        <f>"200175B00002"</f>
        <v>200175B00002</v>
      </c>
      <c r="C4654" t="str">
        <f t="shared" si="237"/>
        <v>20</v>
      </c>
      <c r="D4654" t="s">
        <v>67</v>
      </c>
      <c r="E4654" t="str">
        <f t="shared" si="236"/>
        <v>021</v>
      </c>
      <c r="F4654" t="s">
        <v>4711</v>
      </c>
      <c r="G4654" t="str">
        <f>"0175"</f>
        <v>0175</v>
      </c>
      <c r="H4654" t="str">
        <f>"0000"</f>
        <v>0000</v>
      </c>
      <c r="I4654" t="s">
        <v>69</v>
      </c>
      <c r="J4654">
        <v>0</v>
      </c>
      <c r="K4654">
        <v>1</v>
      </c>
      <c r="L4654">
        <v>2</v>
      </c>
      <c r="M4654">
        <v>310</v>
      </c>
      <c r="N4654">
        <v>443</v>
      </c>
      <c r="O4654">
        <v>0</v>
      </c>
      <c r="P4654">
        <v>443</v>
      </c>
      <c r="Q4654">
        <v>297</v>
      </c>
      <c r="R4654">
        <v>55</v>
      </c>
      <c r="S4654">
        <v>1</v>
      </c>
      <c r="T4654">
        <v>29</v>
      </c>
      <c r="U4654">
        <v>5</v>
      </c>
      <c r="V4654">
        <v>0</v>
      </c>
      <c r="W4654">
        <v>1</v>
      </c>
      <c r="X4654">
        <v>21</v>
      </c>
      <c r="Y4654">
        <v>2</v>
      </c>
      <c r="Z4654">
        <v>5</v>
      </c>
      <c r="AA4654">
        <v>5</v>
      </c>
      <c r="AB4654">
        <v>2</v>
      </c>
      <c r="AD4654">
        <v>4</v>
      </c>
      <c r="AE4654">
        <v>3</v>
      </c>
      <c r="AF4654">
        <v>0</v>
      </c>
      <c r="AG4654">
        <v>0</v>
      </c>
      <c r="AI4654">
        <v>0</v>
      </c>
      <c r="AJ4654">
        <v>14</v>
      </c>
      <c r="AK4654">
        <v>443</v>
      </c>
      <c r="AL4654">
        <v>444</v>
      </c>
      <c r="AM4654">
        <v>709</v>
      </c>
      <c r="AN4654">
        <v>44</v>
      </c>
      <c r="AP4654">
        <v>1</v>
      </c>
      <c r="AR4654" t="s">
        <v>4756</v>
      </c>
      <c r="AS4654" s="1">
        <v>44354.0625</v>
      </c>
      <c r="AT4654" s="1">
        <v>44354.069502314815</v>
      </c>
      <c r="AU4654" s="1">
        <v>44354.070300925923</v>
      </c>
      <c r="AV4654" t="s">
        <v>71</v>
      </c>
      <c r="AW4654" t="s">
        <v>72</v>
      </c>
      <c r="AX4654" t="s">
        <v>73</v>
      </c>
    </row>
    <row r="4655" spans="1:50" x14ac:dyDescent="0.3">
      <c r="A4655" t="str">
        <f>"200374B0000"</f>
        <v>200374B0000</v>
      </c>
      <c r="B4655" t="str">
        <f>"200374B00002"</f>
        <v>200374B00002</v>
      </c>
      <c r="C4655" t="str">
        <f t="shared" si="237"/>
        <v>20</v>
      </c>
      <c r="D4655" t="s">
        <v>67</v>
      </c>
      <c r="E4655" t="str">
        <f t="shared" si="236"/>
        <v>021</v>
      </c>
      <c r="F4655" t="s">
        <v>4711</v>
      </c>
      <c r="G4655" t="str">
        <f>"0374"</f>
        <v>0374</v>
      </c>
      <c r="H4655" t="str">
        <f>"0000"</f>
        <v>0000</v>
      </c>
      <c r="I4655" t="s">
        <v>69</v>
      </c>
      <c r="J4655">
        <v>0</v>
      </c>
      <c r="K4655">
        <v>1</v>
      </c>
      <c r="L4655">
        <v>2</v>
      </c>
      <c r="M4655">
        <v>102</v>
      </c>
      <c r="N4655">
        <v>372</v>
      </c>
      <c r="O4655">
        <v>0</v>
      </c>
      <c r="P4655">
        <v>372</v>
      </c>
      <c r="Q4655">
        <v>17</v>
      </c>
      <c r="R4655">
        <v>127</v>
      </c>
      <c r="S4655">
        <v>81</v>
      </c>
      <c r="T4655">
        <v>7</v>
      </c>
      <c r="U4655">
        <v>21</v>
      </c>
      <c r="V4655">
        <v>2</v>
      </c>
      <c r="W4655">
        <v>4</v>
      </c>
      <c r="X4655">
        <v>88</v>
      </c>
      <c r="Y4655">
        <v>1</v>
      </c>
      <c r="Z4655">
        <v>2</v>
      </c>
      <c r="AA4655">
        <v>4</v>
      </c>
      <c r="AB4655">
        <v>6</v>
      </c>
      <c r="AD4655">
        <v>0</v>
      </c>
      <c r="AE4655">
        <v>0</v>
      </c>
      <c r="AF4655">
        <v>0</v>
      </c>
      <c r="AG4655">
        <v>1</v>
      </c>
      <c r="AI4655">
        <v>0</v>
      </c>
      <c r="AJ4655">
        <v>11</v>
      </c>
      <c r="AK4655">
        <v>372</v>
      </c>
      <c r="AL4655">
        <v>372</v>
      </c>
      <c r="AM4655">
        <v>430</v>
      </c>
      <c r="AN4655">
        <v>44</v>
      </c>
      <c r="AP4655">
        <v>1</v>
      </c>
      <c r="AR4655" t="s">
        <v>4757</v>
      </c>
      <c r="AS4655" s="1">
        <v>44354.067361111112</v>
      </c>
      <c r="AT4655" s="1">
        <v>44354.079652777778</v>
      </c>
      <c r="AU4655" s="1">
        <v>44354.080266203702</v>
      </c>
      <c r="AV4655" t="s">
        <v>71</v>
      </c>
      <c r="AW4655" t="s">
        <v>72</v>
      </c>
      <c r="AX4655" t="s">
        <v>73</v>
      </c>
    </row>
    <row r="4656" spans="1:50" x14ac:dyDescent="0.3">
      <c r="A4656" t="str">
        <f>"200374C0100"</f>
        <v>200374C0100</v>
      </c>
      <c r="B4656" t="str">
        <f>"200374C01002"</f>
        <v>200374C01002</v>
      </c>
      <c r="C4656" t="str">
        <f t="shared" si="237"/>
        <v>20</v>
      </c>
      <c r="D4656" t="s">
        <v>67</v>
      </c>
      <c r="E4656" t="str">
        <f t="shared" si="236"/>
        <v>021</v>
      </c>
      <c r="F4656" t="s">
        <v>4711</v>
      </c>
      <c r="G4656" t="str">
        <f>"0374"</f>
        <v>0374</v>
      </c>
      <c r="H4656" t="str">
        <f>"0001"</f>
        <v>0001</v>
      </c>
      <c r="I4656" t="s">
        <v>75</v>
      </c>
      <c r="J4656">
        <v>0</v>
      </c>
      <c r="K4656">
        <v>1</v>
      </c>
      <c r="L4656">
        <v>2</v>
      </c>
      <c r="M4656">
        <v>117</v>
      </c>
      <c r="N4656">
        <v>356</v>
      </c>
      <c r="O4656">
        <v>0</v>
      </c>
      <c r="P4656">
        <v>356</v>
      </c>
      <c r="Q4656">
        <v>9</v>
      </c>
      <c r="R4656">
        <v>118</v>
      </c>
      <c r="S4656">
        <v>96</v>
      </c>
      <c r="T4656">
        <v>5</v>
      </c>
      <c r="U4656">
        <v>6</v>
      </c>
      <c r="V4656">
        <v>2</v>
      </c>
      <c r="W4656">
        <v>4</v>
      </c>
      <c r="X4656">
        <v>94</v>
      </c>
      <c r="Y4656">
        <v>3</v>
      </c>
      <c r="Z4656">
        <v>5</v>
      </c>
      <c r="AA4656">
        <v>2</v>
      </c>
      <c r="AB4656">
        <v>2</v>
      </c>
      <c r="AD4656">
        <v>1</v>
      </c>
      <c r="AE4656">
        <v>1</v>
      </c>
      <c r="AF4656">
        <v>0</v>
      </c>
      <c r="AG4656">
        <v>0</v>
      </c>
      <c r="AI4656">
        <v>0</v>
      </c>
      <c r="AJ4656">
        <v>8</v>
      </c>
      <c r="AK4656">
        <v>356</v>
      </c>
      <c r="AL4656">
        <v>356</v>
      </c>
      <c r="AM4656">
        <v>429</v>
      </c>
      <c r="AN4656">
        <v>44</v>
      </c>
      <c r="AP4656">
        <v>1</v>
      </c>
      <c r="AR4656" t="s">
        <v>4758</v>
      </c>
      <c r="AS4656" s="1">
        <v>44354.067361111112</v>
      </c>
      <c r="AT4656" s="1">
        <v>44354.096747685187</v>
      </c>
      <c r="AU4656" s="1">
        <v>44354.097430555557</v>
      </c>
      <c r="AV4656" t="s">
        <v>71</v>
      </c>
      <c r="AW4656" t="s">
        <v>72</v>
      </c>
      <c r="AX4656" t="s">
        <v>73</v>
      </c>
    </row>
    <row r="4657" spans="1:50" x14ac:dyDescent="0.3">
      <c r="A4657" t="str">
        <f>"200632B0000"</f>
        <v>200632B0000</v>
      </c>
      <c r="B4657" t="str">
        <f>"200632B00002"</f>
        <v>200632B00002</v>
      </c>
      <c r="C4657" t="str">
        <f t="shared" si="237"/>
        <v>20</v>
      </c>
      <c r="D4657" t="s">
        <v>67</v>
      </c>
      <c r="E4657" t="str">
        <f t="shared" si="236"/>
        <v>021</v>
      </c>
      <c r="F4657" t="s">
        <v>4711</v>
      </c>
      <c r="G4657" t="str">
        <f>"0632"</f>
        <v>0632</v>
      </c>
      <c r="H4657" t="str">
        <f>"0000"</f>
        <v>0000</v>
      </c>
      <c r="I4657" t="s">
        <v>69</v>
      </c>
      <c r="J4657">
        <v>0</v>
      </c>
      <c r="K4657">
        <v>1</v>
      </c>
      <c r="L4657">
        <v>2</v>
      </c>
      <c r="M4657">
        <v>409</v>
      </c>
      <c r="N4657">
        <v>293</v>
      </c>
      <c r="O4657">
        <v>0</v>
      </c>
      <c r="P4657">
        <v>293</v>
      </c>
      <c r="Q4657">
        <v>43</v>
      </c>
      <c r="R4657">
        <v>121</v>
      </c>
      <c r="S4657">
        <v>7</v>
      </c>
      <c r="T4657">
        <v>6</v>
      </c>
      <c r="U4657">
        <v>3</v>
      </c>
      <c r="V4657">
        <v>0</v>
      </c>
      <c r="W4657">
        <v>2</v>
      </c>
      <c r="X4657">
        <v>80</v>
      </c>
      <c r="Y4657">
        <v>1</v>
      </c>
      <c r="Z4657">
        <v>2</v>
      </c>
      <c r="AA4657">
        <v>2</v>
      </c>
      <c r="AB4657">
        <v>0</v>
      </c>
      <c r="AD4657">
        <v>1</v>
      </c>
      <c r="AE4657">
        <v>3</v>
      </c>
      <c r="AF4657">
        <v>2</v>
      </c>
      <c r="AG4657">
        <v>0</v>
      </c>
      <c r="AI4657">
        <v>1</v>
      </c>
      <c r="AJ4657">
        <v>19</v>
      </c>
      <c r="AK4657">
        <v>293</v>
      </c>
      <c r="AL4657">
        <v>293</v>
      </c>
      <c r="AM4657">
        <v>658</v>
      </c>
      <c r="AN4657">
        <v>44</v>
      </c>
      <c r="AP4657">
        <v>1</v>
      </c>
      <c r="AR4657" t="s">
        <v>4759</v>
      </c>
      <c r="AS4657" s="1">
        <v>44353.988888888889</v>
      </c>
      <c r="AT4657" s="1">
        <v>44353.995995370373</v>
      </c>
      <c r="AU4657" s="1">
        <v>44353.996840277781</v>
      </c>
      <c r="AV4657" t="s">
        <v>71</v>
      </c>
      <c r="AW4657" t="s">
        <v>72</v>
      </c>
      <c r="AX4657" t="s">
        <v>73</v>
      </c>
    </row>
    <row r="4658" spans="1:50" x14ac:dyDescent="0.3">
      <c r="A4658" t="str">
        <f>"200632C0100"</f>
        <v>200632C0100</v>
      </c>
      <c r="B4658" t="str">
        <f>"200632C01002"</f>
        <v>200632C01002</v>
      </c>
      <c r="C4658" t="str">
        <f t="shared" si="237"/>
        <v>20</v>
      </c>
      <c r="D4658" t="s">
        <v>67</v>
      </c>
      <c r="E4658" t="str">
        <f t="shared" si="236"/>
        <v>021</v>
      </c>
      <c r="F4658" t="s">
        <v>4711</v>
      </c>
      <c r="G4658" t="str">
        <f>"0632"</f>
        <v>0632</v>
      </c>
      <c r="H4658" t="str">
        <f>"0001"</f>
        <v>0001</v>
      </c>
      <c r="I4658" t="s">
        <v>75</v>
      </c>
      <c r="J4658">
        <v>0</v>
      </c>
      <c r="K4658">
        <v>1</v>
      </c>
      <c r="L4658">
        <v>2</v>
      </c>
      <c r="M4658">
        <v>368</v>
      </c>
      <c r="N4658">
        <v>334</v>
      </c>
      <c r="O4658">
        <v>0</v>
      </c>
      <c r="P4658">
        <v>334</v>
      </c>
      <c r="Q4658">
        <v>32</v>
      </c>
      <c r="R4658">
        <v>170</v>
      </c>
      <c r="S4658">
        <v>6</v>
      </c>
      <c r="T4658">
        <v>9</v>
      </c>
      <c r="U4658">
        <v>5</v>
      </c>
      <c r="V4658">
        <v>1</v>
      </c>
      <c r="W4658">
        <v>1</v>
      </c>
      <c r="X4658">
        <v>72</v>
      </c>
      <c r="Y4658">
        <v>0</v>
      </c>
      <c r="Z4658">
        <v>3</v>
      </c>
      <c r="AA4658">
        <v>4</v>
      </c>
      <c r="AB4658">
        <v>1</v>
      </c>
      <c r="AD4658">
        <v>1</v>
      </c>
      <c r="AE4658">
        <v>6</v>
      </c>
      <c r="AF4658">
        <v>1</v>
      </c>
      <c r="AG4658">
        <v>0</v>
      </c>
      <c r="AI4658">
        <v>0</v>
      </c>
      <c r="AJ4658">
        <v>22</v>
      </c>
      <c r="AK4658">
        <v>334</v>
      </c>
      <c r="AL4658">
        <v>334</v>
      </c>
      <c r="AM4658">
        <v>658</v>
      </c>
      <c r="AN4658">
        <v>44</v>
      </c>
      <c r="AP4658">
        <v>1</v>
      </c>
      <c r="AR4658" t="s">
        <v>4760</v>
      </c>
      <c r="AS4658" s="1">
        <v>44353.989583333336</v>
      </c>
      <c r="AT4658" s="1">
        <v>44353.995798611111</v>
      </c>
      <c r="AU4658" s="1">
        <v>44353.996458333335</v>
      </c>
      <c r="AV4658" t="s">
        <v>71</v>
      </c>
      <c r="AW4658" t="s">
        <v>72</v>
      </c>
      <c r="AX4658" t="s">
        <v>73</v>
      </c>
    </row>
    <row r="4659" spans="1:50" x14ac:dyDescent="0.3">
      <c r="A4659" t="str">
        <f>"200632C0200"</f>
        <v>200632C0200</v>
      </c>
      <c r="B4659" t="str">
        <f>"200632C02002"</f>
        <v>200632C02002</v>
      </c>
      <c r="C4659" t="str">
        <f t="shared" si="237"/>
        <v>20</v>
      </c>
      <c r="D4659" t="s">
        <v>67</v>
      </c>
      <c r="E4659" t="str">
        <f t="shared" si="236"/>
        <v>021</v>
      </c>
      <c r="F4659" t="s">
        <v>4711</v>
      </c>
      <c r="G4659" t="str">
        <f>"0632"</f>
        <v>0632</v>
      </c>
      <c r="H4659" t="str">
        <f>"0002"</f>
        <v>0002</v>
      </c>
      <c r="I4659" t="s">
        <v>75</v>
      </c>
      <c r="J4659">
        <v>0</v>
      </c>
      <c r="K4659">
        <v>1</v>
      </c>
      <c r="L4659">
        <v>2</v>
      </c>
      <c r="M4659">
        <v>393</v>
      </c>
      <c r="N4659">
        <v>307</v>
      </c>
      <c r="O4659">
        <v>0</v>
      </c>
      <c r="P4659">
        <v>307</v>
      </c>
      <c r="Q4659">
        <v>38</v>
      </c>
      <c r="R4659">
        <v>109</v>
      </c>
      <c r="S4659">
        <v>7</v>
      </c>
      <c r="T4659">
        <v>13</v>
      </c>
      <c r="U4659">
        <v>4</v>
      </c>
      <c r="V4659">
        <v>5</v>
      </c>
      <c r="W4659">
        <v>3</v>
      </c>
      <c r="X4659">
        <v>100</v>
      </c>
      <c r="Y4659">
        <v>2</v>
      </c>
      <c r="Z4659">
        <v>7</v>
      </c>
      <c r="AA4659">
        <v>3</v>
      </c>
      <c r="AB4659">
        <v>1</v>
      </c>
      <c r="AD4659">
        <v>1</v>
      </c>
      <c r="AE4659">
        <v>4</v>
      </c>
      <c r="AF4659">
        <v>1</v>
      </c>
      <c r="AG4659">
        <v>0</v>
      </c>
      <c r="AI4659">
        <v>0</v>
      </c>
      <c r="AJ4659">
        <v>9</v>
      </c>
      <c r="AK4659">
        <v>307</v>
      </c>
      <c r="AL4659">
        <v>307</v>
      </c>
      <c r="AM4659">
        <v>657</v>
      </c>
      <c r="AN4659">
        <v>44</v>
      </c>
      <c r="AP4659">
        <v>1</v>
      </c>
      <c r="AR4659" t="s">
        <v>4761</v>
      </c>
      <c r="AS4659" s="1">
        <v>44353.988888888889</v>
      </c>
      <c r="AT4659" s="1">
        <v>44353.998159722221</v>
      </c>
      <c r="AU4659" s="1">
        <v>44353.998935185184</v>
      </c>
      <c r="AV4659" t="s">
        <v>71</v>
      </c>
      <c r="AW4659" t="s">
        <v>72</v>
      </c>
      <c r="AX4659" t="s">
        <v>73</v>
      </c>
    </row>
    <row r="4660" spans="1:50" x14ac:dyDescent="0.3">
      <c r="A4660" t="str">
        <f>"200710B0000"</f>
        <v>200710B0000</v>
      </c>
      <c r="B4660" t="str">
        <f>"200710B00002"</f>
        <v>200710B00002</v>
      </c>
      <c r="C4660" t="str">
        <f t="shared" si="237"/>
        <v>20</v>
      </c>
      <c r="D4660" t="s">
        <v>67</v>
      </c>
      <c r="E4660" t="str">
        <f t="shared" si="236"/>
        <v>021</v>
      </c>
      <c r="F4660" t="s">
        <v>4711</v>
      </c>
      <c r="G4660" t="str">
        <f>"0710"</f>
        <v>0710</v>
      </c>
      <c r="H4660" t="str">
        <f>"0000"</f>
        <v>0000</v>
      </c>
      <c r="I4660" t="s">
        <v>69</v>
      </c>
      <c r="J4660">
        <v>0</v>
      </c>
      <c r="K4660">
        <v>1</v>
      </c>
      <c r="L4660">
        <v>2</v>
      </c>
      <c r="M4660" t="s">
        <v>80</v>
      </c>
      <c r="N4660" t="s">
        <v>80</v>
      </c>
      <c r="O4660" t="s">
        <v>80</v>
      </c>
      <c r="P4660" t="s">
        <v>80</v>
      </c>
      <c r="Q4660">
        <v>63</v>
      </c>
      <c r="R4660">
        <v>101</v>
      </c>
      <c r="S4660">
        <v>13</v>
      </c>
      <c r="T4660">
        <v>6</v>
      </c>
      <c r="U4660">
        <v>61</v>
      </c>
      <c r="V4660">
        <v>0</v>
      </c>
      <c r="W4660">
        <v>100</v>
      </c>
      <c r="X4660">
        <v>67</v>
      </c>
      <c r="Y4660">
        <v>2</v>
      </c>
      <c r="Z4660">
        <v>8</v>
      </c>
      <c r="AA4660">
        <v>5</v>
      </c>
      <c r="AB4660">
        <v>1</v>
      </c>
      <c r="AD4660">
        <v>2</v>
      </c>
      <c r="AE4660">
        <v>3</v>
      </c>
      <c r="AF4660">
        <v>1</v>
      </c>
      <c r="AG4660">
        <v>0</v>
      </c>
      <c r="AI4660">
        <v>3</v>
      </c>
      <c r="AJ4660">
        <v>36</v>
      </c>
      <c r="AK4660">
        <v>471</v>
      </c>
      <c r="AL4660">
        <v>472</v>
      </c>
      <c r="AM4660">
        <v>589</v>
      </c>
      <c r="AN4660">
        <v>44</v>
      </c>
      <c r="AP4660">
        <v>1</v>
      </c>
      <c r="AR4660" t="s">
        <v>4762</v>
      </c>
      <c r="AS4660" s="1">
        <v>44353.989710648151</v>
      </c>
      <c r="AT4660" s="1">
        <v>44354.128287037034</v>
      </c>
      <c r="AU4660" s="1">
        <v>44354.128900462965</v>
      </c>
      <c r="AV4660" t="s">
        <v>269</v>
      </c>
      <c r="AW4660" t="s">
        <v>270</v>
      </c>
      <c r="AX4660" t="s">
        <v>73</v>
      </c>
    </row>
    <row r="4661" spans="1:50" x14ac:dyDescent="0.3">
      <c r="A4661" t="str">
        <f>"200711B0000"</f>
        <v>200711B0000</v>
      </c>
      <c r="B4661" t="str">
        <f>"200711B00002"</f>
        <v>200711B00002</v>
      </c>
      <c r="C4661" t="str">
        <f t="shared" si="237"/>
        <v>20</v>
      </c>
      <c r="D4661" t="s">
        <v>67</v>
      </c>
      <c r="E4661" t="str">
        <f t="shared" si="236"/>
        <v>021</v>
      </c>
      <c r="F4661" t="s">
        <v>4711</v>
      </c>
      <c r="G4661" t="str">
        <f>"0711"</f>
        <v>0711</v>
      </c>
      <c r="H4661" t="str">
        <f>"0000"</f>
        <v>0000</v>
      </c>
      <c r="I4661" t="s">
        <v>69</v>
      </c>
      <c r="J4661">
        <v>0</v>
      </c>
      <c r="K4661">
        <v>1</v>
      </c>
      <c r="L4661">
        <v>2</v>
      </c>
      <c r="M4661">
        <v>199</v>
      </c>
      <c r="N4661">
        <v>550</v>
      </c>
      <c r="O4661">
        <v>1</v>
      </c>
      <c r="P4661">
        <v>550</v>
      </c>
      <c r="Q4661">
        <v>69</v>
      </c>
      <c r="R4661">
        <v>69</v>
      </c>
      <c r="S4661">
        <v>8</v>
      </c>
      <c r="T4661">
        <v>20</v>
      </c>
      <c r="U4661">
        <v>86</v>
      </c>
      <c r="V4661">
        <v>86</v>
      </c>
      <c r="W4661">
        <v>87</v>
      </c>
      <c r="X4661">
        <v>147</v>
      </c>
      <c r="Y4661">
        <v>4</v>
      </c>
      <c r="Z4661">
        <v>2</v>
      </c>
      <c r="AA4661">
        <v>15</v>
      </c>
      <c r="AB4661">
        <v>4</v>
      </c>
      <c r="AD4661">
        <v>6</v>
      </c>
      <c r="AE4661">
        <v>1</v>
      </c>
      <c r="AF4661">
        <v>0</v>
      </c>
      <c r="AG4661">
        <v>0</v>
      </c>
      <c r="AI4661">
        <v>0</v>
      </c>
      <c r="AJ4661">
        <v>29</v>
      </c>
      <c r="AK4661">
        <v>550</v>
      </c>
      <c r="AL4661">
        <v>633</v>
      </c>
      <c r="AM4661">
        <v>705</v>
      </c>
      <c r="AN4661">
        <v>44</v>
      </c>
      <c r="AP4661">
        <v>1</v>
      </c>
      <c r="AR4661" t="s">
        <v>4763</v>
      </c>
      <c r="AS4661" s="1">
        <v>44354.150694444441</v>
      </c>
      <c r="AT4661" s="1">
        <v>44354.162210648145</v>
      </c>
      <c r="AU4661" s="1">
        <v>44354.162997685184</v>
      </c>
      <c r="AV4661" t="s">
        <v>71</v>
      </c>
      <c r="AW4661" t="s">
        <v>72</v>
      </c>
      <c r="AX4661" t="s">
        <v>73</v>
      </c>
    </row>
    <row r="4662" spans="1:50" x14ac:dyDescent="0.3">
      <c r="A4662" t="str">
        <f>"200871B0000"</f>
        <v>200871B0000</v>
      </c>
      <c r="B4662" t="str">
        <f>"200871B00002"</f>
        <v>200871B00002</v>
      </c>
      <c r="C4662" t="str">
        <f t="shared" si="237"/>
        <v>20</v>
      </c>
      <c r="D4662" t="s">
        <v>67</v>
      </c>
      <c r="E4662" t="str">
        <f t="shared" si="236"/>
        <v>021</v>
      </c>
      <c r="F4662" t="s">
        <v>4711</v>
      </c>
      <c r="G4662" t="str">
        <f>"0871"</f>
        <v>0871</v>
      </c>
      <c r="H4662" t="str">
        <f>"0000"</f>
        <v>0000</v>
      </c>
      <c r="I4662" t="s">
        <v>69</v>
      </c>
      <c r="J4662">
        <v>0</v>
      </c>
      <c r="K4662">
        <v>1</v>
      </c>
      <c r="L4662">
        <v>2</v>
      </c>
      <c r="M4662">
        <v>286</v>
      </c>
      <c r="N4662">
        <v>160</v>
      </c>
      <c r="O4662" t="s">
        <v>80</v>
      </c>
      <c r="P4662">
        <v>160</v>
      </c>
      <c r="Q4662">
        <v>12</v>
      </c>
      <c r="R4662">
        <v>14</v>
      </c>
      <c r="S4662">
        <v>5</v>
      </c>
      <c r="T4662">
        <v>2</v>
      </c>
      <c r="U4662">
        <v>41</v>
      </c>
      <c r="V4662">
        <v>1</v>
      </c>
      <c r="W4662">
        <v>3</v>
      </c>
      <c r="X4662">
        <v>76</v>
      </c>
      <c r="Y4662">
        <v>1</v>
      </c>
      <c r="Z4662">
        <v>2</v>
      </c>
      <c r="AA4662">
        <v>0</v>
      </c>
      <c r="AB4662">
        <v>3</v>
      </c>
      <c r="AD4662">
        <v>0</v>
      </c>
      <c r="AE4662">
        <v>0</v>
      </c>
      <c r="AF4662">
        <v>0</v>
      </c>
      <c r="AG4662">
        <v>0</v>
      </c>
      <c r="AI4662">
        <v>0</v>
      </c>
      <c r="AJ4662">
        <v>0</v>
      </c>
      <c r="AK4662">
        <v>160</v>
      </c>
      <c r="AL4662">
        <v>160</v>
      </c>
      <c r="AM4662">
        <v>402</v>
      </c>
      <c r="AN4662">
        <v>44</v>
      </c>
      <c r="AP4662">
        <v>1</v>
      </c>
      <c r="AR4662" t="s">
        <v>4764</v>
      </c>
      <c r="AS4662" s="1">
        <v>44354.307638888888</v>
      </c>
      <c r="AT4662" s="1">
        <v>44354.310578703706</v>
      </c>
      <c r="AU4662" s="1">
        <v>44354.311180555553</v>
      </c>
      <c r="AV4662" t="s">
        <v>71</v>
      </c>
      <c r="AW4662" t="s">
        <v>72</v>
      </c>
      <c r="AX4662" t="s">
        <v>73</v>
      </c>
    </row>
    <row r="4663" spans="1:50" x14ac:dyDescent="0.3">
      <c r="A4663" t="str">
        <f>"200871C0100"</f>
        <v>200871C0100</v>
      </c>
      <c r="B4663" t="str">
        <f>"200871C01002"</f>
        <v>200871C01002</v>
      </c>
      <c r="C4663" t="str">
        <f t="shared" si="237"/>
        <v>20</v>
      </c>
      <c r="D4663" t="s">
        <v>67</v>
      </c>
      <c r="E4663" t="str">
        <f t="shared" si="236"/>
        <v>021</v>
      </c>
      <c r="F4663" t="s">
        <v>4711</v>
      </c>
      <c r="G4663" t="str">
        <f>"0871"</f>
        <v>0871</v>
      </c>
      <c r="H4663" t="str">
        <f>"0001"</f>
        <v>0001</v>
      </c>
      <c r="I4663" t="s">
        <v>75</v>
      </c>
      <c r="J4663">
        <v>0</v>
      </c>
      <c r="K4663">
        <v>1</v>
      </c>
      <c r="L4663">
        <v>2</v>
      </c>
      <c r="M4663">
        <v>301</v>
      </c>
      <c r="N4663">
        <v>145</v>
      </c>
      <c r="O4663" t="s">
        <v>80</v>
      </c>
      <c r="P4663">
        <v>145</v>
      </c>
      <c r="Q4663">
        <v>13</v>
      </c>
      <c r="R4663">
        <v>11</v>
      </c>
      <c r="S4663">
        <v>4</v>
      </c>
      <c r="T4663">
        <v>3</v>
      </c>
      <c r="U4663">
        <v>37</v>
      </c>
      <c r="V4663">
        <v>2</v>
      </c>
      <c r="W4663">
        <v>3</v>
      </c>
      <c r="X4663">
        <v>62</v>
      </c>
      <c r="Y4663">
        <v>0</v>
      </c>
      <c r="Z4663">
        <v>3</v>
      </c>
      <c r="AA4663">
        <v>3</v>
      </c>
      <c r="AB4663">
        <v>1</v>
      </c>
      <c r="AD4663" t="s">
        <v>77</v>
      </c>
      <c r="AE4663" t="s">
        <v>77</v>
      </c>
      <c r="AF4663" t="s">
        <v>77</v>
      </c>
      <c r="AG4663" t="s">
        <v>77</v>
      </c>
      <c r="AI4663" t="s">
        <v>77</v>
      </c>
      <c r="AJ4663">
        <v>3</v>
      </c>
      <c r="AK4663">
        <v>145</v>
      </c>
      <c r="AL4663">
        <v>145</v>
      </c>
      <c r="AM4663">
        <v>402</v>
      </c>
      <c r="AN4663">
        <v>44</v>
      </c>
      <c r="AO4663" t="s">
        <v>78</v>
      </c>
      <c r="AP4663">
        <v>1</v>
      </c>
      <c r="AR4663" t="s">
        <v>4765</v>
      </c>
      <c r="AS4663" s="1">
        <v>44354.306944444441</v>
      </c>
      <c r="AT4663" s="1">
        <v>44354.313101851854</v>
      </c>
      <c r="AU4663" s="1">
        <v>44354.314189814817</v>
      </c>
      <c r="AV4663" t="s">
        <v>71</v>
      </c>
      <c r="AW4663" t="s">
        <v>72</v>
      </c>
      <c r="AX4663" t="s">
        <v>73</v>
      </c>
    </row>
    <row r="4664" spans="1:50" x14ac:dyDescent="0.3">
      <c r="A4664" t="str">
        <f>"200871E0100"</f>
        <v>200871E0100</v>
      </c>
      <c r="B4664" t="str">
        <f>"200871E01002"</f>
        <v>200871E01002</v>
      </c>
      <c r="C4664" t="str">
        <f t="shared" si="237"/>
        <v>20</v>
      </c>
      <c r="D4664" t="s">
        <v>67</v>
      </c>
      <c r="E4664" t="str">
        <f t="shared" si="236"/>
        <v>021</v>
      </c>
      <c r="F4664" t="s">
        <v>4711</v>
      </c>
      <c r="G4664" t="str">
        <f>"0871"</f>
        <v>0871</v>
      </c>
      <c r="H4664" t="str">
        <f>"0001"</f>
        <v>0001</v>
      </c>
      <c r="I4664" t="s">
        <v>109</v>
      </c>
      <c r="J4664">
        <v>0</v>
      </c>
      <c r="K4664">
        <v>1</v>
      </c>
      <c r="L4664">
        <v>2</v>
      </c>
      <c r="M4664">
        <v>123</v>
      </c>
      <c r="N4664">
        <v>153</v>
      </c>
      <c r="O4664">
        <v>0</v>
      </c>
      <c r="P4664">
        <v>153</v>
      </c>
      <c r="Q4664">
        <v>7</v>
      </c>
      <c r="R4664">
        <v>9</v>
      </c>
      <c r="S4664">
        <v>3</v>
      </c>
      <c r="T4664">
        <v>4</v>
      </c>
      <c r="U4664">
        <v>21</v>
      </c>
      <c r="V4664">
        <v>1</v>
      </c>
      <c r="W4664">
        <v>7</v>
      </c>
      <c r="X4664">
        <v>96</v>
      </c>
      <c r="Y4664">
        <v>0</v>
      </c>
      <c r="Z4664">
        <v>2</v>
      </c>
      <c r="AA4664">
        <v>0</v>
      </c>
      <c r="AB4664">
        <v>0</v>
      </c>
      <c r="AD4664">
        <v>0</v>
      </c>
      <c r="AE4664">
        <v>0</v>
      </c>
      <c r="AF4664">
        <v>0</v>
      </c>
      <c r="AG4664">
        <v>0</v>
      </c>
      <c r="AI4664">
        <v>0</v>
      </c>
      <c r="AJ4664">
        <v>3</v>
      </c>
      <c r="AK4664">
        <v>153</v>
      </c>
      <c r="AL4664">
        <v>153</v>
      </c>
      <c r="AM4664">
        <v>232</v>
      </c>
      <c r="AN4664">
        <v>44</v>
      </c>
      <c r="AP4664">
        <v>1</v>
      </c>
      <c r="AR4664" t="s">
        <v>4766</v>
      </c>
      <c r="AS4664" s="1">
        <v>44354.189583333333</v>
      </c>
      <c r="AT4664" s="1">
        <v>44354.203726851854</v>
      </c>
      <c r="AU4664" s="1">
        <v>44354.204456018517</v>
      </c>
      <c r="AV4664" t="s">
        <v>71</v>
      </c>
      <c r="AW4664" t="s">
        <v>72</v>
      </c>
      <c r="AX4664" t="s">
        <v>73</v>
      </c>
    </row>
    <row r="4665" spans="1:50" x14ac:dyDescent="0.3">
      <c r="A4665" t="str">
        <f>"200872B0000"</f>
        <v>200872B0000</v>
      </c>
      <c r="B4665" t="str">
        <f>"200872B00002"</f>
        <v>200872B00002</v>
      </c>
      <c r="C4665" t="str">
        <f t="shared" si="237"/>
        <v>20</v>
      </c>
      <c r="D4665" t="s">
        <v>67</v>
      </c>
      <c r="E4665" t="str">
        <f t="shared" si="236"/>
        <v>021</v>
      </c>
      <c r="F4665" t="s">
        <v>4711</v>
      </c>
      <c r="G4665" t="str">
        <f>"0872"</f>
        <v>0872</v>
      </c>
      <c r="H4665" t="str">
        <f>"0000"</f>
        <v>0000</v>
      </c>
      <c r="I4665" t="s">
        <v>69</v>
      </c>
      <c r="J4665">
        <v>0</v>
      </c>
      <c r="K4665">
        <v>1</v>
      </c>
      <c r="L4665">
        <v>2</v>
      </c>
      <c r="AM4665">
        <v>502</v>
      </c>
      <c r="AN4665">
        <v>44</v>
      </c>
      <c r="AO4665" t="s">
        <v>2056</v>
      </c>
      <c r="AP4665">
        <v>0</v>
      </c>
      <c r="AR4665" t="s">
        <v>4767</v>
      </c>
      <c r="AS4665" s="1">
        <v>44354.6</v>
      </c>
      <c r="AT4665" s="1">
        <v>44354.601087962961</v>
      </c>
      <c r="AU4665" s="1">
        <v>44354.601087962961</v>
      </c>
      <c r="AV4665" t="s">
        <v>71</v>
      </c>
      <c r="AW4665" t="s">
        <v>72</v>
      </c>
      <c r="AX4665" t="s">
        <v>73</v>
      </c>
    </row>
    <row r="4666" spans="1:50" x14ac:dyDescent="0.3">
      <c r="A4666" t="str">
        <f>"200873B0000"</f>
        <v>200873B0000</v>
      </c>
      <c r="B4666" t="str">
        <f>"200873B00002"</f>
        <v>200873B00002</v>
      </c>
      <c r="C4666" t="str">
        <f t="shared" si="237"/>
        <v>20</v>
      </c>
      <c r="D4666" t="s">
        <v>67</v>
      </c>
      <c r="E4666" t="str">
        <f t="shared" si="236"/>
        <v>021</v>
      </c>
      <c r="F4666" t="s">
        <v>4711</v>
      </c>
      <c r="G4666" t="str">
        <f>"0873"</f>
        <v>0873</v>
      </c>
      <c r="H4666" t="str">
        <f>"0000"</f>
        <v>0000</v>
      </c>
      <c r="I4666" t="s">
        <v>69</v>
      </c>
      <c r="J4666">
        <v>0</v>
      </c>
      <c r="K4666">
        <v>1</v>
      </c>
      <c r="L4666">
        <v>2</v>
      </c>
      <c r="M4666">
        <v>287</v>
      </c>
      <c r="N4666">
        <v>179</v>
      </c>
      <c r="O4666">
        <v>0</v>
      </c>
      <c r="P4666">
        <v>179</v>
      </c>
      <c r="Q4666">
        <v>3</v>
      </c>
      <c r="R4666">
        <v>16</v>
      </c>
      <c r="S4666">
        <v>6</v>
      </c>
      <c r="T4666">
        <v>1</v>
      </c>
      <c r="U4666">
        <v>7</v>
      </c>
      <c r="V4666">
        <v>1</v>
      </c>
      <c r="W4666">
        <v>4</v>
      </c>
      <c r="X4666">
        <v>134</v>
      </c>
      <c r="Y4666">
        <v>0</v>
      </c>
      <c r="Z4666">
        <v>4</v>
      </c>
      <c r="AA4666">
        <v>2</v>
      </c>
      <c r="AB4666">
        <v>0</v>
      </c>
      <c r="AD4666">
        <v>1</v>
      </c>
      <c r="AE4666">
        <v>0</v>
      </c>
      <c r="AF4666">
        <v>0</v>
      </c>
      <c r="AG4666">
        <v>0</v>
      </c>
      <c r="AI4666">
        <v>0</v>
      </c>
      <c r="AJ4666">
        <v>0</v>
      </c>
      <c r="AK4666">
        <v>179</v>
      </c>
      <c r="AL4666">
        <v>179</v>
      </c>
      <c r="AM4666">
        <v>422</v>
      </c>
      <c r="AN4666">
        <v>44</v>
      </c>
      <c r="AP4666">
        <v>1</v>
      </c>
      <c r="AR4666" t="s">
        <v>4768</v>
      </c>
      <c r="AS4666" s="1">
        <v>44354.3125</v>
      </c>
      <c r="AT4666" s="1">
        <v>44354.316874999997</v>
      </c>
      <c r="AU4666" s="1">
        <v>44354.317395833335</v>
      </c>
      <c r="AV4666" t="s">
        <v>71</v>
      </c>
      <c r="AW4666" t="s">
        <v>72</v>
      </c>
      <c r="AX4666" t="s">
        <v>73</v>
      </c>
    </row>
    <row r="4667" spans="1:50" x14ac:dyDescent="0.3">
      <c r="A4667" t="str">
        <f>"200873C0100"</f>
        <v>200873C0100</v>
      </c>
      <c r="B4667" t="str">
        <f>"200873C01002"</f>
        <v>200873C01002</v>
      </c>
      <c r="C4667" t="str">
        <f t="shared" si="237"/>
        <v>20</v>
      </c>
      <c r="D4667" t="s">
        <v>67</v>
      </c>
      <c r="E4667" t="str">
        <f t="shared" si="236"/>
        <v>021</v>
      </c>
      <c r="F4667" t="s">
        <v>4711</v>
      </c>
      <c r="G4667" t="str">
        <f>"0873"</f>
        <v>0873</v>
      </c>
      <c r="H4667" t="str">
        <f>"0001"</f>
        <v>0001</v>
      </c>
      <c r="I4667" t="s">
        <v>75</v>
      </c>
      <c r="J4667">
        <v>0</v>
      </c>
      <c r="K4667">
        <v>1</v>
      </c>
      <c r="L4667">
        <v>2</v>
      </c>
      <c r="M4667">
        <v>289</v>
      </c>
      <c r="N4667">
        <v>177</v>
      </c>
      <c r="O4667">
        <v>0</v>
      </c>
      <c r="P4667">
        <v>177</v>
      </c>
      <c r="Q4667">
        <v>1</v>
      </c>
      <c r="R4667">
        <v>10</v>
      </c>
      <c r="S4667">
        <v>5</v>
      </c>
      <c r="T4667">
        <v>1</v>
      </c>
      <c r="U4667">
        <v>4</v>
      </c>
      <c r="V4667">
        <v>0</v>
      </c>
      <c r="W4667">
        <v>3</v>
      </c>
      <c r="X4667">
        <v>144</v>
      </c>
      <c r="Y4667">
        <v>0</v>
      </c>
      <c r="Z4667">
        <v>2</v>
      </c>
      <c r="AA4667">
        <v>1</v>
      </c>
      <c r="AB4667">
        <v>0</v>
      </c>
      <c r="AD4667">
        <v>0</v>
      </c>
      <c r="AE4667">
        <v>1</v>
      </c>
      <c r="AF4667">
        <v>0</v>
      </c>
      <c r="AG4667">
        <v>0</v>
      </c>
      <c r="AI4667">
        <v>0</v>
      </c>
      <c r="AJ4667">
        <v>5</v>
      </c>
      <c r="AK4667">
        <v>177</v>
      </c>
      <c r="AL4667">
        <v>177</v>
      </c>
      <c r="AM4667">
        <v>422</v>
      </c>
      <c r="AN4667">
        <v>44</v>
      </c>
      <c r="AP4667">
        <v>1</v>
      </c>
      <c r="AR4667" t="s">
        <v>4769</v>
      </c>
      <c r="AS4667" s="1">
        <v>44354.3125</v>
      </c>
      <c r="AT4667" s="1">
        <v>44354.31658564815</v>
      </c>
      <c r="AU4667" s="1">
        <v>44354.317430555559</v>
      </c>
      <c r="AV4667" t="s">
        <v>71</v>
      </c>
      <c r="AW4667" t="s">
        <v>72</v>
      </c>
      <c r="AX4667" t="s">
        <v>73</v>
      </c>
    </row>
    <row r="4668" spans="1:50" x14ac:dyDescent="0.3">
      <c r="A4668" t="str">
        <f>"200899B0000"</f>
        <v>200899B0000</v>
      </c>
      <c r="B4668" t="str">
        <f>"200899B00002"</f>
        <v>200899B00002</v>
      </c>
      <c r="C4668" t="str">
        <f t="shared" si="237"/>
        <v>20</v>
      </c>
      <c r="D4668" t="s">
        <v>67</v>
      </c>
      <c r="E4668" t="str">
        <f t="shared" si="236"/>
        <v>021</v>
      </c>
      <c r="F4668" t="s">
        <v>4711</v>
      </c>
      <c r="G4668" t="str">
        <f>"0899"</f>
        <v>0899</v>
      </c>
      <c r="H4668" t="str">
        <f>"0000"</f>
        <v>0000</v>
      </c>
      <c r="I4668" t="s">
        <v>69</v>
      </c>
      <c r="J4668">
        <v>0</v>
      </c>
      <c r="K4668">
        <v>1</v>
      </c>
      <c r="L4668">
        <v>2</v>
      </c>
      <c r="M4668">
        <v>445</v>
      </c>
      <c r="N4668">
        <v>262</v>
      </c>
      <c r="O4668">
        <v>8</v>
      </c>
      <c r="P4668">
        <v>262</v>
      </c>
      <c r="Q4668">
        <v>21</v>
      </c>
      <c r="R4668">
        <v>71</v>
      </c>
      <c r="S4668">
        <v>3</v>
      </c>
      <c r="T4668">
        <v>5</v>
      </c>
      <c r="U4668">
        <v>4</v>
      </c>
      <c r="V4668">
        <v>2</v>
      </c>
      <c r="W4668">
        <v>2</v>
      </c>
      <c r="X4668">
        <v>103</v>
      </c>
      <c r="Y4668">
        <v>2</v>
      </c>
      <c r="Z4668">
        <v>4</v>
      </c>
      <c r="AA4668">
        <v>9</v>
      </c>
      <c r="AB4668">
        <v>10</v>
      </c>
      <c r="AD4668">
        <v>6</v>
      </c>
      <c r="AE4668">
        <v>2</v>
      </c>
      <c r="AF4668">
        <v>0</v>
      </c>
      <c r="AG4668">
        <v>0</v>
      </c>
      <c r="AI4668" t="s">
        <v>77</v>
      </c>
      <c r="AJ4668">
        <v>18</v>
      </c>
      <c r="AK4668">
        <v>262</v>
      </c>
      <c r="AL4668">
        <v>262</v>
      </c>
      <c r="AM4668">
        <v>663</v>
      </c>
      <c r="AN4668">
        <v>44</v>
      </c>
      <c r="AO4668" t="s">
        <v>78</v>
      </c>
      <c r="AP4668">
        <v>1</v>
      </c>
      <c r="AR4668" t="s">
        <v>4770</v>
      </c>
      <c r="AS4668" s="1">
        <v>44354.147916666669</v>
      </c>
      <c r="AT4668" s="1">
        <v>44354.223773148151</v>
      </c>
      <c r="AU4668" s="1">
        <v>44354.224131944444</v>
      </c>
      <c r="AV4668" t="s">
        <v>71</v>
      </c>
      <c r="AW4668" t="s">
        <v>72</v>
      </c>
      <c r="AX4668" t="s">
        <v>73</v>
      </c>
    </row>
    <row r="4669" spans="1:50" x14ac:dyDescent="0.3">
      <c r="A4669" t="str">
        <f>"200899C0100"</f>
        <v>200899C0100</v>
      </c>
      <c r="B4669" t="str">
        <f>"200899C01002"</f>
        <v>200899C01002</v>
      </c>
      <c r="C4669" t="str">
        <f t="shared" si="237"/>
        <v>20</v>
      </c>
      <c r="D4669" t="s">
        <v>67</v>
      </c>
      <c r="E4669" t="str">
        <f t="shared" si="236"/>
        <v>021</v>
      </c>
      <c r="F4669" t="s">
        <v>4711</v>
      </c>
      <c r="G4669" t="str">
        <f>"0899"</f>
        <v>0899</v>
      </c>
      <c r="H4669" t="str">
        <f>"0001"</f>
        <v>0001</v>
      </c>
      <c r="I4669" t="s">
        <v>75</v>
      </c>
      <c r="J4669">
        <v>0</v>
      </c>
      <c r="K4669">
        <v>1</v>
      </c>
      <c r="L4669">
        <v>2</v>
      </c>
      <c r="M4669">
        <v>462</v>
      </c>
      <c r="N4669">
        <v>241</v>
      </c>
      <c r="O4669">
        <v>1</v>
      </c>
      <c r="P4669">
        <v>241</v>
      </c>
      <c r="Q4669">
        <v>13</v>
      </c>
      <c r="R4669">
        <v>52</v>
      </c>
      <c r="S4669">
        <v>6</v>
      </c>
      <c r="T4669">
        <v>8</v>
      </c>
      <c r="U4669">
        <v>13</v>
      </c>
      <c r="V4669">
        <v>8</v>
      </c>
      <c r="W4669">
        <v>2</v>
      </c>
      <c r="X4669">
        <v>89</v>
      </c>
      <c r="Y4669">
        <v>0</v>
      </c>
      <c r="Z4669">
        <v>5</v>
      </c>
      <c r="AA4669">
        <v>11</v>
      </c>
      <c r="AB4669">
        <v>6</v>
      </c>
      <c r="AD4669">
        <v>3</v>
      </c>
      <c r="AE4669">
        <v>7</v>
      </c>
      <c r="AF4669">
        <v>0</v>
      </c>
      <c r="AG4669">
        <v>0</v>
      </c>
      <c r="AI4669">
        <v>0</v>
      </c>
      <c r="AJ4669">
        <v>18</v>
      </c>
      <c r="AK4669">
        <v>241</v>
      </c>
      <c r="AL4669">
        <v>241</v>
      </c>
      <c r="AM4669">
        <v>663</v>
      </c>
      <c r="AN4669">
        <v>44</v>
      </c>
      <c r="AP4669">
        <v>1</v>
      </c>
      <c r="AR4669" t="s">
        <v>4771</v>
      </c>
      <c r="AS4669" s="1">
        <v>44354.269444444442</v>
      </c>
      <c r="AT4669" s="1">
        <v>44354.271192129629</v>
      </c>
      <c r="AU4669" s="1">
        <v>44354.271585648145</v>
      </c>
      <c r="AV4669" t="s">
        <v>71</v>
      </c>
      <c r="AW4669" t="s">
        <v>72</v>
      </c>
      <c r="AX4669" t="s">
        <v>73</v>
      </c>
    </row>
    <row r="4670" spans="1:50" x14ac:dyDescent="0.3">
      <c r="A4670" t="str">
        <f>"200908B0000"</f>
        <v>200908B0000</v>
      </c>
      <c r="B4670" t="str">
        <f>"200908B00002"</f>
        <v>200908B00002</v>
      </c>
      <c r="C4670" t="str">
        <f t="shared" si="237"/>
        <v>20</v>
      </c>
      <c r="D4670" t="s">
        <v>67</v>
      </c>
      <c r="E4670" t="str">
        <f t="shared" si="236"/>
        <v>021</v>
      </c>
      <c r="F4670" t="s">
        <v>4711</v>
      </c>
      <c r="G4670" t="str">
        <f>"0908"</f>
        <v>0908</v>
      </c>
      <c r="H4670" t="str">
        <f>"0000"</f>
        <v>0000</v>
      </c>
      <c r="I4670" t="s">
        <v>69</v>
      </c>
      <c r="J4670">
        <v>0</v>
      </c>
      <c r="K4670">
        <v>1</v>
      </c>
      <c r="L4670">
        <v>2</v>
      </c>
      <c r="M4670">
        <v>245</v>
      </c>
      <c r="N4670">
        <v>248</v>
      </c>
      <c r="O4670">
        <v>0</v>
      </c>
      <c r="P4670">
        <v>248</v>
      </c>
      <c r="Q4670">
        <v>5</v>
      </c>
      <c r="R4670">
        <v>81</v>
      </c>
      <c r="S4670">
        <v>2</v>
      </c>
      <c r="T4670">
        <v>0</v>
      </c>
      <c r="U4670">
        <v>1</v>
      </c>
      <c r="V4670">
        <v>2</v>
      </c>
      <c r="W4670">
        <v>1</v>
      </c>
      <c r="X4670">
        <v>134</v>
      </c>
      <c r="Y4670">
        <v>1</v>
      </c>
      <c r="Z4670">
        <v>4</v>
      </c>
      <c r="AA4670">
        <v>3</v>
      </c>
      <c r="AB4670">
        <v>7</v>
      </c>
      <c r="AD4670">
        <v>1</v>
      </c>
      <c r="AE4670">
        <v>0</v>
      </c>
      <c r="AF4670">
        <v>0</v>
      </c>
      <c r="AG4670">
        <v>0</v>
      </c>
      <c r="AI4670">
        <v>0</v>
      </c>
      <c r="AJ4670">
        <v>6</v>
      </c>
      <c r="AK4670">
        <v>248</v>
      </c>
      <c r="AL4670">
        <v>248</v>
      </c>
      <c r="AM4670">
        <v>449</v>
      </c>
      <c r="AN4670">
        <v>44</v>
      </c>
      <c r="AP4670">
        <v>1</v>
      </c>
      <c r="AR4670" t="s">
        <v>4772</v>
      </c>
      <c r="AS4670" s="1">
        <v>44354.23541666667</v>
      </c>
      <c r="AT4670" s="1">
        <v>44354.32236111111</v>
      </c>
      <c r="AU4670" s="1">
        <v>44354.32298611111</v>
      </c>
      <c r="AV4670" t="s">
        <v>71</v>
      </c>
      <c r="AW4670" t="s">
        <v>72</v>
      </c>
      <c r="AX4670" t="s">
        <v>73</v>
      </c>
    </row>
    <row r="4671" spans="1:50" x14ac:dyDescent="0.3">
      <c r="A4671" t="str">
        <f>"200908C0100"</f>
        <v>200908C0100</v>
      </c>
      <c r="B4671" t="str">
        <f>"200908C01002"</f>
        <v>200908C01002</v>
      </c>
      <c r="C4671" t="str">
        <f t="shared" si="237"/>
        <v>20</v>
      </c>
      <c r="D4671" t="s">
        <v>67</v>
      </c>
      <c r="E4671" t="str">
        <f t="shared" si="236"/>
        <v>021</v>
      </c>
      <c r="F4671" t="s">
        <v>4711</v>
      </c>
      <c r="G4671" t="str">
        <f>"0908"</f>
        <v>0908</v>
      </c>
      <c r="H4671" t="str">
        <f>"0001"</f>
        <v>0001</v>
      </c>
      <c r="I4671" t="s">
        <v>75</v>
      </c>
      <c r="J4671">
        <v>0</v>
      </c>
      <c r="K4671">
        <v>1</v>
      </c>
      <c r="L4671">
        <v>2</v>
      </c>
      <c r="M4671">
        <v>234</v>
      </c>
      <c r="N4671">
        <v>258</v>
      </c>
      <c r="O4671">
        <v>1</v>
      </c>
      <c r="P4671">
        <v>257</v>
      </c>
      <c r="Q4671">
        <v>2</v>
      </c>
      <c r="R4671">
        <v>84</v>
      </c>
      <c r="S4671">
        <v>2</v>
      </c>
      <c r="T4671">
        <v>0</v>
      </c>
      <c r="U4671">
        <v>1</v>
      </c>
      <c r="V4671">
        <v>1</v>
      </c>
      <c r="W4671">
        <v>1</v>
      </c>
      <c r="X4671">
        <v>134</v>
      </c>
      <c r="Y4671">
        <v>0</v>
      </c>
      <c r="Z4671">
        <v>7</v>
      </c>
      <c r="AA4671">
        <v>4</v>
      </c>
      <c r="AB4671">
        <v>14</v>
      </c>
      <c r="AD4671">
        <v>1</v>
      </c>
      <c r="AE4671">
        <v>0</v>
      </c>
      <c r="AF4671">
        <v>0</v>
      </c>
      <c r="AG4671">
        <v>1</v>
      </c>
      <c r="AI4671">
        <v>0</v>
      </c>
      <c r="AJ4671">
        <v>7</v>
      </c>
      <c r="AK4671" t="s">
        <v>77</v>
      </c>
      <c r="AL4671">
        <v>259</v>
      </c>
      <c r="AM4671">
        <v>449</v>
      </c>
      <c r="AN4671">
        <v>44</v>
      </c>
      <c r="AP4671">
        <v>1</v>
      </c>
      <c r="AR4671" t="s">
        <v>4773</v>
      </c>
      <c r="AS4671" s="1">
        <v>44354.236111111109</v>
      </c>
      <c r="AT4671" s="1">
        <v>44354.321423611109</v>
      </c>
      <c r="AU4671" s="1">
        <v>44354.321655092594</v>
      </c>
      <c r="AV4671" t="s">
        <v>71</v>
      </c>
      <c r="AW4671" t="s">
        <v>72</v>
      </c>
      <c r="AX4671" t="s">
        <v>73</v>
      </c>
    </row>
    <row r="4672" spans="1:50" x14ac:dyDescent="0.3">
      <c r="A4672" t="str">
        <f>"200909B0000"</f>
        <v>200909B0000</v>
      </c>
      <c r="B4672" t="str">
        <f>"200909B00002"</f>
        <v>200909B00002</v>
      </c>
      <c r="C4672" t="str">
        <f t="shared" si="237"/>
        <v>20</v>
      </c>
      <c r="D4672" t="s">
        <v>67</v>
      </c>
      <c r="E4672" t="str">
        <f t="shared" si="236"/>
        <v>021</v>
      </c>
      <c r="F4672" t="s">
        <v>4711</v>
      </c>
      <c r="G4672" t="str">
        <f>"0909"</f>
        <v>0909</v>
      </c>
      <c r="H4672" t="str">
        <f>"0000"</f>
        <v>0000</v>
      </c>
      <c r="I4672" t="s">
        <v>69</v>
      </c>
      <c r="J4672">
        <v>0</v>
      </c>
      <c r="K4672">
        <v>1</v>
      </c>
      <c r="L4672">
        <v>2</v>
      </c>
      <c r="M4672">
        <v>376</v>
      </c>
      <c r="N4672">
        <v>303</v>
      </c>
      <c r="O4672">
        <v>0</v>
      </c>
      <c r="P4672">
        <v>303</v>
      </c>
      <c r="Q4672">
        <v>8</v>
      </c>
      <c r="R4672">
        <v>117</v>
      </c>
      <c r="S4672">
        <v>4</v>
      </c>
      <c r="T4672">
        <v>2</v>
      </c>
      <c r="U4672">
        <v>1</v>
      </c>
      <c r="V4672">
        <v>2</v>
      </c>
      <c r="W4672">
        <v>0</v>
      </c>
      <c r="X4672">
        <v>148</v>
      </c>
      <c r="Y4672">
        <v>0</v>
      </c>
      <c r="Z4672">
        <v>4</v>
      </c>
      <c r="AA4672">
        <v>0</v>
      </c>
      <c r="AB4672">
        <v>7</v>
      </c>
      <c r="AD4672">
        <v>1</v>
      </c>
      <c r="AE4672">
        <v>1</v>
      </c>
      <c r="AF4672">
        <v>0</v>
      </c>
      <c r="AG4672">
        <v>0</v>
      </c>
      <c r="AI4672">
        <v>0</v>
      </c>
      <c r="AJ4672">
        <v>8</v>
      </c>
      <c r="AK4672">
        <v>303</v>
      </c>
      <c r="AL4672">
        <v>303</v>
      </c>
      <c r="AM4672">
        <v>635</v>
      </c>
      <c r="AN4672">
        <v>44</v>
      </c>
      <c r="AP4672">
        <v>1</v>
      </c>
      <c r="AR4672" t="s">
        <v>4774</v>
      </c>
      <c r="AS4672" s="1">
        <v>44354.234722222223</v>
      </c>
      <c r="AT4672" s="1">
        <v>44354.325439814813</v>
      </c>
      <c r="AU4672" s="1">
        <v>44354.325810185182</v>
      </c>
      <c r="AV4672" t="s">
        <v>71</v>
      </c>
      <c r="AW4672" t="s">
        <v>72</v>
      </c>
      <c r="AX4672" t="s">
        <v>73</v>
      </c>
    </row>
    <row r="4673" spans="1:50" x14ac:dyDescent="0.3">
      <c r="A4673" t="str">
        <f>"200909C0100"</f>
        <v>200909C0100</v>
      </c>
      <c r="B4673" t="str">
        <f>"200909C01002"</f>
        <v>200909C01002</v>
      </c>
      <c r="C4673" t="str">
        <f t="shared" si="237"/>
        <v>20</v>
      </c>
      <c r="D4673" t="s">
        <v>67</v>
      </c>
      <c r="E4673" t="str">
        <f t="shared" si="236"/>
        <v>021</v>
      </c>
      <c r="F4673" t="s">
        <v>4711</v>
      </c>
      <c r="G4673" t="str">
        <f>"0909"</f>
        <v>0909</v>
      </c>
      <c r="H4673" t="str">
        <f>"0001"</f>
        <v>0001</v>
      </c>
      <c r="I4673" t="s">
        <v>75</v>
      </c>
      <c r="J4673">
        <v>0</v>
      </c>
      <c r="K4673">
        <v>1</v>
      </c>
      <c r="L4673">
        <v>2</v>
      </c>
      <c r="M4673">
        <v>358</v>
      </c>
      <c r="N4673">
        <v>320</v>
      </c>
      <c r="O4673">
        <v>0</v>
      </c>
      <c r="P4673">
        <v>320</v>
      </c>
      <c r="Q4673">
        <v>4</v>
      </c>
      <c r="R4673">
        <v>126</v>
      </c>
      <c r="S4673">
        <v>3</v>
      </c>
      <c r="T4673">
        <v>2</v>
      </c>
      <c r="U4673">
        <v>1</v>
      </c>
      <c r="V4673">
        <v>1</v>
      </c>
      <c r="W4673">
        <v>2</v>
      </c>
      <c r="X4673">
        <v>150</v>
      </c>
      <c r="Y4673">
        <v>0</v>
      </c>
      <c r="Z4673">
        <v>4</v>
      </c>
      <c r="AA4673">
        <v>3</v>
      </c>
      <c r="AB4673">
        <v>14</v>
      </c>
      <c r="AD4673">
        <v>2</v>
      </c>
      <c r="AE4673">
        <v>2</v>
      </c>
      <c r="AF4673">
        <v>0</v>
      </c>
      <c r="AG4673">
        <v>0</v>
      </c>
      <c r="AI4673">
        <v>0</v>
      </c>
      <c r="AJ4673">
        <v>6</v>
      </c>
      <c r="AK4673">
        <v>320</v>
      </c>
      <c r="AL4673">
        <v>320</v>
      </c>
      <c r="AM4673">
        <v>634</v>
      </c>
      <c r="AN4673">
        <v>44</v>
      </c>
      <c r="AP4673">
        <v>1</v>
      </c>
      <c r="AR4673" t="s">
        <v>4775</v>
      </c>
      <c r="AS4673" s="1">
        <v>44354.23333333333</v>
      </c>
      <c r="AT4673" s="1">
        <v>44354.327743055554</v>
      </c>
      <c r="AU4673" s="1">
        <v>44354.328067129631</v>
      </c>
      <c r="AV4673" t="s">
        <v>71</v>
      </c>
      <c r="AW4673" t="s">
        <v>72</v>
      </c>
      <c r="AX4673" t="s">
        <v>73</v>
      </c>
    </row>
    <row r="4674" spans="1:50" x14ac:dyDescent="0.3">
      <c r="A4674" t="str">
        <f>"200910B0000"</f>
        <v>200910B0000</v>
      </c>
      <c r="B4674" t="str">
        <f>"200910B00002"</f>
        <v>200910B00002</v>
      </c>
      <c r="C4674" t="str">
        <f t="shared" si="237"/>
        <v>20</v>
      </c>
      <c r="D4674" t="s">
        <v>67</v>
      </c>
      <c r="E4674" t="str">
        <f t="shared" ref="E4674:E4737" si="238">"021"</f>
        <v>021</v>
      </c>
      <c r="F4674" t="s">
        <v>4711</v>
      </c>
      <c r="G4674" t="str">
        <f>"0910"</f>
        <v>0910</v>
      </c>
      <c r="H4674" t="str">
        <f>"0000"</f>
        <v>0000</v>
      </c>
      <c r="I4674" t="s">
        <v>69</v>
      </c>
      <c r="J4674">
        <v>0</v>
      </c>
      <c r="K4674">
        <v>1</v>
      </c>
      <c r="L4674">
        <v>2</v>
      </c>
      <c r="M4674">
        <v>208</v>
      </c>
      <c r="N4674">
        <v>229</v>
      </c>
      <c r="O4674">
        <v>1</v>
      </c>
      <c r="P4674">
        <v>230</v>
      </c>
      <c r="Q4674">
        <v>5</v>
      </c>
      <c r="R4674">
        <v>107</v>
      </c>
      <c r="S4674">
        <v>1</v>
      </c>
      <c r="T4674">
        <v>1</v>
      </c>
      <c r="U4674">
        <v>1</v>
      </c>
      <c r="V4674">
        <v>1</v>
      </c>
      <c r="W4674">
        <v>0</v>
      </c>
      <c r="X4674">
        <v>85</v>
      </c>
      <c r="Y4674">
        <v>1</v>
      </c>
      <c r="Z4674">
        <v>6</v>
      </c>
      <c r="AA4674">
        <v>5</v>
      </c>
      <c r="AB4674">
        <v>10</v>
      </c>
      <c r="AD4674">
        <v>1</v>
      </c>
      <c r="AE4674">
        <v>0</v>
      </c>
      <c r="AF4674">
        <v>1</v>
      </c>
      <c r="AG4674">
        <v>0</v>
      </c>
      <c r="AI4674">
        <v>0</v>
      </c>
      <c r="AJ4674">
        <v>5</v>
      </c>
      <c r="AK4674">
        <v>230</v>
      </c>
      <c r="AL4674">
        <v>230</v>
      </c>
      <c r="AM4674">
        <v>395</v>
      </c>
      <c r="AN4674">
        <v>44</v>
      </c>
      <c r="AP4674">
        <v>1</v>
      </c>
      <c r="AR4674" t="s">
        <v>4776</v>
      </c>
      <c r="AS4674" s="1">
        <v>44354.234027777777</v>
      </c>
      <c r="AT4674" s="1">
        <v>44354.324930555558</v>
      </c>
      <c r="AU4674" s="1">
        <v>44354.325300925928</v>
      </c>
      <c r="AV4674" t="s">
        <v>71</v>
      </c>
      <c r="AW4674" t="s">
        <v>72</v>
      </c>
      <c r="AX4674" t="s">
        <v>73</v>
      </c>
    </row>
    <row r="4675" spans="1:50" x14ac:dyDescent="0.3">
      <c r="A4675" t="str">
        <f>"200910C0100"</f>
        <v>200910C0100</v>
      </c>
      <c r="B4675" t="str">
        <f>"200910C01002"</f>
        <v>200910C01002</v>
      </c>
      <c r="C4675" t="str">
        <f t="shared" si="237"/>
        <v>20</v>
      </c>
      <c r="D4675" t="s">
        <v>67</v>
      </c>
      <c r="E4675" t="str">
        <f t="shared" si="238"/>
        <v>021</v>
      </c>
      <c r="F4675" t="s">
        <v>4711</v>
      </c>
      <c r="G4675" t="str">
        <f>"0910"</f>
        <v>0910</v>
      </c>
      <c r="H4675" t="str">
        <f>"0001"</f>
        <v>0001</v>
      </c>
      <c r="I4675" t="s">
        <v>75</v>
      </c>
      <c r="J4675">
        <v>0</v>
      </c>
      <c r="K4675">
        <v>1</v>
      </c>
      <c r="L4675">
        <v>2</v>
      </c>
      <c r="M4675">
        <v>221</v>
      </c>
      <c r="N4675">
        <v>218</v>
      </c>
      <c r="O4675">
        <v>4</v>
      </c>
      <c r="P4675">
        <v>218</v>
      </c>
      <c r="Q4675">
        <v>2</v>
      </c>
      <c r="R4675">
        <v>120</v>
      </c>
      <c r="S4675">
        <v>2</v>
      </c>
      <c r="T4675">
        <v>2</v>
      </c>
      <c r="U4675">
        <v>1</v>
      </c>
      <c r="V4675">
        <v>0</v>
      </c>
      <c r="W4675">
        <v>0</v>
      </c>
      <c r="X4675">
        <v>77</v>
      </c>
      <c r="Y4675">
        <v>0</v>
      </c>
      <c r="Z4675">
        <v>1</v>
      </c>
      <c r="AA4675">
        <v>2</v>
      </c>
      <c r="AB4675">
        <v>8</v>
      </c>
      <c r="AD4675">
        <v>0</v>
      </c>
      <c r="AE4675">
        <v>0</v>
      </c>
      <c r="AF4675">
        <v>0</v>
      </c>
      <c r="AG4675">
        <v>0</v>
      </c>
      <c r="AI4675">
        <v>0</v>
      </c>
      <c r="AJ4675">
        <v>3</v>
      </c>
      <c r="AK4675">
        <v>218</v>
      </c>
      <c r="AL4675">
        <v>218</v>
      </c>
      <c r="AM4675">
        <v>395</v>
      </c>
      <c r="AN4675">
        <v>44</v>
      </c>
      <c r="AP4675">
        <v>1</v>
      </c>
      <c r="AR4675" t="s">
        <v>4777</v>
      </c>
      <c r="AS4675" s="1">
        <v>44354.234722222223</v>
      </c>
      <c r="AT4675" s="1">
        <v>44354.322951388887</v>
      </c>
      <c r="AU4675" s="1">
        <v>44354.323333333334</v>
      </c>
      <c r="AV4675" t="s">
        <v>71</v>
      </c>
      <c r="AW4675" t="s">
        <v>72</v>
      </c>
      <c r="AX4675" t="s">
        <v>73</v>
      </c>
    </row>
    <row r="4676" spans="1:50" x14ac:dyDescent="0.3">
      <c r="A4676" t="str">
        <f>"200910E0100"</f>
        <v>200910E0100</v>
      </c>
      <c r="B4676" t="str">
        <f>"200910E01002"</f>
        <v>200910E01002</v>
      </c>
      <c r="C4676" t="str">
        <f t="shared" si="237"/>
        <v>20</v>
      </c>
      <c r="D4676" t="s">
        <v>67</v>
      </c>
      <c r="E4676" t="str">
        <f t="shared" si="238"/>
        <v>021</v>
      </c>
      <c r="F4676" t="s">
        <v>4711</v>
      </c>
      <c r="G4676" t="str">
        <f>"0910"</f>
        <v>0910</v>
      </c>
      <c r="H4676" t="str">
        <f>"0001"</f>
        <v>0001</v>
      </c>
      <c r="I4676" t="s">
        <v>109</v>
      </c>
      <c r="J4676">
        <v>0</v>
      </c>
      <c r="K4676">
        <v>1</v>
      </c>
      <c r="L4676">
        <v>2</v>
      </c>
      <c r="M4676">
        <v>236</v>
      </c>
      <c r="N4676">
        <v>274</v>
      </c>
      <c r="O4676">
        <v>3</v>
      </c>
      <c r="P4676">
        <v>274</v>
      </c>
      <c r="Q4676">
        <v>7</v>
      </c>
      <c r="R4676">
        <v>127</v>
      </c>
      <c r="S4676">
        <v>1</v>
      </c>
      <c r="T4676">
        <v>1</v>
      </c>
      <c r="U4676">
        <v>4</v>
      </c>
      <c r="V4676">
        <v>1</v>
      </c>
      <c r="W4676">
        <v>1</v>
      </c>
      <c r="X4676">
        <v>109</v>
      </c>
      <c r="Y4676">
        <v>0</v>
      </c>
      <c r="Z4676">
        <v>3</v>
      </c>
      <c r="AA4676">
        <v>4</v>
      </c>
      <c r="AB4676">
        <v>7</v>
      </c>
      <c r="AD4676">
        <v>1</v>
      </c>
      <c r="AE4676">
        <v>0</v>
      </c>
      <c r="AF4676">
        <v>0</v>
      </c>
      <c r="AG4676">
        <v>0</v>
      </c>
      <c r="AI4676">
        <v>0</v>
      </c>
      <c r="AJ4676">
        <v>8</v>
      </c>
      <c r="AK4676">
        <v>274</v>
      </c>
      <c r="AL4676">
        <v>274</v>
      </c>
      <c r="AM4676">
        <v>466</v>
      </c>
      <c r="AN4676">
        <v>44</v>
      </c>
      <c r="AP4676">
        <v>1</v>
      </c>
      <c r="AR4676" t="s">
        <v>4778</v>
      </c>
      <c r="AS4676" s="1">
        <v>44354.23333333333</v>
      </c>
      <c r="AT4676" s="1">
        <v>44354.326608796298</v>
      </c>
      <c r="AU4676" s="1">
        <v>44354.32708333333</v>
      </c>
      <c r="AV4676" t="s">
        <v>71</v>
      </c>
      <c r="AW4676" t="s">
        <v>72</v>
      </c>
      <c r="AX4676" t="s">
        <v>73</v>
      </c>
    </row>
    <row r="4677" spans="1:50" x14ac:dyDescent="0.3">
      <c r="A4677" t="str">
        <f>"200913B0000"</f>
        <v>200913B0000</v>
      </c>
      <c r="B4677" t="str">
        <f>"200913B00002"</f>
        <v>200913B00002</v>
      </c>
      <c r="C4677" t="str">
        <f t="shared" si="237"/>
        <v>20</v>
      </c>
      <c r="D4677" t="s">
        <v>67</v>
      </c>
      <c r="E4677" t="str">
        <f t="shared" si="238"/>
        <v>021</v>
      </c>
      <c r="F4677" t="s">
        <v>4711</v>
      </c>
      <c r="G4677" t="str">
        <f>"0913"</f>
        <v>0913</v>
      </c>
      <c r="H4677" t="str">
        <f>"0000"</f>
        <v>0000</v>
      </c>
      <c r="I4677" t="s">
        <v>69</v>
      </c>
      <c r="J4677">
        <v>0</v>
      </c>
      <c r="K4677">
        <v>1</v>
      </c>
      <c r="L4677">
        <v>2</v>
      </c>
      <c r="M4677">
        <v>255</v>
      </c>
      <c r="N4677">
        <v>109</v>
      </c>
      <c r="O4677">
        <v>0</v>
      </c>
      <c r="P4677">
        <v>109</v>
      </c>
      <c r="Q4677">
        <v>13</v>
      </c>
      <c r="R4677">
        <v>28</v>
      </c>
      <c r="S4677">
        <v>3</v>
      </c>
      <c r="T4677">
        <v>3</v>
      </c>
      <c r="U4677">
        <v>5</v>
      </c>
      <c r="V4677">
        <v>0</v>
      </c>
      <c r="W4677">
        <v>1</v>
      </c>
      <c r="X4677">
        <v>27</v>
      </c>
      <c r="Y4677">
        <v>0</v>
      </c>
      <c r="Z4677">
        <v>1</v>
      </c>
      <c r="AA4677">
        <v>14</v>
      </c>
      <c r="AB4677">
        <v>2</v>
      </c>
      <c r="AD4677">
        <v>3</v>
      </c>
      <c r="AE4677">
        <v>2</v>
      </c>
      <c r="AF4677">
        <v>0</v>
      </c>
      <c r="AG4677">
        <v>0</v>
      </c>
      <c r="AI4677">
        <v>0</v>
      </c>
      <c r="AJ4677">
        <v>7</v>
      </c>
      <c r="AK4677">
        <v>109</v>
      </c>
      <c r="AL4677">
        <v>109</v>
      </c>
      <c r="AM4677">
        <v>320</v>
      </c>
      <c r="AN4677">
        <v>44</v>
      </c>
      <c r="AP4677">
        <v>1</v>
      </c>
      <c r="AR4677" t="s">
        <v>4779</v>
      </c>
      <c r="AS4677" s="1">
        <v>44354.131944444445</v>
      </c>
      <c r="AT4677" s="1">
        <v>44354.154317129629</v>
      </c>
      <c r="AU4677" s="1">
        <v>44354.155694444446</v>
      </c>
      <c r="AV4677" t="s">
        <v>71</v>
      </c>
      <c r="AW4677" t="s">
        <v>72</v>
      </c>
      <c r="AX4677" t="s">
        <v>73</v>
      </c>
    </row>
    <row r="4678" spans="1:50" x14ac:dyDescent="0.3">
      <c r="A4678" t="str">
        <f>"200913E0100"</f>
        <v>200913E0100</v>
      </c>
      <c r="B4678" t="str">
        <f>"200913E01002"</f>
        <v>200913E01002</v>
      </c>
      <c r="C4678" t="str">
        <f t="shared" si="237"/>
        <v>20</v>
      </c>
      <c r="D4678" t="s">
        <v>67</v>
      </c>
      <c r="E4678" t="str">
        <f t="shared" si="238"/>
        <v>021</v>
      </c>
      <c r="F4678" t="s">
        <v>4711</v>
      </c>
      <c r="G4678" t="str">
        <f>"0913"</f>
        <v>0913</v>
      </c>
      <c r="H4678" t="str">
        <f>"0001"</f>
        <v>0001</v>
      </c>
      <c r="I4678" t="s">
        <v>109</v>
      </c>
      <c r="J4678">
        <v>0</v>
      </c>
      <c r="K4678">
        <v>1</v>
      </c>
      <c r="L4678">
        <v>2</v>
      </c>
      <c r="M4678">
        <v>231</v>
      </c>
      <c r="N4678">
        <v>134</v>
      </c>
      <c r="O4678">
        <v>2</v>
      </c>
      <c r="P4678">
        <v>0</v>
      </c>
      <c r="Q4678">
        <v>10</v>
      </c>
      <c r="R4678">
        <v>54</v>
      </c>
      <c r="S4678">
        <v>1</v>
      </c>
      <c r="T4678">
        <v>4</v>
      </c>
      <c r="U4678">
        <v>2</v>
      </c>
      <c r="V4678">
        <v>2</v>
      </c>
      <c r="W4678">
        <v>2</v>
      </c>
      <c r="X4678">
        <v>16</v>
      </c>
      <c r="Y4678">
        <v>0</v>
      </c>
      <c r="Z4678">
        <v>4</v>
      </c>
      <c r="AA4678">
        <v>27</v>
      </c>
      <c r="AB4678">
        <v>0</v>
      </c>
      <c r="AD4678">
        <v>1</v>
      </c>
      <c r="AE4678">
        <v>1</v>
      </c>
      <c r="AF4678">
        <v>1</v>
      </c>
      <c r="AG4678">
        <v>0</v>
      </c>
      <c r="AI4678">
        <v>0</v>
      </c>
      <c r="AJ4678">
        <v>9</v>
      </c>
      <c r="AK4678">
        <v>134</v>
      </c>
      <c r="AL4678">
        <v>134</v>
      </c>
      <c r="AM4678">
        <v>312</v>
      </c>
      <c r="AN4678">
        <v>44</v>
      </c>
      <c r="AP4678">
        <v>1</v>
      </c>
      <c r="AR4678" t="s">
        <v>4780</v>
      </c>
      <c r="AS4678" s="1">
        <v>44354.132638888892</v>
      </c>
      <c r="AT4678" s="1">
        <v>44354.13559027778</v>
      </c>
      <c r="AU4678" s="1">
        <v>44354.136712962965</v>
      </c>
      <c r="AV4678" t="s">
        <v>71</v>
      </c>
      <c r="AW4678" t="s">
        <v>72</v>
      </c>
      <c r="AX4678" t="s">
        <v>73</v>
      </c>
    </row>
    <row r="4679" spans="1:50" x14ac:dyDescent="0.3">
      <c r="A4679" t="str">
        <f>"200920B0000"</f>
        <v>200920B0000</v>
      </c>
      <c r="B4679" t="str">
        <f>"200920B00002"</f>
        <v>200920B00002</v>
      </c>
      <c r="C4679" t="str">
        <f t="shared" ref="C4679:C4742" si="239">"20"</f>
        <v>20</v>
      </c>
      <c r="D4679" t="s">
        <v>67</v>
      </c>
      <c r="E4679" t="str">
        <f t="shared" si="238"/>
        <v>021</v>
      </c>
      <c r="F4679" t="s">
        <v>4711</v>
      </c>
      <c r="G4679" t="str">
        <f>"0920"</f>
        <v>0920</v>
      </c>
      <c r="H4679" t="str">
        <f>"0000"</f>
        <v>0000</v>
      </c>
      <c r="I4679" t="s">
        <v>69</v>
      </c>
      <c r="J4679">
        <v>0</v>
      </c>
      <c r="K4679">
        <v>1</v>
      </c>
      <c r="L4679">
        <v>2</v>
      </c>
      <c r="M4679">
        <v>494</v>
      </c>
      <c r="N4679">
        <v>183</v>
      </c>
      <c r="O4679">
        <v>0</v>
      </c>
      <c r="P4679">
        <v>183</v>
      </c>
      <c r="Q4679">
        <v>8</v>
      </c>
      <c r="R4679">
        <v>10</v>
      </c>
      <c r="S4679">
        <v>5</v>
      </c>
      <c r="T4679">
        <v>1</v>
      </c>
      <c r="U4679">
        <v>29</v>
      </c>
      <c r="V4679">
        <v>2</v>
      </c>
      <c r="W4679">
        <v>5</v>
      </c>
      <c r="X4679">
        <v>106</v>
      </c>
      <c r="Y4679">
        <v>0</v>
      </c>
      <c r="Z4679">
        <v>4</v>
      </c>
      <c r="AA4679">
        <v>1</v>
      </c>
      <c r="AB4679">
        <v>2</v>
      </c>
      <c r="AD4679">
        <v>0</v>
      </c>
      <c r="AE4679">
        <v>0</v>
      </c>
      <c r="AF4679">
        <v>0</v>
      </c>
      <c r="AG4679">
        <v>0</v>
      </c>
      <c r="AI4679">
        <v>0</v>
      </c>
      <c r="AJ4679">
        <v>9</v>
      </c>
      <c r="AK4679">
        <v>183</v>
      </c>
      <c r="AL4679">
        <v>182</v>
      </c>
      <c r="AM4679">
        <v>633</v>
      </c>
      <c r="AN4679">
        <v>44</v>
      </c>
      <c r="AP4679">
        <v>1</v>
      </c>
      <c r="AR4679" t="s">
        <v>4781</v>
      </c>
      <c r="AS4679" s="1">
        <v>44354.170138888891</v>
      </c>
      <c r="AT4679" s="1">
        <v>44354.176539351851</v>
      </c>
      <c r="AU4679" s="1">
        <v>44354.177164351851</v>
      </c>
      <c r="AV4679" t="s">
        <v>71</v>
      </c>
      <c r="AW4679" t="s">
        <v>72</v>
      </c>
      <c r="AX4679" t="s">
        <v>73</v>
      </c>
    </row>
    <row r="4680" spans="1:50" x14ac:dyDescent="0.3">
      <c r="A4680" t="str">
        <f>"200920C0100"</f>
        <v>200920C0100</v>
      </c>
      <c r="B4680" t="str">
        <f>"200920C01002"</f>
        <v>200920C01002</v>
      </c>
      <c r="C4680" t="str">
        <f t="shared" si="239"/>
        <v>20</v>
      </c>
      <c r="D4680" t="s">
        <v>67</v>
      </c>
      <c r="E4680" t="str">
        <f t="shared" si="238"/>
        <v>021</v>
      </c>
      <c r="F4680" t="s">
        <v>4711</v>
      </c>
      <c r="G4680" t="str">
        <f>"0920"</f>
        <v>0920</v>
      </c>
      <c r="H4680" t="str">
        <f>"0001"</f>
        <v>0001</v>
      </c>
      <c r="I4680" t="s">
        <v>75</v>
      </c>
      <c r="J4680">
        <v>0</v>
      </c>
      <c r="K4680">
        <v>1</v>
      </c>
      <c r="L4680">
        <v>2</v>
      </c>
      <c r="M4680">
        <v>510</v>
      </c>
      <c r="N4680">
        <v>166</v>
      </c>
      <c r="O4680">
        <v>0</v>
      </c>
      <c r="P4680">
        <v>166</v>
      </c>
      <c r="Q4680">
        <v>1</v>
      </c>
      <c r="R4680">
        <v>19</v>
      </c>
      <c r="S4680">
        <v>7</v>
      </c>
      <c r="T4680">
        <v>4</v>
      </c>
      <c r="U4680">
        <v>27</v>
      </c>
      <c r="V4680">
        <v>1</v>
      </c>
      <c r="W4680">
        <v>2</v>
      </c>
      <c r="X4680">
        <v>90</v>
      </c>
      <c r="Y4680">
        <v>1</v>
      </c>
      <c r="Z4680">
        <v>1</v>
      </c>
      <c r="AA4680">
        <v>2</v>
      </c>
      <c r="AB4680">
        <v>2</v>
      </c>
      <c r="AD4680">
        <v>0</v>
      </c>
      <c r="AE4680">
        <v>0</v>
      </c>
      <c r="AF4680">
        <v>0</v>
      </c>
      <c r="AG4680">
        <v>0</v>
      </c>
      <c r="AI4680">
        <v>0</v>
      </c>
      <c r="AJ4680">
        <v>9</v>
      </c>
      <c r="AK4680" t="s">
        <v>99</v>
      </c>
      <c r="AL4680">
        <v>166</v>
      </c>
      <c r="AM4680">
        <v>632</v>
      </c>
      <c r="AN4680">
        <v>44</v>
      </c>
      <c r="AP4680">
        <v>1</v>
      </c>
      <c r="AR4680" t="s">
        <v>4782</v>
      </c>
      <c r="AS4680" s="1">
        <v>44354.169444444444</v>
      </c>
      <c r="AT4680" s="1">
        <v>44354.207048611112</v>
      </c>
      <c r="AU4680" s="1">
        <v>44354.208124999997</v>
      </c>
      <c r="AV4680" t="s">
        <v>71</v>
      </c>
      <c r="AW4680" t="s">
        <v>72</v>
      </c>
      <c r="AX4680" t="s">
        <v>73</v>
      </c>
    </row>
    <row r="4681" spans="1:50" x14ac:dyDescent="0.3">
      <c r="A4681" t="str">
        <f>"200920E0100"</f>
        <v>200920E0100</v>
      </c>
      <c r="B4681" t="str">
        <f>"200920E01002"</f>
        <v>200920E01002</v>
      </c>
      <c r="C4681" t="str">
        <f t="shared" si="239"/>
        <v>20</v>
      </c>
      <c r="D4681" t="s">
        <v>67</v>
      </c>
      <c r="E4681" t="str">
        <f t="shared" si="238"/>
        <v>021</v>
      </c>
      <c r="F4681" t="s">
        <v>4711</v>
      </c>
      <c r="G4681" t="str">
        <f>"0920"</f>
        <v>0920</v>
      </c>
      <c r="H4681" t="str">
        <f>"0001"</f>
        <v>0001</v>
      </c>
      <c r="I4681" t="s">
        <v>109</v>
      </c>
      <c r="J4681">
        <v>0</v>
      </c>
      <c r="K4681">
        <v>1</v>
      </c>
      <c r="L4681">
        <v>2</v>
      </c>
      <c r="M4681">
        <v>401</v>
      </c>
      <c r="N4681">
        <v>132</v>
      </c>
      <c r="O4681">
        <v>0</v>
      </c>
      <c r="P4681">
        <v>132</v>
      </c>
      <c r="Q4681">
        <v>9</v>
      </c>
      <c r="R4681" t="s">
        <v>99</v>
      </c>
      <c r="S4681">
        <v>10</v>
      </c>
      <c r="T4681">
        <v>5</v>
      </c>
      <c r="U4681">
        <v>33</v>
      </c>
      <c r="V4681">
        <v>2</v>
      </c>
      <c r="W4681">
        <v>0</v>
      </c>
      <c r="X4681">
        <v>23</v>
      </c>
      <c r="Y4681">
        <v>0</v>
      </c>
      <c r="Z4681">
        <v>3</v>
      </c>
      <c r="AA4681">
        <v>1</v>
      </c>
      <c r="AB4681">
        <v>0</v>
      </c>
      <c r="AD4681">
        <v>0</v>
      </c>
      <c r="AE4681">
        <v>0</v>
      </c>
      <c r="AF4681">
        <v>0</v>
      </c>
      <c r="AG4681">
        <v>0</v>
      </c>
      <c r="AI4681">
        <v>0</v>
      </c>
      <c r="AJ4681">
        <v>18</v>
      </c>
      <c r="AK4681">
        <v>132</v>
      </c>
      <c r="AL4681">
        <v>104</v>
      </c>
      <c r="AM4681">
        <v>489</v>
      </c>
      <c r="AN4681">
        <v>44</v>
      </c>
      <c r="AO4681" t="s">
        <v>78</v>
      </c>
      <c r="AP4681">
        <v>1</v>
      </c>
      <c r="AR4681" t="s">
        <v>4783</v>
      </c>
      <c r="AS4681" s="1">
        <v>44354.169444444444</v>
      </c>
      <c r="AT4681" s="1">
        <v>44354.193530092591</v>
      </c>
      <c r="AU4681" s="1">
        <v>44354.19462962963</v>
      </c>
      <c r="AV4681" t="s">
        <v>71</v>
      </c>
      <c r="AW4681" t="s">
        <v>72</v>
      </c>
      <c r="AX4681" t="s">
        <v>73</v>
      </c>
    </row>
    <row r="4682" spans="1:50" x14ac:dyDescent="0.3">
      <c r="A4682" t="str">
        <f>"200921B0000"</f>
        <v>200921B0000</v>
      </c>
      <c r="B4682" t="str">
        <f>"200921B00002"</f>
        <v>200921B00002</v>
      </c>
      <c r="C4682" t="str">
        <f t="shared" si="239"/>
        <v>20</v>
      </c>
      <c r="D4682" t="s">
        <v>67</v>
      </c>
      <c r="E4682" t="str">
        <f t="shared" si="238"/>
        <v>021</v>
      </c>
      <c r="F4682" t="s">
        <v>4711</v>
      </c>
      <c r="G4682" t="str">
        <f>"0921"</f>
        <v>0921</v>
      </c>
      <c r="H4682" t="str">
        <f>"0000"</f>
        <v>0000</v>
      </c>
      <c r="I4682" t="s">
        <v>69</v>
      </c>
      <c r="J4682">
        <v>0</v>
      </c>
      <c r="K4682">
        <v>1</v>
      </c>
      <c r="L4682">
        <v>2</v>
      </c>
      <c r="M4682">
        <v>513</v>
      </c>
      <c r="N4682">
        <v>263</v>
      </c>
      <c r="O4682">
        <v>4</v>
      </c>
      <c r="P4682">
        <v>263</v>
      </c>
      <c r="Q4682">
        <v>31</v>
      </c>
      <c r="R4682">
        <v>73</v>
      </c>
      <c r="S4682">
        <v>8</v>
      </c>
      <c r="T4682">
        <v>5</v>
      </c>
      <c r="U4682">
        <v>4</v>
      </c>
      <c r="V4682">
        <v>4</v>
      </c>
      <c r="W4682">
        <v>1</v>
      </c>
      <c r="X4682">
        <v>110</v>
      </c>
      <c r="Y4682">
        <v>2</v>
      </c>
      <c r="Z4682">
        <v>5</v>
      </c>
      <c r="AA4682">
        <v>5</v>
      </c>
      <c r="AB4682">
        <v>0</v>
      </c>
      <c r="AD4682">
        <v>3</v>
      </c>
      <c r="AE4682">
        <v>1</v>
      </c>
      <c r="AF4682">
        <v>0</v>
      </c>
      <c r="AG4682">
        <v>1</v>
      </c>
      <c r="AI4682">
        <v>0</v>
      </c>
      <c r="AJ4682">
        <v>10</v>
      </c>
      <c r="AK4682">
        <v>263</v>
      </c>
      <c r="AL4682">
        <v>263</v>
      </c>
      <c r="AM4682">
        <v>732</v>
      </c>
      <c r="AN4682">
        <v>44</v>
      </c>
      <c r="AP4682">
        <v>1</v>
      </c>
      <c r="AR4682" t="s">
        <v>4784</v>
      </c>
      <c r="AS4682" s="1">
        <v>44354.027083333334</v>
      </c>
      <c r="AT4682" s="1">
        <v>44354.039756944447</v>
      </c>
      <c r="AU4682" s="1">
        <v>44354.04074074074</v>
      </c>
      <c r="AV4682" t="s">
        <v>71</v>
      </c>
      <c r="AW4682" t="s">
        <v>72</v>
      </c>
      <c r="AX4682" t="s">
        <v>73</v>
      </c>
    </row>
    <row r="4683" spans="1:50" x14ac:dyDescent="0.3">
      <c r="A4683" t="str">
        <f>"200921E0100"</f>
        <v>200921E0100</v>
      </c>
      <c r="B4683" t="str">
        <f>"200921E01002"</f>
        <v>200921E01002</v>
      </c>
      <c r="C4683" t="str">
        <f t="shared" si="239"/>
        <v>20</v>
      </c>
      <c r="D4683" t="s">
        <v>67</v>
      </c>
      <c r="E4683" t="str">
        <f t="shared" si="238"/>
        <v>021</v>
      </c>
      <c r="F4683" t="s">
        <v>4711</v>
      </c>
      <c r="G4683" t="str">
        <f>"0921"</f>
        <v>0921</v>
      </c>
      <c r="H4683" t="str">
        <f>"0001"</f>
        <v>0001</v>
      </c>
      <c r="I4683" t="s">
        <v>109</v>
      </c>
      <c r="J4683">
        <v>0</v>
      </c>
      <c r="K4683">
        <v>1</v>
      </c>
      <c r="L4683">
        <v>2</v>
      </c>
      <c r="M4683">
        <v>222</v>
      </c>
      <c r="N4683">
        <v>171</v>
      </c>
      <c r="O4683">
        <v>0</v>
      </c>
      <c r="P4683">
        <v>171</v>
      </c>
      <c r="Q4683">
        <v>45</v>
      </c>
      <c r="R4683">
        <v>81</v>
      </c>
      <c r="S4683">
        <v>0</v>
      </c>
      <c r="T4683">
        <v>2</v>
      </c>
      <c r="U4683">
        <v>1</v>
      </c>
      <c r="V4683">
        <v>0</v>
      </c>
      <c r="W4683">
        <v>1</v>
      </c>
      <c r="X4683">
        <v>30</v>
      </c>
      <c r="Y4683">
        <v>0</v>
      </c>
      <c r="Z4683">
        <v>1</v>
      </c>
      <c r="AA4683">
        <v>0</v>
      </c>
      <c r="AB4683">
        <v>1</v>
      </c>
      <c r="AD4683">
        <v>6</v>
      </c>
      <c r="AE4683">
        <v>0</v>
      </c>
      <c r="AF4683">
        <v>0</v>
      </c>
      <c r="AG4683">
        <v>0</v>
      </c>
      <c r="AI4683">
        <v>0</v>
      </c>
      <c r="AJ4683">
        <v>3</v>
      </c>
      <c r="AK4683">
        <v>171</v>
      </c>
      <c r="AL4683">
        <v>171</v>
      </c>
      <c r="AM4683">
        <v>349</v>
      </c>
      <c r="AN4683">
        <v>44</v>
      </c>
      <c r="AP4683">
        <v>1</v>
      </c>
      <c r="AR4683" t="s">
        <v>4785</v>
      </c>
      <c r="AS4683" s="1">
        <v>44354.152083333334</v>
      </c>
      <c r="AT4683" s="1">
        <v>44354.159837962965</v>
      </c>
      <c r="AU4683" s="1">
        <v>44354.160324074073</v>
      </c>
      <c r="AV4683" t="s">
        <v>71</v>
      </c>
      <c r="AW4683" t="s">
        <v>72</v>
      </c>
      <c r="AX4683" t="s">
        <v>73</v>
      </c>
    </row>
    <row r="4684" spans="1:50" x14ac:dyDescent="0.3">
      <c r="A4684" t="str">
        <f>"200921E0200"</f>
        <v>200921E0200</v>
      </c>
      <c r="B4684" t="str">
        <f>"200921E02002"</f>
        <v>200921E02002</v>
      </c>
      <c r="C4684" t="str">
        <f t="shared" si="239"/>
        <v>20</v>
      </c>
      <c r="D4684" t="s">
        <v>67</v>
      </c>
      <c r="E4684" t="str">
        <f t="shared" si="238"/>
        <v>021</v>
      </c>
      <c r="F4684" t="s">
        <v>4711</v>
      </c>
      <c r="G4684" t="str">
        <f>"0921"</f>
        <v>0921</v>
      </c>
      <c r="H4684" t="str">
        <f>"0002"</f>
        <v>0002</v>
      </c>
      <c r="I4684" t="s">
        <v>109</v>
      </c>
      <c r="J4684">
        <v>0</v>
      </c>
      <c r="K4684">
        <v>1</v>
      </c>
      <c r="L4684">
        <v>2</v>
      </c>
      <c r="M4684">
        <v>310</v>
      </c>
      <c r="N4684">
        <v>120</v>
      </c>
      <c r="O4684">
        <v>120</v>
      </c>
      <c r="P4684">
        <v>120</v>
      </c>
      <c r="Q4684">
        <v>6</v>
      </c>
      <c r="R4684">
        <v>28</v>
      </c>
      <c r="S4684">
        <v>1</v>
      </c>
      <c r="T4684">
        <v>2</v>
      </c>
      <c r="U4684">
        <v>3</v>
      </c>
      <c r="V4684">
        <v>3</v>
      </c>
      <c r="W4684">
        <v>0</v>
      </c>
      <c r="X4684">
        <v>64</v>
      </c>
      <c r="Y4684">
        <v>1</v>
      </c>
      <c r="Z4684">
        <v>0</v>
      </c>
      <c r="AA4684">
        <v>1</v>
      </c>
      <c r="AB4684">
        <v>1</v>
      </c>
      <c r="AD4684">
        <v>0</v>
      </c>
      <c r="AE4684">
        <v>0</v>
      </c>
      <c r="AF4684">
        <v>0</v>
      </c>
      <c r="AG4684">
        <v>0</v>
      </c>
      <c r="AI4684">
        <v>0</v>
      </c>
      <c r="AJ4684">
        <v>11</v>
      </c>
      <c r="AK4684">
        <v>120</v>
      </c>
      <c r="AL4684">
        <v>121</v>
      </c>
      <c r="AM4684">
        <v>386</v>
      </c>
      <c r="AN4684">
        <v>44</v>
      </c>
      <c r="AP4684">
        <v>1</v>
      </c>
      <c r="AR4684" t="s">
        <v>4786</v>
      </c>
      <c r="AS4684" s="1">
        <v>44354.026388888888</v>
      </c>
      <c r="AT4684" s="1">
        <v>44354.038564814815</v>
      </c>
      <c r="AU4684" s="1">
        <v>44354.039965277778</v>
      </c>
      <c r="AV4684" t="s">
        <v>71</v>
      </c>
      <c r="AW4684" t="s">
        <v>72</v>
      </c>
      <c r="AX4684" t="s">
        <v>73</v>
      </c>
    </row>
    <row r="4685" spans="1:50" x14ac:dyDescent="0.3">
      <c r="A4685" t="str">
        <f>"200922B0000"</f>
        <v>200922B0000</v>
      </c>
      <c r="B4685" t="str">
        <f>"200922B00002"</f>
        <v>200922B00002</v>
      </c>
      <c r="C4685" t="str">
        <f t="shared" si="239"/>
        <v>20</v>
      </c>
      <c r="D4685" t="s">
        <v>67</v>
      </c>
      <c r="E4685" t="str">
        <f t="shared" si="238"/>
        <v>021</v>
      </c>
      <c r="F4685" t="s">
        <v>4711</v>
      </c>
      <c r="G4685" t="str">
        <f>"0922"</f>
        <v>0922</v>
      </c>
      <c r="H4685" t="str">
        <f>"0000"</f>
        <v>0000</v>
      </c>
      <c r="I4685" t="s">
        <v>69</v>
      </c>
      <c r="J4685">
        <v>0</v>
      </c>
      <c r="K4685">
        <v>1</v>
      </c>
      <c r="L4685">
        <v>2</v>
      </c>
      <c r="M4685">
        <v>408</v>
      </c>
      <c r="N4685">
        <v>318</v>
      </c>
      <c r="O4685">
        <v>0</v>
      </c>
      <c r="P4685">
        <v>318</v>
      </c>
      <c r="Q4685">
        <v>31</v>
      </c>
      <c r="R4685">
        <v>89</v>
      </c>
      <c r="S4685">
        <v>19</v>
      </c>
      <c r="T4685">
        <v>7</v>
      </c>
      <c r="U4685">
        <v>28</v>
      </c>
      <c r="V4685">
        <v>2</v>
      </c>
      <c r="W4685">
        <v>2</v>
      </c>
      <c r="X4685">
        <v>118</v>
      </c>
      <c r="Y4685">
        <v>0</v>
      </c>
      <c r="Z4685">
        <v>4</v>
      </c>
      <c r="AA4685">
        <v>4</v>
      </c>
      <c r="AB4685">
        <v>6</v>
      </c>
      <c r="AD4685">
        <v>1</v>
      </c>
      <c r="AE4685">
        <v>0</v>
      </c>
      <c r="AF4685">
        <v>0</v>
      </c>
      <c r="AG4685">
        <v>0</v>
      </c>
      <c r="AI4685">
        <v>0</v>
      </c>
      <c r="AJ4685">
        <v>7</v>
      </c>
      <c r="AK4685">
        <v>318</v>
      </c>
      <c r="AL4685">
        <v>318</v>
      </c>
      <c r="AM4685">
        <v>682</v>
      </c>
      <c r="AN4685">
        <v>44</v>
      </c>
      <c r="AP4685">
        <v>1</v>
      </c>
      <c r="AR4685" t="s">
        <v>4787</v>
      </c>
      <c r="AS4685" s="1">
        <v>44354.320833333331</v>
      </c>
      <c r="AT4685" s="1">
        <v>44354.327303240738</v>
      </c>
      <c r="AU4685" s="1">
        <v>44354.328055555554</v>
      </c>
      <c r="AV4685" t="s">
        <v>71</v>
      </c>
      <c r="AW4685" t="s">
        <v>72</v>
      </c>
      <c r="AX4685" t="s">
        <v>73</v>
      </c>
    </row>
    <row r="4686" spans="1:50" x14ac:dyDescent="0.3">
      <c r="A4686" t="str">
        <f>"200923B0000"</f>
        <v>200923B0000</v>
      </c>
      <c r="B4686" t="str">
        <f>"200923B00002"</f>
        <v>200923B00002</v>
      </c>
      <c r="C4686" t="str">
        <f t="shared" si="239"/>
        <v>20</v>
      </c>
      <c r="D4686" t="s">
        <v>67</v>
      </c>
      <c r="E4686" t="str">
        <f t="shared" si="238"/>
        <v>021</v>
      </c>
      <c r="F4686" t="s">
        <v>4711</v>
      </c>
      <c r="G4686" t="str">
        <f>"0923"</f>
        <v>0923</v>
      </c>
      <c r="H4686" t="str">
        <f>"0000"</f>
        <v>0000</v>
      </c>
      <c r="I4686" t="s">
        <v>69</v>
      </c>
      <c r="J4686">
        <v>0</v>
      </c>
      <c r="K4686">
        <v>1</v>
      </c>
      <c r="L4686">
        <v>2</v>
      </c>
      <c r="M4686">
        <v>281</v>
      </c>
      <c r="N4686">
        <v>193</v>
      </c>
      <c r="O4686">
        <v>0</v>
      </c>
      <c r="P4686">
        <v>193</v>
      </c>
      <c r="Q4686">
        <v>16</v>
      </c>
      <c r="R4686">
        <v>73</v>
      </c>
      <c r="S4686">
        <v>1</v>
      </c>
      <c r="T4686">
        <v>0</v>
      </c>
      <c r="U4686">
        <v>1</v>
      </c>
      <c r="V4686">
        <v>1</v>
      </c>
      <c r="W4686">
        <v>6</v>
      </c>
      <c r="X4686">
        <v>77</v>
      </c>
      <c r="Y4686">
        <v>0</v>
      </c>
      <c r="Z4686">
        <v>3</v>
      </c>
      <c r="AA4686">
        <v>0</v>
      </c>
      <c r="AB4686">
        <v>0</v>
      </c>
      <c r="AD4686">
        <v>2</v>
      </c>
      <c r="AE4686">
        <v>2</v>
      </c>
      <c r="AF4686">
        <v>0</v>
      </c>
      <c r="AG4686">
        <v>1</v>
      </c>
      <c r="AI4686">
        <v>0</v>
      </c>
      <c r="AJ4686">
        <v>10</v>
      </c>
      <c r="AK4686">
        <v>193</v>
      </c>
      <c r="AL4686">
        <v>193</v>
      </c>
      <c r="AM4686">
        <v>430</v>
      </c>
      <c r="AN4686">
        <v>44</v>
      </c>
      <c r="AP4686">
        <v>1</v>
      </c>
      <c r="AR4686" t="s">
        <v>4788</v>
      </c>
      <c r="AS4686" s="1">
        <v>44354.320138888892</v>
      </c>
      <c r="AT4686" s="1">
        <v>44354.332488425927</v>
      </c>
      <c r="AU4686" s="1">
        <v>44354.333009259259</v>
      </c>
      <c r="AV4686" t="s">
        <v>71</v>
      </c>
      <c r="AW4686" t="s">
        <v>72</v>
      </c>
      <c r="AX4686" t="s">
        <v>73</v>
      </c>
    </row>
    <row r="4687" spans="1:50" x14ac:dyDescent="0.3">
      <c r="A4687" t="str">
        <f>"200923C0100"</f>
        <v>200923C0100</v>
      </c>
      <c r="B4687" t="str">
        <f>"200923C01002"</f>
        <v>200923C01002</v>
      </c>
      <c r="C4687" t="str">
        <f t="shared" si="239"/>
        <v>20</v>
      </c>
      <c r="D4687" t="s">
        <v>67</v>
      </c>
      <c r="E4687" t="str">
        <f t="shared" si="238"/>
        <v>021</v>
      </c>
      <c r="F4687" t="s">
        <v>4711</v>
      </c>
      <c r="G4687" t="str">
        <f>"0923"</f>
        <v>0923</v>
      </c>
      <c r="H4687" t="str">
        <f>"0001"</f>
        <v>0001</v>
      </c>
      <c r="I4687" t="s">
        <v>75</v>
      </c>
      <c r="J4687">
        <v>0</v>
      </c>
      <c r="K4687">
        <v>1</v>
      </c>
      <c r="L4687">
        <v>2</v>
      </c>
      <c r="M4687">
        <v>304</v>
      </c>
      <c r="N4687">
        <v>169</v>
      </c>
      <c r="O4687">
        <v>2</v>
      </c>
      <c r="P4687">
        <v>169</v>
      </c>
      <c r="Q4687">
        <v>18</v>
      </c>
      <c r="R4687">
        <v>48</v>
      </c>
      <c r="S4687">
        <v>2</v>
      </c>
      <c r="T4687">
        <v>4</v>
      </c>
      <c r="U4687">
        <v>1</v>
      </c>
      <c r="V4687">
        <v>1</v>
      </c>
      <c r="W4687">
        <v>2</v>
      </c>
      <c r="X4687">
        <v>83</v>
      </c>
      <c r="Y4687" t="s">
        <v>77</v>
      </c>
      <c r="Z4687" t="s">
        <v>77</v>
      </c>
      <c r="AA4687" t="s">
        <v>77</v>
      </c>
      <c r="AB4687" t="s">
        <v>77</v>
      </c>
      <c r="AD4687" t="s">
        <v>77</v>
      </c>
      <c r="AE4687">
        <v>2</v>
      </c>
      <c r="AF4687" t="s">
        <v>77</v>
      </c>
      <c r="AG4687" t="s">
        <v>77</v>
      </c>
      <c r="AI4687" t="s">
        <v>77</v>
      </c>
      <c r="AJ4687">
        <v>8</v>
      </c>
      <c r="AK4687">
        <v>169</v>
      </c>
      <c r="AL4687">
        <v>169</v>
      </c>
      <c r="AM4687">
        <v>429</v>
      </c>
      <c r="AN4687">
        <v>44</v>
      </c>
      <c r="AO4687" t="s">
        <v>78</v>
      </c>
      <c r="AP4687">
        <v>1</v>
      </c>
      <c r="AR4687" t="s">
        <v>4789</v>
      </c>
      <c r="AS4687" s="1">
        <v>44354.320138888892</v>
      </c>
      <c r="AT4687" s="1">
        <v>44354.329317129632</v>
      </c>
      <c r="AU4687" s="1">
        <v>44354.330011574071</v>
      </c>
      <c r="AV4687" t="s">
        <v>71</v>
      </c>
      <c r="AW4687" t="s">
        <v>72</v>
      </c>
      <c r="AX4687" t="s">
        <v>73</v>
      </c>
    </row>
    <row r="4688" spans="1:50" x14ac:dyDescent="0.3">
      <c r="A4688" t="str">
        <f>"200923E0100"</f>
        <v>200923E0100</v>
      </c>
      <c r="B4688" t="str">
        <f>"200923E01002"</f>
        <v>200923E01002</v>
      </c>
      <c r="C4688" t="str">
        <f t="shared" si="239"/>
        <v>20</v>
      </c>
      <c r="D4688" t="s">
        <v>67</v>
      </c>
      <c r="E4688" t="str">
        <f t="shared" si="238"/>
        <v>021</v>
      </c>
      <c r="F4688" t="s">
        <v>4711</v>
      </c>
      <c r="G4688" t="str">
        <f>"0923"</f>
        <v>0923</v>
      </c>
      <c r="H4688" t="str">
        <f>"0001"</f>
        <v>0001</v>
      </c>
      <c r="I4688" t="s">
        <v>109</v>
      </c>
      <c r="J4688">
        <v>0</v>
      </c>
      <c r="K4688">
        <v>1</v>
      </c>
      <c r="L4688">
        <v>2</v>
      </c>
      <c r="M4688">
        <v>266</v>
      </c>
      <c r="N4688">
        <v>175</v>
      </c>
      <c r="O4688">
        <v>2</v>
      </c>
      <c r="P4688">
        <v>175</v>
      </c>
      <c r="Q4688">
        <v>19</v>
      </c>
      <c r="R4688">
        <v>44</v>
      </c>
      <c r="S4688">
        <v>9</v>
      </c>
      <c r="T4688">
        <v>5</v>
      </c>
      <c r="U4688">
        <v>2</v>
      </c>
      <c r="V4688">
        <v>1</v>
      </c>
      <c r="W4688">
        <v>1</v>
      </c>
      <c r="X4688">
        <v>76</v>
      </c>
      <c r="Y4688">
        <v>0</v>
      </c>
      <c r="Z4688">
        <v>3</v>
      </c>
      <c r="AA4688">
        <v>5</v>
      </c>
      <c r="AB4688">
        <v>0</v>
      </c>
      <c r="AD4688">
        <v>3</v>
      </c>
      <c r="AE4688">
        <v>0</v>
      </c>
      <c r="AF4688">
        <v>0</v>
      </c>
      <c r="AG4688">
        <v>0</v>
      </c>
      <c r="AI4688">
        <v>0</v>
      </c>
      <c r="AJ4688">
        <v>7</v>
      </c>
      <c r="AK4688">
        <v>175</v>
      </c>
      <c r="AL4688">
        <v>175</v>
      </c>
      <c r="AM4688">
        <v>397</v>
      </c>
      <c r="AN4688">
        <v>44</v>
      </c>
      <c r="AP4688">
        <v>1</v>
      </c>
      <c r="AR4688" t="s">
        <v>4790</v>
      </c>
      <c r="AS4688" s="1">
        <v>44354.320833333331</v>
      </c>
      <c r="AT4688" s="1">
        <v>44354.329641203702</v>
      </c>
      <c r="AU4688" s="1">
        <v>44354.33021990741</v>
      </c>
      <c r="AV4688" t="s">
        <v>71</v>
      </c>
      <c r="AW4688" t="s">
        <v>72</v>
      </c>
      <c r="AX4688" t="s">
        <v>73</v>
      </c>
    </row>
    <row r="4689" spans="1:50" x14ac:dyDescent="0.3">
      <c r="A4689" t="str">
        <f>"200958B0000"</f>
        <v>200958B0000</v>
      </c>
      <c r="B4689" t="str">
        <f>"200958B00002"</f>
        <v>200958B00002</v>
      </c>
      <c r="C4689" t="str">
        <f t="shared" si="239"/>
        <v>20</v>
      </c>
      <c r="D4689" t="s">
        <v>67</v>
      </c>
      <c r="E4689" t="str">
        <f t="shared" si="238"/>
        <v>021</v>
      </c>
      <c r="F4689" t="s">
        <v>4711</v>
      </c>
      <c r="G4689" t="str">
        <f>"0958"</f>
        <v>0958</v>
      </c>
      <c r="H4689" t="str">
        <f>"0000"</f>
        <v>0000</v>
      </c>
      <c r="I4689" t="s">
        <v>69</v>
      </c>
      <c r="J4689">
        <v>0</v>
      </c>
      <c r="K4689">
        <v>1</v>
      </c>
      <c r="L4689">
        <v>2</v>
      </c>
      <c r="M4689">
        <v>411</v>
      </c>
      <c r="N4689" t="s">
        <v>99</v>
      </c>
      <c r="O4689" t="s">
        <v>99</v>
      </c>
      <c r="P4689">
        <v>122</v>
      </c>
      <c r="Q4689">
        <v>8</v>
      </c>
      <c r="R4689">
        <v>46</v>
      </c>
      <c r="S4689">
        <v>3</v>
      </c>
      <c r="T4689">
        <v>4</v>
      </c>
      <c r="U4689">
        <v>5</v>
      </c>
      <c r="V4689">
        <v>3</v>
      </c>
      <c r="W4689">
        <v>1</v>
      </c>
      <c r="X4689">
        <v>43</v>
      </c>
      <c r="Y4689">
        <v>0</v>
      </c>
      <c r="Z4689">
        <v>0</v>
      </c>
      <c r="AA4689">
        <v>0</v>
      </c>
      <c r="AB4689">
        <v>2</v>
      </c>
      <c r="AD4689">
        <v>1</v>
      </c>
      <c r="AE4689" t="s">
        <v>77</v>
      </c>
      <c r="AF4689" t="s">
        <v>77</v>
      </c>
      <c r="AG4689" t="s">
        <v>77</v>
      </c>
      <c r="AI4689" t="s">
        <v>77</v>
      </c>
      <c r="AJ4689">
        <v>6</v>
      </c>
      <c r="AK4689">
        <v>122</v>
      </c>
      <c r="AL4689">
        <v>122</v>
      </c>
      <c r="AM4689">
        <v>489</v>
      </c>
      <c r="AN4689">
        <v>44</v>
      </c>
      <c r="AO4689" t="s">
        <v>78</v>
      </c>
      <c r="AP4689">
        <v>1</v>
      </c>
      <c r="AR4689" t="s">
        <v>4791</v>
      </c>
      <c r="AS4689" s="1">
        <v>44353.97152777778</v>
      </c>
      <c r="AT4689" s="1">
        <v>44353.976875</v>
      </c>
      <c r="AU4689" s="1">
        <v>44353.977418981478</v>
      </c>
      <c r="AV4689" t="s">
        <v>71</v>
      </c>
      <c r="AW4689" t="s">
        <v>72</v>
      </c>
      <c r="AX4689" t="s">
        <v>73</v>
      </c>
    </row>
    <row r="4690" spans="1:50" x14ac:dyDescent="0.3">
      <c r="A4690" t="str">
        <f>"200958C0100"</f>
        <v>200958C0100</v>
      </c>
      <c r="B4690" t="str">
        <f>"200958C01002"</f>
        <v>200958C01002</v>
      </c>
      <c r="C4690" t="str">
        <f t="shared" si="239"/>
        <v>20</v>
      </c>
      <c r="D4690" t="s">
        <v>67</v>
      </c>
      <c r="E4690" t="str">
        <f t="shared" si="238"/>
        <v>021</v>
      </c>
      <c r="F4690" t="s">
        <v>4711</v>
      </c>
      <c r="G4690" t="str">
        <f>"0958"</f>
        <v>0958</v>
      </c>
      <c r="H4690" t="str">
        <f>"0001"</f>
        <v>0001</v>
      </c>
      <c r="I4690" t="s">
        <v>75</v>
      </c>
      <c r="J4690">
        <v>0</v>
      </c>
      <c r="K4690">
        <v>1</v>
      </c>
      <c r="L4690">
        <v>2</v>
      </c>
      <c r="M4690">
        <v>412</v>
      </c>
      <c r="N4690">
        <v>120</v>
      </c>
      <c r="O4690">
        <v>4</v>
      </c>
      <c r="P4690">
        <v>120</v>
      </c>
      <c r="Q4690">
        <v>2</v>
      </c>
      <c r="R4690">
        <v>39</v>
      </c>
      <c r="S4690">
        <v>4</v>
      </c>
      <c r="T4690">
        <v>8</v>
      </c>
      <c r="U4690">
        <v>7</v>
      </c>
      <c r="V4690">
        <v>1</v>
      </c>
      <c r="W4690">
        <v>1</v>
      </c>
      <c r="X4690">
        <v>48</v>
      </c>
      <c r="Y4690">
        <v>2</v>
      </c>
      <c r="Z4690">
        <v>0</v>
      </c>
      <c r="AA4690">
        <v>0</v>
      </c>
      <c r="AB4690">
        <v>1</v>
      </c>
      <c r="AD4690">
        <v>0</v>
      </c>
      <c r="AE4690">
        <v>0</v>
      </c>
      <c r="AF4690">
        <v>0</v>
      </c>
      <c r="AG4690">
        <v>0</v>
      </c>
      <c r="AI4690">
        <v>0</v>
      </c>
      <c r="AJ4690">
        <v>7</v>
      </c>
      <c r="AK4690">
        <v>120</v>
      </c>
      <c r="AL4690">
        <v>120</v>
      </c>
      <c r="AM4690">
        <v>488</v>
      </c>
      <c r="AN4690">
        <v>44</v>
      </c>
      <c r="AP4690">
        <v>1</v>
      </c>
      <c r="AR4690" t="s">
        <v>4792</v>
      </c>
      <c r="AS4690" s="1">
        <v>44353.974305555559</v>
      </c>
      <c r="AT4690" s="1">
        <v>44353.979178240741</v>
      </c>
      <c r="AU4690" s="1">
        <v>44353.979722222219</v>
      </c>
      <c r="AV4690" t="s">
        <v>71</v>
      </c>
      <c r="AW4690" t="s">
        <v>72</v>
      </c>
      <c r="AX4690" t="s">
        <v>73</v>
      </c>
    </row>
    <row r="4691" spans="1:50" x14ac:dyDescent="0.3">
      <c r="A4691" t="str">
        <f>"200958E0100"</f>
        <v>200958E0100</v>
      </c>
      <c r="B4691" t="str">
        <f>"200958E01002"</f>
        <v>200958E01002</v>
      </c>
      <c r="C4691" t="str">
        <f t="shared" si="239"/>
        <v>20</v>
      </c>
      <c r="D4691" t="s">
        <v>67</v>
      </c>
      <c r="E4691" t="str">
        <f t="shared" si="238"/>
        <v>021</v>
      </c>
      <c r="F4691" t="s">
        <v>4711</v>
      </c>
      <c r="G4691" t="str">
        <f>"0958"</f>
        <v>0958</v>
      </c>
      <c r="H4691" t="str">
        <f>"0001"</f>
        <v>0001</v>
      </c>
      <c r="I4691" t="s">
        <v>109</v>
      </c>
      <c r="J4691">
        <v>0</v>
      </c>
      <c r="K4691">
        <v>1</v>
      </c>
      <c r="L4691">
        <v>2</v>
      </c>
      <c r="M4691">
        <v>440</v>
      </c>
      <c r="N4691">
        <v>186</v>
      </c>
      <c r="O4691">
        <v>1</v>
      </c>
      <c r="P4691">
        <v>182</v>
      </c>
      <c r="Q4691">
        <v>14</v>
      </c>
      <c r="R4691">
        <v>28</v>
      </c>
      <c r="S4691">
        <v>6</v>
      </c>
      <c r="T4691">
        <v>18</v>
      </c>
      <c r="U4691">
        <v>7</v>
      </c>
      <c r="V4691">
        <v>7</v>
      </c>
      <c r="W4691">
        <v>1</v>
      </c>
      <c r="X4691">
        <v>90</v>
      </c>
      <c r="Y4691">
        <v>0</v>
      </c>
      <c r="Z4691">
        <v>4</v>
      </c>
      <c r="AA4691">
        <v>6</v>
      </c>
      <c r="AB4691">
        <v>1</v>
      </c>
      <c r="AD4691" t="s">
        <v>77</v>
      </c>
      <c r="AE4691" t="s">
        <v>77</v>
      </c>
      <c r="AF4691" t="s">
        <v>77</v>
      </c>
      <c r="AG4691" t="s">
        <v>77</v>
      </c>
      <c r="AI4691" t="s">
        <v>77</v>
      </c>
      <c r="AJ4691">
        <v>4</v>
      </c>
      <c r="AK4691">
        <v>182</v>
      </c>
      <c r="AL4691">
        <v>186</v>
      </c>
      <c r="AM4691">
        <v>582</v>
      </c>
      <c r="AN4691">
        <v>44</v>
      </c>
      <c r="AO4691" t="s">
        <v>78</v>
      </c>
      <c r="AP4691">
        <v>1</v>
      </c>
      <c r="AR4691" t="s">
        <v>4793</v>
      </c>
      <c r="AS4691" s="1">
        <v>44353.972916666666</v>
      </c>
      <c r="AT4691" s="1">
        <v>44353.982175925928</v>
      </c>
      <c r="AU4691" s="1">
        <v>44353.982777777775</v>
      </c>
      <c r="AV4691" t="s">
        <v>71</v>
      </c>
      <c r="AW4691" t="s">
        <v>72</v>
      </c>
      <c r="AX4691" t="s">
        <v>73</v>
      </c>
    </row>
    <row r="4692" spans="1:50" x14ac:dyDescent="0.3">
      <c r="A4692" t="str">
        <f>"200959B0000"</f>
        <v>200959B0000</v>
      </c>
      <c r="B4692" t="str">
        <f>"200959B00002"</f>
        <v>200959B00002</v>
      </c>
      <c r="C4692" t="str">
        <f t="shared" si="239"/>
        <v>20</v>
      </c>
      <c r="D4692" t="s">
        <v>67</v>
      </c>
      <c r="E4692" t="str">
        <f t="shared" si="238"/>
        <v>021</v>
      </c>
      <c r="F4692" t="s">
        <v>4711</v>
      </c>
      <c r="G4692" t="str">
        <f>"0959"</f>
        <v>0959</v>
      </c>
      <c r="H4692" t="str">
        <f>"0000"</f>
        <v>0000</v>
      </c>
      <c r="I4692" t="s">
        <v>69</v>
      </c>
      <c r="J4692">
        <v>0</v>
      </c>
      <c r="K4692">
        <v>1</v>
      </c>
      <c r="L4692">
        <v>2</v>
      </c>
      <c r="M4692">
        <v>429</v>
      </c>
      <c r="N4692">
        <v>136</v>
      </c>
      <c r="O4692">
        <v>0</v>
      </c>
      <c r="P4692">
        <v>136</v>
      </c>
      <c r="Q4692">
        <v>11</v>
      </c>
      <c r="R4692">
        <v>60</v>
      </c>
      <c r="S4692">
        <v>3</v>
      </c>
      <c r="T4692">
        <v>13</v>
      </c>
      <c r="U4692">
        <v>3</v>
      </c>
      <c r="V4692">
        <v>5</v>
      </c>
      <c r="W4692">
        <v>1</v>
      </c>
      <c r="X4692">
        <v>37</v>
      </c>
      <c r="Y4692">
        <v>0</v>
      </c>
      <c r="Z4692">
        <v>0</v>
      </c>
      <c r="AA4692">
        <v>0</v>
      </c>
      <c r="AB4692">
        <v>0</v>
      </c>
      <c r="AD4692">
        <v>74</v>
      </c>
      <c r="AE4692" t="s">
        <v>77</v>
      </c>
      <c r="AF4692" t="s">
        <v>77</v>
      </c>
      <c r="AG4692" t="s">
        <v>77</v>
      </c>
      <c r="AI4692" t="s">
        <v>77</v>
      </c>
      <c r="AJ4692">
        <v>3</v>
      </c>
      <c r="AK4692">
        <v>136</v>
      </c>
      <c r="AL4692">
        <v>210</v>
      </c>
      <c r="AM4692">
        <v>521</v>
      </c>
      <c r="AN4692">
        <v>44</v>
      </c>
      <c r="AO4692" t="s">
        <v>78</v>
      </c>
      <c r="AP4692">
        <v>1</v>
      </c>
      <c r="AR4692" t="s">
        <v>4794</v>
      </c>
      <c r="AS4692" s="1">
        <v>44353.96875</v>
      </c>
      <c r="AT4692" s="1">
        <v>44353.975682870368</v>
      </c>
      <c r="AU4692" s="1">
        <v>44353.976689814815</v>
      </c>
      <c r="AV4692" t="s">
        <v>71</v>
      </c>
      <c r="AW4692" t="s">
        <v>72</v>
      </c>
      <c r="AX4692" t="s">
        <v>73</v>
      </c>
    </row>
    <row r="4693" spans="1:50" x14ac:dyDescent="0.3">
      <c r="A4693" t="str">
        <f>"200959C0100"</f>
        <v>200959C0100</v>
      </c>
      <c r="B4693" t="str">
        <f>"200959C01002"</f>
        <v>200959C01002</v>
      </c>
      <c r="C4693" t="str">
        <f t="shared" si="239"/>
        <v>20</v>
      </c>
      <c r="D4693" t="s">
        <v>67</v>
      </c>
      <c r="E4693" t="str">
        <f t="shared" si="238"/>
        <v>021</v>
      </c>
      <c r="F4693" t="s">
        <v>4711</v>
      </c>
      <c r="G4693" t="str">
        <f>"0959"</f>
        <v>0959</v>
      </c>
      <c r="H4693" t="str">
        <f>"0001"</f>
        <v>0001</v>
      </c>
      <c r="I4693" t="s">
        <v>75</v>
      </c>
      <c r="J4693">
        <v>0</v>
      </c>
      <c r="K4693">
        <v>1</v>
      </c>
      <c r="L4693">
        <v>2</v>
      </c>
      <c r="M4693">
        <v>438</v>
      </c>
      <c r="N4693">
        <v>126</v>
      </c>
      <c r="O4693">
        <v>1</v>
      </c>
      <c r="P4693">
        <v>127</v>
      </c>
      <c r="Q4693">
        <v>10</v>
      </c>
      <c r="R4693">
        <v>45</v>
      </c>
      <c r="S4693">
        <v>2</v>
      </c>
      <c r="T4693">
        <v>10</v>
      </c>
      <c r="U4693">
        <v>5</v>
      </c>
      <c r="V4693">
        <v>2</v>
      </c>
      <c r="W4693" t="s">
        <v>77</v>
      </c>
      <c r="X4693">
        <v>42</v>
      </c>
      <c r="Y4693" t="s">
        <v>77</v>
      </c>
      <c r="Z4693" t="s">
        <v>77</v>
      </c>
      <c r="AA4693">
        <v>2</v>
      </c>
      <c r="AB4693">
        <v>1</v>
      </c>
      <c r="AD4693">
        <v>1</v>
      </c>
      <c r="AE4693">
        <v>1</v>
      </c>
      <c r="AF4693" t="s">
        <v>77</v>
      </c>
      <c r="AG4693" t="s">
        <v>77</v>
      </c>
      <c r="AI4693" t="s">
        <v>77</v>
      </c>
      <c r="AJ4693">
        <v>6</v>
      </c>
      <c r="AK4693">
        <v>127</v>
      </c>
      <c r="AL4693">
        <v>127</v>
      </c>
      <c r="AM4693">
        <v>521</v>
      </c>
      <c r="AN4693">
        <v>44</v>
      </c>
      <c r="AO4693" t="s">
        <v>78</v>
      </c>
      <c r="AP4693">
        <v>1</v>
      </c>
      <c r="AR4693" t="s">
        <v>4795</v>
      </c>
      <c r="AS4693" s="1">
        <v>44353.966666666667</v>
      </c>
      <c r="AT4693" s="1">
        <v>44353.969409722224</v>
      </c>
      <c r="AU4693" s="1">
        <v>44353.969942129632</v>
      </c>
      <c r="AV4693" t="s">
        <v>71</v>
      </c>
      <c r="AW4693" t="s">
        <v>72</v>
      </c>
      <c r="AX4693" t="s">
        <v>73</v>
      </c>
    </row>
    <row r="4694" spans="1:50" x14ac:dyDescent="0.3">
      <c r="A4694" t="str">
        <f>"200959C0200"</f>
        <v>200959C0200</v>
      </c>
      <c r="B4694" t="str">
        <f>"200959C02002"</f>
        <v>200959C02002</v>
      </c>
      <c r="C4694" t="str">
        <f t="shared" si="239"/>
        <v>20</v>
      </c>
      <c r="D4694" t="s">
        <v>67</v>
      </c>
      <c r="E4694" t="str">
        <f t="shared" si="238"/>
        <v>021</v>
      </c>
      <c r="F4694" t="s">
        <v>4711</v>
      </c>
      <c r="G4694" t="str">
        <f>"0959"</f>
        <v>0959</v>
      </c>
      <c r="H4694" t="str">
        <f>"0002"</f>
        <v>0002</v>
      </c>
      <c r="I4694" t="s">
        <v>75</v>
      </c>
      <c r="J4694">
        <v>0</v>
      </c>
      <c r="K4694">
        <v>1</v>
      </c>
      <c r="L4694">
        <v>2</v>
      </c>
      <c r="M4694">
        <v>447</v>
      </c>
      <c r="N4694">
        <v>118</v>
      </c>
      <c r="O4694">
        <v>1</v>
      </c>
      <c r="P4694">
        <v>118</v>
      </c>
      <c r="Q4694">
        <v>9</v>
      </c>
      <c r="R4694">
        <v>37</v>
      </c>
      <c r="S4694">
        <v>3</v>
      </c>
      <c r="T4694">
        <v>11</v>
      </c>
      <c r="U4694">
        <v>1</v>
      </c>
      <c r="V4694">
        <v>3</v>
      </c>
      <c r="W4694">
        <v>1</v>
      </c>
      <c r="X4694">
        <v>41</v>
      </c>
      <c r="Y4694">
        <v>0</v>
      </c>
      <c r="Z4694">
        <v>0</v>
      </c>
      <c r="AA4694">
        <v>4</v>
      </c>
      <c r="AB4694">
        <v>0</v>
      </c>
      <c r="AD4694">
        <v>1</v>
      </c>
      <c r="AE4694">
        <v>0</v>
      </c>
      <c r="AF4694">
        <v>0</v>
      </c>
      <c r="AG4694">
        <v>0</v>
      </c>
      <c r="AI4694">
        <v>0</v>
      </c>
      <c r="AJ4694">
        <v>7</v>
      </c>
      <c r="AK4694">
        <v>118</v>
      </c>
      <c r="AL4694">
        <v>118</v>
      </c>
      <c r="AM4694">
        <v>521</v>
      </c>
      <c r="AN4694">
        <v>44</v>
      </c>
      <c r="AP4694">
        <v>1</v>
      </c>
      <c r="AR4694" t="s">
        <v>4796</v>
      </c>
      <c r="AS4694" s="1">
        <v>44353.970138888886</v>
      </c>
      <c r="AT4694" s="1">
        <v>44353.984293981484</v>
      </c>
      <c r="AU4694" s="1">
        <v>44353.985185185185</v>
      </c>
      <c r="AV4694" t="s">
        <v>71</v>
      </c>
      <c r="AW4694" t="s">
        <v>72</v>
      </c>
      <c r="AX4694" t="s">
        <v>73</v>
      </c>
    </row>
    <row r="4695" spans="1:50" x14ac:dyDescent="0.3">
      <c r="A4695" t="str">
        <f>"200960B0000"</f>
        <v>200960B0000</v>
      </c>
      <c r="B4695" t="str">
        <f>"200960B00002"</f>
        <v>200960B00002</v>
      </c>
      <c r="C4695" t="str">
        <f t="shared" si="239"/>
        <v>20</v>
      </c>
      <c r="D4695" t="s">
        <v>67</v>
      </c>
      <c r="E4695" t="str">
        <f t="shared" si="238"/>
        <v>021</v>
      </c>
      <c r="F4695" t="s">
        <v>4711</v>
      </c>
      <c r="G4695" t="str">
        <f>"0960"</f>
        <v>0960</v>
      </c>
      <c r="H4695" t="str">
        <f>"0000"</f>
        <v>0000</v>
      </c>
      <c r="I4695" t="s">
        <v>69</v>
      </c>
      <c r="J4695">
        <v>0</v>
      </c>
      <c r="K4695">
        <v>1</v>
      </c>
      <c r="L4695">
        <v>2</v>
      </c>
      <c r="M4695">
        <v>362</v>
      </c>
      <c r="N4695">
        <v>305</v>
      </c>
      <c r="O4695">
        <v>0</v>
      </c>
      <c r="P4695">
        <v>305</v>
      </c>
      <c r="Q4695">
        <v>96</v>
      </c>
      <c r="R4695">
        <v>35</v>
      </c>
      <c r="S4695">
        <v>4</v>
      </c>
      <c r="T4695">
        <v>7</v>
      </c>
      <c r="U4695">
        <v>14</v>
      </c>
      <c r="V4695">
        <v>6</v>
      </c>
      <c r="W4695">
        <v>2</v>
      </c>
      <c r="X4695">
        <v>120</v>
      </c>
      <c r="Y4695">
        <v>0</v>
      </c>
      <c r="Z4695">
        <v>5</v>
      </c>
      <c r="AA4695">
        <v>4</v>
      </c>
      <c r="AB4695">
        <v>4</v>
      </c>
      <c r="AD4695">
        <v>1</v>
      </c>
      <c r="AE4695">
        <v>0</v>
      </c>
      <c r="AF4695">
        <v>0</v>
      </c>
      <c r="AG4695">
        <v>0</v>
      </c>
      <c r="AI4695" t="s">
        <v>77</v>
      </c>
      <c r="AJ4695">
        <v>7</v>
      </c>
      <c r="AK4695">
        <v>305</v>
      </c>
      <c r="AL4695">
        <v>305</v>
      </c>
      <c r="AM4695">
        <v>623</v>
      </c>
      <c r="AN4695">
        <v>44</v>
      </c>
      <c r="AO4695" t="s">
        <v>78</v>
      </c>
      <c r="AP4695">
        <v>1</v>
      </c>
      <c r="AR4695" t="s">
        <v>4797</v>
      </c>
      <c r="AS4695" s="1">
        <v>44354.020833333336</v>
      </c>
      <c r="AT4695" s="1">
        <v>44354.055428240739</v>
      </c>
      <c r="AU4695" s="1">
        <v>44354.055763888886</v>
      </c>
      <c r="AV4695" t="s">
        <v>71</v>
      </c>
      <c r="AW4695" t="s">
        <v>72</v>
      </c>
      <c r="AX4695" t="s">
        <v>73</v>
      </c>
    </row>
    <row r="4696" spans="1:50" x14ac:dyDescent="0.3">
      <c r="A4696" t="str">
        <f>"200960E0100"</f>
        <v>200960E0100</v>
      </c>
      <c r="B4696" t="str">
        <f>"200960E01002"</f>
        <v>200960E01002</v>
      </c>
      <c r="C4696" t="str">
        <f t="shared" si="239"/>
        <v>20</v>
      </c>
      <c r="D4696" t="s">
        <v>67</v>
      </c>
      <c r="E4696" t="str">
        <f t="shared" si="238"/>
        <v>021</v>
      </c>
      <c r="F4696" t="s">
        <v>4711</v>
      </c>
      <c r="G4696" t="str">
        <f>"0960"</f>
        <v>0960</v>
      </c>
      <c r="H4696" t="str">
        <f>"0001"</f>
        <v>0001</v>
      </c>
      <c r="I4696" t="s">
        <v>109</v>
      </c>
      <c r="J4696">
        <v>0</v>
      </c>
      <c r="K4696">
        <v>1</v>
      </c>
      <c r="L4696">
        <v>2</v>
      </c>
      <c r="M4696">
        <v>292</v>
      </c>
      <c r="N4696">
        <v>159</v>
      </c>
      <c r="O4696">
        <v>0</v>
      </c>
      <c r="P4696">
        <v>159</v>
      </c>
      <c r="Q4696">
        <v>12</v>
      </c>
      <c r="R4696">
        <v>47</v>
      </c>
      <c r="S4696">
        <v>14</v>
      </c>
      <c r="T4696">
        <v>7</v>
      </c>
      <c r="U4696">
        <v>6</v>
      </c>
      <c r="V4696">
        <v>7</v>
      </c>
      <c r="W4696">
        <v>0</v>
      </c>
      <c r="X4696">
        <v>56</v>
      </c>
      <c r="Y4696">
        <v>0</v>
      </c>
      <c r="Z4696">
        <v>1</v>
      </c>
      <c r="AA4696">
        <v>0</v>
      </c>
      <c r="AB4696">
        <v>1</v>
      </c>
      <c r="AD4696">
        <v>0</v>
      </c>
      <c r="AE4696">
        <v>0</v>
      </c>
      <c r="AF4696">
        <v>2</v>
      </c>
      <c r="AG4696">
        <v>0</v>
      </c>
      <c r="AI4696">
        <v>0</v>
      </c>
      <c r="AJ4696">
        <v>6</v>
      </c>
      <c r="AK4696">
        <v>159</v>
      </c>
      <c r="AL4696">
        <v>159</v>
      </c>
      <c r="AM4696">
        <v>407</v>
      </c>
      <c r="AN4696">
        <v>44</v>
      </c>
      <c r="AP4696">
        <v>1</v>
      </c>
      <c r="AR4696" t="s">
        <v>4798</v>
      </c>
      <c r="AS4696" s="1">
        <v>44354.021527777775</v>
      </c>
      <c r="AT4696" s="1">
        <v>44354.030462962961</v>
      </c>
      <c r="AU4696" s="1">
        <v>44354.030972222223</v>
      </c>
      <c r="AV4696" t="s">
        <v>71</v>
      </c>
      <c r="AW4696" t="s">
        <v>72</v>
      </c>
      <c r="AX4696" t="s">
        <v>73</v>
      </c>
    </row>
    <row r="4697" spans="1:50" x14ac:dyDescent="0.3">
      <c r="A4697" t="str">
        <f>"200961B0000"</f>
        <v>200961B0000</v>
      </c>
      <c r="B4697" t="str">
        <f>"200961B00002"</f>
        <v>200961B00002</v>
      </c>
      <c r="C4697" t="str">
        <f t="shared" si="239"/>
        <v>20</v>
      </c>
      <c r="D4697" t="s">
        <v>67</v>
      </c>
      <c r="E4697" t="str">
        <f t="shared" si="238"/>
        <v>021</v>
      </c>
      <c r="F4697" t="s">
        <v>4711</v>
      </c>
      <c r="G4697" t="str">
        <f>"0961"</f>
        <v>0961</v>
      </c>
      <c r="H4697" t="str">
        <f>"0000"</f>
        <v>0000</v>
      </c>
      <c r="I4697" t="s">
        <v>69</v>
      </c>
      <c r="J4697">
        <v>0</v>
      </c>
      <c r="K4697">
        <v>1</v>
      </c>
      <c r="L4697">
        <v>2</v>
      </c>
      <c r="M4697">
        <v>370</v>
      </c>
      <c r="N4697">
        <v>316</v>
      </c>
      <c r="O4697">
        <v>1</v>
      </c>
      <c r="P4697">
        <v>316</v>
      </c>
      <c r="Q4697">
        <v>82</v>
      </c>
      <c r="R4697">
        <v>83</v>
      </c>
      <c r="S4697">
        <v>6</v>
      </c>
      <c r="T4697">
        <v>7</v>
      </c>
      <c r="U4697">
        <v>8</v>
      </c>
      <c r="V4697">
        <v>4</v>
      </c>
      <c r="W4697">
        <v>1</v>
      </c>
      <c r="X4697">
        <v>90</v>
      </c>
      <c r="Y4697">
        <v>4</v>
      </c>
      <c r="Z4697">
        <v>10</v>
      </c>
      <c r="AA4697">
        <v>6</v>
      </c>
      <c r="AB4697">
        <v>5</v>
      </c>
      <c r="AD4697">
        <v>1</v>
      </c>
      <c r="AE4697">
        <v>0</v>
      </c>
      <c r="AF4697">
        <v>0</v>
      </c>
      <c r="AG4697">
        <v>1</v>
      </c>
      <c r="AI4697">
        <v>0</v>
      </c>
      <c r="AJ4697">
        <v>8</v>
      </c>
      <c r="AK4697">
        <v>316</v>
      </c>
      <c r="AL4697">
        <v>316</v>
      </c>
      <c r="AM4697">
        <v>642</v>
      </c>
      <c r="AN4697">
        <v>44</v>
      </c>
      <c r="AP4697">
        <v>1</v>
      </c>
      <c r="AR4697" t="s">
        <v>4799</v>
      </c>
      <c r="AS4697" s="1">
        <v>44354.022222222222</v>
      </c>
      <c r="AT4697" s="1">
        <v>44354.030810185184</v>
      </c>
      <c r="AU4697" s="1">
        <v>44354.031331018516</v>
      </c>
      <c r="AV4697" t="s">
        <v>71</v>
      </c>
      <c r="AW4697" t="s">
        <v>72</v>
      </c>
      <c r="AX4697" t="s">
        <v>73</v>
      </c>
    </row>
    <row r="4698" spans="1:50" x14ac:dyDescent="0.3">
      <c r="A4698" t="str">
        <f>"200961C0100"</f>
        <v>200961C0100</v>
      </c>
      <c r="B4698" t="str">
        <f>"200961C01002"</f>
        <v>200961C01002</v>
      </c>
      <c r="C4698" t="str">
        <f t="shared" si="239"/>
        <v>20</v>
      </c>
      <c r="D4698" t="s">
        <v>67</v>
      </c>
      <c r="E4698" t="str">
        <f t="shared" si="238"/>
        <v>021</v>
      </c>
      <c r="F4698" t="s">
        <v>4711</v>
      </c>
      <c r="G4698" t="str">
        <f>"0961"</f>
        <v>0961</v>
      </c>
      <c r="H4698" t="str">
        <f>"0001"</f>
        <v>0001</v>
      </c>
      <c r="I4698" t="s">
        <v>75</v>
      </c>
      <c r="J4698">
        <v>0</v>
      </c>
      <c r="K4698">
        <v>1</v>
      </c>
      <c r="L4698">
        <v>2</v>
      </c>
      <c r="M4698">
        <v>410</v>
      </c>
      <c r="N4698">
        <v>275</v>
      </c>
      <c r="O4698">
        <v>0</v>
      </c>
      <c r="P4698">
        <v>275</v>
      </c>
      <c r="Q4698">
        <v>78</v>
      </c>
      <c r="R4698">
        <v>84</v>
      </c>
      <c r="S4698">
        <v>2</v>
      </c>
      <c r="T4698">
        <v>11</v>
      </c>
      <c r="U4698">
        <v>8</v>
      </c>
      <c r="V4698">
        <v>3</v>
      </c>
      <c r="W4698">
        <v>4</v>
      </c>
      <c r="X4698">
        <v>57</v>
      </c>
      <c r="Y4698">
        <v>1</v>
      </c>
      <c r="Z4698">
        <v>5</v>
      </c>
      <c r="AA4698">
        <v>4</v>
      </c>
      <c r="AB4698">
        <v>3</v>
      </c>
      <c r="AD4698">
        <v>1</v>
      </c>
      <c r="AE4698" t="s">
        <v>77</v>
      </c>
      <c r="AF4698" t="s">
        <v>77</v>
      </c>
      <c r="AG4698" t="s">
        <v>77</v>
      </c>
      <c r="AI4698" t="s">
        <v>77</v>
      </c>
      <c r="AJ4698">
        <v>14</v>
      </c>
      <c r="AK4698">
        <v>275</v>
      </c>
      <c r="AL4698">
        <v>275</v>
      </c>
      <c r="AM4698">
        <v>641</v>
      </c>
      <c r="AN4698">
        <v>44</v>
      </c>
      <c r="AO4698" t="s">
        <v>78</v>
      </c>
      <c r="AP4698">
        <v>1</v>
      </c>
      <c r="AR4698" t="s">
        <v>4800</v>
      </c>
      <c r="AS4698" s="1">
        <v>44354.022222222222</v>
      </c>
      <c r="AT4698" s="1">
        <v>44354.057708333334</v>
      </c>
      <c r="AU4698" s="1">
        <v>44354.058229166665</v>
      </c>
      <c r="AV4698" t="s">
        <v>71</v>
      </c>
      <c r="AW4698" t="s">
        <v>72</v>
      </c>
      <c r="AX4698" t="s">
        <v>73</v>
      </c>
    </row>
    <row r="4699" spans="1:50" x14ac:dyDescent="0.3">
      <c r="A4699" t="str">
        <f>"201249B0000"</f>
        <v>201249B0000</v>
      </c>
      <c r="B4699" t="str">
        <f>"201249B00002"</f>
        <v>201249B00002</v>
      </c>
      <c r="C4699" t="str">
        <f t="shared" si="239"/>
        <v>20</v>
      </c>
      <c r="D4699" t="s">
        <v>67</v>
      </c>
      <c r="E4699" t="str">
        <f t="shared" si="238"/>
        <v>021</v>
      </c>
      <c r="F4699" t="s">
        <v>4711</v>
      </c>
      <c r="G4699" t="str">
        <f>"1249"</f>
        <v>1249</v>
      </c>
      <c r="H4699" t="str">
        <f>"0000"</f>
        <v>0000</v>
      </c>
      <c r="I4699" t="s">
        <v>69</v>
      </c>
      <c r="J4699">
        <v>0</v>
      </c>
      <c r="K4699">
        <v>1</v>
      </c>
      <c r="L4699">
        <v>2</v>
      </c>
      <c r="M4699">
        <v>365</v>
      </c>
      <c r="N4699">
        <v>177</v>
      </c>
      <c r="O4699">
        <v>2</v>
      </c>
      <c r="P4699">
        <v>177</v>
      </c>
      <c r="Q4699">
        <v>7</v>
      </c>
      <c r="R4699">
        <v>57</v>
      </c>
      <c r="S4699">
        <v>6</v>
      </c>
      <c r="T4699">
        <v>0</v>
      </c>
      <c r="U4699">
        <v>6</v>
      </c>
      <c r="V4699">
        <v>0</v>
      </c>
      <c r="W4699">
        <v>2</v>
      </c>
      <c r="X4699">
        <v>87</v>
      </c>
      <c r="Y4699">
        <v>1</v>
      </c>
      <c r="Z4699">
        <v>2</v>
      </c>
      <c r="AA4699">
        <v>2</v>
      </c>
      <c r="AB4699">
        <v>2</v>
      </c>
      <c r="AD4699">
        <v>0</v>
      </c>
      <c r="AE4699">
        <v>1</v>
      </c>
      <c r="AF4699">
        <v>0</v>
      </c>
      <c r="AG4699">
        <v>0</v>
      </c>
      <c r="AI4699">
        <v>0</v>
      </c>
      <c r="AJ4699">
        <v>4</v>
      </c>
      <c r="AK4699">
        <v>177</v>
      </c>
      <c r="AL4699">
        <v>177</v>
      </c>
      <c r="AM4699">
        <v>498</v>
      </c>
      <c r="AN4699">
        <v>44</v>
      </c>
      <c r="AP4699">
        <v>1</v>
      </c>
      <c r="AR4699" t="s">
        <v>4801</v>
      </c>
      <c r="AS4699" s="1">
        <v>44354.383333333331</v>
      </c>
      <c r="AT4699" s="1">
        <v>44354.386550925927</v>
      </c>
      <c r="AU4699" s="1">
        <v>44354.387314814812</v>
      </c>
      <c r="AV4699" t="s">
        <v>71</v>
      </c>
      <c r="AW4699" t="s">
        <v>72</v>
      </c>
      <c r="AX4699" t="s">
        <v>73</v>
      </c>
    </row>
    <row r="4700" spans="1:50" x14ac:dyDescent="0.3">
      <c r="A4700" t="str">
        <f>"201249C0100"</f>
        <v>201249C0100</v>
      </c>
      <c r="B4700" t="str">
        <f>"201249C01002"</f>
        <v>201249C01002</v>
      </c>
      <c r="C4700" t="str">
        <f t="shared" si="239"/>
        <v>20</v>
      </c>
      <c r="D4700" t="s">
        <v>67</v>
      </c>
      <c r="E4700" t="str">
        <f t="shared" si="238"/>
        <v>021</v>
      </c>
      <c r="F4700" t="s">
        <v>4711</v>
      </c>
      <c r="G4700" t="str">
        <f>"1249"</f>
        <v>1249</v>
      </c>
      <c r="H4700" t="str">
        <f>"0001"</f>
        <v>0001</v>
      </c>
      <c r="I4700" t="s">
        <v>75</v>
      </c>
      <c r="J4700">
        <v>0</v>
      </c>
      <c r="K4700">
        <v>1</v>
      </c>
      <c r="L4700">
        <v>2</v>
      </c>
      <c r="M4700">
        <v>364</v>
      </c>
      <c r="N4700">
        <v>176</v>
      </c>
      <c r="O4700">
        <v>3</v>
      </c>
      <c r="P4700">
        <v>176</v>
      </c>
      <c r="Q4700">
        <v>8</v>
      </c>
      <c r="R4700">
        <v>54</v>
      </c>
      <c r="S4700">
        <v>4</v>
      </c>
      <c r="T4700">
        <v>0</v>
      </c>
      <c r="U4700">
        <v>12</v>
      </c>
      <c r="V4700">
        <v>1</v>
      </c>
      <c r="W4700">
        <v>1</v>
      </c>
      <c r="X4700">
        <v>81</v>
      </c>
      <c r="Y4700">
        <v>0</v>
      </c>
      <c r="Z4700">
        <v>2</v>
      </c>
      <c r="AA4700">
        <v>3</v>
      </c>
      <c r="AB4700">
        <v>0</v>
      </c>
      <c r="AD4700">
        <v>0</v>
      </c>
      <c r="AE4700">
        <v>0</v>
      </c>
      <c r="AF4700">
        <v>0</v>
      </c>
      <c r="AG4700">
        <v>0</v>
      </c>
      <c r="AI4700">
        <v>0</v>
      </c>
      <c r="AJ4700">
        <v>10</v>
      </c>
      <c r="AK4700">
        <v>176</v>
      </c>
      <c r="AL4700">
        <v>176</v>
      </c>
      <c r="AM4700">
        <v>497</v>
      </c>
      <c r="AN4700">
        <v>44</v>
      </c>
      <c r="AP4700">
        <v>1</v>
      </c>
      <c r="AR4700" t="s">
        <v>4802</v>
      </c>
      <c r="AS4700" s="1">
        <v>44354.384722222225</v>
      </c>
      <c r="AT4700" s="1">
        <v>44354.393379629626</v>
      </c>
      <c r="AU4700" s="1">
        <v>44354.393900462965</v>
      </c>
      <c r="AV4700" t="s">
        <v>71</v>
      </c>
      <c r="AW4700" t="s">
        <v>72</v>
      </c>
      <c r="AX4700" t="s">
        <v>73</v>
      </c>
    </row>
    <row r="4701" spans="1:50" x14ac:dyDescent="0.3">
      <c r="A4701" t="str">
        <f>"201249E0100"</f>
        <v>201249E0100</v>
      </c>
      <c r="B4701" t="str">
        <f>"201249E01002"</f>
        <v>201249E01002</v>
      </c>
      <c r="C4701" t="str">
        <f t="shared" si="239"/>
        <v>20</v>
      </c>
      <c r="D4701" t="s">
        <v>67</v>
      </c>
      <c r="E4701" t="str">
        <f t="shared" si="238"/>
        <v>021</v>
      </c>
      <c r="F4701" t="s">
        <v>4711</v>
      </c>
      <c r="G4701" t="str">
        <f>"1249"</f>
        <v>1249</v>
      </c>
      <c r="H4701" t="str">
        <f>"0001"</f>
        <v>0001</v>
      </c>
      <c r="I4701" t="s">
        <v>109</v>
      </c>
      <c r="J4701">
        <v>0</v>
      </c>
      <c r="K4701">
        <v>1</v>
      </c>
      <c r="L4701">
        <v>2</v>
      </c>
      <c r="M4701">
        <v>462</v>
      </c>
      <c r="N4701" t="s">
        <v>80</v>
      </c>
      <c r="O4701" t="s">
        <v>80</v>
      </c>
      <c r="P4701" t="s">
        <v>80</v>
      </c>
      <c r="Q4701">
        <v>5</v>
      </c>
      <c r="R4701">
        <v>86</v>
      </c>
      <c r="S4701">
        <v>4</v>
      </c>
      <c r="T4701">
        <v>2</v>
      </c>
      <c r="U4701">
        <v>5</v>
      </c>
      <c r="V4701">
        <v>1</v>
      </c>
      <c r="W4701">
        <v>0</v>
      </c>
      <c r="X4701">
        <v>32</v>
      </c>
      <c r="Y4701">
        <v>1</v>
      </c>
      <c r="Z4701">
        <v>1</v>
      </c>
      <c r="AA4701">
        <v>6</v>
      </c>
      <c r="AB4701">
        <v>1</v>
      </c>
      <c r="AD4701">
        <v>1</v>
      </c>
      <c r="AE4701">
        <v>2</v>
      </c>
      <c r="AF4701" t="s">
        <v>77</v>
      </c>
      <c r="AG4701">
        <v>1</v>
      </c>
      <c r="AI4701" t="s">
        <v>77</v>
      </c>
      <c r="AJ4701">
        <v>12</v>
      </c>
      <c r="AK4701">
        <v>160</v>
      </c>
      <c r="AL4701">
        <v>160</v>
      </c>
      <c r="AM4701">
        <v>578</v>
      </c>
      <c r="AN4701">
        <v>44</v>
      </c>
      <c r="AO4701" t="s">
        <v>78</v>
      </c>
      <c r="AP4701">
        <v>1</v>
      </c>
      <c r="AR4701" t="s">
        <v>4803</v>
      </c>
      <c r="AS4701" s="1">
        <v>44354.384027777778</v>
      </c>
      <c r="AT4701" s="1">
        <v>44354.394143518519</v>
      </c>
      <c r="AU4701" s="1">
        <v>44354.394641203704</v>
      </c>
      <c r="AV4701" t="s">
        <v>71</v>
      </c>
      <c r="AW4701" t="s">
        <v>72</v>
      </c>
      <c r="AX4701" t="s">
        <v>73</v>
      </c>
    </row>
    <row r="4702" spans="1:50" x14ac:dyDescent="0.3">
      <c r="A4702" t="str">
        <f>"201249E0101"</f>
        <v>201249E0101</v>
      </c>
      <c r="B4702" t="str">
        <f>"201249E01012"</f>
        <v>201249E01012</v>
      </c>
      <c r="C4702" t="str">
        <f t="shared" si="239"/>
        <v>20</v>
      </c>
      <c r="D4702" t="s">
        <v>67</v>
      </c>
      <c r="E4702" t="str">
        <f t="shared" si="238"/>
        <v>021</v>
      </c>
      <c r="F4702" t="s">
        <v>4711</v>
      </c>
      <c r="G4702" t="str">
        <f>"1249"</f>
        <v>1249</v>
      </c>
      <c r="H4702" t="str">
        <f>"0001"</f>
        <v>0001</v>
      </c>
      <c r="I4702" t="s">
        <v>109</v>
      </c>
      <c r="J4702">
        <v>1</v>
      </c>
      <c r="K4702">
        <v>1</v>
      </c>
      <c r="L4702">
        <v>2</v>
      </c>
      <c r="M4702">
        <v>426</v>
      </c>
      <c r="N4702">
        <v>195</v>
      </c>
      <c r="O4702">
        <v>0</v>
      </c>
      <c r="P4702">
        <v>195</v>
      </c>
      <c r="Q4702">
        <v>1</v>
      </c>
      <c r="R4702">
        <v>116</v>
      </c>
      <c r="S4702">
        <v>1</v>
      </c>
      <c r="T4702">
        <v>2</v>
      </c>
      <c r="U4702">
        <v>5</v>
      </c>
      <c r="V4702">
        <v>0</v>
      </c>
      <c r="W4702">
        <v>1</v>
      </c>
      <c r="X4702">
        <v>44</v>
      </c>
      <c r="Y4702">
        <v>0</v>
      </c>
      <c r="Z4702">
        <v>1</v>
      </c>
      <c r="AA4702">
        <v>12</v>
      </c>
      <c r="AB4702">
        <v>2</v>
      </c>
      <c r="AD4702">
        <v>0</v>
      </c>
      <c r="AE4702">
        <v>0</v>
      </c>
      <c r="AF4702">
        <v>0</v>
      </c>
      <c r="AG4702">
        <v>0</v>
      </c>
      <c r="AI4702">
        <v>0</v>
      </c>
      <c r="AJ4702">
        <v>10</v>
      </c>
      <c r="AK4702">
        <v>195</v>
      </c>
      <c r="AL4702">
        <v>195</v>
      </c>
      <c r="AM4702">
        <v>577</v>
      </c>
      <c r="AN4702">
        <v>44</v>
      </c>
      <c r="AP4702">
        <v>1</v>
      </c>
      <c r="AR4702" t="s">
        <v>4804</v>
      </c>
      <c r="AS4702" s="1">
        <v>44354.384722222225</v>
      </c>
      <c r="AT4702" s="1">
        <v>44354.387442129628</v>
      </c>
      <c r="AU4702" s="1">
        <v>44354.388148148151</v>
      </c>
      <c r="AV4702" t="s">
        <v>71</v>
      </c>
      <c r="AW4702" t="s">
        <v>72</v>
      </c>
      <c r="AX4702" t="s">
        <v>73</v>
      </c>
    </row>
    <row r="4703" spans="1:50" x14ac:dyDescent="0.3">
      <c r="A4703" t="str">
        <f>"201249E0200"</f>
        <v>201249E0200</v>
      </c>
      <c r="B4703" t="str">
        <f>"201249E02002"</f>
        <v>201249E02002</v>
      </c>
      <c r="C4703" t="str">
        <f t="shared" si="239"/>
        <v>20</v>
      </c>
      <c r="D4703" t="s">
        <v>67</v>
      </c>
      <c r="E4703" t="str">
        <f t="shared" si="238"/>
        <v>021</v>
      </c>
      <c r="F4703" t="s">
        <v>4711</v>
      </c>
      <c r="G4703" t="str">
        <f>"1249"</f>
        <v>1249</v>
      </c>
      <c r="H4703" t="str">
        <f>"0002"</f>
        <v>0002</v>
      </c>
      <c r="I4703" t="s">
        <v>109</v>
      </c>
      <c r="J4703">
        <v>0</v>
      </c>
      <c r="K4703">
        <v>1</v>
      </c>
      <c r="L4703">
        <v>2</v>
      </c>
      <c r="M4703">
        <v>531</v>
      </c>
      <c r="N4703">
        <v>208</v>
      </c>
      <c r="O4703">
        <v>0</v>
      </c>
      <c r="P4703">
        <v>280</v>
      </c>
      <c r="Q4703">
        <v>5</v>
      </c>
      <c r="R4703">
        <v>73</v>
      </c>
      <c r="S4703">
        <v>9</v>
      </c>
      <c r="T4703">
        <v>0</v>
      </c>
      <c r="U4703">
        <v>15</v>
      </c>
      <c r="V4703">
        <v>1</v>
      </c>
      <c r="W4703">
        <v>0</v>
      </c>
      <c r="X4703">
        <v>76</v>
      </c>
      <c r="Y4703">
        <v>2</v>
      </c>
      <c r="Z4703">
        <v>9</v>
      </c>
      <c r="AA4703">
        <v>3</v>
      </c>
      <c r="AB4703">
        <v>0</v>
      </c>
      <c r="AD4703">
        <v>0</v>
      </c>
      <c r="AE4703">
        <v>0</v>
      </c>
      <c r="AF4703">
        <v>0</v>
      </c>
      <c r="AG4703">
        <v>0</v>
      </c>
      <c r="AI4703">
        <v>0</v>
      </c>
      <c r="AJ4703">
        <v>15</v>
      </c>
      <c r="AK4703">
        <v>208</v>
      </c>
      <c r="AL4703">
        <v>208</v>
      </c>
      <c r="AM4703">
        <v>695</v>
      </c>
      <c r="AN4703">
        <v>44</v>
      </c>
      <c r="AP4703">
        <v>1</v>
      </c>
      <c r="AR4703" t="s">
        <v>4805</v>
      </c>
      <c r="AS4703" s="1">
        <v>44354.384027777778</v>
      </c>
      <c r="AT4703" s="1">
        <v>44354.393530092595</v>
      </c>
      <c r="AU4703" s="1">
        <v>44354.395266203705</v>
      </c>
      <c r="AV4703" t="s">
        <v>71</v>
      </c>
      <c r="AW4703" t="s">
        <v>72</v>
      </c>
      <c r="AX4703" t="s">
        <v>73</v>
      </c>
    </row>
    <row r="4704" spans="1:50" x14ac:dyDescent="0.3">
      <c r="A4704" t="str">
        <f>"201250B0000"</f>
        <v>201250B0000</v>
      </c>
      <c r="B4704" t="str">
        <f>"201250B00002"</f>
        <v>201250B00002</v>
      </c>
      <c r="C4704" t="str">
        <f t="shared" si="239"/>
        <v>20</v>
      </c>
      <c r="D4704" t="s">
        <v>67</v>
      </c>
      <c r="E4704" t="str">
        <f t="shared" si="238"/>
        <v>021</v>
      </c>
      <c r="F4704" t="s">
        <v>4711</v>
      </c>
      <c r="G4704" t="str">
        <f>"1250"</f>
        <v>1250</v>
      </c>
      <c r="H4704" t="str">
        <f>"0000"</f>
        <v>0000</v>
      </c>
      <c r="I4704" t="s">
        <v>69</v>
      </c>
      <c r="J4704">
        <v>0</v>
      </c>
      <c r="K4704">
        <v>1</v>
      </c>
      <c r="L4704">
        <v>2</v>
      </c>
      <c r="M4704">
        <v>272</v>
      </c>
      <c r="N4704">
        <v>184</v>
      </c>
      <c r="O4704">
        <v>0</v>
      </c>
      <c r="P4704">
        <v>184</v>
      </c>
      <c r="Q4704">
        <v>7</v>
      </c>
      <c r="R4704">
        <v>77</v>
      </c>
      <c r="S4704">
        <v>14</v>
      </c>
      <c r="T4704">
        <v>6</v>
      </c>
      <c r="U4704">
        <v>7</v>
      </c>
      <c r="V4704">
        <v>3</v>
      </c>
      <c r="W4704">
        <v>0</v>
      </c>
      <c r="X4704">
        <v>57</v>
      </c>
      <c r="Y4704">
        <v>1</v>
      </c>
      <c r="Z4704">
        <v>2</v>
      </c>
      <c r="AA4704">
        <v>1</v>
      </c>
      <c r="AB4704">
        <v>1</v>
      </c>
      <c r="AD4704">
        <v>0</v>
      </c>
      <c r="AE4704">
        <v>2</v>
      </c>
      <c r="AF4704">
        <v>0</v>
      </c>
      <c r="AG4704">
        <v>1</v>
      </c>
      <c r="AI4704">
        <v>0</v>
      </c>
      <c r="AJ4704">
        <v>5</v>
      </c>
      <c r="AK4704">
        <v>184</v>
      </c>
      <c r="AL4704">
        <v>184</v>
      </c>
      <c r="AM4704">
        <v>412</v>
      </c>
      <c r="AN4704">
        <v>44</v>
      </c>
      <c r="AP4704">
        <v>1</v>
      </c>
      <c r="AR4704" t="s">
        <v>4806</v>
      </c>
      <c r="AS4704" s="1">
        <v>44354.404166666667</v>
      </c>
      <c r="AT4704" s="1">
        <v>44354.560023148151</v>
      </c>
      <c r="AU4704" s="1">
        <v>44354.560659722221</v>
      </c>
      <c r="AV4704" t="s">
        <v>71</v>
      </c>
      <c r="AW4704" t="s">
        <v>72</v>
      </c>
      <c r="AX4704" t="s">
        <v>73</v>
      </c>
    </row>
    <row r="4705" spans="1:50" x14ac:dyDescent="0.3">
      <c r="A4705" t="str">
        <f>"201250E0100"</f>
        <v>201250E0100</v>
      </c>
      <c r="B4705" t="str">
        <f>"201250E01002"</f>
        <v>201250E01002</v>
      </c>
      <c r="C4705" t="str">
        <f t="shared" si="239"/>
        <v>20</v>
      </c>
      <c r="D4705" t="s">
        <v>67</v>
      </c>
      <c r="E4705" t="str">
        <f t="shared" si="238"/>
        <v>021</v>
      </c>
      <c r="F4705" t="s">
        <v>4711</v>
      </c>
      <c r="G4705" t="str">
        <f>"1250"</f>
        <v>1250</v>
      </c>
      <c r="H4705" t="str">
        <f>"0001"</f>
        <v>0001</v>
      </c>
      <c r="I4705" t="s">
        <v>109</v>
      </c>
      <c r="J4705">
        <v>0</v>
      </c>
      <c r="K4705">
        <v>1</v>
      </c>
      <c r="L4705">
        <v>2</v>
      </c>
      <c r="M4705">
        <v>440</v>
      </c>
      <c r="N4705">
        <v>239</v>
      </c>
      <c r="O4705">
        <v>0</v>
      </c>
      <c r="P4705">
        <v>0</v>
      </c>
      <c r="Q4705">
        <v>2</v>
      </c>
      <c r="R4705">
        <v>61</v>
      </c>
      <c r="S4705">
        <v>15</v>
      </c>
      <c r="T4705">
        <v>7</v>
      </c>
      <c r="U4705">
        <v>30</v>
      </c>
      <c r="V4705">
        <v>6</v>
      </c>
      <c r="W4705">
        <v>2</v>
      </c>
      <c r="X4705">
        <v>81</v>
      </c>
      <c r="Y4705">
        <v>1</v>
      </c>
      <c r="Z4705">
        <v>3</v>
      </c>
      <c r="AA4705">
        <v>11</v>
      </c>
      <c r="AB4705">
        <v>1</v>
      </c>
      <c r="AD4705">
        <v>1</v>
      </c>
      <c r="AE4705" t="s">
        <v>77</v>
      </c>
      <c r="AF4705" t="s">
        <v>77</v>
      </c>
      <c r="AG4705" t="s">
        <v>77</v>
      </c>
      <c r="AI4705" t="s">
        <v>77</v>
      </c>
      <c r="AJ4705" t="s">
        <v>77</v>
      </c>
      <c r="AK4705">
        <v>239</v>
      </c>
      <c r="AL4705">
        <v>221</v>
      </c>
      <c r="AM4705">
        <v>636</v>
      </c>
      <c r="AN4705">
        <v>44</v>
      </c>
      <c r="AO4705" t="s">
        <v>78</v>
      </c>
      <c r="AP4705">
        <v>1</v>
      </c>
      <c r="AR4705" t="s">
        <v>4807</v>
      </c>
      <c r="AS4705" s="1">
        <v>44354.404166666667</v>
      </c>
      <c r="AT4705" s="1">
        <v>44354.561296296299</v>
      </c>
      <c r="AU4705" s="1">
        <v>44354.561712962961</v>
      </c>
      <c r="AV4705" t="s">
        <v>71</v>
      </c>
      <c r="AW4705" t="s">
        <v>72</v>
      </c>
      <c r="AX4705" t="s">
        <v>73</v>
      </c>
    </row>
    <row r="4706" spans="1:50" x14ac:dyDescent="0.3">
      <c r="A4706" t="str">
        <f>"201250E0101"</f>
        <v>201250E0101</v>
      </c>
      <c r="B4706" t="str">
        <f>"201250E01012"</f>
        <v>201250E01012</v>
      </c>
      <c r="C4706" t="str">
        <f t="shared" si="239"/>
        <v>20</v>
      </c>
      <c r="D4706" t="s">
        <v>67</v>
      </c>
      <c r="E4706" t="str">
        <f t="shared" si="238"/>
        <v>021</v>
      </c>
      <c r="F4706" t="s">
        <v>4711</v>
      </c>
      <c r="G4706" t="str">
        <f>"1250"</f>
        <v>1250</v>
      </c>
      <c r="H4706" t="str">
        <f>"0001"</f>
        <v>0001</v>
      </c>
      <c r="I4706" t="s">
        <v>109</v>
      </c>
      <c r="J4706">
        <v>1</v>
      </c>
      <c r="K4706">
        <v>1</v>
      </c>
      <c r="L4706">
        <v>2</v>
      </c>
      <c r="M4706">
        <v>471</v>
      </c>
      <c r="N4706">
        <v>208</v>
      </c>
      <c r="O4706">
        <v>0</v>
      </c>
      <c r="P4706">
        <v>208</v>
      </c>
      <c r="Q4706">
        <v>6</v>
      </c>
      <c r="R4706">
        <v>50</v>
      </c>
      <c r="S4706">
        <v>8</v>
      </c>
      <c r="T4706">
        <v>4</v>
      </c>
      <c r="U4706">
        <v>20</v>
      </c>
      <c r="V4706">
        <v>1</v>
      </c>
      <c r="W4706">
        <v>1</v>
      </c>
      <c r="X4706">
        <v>87</v>
      </c>
      <c r="Y4706">
        <v>0</v>
      </c>
      <c r="Z4706">
        <v>4</v>
      </c>
      <c r="AA4706">
        <v>5</v>
      </c>
      <c r="AB4706">
        <v>0</v>
      </c>
      <c r="AD4706">
        <v>0</v>
      </c>
      <c r="AE4706">
        <v>0</v>
      </c>
      <c r="AF4706">
        <v>0</v>
      </c>
      <c r="AG4706">
        <v>1</v>
      </c>
      <c r="AI4706">
        <v>0</v>
      </c>
      <c r="AJ4706">
        <v>21</v>
      </c>
      <c r="AK4706">
        <v>208</v>
      </c>
      <c r="AL4706">
        <v>208</v>
      </c>
      <c r="AM4706">
        <v>635</v>
      </c>
      <c r="AN4706">
        <v>44</v>
      </c>
      <c r="AP4706">
        <v>1</v>
      </c>
      <c r="AR4706" t="s">
        <v>4808</v>
      </c>
      <c r="AS4706" s="1">
        <v>44354.401388888888</v>
      </c>
      <c r="AT4706" s="1">
        <v>44354.408171296294</v>
      </c>
      <c r="AU4706" s="1">
        <v>44354.409328703703</v>
      </c>
      <c r="AV4706" t="s">
        <v>71</v>
      </c>
      <c r="AW4706" t="s">
        <v>72</v>
      </c>
      <c r="AX4706" t="s">
        <v>73</v>
      </c>
    </row>
    <row r="4707" spans="1:50" x14ac:dyDescent="0.3">
      <c r="A4707" t="str">
        <f>"201250E0200"</f>
        <v>201250E0200</v>
      </c>
      <c r="B4707" t="str">
        <f>"201250E02002"</f>
        <v>201250E02002</v>
      </c>
      <c r="C4707" t="str">
        <f t="shared" si="239"/>
        <v>20</v>
      </c>
      <c r="D4707" t="s">
        <v>67</v>
      </c>
      <c r="E4707" t="str">
        <f t="shared" si="238"/>
        <v>021</v>
      </c>
      <c r="F4707" t="s">
        <v>4711</v>
      </c>
      <c r="G4707" t="str">
        <f>"1250"</f>
        <v>1250</v>
      </c>
      <c r="H4707" t="str">
        <f>"0002"</f>
        <v>0002</v>
      </c>
      <c r="I4707" t="s">
        <v>109</v>
      </c>
      <c r="J4707">
        <v>0</v>
      </c>
      <c r="K4707">
        <v>1</v>
      </c>
      <c r="L4707">
        <v>2</v>
      </c>
      <c r="M4707">
        <v>543</v>
      </c>
      <c r="N4707">
        <v>175</v>
      </c>
      <c r="O4707">
        <v>4</v>
      </c>
      <c r="P4707" t="s">
        <v>99</v>
      </c>
      <c r="Q4707">
        <v>12</v>
      </c>
      <c r="R4707">
        <v>102</v>
      </c>
      <c r="S4707">
        <v>3</v>
      </c>
      <c r="T4707">
        <v>0</v>
      </c>
      <c r="U4707">
        <v>6</v>
      </c>
      <c r="V4707">
        <v>2</v>
      </c>
      <c r="W4707">
        <v>1</v>
      </c>
      <c r="X4707">
        <v>25</v>
      </c>
      <c r="Y4707">
        <v>1</v>
      </c>
      <c r="Z4707">
        <v>1</v>
      </c>
      <c r="AA4707">
        <v>3</v>
      </c>
      <c r="AB4707">
        <v>1</v>
      </c>
      <c r="AD4707">
        <v>4</v>
      </c>
      <c r="AE4707">
        <v>4</v>
      </c>
      <c r="AF4707">
        <v>0</v>
      </c>
      <c r="AG4707">
        <v>0</v>
      </c>
      <c r="AI4707">
        <v>0</v>
      </c>
      <c r="AJ4707" t="s">
        <v>99</v>
      </c>
      <c r="AK4707">
        <v>175</v>
      </c>
      <c r="AL4707">
        <v>165</v>
      </c>
      <c r="AM4707">
        <v>674</v>
      </c>
      <c r="AN4707">
        <v>44</v>
      </c>
      <c r="AO4707" t="s">
        <v>78</v>
      </c>
      <c r="AP4707">
        <v>1</v>
      </c>
      <c r="AR4707" s="2" t="s">
        <v>4809</v>
      </c>
      <c r="AS4707" s="1">
        <v>44354.400000000001</v>
      </c>
      <c r="AT4707" s="1">
        <v>44354.461967592593</v>
      </c>
      <c r="AU4707" s="1">
        <v>44354.465821759259</v>
      </c>
      <c r="AV4707" t="s">
        <v>71</v>
      </c>
      <c r="AW4707" t="s">
        <v>72</v>
      </c>
      <c r="AX4707" t="s">
        <v>73</v>
      </c>
    </row>
    <row r="4708" spans="1:50" x14ac:dyDescent="0.3">
      <c r="A4708" t="str">
        <f>"201282B0000"</f>
        <v>201282B0000</v>
      </c>
      <c r="B4708" t="str">
        <f>"201282B00002"</f>
        <v>201282B00002</v>
      </c>
      <c r="C4708" t="str">
        <f t="shared" si="239"/>
        <v>20</v>
      </c>
      <c r="D4708" t="s">
        <v>67</v>
      </c>
      <c r="E4708" t="str">
        <f t="shared" si="238"/>
        <v>021</v>
      </c>
      <c r="F4708" t="s">
        <v>4711</v>
      </c>
      <c r="G4708" t="str">
        <f>"1282"</f>
        <v>1282</v>
      </c>
      <c r="H4708" t="str">
        <f>"0000"</f>
        <v>0000</v>
      </c>
      <c r="I4708" t="s">
        <v>69</v>
      </c>
      <c r="J4708">
        <v>0</v>
      </c>
      <c r="K4708">
        <v>1</v>
      </c>
      <c r="L4708">
        <v>2</v>
      </c>
      <c r="M4708">
        <v>377</v>
      </c>
      <c r="N4708">
        <v>362</v>
      </c>
      <c r="O4708">
        <v>0</v>
      </c>
      <c r="P4708">
        <v>362</v>
      </c>
      <c r="Q4708">
        <v>108</v>
      </c>
      <c r="R4708">
        <v>100</v>
      </c>
      <c r="S4708">
        <v>15</v>
      </c>
      <c r="T4708">
        <v>6</v>
      </c>
      <c r="U4708">
        <v>9</v>
      </c>
      <c r="V4708">
        <v>2</v>
      </c>
      <c r="W4708">
        <v>1</v>
      </c>
      <c r="X4708">
        <v>79</v>
      </c>
      <c r="Y4708">
        <v>1</v>
      </c>
      <c r="Z4708">
        <v>8</v>
      </c>
      <c r="AA4708">
        <v>3</v>
      </c>
      <c r="AB4708">
        <v>1</v>
      </c>
      <c r="AD4708">
        <v>4</v>
      </c>
      <c r="AE4708">
        <v>4</v>
      </c>
      <c r="AF4708">
        <v>1</v>
      </c>
      <c r="AG4708">
        <v>4</v>
      </c>
      <c r="AI4708">
        <v>0</v>
      </c>
      <c r="AJ4708">
        <v>16</v>
      </c>
      <c r="AK4708">
        <v>362</v>
      </c>
      <c r="AL4708">
        <v>362</v>
      </c>
      <c r="AM4708">
        <v>695</v>
      </c>
      <c r="AN4708">
        <v>44</v>
      </c>
      <c r="AP4708">
        <v>1</v>
      </c>
      <c r="AR4708" t="s">
        <v>4810</v>
      </c>
      <c r="AS4708" s="1">
        <v>44354.124305555553</v>
      </c>
      <c r="AT4708" s="1">
        <v>44354.128287037034</v>
      </c>
      <c r="AU4708" s="1">
        <v>44354.128888888888</v>
      </c>
      <c r="AV4708" t="s">
        <v>71</v>
      </c>
      <c r="AW4708" t="s">
        <v>72</v>
      </c>
      <c r="AX4708" t="s">
        <v>73</v>
      </c>
    </row>
    <row r="4709" spans="1:50" x14ac:dyDescent="0.3">
      <c r="A4709" t="str">
        <f>"201353B0000"</f>
        <v>201353B0000</v>
      </c>
      <c r="B4709" t="str">
        <f>"201353B00002"</f>
        <v>201353B00002</v>
      </c>
      <c r="C4709" t="str">
        <f t="shared" si="239"/>
        <v>20</v>
      </c>
      <c r="D4709" t="s">
        <v>67</v>
      </c>
      <c r="E4709" t="str">
        <f t="shared" si="238"/>
        <v>021</v>
      </c>
      <c r="F4709" t="s">
        <v>4711</v>
      </c>
      <c r="G4709" t="str">
        <f>"1353"</f>
        <v>1353</v>
      </c>
      <c r="H4709" t="str">
        <f>"0000"</f>
        <v>0000</v>
      </c>
      <c r="I4709" t="s">
        <v>69</v>
      </c>
      <c r="J4709">
        <v>0</v>
      </c>
      <c r="K4709">
        <v>1</v>
      </c>
      <c r="L4709">
        <v>2</v>
      </c>
      <c r="M4709">
        <v>238</v>
      </c>
      <c r="N4709">
        <v>224</v>
      </c>
      <c r="O4709">
        <v>0</v>
      </c>
      <c r="P4709">
        <v>224</v>
      </c>
      <c r="Q4709">
        <v>71</v>
      </c>
      <c r="R4709">
        <v>34</v>
      </c>
      <c r="S4709">
        <v>5</v>
      </c>
      <c r="T4709">
        <v>38</v>
      </c>
      <c r="U4709">
        <v>6</v>
      </c>
      <c r="V4709">
        <v>2</v>
      </c>
      <c r="W4709">
        <v>1</v>
      </c>
      <c r="X4709">
        <v>46</v>
      </c>
      <c r="Y4709">
        <v>0</v>
      </c>
      <c r="Z4709">
        <v>0</v>
      </c>
      <c r="AA4709">
        <v>2</v>
      </c>
      <c r="AB4709">
        <v>2</v>
      </c>
      <c r="AD4709">
        <v>2</v>
      </c>
      <c r="AE4709">
        <v>2</v>
      </c>
      <c r="AF4709">
        <v>0</v>
      </c>
      <c r="AG4709">
        <v>0</v>
      </c>
      <c r="AI4709">
        <v>0</v>
      </c>
      <c r="AJ4709">
        <v>13</v>
      </c>
      <c r="AK4709">
        <v>224</v>
      </c>
      <c r="AL4709">
        <v>224</v>
      </c>
      <c r="AM4709">
        <v>418</v>
      </c>
      <c r="AN4709">
        <v>44</v>
      </c>
      <c r="AP4709">
        <v>1</v>
      </c>
      <c r="AR4709" t="s">
        <v>4811</v>
      </c>
      <c r="AS4709" s="1">
        <v>44354.019444444442</v>
      </c>
      <c r="AT4709" s="1">
        <v>44354.027824074074</v>
      </c>
      <c r="AU4709" s="1">
        <v>44354.028773148151</v>
      </c>
      <c r="AV4709" t="s">
        <v>71</v>
      </c>
      <c r="AW4709" t="s">
        <v>72</v>
      </c>
      <c r="AX4709" t="s">
        <v>73</v>
      </c>
    </row>
    <row r="4710" spans="1:50" x14ac:dyDescent="0.3">
      <c r="A4710" t="str">
        <f>"201353C0100"</f>
        <v>201353C0100</v>
      </c>
      <c r="B4710" t="str">
        <f>"201353C01002"</f>
        <v>201353C01002</v>
      </c>
      <c r="C4710" t="str">
        <f t="shared" si="239"/>
        <v>20</v>
      </c>
      <c r="D4710" t="s">
        <v>67</v>
      </c>
      <c r="E4710" t="str">
        <f t="shared" si="238"/>
        <v>021</v>
      </c>
      <c r="F4710" t="s">
        <v>4711</v>
      </c>
      <c r="G4710" t="str">
        <f>"1353"</f>
        <v>1353</v>
      </c>
      <c r="H4710" t="str">
        <f>"0001"</f>
        <v>0001</v>
      </c>
      <c r="I4710" t="s">
        <v>75</v>
      </c>
      <c r="J4710">
        <v>0</v>
      </c>
      <c r="K4710">
        <v>1</v>
      </c>
      <c r="L4710">
        <v>2</v>
      </c>
      <c r="M4710">
        <v>227</v>
      </c>
      <c r="N4710">
        <v>235</v>
      </c>
      <c r="O4710">
        <v>0</v>
      </c>
      <c r="P4710">
        <v>235</v>
      </c>
      <c r="Q4710">
        <v>76</v>
      </c>
      <c r="R4710">
        <v>24</v>
      </c>
      <c r="S4710">
        <v>3</v>
      </c>
      <c r="T4710">
        <v>22</v>
      </c>
      <c r="U4710">
        <v>9</v>
      </c>
      <c r="V4710">
        <v>1</v>
      </c>
      <c r="W4710">
        <v>1</v>
      </c>
      <c r="X4710">
        <v>62</v>
      </c>
      <c r="Y4710">
        <v>0</v>
      </c>
      <c r="Z4710">
        <v>6</v>
      </c>
      <c r="AA4710">
        <v>1</v>
      </c>
      <c r="AB4710">
        <v>2</v>
      </c>
      <c r="AD4710">
        <v>0</v>
      </c>
      <c r="AE4710">
        <v>0</v>
      </c>
      <c r="AF4710">
        <v>0</v>
      </c>
      <c r="AG4710">
        <v>0</v>
      </c>
      <c r="AI4710">
        <v>0</v>
      </c>
      <c r="AJ4710">
        <v>28</v>
      </c>
      <c r="AK4710">
        <v>235</v>
      </c>
      <c r="AL4710">
        <v>235</v>
      </c>
      <c r="AM4710">
        <v>418</v>
      </c>
      <c r="AN4710">
        <v>44</v>
      </c>
      <c r="AP4710">
        <v>1</v>
      </c>
      <c r="AR4710" s="2" t="s">
        <v>4812</v>
      </c>
      <c r="AS4710" s="1">
        <v>44354.020833333336</v>
      </c>
      <c r="AT4710" s="1">
        <v>44354.057395833333</v>
      </c>
      <c r="AU4710" s="1">
        <v>44354.057986111111</v>
      </c>
      <c r="AV4710" t="s">
        <v>71</v>
      </c>
      <c r="AW4710" t="s">
        <v>72</v>
      </c>
      <c r="AX4710" t="s">
        <v>73</v>
      </c>
    </row>
    <row r="4711" spans="1:50" x14ac:dyDescent="0.3">
      <c r="A4711" t="str">
        <f>"201417B0000"</f>
        <v>201417B0000</v>
      </c>
      <c r="B4711" t="str">
        <f>"201417B00002"</f>
        <v>201417B00002</v>
      </c>
      <c r="C4711" t="str">
        <f t="shared" si="239"/>
        <v>20</v>
      </c>
      <c r="D4711" t="s">
        <v>67</v>
      </c>
      <c r="E4711" t="str">
        <f t="shared" si="238"/>
        <v>021</v>
      </c>
      <c r="F4711" t="s">
        <v>4711</v>
      </c>
      <c r="G4711" t="str">
        <f>"1417"</f>
        <v>1417</v>
      </c>
      <c r="H4711" t="str">
        <f>"0000"</f>
        <v>0000</v>
      </c>
      <c r="I4711" t="s">
        <v>69</v>
      </c>
      <c r="J4711">
        <v>0</v>
      </c>
      <c r="K4711">
        <v>1</v>
      </c>
      <c r="L4711">
        <v>2</v>
      </c>
      <c r="M4711">
        <v>233</v>
      </c>
      <c r="N4711">
        <v>260</v>
      </c>
      <c r="O4711">
        <v>0</v>
      </c>
      <c r="P4711">
        <v>260</v>
      </c>
      <c r="Q4711">
        <v>96</v>
      </c>
      <c r="R4711">
        <v>44</v>
      </c>
      <c r="S4711">
        <v>3</v>
      </c>
      <c r="T4711">
        <v>2</v>
      </c>
      <c r="U4711">
        <v>6</v>
      </c>
      <c r="V4711">
        <v>2</v>
      </c>
      <c r="W4711">
        <v>3</v>
      </c>
      <c r="X4711">
        <v>74</v>
      </c>
      <c r="Y4711">
        <v>5</v>
      </c>
      <c r="Z4711">
        <v>6</v>
      </c>
      <c r="AA4711">
        <v>5</v>
      </c>
      <c r="AB4711">
        <v>1</v>
      </c>
      <c r="AD4711">
        <v>0</v>
      </c>
      <c r="AE4711">
        <v>4</v>
      </c>
      <c r="AF4711">
        <v>0</v>
      </c>
      <c r="AG4711">
        <v>0</v>
      </c>
      <c r="AI4711">
        <v>0</v>
      </c>
      <c r="AJ4711">
        <v>9</v>
      </c>
      <c r="AK4711">
        <v>260</v>
      </c>
      <c r="AL4711">
        <v>260</v>
      </c>
      <c r="AM4711">
        <v>449</v>
      </c>
      <c r="AN4711">
        <v>44</v>
      </c>
      <c r="AP4711">
        <v>1</v>
      </c>
      <c r="AR4711" t="s">
        <v>4813</v>
      </c>
      <c r="AS4711" s="1">
        <v>44354.023611111108</v>
      </c>
      <c r="AT4711" s="1">
        <v>44354.052291666667</v>
      </c>
      <c r="AU4711" s="1">
        <v>44354.053101851852</v>
      </c>
      <c r="AV4711" t="s">
        <v>71</v>
      </c>
      <c r="AW4711" t="s">
        <v>72</v>
      </c>
      <c r="AX4711" t="s">
        <v>73</v>
      </c>
    </row>
    <row r="4712" spans="1:50" x14ac:dyDescent="0.3">
      <c r="A4712" t="str">
        <f>"201417C0100"</f>
        <v>201417C0100</v>
      </c>
      <c r="B4712" t="str">
        <f>"201417C01002"</f>
        <v>201417C01002</v>
      </c>
      <c r="C4712" t="str">
        <f t="shared" si="239"/>
        <v>20</v>
      </c>
      <c r="D4712" t="s">
        <v>67</v>
      </c>
      <c r="E4712" t="str">
        <f t="shared" si="238"/>
        <v>021</v>
      </c>
      <c r="F4712" t="s">
        <v>4711</v>
      </c>
      <c r="G4712" t="str">
        <f>"1417"</f>
        <v>1417</v>
      </c>
      <c r="H4712" t="str">
        <f>"0001"</f>
        <v>0001</v>
      </c>
      <c r="I4712" t="s">
        <v>75</v>
      </c>
      <c r="J4712">
        <v>0</v>
      </c>
      <c r="K4712">
        <v>1</v>
      </c>
      <c r="L4712">
        <v>2</v>
      </c>
      <c r="M4712">
        <v>239</v>
      </c>
      <c r="N4712">
        <v>254</v>
      </c>
      <c r="O4712">
        <v>0</v>
      </c>
      <c r="P4712">
        <v>254</v>
      </c>
      <c r="Q4712">
        <v>80</v>
      </c>
      <c r="R4712">
        <v>49</v>
      </c>
      <c r="S4712">
        <v>1</v>
      </c>
      <c r="T4712">
        <v>8</v>
      </c>
      <c r="U4712">
        <v>2</v>
      </c>
      <c r="V4712">
        <v>5</v>
      </c>
      <c r="W4712">
        <v>8</v>
      </c>
      <c r="X4712">
        <v>67</v>
      </c>
      <c r="Y4712">
        <v>5</v>
      </c>
      <c r="Z4712">
        <v>4</v>
      </c>
      <c r="AA4712">
        <v>1</v>
      </c>
      <c r="AB4712">
        <v>1</v>
      </c>
      <c r="AD4712">
        <v>3</v>
      </c>
      <c r="AE4712">
        <v>5</v>
      </c>
      <c r="AF4712">
        <v>0</v>
      </c>
      <c r="AG4712">
        <v>0</v>
      </c>
      <c r="AI4712">
        <v>0</v>
      </c>
      <c r="AJ4712">
        <v>15</v>
      </c>
      <c r="AK4712">
        <v>254</v>
      </c>
      <c r="AL4712">
        <v>254</v>
      </c>
      <c r="AM4712">
        <v>449</v>
      </c>
      <c r="AN4712">
        <v>44</v>
      </c>
      <c r="AP4712">
        <v>1</v>
      </c>
      <c r="AR4712" t="s">
        <v>4814</v>
      </c>
      <c r="AS4712" s="1">
        <v>44354.024305555555</v>
      </c>
      <c r="AT4712" s="1">
        <v>44354.031226851854</v>
      </c>
      <c r="AU4712" s="1">
        <v>44354.031909722224</v>
      </c>
      <c r="AV4712" t="s">
        <v>71</v>
      </c>
      <c r="AW4712" t="s">
        <v>72</v>
      </c>
      <c r="AX4712" t="s">
        <v>73</v>
      </c>
    </row>
    <row r="4713" spans="1:50" x14ac:dyDescent="0.3">
      <c r="A4713" t="str">
        <f>"201493B0000"</f>
        <v>201493B0000</v>
      </c>
      <c r="B4713" t="str">
        <f>"201493B00002"</f>
        <v>201493B00002</v>
      </c>
      <c r="C4713" t="str">
        <f t="shared" si="239"/>
        <v>20</v>
      </c>
      <c r="D4713" t="s">
        <v>67</v>
      </c>
      <c r="E4713" t="str">
        <f t="shared" si="238"/>
        <v>021</v>
      </c>
      <c r="F4713" t="s">
        <v>4711</v>
      </c>
      <c r="G4713" t="str">
        <f>"1493"</f>
        <v>1493</v>
      </c>
      <c r="H4713" t="str">
        <f>"0000"</f>
        <v>0000</v>
      </c>
      <c r="I4713" t="s">
        <v>69</v>
      </c>
      <c r="J4713">
        <v>0</v>
      </c>
      <c r="K4713">
        <v>1</v>
      </c>
      <c r="L4713">
        <v>2</v>
      </c>
      <c r="M4713">
        <v>363</v>
      </c>
      <c r="N4713">
        <v>325</v>
      </c>
      <c r="O4713">
        <v>2</v>
      </c>
      <c r="P4713">
        <v>325</v>
      </c>
      <c r="Q4713">
        <v>11</v>
      </c>
      <c r="R4713">
        <v>158</v>
      </c>
      <c r="S4713">
        <v>5</v>
      </c>
      <c r="T4713">
        <v>5</v>
      </c>
      <c r="U4713">
        <v>2</v>
      </c>
      <c r="V4713">
        <v>9</v>
      </c>
      <c r="W4713">
        <v>1</v>
      </c>
      <c r="X4713">
        <v>78</v>
      </c>
      <c r="Y4713">
        <v>1</v>
      </c>
      <c r="Z4713">
        <v>3</v>
      </c>
      <c r="AA4713">
        <v>6</v>
      </c>
      <c r="AB4713">
        <v>20</v>
      </c>
      <c r="AD4713">
        <v>6</v>
      </c>
      <c r="AE4713">
        <v>0</v>
      </c>
      <c r="AF4713">
        <v>0</v>
      </c>
      <c r="AG4713">
        <v>2</v>
      </c>
      <c r="AI4713">
        <v>0</v>
      </c>
      <c r="AJ4713">
        <v>18</v>
      </c>
      <c r="AK4713">
        <v>325</v>
      </c>
      <c r="AL4713">
        <v>325</v>
      </c>
      <c r="AM4713">
        <v>644</v>
      </c>
      <c r="AN4713">
        <v>44</v>
      </c>
      <c r="AP4713">
        <v>1</v>
      </c>
      <c r="AR4713" t="s">
        <v>4815</v>
      </c>
      <c r="AS4713" s="1">
        <v>44354.175694444442</v>
      </c>
      <c r="AT4713" s="1">
        <v>44354.179432870369</v>
      </c>
      <c r="AU4713" s="1">
        <v>44354.180069444446</v>
      </c>
      <c r="AV4713" t="s">
        <v>71</v>
      </c>
      <c r="AW4713" t="s">
        <v>72</v>
      </c>
      <c r="AX4713" t="s">
        <v>73</v>
      </c>
    </row>
    <row r="4714" spans="1:50" x14ac:dyDescent="0.3">
      <c r="A4714" t="str">
        <f>"201493C0100"</f>
        <v>201493C0100</v>
      </c>
      <c r="B4714" t="str">
        <f>"201493C01002"</f>
        <v>201493C01002</v>
      </c>
      <c r="C4714" t="str">
        <f t="shared" si="239"/>
        <v>20</v>
      </c>
      <c r="D4714" t="s">
        <v>67</v>
      </c>
      <c r="E4714" t="str">
        <f t="shared" si="238"/>
        <v>021</v>
      </c>
      <c r="F4714" t="s">
        <v>4711</v>
      </c>
      <c r="G4714" t="str">
        <f>"1493"</f>
        <v>1493</v>
      </c>
      <c r="H4714" t="str">
        <f>"0001"</f>
        <v>0001</v>
      </c>
      <c r="I4714" t="s">
        <v>75</v>
      </c>
      <c r="J4714">
        <v>0</v>
      </c>
      <c r="K4714">
        <v>1</v>
      </c>
      <c r="L4714">
        <v>2</v>
      </c>
      <c r="M4714">
        <v>347</v>
      </c>
      <c r="N4714">
        <v>340</v>
      </c>
      <c r="O4714">
        <v>2</v>
      </c>
      <c r="P4714">
        <v>340</v>
      </c>
      <c r="Q4714">
        <v>7</v>
      </c>
      <c r="R4714">
        <v>170</v>
      </c>
      <c r="S4714">
        <v>4</v>
      </c>
      <c r="T4714">
        <v>2</v>
      </c>
      <c r="U4714">
        <v>7</v>
      </c>
      <c r="V4714">
        <v>9</v>
      </c>
      <c r="W4714">
        <v>2</v>
      </c>
      <c r="X4714">
        <v>82</v>
      </c>
      <c r="Y4714">
        <v>0</v>
      </c>
      <c r="Z4714">
        <v>7</v>
      </c>
      <c r="AA4714">
        <v>1</v>
      </c>
      <c r="AB4714">
        <v>28</v>
      </c>
      <c r="AD4714">
        <v>2</v>
      </c>
      <c r="AE4714">
        <v>1</v>
      </c>
      <c r="AF4714">
        <v>0</v>
      </c>
      <c r="AG4714">
        <v>1</v>
      </c>
      <c r="AI4714">
        <v>0</v>
      </c>
      <c r="AJ4714">
        <v>17</v>
      </c>
      <c r="AK4714">
        <v>340</v>
      </c>
      <c r="AL4714">
        <v>340</v>
      </c>
      <c r="AM4714">
        <v>643</v>
      </c>
      <c r="AN4714">
        <v>44</v>
      </c>
      <c r="AP4714">
        <v>1</v>
      </c>
      <c r="AR4714" t="s">
        <v>4816</v>
      </c>
      <c r="AS4714" s="1">
        <v>44354.175694444442</v>
      </c>
      <c r="AT4714" s="1">
        <v>44354.184907407405</v>
      </c>
      <c r="AU4714" s="1">
        <v>44354.185219907406</v>
      </c>
      <c r="AV4714" t="s">
        <v>71</v>
      </c>
      <c r="AW4714" t="s">
        <v>72</v>
      </c>
      <c r="AX4714" t="s">
        <v>73</v>
      </c>
    </row>
    <row r="4715" spans="1:50" x14ac:dyDescent="0.3">
      <c r="A4715" t="str">
        <f>"201607B0000"</f>
        <v>201607B0000</v>
      </c>
      <c r="B4715" t="str">
        <f>"201607B00002"</f>
        <v>201607B00002</v>
      </c>
      <c r="C4715" t="str">
        <f t="shared" si="239"/>
        <v>20</v>
      </c>
      <c r="D4715" t="s">
        <v>67</v>
      </c>
      <c r="E4715" t="str">
        <f t="shared" si="238"/>
        <v>021</v>
      </c>
      <c r="F4715" t="s">
        <v>4711</v>
      </c>
      <c r="G4715" t="str">
        <f>"1607"</f>
        <v>1607</v>
      </c>
      <c r="H4715" t="str">
        <f>"0000"</f>
        <v>0000</v>
      </c>
      <c r="I4715" t="s">
        <v>69</v>
      </c>
      <c r="J4715">
        <v>0</v>
      </c>
      <c r="K4715">
        <v>1</v>
      </c>
      <c r="L4715">
        <v>2</v>
      </c>
      <c r="M4715">
        <v>310</v>
      </c>
      <c r="N4715">
        <v>245</v>
      </c>
      <c r="O4715">
        <v>4</v>
      </c>
      <c r="P4715">
        <v>0</v>
      </c>
      <c r="Q4715">
        <v>12</v>
      </c>
      <c r="R4715">
        <v>93</v>
      </c>
      <c r="S4715">
        <v>1</v>
      </c>
      <c r="T4715">
        <v>2</v>
      </c>
      <c r="U4715">
        <v>4</v>
      </c>
      <c r="V4715">
        <v>2</v>
      </c>
      <c r="W4715">
        <v>2</v>
      </c>
      <c r="X4715">
        <v>106</v>
      </c>
      <c r="Y4715">
        <v>1</v>
      </c>
      <c r="Z4715">
        <v>5</v>
      </c>
      <c r="AA4715">
        <v>0</v>
      </c>
      <c r="AB4715">
        <v>1</v>
      </c>
      <c r="AD4715">
        <v>1</v>
      </c>
      <c r="AE4715">
        <v>1</v>
      </c>
      <c r="AF4715">
        <v>0</v>
      </c>
      <c r="AG4715">
        <v>0</v>
      </c>
      <c r="AI4715">
        <v>0</v>
      </c>
      <c r="AJ4715">
        <v>14</v>
      </c>
      <c r="AK4715">
        <v>245</v>
      </c>
      <c r="AL4715">
        <v>245</v>
      </c>
      <c r="AM4715">
        <v>511</v>
      </c>
      <c r="AN4715">
        <v>44</v>
      </c>
      <c r="AP4715">
        <v>1</v>
      </c>
      <c r="AR4715" t="s">
        <v>4817</v>
      </c>
      <c r="AS4715" s="1">
        <v>44354.027777777781</v>
      </c>
      <c r="AT4715" s="1">
        <v>44354.037592592591</v>
      </c>
      <c r="AU4715" s="1">
        <v>44354.03833333333</v>
      </c>
      <c r="AV4715" t="s">
        <v>71</v>
      </c>
      <c r="AW4715" t="s">
        <v>72</v>
      </c>
      <c r="AX4715" t="s">
        <v>73</v>
      </c>
    </row>
    <row r="4716" spans="1:50" x14ac:dyDescent="0.3">
      <c r="A4716" t="str">
        <f>"201607C0100"</f>
        <v>201607C0100</v>
      </c>
      <c r="B4716" t="str">
        <f>"201607C01002"</f>
        <v>201607C01002</v>
      </c>
      <c r="C4716" t="str">
        <f t="shared" si="239"/>
        <v>20</v>
      </c>
      <c r="D4716" t="s">
        <v>67</v>
      </c>
      <c r="E4716" t="str">
        <f t="shared" si="238"/>
        <v>021</v>
      </c>
      <c r="F4716" t="s">
        <v>4711</v>
      </c>
      <c r="G4716" t="str">
        <f>"1607"</f>
        <v>1607</v>
      </c>
      <c r="H4716" t="str">
        <f>"0001"</f>
        <v>0001</v>
      </c>
      <c r="I4716" t="s">
        <v>75</v>
      </c>
      <c r="J4716">
        <v>0</v>
      </c>
      <c r="K4716">
        <v>1</v>
      </c>
      <c r="L4716">
        <v>2</v>
      </c>
      <c r="M4716">
        <v>328</v>
      </c>
      <c r="N4716">
        <v>227</v>
      </c>
      <c r="O4716">
        <v>1</v>
      </c>
      <c r="P4716">
        <v>227</v>
      </c>
      <c r="Q4716">
        <v>19</v>
      </c>
      <c r="R4716">
        <v>82</v>
      </c>
      <c r="S4716">
        <v>1</v>
      </c>
      <c r="T4716">
        <v>4</v>
      </c>
      <c r="U4716">
        <v>2</v>
      </c>
      <c r="V4716">
        <v>2</v>
      </c>
      <c r="W4716">
        <v>2</v>
      </c>
      <c r="X4716">
        <v>98</v>
      </c>
      <c r="Y4716">
        <v>2</v>
      </c>
      <c r="Z4716">
        <v>2</v>
      </c>
      <c r="AA4716">
        <v>1</v>
      </c>
      <c r="AB4716">
        <v>1</v>
      </c>
      <c r="AD4716">
        <v>3</v>
      </c>
      <c r="AE4716">
        <v>0</v>
      </c>
      <c r="AF4716">
        <v>0</v>
      </c>
      <c r="AG4716">
        <v>0</v>
      </c>
      <c r="AI4716">
        <v>0</v>
      </c>
      <c r="AJ4716">
        <v>8</v>
      </c>
      <c r="AK4716">
        <v>227</v>
      </c>
      <c r="AL4716">
        <v>227</v>
      </c>
      <c r="AM4716">
        <v>511</v>
      </c>
      <c r="AN4716">
        <v>44</v>
      </c>
      <c r="AP4716">
        <v>1</v>
      </c>
      <c r="AR4716" t="s">
        <v>4818</v>
      </c>
      <c r="AS4716" s="1">
        <v>44354.027083333334</v>
      </c>
      <c r="AT4716" s="1">
        <v>44354.04824074074</v>
      </c>
      <c r="AU4716" s="1">
        <v>44354.049247685187</v>
      </c>
      <c r="AV4716" t="s">
        <v>71</v>
      </c>
      <c r="AW4716" t="s">
        <v>72</v>
      </c>
      <c r="AX4716" t="s">
        <v>73</v>
      </c>
    </row>
    <row r="4717" spans="1:50" x14ac:dyDescent="0.3">
      <c r="A4717" t="str">
        <f>"201608B0000"</f>
        <v>201608B0000</v>
      </c>
      <c r="B4717" t="str">
        <f>"201608B00002"</f>
        <v>201608B00002</v>
      </c>
      <c r="C4717" t="str">
        <f t="shared" si="239"/>
        <v>20</v>
      </c>
      <c r="D4717" t="s">
        <v>67</v>
      </c>
      <c r="E4717" t="str">
        <f t="shared" si="238"/>
        <v>021</v>
      </c>
      <c r="F4717" t="s">
        <v>4711</v>
      </c>
      <c r="G4717" t="str">
        <f>"1608"</f>
        <v>1608</v>
      </c>
      <c r="H4717" t="str">
        <f>"0000"</f>
        <v>0000</v>
      </c>
      <c r="I4717" t="s">
        <v>69</v>
      </c>
      <c r="J4717">
        <v>0</v>
      </c>
      <c r="K4717">
        <v>1</v>
      </c>
      <c r="L4717">
        <v>2</v>
      </c>
      <c r="M4717">
        <v>543</v>
      </c>
      <c r="N4717">
        <v>244</v>
      </c>
      <c r="O4717">
        <v>0</v>
      </c>
      <c r="P4717">
        <v>244</v>
      </c>
      <c r="Q4717">
        <v>8</v>
      </c>
      <c r="R4717">
        <v>174</v>
      </c>
      <c r="S4717">
        <v>0</v>
      </c>
      <c r="T4717">
        <v>2</v>
      </c>
      <c r="U4717">
        <v>4</v>
      </c>
      <c r="V4717">
        <v>0</v>
      </c>
      <c r="W4717">
        <v>0</v>
      </c>
      <c r="X4717">
        <v>40</v>
      </c>
      <c r="Y4717">
        <v>1</v>
      </c>
      <c r="Z4717">
        <v>4</v>
      </c>
      <c r="AA4717">
        <v>1</v>
      </c>
      <c r="AB4717">
        <v>0</v>
      </c>
      <c r="AD4717">
        <v>1</v>
      </c>
      <c r="AE4717">
        <v>1</v>
      </c>
      <c r="AF4717">
        <v>0</v>
      </c>
      <c r="AG4717">
        <v>0</v>
      </c>
      <c r="AI4717">
        <v>0</v>
      </c>
      <c r="AJ4717">
        <v>8</v>
      </c>
      <c r="AK4717">
        <v>244</v>
      </c>
      <c r="AL4717">
        <v>244</v>
      </c>
      <c r="AM4717">
        <v>743</v>
      </c>
      <c r="AN4717">
        <v>44</v>
      </c>
      <c r="AP4717">
        <v>1</v>
      </c>
      <c r="AR4717" t="s">
        <v>4819</v>
      </c>
      <c r="AS4717" s="1">
        <v>44354.152777777781</v>
      </c>
      <c r="AT4717" s="1">
        <v>44354.158622685187</v>
      </c>
      <c r="AU4717" s="1">
        <v>44354.159189814818</v>
      </c>
      <c r="AV4717" t="s">
        <v>71</v>
      </c>
      <c r="AW4717" t="s">
        <v>72</v>
      </c>
      <c r="AX4717" t="s">
        <v>73</v>
      </c>
    </row>
    <row r="4718" spans="1:50" x14ac:dyDescent="0.3">
      <c r="A4718" t="str">
        <f>"201608E0100"</f>
        <v>201608E0100</v>
      </c>
      <c r="B4718" t="str">
        <f>"201608E01002"</f>
        <v>201608E01002</v>
      </c>
      <c r="C4718" t="str">
        <f t="shared" si="239"/>
        <v>20</v>
      </c>
      <c r="D4718" t="s">
        <v>67</v>
      </c>
      <c r="E4718" t="str">
        <f t="shared" si="238"/>
        <v>021</v>
      </c>
      <c r="F4718" t="s">
        <v>4711</v>
      </c>
      <c r="G4718" t="str">
        <f>"1608"</f>
        <v>1608</v>
      </c>
      <c r="H4718" t="str">
        <f>"0001"</f>
        <v>0001</v>
      </c>
      <c r="I4718" t="s">
        <v>109</v>
      </c>
      <c r="J4718">
        <v>0</v>
      </c>
      <c r="K4718">
        <v>1</v>
      </c>
      <c r="L4718">
        <v>2</v>
      </c>
      <c r="M4718">
        <v>142</v>
      </c>
      <c r="N4718">
        <v>123</v>
      </c>
      <c r="O4718">
        <v>0</v>
      </c>
      <c r="P4718">
        <v>123</v>
      </c>
      <c r="Q4718">
        <v>7</v>
      </c>
      <c r="R4718">
        <v>72</v>
      </c>
      <c r="S4718">
        <v>0</v>
      </c>
      <c r="T4718">
        <v>5</v>
      </c>
      <c r="U4718">
        <v>1</v>
      </c>
      <c r="V4718">
        <v>4</v>
      </c>
      <c r="W4718">
        <v>0</v>
      </c>
      <c r="X4718">
        <v>28</v>
      </c>
      <c r="Y4718">
        <v>0</v>
      </c>
      <c r="Z4718">
        <v>3</v>
      </c>
      <c r="AA4718">
        <v>0</v>
      </c>
      <c r="AB4718">
        <v>0</v>
      </c>
      <c r="AD4718">
        <v>0</v>
      </c>
      <c r="AE4718">
        <v>0</v>
      </c>
      <c r="AF4718">
        <v>0</v>
      </c>
      <c r="AG4718">
        <v>0</v>
      </c>
      <c r="AI4718">
        <v>0</v>
      </c>
      <c r="AJ4718">
        <v>3</v>
      </c>
      <c r="AK4718">
        <v>123</v>
      </c>
      <c r="AL4718">
        <v>123</v>
      </c>
      <c r="AM4718">
        <v>221</v>
      </c>
      <c r="AN4718">
        <v>44</v>
      </c>
      <c r="AP4718">
        <v>1</v>
      </c>
      <c r="AR4718" t="s">
        <v>4820</v>
      </c>
      <c r="AS4718" s="1">
        <v>44354.152083333334</v>
      </c>
      <c r="AT4718" s="1">
        <v>44354.157256944447</v>
      </c>
      <c r="AU4718" s="1">
        <v>44354.157847222225</v>
      </c>
      <c r="AV4718" t="s">
        <v>71</v>
      </c>
      <c r="AW4718" t="s">
        <v>72</v>
      </c>
      <c r="AX4718" t="s">
        <v>73</v>
      </c>
    </row>
    <row r="4719" spans="1:50" x14ac:dyDescent="0.3">
      <c r="A4719" t="str">
        <f>"201634B0000"</f>
        <v>201634B0000</v>
      </c>
      <c r="B4719" t="str">
        <f>"201634B00002"</f>
        <v>201634B00002</v>
      </c>
      <c r="C4719" t="str">
        <f t="shared" si="239"/>
        <v>20</v>
      </c>
      <c r="D4719" t="s">
        <v>67</v>
      </c>
      <c r="E4719" t="str">
        <f t="shared" si="238"/>
        <v>021</v>
      </c>
      <c r="F4719" t="s">
        <v>4711</v>
      </c>
      <c r="G4719" t="str">
        <f>"1634"</f>
        <v>1634</v>
      </c>
      <c r="H4719" t="str">
        <f>"0000"</f>
        <v>0000</v>
      </c>
      <c r="I4719" t="s">
        <v>69</v>
      </c>
      <c r="J4719">
        <v>0</v>
      </c>
      <c r="K4719">
        <v>1</v>
      </c>
      <c r="L4719">
        <v>2</v>
      </c>
      <c r="M4719">
        <v>476</v>
      </c>
      <c r="N4719">
        <v>219</v>
      </c>
      <c r="O4719">
        <v>0</v>
      </c>
      <c r="P4719">
        <v>219</v>
      </c>
      <c r="Q4719">
        <v>32</v>
      </c>
      <c r="R4719">
        <v>29</v>
      </c>
      <c r="S4719">
        <v>6</v>
      </c>
      <c r="T4719">
        <v>11</v>
      </c>
      <c r="U4719">
        <v>6</v>
      </c>
      <c r="V4719">
        <v>1</v>
      </c>
      <c r="W4719">
        <v>8</v>
      </c>
      <c r="X4719">
        <v>89</v>
      </c>
      <c r="Y4719">
        <v>7</v>
      </c>
      <c r="Z4719">
        <v>4</v>
      </c>
      <c r="AA4719">
        <v>5</v>
      </c>
      <c r="AB4719">
        <v>1</v>
      </c>
      <c r="AD4719">
        <v>4</v>
      </c>
      <c r="AE4719">
        <v>0</v>
      </c>
      <c r="AF4719">
        <v>0</v>
      </c>
      <c r="AG4719">
        <v>0</v>
      </c>
      <c r="AI4719">
        <v>0</v>
      </c>
      <c r="AJ4719">
        <v>16</v>
      </c>
      <c r="AK4719">
        <v>219</v>
      </c>
      <c r="AL4719">
        <v>219</v>
      </c>
      <c r="AM4719">
        <v>651</v>
      </c>
      <c r="AN4719">
        <v>44</v>
      </c>
      <c r="AP4719">
        <v>1</v>
      </c>
      <c r="AR4719" t="s">
        <v>4821</v>
      </c>
      <c r="AS4719" s="1">
        <v>44354.022916666669</v>
      </c>
      <c r="AT4719" s="1">
        <v>44354.053310185183</v>
      </c>
      <c r="AU4719" s="1">
        <v>44354.053599537037</v>
      </c>
      <c r="AV4719" t="s">
        <v>71</v>
      </c>
      <c r="AW4719" t="s">
        <v>72</v>
      </c>
      <c r="AX4719" t="s">
        <v>73</v>
      </c>
    </row>
    <row r="4720" spans="1:50" x14ac:dyDescent="0.3">
      <c r="A4720" t="str">
        <f>"201634C0100"</f>
        <v>201634C0100</v>
      </c>
      <c r="B4720" t="str">
        <f>"201634C01002"</f>
        <v>201634C01002</v>
      </c>
      <c r="C4720" t="str">
        <f t="shared" si="239"/>
        <v>20</v>
      </c>
      <c r="D4720" t="s">
        <v>67</v>
      </c>
      <c r="E4720" t="str">
        <f t="shared" si="238"/>
        <v>021</v>
      </c>
      <c r="F4720" t="s">
        <v>4711</v>
      </c>
      <c r="G4720" t="str">
        <f>"1634"</f>
        <v>1634</v>
      </c>
      <c r="H4720" t="str">
        <f>"0001"</f>
        <v>0001</v>
      </c>
      <c r="I4720" t="s">
        <v>75</v>
      </c>
      <c r="J4720">
        <v>0</v>
      </c>
      <c r="K4720">
        <v>1</v>
      </c>
      <c r="L4720">
        <v>2</v>
      </c>
      <c r="M4720">
        <v>522</v>
      </c>
      <c r="N4720">
        <v>173</v>
      </c>
      <c r="O4720">
        <v>0</v>
      </c>
      <c r="P4720">
        <v>173</v>
      </c>
      <c r="Q4720">
        <v>23</v>
      </c>
      <c r="R4720">
        <v>29</v>
      </c>
      <c r="S4720">
        <v>1</v>
      </c>
      <c r="T4720">
        <v>9</v>
      </c>
      <c r="U4720">
        <v>6</v>
      </c>
      <c r="V4720">
        <v>3</v>
      </c>
      <c r="W4720">
        <v>4</v>
      </c>
      <c r="X4720">
        <v>63</v>
      </c>
      <c r="Y4720">
        <v>5</v>
      </c>
      <c r="Z4720">
        <v>3</v>
      </c>
      <c r="AA4720">
        <v>1</v>
      </c>
      <c r="AB4720">
        <v>1</v>
      </c>
      <c r="AD4720">
        <v>0</v>
      </c>
      <c r="AE4720">
        <v>0</v>
      </c>
      <c r="AF4720">
        <v>0</v>
      </c>
      <c r="AG4720">
        <v>0</v>
      </c>
      <c r="AI4720">
        <v>0</v>
      </c>
      <c r="AJ4720">
        <v>25</v>
      </c>
      <c r="AK4720">
        <v>173</v>
      </c>
      <c r="AL4720">
        <v>173</v>
      </c>
      <c r="AM4720">
        <v>651</v>
      </c>
      <c r="AN4720">
        <v>44</v>
      </c>
      <c r="AP4720">
        <v>1</v>
      </c>
      <c r="AR4720" t="s">
        <v>4822</v>
      </c>
      <c r="AS4720" s="1">
        <v>44354.023611111108</v>
      </c>
      <c r="AT4720" s="1">
        <v>44354.032627314817</v>
      </c>
      <c r="AU4720" s="1">
        <v>44354.033530092594</v>
      </c>
      <c r="AV4720" t="s">
        <v>71</v>
      </c>
      <c r="AW4720" t="s">
        <v>72</v>
      </c>
      <c r="AX4720" t="s">
        <v>73</v>
      </c>
    </row>
    <row r="4721" spans="1:50" x14ac:dyDescent="0.3">
      <c r="A4721" t="str">
        <f>"201635B0000"</f>
        <v>201635B0000</v>
      </c>
      <c r="B4721" t="str">
        <f>"201635B00002"</f>
        <v>201635B00002</v>
      </c>
      <c r="C4721" t="str">
        <f t="shared" si="239"/>
        <v>20</v>
      </c>
      <c r="D4721" t="s">
        <v>67</v>
      </c>
      <c r="E4721" t="str">
        <f t="shared" si="238"/>
        <v>021</v>
      </c>
      <c r="F4721" t="s">
        <v>4711</v>
      </c>
      <c r="G4721" t="str">
        <f>"1635"</f>
        <v>1635</v>
      </c>
      <c r="H4721" t="str">
        <f>"0000"</f>
        <v>0000</v>
      </c>
      <c r="I4721" t="s">
        <v>69</v>
      </c>
      <c r="J4721">
        <v>0</v>
      </c>
      <c r="K4721">
        <v>1</v>
      </c>
      <c r="L4721">
        <v>2</v>
      </c>
      <c r="M4721">
        <v>335</v>
      </c>
      <c r="N4721">
        <v>193</v>
      </c>
      <c r="O4721">
        <v>193</v>
      </c>
      <c r="P4721">
        <v>193</v>
      </c>
      <c r="Q4721">
        <v>13</v>
      </c>
      <c r="R4721">
        <v>35</v>
      </c>
      <c r="S4721">
        <v>0</v>
      </c>
      <c r="T4721">
        <v>1</v>
      </c>
      <c r="U4721">
        <v>0</v>
      </c>
      <c r="V4721">
        <v>1</v>
      </c>
      <c r="W4721">
        <v>6</v>
      </c>
      <c r="X4721">
        <v>117</v>
      </c>
      <c r="Y4721">
        <v>3</v>
      </c>
      <c r="Z4721">
        <v>9</v>
      </c>
      <c r="AA4721">
        <v>3</v>
      </c>
      <c r="AB4721">
        <v>1</v>
      </c>
      <c r="AD4721">
        <v>0</v>
      </c>
      <c r="AE4721">
        <v>0</v>
      </c>
      <c r="AF4721">
        <v>0</v>
      </c>
      <c r="AG4721">
        <v>0</v>
      </c>
      <c r="AI4721">
        <v>0</v>
      </c>
      <c r="AJ4721">
        <v>4</v>
      </c>
      <c r="AK4721">
        <v>193</v>
      </c>
      <c r="AL4721">
        <v>193</v>
      </c>
      <c r="AM4721">
        <v>484</v>
      </c>
      <c r="AN4721">
        <v>44</v>
      </c>
      <c r="AP4721">
        <v>1</v>
      </c>
      <c r="AR4721" t="s">
        <v>4823</v>
      </c>
      <c r="AS4721" s="1">
        <v>44354.084027777775</v>
      </c>
      <c r="AT4721" s="1">
        <v>44354.094942129632</v>
      </c>
      <c r="AU4721" s="1">
        <v>44354.095289351855</v>
      </c>
      <c r="AV4721" t="s">
        <v>71</v>
      </c>
      <c r="AW4721" t="s">
        <v>72</v>
      </c>
      <c r="AX4721" t="s">
        <v>73</v>
      </c>
    </row>
    <row r="4722" spans="1:50" x14ac:dyDescent="0.3">
      <c r="A4722" t="str">
        <f>"201635C0100"</f>
        <v>201635C0100</v>
      </c>
      <c r="B4722" t="str">
        <f>"201635C01002"</f>
        <v>201635C01002</v>
      </c>
      <c r="C4722" t="str">
        <f t="shared" si="239"/>
        <v>20</v>
      </c>
      <c r="D4722" t="s">
        <v>67</v>
      </c>
      <c r="E4722" t="str">
        <f t="shared" si="238"/>
        <v>021</v>
      </c>
      <c r="F4722" t="s">
        <v>4711</v>
      </c>
      <c r="G4722" t="str">
        <f>"1635"</f>
        <v>1635</v>
      </c>
      <c r="H4722" t="str">
        <f>"0001"</f>
        <v>0001</v>
      </c>
      <c r="I4722" t="s">
        <v>75</v>
      </c>
      <c r="J4722">
        <v>0</v>
      </c>
      <c r="K4722">
        <v>1</v>
      </c>
      <c r="L4722">
        <v>2</v>
      </c>
      <c r="M4722">
        <v>381</v>
      </c>
      <c r="N4722">
        <v>146</v>
      </c>
      <c r="O4722">
        <v>146</v>
      </c>
      <c r="P4722">
        <v>146</v>
      </c>
      <c r="Q4722">
        <v>5</v>
      </c>
      <c r="R4722">
        <v>25</v>
      </c>
      <c r="S4722">
        <v>1</v>
      </c>
      <c r="T4722">
        <v>1</v>
      </c>
      <c r="U4722">
        <v>2</v>
      </c>
      <c r="V4722">
        <v>1</v>
      </c>
      <c r="W4722">
        <v>9</v>
      </c>
      <c r="X4722">
        <v>88</v>
      </c>
      <c r="Y4722">
        <v>2</v>
      </c>
      <c r="Z4722">
        <v>2</v>
      </c>
      <c r="AA4722">
        <v>4</v>
      </c>
      <c r="AB4722">
        <v>1</v>
      </c>
      <c r="AD4722">
        <v>0</v>
      </c>
      <c r="AE4722">
        <v>0</v>
      </c>
      <c r="AF4722">
        <v>0</v>
      </c>
      <c r="AG4722">
        <v>0</v>
      </c>
      <c r="AI4722">
        <v>0</v>
      </c>
      <c r="AJ4722">
        <v>5</v>
      </c>
      <c r="AK4722">
        <v>146</v>
      </c>
      <c r="AL4722">
        <v>146</v>
      </c>
      <c r="AM4722">
        <v>483</v>
      </c>
      <c r="AN4722">
        <v>44</v>
      </c>
      <c r="AP4722">
        <v>1</v>
      </c>
      <c r="AR4722" t="s">
        <v>4824</v>
      </c>
      <c r="AS4722" s="1">
        <v>44354.084722222222</v>
      </c>
      <c r="AT4722" s="1">
        <v>44354.093611111108</v>
      </c>
      <c r="AU4722" s="1">
        <v>44354.094293981485</v>
      </c>
      <c r="AV4722" t="s">
        <v>71</v>
      </c>
      <c r="AW4722" t="s">
        <v>72</v>
      </c>
      <c r="AX4722" t="s">
        <v>73</v>
      </c>
    </row>
    <row r="4723" spans="1:50" x14ac:dyDescent="0.3">
      <c r="A4723" t="str">
        <f>"201637B0000"</f>
        <v>201637B0000</v>
      </c>
      <c r="B4723" t="str">
        <f>"201637B00002"</f>
        <v>201637B00002</v>
      </c>
      <c r="C4723" t="str">
        <f t="shared" si="239"/>
        <v>20</v>
      </c>
      <c r="D4723" t="s">
        <v>67</v>
      </c>
      <c r="E4723" t="str">
        <f t="shared" si="238"/>
        <v>021</v>
      </c>
      <c r="F4723" t="s">
        <v>4711</v>
      </c>
      <c r="G4723" t="str">
        <f>"1637"</f>
        <v>1637</v>
      </c>
      <c r="H4723" t="str">
        <f>"0000"</f>
        <v>0000</v>
      </c>
      <c r="I4723" t="s">
        <v>69</v>
      </c>
      <c r="J4723">
        <v>0</v>
      </c>
      <c r="K4723">
        <v>1</v>
      </c>
      <c r="L4723">
        <v>2</v>
      </c>
      <c r="M4723">
        <v>507</v>
      </c>
      <c r="N4723">
        <v>110</v>
      </c>
      <c r="O4723">
        <v>0</v>
      </c>
      <c r="P4723" t="s">
        <v>80</v>
      </c>
      <c r="Q4723">
        <v>36</v>
      </c>
      <c r="R4723">
        <v>17</v>
      </c>
      <c r="S4723">
        <v>12</v>
      </c>
      <c r="T4723">
        <v>4</v>
      </c>
      <c r="U4723">
        <v>5</v>
      </c>
      <c r="V4723">
        <v>0</v>
      </c>
      <c r="W4723">
        <v>1</v>
      </c>
      <c r="X4723">
        <v>23</v>
      </c>
      <c r="Y4723">
        <v>0</v>
      </c>
      <c r="Z4723">
        <v>0</v>
      </c>
      <c r="AA4723">
        <v>0</v>
      </c>
      <c r="AB4723">
        <v>0</v>
      </c>
      <c r="AD4723">
        <v>0</v>
      </c>
      <c r="AE4723" t="s">
        <v>77</v>
      </c>
      <c r="AF4723" t="s">
        <v>77</v>
      </c>
      <c r="AG4723" t="s">
        <v>77</v>
      </c>
      <c r="AI4723" t="s">
        <v>77</v>
      </c>
      <c r="AJ4723">
        <v>11</v>
      </c>
      <c r="AK4723">
        <v>110</v>
      </c>
      <c r="AL4723">
        <v>109</v>
      </c>
      <c r="AM4723">
        <v>573</v>
      </c>
      <c r="AN4723">
        <v>44</v>
      </c>
      <c r="AO4723" t="s">
        <v>78</v>
      </c>
      <c r="AP4723">
        <v>1</v>
      </c>
      <c r="AR4723" t="s">
        <v>4825</v>
      </c>
      <c r="AS4723" s="1">
        <v>44353.915972222225</v>
      </c>
      <c r="AT4723" s="1">
        <v>44353.918298611112</v>
      </c>
      <c r="AU4723" s="1">
        <v>44353.919016203705</v>
      </c>
      <c r="AV4723" t="s">
        <v>71</v>
      </c>
      <c r="AW4723" t="s">
        <v>72</v>
      </c>
      <c r="AX4723" t="s">
        <v>73</v>
      </c>
    </row>
    <row r="4724" spans="1:50" x14ac:dyDescent="0.3">
      <c r="A4724" t="str">
        <f>"201637C0100"</f>
        <v>201637C0100</v>
      </c>
      <c r="B4724" t="str">
        <f>"201637C01002"</f>
        <v>201637C01002</v>
      </c>
      <c r="C4724" t="str">
        <f t="shared" si="239"/>
        <v>20</v>
      </c>
      <c r="D4724" t="s">
        <v>67</v>
      </c>
      <c r="E4724" t="str">
        <f t="shared" si="238"/>
        <v>021</v>
      </c>
      <c r="F4724" t="s">
        <v>4711</v>
      </c>
      <c r="G4724" t="str">
        <f>"1637"</f>
        <v>1637</v>
      </c>
      <c r="H4724" t="str">
        <f>"0001"</f>
        <v>0001</v>
      </c>
      <c r="I4724" t="s">
        <v>75</v>
      </c>
      <c r="J4724">
        <v>0</v>
      </c>
      <c r="K4724">
        <v>1</v>
      </c>
      <c r="L4724">
        <v>2</v>
      </c>
      <c r="M4724">
        <v>503</v>
      </c>
      <c r="N4724">
        <v>114</v>
      </c>
      <c r="O4724">
        <v>0</v>
      </c>
      <c r="P4724">
        <v>1</v>
      </c>
      <c r="Q4724">
        <v>42</v>
      </c>
      <c r="R4724">
        <v>18</v>
      </c>
      <c r="S4724">
        <v>1</v>
      </c>
      <c r="T4724">
        <v>5</v>
      </c>
      <c r="U4724">
        <v>7</v>
      </c>
      <c r="V4724">
        <v>0</v>
      </c>
      <c r="W4724">
        <v>2</v>
      </c>
      <c r="X4724">
        <v>17</v>
      </c>
      <c r="Y4724">
        <v>2</v>
      </c>
      <c r="Z4724">
        <v>2</v>
      </c>
      <c r="AA4724">
        <v>1</v>
      </c>
      <c r="AB4724">
        <v>2</v>
      </c>
      <c r="AD4724">
        <v>0</v>
      </c>
      <c r="AE4724">
        <v>0</v>
      </c>
      <c r="AF4724">
        <v>1</v>
      </c>
      <c r="AG4724">
        <v>0</v>
      </c>
      <c r="AI4724">
        <v>0</v>
      </c>
      <c r="AJ4724">
        <v>14</v>
      </c>
      <c r="AK4724">
        <v>114</v>
      </c>
      <c r="AL4724">
        <v>114</v>
      </c>
      <c r="AM4724">
        <v>573</v>
      </c>
      <c r="AN4724">
        <v>44</v>
      </c>
      <c r="AP4724">
        <v>1</v>
      </c>
      <c r="AR4724" t="s">
        <v>4826</v>
      </c>
      <c r="AS4724" s="1">
        <v>44353.919444444444</v>
      </c>
      <c r="AT4724" s="1">
        <v>44353.924305555556</v>
      </c>
      <c r="AU4724" s="1">
        <v>44353.925081018519</v>
      </c>
      <c r="AV4724" t="s">
        <v>71</v>
      </c>
      <c r="AW4724" t="s">
        <v>72</v>
      </c>
      <c r="AX4724" t="s">
        <v>73</v>
      </c>
    </row>
    <row r="4725" spans="1:50" x14ac:dyDescent="0.3">
      <c r="A4725" t="str">
        <f>"201637C0200"</f>
        <v>201637C0200</v>
      </c>
      <c r="B4725" t="str">
        <f>"201637C02002"</f>
        <v>201637C02002</v>
      </c>
      <c r="C4725" t="str">
        <f t="shared" si="239"/>
        <v>20</v>
      </c>
      <c r="D4725" t="s">
        <v>67</v>
      </c>
      <c r="E4725" t="str">
        <f t="shared" si="238"/>
        <v>021</v>
      </c>
      <c r="F4725" t="s">
        <v>4711</v>
      </c>
      <c r="G4725" t="str">
        <f>"1637"</f>
        <v>1637</v>
      </c>
      <c r="H4725" t="str">
        <f>"0002"</f>
        <v>0002</v>
      </c>
      <c r="I4725" t="s">
        <v>75</v>
      </c>
      <c r="J4725">
        <v>0</v>
      </c>
      <c r="K4725">
        <v>1</v>
      </c>
      <c r="L4725">
        <v>2</v>
      </c>
      <c r="M4725">
        <v>514</v>
      </c>
      <c r="N4725">
        <v>102</v>
      </c>
      <c r="O4725">
        <v>0</v>
      </c>
      <c r="P4725" t="s">
        <v>80</v>
      </c>
      <c r="Q4725">
        <v>34</v>
      </c>
      <c r="R4725">
        <v>17</v>
      </c>
      <c r="S4725">
        <v>4</v>
      </c>
      <c r="T4725">
        <v>6</v>
      </c>
      <c r="U4725">
        <v>6</v>
      </c>
      <c r="V4725">
        <v>0</v>
      </c>
      <c r="W4725">
        <v>2</v>
      </c>
      <c r="X4725">
        <v>15</v>
      </c>
      <c r="Y4725">
        <v>1</v>
      </c>
      <c r="Z4725">
        <v>3</v>
      </c>
      <c r="AA4725">
        <v>0</v>
      </c>
      <c r="AB4725">
        <v>0</v>
      </c>
      <c r="AD4725">
        <v>0</v>
      </c>
      <c r="AE4725">
        <v>1</v>
      </c>
      <c r="AF4725">
        <v>0</v>
      </c>
      <c r="AG4725">
        <v>0</v>
      </c>
      <c r="AI4725">
        <v>0</v>
      </c>
      <c r="AJ4725">
        <v>13</v>
      </c>
      <c r="AK4725">
        <v>102</v>
      </c>
      <c r="AL4725">
        <v>102</v>
      </c>
      <c r="AM4725">
        <v>572</v>
      </c>
      <c r="AN4725">
        <v>44</v>
      </c>
      <c r="AP4725">
        <v>1</v>
      </c>
      <c r="AR4725" t="s">
        <v>4827</v>
      </c>
      <c r="AS4725" s="1">
        <v>44353.917361111111</v>
      </c>
      <c r="AT4725" s="1">
        <v>44353.922569444447</v>
      </c>
      <c r="AU4725" s="1">
        <v>44353.923136574071</v>
      </c>
      <c r="AV4725" t="s">
        <v>71</v>
      </c>
      <c r="AW4725" t="s">
        <v>72</v>
      </c>
      <c r="AX4725" t="s">
        <v>73</v>
      </c>
    </row>
    <row r="4726" spans="1:50" x14ac:dyDescent="0.3">
      <c r="A4726" t="str">
        <f>"201638B0000"</f>
        <v>201638B0000</v>
      </c>
      <c r="B4726" t="str">
        <f>"201638B00002"</f>
        <v>201638B00002</v>
      </c>
      <c r="C4726" t="str">
        <f t="shared" si="239"/>
        <v>20</v>
      </c>
      <c r="D4726" t="s">
        <v>67</v>
      </c>
      <c r="E4726" t="str">
        <f t="shared" si="238"/>
        <v>021</v>
      </c>
      <c r="F4726" t="s">
        <v>4711</v>
      </c>
      <c r="G4726" t="str">
        <f>"1638"</f>
        <v>1638</v>
      </c>
      <c r="H4726" t="str">
        <f>"0000"</f>
        <v>0000</v>
      </c>
      <c r="I4726" t="s">
        <v>69</v>
      </c>
      <c r="J4726">
        <v>0</v>
      </c>
      <c r="K4726">
        <v>1</v>
      </c>
      <c r="L4726">
        <v>2</v>
      </c>
      <c r="M4726">
        <v>540</v>
      </c>
      <c r="N4726">
        <v>144</v>
      </c>
      <c r="O4726">
        <v>0</v>
      </c>
      <c r="P4726">
        <v>144</v>
      </c>
      <c r="Q4726">
        <v>46</v>
      </c>
      <c r="R4726">
        <v>22</v>
      </c>
      <c r="S4726">
        <v>8</v>
      </c>
      <c r="T4726">
        <v>8</v>
      </c>
      <c r="U4726">
        <v>3</v>
      </c>
      <c r="V4726">
        <v>1</v>
      </c>
      <c r="W4726">
        <v>0</v>
      </c>
      <c r="X4726">
        <v>26</v>
      </c>
      <c r="Y4726">
        <v>0</v>
      </c>
      <c r="Z4726">
        <v>0</v>
      </c>
      <c r="AA4726">
        <v>0</v>
      </c>
      <c r="AB4726">
        <v>0</v>
      </c>
      <c r="AD4726" t="s">
        <v>77</v>
      </c>
      <c r="AE4726" t="s">
        <v>77</v>
      </c>
      <c r="AF4726" t="s">
        <v>77</v>
      </c>
      <c r="AG4726" t="s">
        <v>77</v>
      </c>
      <c r="AI4726" t="s">
        <v>77</v>
      </c>
      <c r="AJ4726" t="s">
        <v>77</v>
      </c>
      <c r="AK4726" t="s">
        <v>77</v>
      </c>
      <c r="AL4726">
        <v>114</v>
      </c>
      <c r="AM4726">
        <v>640</v>
      </c>
      <c r="AN4726">
        <v>44</v>
      </c>
      <c r="AO4726" t="s">
        <v>78</v>
      </c>
      <c r="AP4726">
        <v>1</v>
      </c>
      <c r="AR4726" t="s">
        <v>4828</v>
      </c>
      <c r="AS4726" s="1">
        <v>44354.017361111109</v>
      </c>
      <c r="AT4726" s="1">
        <v>44354.026921296296</v>
      </c>
      <c r="AU4726" s="1">
        <v>44354.027407407404</v>
      </c>
      <c r="AV4726" t="s">
        <v>71</v>
      </c>
      <c r="AW4726" t="s">
        <v>72</v>
      </c>
      <c r="AX4726" t="s">
        <v>73</v>
      </c>
    </row>
    <row r="4727" spans="1:50" x14ac:dyDescent="0.3">
      <c r="A4727" t="str">
        <f>"201638C0100"</f>
        <v>201638C0100</v>
      </c>
      <c r="B4727" t="str">
        <f>"201638C01002"</f>
        <v>201638C01002</v>
      </c>
      <c r="C4727" t="str">
        <f t="shared" si="239"/>
        <v>20</v>
      </c>
      <c r="D4727" t="s">
        <v>67</v>
      </c>
      <c r="E4727" t="str">
        <f t="shared" si="238"/>
        <v>021</v>
      </c>
      <c r="F4727" t="s">
        <v>4711</v>
      </c>
      <c r="G4727" t="str">
        <f>"1638"</f>
        <v>1638</v>
      </c>
      <c r="H4727" t="str">
        <f>"0001"</f>
        <v>0001</v>
      </c>
      <c r="I4727" t="s">
        <v>75</v>
      </c>
      <c r="J4727">
        <v>0</v>
      </c>
      <c r="K4727">
        <v>1</v>
      </c>
      <c r="L4727">
        <v>2</v>
      </c>
      <c r="M4727">
        <v>530</v>
      </c>
      <c r="N4727">
        <v>154</v>
      </c>
      <c r="O4727">
        <v>0</v>
      </c>
      <c r="P4727" t="s">
        <v>80</v>
      </c>
      <c r="Q4727">
        <v>46</v>
      </c>
      <c r="R4727">
        <v>28</v>
      </c>
      <c r="S4727">
        <v>8</v>
      </c>
      <c r="T4727">
        <v>12</v>
      </c>
      <c r="U4727">
        <v>9</v>
      </c>
      <c r="V4727">
        <v>3</v>
      </c>
      <c r="W4727">
        <v>4</v>
      </c>
      <c r="X4727">
        <v>27</v>
      </c>
      <c r="Y4727">
        <v>0</v>
      </c>
      <c r="Z4727">
        <v>3</v>
      </c>
      <c r="AA4727">
        <v>0</v>
      </c>
      <c r="AB4727">
        <v>3</v>
      </c>
      <c r="AD4727">
        <v>0</v>
      </c>
      <c r="AE4727">
        <v>0</v>
      </c>
      <c r="AF4727">
        <v>0</v>
      </c>
      <c r="AG4727">
        <v>0</v>
      </c>
      <c r="AI4727">
        <v>0</v>
      </c>
      <c r="AJ4727">
        <v>11</v>
      </c>
      <c r="AK4727">
        <v>154</v>
      </c>
      <c r="AL4727">
        <v>154</v>
      </c>
      <c r="AM4727">
        <v>640</v>
      </c>
      <c r="AN4727">
        <v>44</v>
      </c>
      <c r="AP4727">
        <v>1</v>
      </c>
      <c r="AR4727" t="s">
        <v>4829</v>
      </c>
      <c r="AS4727" s="1">
        <v>44354.009027777778</v>
      </c>
      <c r="AT4727" s="1">
        <v>44354.016226851854</v>
      </c>
      <c r="AU4727" s="1">
        <v>44354.016608796293</v>
      </c>
      <c r="AV4727" t="s">
        <v>71</v>
      </c>
      <c r="AW4727" t="s">
        <v>72</v>
      </c>
      <c r="AX4727" t="s">
        <v>73</v>
      </c>
    </row>
    <row r="4728" spans="1:50" x14ac:dyDescent="0.3">
      <c r="A4728" t="str">
        <f>"201730B0000"</f>
        <v>201730B0000</v>
      </c>
      <c r="B4728" t="str">
        <f>"201730B00002"</f>
        <v>201730B00002</v>
      </c>
      <c r="C4728" t="str">
        <f t="shared" si="239"/>
        <v>20</v>
      </c>
      <c r="D4728" t="s">
        <v>67</v>
      </c>
      <c r="E4728" t="str">
        <f t="shared" si="238"/>
        <v>021</v>
      </c>
      <c r="F4728" t="s">
        <v>4711</v>
      </c>
      <c r="G4728" t="str">
        <f>"1730"</f>
        <v>1730</v>
      </c>
      <c r="H4728" t="str">
        <f>"0000"</f>
        <v>0000</v>
      </c>
      <c r="I4728" t="s">
        <v>69</v>
      </c>
      <c r="J4728">
        <v>0</v>
      </c>
      <c r="K4728">
        <v>1</v>
      </c>
      <c r="L4728">
        <v>2</v>
      </c>
      <c r="M4728">
        <v>257</v>
      </c>
      <c r="N4728">
        <v>129</v>
      </c>
      <c r="O4728">
        <v>0</v>
      </c>
      <c r="P4728">
        <v>129</v>
      </c>
      <c r="Q4728">
        <v>2</v>
      </c>
      <c r="R4728">
        <v>8</v>
      </c>
      <c r="S4728">
        <v>6</v>
      </c>
      <c r="T4728">
        <v>0</v>
      </c>
      <c r="U4728">
        <v>9</v>
      </c>
      <c r="V4728">
        <v>0</v>
      </c>
      <c r="W4728">
        <v>1</v>
      </c>
      <c r="X4728">
        <v>82</v>
      </c>
      <c r="Y4728">
        <v>0</v>
      </c>
      <c r="Z4728">
        <v>13</v>
      </c>
      <c r="AA4728">
        <v>1</v>
      </c>
      <c r="AB4728">
        <v>0</v>
      </c>
      <c r="AD4728">
        <v>0</v>
      </c>
      <c r="AE4728">
        <v>0</v>
      </c>
      <c r="AF4728">
        <v>0</v>
      </c>
      <c r="AG4728">
        <v>0</v>
      </c>
      <c r="AI4728">
        <v>0</v>
      </c>
      <c r="AJ4728">
        <v>7</v>
      </c>
      <c r="AK4728">
        <v>129</v>
      </c>
      <c r="AL4728">
        <v>129</v>
      </c>
      <c r="AM4728">
        <v>342</v>
      </c>
      <c r="AN4728">
        <v>44</v>
      </c>
      <c r="AP4728">
        <v>1</v>
      </c>
      <c r="AR4728" t="s">
        <v>4830</v>
      </c>
      <c r="AS4728" s="1">
        <v>44354.26666666667</v>
      </c>
      <c r="AT4728" s="1">
        <v>44354.268206018518</v>
      </c>
      <c r="AU4728" s="1">
        <v>44354.268877314818</v>
      </c>
      <c r="AV4728" t="s">
        <v>71</v>
      </c>
      <c r="AW4728" t="s">
        <v>72</v>
      </c>
      <c r="AX4728" t="s">
        <v>73</v>
      </c>
    </row>
    <row r="4729" spans="1:50" x14ac:dyDescent="0.3">
      <c r="A4729" t="str">
        <f>"201730E0100"</f>
        <v>201730E0100</v>
      </c>
      <c r="B4729" t="str">
        <f>"201730E01002"</f>
        <v>201730E01002</v>
      </c>
      <c r="C4729" t="str">
        <f t="shared" si="239"/>
        <v>20</v>
      </c>
      <c r="D4729" t="s">
        <v>67</v>
      </c>
      <c r="E4729" t="str">
        <f t="shared" si="238"/>
        <v>021</v>
      </c>
      <c r="F4729" t="s">
        <v>4711</v>
      </c>
      <c r="G4729" t="str">
        <f>"1730"</f>
        <v>1730</v>
      </c>
      <c r="H4729" t="str">
        <f>"0001"</f>
        <v>0001</v>
      </c>
      <c r="I4729" t="s">
        <v>109</v>
      </c>
      <c r="J4729">
        <v>0</v>
      </c>
      <c r="K4729">
        <v>1</v>
      </c>
      <c r="L4729">
        <v>2</v>
      </c>
      <c r="M4729">
        <v>467</v>
      </c>
      <c r="N4729">
        <v>152</v>
      </c>
      <c r="O4729">
        <v>0</v>
      </c>
      <c r="P4729">
        <v>152</v>
      </c>
      <c r="Q4729">
        <v>4</v>
      </c>
      <c r="R4729">
        <v>22</v>
      </c>
      <c r="S4729">
        <v>9</v>
      </c>
      <c r="T4729">
        <v>2</v>
      </c>
      <c r="U4729">
        <v>24</v>
      </c>
      <c r="V4729">
        <v>2</v>
      </c>
      <c r="W4729">
        <v>1</v>
      </c>
      <c r="X4729">
        <v>64</v>
      </c>
      <c r="Y4729">
        <v>0</v>
      </c>
      <c r="Z4729">
        <v>10</v>
      </c>
      <c r="AA4729">
        <v>1</v>
      </c>
      <c r="AB4729">
        <v>0</v>
      </c>
      <c r="AD4729">
        <v>1</v>
      </c>
      <c r="AE4729">
        <v>1</v>
      </c>
      <c r="AF4729">
        <v>0</v>
      </c>
      <c r="AG4729">
        <v>0</v>
      </c>
      <c r="AI4729">
        <v>0</v>
      </c>
      <c r="AJ4729">
        <v>11</v>
      </c>
      <c r="AK4729">
        <v>152</v>
      </c>
      <c r="AL4729">
        <v>152</v>
      </c>
      <c r="AM4729">
        <v>575</v>
      </c>
      <c r="AN4729">
        <v>44</v>
      </c>
      <c r="AP4729">
        <v>1</v>
      </c>
      <c r="AR4729" t="s">
        <v>4831</v>
      </c>
      <c r="AS4729" s="1">
        <v>44354.168055555558</v>
      </c>
      <c r="AT4729" s="1">
        <v>44354.220636574071</v>
      </c>
      <c r="AU4729" s="1">
        <v>44354.221331018518</v>
      </c>
      <c r="AV4729" t="s">
        <v>71</v>
      </c>
      <c r="AW4729" t="s">
        <v>72</v>
      </c>
      <c r="AX4729" t="s">
        <v>73</v>
      </c>
    </row>
    <row r="4730" spans="1:50" x14ac:dyDescent="0.3">
      <c r="A4730" t="str">
        <f>"201730E0200"</f>
        <v>201730E0200</v>
      </c>
      <c r="B4730" t="str">
        <f>"201730E02002"</f>
        <v>201730E02002</v>
      </c>
      <c r="C4730" t="str">
        <f t="shared" si="239"/>
        <v>20</v>
      </c>
      <c r="D4730" t="s">
        <v>67</v>
      </c>
      <c r="E4730" t="str">
        <f t="shared" si="238"/>
        <v>021</v>
      </c>
      <c r="F4730" t="s">
        <v>4711</v>
      </c>
      <c r="G4730" t="str">
        <f>"1730"</f>
        <v>1730</v>
      </c>
      <c r="H4730" t="str">
        <f>"0002"</f>
        <v>0002</v>
      </c>
      <c r="I4730" t="s">
        <v>109</v>
      </c>
      <c r="J4730">
        <v>0</v>
      </c>
      <c r="K4730">
        <v>1</v>
      </c>
      <c r="L4730">
        <v>2</v>
      </c>
      <c r="M4730">
        <v>361</v>
      </c>
      <c r="N4730">
        <v>215</v>
      </c>
      <c r="O4730">
        <v>0</v>
      </c>
      <c r="P4730">
        <v>215</v>
      </c>
      <c r="Q4730">
        <v>4</v>
      </c>
      <c r="R4730">
        <v>72</v>
      </c>
      <c r="S4730">
        <v>8</v>
      </c>
      <c r="T4730">
        <v>2</v>
      </c>
      <c r="U4730">
        <v>24</v>
      </c>
      <c r="V4730">
        <v>4</v>
      </c>
      <c r="W4730">
        <v>1</v>
      </c>
      <c r="X4730">
        <v>61</v>
      </c>
      <c r="Y4730">
        <v>2</v>
      </c>
      <c r="Z4730">
        <v>8</v>
      </c>
      <c r="AA4730">
        <v>1</v>
      </c>
      <c r="AB4730">
        <v>0</v>
      </c>
      <c r="AD4730">
        <v>3</v>
      </c>
      <c r="AE4730">
        <v>3</v>
      </c>
      <c r="AF4730">
        <v>0</v>
      </c>
      <c r="AG4730">
        <v>1</v>
      </c>
      <c r="AI4730">
        <v>0</v>
      </c>
      <c r="AJ4730">
        <v>21</v>
      </c>
      <c r="AK4730">
        <v>215</v>
      </c>
      <c r="AL4730">
        <v>215</v>
      </c>
      <c r="AM4730">
        <v>532</v>
      </c>
      <c r="AN4730">
        <v>44</v>
      </c>
      <c r="AP4730">
        <v>1</v>
      </c>
      <c r="AR4730" t="s">
        <v>4832</v>
      </c>
      <c r="AS4730" s="1">
        <v>44354.168055555558</v>
      </c>
      <c r="AT4730" s="1">
        <v>44354.216562499998</v>
      </c>
      <c r="AU4730" s="1">
        <v>44354.217175925929</v>
      </c>
      <c r="AV4730" t="s">
        <v>71</v>
      </c>
      <c r="AW4730" t="s">
        <v>72</v>
      </c>
      <c r="AX4730" t="s">
        <v>73</v>
      </c>
    </row>
    <row r="4731" spans="1:50" x14ac:dyDescent="0.3">
      <c r="A4731" t="str">
        <f>"201731B0000"</f>
        <v>201731B0000</v>
      </c>
      <c r="B4731" t="str">
        <f>"201731B00002"</f>
        <v>201731B00002</v>
      </c>
      <c r="C4731" t="str">
        <f t="shared" si="239"/>
        <v>20</v>
      </c>
      <c r="D4731" t="s">
        <v>67</v>
      </c>
      <c r="E4731" t="str">
        <f t="shared" si="238"/>
        <v>021</v>
      </c>
      <c r="F4731" t="s">
        <v>4711</v>
      </c>
      <c r="G4731" t="str">
        <f>"1731"</f>
        <v>1731</v>
      </c>
      <c r="H4731" t="str">
        <f>"0000"</f>
        <v>0000</v>
      </c>
      <c r="I4731" t="s">
        <v>69</v>
      </c>
      <c r="J4731">
        <v>0</v>
      </c>
      <c r="K4731">
        <v>1</v>
      </c>
      <c r="L4731">
        <v>2</v>
      </c>
      <c r="M4731">
        <v>276</v>
      </c>
      <c r="N4731">
        <v>70</v>
      </c>
      <c r="O4731">
        <v>1</v>
      </c>
      <c r="P4731">
        <v>70</v>
      </c>
      <c r="Q4731">
        <v>0</v>
      </c>
      <c r="R4731">
        <v>3</v>
      </c>
      <c r="S4731">
        <v>6</v>
      </c>
      <c r="T4731">
        <v>2</v>
      </c>
      <c r="U4731">
        <v>4</v>
      </c>
      <c r="V4731">
        <v>2</v>
      </c>
      <c r="W4731">
        <v>0</v>
      </c>
      <c r="X4731">
        <v>45</v>
      </c>
      <c r="Y4731">
        <v>1</v>
      </c>
      <c r="Z4731">
        <v>4</v>
      </c>
      <c r="AA4731">
        <v>0</v>
      </c>
      <c r="AB4731">
        <v>1</v>
      </c>
      <c r="AD4731">
        <v>0</v>
      </c>
      <c r="AE4731">
        <v>0</v>
      </c>
      <c r="AF4731">
        <v>0</v>
      </c>
      <c r="AG4731">
        <v>0</v>
      </c>
      <c r="AI4731">
        <v>0</v>
      </c>
      <c r="AJ4731">
        <v>2</v>
      </c>
      <c r="AK4731">
        <v>70</v>
      </c>
      <c r="AL4731">
        <v>70</v>
      </c>
      <c r="AM4731">
        <v>302</v>
      </c>
      <c r="AN4731">
        <v>44</v>
      </c>
      <c r="AP4731">
        <v>1</v>
      </c>
      <c r="AR4731" t="s">
        <v>4833</v>
      </c>
      <c r="AS4731" s="1">
        <v>44354.168749999997</v>
      </c>
      <c r="AT4731" s="1">
        <v>44354.17428240741</v>
      </c>
      <c r="AU4731" s="1">
        <v>44354.174976851849</v>
      </c>
      <c r="AV4731" t="s">
        <v>71</v>
      </c>
      <c r="AW4731" t="s">
        <v>72</v>
      </c>
      <c r="AX4731" t="s">
        <v>73</v>
      </c>
    </row>
    <row r="4732" spans="1:50" x14ac:dyDescent="0.3">
      <c r="A4732" t="str">
        <f>"201731E0100"</f>
        <v>201731E0100</v>
      </c>
      <c r="B4732" t="str">
        <f>"201731E01002"</f>
        <v>201731E01002</v>
      </c>
      <c r="C4732" t="str">
        <f t="shared" si="239"/>
        <v>20</v>
      </c>
      <c r="D4732" t="s">
        <v>67</v>
      </c>
      <c r="E4732" t="str">
        <f t="shared" si="238"/>
        <v>021</v>
      </c>
      <c r="F4732" t="s">
        <v>4711</v>
      </c>
      <c r="G4732" t="str">
        <f>"1731"</f>
        <v>1731</v>
      </c>
      <c r="H4732" t="str">
        <f>"0001"</f>
        <v>0001</v>
      </c>
      <c r="I4732" t="s">
        <v>109</v>
      </c>
      <c r="J4732">
        <v>0</v>
      </c>
      <c r="K4732">
        <v>1</v>
      </c>
      <c r="L4732">
        <v>2</v>
      </c>
      <c r="M4732">
        <v>323</v>
      </c>
      <c r="N4732">
        <v>210</v>
      </c>
      <c r="O4732">
        <v>0</v>
      </c>
      <c r="P4732">
        <v>210</v>
      </c>
      <c r="Q4732">
        <v>7</v>
      </c>
      <c r="R4732">
        <v>118</v>
      </c>
      <c r="S4732">
        <v>10</v>
      </c>
      <c r="T4732">
        <v>2</v>
      </c>
      <c r="U4732">
        <v>11</v>
      </c>
      <c r="V4732">
        <v>2</v>
      </c>
      <c r="W4732">
        <v>1</v>
      </c>
      <c r="X4732">
        <v>28</v>
      </c>
      <c r="Y4732">
        <v>1</v>
      </c>
      <c r="Z4732">
        <v>8</v>
      </c>
      <c r="AA4732">
        <v>1</v>
      </c>
      <c r="AB4732">
        <v>2</v>
      </c>
      <c r="AD4732">
        <v>1</v>
      </c>
      <c r="AE4732">
        <v>0</v>
      </c>
      <c r="AF4732">
        <v>0</v>
      </c>
      <c r="AG4732">
        <v>2</v>
      </c>
      <c r="AI4732">
        <v>0</v>
      </c>
      <c r="AJ4732">
        <v>16</v>
      </c>
      <c r="AK4732">
        <v>210</v>
      </c>
      <c r="AL4732">
        <v>210</v>
      </c>
      <c r="AM4732">
        <v>489</v>
      </c>
      <c r="AN4732">
        <v>44</v>
      </c>
      <c r="AP4732">
        <v>1</v>
      </c>
      <c r="AR4732" t="s">
        <v>4834</v>
      </c>
      <c r="AS4732" s="1">
        <v>44354.288888888892</v>
      </c>
      <c r="AT4732" s="1">
        <v>44354.314710648148</v>
      </c>
      <c r="AU4732" s="1">
        <v>44354.315115740741</v>
      </c>
      <c r="AV4732" t="s">
        <v>71</v>
      </c>
      <c r="AW4732" t="s">
        <v>72</v>
      </c>
      <c r="AX4732" t="s">
        <v>73</v>
      </c>
    </row>
    <row r="4733" spans="1:50" x14ac:dyDescent="0.3">
      <c r="A4733" t="str">
        <f>"201731E0101"</f>
        <v>201731E0101</v>
      </c>
      <c r="B4733" t="str">
        <f>"201731E01012"</f>
        <v>201731E01012</v>
      </c>
      <c r="C4733" t="str">
        <f t="shared" si="239"/>
        <v>20</v>
      </c>
      <c r="D4733" t="s">
        <v>67</v>
      </c>
      <c r="E4733" t="str">
        <f t="shared" si="238"/>
        <v>021</v>
      </c>
      <c r="F4733" t="s">
        <v>4711</v>
      </c>
      <c r="G4733" t="str">
        <f>"1731"</f>
        <v>1731</v>
      </c>
      <c r="H4733" t="str">
        <f>"0001"</f>
        <v>0001</v>
      </c>
      <c r="I4733" t="s">
        <v>109</v>
      </c>
      <c r="J4733">
        <v>1</v>
      </c>
      <c r="K4733">
        <v>1</v>
      </c>
      <c r="L4733">
        <v>2</v>
      </c>
      <c r="M4733">
        <v>336</v>
      </c>
      <c r="N4733">
        <v>197</v>
      </c>
      <c r="O4733">
        <v>0</v>
      </c>
      <c r="P4733">
        <v>197</v>
      </c>
      <c r="Q4733">
        <v>7</v>
      </c>
      <c r="R4733">
        <v>114</v>
      </c>
      <c r="S4733">
        <v>9</v>
      </c>
      <c r="T4733">
        <v>5</v>
      </c>
      <c r="U4733">
        <v>8</v>
      </c>
      <c r="V4733">
        <v>2</v>
      </c>
      <c r="W4733">
        <v>4</v>
      </c>
      <c r="X4733">
        <v>25</v>
      </c>
      <c r="Y4733">
        <v>0</v>
      </c>
      <c r="Z4733">
        <v>4</v>
      </c>
      <c r="AA4733">
        <v>2</v>
      </c>
      <c r="AB4733">
        <v>1</v>
      </c>
      <c r="AD4733">
        <v>0</v>
      </c>
      <c r="AE4733">
        <v>2</v>
      </c>
      <c r="AF4733">
        <v>0</v>
      </c>
      <c r="AG4733">
        <v>0</v>
      </c>
      <c r="AI4733">
        <v>0</v>
      </c>
      <c r="AJ4733">
        <v>14</v>
      </c>
      <c r="AK4733">
        <v>197</v>
      </c>
      <c r="AL4733">
        <v>197</v>
      </c>
      <c r="AM4733">
        <v>489</v>
      </c>
      <c r="AN4733">
        <v>44</v>
      </c>
      <c r="AP4733">
        <v>1</v>
      </c>
      <c r="AR4733" t="s">
        <v>4835</v>
      </c>
      <c r="AS4733" s="1">
        <v>44354.288888888892</v>
      </c>
      <c r="AT4733" s="1">
        <v>44354.317743055559</v>
      </c>
      <c r="AU4733" s="1">
        <v>44354.318368055552</v>
      </c>
      <c r="AV4733" t="s">
        <v>71</v>
      </c>
      <c r="AW4733" t="s">
        <v>72</v>
      </c>
      <c r="AX4733" t="s">
        <v>73</v>
      </c>
    </row>
    <row r="4734" spans="1:50" x14ac:dyDescent="0.3">
      <c r="A4734" t="str">
        <f>"201732B0000"</f>
        <v>201732B0000</v>
      </c>
      <c r="B4734" t="str">
        <f>"201732B00002"</f>
        <v>201732B00002</v>
      </c>
      <c r="C4734" t="str">
        <f t="shared" si="239"/>
        <v>20</v>
      </c>
      <c r="D4734" t="s">
        <v>67</v>
      </c>
      <c r="E4734" t="str">
        <f t="shared" si="238"/>
        <v>021</v>
      </c>
      <c r="F4734" t="s">
        <v>4711</v>
      </c>
      <c r="G4734" t="str">
        <f>"1732"</f>
        <v>1732</v>
      </c>
      <c r="H4734" t="str">
        <f>"0000"</f>
        <v>0000</v>
      </c>
      <c r="I4734" t="s">
        <v>69</v>
      </c>
      <c r="J4734">
        <v>0</v>
      </c>
      <c r="K4734">
        <v>1</v>
      </c>
      <c r="L4734">
        <v>2</v>
      </c>
      <c r="M4734">
        <v>509</v>
      </c>
      <c r="N4734">
        <v>78</v>
      </c>
      <c r="O4734">
        <v>0</v>
      </c>
      <c r="P4734">
        <v>78</v>
      </c>
      <c r="Q4734">
        <v>4</v>
      </c>
      <c r="R4734">
        <v>5</v>
      </c>
      <c r="S4734">
        <v>2</v>
      </c>
      <c r="T4734">
        <v>1</v>
      </c>
      <c r="U4734">
        <v>0</v>
      </c>
      <c r="V4734">
        <v>0</v>
      </c>
      <c r="W4734">
        <v>3</v>
      </c>
      <c r="X4734">
        <v>55</v>
      </c>
      <c r="Y4734">
        <v>0</v>
      </c>
      <c r="Z4734">
        <v>2</v>
      </c>
      <c r="AA4734">
        <v>0</v>
      </c>
      <c r="AB4734">
        <v>5</v>
      </c>
      <c r="AD4734">
        <v>0</v>
      </c>
      <c r="AE4734">
        <v>0</v>
      </c>
      <c r="AF4734">
        <v>0</v>
      </c>
      <c r="AG4734">
        <v>0</v>
      </c>
      <c r="AI4734">
        <v>0</v>
      </c>
      <c r="AJ4734">
        <v>1</v>
      </c>
      <c r="AK4734">
        <v>78</v>
      </c>
      <c r="AL4734">
        <v>78</v>
      </c>
      <c r="AM4734">
        <v>543</v>
      </c>
      <c r="AN4734">
        <v>44</v>
      </c>
      <c r="AP4734">
        <v>1</v>
      </c>
      <c r="AR4734" t="s">
        <v>4836</v>
      </c>
      <c r="AS4734" s="1">
        <v>44354.291666666664</v>
      </c>
      <c r="AT4734" s="1">
        <v>44354.306180555555</v>
      </c>
      <c r="AU4734" s="1">
        <v>44354.306469907409</v>
      </c>
      <c r="AV4734" t="s">
        <v>71</v>
      </c>
      <c r="AW4734" t="s">
        <v>72</v>
      </c>
      <c r="AX4734" t="s">
        <v>73</v>
      </c>
    </row>
    <row r="4735" spans="1:50" x14ac:dyDescent="0.3">
      <c r="A4735" t="str">
        <f>"201732E0100"</f>
        <v>201732E0100</v>
      </c>
      <c r="B4735" t="str">
        <f>"201732E01002"</f>
        <v>201732E01002</v>
      </c>
      <c r="C4735" t="str">
        <f t="shared" si="239"/>
        <v>20</v>
      </c>
      <c r="D4735" t="s">
        <v>67</v>
      </c>
      <c r="E4735" t="str">
        <f t="shared" si="238"/>
        <v>021</v>
      </c>
      <c r="F4735" t="s">
        <v>4711</v>
      </c>
      <c r="G4735" t="str">
        <f>"1732"</f>
        <v>1732</v>
      </c>
      <c r="H4735" t="str">
        <f>"0001"</f>
        <v>0001</v>
      </c>
      <c r="I4735" t="s">
        <v>109</v>
      </c>
      <c r="J4735">
        <v>0</v>
      </c>
      <c r="K4735">
        <v>1</v>
      </c>
      <c r="L4735">
        <v>2</v>
      </c>
      <c r="M4735">
        <v>404</v>
      </c>
      <c r="N4735">
        <v>252</v>
      </c>
      <c r="O4735">
        <v>0</v>
      </c>
      <c r="P4735">
        <v>252</v>
      </c>
      <c r="Q4735">
        <v>1</v>
      </c>
      <c r="R4735">
        <v>86</v>
      </c>
      <c r="S4735">
        <v>5</v>
      </c>
      <c r="T4735">
        <v>0</v>
      </c>
      <c r="U4735">
        <v>22</v>
      </c>
      <c r="V4735">
        <v>4</v>
      </c>
      <c r="W4735">
        <v>0</v>
      </c>
      <c r="X4735">
        <v>49</v>
      </c>
      <c r="Y4735">
        <v>0</v>
      </c>
      <c r="Z4735">
        <v>65</v>
      </c>
      <c r="AA4735">
        <v>1</v>
      </c>
      <c r="AB4735">
        <v>8</v>
      </c>
      <c r="AD4735">
        <v>0</v>
      </c>
      <c r="AE4735">
        <v>0</v>
      </c>
      <c r="AF4735">
        <v>0</v>
      </c>
      <c r="AG4735">
        <v>0</v>
      </c>
      <c r="AI4735">
        <v>0</v>
      </c>
      <c r="AJ4735">
        <v>11</v>
      </c>
      <c r="AK4735">
        <v>252</v>
      </c>
      <c r="AL4735">
        <v>252</v>
      </c>
      <c r="AM4735">
        <v>612</v>
      </c>
      <c r="AN4735">
        <v>44</v>
      </c>
      <c r="AP4735">
        <v>1</v>
      </c>
      <c r="AR4735" t="s">
        <v>4837</v>
      </c>
      <c r="AS4735" s="1">
        <v>44354.288194444445</v>
      </c>
      <c r="AT4735" s="1">
        <v>44354.319490740738</v>
      </c>
      <c r="AU4735" s="1">
        <v>44354.320219907408</v>
      </c>
      <c r="AV4735" t="s">
        <v>71</v>
      </c>
      <c r="AW4735" t="s">
        <v>72</v>
      </c>
      <c r="AX4735" t="s">
        <v>73</v>
      </c>
    </row>
    <row r="4736" spans="1:50" x14ac:dyDescent="0.3">
      <c r="A4736" t="str">
        <f>"201732E0200"</f>
        <v>201732E0200</v>
      </c>
      <c r="B4736" t="str">
        <f>"201732E02002"</f>
        <v>201732E02002</v>
      </c>
      <c r="C4736" t="str">
        <f t="shared" si="239"/>
        <v>20</v>
      </c>
      <c r="D4736" t="s">
        <v>67</v>
      </c>
      <c r="E4736" t="str">
        <f t="shared" si="238"/>
        <v>021</v>
      </c>
      <c r="F4736" t="s">
        <v>4711</v>
      </c>
      <c r="G4736" t="str">
        <f>"1732"</f>
        <v>1732</v>
      </c>
      <c r="H4736" t="str">
        <f>"0002"</f>
        <v>0002</v>
      </c>
      <c r="I4736" t="s">
        <v>109</v>
      </c>
      <c r="J4736">
        <v>0</v>
      </c>
      <c r="K4736">
        <v>1</v>
      </c>
      <c r="L4736">
        <v>2</v>
      </c>
      <c r="M4736">
        <v>237</v>
      </c>
      <c r="N4736">
        <v>187</v>
      </c>
      <c r="O4736">
        <v>0</v>
      </c>
      <c r="P4736">
        <v>187</v>
      </c>
      <c r="Q4736">
        <v>0</v>
      </c>
      <c r="R4736">
        <v>101</v>
      </c>
      <c r="S4736">
        <v>3</v>
      </c>
      <c r="T4736">
        <v>4</v>
      </c>
      <c r="U4736">
        <v>20</v>
      </c>
      <c r="V4736">
        <v>1</v>
      </c>
      <c r="W4736">
        <v>0</v>
      </c>
      <c r="X4736">
        <v>46</v>
      </c>
      <c r="Y4736">
        <v>0</v>
      </c>
      <c r="Z4736">
        <v>1</v>
      </c>
      <c r="AA4736">
        <v>1</v>
      </c>
      <c r="AB4736">
        <v>2</v>
      </c>
      <c r="AD4736">
        <v>0</v>
      </c>
      <c r="AE4736">
        <v>0</v>
      </c>
      <c r="AF4736">
        <v>0</v>
      </c>
      <c r="AG4736">
        <v>1</v>
      </c>
      <c r="AI4736">
        <v>0</v>
      </c>
      <c r="AJ4736">
        <v>7</v>
      </c>
      <c r="AK4736">
        <v>187</v>
      </c>
      <c r="AL4736">
        <v>187</v>
      </c>
      <c r="AM4736">
        <v>380</v>
      </c>
      <c r="AN4736">
        <v>44</v>
      </c>
      <c r="AP4736">
        <v>1</v>
      </c>
      <c r="AR4736" t="s">
        <v>4838</v>
      </c>
      <c r="AS4736" s="1">
        <v>44354.290277777778</v>
      </c>
      <c r="AT4736" s="1">
        <v>44354.308009259257</v>
      </c>
      <c r="AU4736" s="1">
        <v>44354.308483796296</v>
      </c>
      <c r="AV4736" t="s">
        <v>71</v>
      </c>
      <c r="AW4736" t="s">
        <v>72</v>
      </c>
      <c r="AX4736" t="s">
        <v>73</v>
      </c>
    </row>
    <row r="4737" spans="1:50" x14ac:dyDescent="0.3">
      <c r="A4737" t="str">
        <f>"201733B0000"</f>
        <v>201733B0000</v>
      </c>
      <c r="B4737" t="str">
        <f>"201733B00002"</f>
        <v>201733B00002</v>
      </c>
      <c r="C4737" t="str">
        <f t="shared" si="239"/>
        <v>20</v>
      </c>
      <c r="D4737" t="s">
        <v>67</v>
      </c>
      <c r="E4737" t="str">
        <f t="shared" si="238"/>
        <v>021</v>
      </c>
      <c r="F4737" t="s">
        <v>4711</v>
      </c>
      <c r="G4737" t="str">
        <f>"1733"</f>
        <v>1733</v>
      </c>
      <c r="H4737" t="str">
        <f>"0000"</f>
        <v>0000</v>
      </c>
      <c r="I4737" t="s">
        <v>69</v>
      </c>
      <c r="J4737">
        <v>0</v>
      </c>
      <c r="K4737">
        <v>1</v>
      </c>
      <c r="L4737">
        <v>2</v>
      </c>
      <c r="M4737">
        <v>409</v>
      </c>
      <c r="N4737">
        <v>237</v>
      </c>
      <c r="O4737">
        <v>0</v>
      </c>
      <c r="P4737">
        <v>237</v>
      </c>
      <c r="Q4737">
        <v>11</v>
      </c>
      <c r="R4737">
        <v>53</v>
      </c>
      <c r="S4737">
        <v>20</v>
      </c>
      <c r="T4737">
        <v>2</v>
      </c>
      <c r="U4737">
        <v>21</v>
      </c>
      <c r="V4737">
        <v>5</v>
      </c>
      <c r="W4737">
        <v>2</v>
      </c>
      <c r="X4737">
        <v>89</v>
      </c>
      <c r="Y4737">
        <v>2</v>
      </c>
      <c r="Z4737">
        <v>6</v>
      </c>
      <c r="AA4737">
        <v>3</v>
      </c>
      <c r="AB4737">
        <v>1</v>
      </c>
      <c r="AD4737">
        <v>3</v>
      </c>
      <c r="AE4737">
        <v>0</v>
      </c>
      <c r="AF4737">
        <v>1</v>
      </c>
      <c r="AG4737">
        <v>2</v>
      </c>
      <c r="AI4737">
        <v>0</v>
      </c>
      <c r="AJ4737">
        <v>16</v>
      </c>
      <c r="AK4737">
        <v>237</v>
      </c>
      <c r="AL4737">
        <v>237</v>
      </c>
      <c r="AM4737">
        <v>602</v>
      </c>
      <c r="AN4737">
        <v>44</v>
      </c>
      <c r="AP4737">
        <v>1</v>
      </c>
      <c r="AR4737" t="s">
        <v>4839</v>
      </c>
      <c r="AS4737" s="1">
        <v>44354.291666666664</v>
      </c>
      <c r="AT4737" s="1">
        <v>44354.305636574078</v>
      </c>
      <c r="AU4737" s="1">
        <v>44354.306076388886</v>
      </c>
      <c r="AV4737" t="s">
        <v>71</v>
      </c>
      <c r="AW4737" t="s">
        <v>72</v>
      </c>
      <c r="AX4737" t="s">
        <v>73</v>
      </c>
    </row>
    <row r="4738" spans="1:50" x14ac:dyDescent="0.3">
      <c r="A4738" t="str">
        <f>"201733E0100"</f>
        <v>201733E0100</v>
      </c>
      <c r="B4738" t="str">
        <f>"201733E01002"</f>
        <v>201733E01002</v>
      </c>
      <c r="C4738" t="str">
        <f t="shared" si="239"/>
        <v>20</v>
      </c>
      <c r="D4738" t="s">
        <v>67</v>
      </c>
      <c r="E4738" t="str">
        <f t="shared" ref="E4738:E4801" si="240">"021"</f>
        <v>021</v>
      </c>
      <c r="F4738" t="s">
        <v>4711</v>
      </c>
      <c r="G4738" t="str">
        <f>"1733"</f>
        <v>1733</v>
      </c>
      <c r="H4738" t="str">
        <f>"0001"</f>
        <v>0001</v>
      </c>
      <c r="I4738" t="s">
        <v>109</v>
      </c>
      <c r="J4738">
        <v>0</v>
      </c>
      <c r="K4738">
        <v>1</v>
      </c>
      <c r="L4738">
        <v>2</v>
      </c>
      <c r="M4738">
        <v>435</v>
      </c>
      <c r="N4738">
        <v>241</v>
      </c>
      <c r="O4738">
        <v>0</v>
      </c>
      <c r="P4738">
        <v>241</v>
      </c>
      <c r="Q4738">
        <v>7</v>
      </c>
      <c r="R4738">
        <v>25</v>
      </c>
      <c r="S4738">
        <v>21</v>
      </c>
      <c r="T4738">
        <v>3</v>
      </c>
      <c r="U4738">
        <v>45</v>
      </c>
      <c r="V4738">
        <v>2</v>
      </c>
      <c r="W4738">
        <v>4</v>
      </c>
      <c r="X4738">
        <v>105</v>
      </c>
      <c r="Y4738">
        <v>0</v>
      </c>
      <c r="Z4738">
        <v>3</v>
      </c>
      <c r="AA4738">
        <v>0</v>
      </c>
      <c r="AB4738">
        <v>3</v>
      </c>
      <c r="AD4738">
        <v>0</v>
      </c>
      <c r="AE4738">
        <v>1</v>
      </c>
      <c r="AF4738">
        <v>0</v>
      </c>
      <c r="AG4738">
        <v>0</v>
      </c>
      <c r="AI4738">
        <v>0</v>
      </c>
      <c r="AJ4738">
        <v>22</v>
      </c>
      <c r="AK4738">
        <v>241</v>
      </c>
      <c r="AL4738">
        <v>241</v>
      </c>
      <c r="AM4738">
        <v>632</v>
      </c>
      <c r="AN4738">
        <v>44</v>
      </c>
      <c r="AP4738">
        <v>1</v>
      </c>
      <c r="AR4738" t="s">
        <v>4840</v>
      </c>
      <c r="AS4738" s="1">
        <v>44354.289583333331</v>
      </c>
      <c r="AT4738" s="1">
        <v>44354.312731481485</v>
      </c>
      <c r="AU4738" s="1">
        <v>44354.313275462962</v>
      </c>
      <c r="AV4738" t="s">
        <v>71</v>
      </c>
      <c r="AW4738" t="s">
        <v>72</v>
      </c>
      <c r="AX4738" t="s">
        <v>73</v>
      </c>
    </row>
    <row r="4739" spans="1:50" x14ac:dyDescent="0.3">
      <c r="A4739" t="str">
        <f>"201733E0101"</f>
        <v>201733E0101</v>
      </c>
      <c r="B4739" t="str">
        <f>"201733E01012"</f>
        <v>201733E01012</v>
      </c>
      <c r="C4739" t="str">
        <f t="shared" si="239"/>
        <v>20</v>
      </c>
      <c r="D4739" t="s">
        <v>67</v>
      </c>
      <c r="E4739" t="str">
        <f t="shared" si="240"/>
        <v>021</v>
      </c>
      <c r="F4739" t="s">
        <v>4711</v>
      </c>
      <c r="G4739" t="str">
        <f>"1733"</f>
        <v>1733</v>
      </c>
      <c r="H4739" t="str">
        <f>"0001"</f>
        <v>0001</v>
      </c>
      <c r="I4739" t="s">
        <v>109</v>
      </c>
      <c r="J4739">
        <v>1</v>
      </c>
      <c r="K4739">
        <v>1</v>
      </c>
      <c r="L4739">
        <v>2</v>
      </c>
      <c r="M4739">
        <v>468</v>
      </c>
      <c r="N4739">
        <v>207</v>
      </c>
      <c r="O4739">
        <v>0</v>
      </c>
      <c r="P4739">
        <v>207</v>
      </c>
      <c r="Q4739">
        <v>4</v>
      </c>
      <c r="R4739">
        <v>21</v>
      </c>
      <c r="S4739">
        <v>22</v>
      </c>
      <c r="T4739">
        <v>6</v>
      </c>
      <c r="U4739">
        <v>45</v>
      </c>
      <c r="V4739">
        <v>3</v>
      </c>
      <c r="W4739">
        <v>2</v>
      </c>
      <c r="X4739">
        <v>91</v>
      </c>
      <c r="Y4739">
        <v>0</v>
      </c>
      <c r="Z4739">
        <v>3</v>
      </c>
      <c r="AA4739">
        <v>1</v>
      </c>
      <c r="AB4739">
        <v>2</v>
      </c>
      <c r="AD4739">
        <v>0</v>
      </c>
      <c r="AE4739">
        <v>0</v>
      </c>
      <c r="AF4739">
        <v>0</v>
      </c>
      <c r="AG4739">
        <v>0</v>
      </c>
      <c r="AI4739">
        <v>0</v>
      </c>
      <c r="AJ4739">
        <v>7</v>
      </c>
      <c r="AK4739">
        <v>207</v>
      </c>
      <c r="AL4739">
        <v>207</v>
      </c>
      <c r="AM4739">
        <v>631</v>
      </c>
      <c r="AN4739">
        <v>44</v>
      </c>
      <c r="AP4739">
        <v>1</v>
      </c>
      <c r="AR4739" t="s">
        <v>4841</v>
      </c>
      <c r="AS4739" s="1">
        <v>44354.289583333331</v>
      </c>
      <c r="AT4739" s="1">
        <v>44354.313449074078</v>
      </c>
      <c r="AU4739" s="1">
        <v>44354.314097222225</v>
      </c>
      <c r="AV4739" t="s">
        <v>71</v>
      </c>
      <c r="AW4739" t="s">
        <v>72</v>
      </c>
      <c r="AX4739" t="s">
        <v>73</v>
      </c>
    </row>
    <row r="4740" spans="1:50" x14ac:dyDescent="0.3">
      <c r="A4740" t="str">
        <f>"201734B0000"</f>
        <v>201734B0000</v>
      </c>
      <c r="B4740" t="str">
        <f>"201734B00002"</f>
        <v>201734B00002</v>
      </c>
      <c r="C4740" t="str">
        <f t="shared" si="239"/>
        <v>20</v>
      </c>
      <c r="D4740" t="s">
        <v>67</v>
      </c>
      <c r="E4740" t="str">
        <f t="shared" si="240"/>
        <v>021</v>
      </c>
      <c r="F4740" t="s">
        <v>4711</v>
      </c>
      <c r="G4740" t="str">
        <f>"1734"</f>
        <v>1734</v>
      </c>
      <c r="H4740" t="str">
        <f>"0000"</f>
        <v>0000</v>
      </c>
      <c r="I4740" t="s">
        <v>69</v>
      </c>
      <c r="J4740">
        <v>0</v>
      </c>
      <c r="K4740">
        <v>1</v>
      </c>
      <c r="L4740">
        <v>2</v>
      </c>
      <c r="M4740">
        <v>449</v>
      </c>
      <c r="N4740">
        <v>292</v>
      </c>
      <c r="O4740">
        <v>0</v>
      </c>
      <c r="P4740">
        <v>292</v>
      </c>
      <c r="Q4740">
        <v>2</v>
      </c>
      <c r="R4740">
        <v>105</v>
      </c>
      <c r="S4740">
        <v>10</v>
      </c>
      <c r="T4740">
        <v>7</v>
      </c>
      <c r="U4740">
        <v>11</v>
      </c>
      <c r="V4740">
        <v>5</v>
      </c>
      <c r="W4740">
        <v>8</v>
      </c>
      <c r="X4740">
        <v>91</v>
      </c>
      <c r="Y4740">
        <v>1</v>
      </c>
      <c r="Z4740">
        <v>26</v>
      </c>
      <c r="AA4740">
        <v>1</v>
      </c>
      <c r="AB4740">
        <v>0</v>
      </c>
      <c r="AD4740">
        <v>1</v>
      </c>
      <c r="AE4740">
        <v>0</v>
      </c>
      <c r="AF4740">
        <v>1</v>
      </c>
      <c r="AG4740">
        <v>2</v>
      </c>
      <c r="AI4740">
        <v>0</v>
      </c>
      <c r="AJ4740">
        <v>21</v>
      </c>
      <c r="AK4740">
        <v>292</v>
      </c>
      <c r="AL4740">
        <v>292</v>
      </c>
      <c r="AM4740">
        <v>697</v>
      </c>
      <c r="AN4740">
        <v>44</v>
      </c>
      <c r="AP4740">
        <v>1</v>
      </c>
      <c r="AR4740" t="s">
        <v>4842</v>
      </c>
      <c r="AS4740" s="1">
        <v>44354.414583333331</v>
      </c>
      <c r="AT4740" s="1">
        <v>44354.422534722224</v>
      </c>
      <c r="AU4740" s="1">
        <v>44354.42292824074</v>
      </c>
      <c r="AV4740" t="s">
        <v>71</v>
      </c>
      <c r="AW4740" t="s">
        <v>72</v>
      </c>
      <c r="AX4740" t="s">
        <v>73</v>
      </c>
    </row>
    <row r="4741" spans="1:50" x14ac:dyDescent="0.3">
      <c r="A4741" t="str">
        <f>"201734C0100"</f>
        <v>201734C0100</v>
      </c>
      <c r="B4741" t="str">
        <f>"201734C01002"</f>
        <v>201734C01002</v>
      </c>
      <c r="C4741" t="str">
        <f t="shared" si="239"/>
        <v>20</v>
      </c>
      <c r="D4741" t="s">
        <v>67</v>
      </c>
      <c r="E4741" t="str">
        <f t="shared" si="240"/>
        <v>021</v>
      </c>
      <c r="F4741" t="s">
        <v>4711</v>
      </c>
      <c r="G4741" t="str">
        <f>"1734"</f>
        <v>1734</v>
      </c>
      <c r="H4741" t="str">
        <f>"0001"</f>
        <v>0001</v>
      </c>
      <c r="I4741" t="s">
        <v>75</v>
      </c>
      <c r="J4741">
        <v>0</v>
      </c>
      <c r="K4741">
        <v>1</v>
      </c>
      <c r="L4741">
        <v>2</v>
      </c>
      <c r="M4741">
        <v>446</v>
      </c>
      <c r="N4741">
        <v>295</v>
      </c>
      <c r="O4741">
        <v>0</v>
      </c>
      <c r="P4741">
        <v>295</v>
      </c>
      <c r="Q4741">
        <v>6</v>
      </c>
      <c r="R4741">
        <v>131</v>
      </c>
      <c r="S4741">
        <v>11</v>
      </c>
      <c r="T4741">
        <v>6</v>
      </c>
      <c r="U4741">
        <v>13</v>
      </c>
      <c r="V4741">
        <v>3</v>
      </c>
      <c r="W4741">
        <v>3</v>
      </c>
      <c r="X4741">
        <v>65</v>
      </c>
      <c r="Y4741">
        <v>1</v>
      </c>
      <c r="Z4741">
        <v>21</v>
      </c>
      <c r="AA4741">
        <v>4</v>
      </c>
      <c r="AB4741">
        <v>0</v>
      </c>
      <c r="AD4741">
        <v>1</v>
      </c>
      <c r="AE4741">
        <v>0</v>
      </c>
      <c r="AF4741">
        <v>0</v>
      </c>
      <c r="AG4741">
        <v>0</v>
      </c>
      <c r="AI4741">
        <v>0</v>
      </c>
      <c r="AJ4741">
        <v>30</v>
      </c>
      <c r="AK4741">
        <v>295</v>
      </c>
      <c r="AL4741">
        <v>295</v>
      </c>
      <c r="AM4741">
        <v>697</v>
      </c>
      <c r="AN4741">
        <v>44</v>
      </c>
      <c r="AP4741">
        <v>1</v>
      </c>
      <c r="AR4741" t="s">
        <v>4843</v>
      </c>
      <c r="AS4741" s="1">
        <v>44354.415277777778</v>
      </c>
      <c r="AT4741" s="1">
        <v>44354.421064814815</v>
      </c>
      <c r="AU4741" s="1">
        <v>44354.422175925924</v>
      </c>
      <c r="AV4741" t="s">
        <v>71</v>
      </c>
      <c r="AW4741" t="s">
        <v>72</v>
      </c>
      <c r="AX4741" t="s">
        <v>73</v>
      </c>
    </row>
    <row r="4742" spans="1:50" x14ac:dyDescent="0.3">
      <c r="A4742" t="str">
        <f>"201734E0100"</f>
        <v>201734E0100</v>
      </c>
      <c r="B4742" t="str">
        <f>"201734E01002"</f>
        <v>201734E01002</v>
      </c>
      <c r="C4742" t="str">
        <f t="shared" si="239"/>
        <v>20</v>
      </c>
      <c r="D4742" t="s">
        <v>67</v>
      </c>
      <c r="E4742" t="str">
        <f t="shared" si="240"/>
        <v>021</v>
      </c>
      <c r="F4742" t="s">
        <v>4711</v>
      </c>
      <c r="G4742" t="str">
        <f>"1734"</f>
        <v>1734</v>
      </c>
      <c r="H4742" t="str">
        <f>"0001"</f>
        <v>0001</v>
      </c>
      <c r="I4742" t="s">
        <v>109</v>
      </c>
      <c r="J4742">
        <v>0</v>
      </c>
      <c r="K4742">
        <v>1</v>
      </c>
      <c r="L4742">
        <v>2</v>
      </c>
      <c r="M4742">
        <v>414</v>
      </c>
      <c r="N4742">
        <v>239</v>
      </c>
      <c r="O4742">
        <v>0</v>
      </c>
      <c r="P4742">
        <v>239</v>
      </c>
      <c r="Q4742">
        <v>2</v>
      </c>
      <c r="R4742">
        <v>19</v>
      </c>
      <c r="S4742">
        <v>9</v>
      </c>
      <c r="T4742">
        <v>5</v>
      </c>
      <c r="U4742">
        <v>20</v>
      </c>
      <c r="V4742">
        <v>2</v>
      </c>
      <c r="W4742">
        <v>6</v>
      </c>
      <c r="X4742">
        <v>110</v>
      </c>
      <c r="Y4742">
        <v>0</v>
      </c>
      <c r="Z4742">
        <v>37</v>
      </c>
      <c r="AA4742">
        <v>1</v>
      </c>
      <c r="AB4742">
        <v>2</v>
      </c>
      <c r="AD4742">
        <v>0</v>
      </c>
      <c r="AE4742">
        <v>1</v>
      </c>
      <c r="AF4742">
        <v>0</v>
      </c>
      <c r="AG4742">
        <v>0</v>
      </c>
      <c r="AI4742">
        <v>0</v>
      </c>
      <c r="AJ4742">
        <v>26</v>
      </c>
      <c r="AK4742">
        <v>239</v>
      </c>
      <c r="AL4742">
        <v>240</v>
      </c>
      <c r="AM4742">
        <v>609</v>
      </c>
      <c r="AN4742">
        <v>44</v>
      </c>
      <c r="AP4742">
        <v>1</v>
      </c>
      <c r="AR4742" t="s">
        <v>4844</v>
      </c>
      <c r="AS4742" s="1">
        <v>44354.415277777778</v>
      </c>
      <c r="AT4742" s="1">
        <v>44354.421099537038</v>
      </c>
      <c r="AU4742" s="1">
        <v>44354.421585648146</v>
      </c>
      <c r="AV4742" t="s">
        <v>71</v>
      </c>
      <c r="AW4742" t="s">
        <v>72</v>
      </c>
      <c r="AX4742" t="s">
        <v>73</v>
      </c>
    </row>
    <row r="4743" spans="1:50" x14ac:dyDescent="0.3">
      <c r="A4743" t="str">
        <f>"201735B0000"</f>
        <v>201735B0000</v>
      </c>
      <c r="B4743" t="str">
        <f>"201735B00002"</f>
        <v>201735B00002</v>
      </c>
      <c r="C4743" t="str">
        <f t="shared" ref="C4743:C4806" si="241">"20"</f>
        <v>20</v>
      </c>
      <c r="D4743" t="s">
        <v>67</v>
      </c>
      <c r="E4743" t="str">
        <f t="shared" si="240"/>
        <v>021</v>
      </c>
      <c r="F4743" t="s">
        <v>4711</v>
      </c>
      <c r="G4743" t="str">
        <f>"1735"</f>
        <v>1735</v>
      </c>
      <c r="H4743" t="str">
        <f>"0000"</f>
        <v>0000</v>
      </c>
      <c r="I4743" t="s">
        <v>69</v>
      </c>
      <c r="J4743">
        <v>0</v>
      </c>
      <c r="K4743">
        <v>1</v>
      </c>
      <c r="L4743">
        <v>2</v>
      </c>
      <c r="M4743">
        <v>471</v>
      </c>
      <c r="N4743">
        <v>190</v>
      </c>
      <c r="O4743">
        <v>0</v>
      </c>
      <c r="P4743">
        <v>190</v>
      </c>
      <c r="Q4743">
        <v>9</v>
      </c>
      <c r="R4743">
        <v>44</v>
      </c>
      <c r="S4743">
        <v>9</v>
      </c>
      <c r="T4743">
        <v>1</v>
      </c>
      <c r="U4743">
        <v>25</v>
      </c>
      <c r="V4743">
        <v>2</v>
      </c>
      <c r="W4743">
        <v>1</v>
      </c>
      <c r="X4743">
        <v>90</v>
      </c>
      <c r="Y4743">
        <v>0</v>
      </c>
      <c r="Z4743">
        <v>3</v>
      </c>
      <c r="AA4743">
        <v>2</v>
      </c>
      <c r="AB4743">
        <v>1</v>
      </c>
      <c r="AD4743">
        <v>1</v>
      </c>
      <c r="AE4743">
        <v>0</v>
      </c>
      <c r="AF4743">
        <v>0</v>
      </c>
      <c r="AG4743">
        <v>0</v>
      </c>
      <c r="AI4743">
        <v>0</v>
      </c>
      <c r="AJ4743">
        <v>2</v>
      </c>
      <c r="AK4743">
        <v>190</v>
      </c>
      <c r="AL4743">
        <v>190</v>
      </c>
      <c r="AM4743">
        <v>617</v>
      </c>
      <c r="AN4743">
        <v>44</v>
      </c>
      <c r="AP4743">
        <v>1</v>
      </c>
      <c r="AR4743" t="s">
        <v>4845</v>
      </c>
      <c r="AS4743" s="1">
        <v>44354.289583333331</v>
      </c>
      <c r="AT4743" s="1">
        <v>44354.308761574073</v>
      </c>
      <c r="AU4743" s="1">
        <v>44354.309560185182</v>
      </c>
      <c r="AV4743" t="s">
        <v>71</v>
      </c>
      <c r="AW4743" t="s">
        <v>72</v>
      </c>
      <c r="AX4743" t="s">
        <v>73</v>
      </c>
    </row>
    <row r="4744" spans="1:50" x14ac:dyDescent="0.3">
      <c r="A4744" t="str">
        <f>"201736B0000"</f>
        <v>201736B0000</v>
      </c>
      <c r="B4744" t="str">
        <f>"201736B00002"</f>
        <v>201736B00002</v>
      </c>
      <c r="C4744" t="str">
        <f t="shared" si="241"/>
        <v>20</v>
      </c>
      <c r="D4744" t="s">
        <v>67</v>
      </c>
      <c r="E4744" t="str">
        <f t="shared" si="240"/>
        <v>021</v>
      </c>
      <c r="F4744" t="s">
        <v>4711</v>
      </c>
      <c r="G4744" t="str">
        <f>"1736"</f>
        <v>1736</v>
      </c>
      <c r="H4744" t="str">
        <f>"0000"</f>
        <v>0000</v>
      </c>
      <c r="I4744" t="s">
        <v>69</v>
      </c>
      <c r="J4744">
        <v>0</v>
      </c>
      <c r="K4744">
        <v>1</v>
      </c>
      <c r="L4744">
        <v>2</v>
      </c>
      <c r="M4744">
        <v>153</v>
      </c>
      <c r="N4744">
        <v>185</v>
      </c>
      <c r="O4744">
        <v>2</v>
      </c>
      <c r="P4744" t="s">
        <v>80</v>
      </c>
      <c r="Q4744">
        <v>2</v>
      </c>
      <c r="R4744">
        <v>77</v>
      </c>
      <c r="S4744">
        <v>8</v>
      </c>
      <c r="T4744">
        <v>3</v>
      </c>
      <c r="U4744">
        <v>6</v>
      </c>
      <c r="V4744">
        <v>1</v>
      </c>
      <c r="W4744">
        <v>2</v>
      </c>
      <c r="X4744">
        <v>16</v>
      </c>
      <c r="Y4744">
        <v>1</v>
      </c>
      <c r="Z4744">
        <v>39</v>
      </c>
      <c r="AA4744">
        <v>1</v>
      </c>
      <c r="AB4744">
        <v>1</v>
      </c>
      <c r="AD4744">
        <v>1</v>
      </c>
      <c r="AE4744">
        <v>1</v>
      </c>
      <c r="AF4744">
        <v>1</v>
      </c>
      <c r="AG4744">
        <v>1</v>
      </c>
      <c r="AI4744">
        <v>0</v>
      </c>
      <c r="AJ4744">
        <v>24</v>
      </c>
      <c r="AK4744">
        <v>185</v>
      </c>
      <c r="AL4744">
        <v>185</v>
      </c>
      <c r="AM4744">
        <v>294</v>
      </c>
      <c r="AN4744">
        <v>44</v>
      </c>
      <c r="AP4744">
        <v>1</v>
      </c>
      <c r="AR4744" t="s">
        <v>4846</v>
      </c>
      <c r="AS4744" s="1">
        <v>44354.338194444441</v>
      </c>
      <c r="AT4744" s="1">
        <v>44354.348668981482</v>
      </c>
      <c r="AU4744" s="1">
        <v>44354.349583333336</v>
      </c>
      <c r="AV4744" t="s">
        <v>71</v>
      </c>
      <c r="AW4744" t="s">
        <v>72</v>
      </c>
      <c r="AX4744" t="s">
        <v>73</v>
      </c>
    </row>
    <row r="4745" spans="1:50" x14ac:dyDescent="0.3">
      <c r="A4745" t="str">
        <f>"201736E0100"</f>
        <v>201736E0100</v>
      </c>
      <c r="B4745" t="str">
        <f>"201736E01002"</f>
        <v>201736E01002</v>
      </c>
      <c r="C4745" t="str">
        <f t="shared" si="241"/>
        <v>20</v>
      </c>
      <c r="D4745" t="s">
        <v>67</v>
      </c>
      <c r="E4745" t="str">
        <f t="shared" si="240"/>
        <v>021</v>
      </c>
      <c r="F4745" t="s">
        <v>4711</v>
      </c>
      <c r="G4745" t="str">
        <f>"1736"</f>
        <v>1736</v>
      </c>
      <c r="H4745" t="str">
        <f>"0001"</f>
        <v>0001</v>
      </c>
      <c r="I4745" t="s">
        <v>109</v>
      </c>
      <c r="J4745">
        <v>0</v>
      </c>
      <c r="K4745">
        <v>1</v>
      </c>
      <c r="L4745">
        <v>2</v>
      </c>
      <c r="M4745">
        <v>143</v>
      </c>
      <c r="N4745">
        <v>103</v>
      </c>
      <c r="O4745">
        <v>0</v>
      </c>
      <c r="P4745">
        <v>103</v>
      </c>
      <c r="Q4745">
        <v>7</v>
      </c>
      <c r="R4745">
        <v>8</v>
      </c>
      <c r="S4745">
        <v>7</v>
      </c>
      <c r="T4745">
        <v>11</v>
      </c>
      <c r="U4745">
        <v>4</v>
      </c>
      <c r="V4745">
        <v>1</v>
      </c>
      <c r="W4745">
        <v>0</v>
      </c>
      <c r="X4745">
        <v>51</v>
      </c>
      <c r="Y4745">
        <v>1</v>
      </c>
      <c r="Z4745">
        <v>5</v>
      </c>
      <c r="AA4745">
        <v>0</v>
      </c>
      <c r="AB4745">
        <v>0</v>
      </c>
      <c r="AD4745">
        <v>0</v>
      </c>
      <c r="AE4745">
        <v>0</v>
      </c>
      <c r="AF4745">
        <v>0</v>
      </c>
      <c r="AG4745">
        <v>0</v>
      </c>
      <c r="AI4745" t="s">
        <v>77</v>
      </c>
      <c r="AJ4745">
        <v>7</v>
      </c>
      <c r="AK4745">
        <v>103</v>
      </c>
      <c r="AL4745">
        <v>102</v>
      </c>
      <c r="AM4745">
        <v>202</v>
      </c>
      <c r="AN4745">
        <v>44</v>
      </c>
      <c r="AO4745" t="s">
        <v>78</v>
      </c>
      <c r="AP4745">
        <v>1</v>
      </c>
      <c r="AR4745" t="s">
        <v>4847</v>
      </c>
      <c r="AS4745" s="1">
        <v>44354.338888888888</v>
      </c>
      <c r="AT4745" s="1">
        <v>44354.34684027778</v>
      </c>
      <c r="AU4745" s="1">
        <v>44354.347731481481</v>
      </c>
      <c r="AV4745" t="s">
        <v>71</v>
      </c>
      <c r="AW4745" t="s">
        <v>72</v>
      </c>
      <c r="AX4745" t="s">
        <v>73</v>
      </c>
    </row>
    <row r="4746" spans="1:50" x14ac:dyDescent="0.3">
      <c r="A4746" t="str">
        <f>"201736E0200"</f>
        <v>201736E0200</v>
      </c>
      <c r="B4746" t="str">
        <f>"201736E02002"</f>
        <v>201736E02002</v>
      </c>
      <c r="C4746" t="str">
        <f t="shared" si="241"/>
        <v>20</v>
      </c>
      <c r="D4746" t="s">
        <v>67</v>
      </c>
      <c r="E4746" t="str">
        <f t="shared" si="240"/>
        <v>021</v>
      </c>
      <c r="F4746" t="s">
        <v>4711</v>
      </c>
      <c r="G4746" t="str">
        <f>"1736"</f>
        <v>1736</v>
      </c>
      <c r="H4746" t="str">
        <f>"0002"</f>
        <v>0002</v>
      </c>
      <c r="I4746" t="s">
        <v>109</v>
      </c>
      <c r="J4746">
        <v>0</v>
      </c>
      <c r="K4746">
        <v>1</v>
      </c>
      <c r="L4746">
        <v>2</v>
      </c>
      <c r="M4746">
        <v>411</v>
      </c>
      <c r="N4746">
        <v>182</v>
      </c>
      <c r="O4746">
        <v>0</v>
      </c>
      <c r="P4746">
        <v>182</v>
      </c>
      <c r="Q4746">
        <v>8</v>
      </c>
      <c r="R4746">
        <v>83</v>
      </c>
      <c r="S4746">
        <v>12</v>
      </c>
      <c r="T4746">
        <v>3</v>
      </c>
      <c r="U4746">
        <v>10</v>
      </c>
      <c r="V4746">
        <v>2</v>
      </c>
      <c r="W4746">
        <v>0</v>
      </c>
      <c r="X4746">
        <v>35</v>
      </c>
      <c r="Y4746">
        <v>0</v>
      </c>
      <c r="Z4746">
        <v>7</v>
      </c>
      <c r="AA4746">
        <v>0</v>
      </c>
      <c r="AB4746">
        <v>3</v>
      </c>
      <c r="AD4746" t="s">
        <v>77</v>
      </c>
      <c r="AE4746" t="s">
        <v>77</v>
      </c>
      <c r="AF4746" t="s">
        <v>77</v>
      </c>
      <c r="AG4746" t="s">
        <v>77</v>
      </c>
      <c r="AI4746" t="s">
        <v>77</v>
      </c>
      <c r="AJ4746" t="s">
        <v>77</v>
      </c>
      <c r="AK4746" t="s">
        <v>77</v>
      </c>
      <c r="AL4746">
        <v>163</v>
      </c>
      <c r="AM4746">
        <v>549</v>
      </c>
      <c r="AN4746">
        <v>44</v>
      </c>
      <c r="AO4746" t="s">
        <v>78</v>
      </c>
      <c r="AP4746">
        <v>1</v>
      </c>
      <c r="AR4746" t="s">
        <v>4848</v>
      </c>
      <c r="AS4746" s="1">
        <v>44354.338194444441</v>
      </c>
      <c r="AT4746" s="1">
        <v>44354.34952546296</v>
      </c>
      <c r="AU4746" s="1">
        <v>44354.350763888891</v>
      </c>
      <c r="AV4746" t="s">
        <v>71</v>
      </c>
      <c r="AW4746" t="s">
        <v>72</v>
      </c>
      <c r="AX4746" t="s">
        <v>73</v>
      </c>
    </row>
    <row r="4747" spans="1:50" x14ac:dyDescent="0.3">
      <c r="A4747" t="str">
        <f>"201736E0201"</f>
        <v>201736E0201</v>
      </c>
      <c r="B4747" t="str">
        <f>"201736E02012"</f>
        <v>201736E02012</v>
      </c>
      <c r="C4747" t="str">
        <f t="shared" si="241"/>
        <v>20</v>
      </c>
      <c r="D4747" t="s">
        <v>67</v>
      </c>
      <c r="E4747" t="str">
        <f t="shared" si="240"/>
        <v>021</v>
      </c>
      <c r="F4747" t="s">
        <v>4711</v>
      </c>
      <c r="G4747" t="str">
        <f>"1736"</f>
        <v>1736</v>
      </c>
      <c r="H4747" t="str">
        <f>"0002"</f>
        <v>0002</v>
      </c>
      <c r="I4747" t="s">
        <v>109</v>
      </c>
      <c r="J4747">
        <v>1</v>
      </c>
      <c r="K4747">
        <v>1</v>
      </c>
      <c r="L4747">
        <v>2</v>
      </c>
      <c r="M4747">
        <v>408</v>
      </c>
      <c r="N4747">
        <v>184</v>
      </c>
      <c r="O4747">
        <v>0</v>
      </c>
      <c r="P4747">
        <v>184</v>
      </c>
      <c r="Q4747">
        <v>3</v>
      </c>
      <c r="R4747">
        <v>63</v>
      </c>
      <c r="S4747">
        <v>13</v>
      </c>
      <c r="T4747">
        <v>5</v>
      </c>
      <c r="U4747">
        <v>8</v>
      </c>
      <c r="V4747">
        <v>0</v>
      </c>
      <c r="W4747">
        <v>1</v>
      </c>
      <c r="X4747">
        <v>50</v>
      </c>
      <c r="Y4747">
        <v>2</v>
      </c>
      <c r="Z4747">
        <v>8</v>
      </c>
      <c r="AA4747">
        <v>1</v>
      </c>
      <c r="AB4747">
        <v>8</v>
      </c>
      <c r="AD4747">
        <v>0</v>
      </c>
      <c r="AE4747">
        <v>0</v>
      </c>
      <c r="AF4747">
        <v>0</v>
      </c>
      <c r="AG4747">
        <v>0</v>
      </c>
      <c r="AI4747">
        <v>0</v>
      </c>
      <c r="AJ4747">
        <v>22</v>
      </c>
      <c r="AK4747">
        <v>184</v>
      </c>
      <c r="AL4747">
        <v>184</v>
      </c>
      <c r="AM4747">
        <v>548</v>
      </c>
      <c r="AN4747">
        <v>44</v>
      </c>
      <c r="AP4747">
        <v>1</v>
      </c>
      <c r="AR4747" t="s">
        <v>4849</v>
      </c>
      <c r="AS4747" s="1">
        <v>44354.338194444441</v>
      </c>
      <c r="AT4747" s="1">
        <v>44354.347719907404</v>
      </c>
      <c r="AU4747" s="1">
        <v>44354.348333333335</v>
      </c>
      <c r="AV4747" t="s">
        <v>71</v>
      </c>
      <c r="AW4747" t="s">
        <v>72</v>
      </c>
      <c r="AX4747" t="s">
        <v>73</v>
      </c>
    </row>
    <row r="4748" spans="1:50" x14ac:dyDescent="0.3">
      <c r="A4748" t="str">
        <f>"201737B0000"</f>
        <v>201737B0000</v>
      </c>
      <c r="B4748" t="str">
        <f>"201737B00002"</f>
        <v>201737B00002</v>
      </c>
      <c r="C4748" t="str">
        <f t="shared" si="241"/>
        <v>20</v>
      </c>
      <c r="D4748" t="s">
        <v>67</v>
      </c>
      <c r="E4748" t="str">
        <f t="shared" si="240"/>
        <v>021</v>
      </c>
      <c r="F4748" t="s">
        <v>4711</v>
      </c>
      <c r="G4748" t="str">
        <f>"1737"</f>
        <v>1737</v>
      </c>
      <c r="H4748" t="str">
        <f>"0000"</f>
        <v>0000</v>
      </c>
      <c r="I4748" t="s">
        <v>69</v>
      </c>
      <c r="J4748">
        <v>0</v>
      </c>
      <c r="K4748">
        <v>1</v>
      </c>
      <c r="L4748">
        <v>2</v>
      </c>
      <c r="M4748">
        <v>299</v>
      </c>
      <c r="N4748">
        <v>228</v>
      </c>
      <c r="O4748">
        <v>0</v>
      </c>
      <c r="P4748">
        <v>0</v>
      </c>
      <c r="Q4748">
        <v>2</v>
      </c>
      <c r="R4748">
        <v>54</v>
      </c>
      <c r="S4748">
        <v>1</v>
      </c>
      <c r="T4748">
        <v>7</v>
      </c>
      <c r="U4748">
        <v>6</v>
      </c>
      <c r="V4748">
        <v>7</v>
      </c>
      <c r="W4748">
        <v>2</v>
      </c>
      <c r="X4748">
        <v>95</v>
      </c>
      <c r="Y4748">
        <v>5</v>
      </c>
      <c r="Z4748">
        <v>27</v>
      </c>
      <c r="AA4748">
        <v>4</v>
      </c>
      <c r="AB4748">
        <v>0</v>
      </c>
      <c r="AD4748">
        <v>1</v>
      </c>
      <c r="AE4748">
        <v>1</v>
      </c>
      <c r="AF4748">
        <v>0</v>
      </c>
      <c r="AG4748">
        <v>0</v>
      </c>
      <c r="AI4748">
        <v>0</v>
      </c>
      <c r="AJ4748">
        <v>16</v>
      </c>
      <c r="AK4748">
        <v>228</v>
      </c>
      <c r="AL4748">
        <v>228</v>
      </c>
      <c r="AM4748">
        <v>483</v>
      </c>
      <c r="AN4748">
        <v>44</v>
      </c>
      <c r="AP4748">
        <v>1</v>
      </c>
      <c r="AR4748" t="s">
        <v>4850</v>
      </c>
      <c r="AS4748" s="1">
        <v>44354.338888888888</v>
      </c>
      <c r="AT4748" s="1">
        <v>44354.347962962966</v>
      </c>
      <c r="AU4748" s="1">
        <v>44354.348449074074</v>
      </c>
      <c r="AV4748" t="s">
        <v>71</v>
      </c>
      <c r="AW4748" t="s">
        <v>72</v>
      </c>
      <c r="AX4748" t="s">
        <v>73</v>
      </c>
    </row>
    <row r="4749" spans="1:50" x14ac:dyDescent="0.3">
      <c r="A4749" t="str">
        <f>"201737E0100"</f>
        <v>201737E0100</v>
      </c>
      <c r="B4749" t="str">
        <f>"201737E01002"</f>
        <v>201737E01002</v>
      </c>
      <c r="C4749" t="str">
        <f t="shared" si="241"/>
        <v>20</v>
      </c>
      <c r="D4749" t="s">
        <v>67</v>
      </c>
      <c r="E4749" t="str">
        <f t="shared" si="240"/>
        <v>021</v>
      </c>
      <c r="F4749" t="s">
        <v>4711</v>
      </c>
      <c r="G4749" t="str">
        <f>"1737"</f>
        <v>1737</v>
      </c>
      <c r="H4749" t="str">
        <f>"0001"</f>
        <v>0001</v>
      </c>
      <c r="I4749" t="s">
        <v>109</v>
      </c>
      <c r="J4749">
        <v>0</v>
      </c>
      <c r="K4749">
        <v>1</v>
      </c>
      <c r="L4749">
        <v>2</v>
      </c>
      <c r="M4749" t="s">
        <v>80</v>
      </c>
      <c r="N4749" t="s">
        <v>80</v>
      </c>
      <c r="O4749" t="s">
        <v>80</v>
      </c>
      <c r="P4749">
        <v>153</v>
      </c>
      <c r="Q4749">
        <v>0</v>
      </c>
      <c r="R4749">
        <v>67</v>
      </c>
      <c r="S4749">
        <v>1</v>
      </c>
      <c r="T4749">
        <v>6</v>
      </c>
      <c r="U4749">
        <v>2</v>
      </c>
      <c r="V4749">
        <v>3</v>
      </c>
      <c r="W4749">
        <v>23</v>
      </c>
      <c r="X4749">
        <v>12</v>
      </c>
      <c r="Y4749">
        <v>2</v>
      </c>
      <c r="Z4749">
        <v>23</v>
      </c>
      <c r="AA4749">
        <v>0</v>
      </c>
      <c r="AB4749">
        <v>2</v>
      </c>
      <c r="AD4749">
        <v>1</v>
      </c>
      <c r="AE4749">
        <v>0</v>
      </c>
      <c r="AF4749">
        <v>0</v>
      </c>
      <c r="AG4749">
        <v>1</v>
      </c>
      <c r="AI4749">
        <v>0</v>
      </c>
      <c r="AJ4749">
        <v>9</v>
      </c>
      <c r="AK4749">
        <v>153</v>
      </c>
      <c r="AL4749">
        <v>152</v>
      </c>
      <c r="AM4749">
        <v>558</v>
      </c>
      <c r="AN4749">
        <v>44</v>
      </c>
      <c r="AP4749">
        <v>1</v>
      </c>
      <c r="AR4749" t="s">
        <v>4851</v>
      </c>
      <c r="AS4749" s="1">
        <v>44354.339583333334</v>
      </c>
      <c r="AT4749" s="1">
        <v>44354.343831018516</v>
      </c>
      <c r="AU4749" s="1">
        <v>44354.34447916667</v>
      </c>
      <c r="AV4749" t="s">
        <v>71</v>
      </c>
      <c r="AW4749" t="s">
        <v>72</v>
      </c>
      <c r="AX4749" t="s">
        <v>73</v>
      </c>
    </row>
    <row r="4750" spans="1:50" x14ac:dyDescent="0.3">
      <c r="A4750" t="str">
        <f>"201737E0200"</f>
        <v>201737E0200</v>
      </c>
      <c r="B4750" t="str">
        <f>"201737E02002"</f>
        <v>201737E02002</v>
      </c>
      <c r="C4750" t="str">
        <f t="shared" si="241"/>
        <v>20</v>
      </c>
      <c r="D4750" t="s">
        <v>67</v>
      </c>
      <c r="E4750" t="str">
        <f t="shared" si="240"/>
        <v>021</v>
      </c>
      <c r="F4750" t="s">
        <v>4711</v>
      </c>
      <c r="G4750" t="str">
        <f>"1737"</f>
        <v>1737</v>
      </c>
      <c r="H4750" t="str">
        <f>"0002"</f>
        <v>0002</v>
      </c>
      <c r="I4750" t="s">
        <v>109</v>
      </c>
      <c r="J4750">
        <v>0</v>
      </c>
      <c r="K4750">
        <v>1</v>
      </c>
      <c r="L4750">
        <v>2</v>
      </c>
      <c r="M4750">
        <v>422</v>
      </c>
      <c r="N4750">
        <v>272</v>
      </c>
      <c r="O4750">
        <v>0</v>
      </c>
      <c r="P4750">
        <v>272</v>
      </c>
      <c r="Q4750">
        <v>4</v>
      </c>
      <c r="R4750">
        <v>134</v>
      </c>
      <c r="S4750">
        <v>10</v>
      </c>
      <c r="T4750">
        <v>17</v>
      </c>
      <c r="U4750">
        <v>8</v>
      </c>
      <c r="V4750">
        <v>2</v>
      </c>
      <c r="W4750">
        <v>6</v>
      </c>
      <c r="X4750">
        <v>40</v>
      </c>
      <c r="Y4750">
        <v>2</v>
      </c>
      <c r="Z4750">
        <v>2</v>
      </c>
      <c r="AA4750">
        <v>1</v>
      </c>
      <c r="AB4750">
        <v>4</v>
      </c>
      <c r="AD4750">
        <v>0</v>
      </c>
      <c r="AE4750">
        <v>0</v>
      </c>
      <c r="AF4750">
        <v>0</v>
      </c>
      <c r="AG4750">
        <v>0</v>
      </c>
      <c r="AI4750">
        <v>0</v>
      </c>
      <c r="AJ4750">
        <v>42</v>
      </c>
      <c r="AK4750">
        <v>272</v>
      </c>
      <c r="AL4750">
        <v>272</v>
      </c>
      <c r="AM4750">
        <v>649</v>
      </c>
      <c r="AN4750">
        <v>44</v>
      </c>
      <c r="AP4750">
        <v>1</v>
      </c>
      <c r="AR4750" t="s">
        <v>4852</v>
      </c>
      <c r="AS4750" s="1">
        <v>44354.339583333334</v>
      </c>
      <c r="AT4750" s="1">
        <v>44354.341979166667</v>
      </c>
      <c r="AU4750" s="1">
        <v>44354.342534722222</v>
      </c>
      <c r="AV4750" t="s">
        <v>71</v>
      </c>
      <c r="AW4750" t="s">
        <v>72</v>
      </c>
      <c r="AX4750" t="s">
        <v>73</v>
      </c>
    </row>
    <row r="4751" spans="1:50" x14ac:dyDescent="0.3">
      <c r="A4751" t="str">
        <f>"201737E0300"</f>
        <v>201737E0300</v>
      </c>
      <c r="B4751" t="str">
        <f>"201737E03002"</f>
        <v>201737E03002</v>
      </c>
      <c r="C4751" t="str">
        <f t="shared" si="241"/>
        <v>20</v>
      </c>
      <c r="D4751" t="s">
        <v>67</v>
      </c>
      <c r="E4751" t="str">
        <f t="shared" si="240"/>
        <v>021</v>
      </c>
      <c r="F4751" t="s">
        <v>4711</v>
      </c>
      <c r="G4751" t="str">
        <f>"1737"</f>
        <v>1737</v>
      </c>
      <c r="H4751" t="str">
        <f>"0003"</f>
        <v>0003</v>
      </c>
      <c r="I4751" t="s">
        <v>109</v>
      </c>
      <c r="J4751">
        <v>0</v>
      </c>
      <c r="K4751">
        <v>1</v>
      </c>
      <c r="L4751">
        <v>2</v>
      </c>
      <c r="M4751">
        <v>202</v>
      </c>
      <c r="N4751">
        <v>96</v>
      </c>
      <c r="O4751">
        <v>0</v>
      </c>
      <c r="P4751">
        <v>96</v>
      </c>
      <c r="Q4751">
        <v>1</v>
      </c>
      <c r="R4751">
        <v>57</v>
      </c>
      <c r="S4751">
        <v>1</v>
      </c>
      <c r="T4751">
        <v>5</v>
      </c>
      <c r="U4751">
        <v>4</v>
      </c>
      <c r="V4751">
        <v>0</v>
      </c>
      <c r="W4751">
        <v>3</v>
      </c>
      <c r="X4751">
        <v>19</v>
      </c>
      <c r="Y4751">
        <v>0</v>
      </c>
      <c r="Z4751">
        <v>1</v>
      </c>
      <c r="AA4751">
        <v>1</v>
      </c>
      <c r="AB4751">
        <v>0</v>
      </c>
      <c r="AD4751">
        <v>0</v>
      </c>
      <c r="AE4751">
        <v>1</v>
      </c>
      <c r="AF4751">
        <v>0</v>
      </c>
      <c r="AG4751">
        <v>0</v>
      </c>
      <c r="AI4751">
        <v>0</v>
      </c>
      <c r="AJ4751">
        <v>3</v>
      </c>
      <c r="AK4751">
        <v>96</v>
      </c>
      <c r="AL4751">
        <v>96</v>
      </c>
      <c r="AM4751">
        <v>254</v>
      </c>
      <c r="AN4751">
        <v>44</v>
      </c>
      <c r="AP4751">
        <v>1</v>
      </c>
      <c r="AR4751" t="s">
        <v>4853</v>
      </c>
      <c r="AS4751" s="1">
        <v>44354.339583333334</v>
      </c>
      <c r="AT4751" s="1">
        <v>44354.346030092594</v>
      </c>
      <c r="AU4751" s="1">
        <v>44354.348622685182</v>
      </c>
      <c r="AV4751" t="s">
        <v>71</v>
      </c>
      <c r="AW4751" t="s">
        <v>72</v>
      </c>
      <c r="AX4751" t="s">
        <v>73</v>
      </c>
    </row>
    <row r="4752" spans="1:50" x14ac:dyDescent="0.3">
      <c r="A4752" t="str">
        <f>"201950B0000"</f>
        <v>201950B0000</v>
      </c>
      <c r="B4752" t="str">
        <f>"201950B00002"</f>
        <v>201950B00002</v>
      </c>
      <c r="C4752" t="str">
        <f t="shared" si="241"/>
        <v>20</v>
      </c>
      <c r="D4752" t="s">
        <v>67</v>
      </c>
      <c r="E4752" t="str">
        <f t="shared" si="240"/>
        <v>021</v>
      </c>
      <c r="F4752" t="s">
        <v>4711</v>
      </c>
      <c r="G4752" t="str">
        <f>"1950"</f>
        <v>1950</v>
      </c>
      <c r="H4752" t="str">
        <f>"0000"</f>
        <v>0000</v>
      </c>
      <c r="I4752" t="s">
        <v>69</v>
      </c>
      <c r="J4752">
        <v>0</v>
      </c>
      <c r="K4752">
        <v>1</v>
      </c>
      <c r="L4752">
        <v>2</v>
      </c>
      <c r="M4752">
        <v>524</v>
      </c>
      <c r="N4752">
        <v>226</v>
      </c>
      <c r="O4752">
        <v>0</v>
      </c>
      <c r="P4752">
        <v>226</v>
      </c>
      <c r="Q4752">
        <v>12</v>
      </c>
      <c r="R4752">
        <v>59</v>
      </c>
      <c r="S4752">
        <v>5</v>
      </c>
      <c r="T4752">
        <v>3</v>
      </c>
      <c r="U4752">
        <v>26</v>
      </c>
      <c r="V4752">
        <v>1</v>
      </c>
      <c r="W4752">
        <v>6</v>
      </c>
      <c r="X4752">
        <v>86</v>
      </c>
      <c r="Y4752">
        <v>0</v>
      </c>
      <c r="Z4752">
        <v>14</v>
      </c>
      <c r="AA4752">
        <v>0</v>
      </c>
      <c r="AB4752">
        <v>0</v>
      </c>
      <c r="AD4752">
        <v>0</v>
      </c>
      <c r="AE4752">
        <v>0</v>
      </c>
      <c r="AF4752">
        <v>1</v>
      </c>
      <c r="AG4752">
        <v>1</v>
      </c>
      <c r="AI4752" t="s">
        <v>77</v>
      </c>
      <c r="AJ4752">
        <v>2</v>
      </c>
      <c r="AK4752">
        <v>226</v>
      </c>
      <c r="AL4752">
        <v>216</v>
      </c>
      <c r="AM4752">
        <v>706</v>
      </c>
      <c r="AN4752">
        <v>44</v>
      </c>
      <c r="AO4752" t="s">
        <v>78</v>
      </c>
      <c r="AP4752">
        <v>1</v>
      </c>
      <c r="AR4752" t="s">
        <v>4854</v>
      </c>
      <c r="AS4752" s="1">
        <v>44354.402083333334</v>
      </c>
      <c r="AT4752" s="1">
        <v>44354.406006944446</v>
      </c>
      <c r="AU4752" s="1">
        <v>44354.406504629631</v>
      </c>
      <c r="AV4752" t="s">
        <v>71</v>
      </c>
      <c r="AW4752" t="s">
        <v>72</v>
      </c>
      <c r="AX4752" t="s">
        <v>73</v>
      </c>
    </row>
    <row r="4753" spans="1:50" x14ac:dyDescent="0.3">
      <c r="A4753" t="str">
        <f>"201950C0100"</f>
        <v>201950C0100</v>
      </c>
      <c r="B4753" t="str">
        <f>"201950C01002"</f>
        <v>201950C01002</v>
      </c>
      <c r="C4753" t="str">
        <f t="shared" si="241"/>
        <v>20</v>
      </c>
      <c r="D4753" t="s">
        <v>67</v>
      </c>
      <c r="E4753" t="str">
        <f t="shared" si="240"/>
        <v>021</v>
      </c>
      <c r="F4753" t="s">
        <v>4711</v>
      </c>
      <c r="G4753" t="str">
        <f>"1950"</f>
        <v>1950</v>
      </c>
      <c r="H4753" t="str">
        <f>"0001"</f>
        <v>0001</v>
      </c>
      <c r="I4753" t="s">
        <v>75</v>
      </c>
      <c r="J4753">
        <v>0</v>
      </c>
      <c r="K4753">
        <v>1</v>
      </c>
      <c r="L4753">
        <v>2</v>
      </c>
      <c r="M4753">
        <v>556</v>
      </c>
      <c r="N4753">
        <v>194</v>
      </c>
      <c r="O4753">
        <v>0</v>
      </c>
      <c r="P4753">
        <v>194</v>
      </c>
      <c r="Q4753">
        <v>8</v>
      </c>
      <c r="R4753">
        <v>58</v>
      </c>
      <c r="S4753">
        <v>7</v>
      </c>
      <c r="T4753">
        <v>0</v>
      </c>
      <c r="U4753">
        <v>35</v>
      </c>
      <c r="V4753">
        <v>2</v>
      </c>
      <c r="W4753">
        <v>1</v>
      </c>
      <c r="X4753">
        <v>53</v>
      </c>
      <c r="Y4753">
        <v>0</v>
      </c>
      <c r="Z4753">
        <v>11</v>
      </c>
      <c r="AA4753">
        <v>1</v>
      </c>
      <c r="AB4753">
        <v>0</v>
      </c>
      <c r="AD4753">
        <v>0</v>
      </c>
      <c r="AE4753">
        <v>0</v>
      </c>
      <c r="AF4753">
        <v>0</v>
      </c>
      <c r="AG4753">
        <v>0</v>
      </c>
      <c r="AI4753">
        <v>0</v>
      </c>
      <c r="AJ4753">
        <v>18</v>
      </c>
      <c r="AK4753" t="s">
        <v>77</v>
      </c>
      <c r="AL4753">
        <v>194</v>
      </c>
      <c r="AM4753">
        <v>706</v>
      </c>
      <c r="AN4753">
        <v>44</v>
      </c>
      <c r="AP4753">
        <v>1</v>
      </c>
      <c r="AR4753" t="s">
        <v>4855</v>
      </c>
      <c r="AS4753" s="1">
        <v>44354.404861111114</v>
      </c>
      <c r="AT4753" s="1">
        <v>44354.55872685185</v>
      </c>
      <c r="AU4753" s="1">
        <v>44354.55940972222</v>
      </c>
      <c r="AV4753" t="s">
        <v>71</v>
      </c>
      <c r="AW4753" t="s">
        <v>72</v>
      </c>
      <c r="AX4753" t="s">
        <v>73</v>
      </c>
    </row>
    <row r="4754" spans="1:50" x14ac:dyDescent="0.3">
      <c r="A4754" t="str">
        <f>"201955B0000"</f>
        <v>201955B0000</v>
      </c>
      <c r="B4754" t="str">
        <f>"201955B00002"</f>
        <v>201955B00002</v>
      </c>
      <c r="C4754" t="str">
        <f t="shared" si="241"/>
        <v>20</v>
      </c>
      <c r="D4754" t="s">
        <v>67</v>
      </c>
      <c r="E4754" t="str">
        <f t="shared" si="240"/>
        <v>021</v>
      </c>
      <c r="F4754" t="s">
        <v>4711</v>
      </c>
      <c r="G4754" t="str">
        <f>"1955"</f>
        <v>1955</v>
      </c>
      <c r="H4754" t="str">
        <f>"0000"</f>
        <v>0000</v>
      </c>
      <c r="I4754" t="s">
        <v>69</v>
      </c>
      <c r="J4754">
        <v>0</v>
      </c>
      <c r="K4754">
        <v>1</v>
      </c>
      <c r="L4754">
        <v>2</v>
      </c>
      <c r="M4754">
        <v>499</v>
      </c>
      <c r="N4754">
        <v>183</v>
      </c>
      <c r="O4754">
        <v>0</v>
      </c>
      <c r="P4754">
        <v>183</v>
      </c>
      <c r="Q4754">
        <v>4</v>
      </c>
      <c r="R4754">
        <v>25</v>
      </c>
      <c r="S4754">
        <v>6</v>
      </c>
      <c r="T4754">
        <v>1</v>
      </c>
      <c r="U4754">
        <v>21</v>
      </c>
      <c r="V4754">
        <v>2</v>
      </c>
      <c r="W4754">
        <v>13</v>
      </c>
      <c r="X4754">
        <v>89</v>
      </c>
      <c r="Y4754">
        <v>0</v>
      </c>
      <c r="Z4754">
        <v>6</v>
      </c>
      <c r="AA4754">
        <v>0</v>
      </c>
      <c r="AB4754">
        <v>5</v>
      </c>
      <c r="AD4754">
        <v>2</v>
      </c>
      <c r="AE4754">
        <v>0</v>
      </c>
      <c r="AF4754">
        <v>0</v>
      </c>
      <c r="AG4754">
        <v>0</v>
      </c>
      <c r="AI4754">
        <v>0</v>
      </c>
      <c r="AJ4754">
        <v>9</v>
      </c>
      <c r="AK4754">
        <v>183</v>
      </c>
      <c r="AL4754">
        <v>183</v>
      </c>
      <c r="AM4754">
        <v>638</v>
      </c>
      <c r="AN4754">
        <v>44</v>
      </c>
      <c r="AP4754">
        <v>1</v>
      </c>
      <c r="AR4754" t="s">
        <v>4856</v>
      </c>
      <c r="AS4754" s="1">
        <v>44354.54583333333</v>
      </c>
      <c r="AT4754" s="1">
        <v>44354.553298611114</v>
      </c>
      <c r="AU4754" s="1">
        <v>44354.554085648146</v>
      </c>
      <c r="AV4754" t="s">
        <v>71</v>
      </c>
      <c r="AW4754" t="s">
        <v>72</v>
      </c>
      <c r="AX4754" t="s">
        <v>73</v>
      </c>
    </row>
    <row r="4755" spans="1:50" x14ac:dyDescent="0.3">
      <c r="A4755" t="str">
        <f>"201955C0100"</f>
        <v>201955C0100</v>
      </c>
      <c r="B4755" t="str">
        <f>"201955C01002"</f>
        <v>201955C01002</v>
      </c>
      <c r="C4755" t="str">
        <f t="shared" si="241"/>
        <v>20</v>
      </c>
      <c r="D4755" t="s">
        <v>67</v>
      </c>
      <c r="E4755" t="str">
        <f t="shared" si="240"/>
        <v>021</v>
      </c>
      <c r="F4755" t="s">
        <v>4711</v>
      </c>
      <c r="G4755" t="str">
        <f>"1955"</f>
        <v>1955</v>
      </c>
      <c r="H4755" t="str">
        <f>"0001"</f>
        <v>0001</v>
      </c>
      <c r="I4755" t="s">
        <v>75</v>
      </c>
      <c r="J4755">
        <v>0</v>
      </c>
      <c r="K4755">
        <v>1</v>
      </c>
      <c r="L4755">
        <v>2</v>
      </c>
      <c r="M4755">
        <v>488</v>
      </c>
      <c r="N4755">
        <v>194</v>
      </c>
      <c r="O4755">
        <v>0</v>
      </c>
      <c r="P4755">
        <v>194</v>
      </c>
      <c r="Q4755">
        <v>6</v>
      </c>
      <c r="R4755">
        <v>26</v>
      </c>
      <c r="S4755">
        <v>1</v>
      </c>
      <c r="T4755">
        <v>1</v>
      </c>
      <c r="U4755">
        <v>23</v>
      </c>
      <c r="V4755">
        <v>2</v>
      </c>
      <c r="W4755">
        <v>8</v>
      </c>
      <c r="X4755">
        <v>111</v>
      </c>
      <c r="Y4755">
        <v>1</v>
      </c>
      <c r="Z4755">
        <v>3</v>
      </c>
      <c r="AA4755">
        <v>1</v>
      </c>
      <c r="AB4755">
        <v>4</v>
      </c>
      <c r="AD4755">
        <v>0</v>
      </c>
      <c r="AE4755">
        <v>0</v>
      </c>
      <c r="AF4755">
        <v>0</v>
      </c>
      <c r="AG4755">
        <v>1</v>
      </c>
      <c r="AI4755">
        <v>0</v>
      </c>
      <c r="AJ4755">
        <v>6</v>
      </c>
      <c r="AK4755">
        <v>194</v>
      </c>
      <c r="AL4755">
        <v>194</v>
      </c>
      <c r="AM4755">
        <v>638</v>
      </c>
      <c r="AN4755">
        <v>44</v>
      </c>
      <c r="AP4755">
        <v>1</v>
      </c>
      <c r="AR4755" t="s">
        <v>4857</v>
      </c>
      <c r="AS4755" s="1">
        <v>44354.546527777777</v>
      </c>
      <c r="AT4755" s="1">
        <v>44354.549120370371</v>
      </c>
      <c r="AU4755" s="1">
        <v>44354.549722222226</v>
      </c>
      <c r="AV4755" t="s">
        <v>71</v>
      </c>
      <c r="AW4755" t="s">
        <v>72</v>
      </c>
      <c r="AX4755" t="s">
        <v>73</v>
      </c>
    </row>
    <row r="4756" spans="1:50" x14ac:dyDescent="0.3">
      <c r="A4756" t="str">
        <f>"201955E0100"</f>
        <v>201955E0100</v>
      </c>
      <c r="B4756" t="str">
        <f>"201955E01002"</f>
        <v>201955E01002</v>
      </c>
      <c r="C4756" t="str">
        <f t="shared" si="241"/>
        <v>20</v>
      </c>
      <c r="D4756" t="s">
        <v>67</v>
      </c>
      <c r="E4756" t="str">
        <f t="shared" si="240"/>
        <v>021</v>
      </c>
      <c r="F4756" t="s">
        <v>4711</v>
      </c>
      <c r="G4756" t="str">
        <f>"1955"</f>
        <v>1955</v>
      </c>
      <c r="H4756" t="str">
        <f>"0001"</f>
        <v>0001</v>
      </c>
      <c r="I4756" t="s">
        <v>109</v>
      </c>
      <c r="J4756">
        <v>0</v>
      </c>
      <c r="K4756">
        <v>1</v>
      </c>
      <c r="L4756">
        <v>2</v>
      </c>
      <c r="M4756">
        <v>363</v>
      </c>
      <c r="N4756">
        <v>58</v>
      </c>
      <c r="O4756">
        <v>0</v>
      </c>
      <c r="P4756">
        <v>58</v>
      </c>
      <c r="Q4756">
        <v>0</v>
      </c>
      <c r="R4756">
        <v>4</v>
      </c>
      <c r="S4756">
        <v>5</v>
      </c>
      <c r="T4756">
        <v>1</v>
      </c>
      <c r="U4756">
        <v>6</v>
      </c>
      <c r="V4756">
        <v>1</v>
      </c>
      <c r="W4756">
        <v>0</v>
      </c>
      <c r="X4756">
        <v>35</v>
      </c>
      <c r="Y4756">
        <v>0</v>
      </c>
      <c r="Z4756">
        <v>1</v>
      </c>
      <c r="AA4756" t="s">
        <v>77</v>
      </c>
      <c r="AB4756" t="s">
        <v>77</v>
      </c>
      <c r="AD4756" t="s">
        <v>77</v>
      </c>
      <c r="AE4756" t="s">
        <v>77</v>
      </c>
      <c r="AF4756" t="s">
        <v>77</v>
      </c>
      <c r="AG4756" t="s">
        <v>77</v>
      </c>
      <c r="AI4756" t="s">
        <v>77</v>
      </c>
      <c r="AJ4756">
        <v>5</v>
      </c>
      <c r="AK4756">
        <v>58</v>
      </c>
      <c r="AL4756">
        <v>58</v>
      </c>
      <c r="AM4756">
        <v>378</v>
      </c>
      <c r="AN4756">
        <v>44</v>
      </c>
      <c r="AO4756" t="s">
        <v>78</v>
      </c>
      <c r="AP4756">
        <v>1</v>
      </c>
      <c r="AR4756" t="s">
        <v>4858</v>
      </c>
      <c r="AS4756" s="1">
        <v>44354.551388888889</v>
      </c>
      <c r="AT4756" s="1">
        <v>44354.568807870368</v>
      </c>
      <c r="AU4756" s="1">
        <v>44354.56958333333</v>
      </c>
      <c r="AV4756" t="s">
        <v>71</v>
      </c>
      <c r="AW4756" t="s">
        <v>72</v>
      </c>
      <c r="AX4756" t="s">
        <v>73</v>
      </c>
    </row>
    <row r="4757" spans="1:50" x14ac:dyDescent="0.3">
      <c r="A4757" t="str">
        <f>"201955E0101"</f>
        <v>201955E0101</v>
      </c>
      <c r="B4757" t="str">
        <f>"201955E01012"</f>
        <v>201955E01012</v>
      </c>
      <c r="C4757" t="str">
        <f t="shared" si="241"/>
        <v>20</v>
      </c>
      <c r="D4757" t="s">
        <v>67</v>
      </c>
      <c r="E4757" t="str">
        <f t="shared" si="240"/>
        <v>021</v>
      </c>
      <c r="F4757" t="s">
        <v>4711</v>
      </c>
      <c r="G4757" t="str">
        <f>"1955"</f>
        <v>1955</v>
      </c>
      <c r="H4757" t="str">
        <f>"0001"</f>
        <v>0001</v>
      </c>
      <c r="I4757" t="s">
        <v>109</v>
      </c>
      <c r="J4757">
        <v>1</v>
      </c>
      <c r="K4757">
        <v>1</v>
      </c>
      <c r="L4757">
        <v>2</v>
      </c>
      <c r="M4757">
        <v>382</v>
      </c>
      <c r="N4757">
        <v>39</v>
      </c>
      <c r="O4757">
        <v>0</v>
      </c>
      <c r="P4757">
        <v>39</v>
      </c>
      <c r="Q4757">
        <v>0</v>
      </c>
      <c r="R4757">
        <v>3</v>
      </c>
      <c r="S4757">
        <v>1</v>
      </c>
      <c r="T4757">
        <v>0</v>
      </c>
      <c r="U4757">
        <v>3</v>
      </c>
      <c r="V4757">
        <v>0</v>
      </c>
      <c r="W4757">
        <v>0</v>
      </c>
      <c r="X4757">
        <v>26</v>
      </c>
      <c r="Y4757">
        <v>0</v>
      </c>
      <c r="Z4757">
        <v>0</v>
      </c>
      <c r="AA4757">
        <v>0</v>
      </c>
      <c r="AB4757">
        <v>1</v>
      </c>
      <c r="AD4757">
        <v>0</v>
      </c>
      <c r="AE4757">
        <v>0</v>
      </c>
      <c r="AF4757">
        <v>0</v>
      </c>
      <c r="AG4757">
        <v>0</v>
      </c>
      <c r="AI4757">
        <v>1</v>
      </c>
      <c r="AJ4757">
        <v>2</v>
      </c>
      <c r="AK4757">
        <v>39</v>
      </c>
      <c r="AL4757">
        <v>37</v>
      </c>
      <c r="AM4757">
        <v>377</v>
      </c>
      <c r="AN4757">
        <v>44</v>
      </c>
      <c r="AP4757">
        <v>1</v>
      </c>
      <c r="AR4757" t="s">
        <v>4859</v>
      </c>
      <c r="AS4757" s="1">
        <v>44354.552083333336</v>
      </c>
      <c r="AT4757" s="1">
        <v>44354.554837962962</v>
      </c>
      <c r="AU4757" s="1">
        <v>44354.555868055555</v>
      </c>
      <c r="AV4757" t="s">
        <v>71</v>
      </c>
      <c r="AW4757" t="s">
        <v>72</v>
      </c>
      <c r="AX4757" t="s">
        <v>73</v>
      </c>
    </row>
    <row r="4758" spans="1:50" x14ac:dyDescent="0.3">
      <c r="A4758" t="str">
        <f>"201956B0000"</f>
        <v>201956B0000</v>
      </c>
      <c r="B4758" t="str">
        <f>"201956B00002"</f>
        <v>201956B00002</v>
      </c>
      <c r="C4758" t="str">
        <f t="shared" si="241"/>
        <v>20</v>
      </c>
      <c r="D4758" t="s">
        <v>67</v>
      </c>
      <c r="E4758" t="str">
        <f t="shared" si="240"/>
        <v>021</v>
      </c>
      <c r="F4758" t="s">
        <v>4711</v>
      </c>
      <c r="G4758" t="str">
        <f>"1956"</f>
        <v>1956</v>
      </c>
      <c r="H4758" t="str">
        <f>"0000"</f>
        <v>0000</v>
      </c>
      <c r="I4758" t="s">
        <v>69</v>
      </c>
      <c r="J4758">
        <v>0</v>
      </c>
      <c r="K4758">
        <v>1</v>
      </c>
      <c r="L4758">
        <v>2</v>
      </c>
      <c r="M4758">
        <v>356</v>
      </c>
      <c r="N4758">
        <v>79</v>
      </c>
      <c r="O4758">
        <v>3</v>
      </c>
      <c r="P4758">
        <v>79</v>
      </c>
      <c r="Q4758">
        <v>0</v>
      </c>
      <c r="R4758">
        <v>12</v>
      </c>
      <c r="S4758">
        <v>1</v>
      </c>
      <c r="T4758">
        <v>2</v>
      </c>
      <c r="U4758">
        <v>22</v>
      </c>
      <c r="V4758">
        <v>0</v>
      </c>
      <c r="W4758">
        <v>0</v>
      </c>
      <c r="X4758">
        <v>35</v>
      </c>
      <c r="Y4758">
        <v>0</v>
      </c>
      <c r="Z4758">
        <v>1</v>
      </c>
      <c r="AA4758">
        <v>0</v>
      </c>
      <c r="AB4758">
        <v>4</v>
      </c>
      <c r="AD4758">
        <v>0</v>
      </c>
      <c r="AE4758">
        <v>0</v>
      </c>
      <c r="AF4758">
        <v>0</v>
      </c>
      <c r="AG4758">
        <v>0</v>
      </c>
      <c r="AI4758">
        <v>0</v>
      </c>
      <c r="AJ4758">
        <v>2</v>
      </c>
      <c r="AK4758">
        <v>79</v>
      </c>
      <c r="AL4758">
        <v>79</v>
      </c>
      <c r="AM4758">
        <v>391</v>
      </c>
      <c r="AN4758">
        <v>44</v>
      </c>
      <c r="AP4758">
        <v>1</v>
      </c>
      <c r="AR4758" t="s">
        <v>4860</v>
      </c>
      <c r="AS4758" s="1">
        <v>44354.547222222223</v>
      </c>
      <c r="AT4758" s="1">
        <v>44354.552442129629</v>
      </c>
      <c r="AU4758" s="1">
        <v>44354.552835648145</v>
      </c>
      <c r="AV4758" t="s">
        <v>71</v>
      </c>
      <c r="AW4758" t="s">
        <v>72</v>
      </c>
      <c r="AX4758" t="s">
        <v>73</v>
      </c>
    </row>
    <row r="4759" spans="1:50" x14ac:dyDescent="0.3">
      <c r="A4759" t="str">
        <f>"201956C0100"</f>
        <v>201956C0100</v>
      </c>
      <c r="B4759" t="str">
        <f>"201956C01002"</f>
        <v>201956C01002</v>
      </c>
      <c r="C4759" t="str">
        <f t="shared" si="241"/>
        <v>20</v>
      </c>
      <c r="D4759" t="s">
        <v>67</v>
      </c>
      <c r="E4759" t="str">
        <f t="shared" si="240"/>
        <v>021</v>
      </c>
      <c r="F4759" t="s">
        <v>4711</v>
      </c>
      <c r="G4759" t="str">
        <f>"1956"</f>
        <v>1956</v>
      </c>
      <c r="H4759" t="str">
        <f>"0001"</f>
        <v>0001</v>
      </c>
      <c r="I4759" t="s">
        <v>75</v>
      </c>
      <c r="J4759">
        <v>0</v>
      </c>
      <c r="K4759">
        <v>1</v>
      </c>
      <c r="L4759">
        <v>2</v>
      </c>
      <c r="M4759">
        <v>379</v>
      </c>
      <c r="N4759">
        <v>56</v>
      </c>
      <c r="O4759">
        <v>0</v>
      </c>
      <c r="P4759">
        <v>56</v>
      </c>
      <c r="Q4759">
        <v>2</v>
      </c>
      <c r="R4759">
        <v>7</v>
      </c>
      <c r="S4759">
        <v>3</v>
      </c>
      <c r="T4759">
        <v>0</v>
      </c>
      <c r="U4759">
        <v>15</v>
      </c>
      <c r="V4759">
        <v>0</v>
      </c>
      <c r="W4759">
        <v>0</v>
      </c>
      <c r="X4759">
        <v>24</v>
      </c>
      <c r="Y4759">
        <v>1</v>
      </c>
      <c r="Z4759">
        <v>0</v>
      </c>
      <c r="AA4759">
        <v>0</v>
      </c>
      <c r="AB4759">
        <v>2</v>
      </c>
      <c r="AD4759">
        <v>0</v>
      </c>
      <c r="AE4759">
        <v>0</v>
      </c>
      <c r="AF4759">
        <v>0</v>
      </c>
      <c r="AG4759">
        <v>0</v>
      </c>
      <c r="AI4759">
        <v>0</v>
      </c>
      <c r="AJ4759">
        <v>2</v>
      </c>
      <c r="AK4759">
        <v>56</v>
      </c>
      <c r="AL4759">
        <v>56</v>
      </c>
      <c r="AM4759">
        <v>391</v>
      </c>
      <c r="AN4759">
        <v>44</v>
      </c>
      <c r="AP4759">
        <v>1</v>
      </c>
      <c r="AR4759" t="s">
        <v>4861</v>
      </c>
      <c r="AS4759" s="1">
        <v>44354.54791666667</v>
      </c>
      <c r="AT4759" s="1">
        <v>44354.550034722219</v>
      </c>
      <c r="AU4759" s="1">
        <v>44354.550347222219</v>
      </c>
      <c r="AV4759" t="s">
        <v>71</v>
      </c>
      <c r="AW4759" t="s">
        <v>72</v>
      </c>
      <c r="AX4759" t="s">
        <v>73</v>
      </c>
    </row>
    <row r="4760" spans="1:50" x14ac:dyDescent="0.3">
      <c r="A4760" t="str">
        <f>"201956E0100"</f>
        <v>201956E0100</v>
      </c>
      <c r="B4760" t="str">
        <f>"201956E01002"</f>
        <v>201956E01002</v>
      </c>
      <c r="C4760" t="str">
        <f t="shared" si="241"/>
        <v>20</v>
      </c>
      <c r="D4760" t="s">
        <v>67</v>
      </c>
      <c r="E4760" t="str">
        <f t="shared" si="240"/>
        <v>021</v>
      </c>
      <c r="F4760" t="s">
        <v>4711</v>
      </c>
      <c r="G4760" t="str">
        <f>"1956"</f>
        <v>1956</v>
      </c>
      <c r="H4760" t="str">
        <f>"0001"</f>
        <v>0001</v>
      </c>
      <c r="I4760" t="s">
        <v>109</v>
      </c>
      <c r="J4760">
        <v>0</v>
      </c>
      <c r="K4760">
        <v>1</v>
      </c>
      <c r="L4760">
        <v>2</v>
      </c>
      <c r="M4760">
        <v>457</v>
      </c>
      <c r="N4760">
        <v>90</v>
      </c>
      <c r="O4760">
        <v>0</v>
      </c>
      <c r="P4760">
        <v>90</v>
      </c>
      <c r="Q4760">
        <v>6</v>
      </c>
      <c r="R4760">
        <v>34</v>
      </c>
      <c r="S4760">
        <v>2</v>
      </c>
      <c r="T4760">
        <v>0</v>
      </c>
      <c r="U4760">
        <v>15</v>
      </c>
      <c r="V4760">
        <v>2</v>
      </c>
      <c r="W4760">
        <v>1</v>
      </c>
      <c r="X4760">
        <v>23</v>
      </c>
      <c r="Y4760">
        <v>0</v>
      </c>
      <c r="Z4760">
        <v>2</v>
      </c>
      <c r="AA4760">
        <v>0</v>
      </c>
      <c r="AB4760">
        <v>0</v>
      </c>
      <c r="AD4760">
        <v>0</v>
      </c>
      <c r="AE4760">
        <v>0</v>
      </c>
      <c r="AF4760">
        <v>0</v>
      </c>
      <c r="AG4760">
        <v>0</v>
      </c>
      <c r="AI4760">
        <v>0</v>
      </c>
      <c r="AJ4760">
        <v>5</v>
      </c>
      <c r="AK4760">
        <v>5</v>
      </c>
      <c r="AL4760">
        <v>90</v>
      </c>
      <c r="AM4760">
        <v>503</v>
      </c>
      <c r="AN4760">
        <v>44</v>
      </c>
      <c r="AP4760">
        <v>1</v>
      </c>
      <c r="AR4760" t="s">
        <v>4862</v>
      </c>
      <c r="AS4760" s="1">
        <v>44354.547222222223</v>
      </c>
      <c r="AT4760" s="1">
        <v>44354.552453703705</v>
      </c>
      <c r="AU4760" s="1">
        <v>44354.553171296298</v>
      </c>
      <c r="AV4760" t="s">
        <v>71</v>
      </c>
      <c r="AW4760" t="s">
        <v>72</v>
      </c>
      <c r="AX4760" t="s">
        <v>73</v>
      </c>
    </row>
    <row r="4761" spans="1:50" x14ac:dyDescent="0.3">
      <c r="A4761" t="str">
        <f>"201957B0000"</f>
        <v>201957B0000</v>
      </c>
      <c r="B4761" t="str">
        <f>"201957B00002"</f>
        <v>201957B00002</v>
      </c>
      <c r="C4761" t="str">
        <f t="shared" si="241"/>
        <v>20</v>
      </c>
      <c r="D4761" t="s">
        <v>67</v>
      </c>
      <c r="E4761" t="str">
        <f t="shared" si="240"/>
        <v>021</v>
      </c>
      <c r="F4761" t="s">
        <v>4711</v>
      </c>
      <c r="G4761" t="str">
        <f>"1957"</f>
        <v>1957</v>
      </c>
      <c r="H4761" t="str">
        <f>"0000"</f>
        <v>0000</v>
      </c>
      <c r="I4761" t="s">
        <v>69</v>
      </c>
      <c r="J4761">
        <v>0</v>
      </c>
      <c r="K4761">
        <v>1</v>
      </c>
      <c r="L4761">
        <v>2</v>
      </c>
      <c r="M4761">
        <v>616</v>
      </c>
      <c r="N4761">
        <v>66</v>
      </c>
      <c r="O4761">
        <v>0</v>
      </c>
      <c r="P4761">
        <v>66</v>
      </c>
      <c r="Q4761">
        <v>1</v>
      </c>
      <c r="R4761">
        <v>11</v>
      </c>
      <c r="S4761">
        <v>0</v>
      </c>
      <c r="T4761">
        <v>1</v>
      </c>
      <c r="U4761">
        <v>8</v>
      </c>
      <c r="V4761">
        <v>2</v>
      </c>
      <c r="W4761">
        <v>1</v>
      </c>
      <c r="X4761">
        <v>35</v>
      </c>
      <c r="Y4761">
        <v>0</v>
      </c>
      <c r="Z4761">
        <v>1</v>
      </c>
      <c r="AA4761">
        <v>1</v>
      </c>
      <c r="AB4761">
        <v>0</v>
      </c>
      <c r="AD4761">
        <v>0</v>
      </c>
      <c r="AE4761">
        <v>0</v>
      </c>
      <c r="AF4761">
        <v>0</v>
      </c>
      <c r="AG4761">
        <v>0</v>
      </c>
      <c r="AI4761">
        <v>0</v>
      </c>
      <c r="AJ4761">
        <v>5</v>
      </c>
      <c r="AK4761">
        <v>66</v>
      </c>
      <c r="AL4761">
        <v>66</v>
      </c>
      <c r="AM4761">
        <v>638</v>
      </c>
      <c r="AN4761">
        <v>44</v>
      </c>
      <c r="AP4761">
        <v>1</v>
      </c>
      <c r="AR4761" s="2" t="s">
        <v>4863</v>
      </c>
      <c r="AS4761" s="1">
        <v>44354.554861111108</v>
      </c>
      <c r="AT4761" s="1">
        <v>44354.584918981483</v>
      </c>
      <c r="AU4761" s="1">
        <v>44354.587268518517</v>
      </c>
      <c r="AV4761" t="s">
        <v>71</v>
      </c>
      <c r="AW4761" t="s">
        <v>72</v>
      </c>
      <c r="AX4761" t="s">
        <v>73</v>
      </c>
    </row>
    <row r="4762" spans="1:50" x14ac:dyDescent="0.3">
      <c r="A4762" t="str">
        <f>"201957E0100"</f>
        <v>201957E0100</v>
      </c>
      <c r="B4762" t="str">
        <f>"201957E01002"</f>
        <v>201957E01002</v>
      </c>
      <c r="C4762" t="str">
        <f t="shared" si="241"/>
        <v>20</v>
      </c>
      <c r="D4762" t="s">
        <v>67</v>
      </c>
      <c r="E4762" t="str">
        <f t="shared" si="240"/>
        <v>021</v>
      </c>
      <c r="F4762" t="s">
        <v>4711</v>
      </c>
      <c r="G4762" t="str">
        <f>"1957"</f>
        <v>1957</v>
      </c>
      <c r="H4762" t="str">
        <f>"0001"</f>
        <v>0001</v>
      </c>
      <c r="I4762" t="s">
        <v>109</v>
      </c>
      <c r="J4762">
        <v>0</v>
      </c>
      <c r="K4762">
        <v>1</v>
      </c>
      <c r="L4762">
        <v>2</v>
      </c>
      <c r="M4762">
        <v>364</v>
      </c>
      <c r="N4762">
        <v>71</v>
      </c>
      <c r="O4762">
        <v>1</v>
      </c>
      <c r="P4762">
        <v>71</v>
      </c>
      <c r="Q4762">
        <v>1</v>
      </c>
      <c r="R4762">
        <v>8</v>
      </c>
      <c r="S4762">
        <v>2</v>
      </c>
      <c r="T4762">
        <v>1</v>
      </c>
      <c r="U4762">
        <v>8</v>
      </c>
      <c r="V4762">
        <v>0</v>
      </c>
      <c r="W4762">
        <v>2</v>
      </c>
      <c r="X4762">
        <v>41</v>
      </c>
      <c r="Y4762">
        <v>0</v>
      </c>
      <c r="Z4762">
        <v>4</v>
      </c>
      <c r="AA4762">
        <v>0</v>
      </c>
      <c r="AB4762">
        <v>0</v>
      </c>
      <c r="AD4762">
        <v>0</v>
      </c>
      <c r="AE4762">
        <v>0</v>
      </c>
      <c r="AF4762">
        <v>0</v>
      </c>
      <c r="AG4762">
        <v>0</v>
      </c>
      <c r="AI4762">
        <v>0</v>
      </c>
      <c r="AJ4762">
        <v>0</v>
      </c>
      <c r="AK4762">
        <v>0</v>
      </c>
      <c r="AL4762">
        <v>67</v>
      </c>
      <c r="AM4762">
        <v>391</v>
      </c>
      <c r="AN4762">
        <v>44</v>
      </c>
      <c r="AP4762">
        <v>1</v>
      </c>
      <c r="AR4762" t="s">
        <v>4864</v>
      </c>
      <c r="AS4762" s="1">
        <v>44354.560416666667</v>
      </c>
      <c r="AT4762" s="1">
        <v>44354.563483796293</v>
      </c>
      <c r="AU4762" s="1">
        <v>44354.564016203702</v>
      </c>
      <c r="AV4762" t="s">
        <v>71</v>
      </c>
      <c r="AW4762" t="s">
        <v>72</v>
      </c>
      <c r="AX4762" t="s">
        <v>73</v>
      </c>
    </row>
    <row r="4763" spans="1:50" x14ac:dyDescent="0.3">
      <c r="A4763" t="str">
        <f>"201957E0101"</f>
        <v>201957E0101</v>
      </c>
      <c r="B4763" t="str">
        <f>"201957E01012"</f>
        <v>201957E01012</v>
      </c>
      <c r="C4763" t="str">
        <f t="shared" si="241"/>
        <v>20</v>
      </c>
      <c r="D4763" t="s">
        <v>67</v>
      </c>
      <c r="E4763" t="str">
        <f t="shared" si="240"/>
        <v>021</v>
      </c>
      <c r="F4763" t="s">
        <v>4711</v>
      </c>
      <c r="G4763" t="str">
        <f>"1957"</f>
        <v>1957</v>
      </c>
      <c r="H4763" t="str">
        <f>"0001"</f>
        <v>0001</v>
      </c>
      <c r="I4763" t="s">
        <v>109</v>
      </c>
      <c r="J4763">
        <v>1</v>
      </c>
      <c r="K4763">
        <v>1</v>
      </c>
      <c r="L4763">
        <v>2</v>
      </c>
      <c r="M4763">
        <v>367</v>
      </c>
      <c r="N4763">
        <v>67</v>
      </c>
      <c r="O4763">
        <v>1</v>
      </c>
      <c r="P4763">
        <v>67</v>
      </c>
      <c r="Q4763">
        <v>1</v>
      </c>
      <c r="R4763">
        <v>7</v>
      </c>
      <c r="S4763">
        <v>5</v>
      </c>
      <c r="T4763">
        <v>0</v>
      </c>
      <c r="U4763">
        <v>3</v>
      </c>
      <c r="V4763">
        <v>0</v>
      </c>
      <c r="W4763">
        <v>0</v>
      </c>
      <c r="X4763">
        <v>43</v>
      </c>
      <c r="Y4763">
        <v>1</v>
      </c>
      <c r="Z4763">
        <v>2</v>
      </c>
      <c r="AA4763">
        <v>0</v>
      </c>
      <c r="AB4763">
        <v>2</v>
      </c>
      <c r="AD4763">
        <v>0</v>
      </c>
      <c r="AE4763">
        <v>0</v>
      </c>
      <c r="AF4763">
        <v>0</v>
      </c>
      <c r="AG4763">
        <v>0</v>
      </c>
      <c r="AI4763">
        <v>0</v>
      </c>
      <c r="AJ4763">
        <v>3</v>
      </c>
      <c r="AK4763">
        <v>67</v>
      </c>
      <c r="AL4763">
        <v>67</v>
      </c>
      <c r="AM4763">
        <v>390</v>
      </c>
      <c r="AN4763">
        <v>44</v>
      </c>
      <c r="AP4763">
        <v>1</v>
      </c>
      <c r="AR4763" t="s">
        <v>4865</v>
      </c>
      <c r="AS4763" s="1">
        <v>44354.561111111114</v>
      </c>
      <c r="AT4763" s="1">
        <v>44354.565752314818</v>
      </c>
      <c r="AU4763" s="1">
        <v>44354.566388888888</v>
      </c>
      <c r="AV4763" t="s">
        <v>71</v>
      </c>
      <c r="AW4763" t="s">
        <v>72</v>
      </c>
      <c r="AX4763" t="s">
        <v>73</v>
      </c>
    </row>
    <row r="4764" spans="1:50" x14ac:dyDescent="0.3">
      <c r="A4764" t="str">
        <f>"201958B0000"</f>
        <v>201958B0000</v>
      </c>
      <c r="B4764" t="str">
        <f>"201958B00002"</f>
        <v>201958B00002</v>
      </c>
      <c r="C4764" t="str">
        <f t="shared" si="241"/>
        <v>20</v>
      </c>
      <c r="D4764" t="s">
        <v>67</v>
      </c>
      <c r="E4764" t="str">
        <f t="shared" si="240"/>
        <v>021</v>
      </c>
      <c r="F4764" t="s">
        <v>4711</v>
      </c>
      <c r="G4764" t="str">
        <f>"1958"</f>
        <v>1958</v>
      </c>
      <c r="H4764" t="str">
        <f>"0000"</f>
        <v>0000</v>
      </c>
      <c r="I4764" t="s">
        <v>69</v>
      </c>
      <c r="J4764">
        <v>0</v>
      </c>
      <c r="K4764">
        <v>1</v>
      </c>
      <c r="L4764">
        <v>2</v>
      </c>
      <c r="M4764">
        <v>500</v>
      </c>
      <c r="N4764">
        <v>118</v>
      </c>
      <c r="O4764">
        <v>0</v>
      </c>
      <c r="P4764">
        <v>118</v>
      </c>
      <c r="Q4764">
        <v>12</v>
      </c>
      <c r="R4764">
        <v>22</v>
      </c>
      <c r="S4764">
        <v>1</v>
      </c>
      <c r="T4764">
        <v>4</v>
      </c>
      <c r="U4764">
        <v>19</v>
      </c>
      <c r="V4764">
        <v>1</v>
      </c>
      <c r="W4764">
        <v>1</v>
      </c>
      <c r="X4764">
        <v>40</v>
      </c>
      <c r="Y4764">
        <v>2</v>
      </c>
      <c r="Z4764">
        <v>0</v>
      </c>
      <c r="AA4764">
        <v>0</v>
      </c>
      <c r="AB4764">
        <v>4</v>
      </c>
      <c r="AD4764">
        <v>1</v>
      </c>
      <c r="AE4764">
        <v>0</v>
      </c>
      <c r="AF4764">
        <v>0</v>
      </c>
      <c r="AG4764">
        <v>1</v>
      </c>
      <c r="AI4764">
        <v>0</v>
      </c>
      <c r="AJ4764">
        <v>10</v>
      </c>
      <c r="AK4764">
        <v>118</v>
      </c>
      <c r="AL4764">
        <v>118</v>
      </c>
      <c r="AM4764">
        <v>574</v>
      </c>
      <c r="AN4764">
        <v>44</v>
      </c>
      <c r="AP4764">
        <v>1</v>
      </c>
      <c r="AR4764" t="s">
        <v>4866</v>
      </c>
      <c r="AS4764" s="1">
        <v>44354.54583333333</v>
      </c>
      <c r="AT4764" s="1">
        <v>44354.571851851855</v>
      </c>
      <c r="AU4764" s="1">
        <v>44354.572442129633</v>
      </c>
      <c r="AV4764" t="s">
        <v>71</v>
      </c>
      <c r="AW4764" t="s">
        <v>72</v>
      </c>
      <c r="AX4764" t="s">
        <v>73</v>
      </c>
    </row>
    <row r="4765" spans="1:50" x14ac:dyDescent="0.3">
      <c r="A4765" t="str">
        <f>"201958E0100"</f>
        <v>201958E0100</v>
      </c>
      <c r="B4765" t="str">
        <f>"201958E01002"</f>
        <v>201958E01002</v>
      </c>
      <c r="C4765" t="str">
        <f t="shared" si="241"/>
        <v>20</v>
      </c>
      <c r="D4765" t="s">
        <v>67</v>
      </c>
      <c r="E4765" t="str">
        <f t="shared" si="240"/>
        <v>021</v>
      </c>
      <c r="F4765" t="s">
        <v>4711</v>
      </c>
      <c r="G4765" t="str">
        <f>"1958"</f>
        <v>1958</v>
      </c>
      <c r="H4765" t="str">
        <f>"0001"</f>
        <v>0001</v>
      </c>
      <c r="I4765" t="s">
        <v>109</v>
      </c>
      <c r="J4765">
        <v>0</v>
      </c>
      <c r="K4765">
        <v>1</v>
      </c>
      <c r="L4765">
        <v>2</v>
      </c>
      <c r="M4765">
        <v>437</v>
      </c>
      <c r="N4765" t="s">
        <v>80</v>
      </c>
      <c r="O4765" t="s">
        <v>80</v>
      </c>
      <c r="P4765">
        <v>83</v>
      </c>
      <c r="Q4765">
        <v>4</v>
      </c>
      <c r="R4765">
        <v>10</v>
      </c>
      <c r="S4765">
        <v>5</v>
      </c>
      <c r="T4765">
        <v>1</v>
      </c>
      <c r="U4765">
        <v>15</v>
      </c>
      <c r="V4765">
        <v>1</v>
      </c>
      <c r="W4765">
        <v>9</v>
      </c>
      <c r="X4765">
        <v>24</v>
      </c>
      <c r="Y4765">
        <v>2</v>
      </c>
      <c r="Z4765">
        <v>2</v>
      </c>
      <c r="AA4765">
        <v>0</v>
      </c>
      <c r="AB4765">
        <v>1</v>
      </c>
      <c r="AD4765">
        <v>0</v>
      </c>
      <c r="AE4765">
        <v>0</v>
      </c>
      <c r="AF4765">
        <v>0</v>
      </c>
      <c r="AG4765">
        <v>1</v>
      </c>
      <c r="AI4765">
        <v>0</v>
      </c>
      <c r="AJ4765">
        <v>0</v>
      </c>
      <c r="AK4765">
        <v>83</v>
      </c>
      <c r="AL4765">
        <v>75</v>
      </c>
      <c r="AM4765">
        <v>486</v>
      </c>
      <c r="AN4765">
        <v>44</v>
      </c>
      <c r="AP4765">
        <v>1</v>
      </c>
      <c r="AR4765" t="s">
        <v>4867</v>
      </c>
      <c r="AS4765" s="1">
        <v>44354.552083333336</v>
      </c>
      <c r="AT4765" s="1">
        <v>44354.566701388889</v>
      </c>
      <c r="AU4765" s="1">
        <v>44354.567245370374</v>
      </c>
      <c r="AV4765" t="s">
        <v>71</v>
      </c>
      <c r="AW4765" t="s">
        <v>72</v>
      </c>
      <c r="AX4765" t="s">
        <v>73</v>
      </c>
    </row>
    <row r="4766" spans="1:50" x14ac:dyDescent="0.3">
      <c r="A4766" t="str">
        <f>"201958E0200"</f>
        <v>201958E0200</v>
      </c>
      <c r="B4766" t="str">
        <f>"201958E02002"</f>
        <v>201958E02002</v>
      </c>
      <c r="C4766" t="str">
        <f t="shared" si="241"/>
        <v>20</v>
      </c>
      <c r="D4766" t="s">
        <v>67</v>
      </c>
      <c r="E4766" t="str">
        <f t="shared" si="240"/>
        <v>021</v>
      </c>
      <c r="F4766" t="s">
        <v>4711</v>
      </c>
      <c r="G4766" t="str">
        <f>"1958"</f>
        <v>1958</v>
      </c>
      <c r="H4766" t="str">
        <f>"0002"</f>
        <v>0002</v>
      </c>
      <c r="I4766" t="s">
        <v>109</v>
      </c>
      <c r="J4766">
        <v>0</v>
      </c>
      <c r="K4766">
        <v>1</v>
      </c>
      <c r="L4766">
        <v>2</v>
      </c>
      <c r="M4766">
        <v>178</v>
      </c>
      <c r="N4766">
        <v>74</v>
      </c>
      <c r="O4766">
        <v>0</v>
      </c>
      <c r="P4766" t="s">
        <v>80</v>
      </c>
      <c r="Q4766">
        <v>1</v>
      </c>
      <c r="R4766">
        <v>14</v>
      </c>
      <c r="S4766">
        <v>1</v>
      </c>
      <c r="T4766">
        <v>0</v>
      </c>
      <c r="U4766">
        <v>29</v>
      </c>
      <c r="V4766">
        <v>0</v>
      </c>
      <c r="W4766">
        <v>1</v>
      </c>
      <c r="X4766">
        <v>20</v>
      </c>
      <c r="Y4766">
        <v>1</v>
      </c>
      <c r="Z4766">
        <v>5</v>
      </c>
      <c r="AA4766">
        <v>0</v>
      </c>
      <c r="AB4766">
        <v>0</v>
      </c>
      <c r="AD4766">
        <v>0</v>
      </c>
      <c r="AE4766">
        <v>0</v>
      </c>
      <c r="AF4766">
        <v>0</v>
      </c>
      <c r="AG4766">
        <v>0</v>
      </c>
      <c r="AI4766">
        <v>0</v>
      </c>
      <c r="AJ4766">
        <v>2</v>
      </c>
      <c r="AK4766">
        <v>74</v>
      </c>
      <c r="AL4766">
        <v>74</v>
      </c>
      <c r="AM4766">
        <v>208</v>
      </c>
      <c r="AN4766">
        <v>44</v>
      </c>
      <c r="AP4766">
        <v>1</v>
      </c>
      <c r="AR4766" t="s">
        <v>4868</v>
      </c>
      <c r="AS4766" s="1">
        <v>44354.561805555553</v>
      </c>
      <c r="AT4766" s="1">
        <v>44354.563796296294</v>
      </c>
      <c r="AU4766" s="1">
        <v>44354.564166666663</v>
      </c>
      <c r="AV4766" t="s">
        <v>71</v>
      </c>
      <c r="AW4766" t="s">
        <v>72</v>
      </c>
      <c r="AX4766" t="s">
        <v>73</v>
      </c>
    </row>
    <row r="4767" spans="1:50" x14ac:dyDescent="0.3">
      <c r="A4767" t="str">
        <f>"201959B0000"</f>
        <v>201959B0000</v>
      </c>
      <c r="B4767" t="str">
        <f>"201959B00002"</f>
        <v>201959B00002</v>
      </c>
      <c r="C4767" t="str">
        <f t="shared" si="241"/>
        <v>20</v>
      </c>
      <c r="D4767" t="s">
        <v>67</v>
      </c>
      <c r="E4767" t="str">
        <f t="shared" si="240"/>
        <v>021</v>
      </c>
      <c r="F4767" t="s">
        <v>4711</v>
      </c>
      <c r="G4767" t="str">
        <f>"1959"</f>
        <v>1959</v>
      </c>
      <c r="H4767" t="str">
        <f>"0000"</f>
        <v>0000</v>
      </c>
      <c r="I4767" t="s">
        <v>69</v>
      </c>
      <c r="J4767">
        <v>0</v>
      </c>
      <c r="K4767">
        <v>1</v>
      </c>
      <c r="L4767">
        <v>2</v>
      </c>
      <c r="M4767">
        <v>487</v>
      </c>
      <c r="N4767">
        <v>141</v>
      </c>
      <c r="O4767" t="s">
        <v>80</v>
      </c>
      <c r="P4767">
        <v>141</v>
      </c>
      <c r="Q4767">
        <v>7</v>
      </c>
      <c r="R4767">
        <v>34</v>
      </c>
      <c r="S4767">
        <v>8</v>
      </c>
      <c r="T4767">
        <v>2</v>
      </c>
      <c r="U4767">
        <v>11</v>
      </c>
      <c r="V4767">
        <v>2</v>
      </c>
      <c r="W4767">
        <v>5</v>
      </c>
      <c r="X4767">
        <v>21</v>
      </c>
      <c r="Y4767">
        <v>0</v>
      </c>
      <c r="Z4767">
        <v>1</v>
      </c>
      <c r="AA4767">
        <v>0</v>
      </c>
      <c r="AB4767">
        <v>0</v>
      </c>
      <c r="AD4767">
        <v>3</v>
      </c>
      <c r="AE4767">
        <v>1</v>
      </c>
      <c r="AF4767">
        <v>0</v>
      </c>
      <c r="AG4767">
        <v>1</v>
      </c>
      <c r="AI4767">
        <v>0</v>
      </c>
      <c r="AJ4767">
        <v>45</v>
      </c>
      <c r="AK4767">
        <v>141</v>
      </c>
      <c r="AL4767">
        <v>141</v>
      </c>
      <c r="AM4767">
        <v>584</v>
      </c>
      <c r="AN4767">
        <v>44</v>
      </c>
      <c r="AP4767">
        <v>1</v>
      </c>
      <c r="AR4767" t="s">
        <v>4869</v>
      </c>
      <c r="AS4767" s="1">
        <v>44354.5625</v>
      </c>
      <c r="AT4767" s="1">
        <v>44354.565069444441</v>
      </c>
      <c r="AU4767" s="1">
        <v>44354.566435185188</v>
      </c>
      <c r="AV4767" t="s">
        <v>71</v>
      </c>
      <c r="AW4767" t="s">
        <v>72</v>
      </c>
      <c r="AX4767" t="s">
        <v>73</v>
      </c>
    </row>
    <row r="4768" spans="1:50" x14ac:dyDescent="0.3">
      <c r="A4768" t="str">
        <f>"201959E0100"</f>
        <v>201959E0100</v>
      </c>
      <c r="B4768" t="str">
        <f>"201959E01002"</f>
        <v>201959E01002</v>
      </c>
      <c r="C4768" t="str">
        <f t="shared" si="241"/>
        <v>20</v>
      </c>
      <c r="D4768" t="s">
        <v>67</v>
      </c>
      <c r="E4768" t="str">
        <f t="shared" si="240"/>
        <v>021</v>
      </c>
      <c r="F4768" t="s">
        <v>4711</v>
      </c>
      <c r="G4768" t="str">
        <f>"1959"</f>
        <v>1959</v>
      </c>
      <c r="H4768" t="str">
        <f>"0001"</f>
        <v>0001</v>
      </c>
      <c r="I4768" t="s">
        <v>109</v>
      </c>
      <c r="J4768">
        <v>0</v>
      </c>
      <c r="K4768">
        <v>1</v>
      </c>
      <c r="L4768">
        <v>2</v>
      </c>
      <c r="M4768">
        <v>423</v>
      </c>
      <c r="N4768">
        <v>94</v>
      </c>
      <c r="O4768">
        <v>0</v>
      </c>
      <c r="P4768">
        <v>94</v>
      </c>
      <c r="Q4768">
        <v>3</v>
      </c>
      <c r="R4768">
        <v>49</v>
      </c>
      <c r="S4768">
        <v>0</v>
      </c>
      <c r="T4768">
        <v>2</v>
      </c>
      <c r="U4768">
        <v>10</v>
      </c>
      <c r="V4768">
        <v>0</v>
      </c>
      <c r="W4768">
        <v>1</v>
      </c>
      <c r="X4768">
        <v>11</v>
      </c>
      <c r="Y4768">
        <v>0</v>
      </c>
      <c r="Z4768">
        <v>9</v>
      </c>
      <c r="AA4768">
        <v>0</v>
      </c>
      <c r="AB4768">
        <v>0</v>
      </c>
      <c r="AD4768">
        <v>1</v>
      </c>
      <c r="AE4768">
        <v>0</v>
      </c>
      <c r="AF4768">
        <v>0</v>
      </c>
      <c r="AG4768">
        <v>0</v>
      </c>
      <c r="AI4768">
        <v>0</v>
      </c>
      <c r="AJ4768">
        <v>8</v>
      </c>
      <c r="AK4768">
        <v>94</v>
      </c>
      <c r="AL4768">
        <v>94</v>
      </c>
      <c r="AM4768">
        <v>473</v>
      </c>
      <c r="AN4768">
        <v>44</v>
      </c>
      <c r="AP4768">
        <v>1</v>
      </c>
      <c r="AR4768" t="s">
        <v>4870</v>
      </c>
      <c r="AS4768" s="1">
        <v>44354.561805555553</v>
      </c>
      <c r="AT4768" s="1">
        <v>44354.56554398148</v>
      </c>
      <c r="AU4768" s="1">
        <v>44354.566840277781</v>
      </c>
      <c r="AV4768" t="s">
        <v>71</v>
      </c>
      <c r="AW4768" t="s">
        <v>72</v>
      </c>
      <c r="AX4768" t="s">
        <v>73</v>
      </c>
    </row>
    <row r="4769" spans="1:50" x14ac:dyDescent="0.3">
      <c r="A4769" t="str">
        <f>"201959E0200"</f>
        <v>201959E0200</v>
      </c>
      <c r="B4769" t="str">
        <f>"201959E02002"</f>
        <v>201959E02002</v>
      </c>
      <c r="C4769" t="str">
        <f t="shared" si="241"/>
        <v>20</v>
      </c>
      <c r="D4769" t="s">
        <v>67</v>
      </c>
      <c r="E4769" t="str">
        <f t="shared" si="240"/>
        <v>021</v>
      </c>
      <c r="F4769" t="s">
        <v>4711</v>
      </c>
      <c r="G4769" t="str">
        <f>"1959"</f>
        <v>1959</v>
      </c>
      <c r="H4769" t="str">
        <f>"0002"</f>
        <v>0002</v>
      </c>
      <c r="I4769" t="s">
        <v>109</v>
      </c>
      <c r="J4769">
        <v>0</v>
      </c>
      <c r="K4769">
        <v>1</v>
      </c>
      <c r="L4769">
        <v>2</v>
      </c>
      <c r="M4769">
        <v>224</v>
      </c>
      <c r="N4769">
        <v>95</v>
      </c>
      <c r="O4769">
        <v>0</v>
      </c>
      <c r="P4769">
        <v>95</v>
      </c>
      <c r="Q4769">
        <v>0</v>
      </c>
      <c r="R4769">
        <v>25</v>
      </c>
      <c r="S4769">
        <v>9</v>
      </c>
      <c r="T4769">
        <v>5</v>
      </c>
      <c r="U4769">
        <v>11</v>
      </c>
      <c r="V4769">
        <v>1</v>
      </c>
      <c r="W4769">
        <v>0</v>
      </c>
      <c r="X4769">
        <v>33</v>
      </c>
      <c r="Y4769">
        <v>0</v>
      </c>
      <c r="Z4769">
        <v>3</v>
      </c>
      <c r="AA4769">
        <v>1</v>
      </c>
      <c r="AB4769">
        <v>1</v>
      </c>
      <c r="AD4769">
        <v>1</v>
      </c>
      <c r="AE4769">
        <v>0</v>
      </c>
      <c r="AF4769">
        <v>0</v>
      </c>
      <c r="AG4769">
        <v>1</v>
      </c>
      <c r="AI4769">
        <v>0</v>
      </c>
      <c r="AJ4769">
        <v>4</v>
      </c>
      <c r="AK4769">
        <v>95</v>
      </c>
      <c r="AL4769">
        <v>95</v>
      </c>
      <c r="AM4769">
        <v>275</v>
      </c>
      <c r="AN4769">
        <v>44</v>
      </c>
      <c r="AP4769">
        <v>1</v>
      </c>
      <c r="AR4769" t="s">
        <v>4871</v>
      </c>
      <c r="AS4769" s="1">
        <v>44354.561111111114</v>
      </c>
      <c r="AT4769" s="1">
        <v>44354.566736111112</v>
      </c>
      <c r="AU4769" s="1">
        <v>44354.567152777781</v>
      </c>
      <c r="AV4769" t="s">
        <v>71</v>
      </c>
      <c r="AW4769" t="s">
        <v>72</v>
      </c>
      <c r="AX4769" t="s">
        <v>73</v>
      </c>
    </row>
    <row r="4770" spans="1:50" x14ac:dyDescent="0.3">
      <c r="A4770" t="str">
        <f>"202071B0000"</f>
        <v>202071B0000</v>
      </c>
      <c r="B4770" t="str">
        <f>"202071B00002"</f>
        <v>202071B00002</v>
      </c>
      <c r="C4770" t="str">
        <f t="shared" si="241"/>
        <v>20</v>
      </c>
      <c r="D4770" t="s">
        <v>67</v>
      </c>
      <c r="E4770" t="str">
        <f t="shared" si="240"/>
        <v>021</v>
      </c>
      <c r="F4770" t="s">
        <v>4711</v>
      </c>
      <c r="G4770" t="str">
        <f>"2071"</f>
        <v>2071</v>
      </c>
      <c r="H4770" t="str">
        <f>"0000"</f>
        <v>0000</v>
      </c>
      <c r="I4770" t="s">
        <v>69</v>
      </c>
      <c r="J4770">
        <v>0</v>
      </c>
      <c r="K4770">
        <v>1</v>
      </c>
      <c r="L4770">
        <v>2</v>
      </c>
      <c r="M4770">
        <v>262</v>
      </c>
      <c r="N4770">
        <v>255</v>
      </c>
      <c r="O4770">
        <v>0</v>
      </c>
      <c r="P4770">
        <v>255</v>
      </c>
      <c r="Q4770">
        <v>20</v>
      </c>
      <c r="R4770">
        <v>99</v>
      </c>
      <c r="S4770">
        <v>5</v>
      </c>
      <c r="T4770">
        <v>7</v>
      </c>
      <c r="U4770">
        <v>12</v>
      </c>
      <c r="V4770">
        <v>2</v>
      </c>
      <c r="W4770">
        <v>3</v>
      </c>
      <c r="X4770">
        <v>81</v>
      </c>
      <c r="Y4770">
        <v>1</v>
      </c>
      <c r="Z4770">
        <v>4</v>
      </c>
      <c r="AA4770">
        <v>1</v>
      </c>
      <c r="AB4770">
        <v>2</v>
      </c>
      <c r="AD4770">
        <v>4</v>
      </c>
      <c r="AE4770">
        <v>4</v>
      </c>
      <c r="AF4770">
        <v>0</v>
      </c>
      <c r="AG4770">
        <v>0</v>
      </c>
      <c r="AI4770">
        <v>0</v>
      </c>
      <c r="AJ4770">
        <v>10</v>
      </c>
      <c r="AK4770">
        <v>255</v>
      </c>
      <c r="AL4770">
        <v>255</v>
      </c>
      <c r="AM4770">
        <v>473</v>
      </c>
      <c r="AN4770">
        <v>44</v>
      </c>
      <c r="AP4770">
        <v>1</v>
      </c>
      <c r="AR4770" t="s">
        <v>4872</v>
      </c>
      <c r="AS4770" s="1">
        <v>44354.176388888889</v>
      </c>
      <c r="AT4770" s="1">
        <v>44354.182233796295</v>
      </c>
      <c r="AU4770" s="1">
        <v>44354.182743055557</v>
      </c>
      <c r="AV4770" t="s">
        <v>71</v>
      </c>
      <c r="AW4770" t="s">
        <v>72</v>
      </c>
      <c r="AX4770" t="s">
        <v>73</v>
      </c>
    </row>
    <row r="4771" spans="1:50" x14ac:dyDescent="0.3">
      <c r="A4771" t="str">
        <f>"202071C0100"</f>
        <v>202071C0100</v>
      </c>
      <c r="B4771" t="str">
        <f>"202071C01002"</f>
        <v>202071C01002</v>
      </c>
      <c r="C4771" t="str">
        <f t="shared" si="241"/>
        <v>20</v>
      </c>
      <c r="D4771" t="s">
        <v>67</v>
      </c>
      <c r="E4771" t="str">
        <f t="shared" si="240"/>
        <v>021</v>
      </c>
      <c r="F4771" t="s">
        <v>4711</v>
      </c>
      <c r="G4771" t="str">
        <f>"2071"</f>
        <v>2071</v>
      </c>
      <c r="H4771" t="str">
        <f>"0001"</f>
        <v>0001</v>
      </c>
      <c r="I4771" t="s">
        <v>75</v>
      </c>
      <c r="J4771">
        <v>0</v>
      </c>
      <c r="K4771">
        <v>1</v>
      </c>
      <c r="L4771">
        <v>2</v>
      </c>
      <c r="M4771">
        <v>256</v>
      </c>
      <c r="N4771">
        <v>261</v>
      </c>
      <c r="O4771">
        <v>3</v>
      </c>
      <c r="P4771" t="s">
        <v>80</v>
      </c>
      <c r="Q4771">
        <v>11</v>
      </c>
      <c r="R4771">
        <v>115</v>
      </c>
      <c r="S4771">
        <v>3</v>
      </c>
      <c r="T4771">
        <v>5</v>
      </c>
      <c r="U4771">
        <v>13</v>
      </c>
      <c r="V4771">
        <v>4</v>
      </c>
      <c r="W4771">
        <v>1</v>
      </c>
      <c r="X4771">
        <v>77</v>
      </c>
      <c r="Y4771">
        <v>2</v>
      </c>
      <c r="Z4771">
        <v>3</v>
      </c>
      <c r="AA4771">
        <v>0</v>
      </c>
      <c r="AB4771">
        <v>6</v>
      </c>
      <c r="AD4771">
        <v>2</v>
      </c>
      <c r="AE4771">
        <v>2</v>
      </c>
      <c r="AF4771">
        <v>0</v>
      </c>
      <c r="AG4771">
        <v>1</v>
      </c>
      <c r="AI4771">
        <v>0</v>
      </c>
      <c r="AJ4771">
        <v>16</v>
      </c>
      <c r="AK4771">
        <v>261</v>
      </c>
      <c r="AL4771">
        <v>261</v>
      </c>
      <c r="AM4771">
        <v>473</v>
      </c>
      <c r="AN4771">
        <v>44</v>
      </c>
      <c r="AP4771">
        <v>1</v>
      </c>
      <c r="AR4771" t="s">
        <v>4873</v>
      </c>
      <c r="AS4771" s="1">
        <v>44354.175000000003</v>
      </c>
      <c r="AT4771" s="1">
        <v>44354.187442129631</v>
      </c>
      <c r="AU4771" s="1">
        <v>44354.18849537037</v>
      </c>
      <c r="AV4771" t="s">
        <v>71</v>
      </c>
      <c r="AW4771" t="s">
        <v>72</v>
      </c>
      <c r="AX4771" t="s">
        <v>73</v>
      </c>
    </row>
    <row r="4772" spans="1:50" x14ac:dyDescent="0.3">
      <c r="A4772" t="str">
        <f>"202071E0100"</f>
        <v>202071E0100</v>
      </c>
      <c r="B4772" t="str">
        <f>"202071E01002"</f>
        <v>202071E01002</v>
      </c>
      <c r="C4772" t="str">
        <f t="shared" si="241"/>
        <v>20</v>
      </c>
      <c r="D4772" t="s">
        <v>67</v>
      </c>
      <c r="E4772" t="str">
        <f t="shared" si="240"/>
        <v>021</v>
      </c>
      <c r="F4772" t="s">
        <v>4711</v>
      </c>
      <c r="G4772" t="str">
        <f>"2071"</f>
        <v>2071</v>
      </c>
      <c r="H4772" t="str">
        <f>"0001"</f>
        <v>0001</v>
      </c>
      <c r="I4772" t="s">
        <v>109</v>
      </c>
      <c r="J4772">
        <v>0</v>
      </c>
      <c r="K4772">
        <v>1</v>
      </c>
      <c r="L4772">
        <v>2</v>
      </c>
      <c r="M4772">
        <v>120</v>
      </c>
      <c r="N4772">
        <v>135</v>
      </c>
      <c r="O4772">
        <v>3</v>
      </c>
      <c r="P4772">
        <v>135</v>
      </c>
      <c r="Q4772">
        <v>4</v>
      </c>
      <c r="R4772">
        <v>62</v>
      </c>
      <c r="S4772">
        <v>4</v>
      </c>
      <c r="T4772">
        <v>4</v>
      </c>
      <c r="U4772">
        <v>25</v>
      </c>
      <c r="V4772">
        <v>3</v>
      </c>
      <c r="W4772">
        <v>1</v>
      </c>
      <c r="X4772">
        <v>18</v>
      </c>
      <c r="Y4772">
        <v>1</v>
      </c>
      <c r="Z4772">
        <v>1</v>
      </c>
      <c r="AA4772">
        <v>0</v>
      </c>
      <c r="AB4772">
        <v>1</v>
      </c>
      <c r="AD4772">
        <v>0</v>
      </c>
      <c r="AE4772">
        <v>0</v>
      </c>
      <c r="AF4772">
        <v>0</v>
      </c>
      <c r="AG4772">
        <v>0</v>
      </c>
      <c r="AI4772">
        <v>0</v>
      </c>
      <c r="AJ4772">
        <v>11</v>
      </c>
      <c r="AK4772">
        <v>135</v>
      </c>
      <c r="AL4772">
        <v>135</v>
      </c>
      <c r="AM4772">
        <v>209</v>
      </c>
      <c r="AN4772">
        <v>44</v>
      </c>
      <c r="AP4772">
        <v>1</v>
      </c>
      <c r="AR4772" t="s">
        <v>4874</v>
      </c>
      <c r="AS4772" s="1">
        <v>44354.175000000003</v>
      </c>
      <c r="AT4772" s="1">
        <v>44354.188032407408</v>
      </c>
      <c r="AU4772" s="1">
        <v>44354.188831018517</v>
      </c>
      <c r="AV4772" t="s">
        <v>71</v>
      </c>
      <c r="AW4772" t="s">
        <v>72</v>
      </c>
      <c r="AX4772" t="s">
        <v>73</v>
      </c>
    </row>
    <row r="4773" spans="1:50" x14ac:dyDescent="0.3">
      <c r="A4773" t="str">
        <f>"202133B0000"</f>
        <v>202133B0000</v>
      </c>
      <c r="B4773" t="str">
        <f>"202133B00002"</f>
        <v>202133B00002</v>
      </c>
      <c r="C4773" t="str">
        <f t="shared" si="241"/>
        <v>20</v>
      </c>
      <c r="D4773" t="s">
        <v>67</v>
      </c>
      <c r="E4773" t="str">
        <f t="shared" si="240"/>
        <v>021</v>
      </c>
      <c r="F4773" t="s">
        <v>4711</v>
      </c>
      <c r="G4773" t="str">
        <f>"2133"</f>
        <v>2133</v>
      </c>
      <c r="H4773" t="str">
        <f>"0000"</f>
        <v>0000</v>
      </c>
      <c r="I4773" t="s">
        <v>69</v>
      </c>
      <c r="J4773">
        <v>0</v>
      </c>
      <c r="K4773">
        <v>1</v>
      </c>
      <c r="L4773">
        <v>2</v>
      </c>
      <c r="M4773">
        <v>273</v>
      </c>
      <c r="N4773" t="s">
        <v>80</v>
      </c>
      <c r="O4773" t="s">
        <v>80</v>
      </c>
      <c r="P4773">
        <v>178</v>
      </c>
      <c r="Q4773">
        <v>5</v>
      </c>
      <c r="R4773">
        <v>29</v>
      </c>
      <c r="S4773">
        <v>2</v>
      </c>
      <c r="T4773">
        <v>0</v>
      </c>
      <c r="U4773">
        <v>2</v>
      </c>
      <c r="V4773">
        <v>0</v>
      </c>
      <c r="W4773">
        <v>1</v>
      </c>
      <c r="X4773">
        <v>129</v>
      </c>
      <c r="Y4773">
        <v>0</v>
      </c>
      <c r="Z4773">
        <v>3</v>
      </c>
      <c r="AA4773">
        <v>2</v>
      </c>
      <c r="AB4773">
        <v>0</v>
      </c>
      <c r="AD4773" t="s">
        <v>77</v>
      </c>
      <c r="AE4773">
        <v>1</v>
      </c>
      <c r="AF4773">
        <v>1</v>
      </c>
      <c r="AG4773">
        <v>1</v>
      </c>
      <c r="AI4773" t="s">
        <v>77</v>
      </c>
      <c r="AJ4773">
        <v>2</v>
      </c>
      <c r="AK4773" t="s">
        <v>77</v>
      </c>
      <c r="AL4773">
        <v>178</v>
      </c>
      <c r="AM4773">
        <v>406</v>
      </c>
      <c r="AN4773">
        <v>44</v>
      </c>
      <c r="AO4773" t="s">
        <v>78</v>
      </c>
      <c r="AP4773">
        <v>1</v>
      </c>
      <c r="AR4773" t="s">
        <v>4875</v>
      </c>
      <c r="AS4773" s="1">
        <v>44354.383333333331</v>
      </c>
      <c r="AT4773" s="1">
        <v>44354.397650462961</v>
      </c>
      <c r="AU4773" s="1">
        <v>44354.398842592593</v>
      </c>
      <c r="AV4773" t="s">
        <v>71</v>
      </c>
      <c r="AW4773" t="s">
        <v>72</v>
      </c>
      <c r="AX4773" t="s">
        <v>73</v>
      </c>
    </row>
    <row r="4774" spans="1:50" x14ac:dyDescent="0.3">
      <c r="A4774" t="str">
        <f>"202133C0100"</f>
        <v>202133C0100</v>
      </c>
      <c r="B4774" t="str">
        <f>"202133C01002"</f>
        <v>202133C01002</v>
      </c>
      <c r="C4774" t="str">
        <f t="shared" si="241"/>
        <v>20</v>
      </c>
      <c r="D4774" t="s">
        <v>67</v>
      </c>
      <c r="E4774" t="str">
        <f t="shared" si="240"/>
        <v>021</v>
      </c>
      <c r="F4774" t="s">
        <v>4711</v>
      </c>
      <c r="G4774" t="str">
        <f>"2133"</f>
        <v>2133</v>
      </c>
      <c r="H4774" t="str">
        <f>"0001"</f>
        <v>0001</v>
      </c>
      <c r="I4774" t="s">
        <v>75</v>
      </c>
      <c r="J4774">
        <v>0</v>
      </c>
      <c r="K4774">
        <v>1</v>
      </c>
      <c r="L4774">
        <v>2</v>
      </c>
      <c r="M4774">
        <v>190</v>
      </c>
      <c r="N4774">
        <v>190</v>
      </c>
      <c r="O4774">
        <v>0</v>
      </c>
      <c r="P4774">
        <v>190</v>
      </c>
      <c r="Q4774">
        <v>5</v>
      </c>
      <c r="R4774">
        <v>21</v>
      </c>
      <c r="S4774">
        <v>2</v>
      </c>
      <c r="T4774">
        <v>3</v>
      </c>
      <c r="U4774">
        <v>3</v>
      </c>
      <c r="V4774">
        <v>2</v>
      </c>
      <c r="W4774">
        <v>2</v>
      </c>
      <c r="X4774">
        <v>144</v>
      </c>
      <c r="Y4774">
        <v>1</v>
      </c>
      <c r="Z4774">
        <v>2</v>
      </c>
      <c r="AA4774">
        <v>1</v>
      </c>
      <c r="AB4774">
        <v>3</v>
      </c>
      <c r="AD4774">
        <v>0</v>
      </c>
      <c r="AE4774">
        <v>0</v>
      </c>
      <c r="AF4774">
        <v>0</v>
      </c>
      <c r="AG4774">
        <v>0</v>
      </c>
      <c r="AI4774">
        <v>0</v>
      </c>
      <c r="AJ4774">
        <v>1</v>
      </c>
      <c r="AK4774">
        <v>190</v>
      </c>
      <c r="AL4774">
        <v>190</v>
      </c>
      <c r="AM4774">
        <v>405</v>
      </c>
      <c r="AN4774">
        <v>44</v>
      </c>
      <c r="AP4774">
        <v>1</v>
      </c>
      <c r="AR4774" t="s">
        <v>4876</v>
      </c>
      <c r="AS4774" s="1">
        <v>44354.382638888892</v>
      </c>
      <c r="AT4774" s="1">
        <v>44354.399652777778</v>
      </c>
      <c r="AU4774" s="1">
        <v>44354.400196759256</v>
      </c>
      <c r="AV4774" t="s">
        <v>71</v>
      </c>
      <c r="AW4774" t="s">
        <v>72</v>
      </c>
      <c r="AX4774" t="s">
        <v>73</v>
      </c>
    </row>
    <row r="4775" spans="1:50" x14ac:dyDescent="0.3">
      <c r="A4775" t="str">
        <f>"202133E0100"</f>
        <v>202133E0100</v>
      </c>
      <c r="B4775" t="str">
        <f>"202133E01002"</f>
        <v>202133E01002</v>
      </c>
      <c r="C4775" t="str">
        <f t="shared" si="241"/>
        <v>20</v>
      </c>
      <c r="D4775" t="s">
        <v>67</v>
      </c>
      <c r="E4775" t="str">
        <f t="shared" si="240"/>
        <v>021</v>
      </c>
      <c r="F4775" t="s">
        <v>4711</v>
      </c>
      <c r="G4775" t="str">
        <f>"2133"</f>
        <v>2133</v>
      </c>
      <c r="H4775" t="str">
        <f>"0001"</f>
        <v>0001</v>
      </c>
      <c r="I4775" t="s">
        <v>109</v>
      </c>
      <c r="J4775">
        <v>0</v>
      </c>
      <c r="K4775">
        <v>1</v>
      </c>
      <c r="L4775">
        <v>2</v>
      </c>
      <c r="M4775">
        <v>310</v>
      </c>
      <c r="N4775">
        <v>208</v>
      </c>
      <c r="O4775" t="s">
        <v>80</v>
      </c>
      <c r="P4775">
        <v>208</v>
      </c>
      <c r="Q4775">
        <v>2</v>
      </c>
      <c r="R4775">
        <v>13</v>
      </c>
      <c r="S4775">
        <v>4</v>
      </c>
      <c r="T4775">
        <v>8</v>
      </c>
      <c r="U4775">
        <v>6</v>
      </c>
      <c r="V4775">
        <v>5</v>
      </c>
      <c r="W4775">
        <v>2</v>
      </c>
      <c r="X4775">
        <v>151</v>
      </c>
      <c r="Y4775">
        <v>0</v>
      </c>
      <c r="Z4775">
        <v>4</v>
      </c>
      <c r="AA4775">
        <v>0</v>
      </c>
      <c r="AB4775">
        <v>6</v>
      </c>
      <c r="AD4775">
        <v>1</v>
      </c>
      <c r="AE4775" t="s">
        <v>77</v>
      </c>
      <c r="AF4775" t="s">
        <v>77</v>
      </c>
      <c r="AG4775" t="s">
        <v>77</v>
      </c>
      <c r="AI4775" t="s">
        <v>77</v>
      </c>
      <c r="AJ4775">
        <v>6</v>
      </c>
      <c r="AK4775">
        <v>208</v>
      </c>
      <c r="AL4775">
        <v>208</v>
      </c>
      <c r="AM4775">
        <v>474</v>
      </c>
      <c r="AN4775">
        <v>44</v>
      </c>
      <c r="AO4775" t="s">
        <v>78</v>
      </c>
      <c r="AP4775">
        <v>1</v>
      </c>
      <c r="AR4775" t="s">
        <v>4877</v>
      </c>
      <c r="AS4775" s="1">
        <v>44354.383333333331</v>
      </c>
      <c r="AT4775" s="1">
        <v>44354.396863425929</v>
      </c>
      <c r="AU4775" s="1">
        <v>44354.397187499999</v>
      </c>
      <c r="AV4775" t="s">
        <v>71</v>
      </c>
      <c r="AW4775" t="s">
        <v>72</v>
      </c>
      <c r="AX4775" t="s">
        <v>73</v>
      </c>
    </row>
    <row r="4776" spans="1:50" x14ac:dyDescent="0.3">
      <c r="A4776" t="str">
        <f>"202133E0101"</f>
        <v>202133E0101</v>
      </c>
      <c r="B4776" t="str">
        <f>"202133E01012"</f>
        <v>202133E01012</v>
      </c>
      <c r="C4776" t="str">
        <f t="shared" si="241"/>
        <v>20</v>
      </c>
      <c r="D4776" t="s">
        <v>67</v>
      </c>
      <c r="E4776" t="str">
        <f t="shared" si="240"/>
        <v>021</v>
      </c>
      <c r="F4776" t="s">
        <v>4711</v>
      </c>
      <c r="G4776" t="str">
        <f>"2133"</f>
        <v>2133</v>
      </c>
      <c r="H4776" t="str">
        <f>"0001"</f>
        <v>0001</v>
      </c>
      <c r="I4776" t="s">
        <v>109</v>
      </c>
      <c r="J4776">
        <v>1</v>
      </c>
      <c r="K4776">
        <v>1</v>
      </c>
      <c r="L4776">
        <v>2</v>
      </c>
      <c r="M4776">
        <v>351</v>
      </c>
      <c r="N4776">
        <v>167</v>
      </c>
      <c r="O4776">
        <v>0</v>
      </c>
      <c r="P4776">
        <v>167</v>
      </c>
      <c r="Q4776">
        <v>2</v>
      </c>
      <c r="R4776">
        <v>24</v>
      </c>
      <c r="S4776">
        <v>2</v>
      </c>
      <c r="T4776">
        <v>6</v>
      </c>
      <c r="U4776">
        <v>8</v>
      </c>
      <c r="V4776">
        <v>7</v>
      </c>
      <c r="W4776">
        <v>0</v>
      </c>
      <c r="X4776">
        <v>97</v>
      </c>
      <c r="Y4776">
        <v>0</v>
      </c>
      <c r="Z4776">
        <v>3</v>
      </c>
      <c r="AA4776">
        <v>0</v>
      </c>
      <c r="AB4776">
        <v>11</v>
      </c>
      <c r="AD4776">
        <v>0</v>
      </c>
      <c r="AE4776">
        <v>0</v>
      </c>
      <c r="AF4776">
        <v>0</v>
      </c>
      <c r="AG4776">
        <v>0</v>
      </c>
      <c r="AI4776">
        <v>0</v>
      </c>
      <c r="AJ4776">
        <v>0</v>
      </c>
      <c r="AK4776">
        <v>167</v>
      </c>
      <c r="AL4776">
        <v>160</v>
      </c>
      <c r="AM4776">
        <v>474</v>
      </c>
      <c r="AN4776">
        <v>44</v>
      </c>
      <c r="AP4776">
        <v>1</v>
      </c>
      <c r="AR4776" t="s">
        <v>4878</v>
      </c>
      <c r="AS4776" s="1">
        <v>44354.382638888892</v>
      </c>
      <c r="AT4776" s="1">
        <v>44354.399953703702</v>
      </c>
      <c r="AU4776" s="1">
        <v>44354.400185185186</v>
      </c>
      <c r="AV4776" t="s">
        <v>71</v>
      </c>
      <c r="AW4776" t="s">
        <v>72</v>
      </c>
      <c r="AX4776" t="s">
        <v>73</v>
      </c>
    </row>
    <row r="4777" spans="1:50" x14ac:dyDescent="0.3">
      <c r="A4777" t="str">
        <f>"202133E0200"</f>
        <v>202133E0200</v>
      </c>
      <c r="B4777" t="str">
        <f>"202133E02002"</f>
        <v>202133E02002</v>
      </c>
      <c r="C4777" t="str">
        <f t="shared" si="241"/>
        <v>20</v>
      </c>
      <c r="D4777" t="s">
        <v>67</v>
      </c>
      <c r="E4777" t="str">
        <f t="shared" si="240"/>
        <v>021</v>
      </c>
      <c r="F4777" t="s">
        <v>4711</v>
      </c>
      <c r="G4777" t="str">
        <f>"2133"</f>
        <v>2133</v>
      </c>
      <c r="H4777" t="str">
        <f>"0002"</f>
        <v>0002</v>
      </c>
      <c r="I4777" t="s">
        <v>109</v>
      </c>
      <c r="J4777">
        <v>0</v>
      </c>
      <c r="K4777">
        <v>1</v>
      </c>
      <c r="L4777">
        <v>2</v>
      </c>
      <c r="M4777">
        <v>238</v>
      </c>
      <c r="N4777">
        <v>385</v>
      </c>
      <c r="O4777">
        <v>0</v>
      </c>
      <c r="P4777">
        <v>385</v>
      </c>
      <c r="Q4777">
        <v>23</v>
      </c>
      <c r="R4777">
        <v>265</v>
      </c>
      <c r="S4777">
        <v>4</v>
      </c>
      <c r="T4777">
        <v>0</v>
      </c>
      <c r="U4777">
        <v>70</v>
      </c>
      <c r="V4777">
        <v>1</v>
      </c>
      <c r="W4777">
        <v>0</v>
      </c>
      <c r="X4777">
        <v>3</v>
      </c>
      <c r="Y4777">
        <v>0</v>
      </c>
      <c r="Z4777">
        <v>3</v>
      </c>
      <c r="AA4777">
        <v>2</v>
      </c>
      <c r="AB4777">
        <v>0</v>
      </c>
      <c r="AD4777">
        <v>3</v>
      </c>
      <c r="AE4777">
        <v>3</v>
      </c>
      <c r="AF4777">
        <v>0</v>
      </c>
      <c r="AG4777">
        <v>0</v>
      </c>
      <c r="AI4777">
        <v>0</v>
      </c>
      <c r="AJ4777">
        <v>8</v>
      </c>
      <c r="AK4777">
        <v>385</v>
      </c>
      <c r="AL4777">
        <v>385</v>
      </c>
      <c r="AM4777">
        <v>579</v>
      </c>
      <c r="AN4777">
        <v>44</v>
      </c>
      <c r="AP4777">
        <v>1</v>
      </c>
      <c r="AR4777" t="s">
        <v>4879</v>
      </c>
      <c r="AS4777" s="1">
        <v>44354.383333333331</v>
      </c>
      <c r="AT4777" s="1">
        <v>44354.396284722221</v>
      </c>
      <c r="AU4777" s="1">
        <v>44354.397523148145</v>
      </c>
      <c r="AV4777" t="s">
        <v>71</v>
      </c>
      <c r="AW4777" t="s">
        <v>72</v>
      </c>
      <c r="AX4777" t="s">
        <v>73</v>
      </c>
    </row>
    <row r="4778" spans="1:50" x14ac:dyDescent="0.3">
      <c r="A4778" t="str">
        <f>"202134B0000"</f>
        <v>202134B0000</v>
      </c>
      <c r="B4778" t="str">
        <f>"202134B00002"</f>
        <v>202134B00002</v>
      </c>
      <c r="C4778" t="str">
        <f t="shared" si="241"/>
        <v>20</v>
      </c>
      <c r="D4778" t="s">
        <v>67</v>
      </c>
      <c r="E4778" t="str">
        <f t="shared" si="240"/>
        <v>021</v>
      </c>
      <c r="F4778" t="s">
        <v>4711</v>
      </c>
      <c r="G4778" t="str">
        <f>"2134"</f>
        <v>2134</v>
      </c>
      <c r="H4778" t="str">
        <f>"0000"</f>
        <v>0000</v>
      </c>
      <c r="I4778" t="s">
        <v>69</v>
      </c>
      <c r="J4778">
        <v>0</v>
      </c>
      <c r="K4778">
        <v>1</v>
      </c>
      <c r="L4778">
        <v>2</v>
      </c>
      <c r="M4778">
        <v>164</v>
      </c>
      <c r="N4778">
        <v>263</v>
      </c>
      <c r="O4778">
        <v>4</v>
      </c>
      <c r="P4778">
        <v>263</v>
      </c>
      <c r="Q4778">
        <v>7</v>
      </c>
      <c r="R4778">
        <v>7</v>
      </c>
      <c r="S4778">
        <v>5</v>
      </c>
      <c r="T4778">
        <v>1</v>
      </c>
      <c r="U4778">
        <v>9</v>
      </c>
      <c r="V4778">
        <v>1</v>
      </c>
      <c r="W4778">
        <v>2</v>
      </c>
      <c r="X4778">
        <v>222</v>
      </c>
      <c r="Y4778" t="s">
        <v>77</v>
      </c>
      <c r="Z4778">
        <v>3</v>
      </c>
      <c r="AA4778" t="s">
        <v>77</v>
      </c>
      <c r="AB4778">
        <v>1</v>
      </c>
      <c r="AD4778" t="s">
        <v>77</v>
      </c>
      <c r="AE4778" t="s">
        <v>77</v>
      </c>
      <c r="AF4778" t="s">
        <v>77</v>
      </c>
      <c r="AG4778" t="s">
        <v>77</v>
      </c>
      <c r="AI4778" t="s">
        <v>77</v>
      </c>
      <c r="AJ4778">
        <v>5</v>
      </c>
      <c r="AK4778">
        <v>263</v>
      </c>
      <c r="AL4778">
        <v>263</v>
      </c>
      <c r="AM4778">
        <v>383</v>
      </c>
      <c r="AN4778">
        <v>44</v>
      </c>
      <c r="AO4778" t="s">
        <v>78</v>
      </c>
      <c r="AP4778">
        <v>1</v>
      </c>
      <c r="AR4778" t="s">
        <v>4880</v>
      </c>
      <c r="AS4778" s="1">
        <v>44354.404861111114</v>
      </c>
      <c r="AT4778" s="1">
        <v>44354.557800925926</v>
      </c>
      <c r="AU4778" s="1">
        <v>44354.558159722219</v>
      </c>
      <c r="AV4778" t="s">
        <v>71</v>
      </c>
      <c r="AW4778" t="s">
        <v>72</v>
      </c>
      <c r="AX4778" t="s">
        <v>73</v>
      </c>
    </row>
    <row r="4779" spans="1:50" x14ac:dyDescent="0.3">
      <c r="A4779" t="str">
        <f>"202134E0100"</f>
        <v>202134E0100</v>
      </c>
      <c r="B4779" t="str">
        <f>"202134E01002"</f>
        <v>202134E01002</v>
      </c>
      <c r="C4779" t="str">
        <f t="shared" si="241"/>
        <v>20</v>
      </c>
      <c r="D4779" t="s">
        <v>67</v>
      </c>
      <c r="E4779" t="str">
        <f t="shared" si="240"/>
        <v>021</v>
      </c>
      <c r="F4779" t="s">
        <v>4711</v>
      </c>
      <c r="G4779" t="str">
        <f>"2134"</f>
        <v>2134</v>
      </c>
      <c r="H4779" t="str">
        <f>"0001"</f>
        <v>0001</v>
      </c>
      <c r="I4779" t="s">
        <v>109</v>
      </c>
      <c r="J4779">
        <v>0</v>
      </c>
      <c r="K4779">
        <v>1</v>
      </c>
      <c r="L4779">
        <v>2</v>
      </c>
      <c r="M4779">
        <v>153</v>
      </c>
      <c r="N4779">
        <v>79</v>
      </c>
      <c r="O4779">
        <v>0</v>
      </c>
      <c r="P4779">
        <v>79</v>
      </c>
      <c r="Q4779">
        <v>2</v>
      </c>
      <c r="R4779">
        <v>4</v>
      </c>
      <c r="S4779">
        <v>5</v>
      </c>
      <c r="T4779">
        <v>0</v>
      </c>
      <c r="U4779">
        <v>1</v>
      </c>
      <c r="V4779">
        <v>0</v>
      </c>
      <c r="W4779">
        <v>0</v>
      </c>
      <c r="X4779">
        <v>61</v>
      </c>
      <c r="Y4779">
        <v>0</v>
      </c>
      <c r="Z4779">
        <v>0</v>
      </c>
      <c r="AA4779">
        <v>1</v>
      </c>
      <c r="AB4779">
        <v>0</v>
      </c>
      <c r="AD4779">
        <v>0</v>
      </c>
      <c r="AE4779">
        <v>1</v>
      </c>
      <c r="AF4779">
        <v>0</v>
      </c>
      <c r="AG4779">
        <v>0</v>
      </c>
      <c r="AI4779">
        <v>0</v>
      </c>
      <c r="AJ4779">
        <v>4</v>
      </c>
      <c r="AK4779">
        <v>79</v>
      </c>
      <c r="AL4779">
        <v>79</v>
      </c>
      <c r="AM4779">
        <v>188</v>
      </c>
      <c r="AN4779">
        <v>44</v>
      </c>
      <c r="AP4779">
        <v>1</v>
      </c>
      <c r="AR4779" t="s">
        <v>4881</v>
      </c>
      <c r="AS4779" s="1">
        <v>44354.402083333334</v>
      </c>
      <c r="AT4779" s="1">
        <v>44354.406747685185</v>
      </c>
      <c r="AU4779" s="1">
        <v>44354.407141203701</v>
      </c>
      <c r="AV4779" t="s">
        <v>71</v>
      </c>
      <c r="AW4779" t="s">
        <v>72</v>
      </c>
      <c r="AX4779" t="s">
        <v>73</v>
      </c>
    </row>
    <row r="4780" spans="1:50" x14ac:dyDescent="0.3">
      <c r="A4780" t="str">
        <f>"202229B0000"</f>
        <v>202229B0000</v>
      </c>
      <c r="B4780" t="str">
        <f>"202229B00002"</f>
        <v>202229B00002</v>
      </c>
      <c r="C4780" t="str">
        <f t="shared" si="241"/>
        <v>20</v>
      </c>
      <c r="D4780" t="s">
        <v>67</v>
      </c>
      <c r="E4780" t="str">
        <f t="shared" si="240"/>
        <v>021</v>
      </c>
      <c r="F4780" t="s">
        <v>4711</v>
      </c>
      <c r="G4780" t="str">
        <f>"2229"</f>
        <v>2229</v>
      </c>
      <c r="H4780" t="str">
        <f>"0000"</f>
        <v>0000</v>
      </c>
      <c r="I4780" t="s">
        <v>69</v>
      </c>
      <c r="J4780">
        <v>0</v>
      </c>
      <c r="K4780">
        <v>1</v>
      </c>
      <c r="L4780">
        <v>2</v>
      </c>
      <c r="M4780">
        <v>500</v>
      </c>
      <c r="N4780">
        <v>222</v>
      </c>
      <c r="O4780">
        <v>0</v>
      </c>
      <c r="P4780" t="s">
        <v>80</v>
      </c>
      <c r="Q4780">
        <v>3</v>
      </c>
      <c r="R4780">
        <v>10</v>
      </c>
      <c r="S4780">
        <v>5</v>
      </c>
      <c r="T4780">
        <v>1</v>
      </c>
      <c r="U4780">
        <v>29</v>
      </c>
      <c r="V4780">
        <v>2</v>
      </c>
      <c r="W4780">
        <v>0</v>
      </c>
      <c r="X4780">
        <v>148</v>
      </c>
      <c r="Y4780">
        <v>1</v>
      </c>
      <c r="Z4780">
        <v>2</v>
      </c>
      <c r="AA4780">
        <v>1</v>
      </c>
      <c r="AB4780">
        <v>0</v>
      </c>
      <c r="AD4780">
        <v>0</v>
      </c>
      <c r="AE4780">
        <v>0</v>
      </c>
      <c r="AF4780">
        <v>0</v>
      </c>
      <c r="AG4780">
        <v>0</v>
      </c>
      <c r="AI4780">
        <v>0</v>
      </c>
      <c r="AJ4780">
        <v>20</v>
      </c>
      <c r="AK4780">
        <v>222</v>
      </c>
      <c r="AL4780">
        <v>222</v>
      </c>
      <c r="AM4780">
        <v>678</v>
      </c>
      <c r="AN4780">
        <v>44</v>
      </c>
      <c r="AP4780">
        <v>1</v>
      </c>
      <c r="AR4780" t="s">
        <v>4882</v>
      </c>
      <c r="AS4780" s="1">
        <v>44354.405555555553</v>
      </c>
      <c r="AT4780" s="1">
        <v>44354.557893518519</v>
      </c>
      <c r="AU4780" s="1">
        <v>44354.559155092589</v>
      </c>
      <c r="AV4780" t="s">
        <v>71</v>
      </c>
      <c r="AW4780" t="s">
        <v>72</v>
      </c>
      <c r="AX4780" t="s">
        <v>73</v>
      </c>
    </row>
    <row r="4781" spans="1:50" x14ac:dyDescent="0.3">
      <c r="A4781" t="str">
        <f>"202229C0100"</f>
        <v>202229C0100</v>
      </c>
      <c r="B4781" t="str">
        <f>"202229C01002"</f>
        <v>202229C01002</v>
      </c>
      <c r="C4781" t="str">
        <f t="shared" si="241"/>
        <v>20</v>
      </c>
      <c r="D4781" t="s">
        <v>67</v>
      </c>
      <c r="E4781" t="str">
        <f t="shared" si="240"/>
        <v>021</v>
      </c>
      <c r="F4781" t="s">
        <v>4711</v>
      </c>
      <c r="G4781" t="str">
        <f>"2229"</f>
        <v>2229</v>
      </c>
      <c r="H4781" t="str">
        <f>"0001"</f>
        <v>0001</v>
      </c>
      <c r="I4781" t="s">
        <v>75</v>
      </c>
      <c r="J4781">
        <v>0</v>
      </c>
      <c r="K4781">
        <v>1</v>
      </c>
      <c r="L4781">
        <v>2</v>
      </c>
      <c r="M4781">
        <v>542</v>
      </c>
      <c r="N4781">
        <v>202</v>
      </c>
      <c r="O4781">
        <v>0</v>
      </c>
      <c r="P4781">
        <v>202</v>
      </c>
      <c r="Q4781">
        <v>6</v>
      </c>
      <c r="R4781">
        <v>6</v>
      </c>
      <c r="S4781">
        <v>8</v>
      </c>
      <c r="T4781">
        <v>1</v>
      </c>
      <c r="U4781">
        <v>45</v>
      </c>
      <c r="V4781">
        <v>3</v>
      </c>
      <c r="W4781">
        <v>1</v>
      </c>
      <c r="X4781">
        <v>116</v>
      </c>
      <c r="Y4781">
        <v>1</v>
      </c>
      <c r="Z4781">
        <v>6</v>
      </c>
      <c r="AA4781">
        <v>2</v>
      </c>
      <c r="AB4781">
        <v>0</v>
      </c>
      <c r="AD4781">
        <v>0</v>
      </c>
      <c r="AE4781">
        <v>0</v>
      </c>
      <c r="AF4781">
        <v>0</v>
      </c>
      <c r="AG4781">
        <v>0</v>
      </c>
      <c r="AI4781">
        <v>0</v>
      </c>
      <c r="AJ4781">
        <v>7</v>
      </c>
      <c r="AK4781">
        <v>202</v>
      </c>
      <c r="AL4781">
        <v>202</v>
      </c>
      <c r="AM4781">
        <v>678</v>
      </c>
      <c r="AN4781">
        <v>44</v>
      </c>
      <c r="AP4781">
        <v>1</v>
      </c>
      <c r="AR4781" t="s">
        <v>4883</v>
      </c>
      <c r="AS4781" s="1">
        <v>44354.400694444441</v>
      </c>
      <c r="AT4781" s="1">
        <v>44354.409050925926</v>
      </c>
      <c r="AU4781" s="1">
        <v>44354.40966435185</v>
      </c>
      <c r="AV4781" t="s">
        <v>71</v>
      </c>
      <c r="AW4781" t="s">
        <v>72</v>
      </c>
      <c r="AX4781" t="s">
        <v>73</v>
      </c>
    </row>
    <row r="4782" spans="1:50" x14ac:dyDescent="0.3">
      <c r="A4782" t="str">
        <f>"202229C0200"</f>
        <v>202229C0200</v>
      </c>
      <c r="B4782" t="str">
        <f>"202229C02002"</f>
        <v>202229C02002</v>
      </c>
      <c r="C4782" t="str">
        <f t="shared" si="241"/>
        <v>20</v>
      </c>
      <c r="D4782" t="s">
        <v>67</v>
      </c>
      <c r="E4782" t="str">
        <f t="shared" si="240"/>
        <v>021</v>
      </c>
      <c r="F4782" t="s">
        <v>4711</v>
      </c>
      <c r="G4782" t="str">
        <f>"2229"</f>
        <v>2229</v>
      </c>
      <c r="H4782" t="str">
        <f>"0002"</f>
        <v>0002</v>
      </c>
      <c r="I4782" t="s">
        <v>75</v>
      </c>
      <c r="J4782">
        <v>0</v>
      </c>
      <c r="K4782">
        <v>1</v>
      </c>
      <c r="L4782">
        <v>2</v>
      </c>
      <c r="M4782">
        <v>503</v>
      </c>
      <c r="N4782">
        <v>218</v>
      </c>
      <c r="O4782">
        <v>2</v>
      </c>
      <c r="P4782" t="s">
        <v>80</v>
      </c>
      <c r="Q4782">
        <v>7</v>
      </c>
      <c r="R4782">
        <v>15</v>
      </c>
      <c r="S4782">
        <v>6</v>
      </c>
      <c r="T4782">
        <v>2</v>
      </c>
      <c r="U4782">
        <v>45</v>
      </c>
      <c r="V4782">
        <v>3</v>
      </c>
      <c r="W4782">
        <v>1</v>
      </c>
      <c r="X4782">
        <v>114</v>
      </c>
      <c r="Y4782">
        <v>1</v>
      </c>
      <c r="Z4782">
        <v>3</v>
      </c>
      <c r="AA4782">
        <v>0</v>
      </c>
      <c r="AB4782">
        <v>1</v>
      </c>
      <c r="AD4782">
        <v>1</v>
      </c>
      <c r="AE4782">
        <v>0</v>
      </c>
      <c r="AF4782">
        <v>0</v>
      </c>
      <c r="AG4782">
        <v>1</v>
      </c>
      <c r="AI4782" t="s">
        <v>77</v>
      </c>
      <c r="AJ4782">
        <v>18</v>
      </c>
      <c r="AK4782">
        <v>218</v>
      </c>
      <c r="AL4782">
        <v>218</v>
      </c>
      <c r="AM4782">
        <v>677</v>
      </c>
      <c r="AN4782">
        <v>44</v>
      </c>
      <c r="AO4782" t="s">
        <v>78</v>
      </c>
      <c r="AP4782">
        <v>1</v>
      </c>
      <c r="AR4782" t="s">
        <v>4884</v>
      </c>
      <c r="AS4782" s="1">
        <v>44354.404861111114</v>
      </c>
      <c r="AT4782" s="1">
        <v>44354.55746527778</v>
      </c>
      <c r="AU4782" s="1">
        <v>44354.558078703703</v>
      </c>
      <c r="AV4782" t="s">
        <v>71</v>
      </c>
      <c r="AW4782" t="s">
        <v>72</v>
      </c>
      <c r="AX4782" t="s">
        <v>73</v>
      </c>
    </row>
    <row r="4783" spans="1:50" x14ac:dyDescent="0.3">
      <c r="A4783" t="str">
        <f>"202230B0000"</f>
        <v>202230B0000</v>
      </c>
      <c r="B4783" t="str">
        <f>"202230B00002"</f>
        <v>202230B00002</v>
      </c>
      <c r="C4783" t="str">
        <f t="shared" si="241"/>
        <v>20</v>
      </c>
      <c r="D4783" t="s">
        <v>67</v>
      </c>
      <c r="E4783" t="str">
        <f t="shared" si="240"/>
        <v>021</v>
      </c>
      <c r="F4783" t="s">
        <v>4711</v>
      </c>
      <c r="G4783" t="str">
        <f>"2230"</f>
        <v>2230</v>
      </c>
      <c r="H4783" t="str">
        <f>"0000"</f>
        <v>0000</v>
      </c>
      <c r="I4783" t="s">
        <v>69</v>
      </c>
      <c r="J4783">
        <v>0</v>
      </c>
      <c r="K4783">
        <v>1</v>
      </c>
      <c r="L4783">
        <v>2</v>
      </c>
      <c r="M4783">
        <v>429</v>
      </c>
      <c r="N4783">
        <v>140</v>
      </c>
      <c r="O4783">
        <v>7</v>
      </c>
      <c r="P4783">
        <v>140</v>
      </c>
      <c r="Q4783">
        <v>11</v>
      </c>
      <c r="R4783">
        <v>62</v>
      </c>
      <c r="S4783">
        <v>12</v>
      </c>
      <c r="T4783">
        <v>2</v>
      </c>
      <c r="U4783">
        <v>26</v>
      </c>
      <c r="V4783">
        <v>0</v>
      </c>
      <c r="W4783">
        <v>0</v>
      </c>
      <c r="X4783">
        <v>13</v>
      </c>
      <c r="Y4783">
        <v>0</v>
      </c>
      <c r="Z4783">
        <v>3</v>
      </c>
      <c r="AA4783">
        <v>2</v>
      </c>
      <c r="AB4783">
        <v>1</v>
      </c>
      <c r="AD4783">
        <v>4</v>
      </c>
      <c r="AE4783">
        <v>0</v>
      </c>
      <c r="AF4783">
        <v>0</v>
      </c>
      <c r="AG4783">
        <v>0</v>
      </c>
      <c r="AI4783">
        <v>0</v>
      </c>
      <c r="AJ4783">
        <v>4</v>
      </c>
      <c r="AK4783">
        <v>140</v>
      </c>
      <c r="AL4783">
        <v>140</v>
      </c>
      <c r="AM4783">
        <v>525</v>
      </c>
      <c r="AN4783">
        <v>44</v>
      </c>
      <c r="AP4783">
        <v>1</v>
      </c>
      <c r="AR4783" t="s">
        <v>4885</v>
      </c>
      <c r="AS4783" s="1">
        <v>44354.405555555553</v>
      </c>
      <c r="AT4783" s="1">
        <v>44354.555462962962</v>
      </c>
      <c r="AU4783" s="1">
        <v>44354.556064814817</v>
      </c>
      <c r="AV4783" t="s">
        <v>71</v>
      </c>
      <c r="AW4783" t="s">
        <v>72</v>
      </c>
      <c r="AX4783" t="s">
        <v>73</v>
      </c>
    </row>
    <row r="4784" spans="1:50" x14ac:dyDescent="0.3">
      <c r="A4784" t="str">
        <f>"202230C0100"</f>
        <v>202230C0100</v>
      </c>
      <c r="B4784" t="str">
        <f>"202230C01002"</f>
        <v>202230C01002</v>
      </c>
      <c r="C4784" t="str">
        <f t="shared" si="241"/>
        <v>20</v>
      </c>
      <c r="D4784" t="s">
        <v>67</v>
      </c>
      <c r="E4784" t="str">
        <f t="shared" si="240"/>
        <v>021</v>
      </c>
      <c r="F4784" t="s">
        <v>4711</v>
      </c>
      <c r="G4784" t="str">
        <f>"2230"</f>
        <v>2230</v>
      </c>
      <c r="H4784" t="str">
        <f>"0001"</f>
        <v>0001</v>
      </c>
      <c r="I4784" t="s">
        <v>75</v>
      </c>
      <c r="J4784">
        <v>0</v>
      </c>
      <c r="K4784">
        <v>1</v>
      </c>
      <c r="L4784">
        <v>2</v>
      </c>
      <c r="M4784">
        <v>435</v>
      </c>
      <c r="N4784">
        <v>134</v>
      </c>
      <c r="O4784">
        <v>5</v>
      </c>
      <c r="P4784">
        <v>134</v>
      </c>
      <c r="Q4784">
        <v>12</v>
      </c>
      <c r="R4784">
        <v>35</v>
      </c>
      <c r="S4784">
        <v>17</v>
      </c>
      <c r="T4784">
        <v>2</v>
      </c>
      <c r="U4784">
        <v>33</v>
      </c>
      <c r="V4784">
        <v>0</v>
      </c>
      <c r="W4784">
        <v>0</v>
      </c>
      <c r="X4784">
        <v>21</v>
      </c>
      <c r="Y4784">
        <v>0</v>
      </c>
      <c r="Z4784">
        <v>1</v>
      </c>
      <c r="AA4784">
        <v>1</v>
      </c>
      <c r="AB4784">
        <v>4</v>
      </c>
      <c r="AD4784">
        <v>2</v>
      </c>
      <c r="AE4784">
        <v>0</v>
      </c>
      <c r="AF4784">
        <v>0</v>
      </c>
      <c r="AG4784">
        <v>0</v>
      </c>
      <c r="AI4784">
        <v>0</v>
      </c>
      <c r="AJ4784">
        <v>6</v>
      </c>
      <c r="AK4784">
        <v>134</v>
      </c>
      <c r="AL4784">
        <v>134</v>
      </c>
      <c r="AM4784">
        <v>525</v>
      </c>
      <c r="AN4784">
        <v>44</v>
      </c>
      <c r="AP4784">
        <v>1</v>
      </c>
      <c r="AR4784" t="s">
        <v>4886</v>
      </c>
      <c r="AS4784" s="1">
        <v>44354.40347222222</v>
      </c>
      <c r="AT4784" s="1">
        <v>44354.561319444445</v>
      </c>
      <c r="AU4784" s="1">
        <v>44354.562314814815</v>
      </c>
      <c r="AV4784" t="s">
        <v>71</v>
      </c>
      <c r="AW4784" t="s">
        <v>72</v>
      </c>
      <c r="AX4784" t="s">
        <v>73</v>
      </c>
    </row>
    <row r="4785" spans="1:50" x14ac:dyDescent="0.3">
      <c r="A4785" t="str">
        <f>"202230E0100"</f>
        <v>202230E0100</v>
      </c>
      <c r="B4785" t="str">
        <f>"202230E01002"</f>
        <v>202230E01002</v>
      </c>
      <c r="C4785" t="str">
        <f t="shared" si="241"/>
        <v>20</v>
      </c>
      <c r="D4785" t="s">
        <v>67</v>
      </c>
      <c r="E4785" t="str">
        <f t="shared" si="240"/>
        <v>021</v>
      </c>
      <c r="F4785" t="s">
        <v>4711</v>
      </c>
      <c r="G4785" t="str">
        <f>"2230"</f>
        <v>2230</v>
      </c>
      <c r="H4785" t="str">
        <f>"0001"</f>
        <v>0001</v>
      </c>
      <c r="I4785" t="s">
        <v>109</v>
      </c>
      <c r="J4785">
        <v>0</v>
      </c>
      <c r="K4785">
        <v>1</v>
      </c>
      <c r="L4785">
        <v>2</v>
      </c>
      <c r="M4785">
        <v>313</v>
      </c>
      <c r="N4785">
        <v>156</v>
      </c>
      <c r="O4785">
        <v>9</v>
      </c>
      <c r="P4785">
        <v>156</v>
      </c>
      <c r="Q4785">
        <v>9</v>
      </c>
      <c r="R4785">
        <v>34</v>
      </c>
      <c r="S4785">
        <v>6</v>
      </c>
      <c r="T4785">
        <v>1</v>
      </c>
      <c r="U4785">
        <v>58</v>
      </c>
      <c r="V4785">
        <v>2</v>
      </c>
      <c r="W4785">
        <v>0</v>
      </c>
      <c r="X4785">
        <v>25</v>
      </c>
      <c r="Y4785">
        <v>0</v>
      </c>
      <c r="Z4785">
        <v>6</v>
      </c>
      <c r="AA4785">
        <v>0</v>
      </c>
      <c r="AB4785">
        <v>1</v>
      </c>
      <c r="AD4785">
        <v>0</v>
      </c>
      <c r="AE4785">
        <v>1</v>
      </c>
      <c r="AF4785">
        <v>0</v>
      </c>
      <c r="AG4785">
        <v>0</v>
      </c>
      <c r="AI4785">
        <v>0</v>
      </c>
      <c r="AJ4785">
        <v>13</v>
      </c>
      <c r="AK4785">
        <v>156</v>
      </c>
      <c r="AL4785">
        <v>156</v>
      </c>
      <c r="AM4785">
        <v>425</v>
      </c>
      <c r="AN4785">
        <v>44</v>
      </c>
      <c r="AP4785">
        <v>1</v>
      </c>
      <c r="AR4785" t="s">
        <v>4887</v>
      </c>
      <c r="AS4785" s="1">
        <v>44354.400000000001</v>
      </c>
      <c r="AT4785" s="1">
        <v>44354.4141087963</v>
      </c>
      <c r="AU4785" s="1">
        <v>44354.414780092593</v>
      </c>
      <c r="AV4785" t="s">
        <v>71</v>
      </c>
      <c r="AW4785" t="s">
        <v>72</v>
      </c>
      <c r="AX4785" t="s">
        <v>73</v>
      </c>
    </row>
    <row r="4786" spans="1:50" x14ac:dyDescent="0.3">
      <c r="A4786" t="str">
        <f>"202291B0000"</f>
        <v>202291B0000</v>
      </c>
      <c r="B4786" t="str">
        <f>"202291B00002"</f>
        <v>202291B00002</v>
      </c>
      <c r="C4786" t="str">
        <f t="shared" si="241"/>
        <v>20</v>
      </c>
      <c r="D4786" t="s">
        <v>67</v>
      </c>
      <c r="E4786" t="str">
        <f t="shared" si="240"/>
        <v>021</v>
      </c>
      <c r="F4786" t="s">
        <v>4711</v>
      </c>
      <c r="G4786" t="str">
        <f>"2291"</f>
        <v>2291</v>
      </c>
      <c r="H4786" t="str">
        <f>"0000"</f>
        <v>0000</v>
      </c>
      <c r="I4786" t="s">
        <v>69</v>
      </c>
      <c r="J4786">
        <v>0</v>
      </c>
      <c r="K4786">
        <v>1</v>
      </c>
      <c r="L4786">
        <v>2</v>
      </c>
      <c r="M4786">
        <v>313</v>
      </c>
      <c r="N4786">
        <v>355</v>
      </c>
      <c r="O4786">
        <v>0</v>
      </c>
      <c r="P4786">
        <v>355</v>
      </c>
      <c r="Q4786">
        <v>29</v>
      </c>
      <c r="R4786">
        <v>31</v>
      </c>
      <c r="S4786">
        <v>10</v>
      </c>
      <c r="T4786">
        <v>34</v>
      </c>
      <c r="U4786">
        <v>15</v>
      </c>
      <c r="V4786">
        <v>2</v>
      </c>
      <c r="W4786">
        <v>6</v>
      </c>
      <c r="X4786">
        <v>88</v>
      </c>
      <c r="Y4786">
        <v>12</v>
      </c>
      <c r="Z4786">
        <v>13</v>
      </c>
      <c r="AA4786">
        <v>25</v>
      </c>
      <c r="AB4786">
        <v>47</v>
      </c>
      <c r="AD4786">
        <v>5</v>
      </c>
      <c r="AE4786">
        <v>0</v>
      </c>
      <c r="AF4786">
        <v>1</v>
      </c>
      <c r="AG4786">
        <v>0</v>
      </c>
      <c r="AI4786">
        <v>0</v>
      </c>
      <c r="AJ4786">
        <v>37</v>
      </c>
      <c r="AK4786">
        <v>355</v>
      </c>
      <c r="AL4786">
        <v>355</v>
      </c>
      <c r="AM4786">
        <v>624</v>
      </c>
      <c r="AN4786">
        <v>46</v>
      </c>
      <c r="AP4786">
        <v>1</v>
      </c>
      <c r="AR4786" t="s">
        <v>4888</v>
      </c>
      <c r="AS4786" s="1">
        <v>44354.131944444445</v>
      </c>
      <c r="AT4786" s="1">
        <v>44354.141099537039</v>
      </c>
      <c r="AU4786" s="1">
        <v>44354.142152777778</v>
      </c>
      <c r="AV4786" t="s">
        <v>71</v>
      </c>
      <c r="AW4786" t="s">
        <v>72</v>
      </c>
      <c r="AX4786" t="s">
        <v>73</v>
      </c>
    </row>
    <row r="4787" spans="1:50" x14ac:dyDescent="0.3">
      <c r="A4787" t="str">
        <f>"202292B0000"</f>
        <v>202292B0000</v>
      </c>
      <c r="B4787" t="str">
        <f>"202292B00002"</f>
        <v>202292B00002</v>
      </c>
      <c r="C4787" t="str">
        <f t="shared" si="241"/>
        <v>20</v>
      </c>
      <c r="D4787" t="s">
        <v>67</v>
      </c>
      <c r="E4787" t="str">
        <f t="shared" si="240"/>
        <v>021</v>
      </c>
      <c r="F4787" t="s">
        <v>4711</v>
      </c>
      <c r="G4787" t="str">
        <f>"2292"</f>
        <v>2292</v>
      </c>
      <c r="H4787" t="str">
        <f>"0000"</f>
        <v>0000</v>
      </c>
      <c r="I4787" t="s">
        <v>69</v>
      </c>
      <c r="J4787">
        <v>0</v>
      </c>
      <c r="K4787">
        <v>1</v>
      </c>
      <c r="L4787">
        <v>2</v>
      </c>
      <c r="M4787">
        <v>350</v>
      </c>
      <c r="N4787">
        <v>316</v>
      </c>
      <c r="O4787">
        <v>0</v>
      </c>
      <c r="P4787" t="s">
        <v>80</v>
      </c>
      <c r="Q4787">
        <v>17</v>
      </c>
      <c r="R4787">
        <v>36</v>
      </c>
      <c r="S4787">
        <v>3</v>
      </c>
      <c r="T4787">
        <v>26</v>
      </c>
      <c r="U4787">
        <v>23</v>
      </c>
      <c r="V4787">
        <v>1</v>
      </c>
      <c r="W4787">
        <v>2</v>
      </c>
      <c r="X4787">
        <v>89</v>
      </c>
      <c r="Y4787">
        <v>4</v>
      </c>
      <c r="Z4787">
        <v>21</v>
      </c>
      <c r="AA4787">
        <v>7</v>
      </c>
      <c r="AB4787">
        <v>36</v>
      </c>
      <c r="AD4787">
        <v>6</v>
      </c>
      <c r="AE4787">
        <v>1</v>
      </c>
      <c r="AF4787">
        <v>0</v>
      </c>
      <c r="AG4787">
        <v>0</v>
      </c>
      <c r="AI4787">
        <v>1</v>
      </c>
      <c r="AJ4787">
        <v>43</v>
      </c>
      <c r="AK4787">
        <v>316</v>
      </c>
      <c r="AL4787">
        <v>316</v>
      </c>
      <c r="AM4787">
        <v>620</v>
      </c>
      <c r="AN4787">
        <v>46</v>
      </c>
      <c r="AP4787">
        <v>1</v>
      </c>
      <c r="AR4787" t="s">
        <v>4889</v>
      </c>
      <c r="AS4787" s="1">
        <v>44354.098611111112</v>
      </c>
      <c r="AT4787" s="1">
        <v>44354.103807870371</v>
      </c>
      <c r="AU4787" s="1">
        <v>44354.105196759258</v>
      </c>
      <c r="AV4787" t="s">
        <v>71</v>
      </c>
      <c r="AW4787" t="s">
        <v>72</v>
      </c>
      <c r="AX4787" t="s">
        <v>73</v>
      </c>
    </row>
    <row r="4788" spans="1:50" x14ac:dyDescent="0.3">
      <c r="A4788" t="str">
        <f>"202292C0100"</f>
        <v>202292C0100</v>
      </c>
      <c r="B4788" t="str">
        <f>"202292C01002"</f>
        <v>202292C01002</v>
      </c>
      <c r="C4788" t="str">
        <f t="shared" si="241"/>
        <v>20</v>
      </c>
      <c r="D4788" t="s">
        <v>67</v>
      </c>
      <c r="E4788" t="str">
        <f t="shared" si="240"/>
        <v>021</v>
      </c>
      <c r="F4788" t="s">
        <v>4711</v>
      </c>
      <c r="G4788" t="str">
        <f>"2292"</f>
        <v>2292</v>
      </c>
      <c r="H4788" t="str">
        <f>"0001"</f>
        <v>0001</v>
      </c>
      <c r="I4788" t="s">
        <v>75</v>
      </c>
      <c r="J4788">
        <v>0</v>
      </c>
      <c r="K4788">
        <v>1</v>
      </c>
      <c r="L4788">
        <v>2</v>
      </c>
      <c r="M4788">
        <v>359</v>
      </c>
      <c r="N4788">
        <v>307</v>
      </c>
      <c r="O4788">
        <v>0</v>
      </c>
      <c r="P4788">
        <v>307</v>
      </c>
      <c r="Q4788">
        <v>28</v>
      </c>
      <c r="R4788">
        <v>24</v>
      </c>
      <c r="S4788">
        <v>7</v>
      </c>
      <c r="T4788">
        <v>43</v>
      </c>
      <c r="U4788">
        <v>18</v>
      </c>
      <c r="V4788">
        <v>2</v>
      </c>
      <c r="W4788">
        <v>3</v>
      </c>
      <c r="X4788">
        <v>89</v>
      </c>
      <c r="Y4788">
        <v>4</v>
      </c>
      <c r="Z4788">
        <v>12</v>
      </c>
      <c r="AA4788">
        <v>8</v>
      </c>
      <c r="AB4788">
        <v>34</v>
      </c>
      <c r="AD4788">
        <v>5</v>
      </c>
      <c r="AE4788">
        <v>1</v>
      </c>
      <c r="AF4788">
        <v>0</v>
      </c>
      <c r="AG4788">
        <v>0</v>
      </c>
      <c r="AI4788">
        <v>0</v>
      </c>
      <c r="AJ4788">
        <v>29</v>
      </c>
      <c r="AK4788">
        <v>307</v>
      </c>
      <c r="AL4788">
        <v>307</v>
      </c>
      <c r="AM4788">
        <v>620</v>
      </c>
      <c r="AN4788">
        <v>46</v>
      </c>
      <c r="AP4788">
        <v>1</v>
      </c>
      <c r="AR4788" t="s">
        <v>4890</v>
      </c>
      <c r="AS4788" s="1">
        <v>44354.511805555558</v>
      </c>
      <c r="AT4788" s="1">
        <v>44354.5158912037</v>
      </c>
      <c r="AU4788" s="1">
        <v>44354.517187500001</v>
      </c>
      <c r="AV4788" t="s">
        <v>71</v>
      </c>
      <c r="AW4788" t="s">
        <v>72</v>
      </c>
      <c r="AX4788" t="s">
        <v>73</v>
      </c>
    </row>
    <row r="4789" spans="1:50" x14ac:dyDescent="0.3">
      <c r="A4789" t="str">
        <f>"202292C0200"</f>
        <v>202292C0200</v>
      </c>
      <c r="B4789" t="str">
        <f>"202292C02002"</f>
        <v>202292C02002</v>
      </c>
      <c r="C4789" t="str">
        <f t="shared" si="241"/>
        <v>20</v>
      </c>
      <c r="D4789" t="s">
        <v>67</v>
      </c>
      <c r="E4789" t="str">
        <f t="shared" si="240"/>
        <v>021</v>
      </c>
      <c r="F4789" t="s">
        <v>4711</v>
      </c>
      <c r="G4789" t="str">
        <f>"2292"</f>
        <v>2292</v>
      </c>
      <c r="H4789" t="str">
        <f>"0002"</f>
        <v>0002</v>
      </c>
      <c r="I4789" t="s">
        <v>75</v>
      </c>
      <c r="J4789">
        <v>0</v>
      </c>
      <c r="K4789">
        <v>1</v>
      </c>
      <c r="L4789">
        <v>2</v>
      </c>
      <c r="M4789">
        <v>348</v>
      </c>
      <c r="N4789">
        <v>318</v>
      </c>
      <c r="O4789">
        <v>0</v>
      </c>
      <c r="P4789">
        <v>318</v>
      </c>
      <c r="Q4789">
        <v>14</v>
      </c>
      <c r="R4789">
        <v>33</v>
      </c>
      <c r="S4789">
        <v>9</v>
      </c>
      <c r="T4789">
        <v>31</v>
      </c>
      <c r="U4789">
        <v>19</v>
      </c>
      <c r="V4789">
        <v>4</v>
      </c>
      <c r="W4789">
        <v>5</v>
      </c>
      <c r="X4789">
        <v>87</v>
      </c>
      <c r="Y4789">
        <v>0</v>
      </c>
      <c r="Z4789">
        <v>25</v>
      </c>
      <c r="AA4789">
        <v>10</v>
      </c>
      <c r="AB4789">
        <v>42</v>
      </c>
      <c r="AD4789">
        <v>1</v>
      </c>
      <c r="AE4789">
        <v>4</v>
      </c>
      <c r="AF4789">
        <v>0</v>
      </c>
      <c r="AG4789">
        <v>0</v>
      </c>
      <c r="AI4789">
        <v>0</v>
      </c>
      <c r="AJ4789">
        <v>34</v>
      </c>
      <c r="AK4789">
        <v>318</v>
      </c>
      <c r="AL4789">
        <v>318</v>
      </c>
      <c r="AM4789">
        <v>620</v>
      </c>
      <c r="AN4789">
        <v>46</v>
      </c>
      <c r="AP4789">
        <v>1</v>
      </c>
      <c r="AR4789" t="s">
        <v>4891</v>
      </c>
      <c r="AS4789" s="1">
        <v>44354.098611111112</v>
      </c>
      <c r="AT4789" s="1">
        <v>44354.102256944447</v>
      </c>
      <c r="AU4789" s="1">
        <v>44354.102962962963</v>
      </c>
      <c r="AV4789" t="s">
        <v>71</v>
      </c>
      <c r="AW4789" t="s">
        <v>72</v>
      </c>
      <c r="AX4789" t="s">
        <v>73</v>
      </c>
    </row>
    <row r="4790" spans="1:50" x14ac:dyDescent="0.3">
      <c r="A4790" t="str">
        <f>"202292S0100"</f>
        <v>202292S0100</v>
      </c>
      <c r="B4790" t="str">
        <f>"202292S01002EMR"</f>
        <v>202292S01002EMR</v>
      </c>
      <c r="C4790" t="str">
        <f t="shared" si="241"/>
        <v>20</v>
      </c>
      <c r="D4790" t="s">
        <v>67</v>
      </c>
      <c r="E4790" t="str">
        <f t="shared" si="240"/>
        <v>021</v>
      </c>
      <c r="F4790" t="s">
        <v>4711</v>
      </c>
      <c r="G4790" t="str">
        <f>"2292"</f>
        <v>2292</v>
      </c>
      <c r="H4790" t="str">
        <f>"0001"</f>
        <v>0001</v>
      </c>
      <c r="I4790" t="s">
        <v>85</v>
      </c>
      <c r="J4790">
        <v>0</v>
      </c>
      <c r="K4790">
        <v>1</v>
      </c>
      <c r="L4790" t="s">
        <v>86</v>
      </c>
      <c r="AM4790">
        <v>0</v>
      </c>
      <c r="AN4790">
        <v>46</v>
      </c>
      <c r="AO4790" t="s">
        <v>2056</v>
      </c>
      <c r="AP4790">
        <v>0</v>
      </c>
      <c r="AR4790" t="s">
        <v>4892</v>
      </c>
      <c r="AS4790" s="1">
        <v>44354.611111111109</v>
      </c>
      <c r="AT4790" s="1">
        <v>44354.629745370374</v>
      </c>
      <c r="AU4790" s="1">
        <v>44354.629745370374</v>
      </c>
      <c r="AV4790" t="s">
        <v>71</v>
      </c>
      <c r="AW4790" t="s">
        <v>72</v>
      </c>
      <c r="AX4790" t="s">
        <v>73</v>
      </c>
    </row>
    <row r="4791" spans="1:50" x14ac:dyDescent="0.3">
      <c r="A4791" t="str">
        <f>"202293E0200"</f>
        <v>202293E0200</v>
      </c>
      <c r="B4791" t="str">
        <f>"202293E02002"</f>
        <v>202293E02002</v>
      </c>
      <c r="C4791" t="str">
        <f t="shared" si="241"/>
        <v>20</v>
      </c>
      <c r="D4791" t="s">
        <v>67</v>
      </c>
      <c r="E4791" t="str">
        <f t="shared" si="240"/>
        <v>021</v>
      </c>
      <c r="F4791" t="s">
        <v>4711</v>
      </c>
      <c r="G4791" t="str">
        <f>"2293"</f>
        <v>2293</v>
      </c>
      <c r="H4791" t="str">
        <f>"0002"</f>
        <v>0002</v>
      </c>
      <c r="I4791" t="s">
        <v>109</v>
      </c>
      <c r="J4791">
        <v>0</v>
      </c>
      <c r="K4791">
        <v>1</v>
      </c>
      <c r="L4791">
        <v>2</v>
      </c>
      <c r="M4791">
        <v>137</v>
      </c>
      <c r="N4791">
        <v>0</v>
      </c>
      <c r="O4791">
        <v>0</v>
      </c>
      <c r="P4791">
        <v>200</v>
      </c>
      <c r="Q4791">
        <v>5</v>
      </c>
      <c r="R4791">
        <v>12</v>
      </c>
      <c r="S4791">
        <v>5</v>
      </c>
      <c r="T4791">
        <v>6</v>
      </c>
      <c r="U4791">
        <v>103</v>
      </c>
      <c r="V4791">
        <v>3</v>
      </c>
      <c r="W4791">
        <v>1</v>
      </c>
      <c r="X4791">
        <v>48</v>
      </c>
      <c r="Y4791">
        <v>0</v>
      </c>
      <c r="Z4791">
        <v>10</v>
      </c>
      <c r="AA4791">
        <v>0</v>
      </c>
      <c r="AB4791">
        <v>2</v>
      </c>
      <c r="AD4791">
        <v>1</v>
      </c>
      <c r="AE4791">
        <v>1</v>
      </c>
      <c r="AF4791">
        <v>0</v>
      </c>
      <c r="AG4791">
        <v>0</v>
      </c>
      <c r="AI4791">
        <v>0</v>
      </c>
      <c r="AJ4791">
        <v>3</v>
      </c>
      <c r="AK4791">
        <v>200</v>
      </c>
      <c r="AL4791">
        <v>200</v>
      </c>
      <c r="AM4791">
        <v>264</v>
      </c>
      <c r="AN4791">
        <v>46</v>
      </c>
      <c r="AP4791">
        <v>1</v>
      </c>
      <c r="AR4791" t="s">
        <v>4893</v>
      </c>
      <c r="AS4791" s="1">
        <v>44354.149305555555</v>
      </c>
      <c r="AT4791" s="1">
        <v>44354.184814814813</v>
      </c>
      <c r="AU4791" s="1">
        <v>44354.185115740744</v>
      </c>
      <c r="AV4791" t="s">
        <v>71</v>
      </c>
      <c r="AW4791" t="s">
        <v>72</v>
      </c>
      <c r="AX4791" t="s">
        <v>73</v>
      </c>
    </row>
    <row r="4792" spans="1:50" x14ac:dyDescent="0.3">
      <c r="A4792" t="str">
        <f>"202294B0000"</f>
        <v>202294B0000</v>
      </c>
      <c r="B4792" t="str">
        <f>"202294B00002"</f>
        <v>202294B00002</v>
      </c>
      <c r="C4792" t="str">
        <f t="shared" si="241"/>
        <v>20</v>
      </c>
      <c r="D4792" t="s">
        <v>67</v>
      </c>
      <c r="E4792" t="str">
        <f t="shared" si="240"/>
        <v>021</v>
      </c>
      <c r="F4792" t="s">
        <v>4711</v>
      </c>
      <c r="G4792" t="str">
        <f>"2294"</f>
        <v>2294</v>
      </c>
      <c r="H4792" t="str">
        <f>"0000"</f>
        <v>0000</v>
      </c>
      <c r="I4792" t="s">
        <v>69</v>
      </c>
      <c r="J4792">
        <v>0</v>
      </c>
      <c r="K4792">
        <v>1</v>
      </c>
      <c r="L4792">
        <v>2</v>
      </c>
      <c r="M4792">
        <v>317</v>
      </c>
      <c r="N4792">
        <v>475</v>
      </c>
      <c r="O4792">
        <v>8</v>
      </c>
      <c r="P4792">
        <v>475</v>
      </c>
      <c r="Q4792">
        <v>91</v>
      </c>
      <c r="R4792">
        <v>26</v>
      </c>
      <c r="S4792">
        <v>4</v>
      </c>
      <c r="T4792">
        <v>49</v>
      </c>
      <c r="U4792">
        <v>8</v>
      </c>
      <c r="V4792">
        <v>1</v>
      </c>
      <c r="W4792">
        <v>21</v>
      </c>
      <c r="X4792">
        <v>135</v>
      </c>
      <c r="Y4792">
        <v>2</v>
      </c>
      <c r="Z4792">
        <v>67</v>
      </c>
      <c r="AA4792">
        <v>33</v>
      </c>
      <c r="AB4792">
        <v>11</v>
      </c>
      <c r="AD4792">
        <v>3</v>
      </c>
      <c r="AE4792">
        <v>3</v>
      </c>
      <c r="AF4792">
        <v>0</v>
      </c>
      <c r="AG4792">
        <v>0</v>
      </c>
      <c r="AI4792">
        <v>0</v>
      </c>
      <c r="AJ4792">
        <v>21</v>
      </c>
      <c r="AK4792">
        <v>475</v>
      </c>
      <c r="AL4792">
        <v>475</v>
      </c>
      <c r="AM4792">
        <v>745</v>
      </c>
      <c r="AN4792">
        <v>46</v>
      </c>
      <c r="AP4792">
        <v>1</v>
      </c>
      <c r="AR4792" t="s">
        <v>4894</v>
      </c>
      <c r="AS4792" s="1">
        <v>44354.149305555555</v>
      </c>
      <c r="AT4792" s="1">
        <v>44354.166932870372</v>
      </c>
      <c r="AU4792" s="1">
        <v>44354.167511574073</v>
      </c>
      <c r="AV4792" t="s">
        <v>71</v>
      </c>
      <c r="AW4792" t="s">
        <v>72</v>
      </c>
      <c r="AX4792" t="s">
        <v>73</v>
      </c>
    </row>
    <row r="4793" spans="1:50" x14ac:dyDescent="0.3">
      <c r="A4793" t="str">
        <f>"202295B0000"</f>
        <v>202295B0000</v>
      </c>
      <c r="B4793" t="str">
        <f>"202295B00002"</f>
        <v>202295B00002</v>
      </c>
      <c r="C4793" t="str">
        <f t="shared" si="241"/>
        <v>20</v>
      </c>
      <c r="D4793" t="s">
        <v>67</v>
      </c>
      <c r="E4793" t="str">
        <f t="shared" si="240"/>
        <v>021</v>
      </c>
      <c r="F4793" t="s">
        <v>4711</v>
      </c>
      <c r="G4793" t="str">
        <f>"2295"</f>
        <v>2295</v>
      </c>
      <c r="H4793" t="str">
        <f>"0000"</f>
        <v>0000</v>
      </c>
      <c r="I4793" t="s">
        <v>69</v>
      </c>
      <c r="J4793">
        <v>0</v>
      </c>
      <c r="K4793">
        <v>1</v>
      </c>
      <c r="L4793">
        <v>2</v>
      </c>
      <c r="M4793">
        <v>449</v>
      </c>
      <c r="N4793">
        <v>183</v>
      </c>
      <c r="O4793">
        <v>0</v>
      </c>
      <c r="P4793">
        <v>183</v>
      </c>
      <c r="Q4793">
        <v>13</v>
      </c>
      <c r="R4793">
        <v>12</v>
      </c>
      <c r="S4793">
        <v>5</v>
      </c>
      <c r="T4793">
        <v>46</v>
      </c>
      <c r="U4793">
        <v>6</v>
      </c>
      <c r="V4793">
        <v>1</v>
      </c>
      <c r="W4793">
        <v>1</v>
      </c>
      <c r="X4793">
        <v>37</v>
      </c>
      <c r="Y4793">
        <v>1</v>
      </c>
      <c r="Z4793">
        <v>23</v>
      </c>
      <c r="AA4793">
        <v>3</v>
      </c>
      <c r="AB4793">
        <v>17</v>
      </c>
      <c r="AD4793">
        <v>0</v>
      </c>
      <c r="AE4793">
        <v>0</v>
      </c>
      <c r="AF4793">
        <v>0</v>
      </c>
      <c r="AG4793">
        <v>0</v>
      </c>
      <c r="AI4793">
        <v>0</v>
      </c>
      <c r="AJ4793">
        <v>18</v>
      </c>
      <c r="AK4793">
        <v>183</v>
      </c>
      <c r="AL4793">
        <v>183</v>
      </c>
      <c r="AM4793">
        <v>586</v>
      </c>
      <c r="AN4793">
        <v>46</v>
      </c>
      <c r="AP4793">
        <v>1</v>
      </c>
      <c r="AR4793" t="s">
        <v>4895</v>
      </c>
      <c r="AS4793" s="1">
        <v>44354.148611111108</v>
      </c>
      <c r="AT4793" s="1">
        <v>44354.170925925922</v>
      </c>
      <c r="AU4793" s="1">
        <v>44354.171851851854</v>
      </c>
      <c r="AV4793" t="s">
        <v>71</v>
      </c>
      <c r="AW4793" t="s">
        <v>72</v>
      </c>
      <c r="AX4793" t="s">
        <v>73</v>
      </c>
    </row>
    <row r="4794" spans="1:50" x14ac:dyDescent="0.3">
      <c r="A4794" t="str">
        <f>"202296B0000"</f>
        <v>202296B0000</v>
      </c>
      <c r="B4794" t="str">
        <f>"202296B00002"</f>
        <v>202296B00002</v>
      </c>
      <c r="C4794" t="str">
        <f t="shared" si="241"/>
        <v>20</v>
      </c>
      <c r="D4794" t="s">
        <v>67</v>
      </c>
      <c r="E4794" t="str">
        <f t="shared" si="240"/>
        <v>021</v>
      </c>
      <c r="F4794" t="s">
        <v>4711</v>
      </c>
      <c r="G4794" t="str">
        <f>"2296"</f>
        <v>2296</v>
      </c>
      <c r="H4794" t="str">
        <f>"0000"</f>
        <v>0000</v>
      </c>
      <c r="I4794" t="s">
        <v>69</v>
      </c>
      <c r="J4794">
        <v>0</v>
      </c>
      <c r="K4794">
        <v>1</v>
      </c>
      <c r="L4794">
        <v>2</v>
      </c>
      <c r="M4794">
        <v>327</v>
      </c>
      <c r="N4794">
        <v>342</v>
      </c>
      <c r="O4794">
        <v>1</v>
      </c>
      <c r="P4794">
        <v>342</v>
      </c>
      <c r="Q4794">
        <v>42</v>
      </c>
      <c r="R4794">
        <v>43</v>
      </c>
      <c r="S4794">
        <v>8</v>
      </c>
      <c r="T4794">
        <v>48</v>
      </c>
      <c r="U4794">
        <v>10</v>
      </c>
      <c r="V4794">
        <v>2</v>
      </c>
      <c r="W4794">
        <v>3</v>
      </c>
      <c r="X4794">
        <v>68</v>
      </c>
      <c r="Y4794">
        <v>1</v>
      </c>
      <c r="Z4794">
        <v>18</v>
      </c>
      <c r="AA4794">
        <v>9</v>
      </c>
      <c r="AB4794">
        <v>55</v>
      </c>
      <c r="AD4794">
        <v>4</v>
      </c>
      <c r="AE4794">
        <v>3</v>
      </c>
      <c r="AF4794" t="s">
        <v>77</v>
      </c>
      <c r="AG4794" t="s">
        <v>77</v>
      </c>
      <c r="AI4794" t="s">
        <v>77</v>
      </c>
      <c r="AJ4794">
        <v>28</v>
      </c>
      <c r="AK4794">
        <v>342</v>
      </c>
      <c r="AL4794">
        <v>342</v>
      </c>
      <c r="AM4794">
        <v>624</v>
      </c>
      <c r="AN4794">
        <v>46</v>
      </c>
      <c r="AO4794" t="s">
        <v>78</v>
      </c>
      <c r="AP4794">
        <v>1</v>
      </c>
      <c r="AR4794" t="s">
        <v>4896</v>
      </c>
      <c r="AS4794" s="1">
        <v>44354.20416666667</v>
      </c>
      <c r="AT4794" s="1">
        <v>44354.210821759261</v>
      </c>
      <c r="AU4794" s="1">
        <v>44354.211261574077</v>
      </c>
      <c r="AV4794" t="s">
        <v>71</v>
      </c>
      <c r="AW4794" t="s">
        <v>72</v>
      </c>
      <c r="AX4794" t="s">
        <v>73</v>
      </c>
    </row>
    <row r="4795" spans="1:50" x14ac:dyDescent="0.3">
      <c r="A4795" t="str">
        <f>"202297B0000"</f>
        <v>202297B0000</v>
      </c>
      <c r="B4795" t="str">
        <f>"202297B00002"</f>
        <v>202297B00002</v>
      </c>
      <c r="C4795" t="str">
        <f t="shared" si="241"/>
        <v>20</v>
      </c>
      <c r="D4795" t="s">
        <v>67</v>
      </c>
      <c r="E4795" t="str">
        <f t="shared" si="240"/>
        <v>021</v>
      </c>
      <c r="F4795" t="s">
        <v>4711</v>
      </c>
      <c r="G4795" t="str">
        <f>"2297"</f>
        <v>2297</v>
      </c>
      <c r="H4795" t="str">
        <f>"0000"</f>
        <v>0000</v>
      </c>
      <c r="I4795" t="s">
        <v>69</v>
      </c>
      <c r="J4795">
        <v>0</v>
      </c>
      <c r="K4795">
        <v>1</v>
      </c>
      <c r="L4795">
        <v>2</v>
      </c>
      <c r="M4795">
        <v>189</v>
      </c>
      <c r="N4795" t="s">
        <v>80</v>
      </c>
      <c r="O4795" t="s">
        <v>80</v>
      </c>
      <c r="P4795">
        <v>223</v>
      </c>
      <c r="Q4795">
        <v>13</v>
      </c>
      <c r="R4795">
        <v>51</v>
      </c>
      <c r="S4795">
        <v>10</v>
      </c>
      <c r="T4795">
        <v>39</v>
      </c>
      <c r="U4795">
        <v>6</v>
      </c>
      <c r="V4795">
        <v>5</v>
      </c>
      <c r="W4795">
        <v>7</v>
      </c>
      <c r="X4795">
        <v>39</v>
      </c>
      <c r="Y4795">
        <v>6</v>
      </c>
      <c r="Z4795">
        <v>20</v>
      </c>
      <c r="AA4795">
        <v>11</v>
      </c>
      <c r="AB4795">
        <v>14</v>
      </c>
      <c r="AD4795">
        <v>2</v>
      </c>
      <c r="AE4795" t="s">
        <v>77</v>
      </c>
      <c r="AF4795" t="s">
        <v>77</v>
      </c>
      <c r="AG4795" t="s">
        <v>77</v>
      </c>
      <c r="AI4795" t="s">
        <v>77</v>
      </c>
      <c r="AJ4795" t="s">
        <v>77</v>
      </c>
      <c r="AK4795" t="s">
        <v>77</v>
      </c>
      <c r="AL4795">
        <v>223</v>
      </c>
      <c r="AM4795">
        <v>395</v>
      </c>
      <c r="AN4795">
        <v>46</v>
      </c>
      <c r="AO4795" t="s">
        <v>78</v>
      </c>
      <c r="AP4795">
        <v>1</v>
      </c>
      <c r="AR4795" t="s">
        <v>4897</v>
      </c>
      <c r="AS4795" s="1">
        <v>44354.411805555559</v>
      </c>
      <c r="AT4795" s="1">
        <v>44354.419305555559</v>
      </c>
      <c r="AU4795" s="1">
        <v>44354.419768518521</v>
      </c>
      <c r="AV4795" t="s">
        <v>71</v>
      </c>
      <c r="AW4795" t="s">
        <v>72</v>
      </c>
      <c r="AX4795" t="s">
        <v>73</v>
      </c>
    </row>
    <row r="4796" spans="1:50" x14ac:dyDescent="0.3">
      <c r="A4796" t="str">
        <f>"202297C0100"</f>
        <v>202297C0100</v>
      </c>
      <c r="B4796" t="str">
        <f>"202297C01002"</f>
        <v>202297C01002</v>
      </c>
      <c r="C4796" t="str">
        <f t="shared" si="241"/>
        <v>20</v>
      </c>
      <c r="D4796" t="s">
        <v>67</v>
      </c>
      <c r="E4796" t="str">
        <f t="shared" si="240"/>
        <v>021</v>
      </c>
      <c r="F4796" t="s">
        <v>4711</v>
      </c>
      <c r="G4796" t="str">
        <f>"2297"</f>
        <v>2297</v>
      </c>
      <c r="H4796" t="str">
        <f>"0001"</f>
        <v>0001</v>
      </c>
      <c r="I4796" t="s">
        <v>75</v>
      </c>
      <c r="J4796">
        <v>0</v>
      </c>
      <c r="K4796">
        <v>1</v>
      </c>
      <c r="L4796">
        <v>2</v>
      </c>
      <c r="M4796">
        <v>167</v>
      </c>
      <c r="N4796">
        <v>237</v>
      </c>
      <c r="O4796">
        <v>9</v>
      </c>
      <c r="P4796">
        <v>237</v>
      </c>
      <c r="Q4796">
        <v>11</v>
      </c>
      <c r="R4796">
        <v>41</v>
      </c>
      <c r="S4796">
        <v>5</v>
      </c>
      <c r="T4796">
        <v>29</v>
      </c>
      <c r="U4796">
        <v>4</v>
      </c>
      <c r="V4796">
        <v>7</v>
      </c>
      <c r="W4796" t="s">
        <v>77</v>
      </c>
      <c r="X4796">
        <v>29</v>
      </c>
      <c r="Y4796">
        <v>4</v>
      </c>
      <c r="Z4796">
        <v>28</v>
      </c>
      <c r="AA4796">
        <v>6</v>
      </c>
      <c r="AB4796">
        <v>27</v>
      </c>
      <c r="AD4796" t="s">
        <v>77</v>
      </c>
      <c r="AE4796">
        <v>1</v>
      </c>
      <c r="AF4796" t="s">
        <v>77</v>
      </c>
      <c r="AG4796" t="s">
        <v>77</v>
      </c>
      <c r="AI4796" t="s">
        <v>77</v>
      </c>
      <c r="AJ4796">
        <v>43</v>
      </c>
      <c r="AK4796">
        <v>237</v>
      </c>
      <c r="AL4796">
        <v>235</v>
      </c>
      <c r="AM4796">
        <v>394</v>
      </c>
      <c r="AN4796">
        <v>46</v>
      </c>
      <c r="AO4796" t="s">
        <v>78</v>
      </c>
      <c r="AP4796">
        <v>1</v>
      </c>
      <c r="AR4796" t="s">
        <v>4898</v>
      </c>
      <c r="AS4796" s="1">
        <v>44354.410416666666</v>
      </c>
      <c r="AT4796" s="1">
        <v>44354.419386574074</v>
      </c>
      <c r="AU4796" s="1">
        <v>44354.420254629629</v>
      </c>
      <c r="AV4796" t="s">
        <v>71</v>
      </c>
      <c r="AW4796" t="s">
        <v>72</v>
      </c>
      <c r="AX4796" t="s">
        <v>73</v>
      </c>
    </row>
    <row r="4797" spans="1:50" x14ac:dyDescent="0.3">
      <c r="A4797" t="str">
        <f>"202298B0000"</f>
        <v>202298B0000</v>
      </c>
      <c r="B4797" t="str">
        <f>"202298B00002"</f>
        <v>202298B00002</v>
      </c>
      <c r="C4797" t="str">
        <f t="shared" si="241"/>
        <v>20</v>
      </c>
      <c r="D4797" t="s">
        <v>67</v>
      </c>
      <c r="E4797" t="str">
        <f t="shared" si="240"/>
        <v>021</v>
      </c>
      <c r="F4797" t="s">
        <v>4711</v>
      </c>
      <c r="G4797" t="str">
        <f>"2298"</f>
        <v>2298</v>
      </c>
      <c r="H4797" t="str">
        <f>"0000"</f>
        <v>0000</v>
      </c>
      <c r="I4797" t="s">
        <v>69</v>
      </c>
      <c r="J4797">
        <v>0</v>
      </c>
      <c r="K4797">
        <v>1</v>
      </c>
      <c r="L4797">
        <v>2</v>
      </c>
      <c r="M4797" t="s">
        <v>80</v>
      </c>
      <c r="N4797" t="s">
        <v>80</v>
      </c>
      <c r="O4797" t="s">
        <v>80</v>
      </c>
      <c r="P4797" t="s">
        <v>80</v>
      </c>
      <c r="Q4797">
        <v>0</v>
      </c>
      <c r="R4797">
        <v>0</v>
      </c>
      <c r="S4797">
        <v>0</v>
      </c>
      <c r="T4797">
        <v>78</v>
      </c>
      <c r="U4797">
        <v>3</v>
      </c>
      <c r="V4797">
        <v>5</v>
      </c>
      <c r="W4797">
        <v>5</v>
      </c>
      <c r="X4797">
        <v>44</v>
      </c>
      <c r="Y4797">
        <v>9</v>
      </c>
      <c r="Z4797">
        <v>23</v>
      </c>
      <c r="AA4797">
        <v>5</v>
      </c>
      <c r="AB4797">
        <v>89</v>
      </c>
      <c r="AD4797">
        <v>54</v>
      </c>
      <c r="AE4797" t="s">
        <v>77</v>
      </c>
      <c r="AF4797" t="s">
        <v>77</v>
      </c>
      <c r="AG4797" t="s">
        <v>77</v>
      </c>
      <c r="AI4797" t="s">
        <v>77</v>
      </c>
      <c r="AJ4797">
        <v>33</v>
      </c>
      <c r="AK4797">
        <v>348</v>
      </c>
      <c r="AL4797">
        <v>348</v>
      </c>
      <c r="AM4797">
        <v>703</v>
      </c>
      <c r="AN4797">
        <v>46</v>
      </c>
      <c r="AO4797" t="s">
        <v>78</v>
      </c>
      <c r="AP4797">
        <v>1</v>
      </c>
      <c r="AR4797" t="s">
        <v>4899</v>
      </c>
      <c r="AS4797" s="1">
        <v>44354.147916666669</v>
      </c>
      <c r="AT4797" s="1">
        <v>44354.22583333333</v>
      </c>
      <c r="AU4797" s="1">
        <v>44354.226620370369</v>
      </c>
      <c r="AV4797" t="s">
        <v>71</v>
      </c>
      <c r="AW4797" t="s">
        <v>72</v>
      </c>
      <c r="AX4797" t="s">
        <v>73</v>
      </c>
    </row>
    <row r="4798" spans="1:50" x14ac:dyDescent="0.3">
      <c r="A4798" t="str">
        <f>"202298E0100"</f>
        <v>202298E0100</v>
      </c>
      <c r="B4798" t="str">
        <f>"202298E01002"</f>
        <v>202298E01002</v>
      </c>
      <c r="C4798" t="str">
        <f t="shared" si="241"/>
        <v>20</v>
      </c>
      <c r="D4798" t="s">
        <v>67</v>
      </c>
      <c r="E4798" t="str">
        <f t="shared" si="240"/>
        <v>021</v>
      </c>
      <c r="F4798" t="s">
        <v>4711</v>
      </c>
      <c r="G4798" t="str">
        <f>"2298"</f>
        <v>2298</v>
      </c>
      <c r="H4798" t="str">
        <f>"0001"</f>
        <v>0001</v>
      </c>
      <c r="I4798" t="s">
        <v>109</v>
      </c>
      <c r="J4798">
        <v>0</v>
      </c>
      <c r="K4798">
        <v>1</v>
      </c>
      <c r="L4798">
        <v>2</v>
      </c>
      <c r="M4798">
        <v>287</v>
      </c>
      <c r="N4798">
        <v>210</v>
      </c>
      <c r="O4798">
        <v>1</v>
      </c>
      <c r="P4798">
        <v>211</v>
      </c>
      <c r="Q4798">
        <v>7</v>
      </c>
      <c r="R4798">
        <v>16</v>
      </c>
      <c r="S4798">
        <v>5</v>
      </c>
      <c r="T4798">
        <v>69</v>
      </c>
      <c r="U4798">
        <v>4</v>
      </c>
      <c r="V4798">
        <v>3</v>
      </c>
      <c r="W4798">
        <v>1</v>
      </c>
      <c r="X4798">
        <v>11</v>
      </c>
      <c r="Y4798">
        <v>2</v>
      </c>
      <c r="Z4798">
        <v>7</v>
      </c>
      <c r="AA4798">
        <v>2</v>
      </c>
      <c r="AB4798">
        <v>57</v>
      </c>
      <c r="AD4798">
        <v>0</v>
      </c>
      <c r="AE4798">
        <v>0</v>
      </c>
      <c r="AF4798">
        <v>0</v>
      </c>
      <c r="AG4798">
        <v>0</v>
      </c>
      <c r="AI4798">
        <v>0</v>
      </c>
      <c r="AJ4798">
        <v>27</v>
      </c>
      <c r="AK4798">
        <v>211</v>
      </c>
      <c r="AL4798">
        <v>211</v>
      </c>
      <c r="AM4798">
        <v>452</v>
      </c>
      <c r="AN4798">
        <v>46</v>
      </c>
      <c r="AP4798">
        <v>1</v>
      </c>
      <c r="AR4798" t="s">
        <v>4900</v>
      </c>
      <c r="AS4798" s="1">
        <v>44354.147916666669</v>
      </c>
      <c r="AT4798" s="1">
        <v>44354.228379629632</v>
      </c>
      <c r="AU4798" s="1">
        <v>44354.229120370372</v>
      </c>
      <c r="AV4798" t="s">
        <v>71</v>
      </c>
      <c r="AW4798" t="s">
        <v>72</v>
      </c>
      <c r="AX4798" t="s">
        <v>73</v>
      </c>
    </row>
    <row r="4799" spans="1:50" x14ac:dyDescent="0.3">
      <c r="A4799" t="str">
        <f>"202299B0000"</f>
        <v>202299B0000</v>
      </c>
      <c r="B4799" t="str">
        <f>"202299B00002"</f>
        <v>202299B00002</v>
      </c>
      <c r="C4799" t="str">
        <f t="shared" si="241"/>
        <v>20</v>
      </c>
      <c r="D4799" t="s">
        <v>67</v>
      </c>
      <c r="E4799" t="str">
        <f t="shared" si="240"/>
        <v>021</v>
      </c>
      <c r="F4799" t="s">
        <v>4711</v>
      </c>
      <c r="G4799" t="str">
        <f>"2299"</f>
        <v>2299</v>
      </c>
      <c r="H4799" t="str">
        <f>"0000"</f>
        <v>0000</v>
      </c>
      <c r="I4799" t="s">
        <v>69</v>
      </c>
      <c r="J4799">
        <v>0</v>
      </c>
      <c r="K4799">
        <v>1</v>
      </c>
      <c r="L4799">
        <v>2</v>
      </c>
      <c r="M4799">
        <v>238</v>
      </c>
      <c r="N4799">
        <v>270</v>
      </c>
      <c r="O4799">
        <v>0</v>
      </c>
      <c r="P4799">
        <v>270</v>
      </c>
      <c r="Q4799">
        <v>11</v>
      </c>
      <c r="R4799">
        <v>36</v>
      </c>
      <c r="S4799">
        <v>5</v>
      </c>
      <c r="T4799">
        <v>37</v>
      </c>
      <c r="U4799">
        <v>7</v>
      </c>
      <c r="V4799">
        <v>10</v>
      </c>
      <c r="W4799">
        <v>6</v>
      </c>
      <c r="X4799">
        <v>54</v>
      </c>
      <c r="Y4799">
        <v>3</v>
      </c>
      <c r="Z4799">
        <v>28</v>
      </c>
      <c r="AA4799">
        <v>6</v>
      </c>
      <c r="AB4799">
        <v>51</v>
      </c>
      <c r="AD4799">
        <v>1</v>
      </c>
      <c r="AE4799">
        <v>0</v>
      </c>
      <c r="AF4799">
        <v>0</v>
      </c>
      <c r="AG4799">
        <v>0</v>
      </c>
      <c r="AI4799">
        <v>0</v>
      </c>
      <c r="AJ4799">
        <v>15</v>
      </c>
      <c r="AK4799">
        <v>270</v>
      </c>
      <c r="AL4799">
        <v>270</v>
      </c>
      <c r="AM4799">
        <v>462</v>
      </c>
      <c r="AN4799">
        <v>46</v>
      </c>
      <c r="AP4799">
        <v>1</v>
      </c>
      <c r="AR4799" t="s">
        <v>4901</v>
      </c>
      <c r="AS4799" s="1">
        <v>44354.203472222223</v>
      </c>
      <c r="AT4799" s="1">
        <v>44354.214189814818</v>
      </c>
      <c r="AU4799" s="1">
        <v>44354.214803240742</v>
      </c>
      <c r="AV4799" t="s">
        <v>71</v>
      </c>
      <c r="AW4799" t="s">
        <v>72</v>
      </c>
      <c r="AX4799" t="s">
        <v>73</v>
      </c>
    </row>
    <row r="4800" spans="1:50" x14ac:dyDescent="0.3">
      <c r="A4800" t="str">
        <f>"202299E0100"</f>
        <v>202299E0100</v>
      </c>
      <c r="B4800" t="str">
        <f>"202299E01002"</f>
        <v>202299E01002</v>
      </c>
      <c r="C4800" t="str">
        <f t="shared" si="241"/>
        <v>20</v>
      </c>
      <c r="D4800" t="s">
        <v>67</v>
      </c>
      <c r="E4800" t="str">
        <f t="shared" si="240"/>
        <v>021</v>
      </c>
      <c r="F4800" t="s">
        <v>4711</v>
      </c>
      <c r="G4800" t="str">
        <f>"2299"</f>
        <v>2299</v>
      </c>
      <c r="H4800" t="str">
        <f>"0001"</f>
        <v>0001</v>
      </c>
      <c r="I4800" t="s">
        <v>109</v>
      </c>
      <c r="J4800">
        <v>0</v>
      </c>
      <c r="K4800">
        <v>1</v>
      </c>
      <c r="L4800">
        <v>2</v>
      </c>
      <c r="M4800">
        <v>236</v>
      </c>
      <c r="N4800">
        <v>168</v>
      </c>
      <c r="O4800">
        <v>0</v>
      </c>
      <c r="P4800">
        <v>168</v>
      </c>
      <c r="Q4800">
        <v>7</v>
      </c>
      <c r="R4800">
        <v>9</v>
      </c>
      <c r="S4800">
        <v>5</v>
      </c>
      <c r="T4800">
        <v>41</v>
      </c>
      <c r="U4800">
        <v>4</v>
      </c>
      <c r="V4800">
        <v>1</v>
      </c>
      <c r="W4800">
        <v>3</v>
      </c>
      <c r="X4800">
        <v>40</v>
      </c>
      <c r="Y4800">
        <v>4</v>
      </c>
      <c r="Z4800">
        <v>15</v>
      </c>
      <c r="AA4800">
        <v>2</v>
      </c>
      <c r="AB4800">
        <v>12</v>
      </c>
      <c r="AD4800">
        <v>1</v>
      </c>
      <c r="AE4800">
        <v>0</v>
      </c>
      <c r="AF4800">
        <v>0</v>
      </c>
      <c r="AG4800">
        <v>0</v>
      </c>
      <c r="AI4800">
        <v>0</v>
      </c>
      <c r="AJ4800">
        <v>24</v>
      </c>
      <c r="AK4800">
        <v>168</v>
      </c>
      <c r="AL4800">
        <v>168</v>
      </c>
      <c r="AM4800">
        <v>358</v>
      </c>
      <c r="AN4800">
        <v>46</v>
      </c>
      <c r="AP4800">
        <v>1</v>
      </c>
      <c r="AR4800" t="s">
        <v>4902</v>
      </c>
      <c r="AS4800" s="1">
        <v>44354.20416666667</v>
      </c>
      <c r="AT4800" s="1">
        <v>44354.213541666664</v>
      </c>
      <c r="AU4800" s="1">
        <v>44354.214178240742</v>
      </c>
      <c r="AV4800" t="s">
        <v>71</v>
      </c>
      <c r="AW4800" t="s">
        <v>72</v>
      </c>
      <c r="AX4800" t="s">
        <v>73</v>
      </c>
    </row>
    <row r="4801" spans="1:50" x14ac:dyDescent="0.3">
      <c r="A4801" t="str">
        <f>"202300B0000"</f>
        <v>202300B0000</v>
      </c>
      <c r="B4801" t="str">
        <f>"202300B00002"</f>
        <v>202300B00002</v>
      </c>
      <c r="C4801" t="str">
        <f t="shared" si="241"/>
        <v>20</v>
      </c>
      <c r="D4801" t="s">
        <v>67</v>
      </c>
      <c r="E4801" t="str">
        <f t="shared" si="240"/>
        <v>021</v>
      </c>
      <c r="F4801" t="s">
        <v>4711</v>
      </c>
      <c r="G4801" t="str">
        <f>"2300"</f>
        <v>2300</v>
      </c>
      <c r="H4801" t="str">
        <f>"0000"</f>
        <v>0000</v>
      </c>
      <c r="I4801" t="s">
        <v>69</v>
      </c>
      <c r="J4801">
        <v>0</v>
      </c>
      <c r="K4801">
        <v>1</v>
      </c>
      <c r="L4801">
        <v>2</v>
      </c>
      <c r="M4801">
        <v>194</v>
      </c>
      <c r="N4801">
        <v>330</v>
      </c>
      <c r="O4801">
        <v>0</v>
      </c>
      <c r="P4801">
        <v>330</v>
      </c>
      <c r="Q4801">
        <v>55</v>
      </c>
      <c r="R4801">
        <v>44</v>
      </c>
      <c r="S4801">
        <v>9</v>
      </c>
      <c r="T4801">
        <v>38</v>
      </c>
      <c r="U4801">
        <v>4</v>
      </c>
      <c r="V4801">
        <v>0</v>
      </c>
      <c r="W4801">
        <v>1</v>
      </c>
      <c r="X4801">
        <v>105</v>
      </c>
      <c r="Y4801">
        <v>1</v>
      </c>
      <c r="Z4801">
        <v>4</v>
      </c>
      <c r="AA4801">
        <v>4</v>
      </c>
      <c r="AB4801">
        <v>52</v>
      </c>
      <c r="AD4801">
        <v>1</v>
      </c>
      <c r="AE4801">
        <v>0</v>
      </c>
      <c r="AF4801">
        <v>0</v>
      </c>
      <c r="AG4801">
        <v>0</v>
      </c>
      <c r="AI4801">
        <v>0</v>
      </c>
      <c r="AJ4801">
        <v>11</v>
      </c>
      <c r="AK4801">
        <v>330</v>
      </c>
      <c r="AL4801">
        <v>329</v>
      </c>
      <c r="AM4801">
        <v>478</v>
      </c>
      <c r="AN4801">
        <v>46</v>
      </c>
      <c r="AP4801">
        <v>1</v>
      </c>
      <c r="AR4801" t="s">
        <v>4903</v>
      </c>
      <c r="AS4801" s="1">
        <v>44354.412499999999</v>
      </c>
      <c r="AT4801" s="1">
        <v>44354.415138888886</v>
      </c>
      <c r="AU4801" s="1">
        <v>44354.415821759256</v>
      </c>
      <c r="AV4801" t="s">
        <v>71</v>
      </c>
      <c r="AW4801" t="s">
        <v>72</v>
      </c>
      <c r="AX4801" t="s">
        <v>73</v>
      </c>
    </row>
    <row r="4802" spans="1:50" x14ac:dyDescent="0.3">
      <c r="A4802" t="str">
        <f>"202300E0100"</f>
        <v>202300E0100</v>
      </c>
      <c r="B4802" t="str">
        <f>"202300E01002"</f>
        <v>202300E01002</v>
      </c>
      <c r="C4802" t="str">
        <f t="shared" si="241"/>
        <v>20</v>
      </c>
      <c r="D4802" t="s">
        <v>67</v>
      </c>
      <c r="E4802" t="str">
        <f t="shared" ref="E4802:E4810" si="242">"021"</f>
        <v>021</v>
      </c>
      <c r="F4802" t="s">
        <v>4711</v>
      </c>
      <c r="G4802" t="str">
        <f>"2300"</f>
        <v>2300</v>
      </c>
      <c r="H4802" t="str">
        <f>"0001"</f>
        <v>0001</v>
      </c>
      <c r="I4802" t="s">
        <v>109</v>
      </c>
      <c r="J4802">
        <v>0</v>
      </c>
      <c r="K4802">
        <v>1</v>
      </c>
      <c r="L4802">
        <v>2</v>
      </c>
      <c r="M4802">
        <v>165</v>
      </c>
      <c r="N4802">
        <v>228</v>
      </c>
      <c r="O4802">
        <v>7</v>
      </c>
      <c r="P4802" t="s">
        <v>80</v>
      </c>
      <c r="Q4802">
        <v>15</v>
      </c>
      <c r="R4802">
        <v>22</v>
      </c>
      <c r="S4802">
        <v>5</v>
      </c>
      <c r="T4802">
        <v>32</v>
      </c>
      <c r="U4802">
        <v>10</v>
      </c>
      <c r="V4802">
        <v>2</v>
      </c>
      <c r="W4802">
        <v>3</v>
      </c>
      <c r="X4802">
        <v>67</v>
      </c>
      <c r="Y4802">
        <v>8</v>
      </c>
      <c r="Z4802">
        <v>14</v>
      </c>
      <c r="AA4802">
        <v>4</v>
      </c>
      <c r="AB4802">
        <v>24</v>
      </c>
      <c r="AD4802" t="s">
        <v>77</v>
      </c>
      <c r="AE4802" t="s">
        <v>77</v>
      </c>
      <c r="AF4802" t="s">
        <v>77</v>
      </c>
      <c r="AG4802" t="s">
        <v>77</v>
      </c>
      <c r="AI4802" t="s">
        <v>77</v>
      </c>
      <c r="AJ4802">
        <v>22</v>
      </c>
      <c r="AK4802">
        <v>228</v>
      </c>
      <c r="AL4802">
        <v>228</v>
      </c>
      <c r="AM4802">
        <v>347</v>
      </c>
      <c r="AN4802">
        <v>46</v>
      </c>
      <c r="AO4802" t="s">
        <v>78</v>
      </c>
      <c r="AP4802">
        <v>1</v>
      </c>
      <c r="AR4802" t="s">
        <v>4904</v>
      </c>
      <c r="AS4802" s="1">
        <v>44354.411111111112</v>
      </c>
      <c r="AT4802" s="1">
        <v>44354.416562500002</v>
      </c>
      <c r="AU4802" s="1">
        <v>44354.417071759257</v>
      </c>
      <c r="AV4802" t="s">
        <v>71</v>
      </c>
      <c r="AW4802" t="s">
        <v>72</v>
      </c>
      <c r="AX4802" t="s">
        <v>73</v>
      </c>
    </row>
    <row r="4803" spans="1:50" x14ac:dyDescent="0.3">
      <c r="A4803" t="str">
        <f>"202300E0200"</f>
        <v>202300E0200</v>
      </c>
      <c r="B4803" t="str">
        <f>"202300E02002"</f>
        <v>202300E02002</v>
      </c>
      <c r="C4803" t="str">
        <f t="shared" si="241"/>
        <v>20</v>
      </c>
      <c r="D4803" t="s">
        <v>67</v>
      </c>
      <c r="E4803" t="str">
        <f t="shared" si="242"/>
        <v>021</v>
      </c>
      <c r="F4803" t="s">
        <v>4711</v>
      </c>
      <c r="G4803" t="str">
        <f>"2300"</f>
        <v>2300</v>
      </c>
      <c r="H4803" t="str">
        <f>"0002"</f>
        <v>0002</v>
      </c>
      <c r="I4803" t="s">
        <v>109</v>
      </c>
      <c r="J4803">
        <v>0</v>
      </c>
      <c r="K4803">
        <v>1</v>
      </c>
      <c r="L4803">
        <v>2</v>
      </c>
      <c r="M4803">
        <v>138</v>
      </c>
      <c r="N4803">
        <v>193</v>
      </c>
      <c r="O4803">
        <v>1</v>
      </c>
      <c r="P4803">
        <v>330</v>
      </c>
      <c r="Q4803">
        <v>37</v>
      </c>
      <c r="R4803">
        <v>10</v>
      </c>
      <c r="S4803">
        <v>11</v>
      </c>
      <c r="T4803">
        <v>24</v>
      </c>
      <c r="U4803">
        <v>6</v>
      </c>
      <c r="V4803">
        <v>1</v>
      </c>
      <c r="W4803">
        <v>3</v>
      </c>
      <c r="X4803">
        <v>75</v>
      </c>
      <c r="Y4803">
        <v>1</v>
      </c>
      <c r="Z4803">
        <v>7</v>
      </c>
      <c r="AA4803">
        <v>2</v>
      </c>
      <c r="AB4803">
        <v>3</v>
      </c>
      <c r="AD4803">
        <v>2</v>
      </c>
      <c r="AE4803">
        <v>0</v>
      </c>
      <c r="AF4803">
        <v>0</v>
      </c>
      <c r="AG4803">
        <v>0</v>
      </c>
      <c r="AI4803">
        <v>0</v>
      </c>
      <c r="AJ4803">
        <v>10</v>
      </c>
      <c r="AK4803">
        <v>330</v>
      </c>
      <c r="AL4803">
        <v>192</v>
      </c>
      <c r="AM4803">
        <v>286</v>
      </c>
      <c r="AN4803">
        <v>46</v>
      </c>
      <c r="AP4803">
        <v>1</v>
      </c>
      <c r="AR4803" t="s">
        <v>4905</v>
      </c>
      <c r="AS4803" s="1">
        <v>44354.410416666666</v>
      </c>
      <c r="AT4803" s="1">
        <v>44354.423171296294</v>
      </c>
      <c r="AU4803" s="1">
        <v>44354.425150462965</v>
      </c>
      <c r="AV4803" t="s">
        <v>71</v>
      </c>
      <c r="AW4803" t="s">
        <v>72</v>
      </c>
      <c r="AX4803" t="s">
        <v>73</v>
      </c>
    </row>
    <row r="4804" spans="1:50" x14ac:dyDescent="0.3">
      <c r="A4804" t="str">
        <f>"202304B0000"</f>
        <v>202304B0000</v>
      </c>
      <c r="B4804" t="str">
        <f>"202304B00002"</f>
        <v>202304B00002</v>
      </c>
      <c r="C4804" t="str">
        <f t="shared" si="241"/>
        <v>20</v>
      </c>
      <c r="D4804" t="s">
        <v>67</v>
      </c>
      <c r="E4804" t="str">
        <f t="shared" si="242"/>
        <v>021</v>
      </c>
      <c r="F4804" t="s">
        <v>4711</v>
      </c>
      <c r="G4804" t="str">
        <f>"2304"</f>
        <v>2304</v>
      </c>
      <c r="H4804" t="str">
        <f>"0000"</f>
        <v>0000</v>
      </c>
      <c r="I4804" t="s">
        <v>69</v>
      </c>
      <c r="J4804">
        <v>0</v>
      </c>
      <c r="K4804">
        <v>1</v>
      </c>
      <c r="L4804">
        <v>2</v>
      </c>
      <c r="M4804">
        <v>411</v>
      </c>
      <c r="N4804">
        <v>298</v>
      </c>
      <c r="O4804">
        <v>0</v>
      </c>
      <c r="P4804">
        <v>298</v>
      </c>
      <c r="Q4804">
        <v>50</v>
      </c>
      <c r="R4804">
        <v>71</v>
      </c>
      <c r="S4804">
        <v>3</v>
      </c>
      <c r="T4804">
        <v>44</v>
      </c>
      <c r="U4804">
        <v>6</v>
      </c>
      <c r="V4804">
        <v>3</v>
      </c>
      <c r="W4804">
        <v>3</v>
      </c>
      <c r="X4804">
        <v>83</v>
      </c>
      <c r="Y4804">
        <v>1</v>
      </c>
      <c r="Z4804">
        <v>12</v>
      </c>
      <c r="AA4804">
        <v>1</v>
      </c>
      <c r="AB4804">
        <v>1</v>
      </c>
      <c r="AD4804">
        <v>1</v>
      </c>
      <c r="AE4804">
        <v>3</v>
      </c>
      <c r="AF4804">
        <v>1</v>
      </c>
      <c r="AG4804">
        <v>1</v>
      </c>
      <c r="AI4804">
        <v>0</v>
      </c>
      <c r="AJ4804">
        <v>14</v>
      </c>
      <c r="AK4804">
        <v>298</v>
      </c>
      <c r="AL4804">
        <v>298</v>
      </c>
      <c r="AM4804">
        <v>665</v>
      </c>
      <c r="AN4804">
        <v>44</v>
      </c>
      <c r="AP4804">
        <v>1</v>
      </c>
      <c r="AR4804" t="s">
        <v>4906</v>
      </c>
      <c r="AS4804" s="1">
        <v>44354.019444444442</v>
      </c>
      <c r="AT4804" s="1">
        <v>44354.029039351852</v>
      </c>
      <c r="AU4804" s="1">
        <v>44354.029907407406</v>
      </c>
      <c r="AV4804" t="s">
        <v>71</v>
      </c>
      <c r="AW4804" t="s">
        <v>72</v>
      </c>
      <c r="AX4804" t="s">
        <v>73</v>
      </c>
    </row>
    <row r="4805" spans="1:50" x14ac:dyDescent="0.3">
      <c r="A4805" t="str">
        <f>"202421B0000"</f>
        <v>202421B0000</v>
      </c>
      <c r="B4805" t="str">
        <f>"202421B00002"</f>
        <v>202421B00002</v>
      </c>
      <c r="C4805" t="str">
        <f t="shared" si="241"/>
        <v>20</v>
      </c>
      <c r="D4805" t="s">
        <v>67</v>
      </c>
      <c r="E4805" t="str">
        <f t="shared" si="242"/>
        <v>021</v>
      </c>
      <c r="F4805" t="s">
        <v>4711</v>
      </c>
      <c r="G4805" t="str">
        <f>"2421"</f>
        <v>2421</v>
      </c>
      <c r="H4805" t="str">
        <f>"0000"</f>
        <v>0000</v>
      </c>
      <c r="I4805" t="s">
        <v>69</v>
      </c>
      <c r="J4805">
        <v>0</v>
      </c>
      <c r="K4805">
        <v>1</v>
      </c>
      <c r="L4805">
        <v>2</v>
      </c>
      <c r="M4805">
        <v>355</v>
      </c>
      <c r="N4805">
        <v>582</v>
      </c>
      <c r="O4805">
        <v>0</v>
      </c>
      <c r="P4805">
        <v>227</v>
      </c>
      <c r="Q4805">
        <v>40</v>
      </c>
      <c r="R4805">
        <v>61</v>
      </c>
      <c r="S4805">
        <v>3</v>
      </c>
      <c r="T4805">
        <v>16</v>
      </c>
      <c r="U4805">
        <v>5</v>
      </c>
      <c r="V4805">
        <v>6</v>
      </c>
      <c r="W4805">
        <v>3</v>
      </c>
      <c r="X4805">
        <v>64</v>
      </c>
      <c r="Y4805">
        <v>1</v>
      </c>
      <c r="Z4805">
        <v>6</v>
      </c>
      <c r="AA4805">
        <v>4</v>
      </c>
      <c r="AB4805">
        <v>3</v>
      </c>
      <c r="AD4805">
        <v>3</v>
      </c>
      <c r="AE4805">
        <v>2</v>
      </c>
      <c r="AF4805">
        <v>0</v>
      </c>
      <c r="AG4805">
        <v>0</v>
      </c>
      <c r="AI4805">
        <v>0</v>
      </c>
      <c r="AJ4805">
        <v>10</v>
      </c>
      <c r="AK4805">
        <v>227</v>
      </c>
      <c r="AL4805">
        <v>227</v>
      </c>
      <c r="AM4805">
        <v>538</v>
      </c>
      <c r="AN4805">
        <v>44</v>
      </c>
      <c r="AP4805">
        <v>1</v>
      </c>
      <c r="AR4805" t="s">
        <v>4907</v>
      </c>
      <c r="AS4805" s="1">
        <v>44354.015972222223</v>
      </c>
      <c r="AT4805" s="1">
        <v>44354.113761574074</v>
      </c>
      <c r="AU4805" s="1">
        <v>44354.114548611113</v>
      </c>
      <c r="AV4805" t="s">
        <v>71</v>
      </c>
      <c r="AW4805" t="s">
        <v>72</v>
      </c>
      <c r="AX4805" t="s">
        <v>73</v>
      </c>
    </row>
    <row r="4806" spans="1:50" x14ac:dyDescent="0.3">
      <c r="A4806" t="str">
        <f>"202421C0100"</f>
        <v>202421C0100</v>
      </c>
      <c r="B4806" t="str">
        <f>"202421C01002"</f>
        <v>202421C01002</v>
      </c>
      <c r="C4806" t="str">
        <f t="shared" si="241"/>
        <v>20</v>
      </c>
      <c r="D4806" t="s">
        <v>67</v>
      </c>
      <c r="E4806" t="str">
        <f t="shared" si="242"/>
        <v>021</v>
      </c>
      <c r="F4806" t="s">
        <v>4711</v>
      </c>
      <c r="G4806" t="str">
        <f>"2421"</f>
        <v>2421</v>
      </c>
      <c r="H4806" t="str">
        <f>"0001"</f>
        <v>0001</v>
      </c>
      <c r="I4806" t="s">
        <v>75</v>
      </c>
      <c r="J4806">
        <v>0</v>
      </c>
      <c r="K4806">
        <v>1</v>
      </c>
      <c r="L4806">
        <v>2</v>
      </c>
      <c r="M4806">
        <v>361</v>
      </c>
      <c r="N4806">
        <v>220</v>
      </c>
      <c r="O4806">
        <v>0</v>
      </c>
      <c r="P4806">
        <v>220</v>
      </c>
      <c r="Q4806">
        <v>39</v>
      </c>
      <c r="R4806">
        <v>54</v>
      </c>
      <c r="S4806">
        <v>3</v>
      </c>
      <c r="T4806">
        <v>27</v>
      </c>
      <c r="U4806">
        <v>3</v>
      </c>
      <c r="V4806">
        <v>2</v>
      </c>
      <c r="W4806">
        <v>2</v>
      </c>
      <c r="X4806">
        <v>66</v>
      </c>
      <c r="Y4806">
        <v>2</v>
      </c>
      <c r="Z4806">
        <v>1</v>
      </c>
      <c r="AA4806">
        <v>6</v>
      </c>
      <c r="AB4806">
        <v>0</v>
      </c>
      <c r="AD4806">
        <v>2</v>
      </c>
      <c r="AE4806">
        <v>2</v>
      </c>
      <c r="AF4806">
        <v>1</v>
      </c>
      <c r="AG4806">
        <v>0</v>
      </c>
      <c r="AI4806">
        <v>0</v>
      </c>
      <c r="AJ4806">
        <v>10</v>
      </c>
      <c r="AK4806">
        <v>220</v>
      </c>
      <c r="AL4806">
        <v>220</v>
      </c>
      <c r="AM4806">
        <v>537</v>
      </c>
      <c r="AN4806">
        <v>44</v>
      </c>
      <c r="AP4806">
        <v>1</v>
      </c>
      <c r="AR4806" t="s">
        <v>4908</v>
      </c>
      <c r="AS4806" s="1">
        <v>44354.01666666667</v>
      </c>
      <c r="AT4806" s="1">
        <v>44354.062210648146</v>
      </c>
      <c r="AU4806" s="1">
        <v>44354.062523148146</v>
      </c>
      <c r="AV4806" t="s">
        <v>71</v>
      </c>
      <c r="AW4806" t="s">
        <v>72</v>
      </c>
      <c r="AX4806" t="s">
        <v>73</v>
      </c>
    </row>
    <row r="4807" spans="1:50" x14ac:dyDescent="0.3">
      <c r="A4807" t="str">
        <f>"202430B0000"</f>
        <v>202430B0000</v>
      </c>
      <c r="B4807" t="str">
        <f>"202430B00002"</f>
        <v>202430B00002</v>
      </c>
      <c r="C4807" t="str">
        <f t="shared" ref="C4807:C4870" si="243">"20"</f>
        <v>20</v>
      </c>
      <c r="D4807" t="s">
        <v>67</v>
      </c>
      <c r="E4807" t="str">
        <f t="shared" si="242"/>
        <v>021</v>
      </c>
      <c r="F4807" t="s">
        <v>4711</v>
      </c>
      <c r="G4807" t="str">
        <f>"2430"</f>
        <v>2430</v>
      </c>
      <c r="H4807" t="str">
        <f>"0000"</f>
        <v>0000</v>
      </c>
      <c r="I4807" t="s">
        <v>69</v>
      </c>
      <c r="J4807">
        <v>0</v>
      </c>
      <c r="K4807">
        <v>1</v>
      </c>
      <c r="L4807">
        <v>2</v>
      </c>
      <c r="M4807">
        <v>282</v>
      </c>
      <c r="N4807">
        <v>183</v>
      </c>
      <c r="O4807">
        <v>6</v>
      </c>
      <c r="P4807">
        <v>183</v>
      </c>
      <c r="Q4807">
        <v>9</v>
      </c>
      <c r="R4807">
        <v>32</v>
      </c>
      <c r="S4807">
        <v>3</v>
      </c>
      <c r="T4807">
        <v>5</v>
      </c>
      <c r="U4807">
        <v>28</v>
      </c>
      <c r="V4807">
        <v>2</v>
      </c>
      <c r="W4807">
        <v>0</v>
      </c>
      <c r="X4807">
        <v>82</v>
      </c>
      <c r="Y4807">
        <v>0</v>
      </c>
      <c r="Z4807">
        <v>0</v>
      </c>
      <c r="AA4807">
        <v>1</v>
      </c>
      <c r="AB4807">
        <v>15</v>
      </c>
      <c r="AD4807">
        <v>1</v>
      </c>
      <c r="AE4807">
        <v>1</v>
      </c>
      <c r="AF4807">
        <v>0</v>
      </c>
      <c r="AG4807">
        <v>0</v>
      </c>
      <c r="AI4807">
        <v>0</v>
      </c>
      <c r="AJ4807">
        <v>4</v>
      </c>
      <c r="AK4807">
        <v>183</v>
      </c>
      <c r="AL4807">
        <v>183</v>
      </c>
      <c r="AM4807">
        <v>421</v>
      </c>
      <c r="AN4807">
        <v>44</v>
      </c>
      <c r="AP4807">
        <v>1</v>
      </c>
      <c r="AR4807" t="s">
        <v>4909</v>
      </c>
      <c r="AS4807" s="1">
        <v>44354.189583333333</v>
      </c>
      <c r="AT4807" s="1">
        <v>44354.20208333333</v>
      </c>
      <c r="AU4807" s="1">
        <v>44354.202824074076</v>
      </c>
      <c r="AV4807" t="s">
        <v>71</v>
      </c>
      <c r="AW4807" t="s">
        <v>72</v>
      </c>
      <c r="AX4807" t="s">
        <v>73</v>
      </c>
    </row>
    <row r="4808" spans="1:50" x14ac:dyDescent="0.3">
      <c r="A4808" t="str">
        <f>"202431B0000"</f>
        <v>202431B0000</v>
      </c>
      <c r="B4808" t="str">
        <f>"202431B00002"</f>
        <v>202431B00002</v>
      </c>
      <c r="C4808" t="str">
        <f t="shared" si="243"/>
        <v>20</v>
      </c>
      <c r="D4808" t="s">
        <v>67</v>
      </c>
      <c r="E4808" t="str">
        <f t="shared" si="242"/>
        <v>021</v>
      </c>
      <c r="F4808" t="s">
        <v>4711</v>
      </c>
      <c r="G4808" t="str">
        <f>"2431"</f>
        <v>2431</v>
      </c>
      <c r="H4808" t="str">
        <f>"0000"</f>
        <v>0000</v>
      </c>
      <c r="I4808" t="s">
        <v>69</v>
      </c>
      <c r="J4808">
        <v>0</v>
      </c>
      <c r="K4808">
        <v>1</v>
      </c>
      <c r="L4808">
        <v>2</v>
      </c>
      <c r="M4808">
        <v>530</v>
      </c>
      <c r="N4808">
        <v>230</v>
      </c>
      <c r="O4808">
        <v>0</v>
      </c>
      <c r="P4808">
        <v>230</v>
      </c>
      <c r="Q4808">
        <v>6</v>
      </c>
      <c r="R4808">
        <v>42</v>
      </c>
      <c r="S4808">
        <v>11</v>
      </c>
      <c r="T4808">
        <v>5</v>
      </c>
      <c r="U4808">
        <v>25</v>
      </c>
      <c r="V4808">
        <v>1</v>
      </c>
      <c r="W4808">
        <v>3</v>
      </c>
      <c r="X4808">
        <v>111</v>
      </c>
      <c r="Y4808">
        <v>0</v>
      </c>
      <c r="Z4808">
        <v>10</v>
      </c>
      <c r="AA4808">
        <v>1</v>
      </c>
      <c r="AB4808">
        <v>2</v>
      </c>
      <c r="AD4808">
        <v>0</v>
      </c>
      <c r="AE4808">
        <v>0</v>
      </c>
      <c r="AF4808">
        <v>0</v>
      </c>
      <c r="AG4808">
        <v>0</v>
      </c>
      <c r="AI4808">
        <v>0</v>
      </c>
      <c r="AJ4808">
        <v>13</v>
      </c>
      <c r="AK4808">
        <v>230</v>
      </c>
      <c r="AL4808">
        <v>230</v>
      </c>
      <c r="AM4808">
        <v>716</v>
      </c>
      <c r="AN4808">
        <v>44</v>
      </c>
      <c r="AP4808">
        <v>1</v>
      </c>
      <c r="AR4808" t="s">
        <v>4910</v>
      </c>
      <c r="AS4808" s="1">
        <v>44354.381944444445</v>
      </c>
      <c r="AT4808" s="1">
        <v>44354.401805555557</v>
      </c>
      <c r="AU4808" s="1">
        <v>44354.403680555559</v>
      </c>
      <c r="AV4808" t="s">
        <v>71</v>
      </c>
      <c r="AW4808" t="s">
        <v>72</v>
      </c>
      <c r="AX4808" t="s">
        <v>73</v>
      </c>
    </row>
    <row r="4809" spans="1:50" x14ac:dyDescent="0.3">
      <c r="A4809" t="str">
        <f>"202431C0100"</f>
        <v>202431C0100</v>
      </c>
      <c r="B4809" t="str">
        <f>"202431C01002"</f>
        <v>202431C01002</v>
      </c>
      <c r="C4809" t="str">
        <f t="shared" si="243"/>
        <v>20</v>
      </c>
      <c r="D4809" t="s">
        <v>67</v>
      </c>
      <c r="E4809" t="str">
        <f t="shared" si="242"/>
        <v>021</v>
      </c>
      <c r="F4809" t="s">
        <v>4711</v>
      </c>
      <c r="G4809" t="str">
        <f>"2431"</f>
        <v>2431</v>
      </c>
      <c r="H4809" t="str">
        <f>"0001"</f>
        <v>0001</v>
      </c>
      <c r="I4809" t="s">
        <v>75</v>
      </c>
      <c r="J4809">
        <v>0</v>
      </c>
      <c r="K4809">
        <v>1</v>
      </c>
      <c r="L4809">
        <v>2</v>
      </c>
      <c r="M4809">
        <v>547</v>
      </c>
      <c r="N4809">
        <v>213</v>
      </c>
      <c r="O4809">
        <v>0</v>
      </c>
      <c r="P4809">
        <v>213</v>
      </c>
      <c r="Q4809">
        <v>6</v>
      </c>
      <c r="R4809">
        <v>31</v>
      </c>
      <c r="S4809">
        <v>11</v>
      </c>
      <c r="T4809">
        <v>4</v>
      </c>
      <c r="U4809">
        <v>12</v>
      </c>
      <c r="V4809">
        <v>2</v>
      </c>
      <c r="W4809">
        <v>2</v>
      </c>
      <c r="X4809">
        <v>122</v>
      </c>
      <c r="Y4809">
        <v>2</v>
      </c>
      <c r="Z4809">
        <v>6</v>
      </c>
      <c r="AA4809">
        <v>2</v>
      </c>
      <c r="AB4809">
        <v>0</v>
      </c>
      <c r="AD4809">
        <v>0</v>
      </c>
      <c r="AE4809">
        <v>0</v>
      </c>
      <c r="AF4809">
        <v>0</v>
      </c>
      <c r="AG4809">
        <v>0</v>
      </c>
      <c r="AI4809">
        <v>0</v>
      </c>
      <c r="AJ4809">
        <v>13</v>
      </c>
      <c r="AK4809">
        <v>213</v>
      </c>
      <c r="AL4809">
        <v>213</v>
      </c>
      <c r="AM4809">
        <v>716</v>
      </c>
      <c r="AN4809">
        <v>44</v>
      </c>
      <c r="AP4809">
        <v>1</v>
      </c>
      <c r="AR4809" t="s">
        <v>4911</v>
      </c>
      <c r="AS4809" s="1">
        <v>44354.381944444445</v>
      </c>
      <c r="AT4809" s="1">
        <v>44354.402974537035</v>
      </c>
      <c r="AU4809" s="1">
        <v>44354.40351851852</v>
      </c>
      <c r="AV4809" t="s">
        <v>71</v>
      </c>
      <c r="AW4809" t="s">
        <v>72</v>
      </c>
      <c r="AX4809" t="s">
        <v>73</v>
      </c>
    </row>
    <row r="4810" spans="1:50" x14ac:dyDescent="0.3">
      <c r="A4810" t="str">
        <f>"202431E0100"</f>
        <v>202431E0100</v>
      </c>
      <c r="B4810" t="str">
        <f>"202431E01002"</f>
        <v>202431E01002</v>
      </c>
      <c r="C4810" t="str">
        <f t="shared" si="243"/>
        <v>20</v>
      </c>
      <c r="D4810" t="s">
        <v>67</v>
      </c>
      <c r="E4810" t="str">
        <f t="shared" si="242"/>
        <v>021</v>
      </c>
      <c r="F4810" t="s">
        <v>4711</v>
      </c>
      <c r="G4810" t="str">
        <f>"2431"</f>
        <v>2431</v>
      </c>
      <c r="H4810" t="str">
        <f>"0001"</f>
        <v>0001</v>
      </c>
      <c r="I4810" t="s">
        <v>109</v>
      </c>
      <c r="J4810">
        <v>0</v>
      </c>
      <c r="K4810">
        <v>1</v>
      </c>
      <c r="L4810">
        <v>2</v>
      </c>
      <c r="M4810">
        <v>300</v>
      </c>
      <c r="N4810">
        <v>91</v>
      </c>
      <c r="O4810">
        <v>0</v>
      </c>
      <c r="P4810">
        <v>0</v>
      </c>
      <c r="Q4810">
        <v>3</v>
      </c>
      <c r="R4810">
        <v>17</v>
      </c>
      <c r="S4810">
        <v>3</v>
      </c>
      <c r="T4810">
        <v>3</v>
      </c>
      <c r="U4810">
        <v>6</v>
      </c>
      <c r="V4810">
        <v>2</v>
      </c>
      <c r="W4810">
        <v>0</v>
      </c>
      <c r="X4810">
        <v>48</v>
      </c>
      <c r="Y4810">
        <v>1</v>
      </c>
      <c r="Z4810">
        <v>4</v>
      </c>
      <c r="AA4810">
        <v>0</v>
      </c>
      <c r="AB4810">
        <v>2</v>
      </c>
      <c r="AD4810" t="s">
        <v>77</v>
      </c>
      <c r="AE4810" t="s">
        <v>77</v>
      </c>
      <c r="AF4810" t="s">
        <v>77</v>
      </c>
      <c r="AG4810" t="s">
        <v>77</v>
      </c>
      <c r="AI4810" t="s">
        <v>77</v>
      </c>
      <c r="AJ4810">
        <v>2</v>
      </c>
      <c r="AK4810">
        <v>91</v>
      </c>
      <c r="AL4810">
        <v>91</v>
      </c>
      <c r="AM4810">
        <v>347</v>
      </c>
      <c r="AN4810">
        <v>44</v>
      </c>
      <c r="AO4810" t="s">
        <v>78</v>
      </c>
      <c r="AP4810">
        <v>1</v>
      </c>
      <c r="AR4810" t="s">
        <v>4912</v>
      </c>
      <c r="AS4810" s="1">
        <v>44354.381944444445</v>
      </c>
      <c r="AT4810" s="1">
        <v>44354.402488425927</v>
      </c>
      <c r="AU4810" s="1">
        <v>44354.403171296297</v>
      </c>
      <c r="AV4810" t="s">
        <v>71</v>
      </c>
      <c r="AW4810" t="s">
        <v>72</v>
      </c>
      <c r="AX4810" t="s">
        <v>73</v>
      </c>
    </row>
    <row r="4811" spans="1:50" x14ac:dyDescent="0.3">
      <c r="A4811" t="str">
        <f>"200396B0000"</f>
        <v>200396B0000</v>
      </c>
      <c r="B4811" t="str">
        <f>"200396B00002"</f>
        <v>200396B00002</v>
      </c>
      <c r="C4811" t="str">
        <f t="shared" si="243"/>
        <v>20</v>
      </c>
      <c r="D4811" t="s">
        <v>67</v>
      </c>
      <c r="E4811" t="str">
        <f t="shared" ref="E4811:E4874" si="244">"022"</f>
        <v>022</v>
      </c>
      <c r="F4811" t="s">
        <v>4913</v>
      </c>
      <c r="G4811" t="str">
        <f>"0396"</f>
        <v>0396</v>
      </c>
      <c r="H4811" t="str">
        <f>"0000"</f>
        <v>0000</v>
      </c>
      <c r="I4811" t="s">
        <v>69</v>
      </c>
      <c r="J4811">
        <v>0</v>
      </c>
      <c r="K4811">
        <v>1</v>
      </c>
      <c r="L4811">
        <v>2</v>
      </c>
      <c r="M4811">
        <v>122</v>
      </c>
      <c r="N4811">
        <v>313</v>
      </c>
      <c r="O4811">
        <v>0</v>
      </c>
      <c r="P4811">
        <v>313</v>
      </c>
      <c r="Q4811">
        <v>0</v>
      </c>
      <c r="R4811">
        <v>91</v>
      </c>
      <c r="S4811">
        <v>2</v>
      </c>
      <c r="T4811">
        <v>0</v>
      </c>
      <c r="U4811">
        <v>1</v>
      </c>
      <c r="V4811">
        <v>17</v>
      </c>
      <c r="W4811">
        <v>0</v>
      </c>
      <c r="X4811">
        <v>103</v>
      </c>
      <c r="Y4811">
        <v>0</v>
      </c>
      <c r="Z4811">
        <v>0</v>
      </c>
      <c r="AA4811">
        <v>13</v>
      </c>
      <c r="AB4811">
        <v>71</v>
      </c>
      <c r="AD4811">
        <v>4</v>
      </c>
      <c r="AE4811">
        <v>0</v>
      </c>
      <c r="AF4811">
        <v>0</v>
      </c>
      <c r="AG4811">
        <v>1</v>
      </c>
      <c r="AI4811">
        <v>0</v>
      </c>
      <c r="AJ4811">
        <v>10</v>
      </c>
      <c r="AK4811">
        <v>313</v>
      </c>
      <c r="AL4811">
        <v>313</v>
      </c>
      <c r="AM4811">
        <v>391</v>
      </c>
      <c r="AN4811">
        <v>44</v>
      </c>
      <c r="AP4811">
        <v>1</v>
      </c>
      <c r="AR4811" t="s">
        <v>4914</v>
      </c>
      <c r="AS4811" s="1">
        <v>44354.199305555558</v>
      </c>
      <c r="AT4811" s="1">
        <v>44354.217303240737</v>
      </c>
      <c r="AU4811" s="1">
        <v>44354.217881944445</v>
      </c>
      <c r="AV4811" t="s">
        <v>71</v>
      </c>
      <c r="AW4811" t="s">
        <v>72</v>
      </c>
      <c r="AX4811" t="s">
        <v>73</v>
      </c>
    </row>
    <row r="4812" spans="1:50" x14ac:dyDescent="0.3">
      <c r="A4812" t="str">
        <f>"200396C0100"</f>
        <v>200396C0100</v>
      </c>
      <c r="B4812" t="str">
        <f>"200396C01002"</f>
        <v>200396C01002</v>
      </c>
      <c r="C4812" t="str">
        <f t="shared" si="243"/>
        <v>20</v>
      </c>
      <c r="D4812" t="s">
        <v>67</v>
      </c>
      <c r="E4812" t="str">
        <f t="shared" si="244"/>
        <v>022</v>
      </c>
      <c r="F4812" t="s">
        <v>4913</v>
      </c>
      <c r="G4812" t="str">
        <f>"0396"</f>
        <v>0396</v>
      </c>
      <c r="H4812" t="str">
        <f>"0001"</f>
        <v>0001</v>
      </c>
      <c r="I4812" t="s">
        <v>75</v>
      </c>
      <c r="J4812">
        <v>0</v>
      </c>
      <c r="K4812">
        <v>1</v>
      </c>
      <c r="L4812">
        <v>2</v>
      </c>
      <c r="M4812">
        <v>116</v>
      </c>
      <c r="N4812">
        <v>318</v>
      </c>
      <c r="O4812">
        <v>0</v>
      </c>
      <c r="P4812">
        <v>318</v>
      </c>
      <c r="Q4812">
        <v>0</v>
      </c>
      <c r="R4812">
        <v>101</v>
      </c>
      <c r="S4812">
        <v>2</v>
      </c>
      <c r="T4812">
        <v>0</v>
      </c>
      <c r="U4812">
        <v>1</v>
      </c>
      <c r="V4812">
        <v>17</v>
      </c>
      <c r="W4812">
        <v>0</v>
      </c>
      <c r="X4812">
        <v>117</v>
      </c>
      <c r="Y4812">
        <v>0</v>
      </c>
      <c r="Z4812">
        <v>2</v>
      </c>
      <c r="AA4812">
        <v>8</v>
      </c>
      <c r="AB4812">
        <v>59</v>
      </c>
      <c r="AD4812">
        <v>4</v>
      </c>
      <c r="AE4812">
        <v>0</v>
      </c>
      <c r="AF4812">
        <v>0</v>
      </c>
      <c r="AG4812">
        <v>0</v>
      </c>
      <c r="AI4812">
        <v>0</v>
      </c>
      <c r="AJ4812">
        <v>6</v>
      </c>
      <c r="AK4812">
        <v>318</v>
      </c>
      <c r="AL4812">
        <v>317</v>
      </c>
      <c r="AM4812">
        <v>390</v>
      </c>
      <c r="AN4812">
        <v>44</v>
      </c>
      <c r="AP4812">
        <v>1</v>
      </c>
      <c r="AR4812" t="s">
        <v>4915</v>
      </c>
      <c r="AS4812" s="1">
        <v>44354.204861111109</v>
      </c>
      <c r="AT4812" s="1">
        <v>44354.213229166664</v>
      </c>
      <c r="AU4812" s="1">
        <v>44354.213912037034</v>
      </c>
      <c r="AV4812" t="s">
        <v>71</v>
      </c>
      <c r="AW4812" t="s">
        <v>72</v>
      </c>
      <c r="AX4812" t="s">
        <v>73</v>
      </c>
    </row>
    <row r="4813" spans="1:50" x14ac:dyDescent="0.3">
      <c r="A4813" t="str">
        <f>"200396E0100"</f>
        <v>200396E0100</v>
      </c>
      <c r="B4813" t="str">
        <f>"200396E01002"</f>
        <v>200396E01002</v>
      </c>
      <c r="C4813" t="str">
        <f t="shared" si="243"/>
        <v>20</v>
      </c>
      <c r="D4813" t="s">
        <v>67</v>
      </c>
      <c r="E4813" t="str">
        <f t="shared" si="244"/>
        <v>022</v>
      </c>
      <c r="F4813" t="s">
        <v>4913</v>
      </c>
      <c r="G4813" t="str">
        <f>"0396"</f>
        <v>0396</v>
      </c>
      <c r="H4813" t="str">
        <f>"0001"</f>
        <v>0001</v>
      </c>
      <c r="I4813" t="s">
        <v>109</v>
      </c>
      <c r="J4813">
        <v>0</v>
      </c>
      <c r="K4813">
        <v>1</v>
      </c>
      <c r="L4813">
        <v>2</v>
      </c>
      <c r="M4813">
        <v>92</v>
      </c>
      <c r="N4813">
        <v>316</v>
      </c>
      <c r="O4813">
        <v>0</v>
      </c>
      <c r="P4813">
        <v>316</v>
      </c>
      <c r="Q4813">
        <v>0</v>
      </c>
      <c r="R4813">
        <v>67</v>
      </c>
      <c r="S4813">
        <v>5</v>
      </c>
      <c r="T4813">
        <v>0</v>
      </c>
      <c r="U4813">
        <v>4</v>
      </c>
      <c r="V4813">
        <v>103</v>
      </c>
      <c r="W4813">
        <v>2</v>
      </c>
      <c r="X4813">
        <v>67</v>
      </c>
      <c r="Y4813">
        <v>0</v>
      </c>
      <c r="Z4813">
        <v>3</v>
      </c>
      <c r="AA4813">
        <v>0</v>
      </c>
      <c r="AB4813">
        <v>57</v>
      </c>
      <c r="AD4813">
        <v>1</v>
      </c>
      <c r="AE4813" t="s">
        <v>77</v>
      </c>
      <c r="AF4813" t="s">
        <v>77</v>
      </c>
      <c r="AG4813" t="s">
        <v>77</v>
      </c>
      <c r="AI4813" t="s">
        <v>77</v>
      </c>
      <c r="AJ4813">
        <v>6</v>
      </c>
      <c r="AK4813">
        <v>316</v>
      </c>
      <c r="AL4813">
        <v>315</v>
      </c>
      <c r="AM4813">
        <v>364</v>
      </c>
      <c r="AN4813">
        <v>44</v>
      </c>
      <c r="AO4813" t="s">
        <v>78</v>
      </c>
      <c r="AP4813">
        <v>1</v>
      </c>
      <c r="AR4813" t="s">
        <v>4916</v>
      </c>
      <c r="AS4813" s="1">
        <v>44354.199305555558</v>
      </c>
      <c r="AT4813" s="1">
        <v>44354.21707175926</v>
      </c>
      <c r="AU4813" s="1">
        <v>44354.217905092592</v>
      </c>
      <c r="AV4813" t="s">
        <v>71</v>
      </c>
      <c r="AW4813" t="s">
        <v>72</v>
      </c>
      <c r="AX4813" t="s">
        <v>73</v>
      </c>
    </row>
    <row r="4814" spans="1:50" x14ac:dyDescent="0.3">
      <c r="A4814" t="str">
        <f>"200633B0000"</f>
        <v>200633B0000</v>
      </c>
      <c r="B4814" t="str">
        <f>"200633B00002"</f>
        <v>200633B00002</v>
      </c>
      <c r="C4814" t="str">
        <f t="shared" si="243"/>
        <v>20</v>
      </c>
      <c r="D4814" t="s">
        <v>67</v>
      </c>
      <c r="E4814" t="str">
        <f t="shared" si="244"/>
        <v>022</v>
      </c>
      <c r="F4814" t="s">
        <v>4913</v>
      </c>
      <c r="G4814" t="str">
        <f>"0633"</f>
        <v>0633</v>
      </c>
      <c r="H4814" t="str">
        <f>"0000"</f>
        <v>0000</v>
      </c>
      <c r="I4814" t="s">
        <v>69</v>
      </c>
      <c r="J4814">
        <v>0</v>
      </c>
      <c r="K4814">
        <v>1</v>
      </c>
      <c r="L4814">
        <v>2</v>
      </c>
      <c r="AM4814">
        <v>600</v>
      </c>
      <c r="AN4814">
        <v>44</v>
      </c>
      <c r="AO4814" t="s">
        <v>143</v>
      </c>
      <c r="AP4814">
        <v>0</v>
      </c>
      <c r="AR4814" t="s">
        <v>4917</v>
      </c>
      <c r="AS4814" s="1">
        <v>44354.21597222222</v>
      </c>
      <c r="AT4814" s="1">
        <v>44354.717893518522</v>
      </c>
      <c r="AU4814" s="1">
        <v>44354.717893518522</v>
      </c>
      <c r="AV4814" t="s">
        <v>71</v>
      </c>
      <c r="AW4814" t="s">
        <v>72</v>
      </c>
      <c r="AX4814" t="s">
        <v>73</v>
      </c>
    </row>
    <row r="4815" spans="1:50" x14ac:dyDescent="0.3">
      <c r="A4815" t="str">
        <f>"200633C0100"</f>
        <v>200633C0100</v>
      </c>
      <c r="B4815" t="str">
        <f>"200633C01002"</f>
        <v>200633C01002</v>
      </c>
      <c r="C4815" t="str">
        <f t="shared" si="243"/>
        <v>20</v>
      </c>
      <c r="D4815" t="s">
        <v>67</v>
      </c>
      <c r="E4815" t="str">
        <f t="shared" si="244"/>
        <v>022</v>
      </c>
      <c r="F4815" t="s">
        <v>4913</v>
      </c>
      <c r="G4815" t="str">
        <f>"0633"</f>
        <v>0633</v>
      </c>
      <c r="H4815" t="str">
        <f>"0001"</f>
        <v>0001</v>
      </c>
      <c r="I4815" t="s">
        <v>75</v>
      </c>
      <c r="J4815">
        <v>0</v>
      </c>
      <c r="K4815">
        <v>1</v>
      </c>
      <c r="L4815">
        <v>2</v>
      </c>
      <c r="M4815">
        <v>177</v>
      </c>
      <c r="N4815">
        <v>466</v>
      </c>
      <c r="O4815">
        <v>0</v>
      </c>
      <c r="P4815">
        <v>466</v>
      </c>
      <c r="Q4815">
        <v>0</v>
      </c>
      <c r="R4815">
        <v>180</v>
      </c>
      <c r="S4815">
        <v>5</v>
      </c>
      <c r="T4815">
        <v>0</v>
      </c>
      <c r="U4815">
        <v>141</v>
      </c>
      <c r="V4815">
        <v>2</v>
      </c>
      <c r="W4815">
        <v>1</v>
      </c>
      <c r="X4815">
        <v>110</v>
      </c>
      <c r="Y4815">
        <v>6</v>
      </c>
      <c r="Z4815">
        <v>1</v>
      </c>
      <c r="AA4815">
        <v>2</v>
      </c>
      <c r="AB4815">
        <v>9</v>
      </c>
      <c r="AD4815">
        <v>1</v>
      </c>
      <c r="AE4815">
        <v>0</v>
      </c>
      <c r="AF4815">
        <v>0</v>
      </c>
      <c r="AG4815">
        <v>0</v>
      </c>
      <c r="AI4815">
        <v>0</v>
      </c>
      <c r="AJ4815">
        <v>8</v>
      </c>
      <c r="AK4815">
        <v>466</v>
      </c>
      <c r="AL4815">
        <v>466</v>
      </c>
      <c r="AM4815">
        <v>599</v>
      </c>
      <c r="AN4815">
        <v>44</v>
      </c>
      <c r="AP4815">
        <v>1</v>
      </c>
      <c r="AR4815" t="s">
        <v>4918</v>
      </c>
      <c r="AS4815" s="1">
        <v>44354.194444444445</v>
      </c>
      <c r="AT4815" s="1">
        <v>44354.200046296297</v>
      </c>
      <c r="AU4815" s="1">
        <v>44354.200798611113</v>
      </c>
      <c r="AV4815" t="s">
        <v>71</v>
      </c>
      <c r="AW4815" t="s">
        <v>72</v>
      </c>
      <c r="AX4815" t="s">
        <v>73</v>
      </c>
    </row>
    <row r="4816" spans="1:50" x14ac:dyDescent="0.3">
      <c r="A4816" t="str">
        <f>"200634B0000"</f>
        <v>200634B0000</v>
      </c>
      <c r="B4816" t="str">
        <f>"200634B00002"</f>
        <v>200634B00002</v>
      </c>
      <c r="C4816" t="str">
        <f t="shared" si="243"/>
        <v>20</v>
      </c>
      <c r="D4816" t="s">
        <v>67</v>
      </c>
      <c r="E4816" t="str">
        <f t="shared" si="244"/>
        <v>022</v>
      </c>
      <c r="F4816" t="s">
        <v>4913</v>
      </c>
      <c r="G4816" t="str">
        <f>"0634"</f>
        <v>0634</v>
      </c>
      <c r="H4816" t="str">
        <f>"0000"</f>
        <v>0000</v>
      </c>
      <c r="I4816" t="s">
        <v>69</v>
      </c>
      <c r="J4816">
        <v>0</v>
      </c>
      <c r="K4816">
        <v>1</v>
      </c>
      <c r="L4816">
        <v>2</v>
      </c>
      <c r="M4816">
        <v>156</v>
      </c>
      <c r="N4816">
        <v>387</v>
      </c>
      <c r="O4816">
        <v>0</v>
      </c>
      <c r="P4816">
        <v>387</v>
      </c>
      <c r="Q4816">
        <v>3</v>
      </c>
      <c r="R4816">
        <v>97</v>
      </c>
      <c r="S4816">
        <v>5</v>
      </c>
      <c r="T4816">
        <v>2</v>
      </c>
      <c r="U4816">
        <v>123</v>
      </c>
      <c r="V4816">
        <v>0</v>
      </c>
      <c r="W4816">
        <v>1</v>
      </c>
      <c r="X4816">
        <v>137</v>
      </c>
      <c r="Y4816">
        <v>3</v>
      </c>
      <c r="Z4816">
        <v>0</v>
      </c>
      <c r="AA4816">
        <v>3</v>
      </c>
      <c r="AB4816">
        <v>0</v>
      </c>
      <c r="AD4816">
        <v>0</v>
      </c>
      <c r="AE4816">
        <v>0</v>
      </c>
      <c r="AF4816">
        <v>0</v>
      </c>
      <c r="AG4816">
        <v>1</v>
      </c>
      <c r="AI4816">
        <v>0</v>
      </c>
      <c r="AJ4816">
        <v>11</v>
      </c>
      <c r="AK4816">
        <v>387</v>
      </c>
      <c r="AL4816">
        <v>386</v>
      </c>
      <c r="AM4816">
        <v>499</v>
      </c>
      <c r="AN4816">
        <v>44</v>
      </c>
      <c r="AP4816">
        <v>1</v>
      </c>
      <c r="AR4816" t="s">
        <v>4919</v>
      </c>
      <c r="AS4816" s="1">
        <v>44354.203472222223</v>
      </c>
      <c r="AT4816" s="1">
        <v>44354.352939814817</v>
      </c>
      <c r="AU4816" s="1">
        <v>44354.353541666664</v>
      </c>
      <c r="AV4816" t="s">
        <v>71</v>
      </c>
      <c r="AW4816" t="s">
        <v>72</v>
      </c>
      <c r="AX4816" t="s">
        <v>73</v>
      </c>
    </row>
    <row r="4817" spans="1:50" x14ac:dyDescent="0.3">
      <c r="A4817" t="str">
        <f>"200634C0100"</f>
        <v>200634C0100</v>
      </c>
      <c r="B4817" t="str">
        <f>"200634C01002"</f>
        <v>200634C01002</v>
      </c>
      <c r="C4817" t="str">
        <f t="shared" si="243"/>
        <v>20</v>
      </c>
      <c r="D4817" t="s">
        <v>67</v>
      </c>
      <c r="E4817" t="str">
        <f t="shared" si="244"/>
        <v>022</v>
      </c>
      <c r="F4817" t="s">
        <v>4913</v>
      </c>
      <c r="G4817" t="str">
        <f>"0634"</f>
        <v>0634</v>
      </c>
      <c r="H4817" t="str">
        <f>"0001"</f>
        <v>0001</v>
      </c>
      <c r="I4817" t="s">
        <v>75</v>
      </c>
      <c r="J4817">
        <v>0</v>
      </c>
      <c r="K4817">
        <v>1</v>
      </c>
      <c r="L4817">
        <v>2</v>
      </c>
      <c r="M4817">
        <v>149</v>
      </c>
      <c r="N4817">
        <v>394</v>
      </c>
      <c r="O4817">
        <v>0</v>
      </c>
      <c r="P4817">
        <v>394</v>
      </c>
      <c r="Q4817">
        <v>3</v>
      </c>
      <c r="R4817">
        <v>107</v>
      </c>
      <c r="S4817">
        <v>3</v>
      </c>
      <c r="T4817">
        <v>0</v>
      </c>
      <c r="U4817">
        <v>101</v>
      </c>
      <c r="V4817">
        <v>2</v>
      </c>
      <c r="W4817">
        <v>1</v>
      </c>
      <c r="X4817">
        <v>152</v>
      </c>
      <c r="Y4817">
        <v>2</v>
      </c>
      <c r="Z4817">
        <v>3</v>
      </c>
      <c r="AA4817">
        <v>8</v>
      </c>
      <c r="AB4817">
        <v>1</v>
      </c>
      <c r="AD4817">
        <v>0</v>
      </c>
      <c r="AE4817">
        <v>0</v>
      </c>
      <c r="AF4817">
        <v>0</v>
      </c>
      <c r="AG4817">
        <v>1</v>
      </c>
      <c r="AI4817">
        <v>0</v>
      </c>
      <c r="AJ4817">
        <v>10</v>
      </c>
      <c r="AK4817">
        <v>394</v>
      </c>
      <c r="AL4817">
        <v>394</v>
      </c>
      <c r="AM4817">
        <v>499</v>
      </c>
      <c r="AN4817">
        <v>44</v>
      </c>
      <c r="AP4817">
        <v>1</v>
      </c>
      <c r="AR4817" t="s">
        <v>4920</v>
      </c>
      <c r="AS4817" s="1">
        <v>44354.203472222223</v>
      </c>
      <c r="AT4817" s="1">
        <v>44354.352951388886</v>
      </c>
      <c r="AU4817" s="1">
        <v>44354.353449074071</v>
      </c>
      <c r="AV4817" t="s">
        <v>71</v>
      </c>
      <c r="AW4817" t="s">
        <v>72</v>
      </c>
      <c r="AX4817" t="s">
        <v>73</v>
      </c>
    </row>
    <row r="4818" spans="1:50" x14ac:dyDescent="0.3">
      <c r="A4818" t="str">
        <f>"200635B0000"</f>
        <v>200635B0000</v>
      </c>
      <c r="B4818" t="str">
        <f>"200635B00002"</f>
        <v>200635B00002</v>
      </c>
      <c r="C4818" t="str">
        <f t="shared" si="243"/>
        <v>20</v>
      </c>
      <c r="D4818" t="s">
        <v>67</v>
      </c>
      <c r="E4818" t="str">
        <f t="shared" si="244"/>
        <v>022</v>
      </c>
      <c r="F4818" t="s">
        <v>4913</v>
      </c>
      <c r="G4818" t="str">
        <f>"0635"</f>
        <v>0635</v>
      </c>
      <c r="H4818" t="str">
        <f>"0000"</f>
        <v>0000</v>
      </c>
      <c r="I4818" t="s">
        <v>69</v>
      </c>
      <c r="J4818">
        <v>0</v>
      </c>
      <c r="K4818">
        <v>1</v>
      </c>
      <c r="L4818">
        <v>2</v>
      </c>
      <c r="M4818">
        <v>236</v>
      </c>
      <c r="N4818">
        <v>462</v>
      </c>
      <c r="O4818">
        <v>2</v>
      </c>
      <c r="P4818">
        <v>462</v>
      </c>
      <c r="Q4818">
        <v>0</v>
      </c>
      <c r="R4818">
        <v>173</v>
      </c>
      <c r="S4818">
        <v>3</v>
      </c>
      <c r="T4818">
        <v>0</v>
      </c>
      <c r="U4818">
        <v>129</v>
      </c>
      <c r="V4818">
        <v>1</v>
      </c>
      <c r="W4818">
        <v>0</v>
      </c>
      <c r="X4818">
        <v>124</v>
      </c>
      <c r="Y4818">
        <v>3</v>
      </c>
      <c r="Z4818">
        <v>5</v>
      </c>
      <c r="AA4818">
        <v>15</v>
      </c>
      <c r="AB4818">
        <v>1</v>
      </c>
      <c r="AD4818">
        <v>0</v>
      </c>
      <c r="AE4818">
        <v>0</v>
      </c>
      <c r="AF4818">
        <v>0</v>
      </c>
      <c r="AG4818">
        <v>0</v>
      </c>
      <c r="AI4818">
        <v>0</v>
      </c>
      <c r="AJ4818">
        <v>8</v>
      </c>
      <c r="AK4818">
        <v>462</v>
      </c>
      <c r="AL4818">
        <v>462</v>
      </c>
      <c r="AM4818">
        <v>654</v>
      </c>
      <c r="AN4818">
        <v>44</v>
      </c>
      <c r="AP4818">
        <v>1</v>
      </c>
      <c r="AR4818" t="s">
        <v>4921</v>
      </c>
      <c r="AS4818" s="1">
        <v>44354.181944444441</v>
      </c>
      <c r="AT4818" s="1">
        <v>44354.192326388889</v>
      </c>
      <c r="AU4818" s="1">
        <v>44354.193113425928</v>
      </c>
      <c r="AV4818" t="s">
        <v>71</v>
      </c>
      <c r="AW4818" t="s">
        <v>72</v>
      </c>
      <c r="AX4818" t="s">
        <v>73</v>
      </c>
    </row>
    <row r="4819" spans="1:50" x14ac:dyDescent="0.3">
      <c r="A4819" t="str">
        <f>"200636B0000"</f>
        <v>200636B0000</v>
      </c>
      <c r="B4819" t="str">
        <f>"200636B00002"</f>
        <v>200636B00002</v>
      </c>
      <c r="C4819" t="str">
        <f t="shared" si="243"/>
        <v>20</v>
      </c>
      <c r="D4819" t="s">
        <v>67</v>
      </c>
      <c r="E4819" t="str">
        <f t="shared" si="244"/>
        <v>022</v>
      </c>
      <c r="F4819" t="s">
        <v>4913</v>
      </c>
      <c r="G4819" t="str">
        <f>"0636"</f>
        <v>0636</v>
      </c>
      <c r="H4819" t="str">
        <f>"0000"</f>
        <v>0000</v>
      </c>
      <c r="I4819" t="s">
        <v>69</v>
      </c>
      <c r="J4819">
        <v>0</v>
      </c>
      <c r="K4819">
        <v>1</v>
      </c>
      <c r="L4819">
        <v>2</v>
      </c>
      <c r="M4819">
        <v>143</v>
      </c>
      <c r="N4819">
        <v>361</v>
      </c>
      <c r="O4819">
        <v>0</v>
      </c>
      <c r="P4819">
        <v>361</v>
      </c>
      <c r="Q4819">
        <v>1</v>
      </c>
      <c r="R4819">
        <v>101</v>
      </c>
      <c r="S4819">
        <v>7</v>
      </c>
      <c r="T4819">
        <v>1</v>
      </c>
      <c r="U4819">
        <v>102</v>
      </c>
      <c r="V4819">
        <v>1</v>
      </c>
      <c r="W4819">
        <v>1</v>
      </c>
      <c r="X4819">
        <v>114</v>
      </c>
      <c r="Y4819">
        <v>3</v>
      </c>
      <c r="Z4819">
        <v>0</v>
      </c>
      <c r="AA4819">
        <v>14</v>
      </c>
      <c r="AB4819">
        <v>2</v>
      </c>
      <c r="AD4819">
        <v>2</v>
      </c>
      <c r="AE4819" t="s">
        <v>77</v>
      </c>
      <c r="AF4819" t="s">
        <v>77</v>
      </c>
      <c r="AG4819" t="s">
        <v>77</v>
      </c>
      <c r="AI4819" t="s">
        <v>77</v>
      </c>
      <c r="AJ4819">
        <v>12</v>
      </c>
      <c r="AK4819">
        <v>361</v>
      </c>
      <c r="AL4819">
        <v>361</v>
      </c>
      <c r="AM4819">
        <v>460</v>
      </c>
      <c r="AN4819">
        <v>44</v>
      </c>
      <c r="AO4819" t="s">
        <v>78</v>
      </c>
      <c r="AP4819">
        <v>1</v>
      </c>
      <c r="AR4819" t="s">
        <v>4922</v>
      </c>
      <c r="AS4819" s="1">
        <v>44354.181944444441</v>
      </c>
      <c r="AT4819" s="1">
        <v>44354.185902777775</v>
      </c>
      <c r="AU4819" s="1">
        <v>44354.186296296299</v>
      </c>
      <c r="AV4819" t="s">
        <v>71</v>
      </c>
      <c r="AW4819" t="s">
        <v>72</v>
      </c>
      <c r="AX4819" t="s">
        <v>73</v>
      </c>
    </row>
    <row r="4820" spans="1:50" x14ac:dyDescent="0.3">
      <c r="A4820" t="str">
        <f>"200636C0100"</f>
        <v>200636C0100</v>
      </c>
      <c r="B4820" t="str">
        <f>"200636C01002"</f>
        <v>200636C01002</v>
      </c>
      <c r="C4820" t="str">
        <f t="shared" si="243"/>
        <v>20</v>
      </c>
      <c r="D4820" t="s">
        <v>67</v>
      </c>
      <c r="E4820" t="str">
        <f t="shared" si="244"/>
        <v>022</v>
      </c>
      <c r="F4820" t="s">
        <v>4913</v>
      </c>
      <c r="G4820" t="str">
        <f>"0636"</f>
        <v>0636</v>
      </c>
      <c r="H4820" t="str">
        <f>"0001"</f>
        <v>0001</v>
      </c>
      <c r="I4820" t="s">
        <v>75</v>
      </c>
      <c r="J4820">
        <v>0</v>
      </c>
      <c r="K4820">
        <v>1</v>
      </c>
      <c r="L4820">
        <v>2</v>
      </c>
      <c r="M4820">
        <v>181</v>
      </c>
      <c r="N4820">
        <v>322</v>
      </c>
      <c r="O4820">
        <v>0</v>
      </c>
      <c r="P4820">
        <v>322</v>
      </c>
      <c r="Q4820">
        <v>0</v>
      </c>
      <c r="R4820">
        <v>124</v>
      </c>
      <c r="S4820">
        <v>3</v>
      </c>
      <c r="T4820">
        <v>2</v>
      </c>
      <c r="U4820">
        <v>104</v>
      </c>
      <c r="V4820">
        <v>1</v>
      </c>
      <c r="W4820">
        <v>0</v>
      </c>
      <c r="X4820">
        <v>64</v>
      </c>
      <c r="Y4820">
        <v>3</v>
      </c>
      <c r="Z4820">
        <v>3</v>
      </c>
      <c r="AA4820">
        <v>9</v>
      </c>
      <c r="AB4820">
        <v>2</v>
      </c>
      <c r="AD4820">
        <v>2</v>
      </c>
      <c r="AE4820">
        <v>0</v>
      </c>
      <c r="AF4820">
        <v>0</v>
      </c>
      <c r="AG4820">
        <v>0</v>
      </c>
      <c r="AI4820">
        <v>0</v>
      </c>
      <c r="AJ4820">
        <v>5</v>
      </c>
      <c r="AK4820">
        <v>322</v>
      </c>
      <c r="AL4820">
        <v>322</v>
      </c>
      <c r="AM4820">
        <v>459</v>
      </c>
      <c r="AN4820">
        <v>44</v>
      </c>
      <c r="AP4820">
        <v>1</v>
      </c>
      <c r="AR4820" t="s">
        <v>4923</v>
      </c>
      <c r="AS4820" s="1">
        <v>44354.195833333331</v>
      </c>
      <c r="AT4820" s="1">
        <v>44354.199930555558</v>
      </c>
      <c r="AU4820" s="1">
        <v>44354.200462962966</v>
      </c>
      <c r="AV4820" t="s">
        <v>71</v>
      </c>
      <c r="AW4820" t="s">
        <v>72</v>
      </c>
      <c r="AX4820" t="s">
        <v>73</v>
      </c>
    </row>
    <row r="4821" spans="1:50" x14ac:dyDescent="0.3">
      <c r="A4821" t="str">
        <f>"200637B0000"</f>
        <v>200637B0000</v>
      </c>
      <c r="B4821" t="str">
        <f>"200637B00002"</f>
        <v>200637B00002</v>
      </c>
      <c r="C4821" t="str">
        <f t="shared" si="243"/>
        <v>20</v>
      </c>
      <c r="D4821" t="s">
        <v>67</v>
      </c>
      <c r="E4821" t="str">
        <f t="shared" si="244"/>
        <v>022</v>
      </c>
      <c r="F4821" t="s">
        <v>4913</v>
      </c>
      <c r="G4821" t="str">
        <f>"0637"</f>
        <v>0637</v>
      </c>
      <c r="H4821" t="str">
        <f>"0000"</f>
        <v>0000</v>
      </c>
      <c r="I4821" t="s">
        <v>69</v>
      </c>
      <c r="J4821">
        <v>0</v>
      </c>
      <c r="K4821">
        <v>1</v>
      </c>
      <c r="L4821">
        <v>2</v>
      </c>
      <c r="M4821">
        <v>216</v>
      </c>
      <c r="N4821">
        <v>558</v>
      </c>
      <c r="O4821">
        <v>0</v>
      </c>
      <c r="P4821">
        <v>558</v>
      </c>
      <c r="Q4821">
        <v>1</v>
      </c>
      <c r="R4821">
        <v>221</v>
      </c>
      <c r="S4821">
        <v>5</v>
      </c>
      <c r="T4821">
        <v>4</v>
      </c>
      <c r="U4821">
        <v>177</v>
      </c>
      <c r="V4821">
        <v>0</v>
      </c>
      <c r="W4821">
        <v>2</v>
      </c>
      <c r="X4821">
        <v>115</v>
      </c>
      <c r="Y4821">
        <v>2</v>
      </c>
      <c r="Z4821">
        <v>1</v>
      </c>
      <c r="AA4821">
        <v>12</v>
      </c>
      <c r="AB4821">
        <v>3</v>
      </c>
      <c r="AD4821">
        <v>0</v>
      </c>
      <c r="AE4821">
        <v>0</v>
      </c>
      <c r="AF4821">
        <v>0</v>
      </c>
      <c r="AG4821">
        <v>0</v>
      </c>
      <c r="AI4821">
        <v>0</v>
      </c>
      <c r="AJ4821">
        <v>15</v>
      </c>
      <c r="AK4821">
        <v>558</v>
      </c>
      <c r="AL4821">
        <v>558</v>
      </c>
      <c r="AM4821">
        <v>730</v>
      </c>
      <c r="AN4821">
        <v>44</v>
      </c>
      <c r="AP4821">
        <v>1</v>
      </c>
      <c r="AR4821" t="s">
        <v>4924</v>
      </c>
      <c r="AS4821" s="1">
        <v>44354.195833333331</v>
      </c>
      <c r="AT4821" s="1">
        <v>44354.197569444441</v>
      </c>
      <c r="AU4821" s="1">
        <v>44354.197939814818</v>
      </c>
      <c r="AV4821" t="s">
        <v>71</v>
      </c>
      <c r="AW4821" t="s">
        <v>72</v>
      </c>
      <c r="AX4821" t="s">
        <v>73</v>
      </c>
    </row>
    <row r="4822" spans="1:50" x14ac:dyDescent="0.3">
      <c r="A4822" t="str">
        <f>"200637E0100"</f>
        <v>200637E0100</v>
      </c>
      <c r="B4822" t="str">
        <f>"200637E01002"</f>
        <v>200637E01002</v>
      </c>
      <c r="C4822" t="str">
        <f t="shared" si="243"/>
        <v>20</v>
      </c>
      <c r="D4822" t="s">
        <v>67</v>
      </c>
      <c r="E4822" t="str">
        <f t="shared" si="244"/>
        <v>022</v>
      </c>
      <c r="F4822" t="s">
        <v>4913</v>
      </c>
      <c r="G4822" t="str">
        <f>"0637"</f>
        <v>0637</v>
      </c>
      <c r="H4822" t="str">
        <f>"0001"</f>
        <v>0001</v>
      </c>
      <c r="I4822" t="s">
        <v>109</v>
      </c>
      <c r="J4822">
        <v>0</v>
      </c>
      <c r="K4822">
        <v>1</v>
      </c>
      <c r="L4822">
        <v>2</v>
      </c>
      <c r="M4822">
        <v>99</v>
      </c>
      <c r="N4822">
        <v>196</v>
      </c>
      <c r="O4822">
        <v>0</v>
      </c>
      <c r="P4822">
        <v>196</v>
      </c>
      <c r="Q4822">
        <v>0</v>
      </c>
      <c r="R4822">
        <v>109</v>
      </c>
      <c r="S4822">
        <v>5</v>
      </c>
      <c r="T4822">
        <v>0</v>
      </c>
      <c r="U4822">
        <v>62</v>
      </c>
      <c r="V4822">
        <v>0</v>
      </c>
      <c r="W4822">
        <v>0</v>
      </c>
      <c r="X4822">
        <v>15</v>
      </c>
      <c r="Y4822">
        <v>0</v>
      </c>
      <c r="Z4822">
        <v>1</v>
      </c>
      <c r="AA4822">
        <v>0</v>
      </c>
      <c r="AB4822">
        <v>0</v>
      </c>
      <c r="AD4822">
        <v>0</v>
      </c>
      <c r="AE4822">
        <v>0</v>
      </c>
      <c r="AF4822">
        <v>0</v>
      </c>
      <c r="AG4822">
        <v>0</v>
      </c>
      <c r="AI4822">
        <v>0</v>
      </c>
      <c r="AJ4822">
        <v>4</v>
      </c>
      <c r="AK4822">
        <v>196</v>
      </c>
      <c r="AL4822">
        <v>196</v>
      </c>
      <c r="AM4822">
        <v>251</v>
      </c>
      <c r="AN4822">
        <v>44</v>
      </c>
      <c r="AP4822">
        <v>1</v>
      </c>
      <c r="AR4822" t="s">
        <v>4925</v>
      </c>
      <c r="AS4822" s="1">
        <v>44354.195138888892</v>
      </c>
      <c r="AT4822" s="1">
        <v>44354.19798611111</v>
      </c>
      <c r="AU4822" s="1">
        <v>44354.19840277778</v>
      </c>
      <c r="AV4822" t="s">
        <v>71</v>
      </c>
      <c r="AW4822" t="s">
        <v>72</v>
      </c>
      <c r="AX4822" t="s">
        <v>73</v>
      </c>
    </row>
    <row r="4823" spans="1:50" x14ac:dyDescent="0.3">
      <c r="A4823" t="str">
        <f>"200714B0000"</f>
        <v>200714B0000</v>
      </c>
      <c r="B4823" t="str">
        <f>"200714B00002"</f>
        <v>200714B00002</v>
      </c>
      <c r="C4823" t="str">
        <f t="shared" si="243"/>
        <v>20</v>
      </c>
      <c r="D4823" t="s">
        <v>67</v>
      </c>
      <c r="E4823" t="str">
        <f t="shared" si="244"/>
        <v>022</v>
      </c>
      <c r="F4823" t="s">
        <v>4913</v>
      </c>
      <c r="G4823" t="str">
        <f>"0714"</f>
        <v>0714</v>
      </c>
      <c r="H4823" t="str">
        <f>"0000"</f>
        <v>0000</v>
      </c>
      <c r="I4823" t="s">
        <v>69</v>
      </c>
      <c r="J4823">
        <v>0</v>
      </c>
      <c r="K4823">
        <v>1</v>
      </c>
      <c r="L4823">
        <v>2</v>
      </c>
      <c r="M4823">
        <v>255</v>
      </c>
      <c r="N4823">
        <v>200</v>
      </c>
      <c r="O4823">
        <v>0</v>
      </c>
      <c r="P4823">
        <v>200</v>
      </c>
      <c r="Q4823">
        <v>1</v>
      </c>
      <c r="R4823">
        <v>50</v>
      </c>
      <c r="S4823">
        <v>29</v>
      </c>
      <c r="T4823">
        <v>1</v>
      </c>
      <c r="U4823">
        <v>15</v>
      </c>
      <c r="V4823">
        <v>2</v>
      </c>
      <c r="W4823">
        <v>1</v>
      </c>
      <c r="X4823">
        <v>73</v>
      </c>
      <c r="Y4823">
        <v>1</v>
      </c>
      <c r="Z4823">
        <v>8</v>
      </c>
      <c r="AA4823">
        <v>10</v>
      </c>
      <c r="AB4823">
        <v>3</v>
      </c>
      <c r="AD4823">
        <v>1</v>
      </c>
      <c r="AE4823">
        <v>0</v>
      </c>
      <c r="AF4823">
        <v>0</v>
      </c>
      <c r="AG4823">
        <v>0</v>
      </c>
      <c r="AI4823">
        <v>0</v>
      </c>
      <c r="AJ4823">
        <v>5</v>
      </c>
      <c r="AK4823">
        <v>200</v>
      </c>
      <c r="AL4823">
        <v>200</v>
      </c>
      <c r="AM4823">
        <v>529</v>
      </c>
      <c r="AN4823">
        <v>44</v>
      </c>
      <c r="AP4823">
        <v>1</v>
      </c>
      <c r="AR4823" t="s">
        <v>4926</v>
      </c>
      <c r="AS4823" s="1">
        <v>44353.823935185188</v>
      </c>
      <c r="AT4823" s="1">
        <v>44353.838634259257</v>
      </c>
      <c r="AU4823" s="1">
        <v>44353.840567129628</v>
      </c>
      <c r="AV4823" t="s">
        <v>269</v>
      </c>
      <c r="AW4823" t="s">
        <v>270</v>
      </c>
      <c r="AX4823" t="s">
        <v>73</v>
      </c>
    </row>
    <row r="4824" spans="1:50" x14ac:dyDescent="0.3">
      <c r="A4824" t="str">
        <f>"200714E0100"</f>
        <v>200714E0100</v>
      </c>
      <c r="B4824" t="str">
        <f>"200714E01002"</f>
        <v>200714E01002</v>
      </c>
      <c r="C4824" t="str">
        <f t="shared" si="243"/>
        <v>20</v>
      </c>
      <c r="D4824" t="s">
        <v>67</v>
      </c>
      <c r="E4824" t="str">
        <f t="shared" si="244"/>
        <v>022</v>
      </c>
      <c r="F4824" t="s">
        <v>4913</v>
      </c>
      <c r="G4824" t="str">
        <f>"0714"</f>
        <v>0714</v>
      </c>
      <c r="H4824" t="str">
        <f>"0001"</f>
        <v>0001</v>
      </c>
      <c r="I4824" t="s">
        <v>109</v>
      </c>
      <c r="J4824">
        <v>0</v>
      </c>
      <c r="K4824">
        <v>1</v>
      </c>
      <c r="L4824">
        <v>2</v>
      </c>
      <c r="M4824">
        <v>175</v>
      </c>
      <c r="N4824">
        <v>150</v>
      </c>
      <c r="O4824">
        <v>0</v>
      </c>
      <c r="P4824">
        <v>150</v>
      </c>
      <c r="Q4824">
        <v>0</v>
      </c>
      <c r="R4824">
        <v>28</v>
      </c>
      <c r="S4824">
        <v>5</v>
      </c>
      <c r="T4824">
        <v>1</v>
      </c>
      <c r="U4824">
        <v>6</v>
      </c>
      <c r="V4824">
        <v>0</v>
      </c>
      <c r="W4824">
        <v>0</v>
      </c>
      <c r="X4824">
        <v>46</v>
      </c>
      <c r="Y4824">
        <v>1</v>
      </c>
      <c r="Z4824">
        <v>3</v>
      </c>
      <c r="AA4824">
        <v>47</v>
      </c>
      <c r="AB4824">
        <v>2</v>
      </c>
      <c r="AD4824">
        <v>0</v>
      </c>
      <c r="AE4824">
        <v>0</v>
      </c>
      <c r="AF4824">
        <v>0</v>
      </c>
      <c r="AG4824">
        <v>0</v>
      </c>
      <c r="AI4824">
        <v>0</v>
      </c>
      <c r="AJ4824">
        <v>11</v>
      </c>
      <c r="AK4824">
        <v>150</v>
      </c>
      <c r="AL4824">
        <v>150</v>
      </c>
      <c r="AM4824">
        <v>281</v>
      </c>
      <c r="AN4824">
        <v>44</v>
      </c>
      <c r="AP4824">
        <v>1</v>
      </c>
      <c r="AR4824" t="s">
        <v>4927</v>
      </c>
      <c r="AS4824" s="1">
        <v>44354.227083333331</v>
      </c>
      <c r="AT4824" s="1">
        <v>44354.237164351849</v>
      </c>
      <c r="AU4824" s="1">
        <v>44354.237604166665</v>
      </c>
      <c r="AV4824" t="s">
        <v>71</v>
      </c>
      <c r="AW4824" t="s">
        <v>72</v>
      </c>
      <c r="AX4824" t="s">
        <v>73</v>
      </c>
    </row>
    <row r="4825" spans="1:50" x14ac:dyDescent="0.3">
      <c r="A4825" t="str">
        <f>"200714E0200"</f>
        <v>200714E0200</v>
      </c>
      <c r="B4825" t="str">
        <f>"200714E02002"</f>
        <v>200714E02002</v>
      </c>
      <c r="C4825" t="str">
        <f t="shared" si="243"/>
        <v>20</v>
      </c>
      <c r="D4825" t="s">
        <v>67</v>
      </c>
      <c r="E4825" t="str">
        <f t="shared" si="244"/>
        <v>022</v>
      </c>
      <c r="F4825" t="s">
        <v>4913</v>
      </c>
      <c r="G4825" t="str">
        <f>"0714"</f>
        <v>0714</v>
      </c>
      <c r="H4825" t="str">
        <f>"0002"</f>
        <v>0002</v>
      </c>
      <c r="I4825" t="s">
        <v>109</v>
      </c>
      <c r="J4825">
        <v>0</v>
      </c>
      <c r="K4825">
        <v>1</v>
      </c>
      <c r="L4825">
        <v>2</v>
      </c>
      <c r="M4825">
        <v>358</v>
      </c>
      <c r="N4825">
        <v>215</v>
      </c>
      <c r="O4825">
        <v>0</v>
      </c>
      <c r="P4825">
        <v>215</v>
      </c>
      <c r="Q4825">
        <v>1</v>
      </c>
      <c r="R4825">
        <v>19</v>
      </c>
      <c r="S4825">
        <v>11</v>
      </c>
      <c r="T4825">
        <v>3</v>
      </c>
      <c r="U4825">
        <v>7</v>
      </c>
      <c r="V4825">
        <v>2</v>
      </c>
      <c r="W4825">
        <v>3</v>
      </c>
      <c r="X4825">
        <v>152</v>
      </c>
      <c r="Y4825">
        <v>1</v>
      </c>
      <c r="Z4825">
        <v>5</v>
      </c>
      <c r="AA4825">
        <v>5</v>
      </c>
      <c r="AB4825">
        <v>2</v>
      </c>
      <c r="AD4825">
        <v>1</v>
      </c>
      <c r="AE4825">
        <v>0</v>
      </c>
      <c r="AF4825">
        <v>1</v>
      </c>
      <c r="AG4825">
        <v>0</v>
      </c>
      <c r="AI4825">
        <v>0</v>
      </c>
      <c r="AJ4825">
        <v>2</v>
      </c>
      <c r="AK4825">
        <v>215</v>
      </c>
      <c r="AL4825">
        <v>215</v>
      </c>
      <c r="AM4825">
        <v>411</v>
      </c>
      <c r="AN4825">
        <v>44</v>
      </c>
      <c r="AP4825">
        <v>1</v>
      </c>
      <c r="AR4825" t="s">
        <v>4928</v>
      </c>
      <c r="AS4825" s="1">
        <v>44353.864386574074</v>
      </c>
      <c r="AT4825" s="1">
        <v>44353.92087962963</v>
      </c>
      <c r="AU4825" s="1">
        <v>44353.921631944446</v>
      </c>
      <c r="AV4825" t="s">
        <v>269</v>
      </c>
      <c r="AW4825" t="s">
        <v>270</v>
      </c>
      <c r="AX4825" t="s">
        <v>73</v>
      </c>
    </row>
    <row r="4826" spans="1:50" x14ac:dyDescent="0.3">
      <c r="A4826" t="str">
        <f>"200715B0000"</f>
        <v>200715B0000</v>
      </c>
      <c r="B4826" t="str">
        <f>"200715B00002"</f>
        <v>200715B00002</v>
      </c>
      <c r="C4826" t="str">
        <f t="shared" si="243"/>
        <v>20</v>
      </c>
      <c r="D4826" t="s">
        <v>67</v>
      </c>
      <c r="E4826" t="str">
        <f t="shared" si="244"/>
        <v>022</v>
      </c>
      <c r="F4826" t="s">
        <v>4913</v>
      </c>
      <c r="G4826" t="str">
        <f>"0715"</f>
        <v>0715</v>
      </c>
      <c r="H4826" t="str">
        <f>"0000"</f>
        <v>0000</v>
      </c>
      <c r="I4826" t="s">
        <v>69</v>
      </c>
      <c r="J4826">
        <v>0</v>
      </c>
      <c r="K4826">
        <v>1</v>
      </c>
      <c r="L4826">
        <v>2</v>
      </c>
      <c r="M4826">
        <v>393</v>
      </c>
      <c r="N4826">
        <v>287</v>
      </c>
      <c r="O4826">
        <v>0</v>
      </c>
      <c r="P4826">
        <v>287</v>
      </c>
      <c r="Q4826">
        <v>2</v>
      </c>
      <c r="R4826">
        <v>80</v>
      </c>
      <c r="S4826">
        <v>59</v>
      </c>
      <c r="T4826">
        <v>1</v>
      </c>
      <c r="U4826">
        <v>20</v>
      </c>
      <c r="V4826">
        <v>2</v>
      </c>
      <c r="W4826">
        <v>4</v>
      </c>
      <c r="X4826">
        <v>88</v>
      </c>
      <c r="Y4826">
        <v>0</v>
      </c>
      <c r="Z4826">
        <v>7</v>
      </c>
      <c r="AA4826">
        <v>7</v>
      </c>
      <c r="AB4826">
        <v>6</v>
      </c>
      <c r="AD4826">
        <v>1</v>
      </c>
      <c r="AE4826">
        <v>0</v>
      </c>
      <c r="AF4826">
        <v>0</v>
      </c>
      <c r="AG4826">
        <v>1</v>
      </c>
      <c r="AI4826">
        <v>0</v>
      </c>
      <c r="AJ4826">
        <v>9</v>
      </c>
      <c r="AK4826">
        <v>287</v>
      </c>
      <c r="AL4826">
        <v>287</v>
      </c>
      <c r="AM4826">
        <v>636</v>
      </c>
      <c r="AN4826">
        <v>44</v>
      </c>
      <c r="AP4826">
        <v>1</v>
      </c>
      <c r="AR4826" t="s">
        <v>4929</v>
      </c>
      <c r="AS4826" s="1">
        <v>44353.840567129628</v>
      </c>
      <c r="AT4826" s="1">
        <v>44353.842256944445</v>
      </c>
      <c r="AU4826" s="1">
        <v>44353.844108796293</v>
      </c>
      <c r="AV4826" t="s">
        <v>269</v>
      </c>
      <c r="AW4826" t="s">
        <v>270</v>
      </c>
      <c r="AX4826" t="s">
        <v>73</v>
      </c>
    </row>
    <row r="4827" spans="1:50" x14ac:dyDescent="0.3">
      <c r="A4827" t="str">
        <f>"200715C0100"</f>
        <v>200715C0100</v>
      </c>
      <c r="B4827" t="str">
        <f>"200715C01002"</f>
        <v>200715C01002</v>
      </c>
      <c r="C4827" t="str">
        <f t="shared" si="243"/>
        <v>20</v>
      </c>
      <c r="D4827" t="s">
        <v>67</v>
      </c>
      <c r="E4827" t="str">
        <f t="shared" si="244"/>
        <v>022</v>
      </c>
      <c r="F4827" t="s">
        <v>4913</v>
      </c>
      <c r="G4827" t="str">
        <f>"0715"</f>
        <v>0715</v>
      </c>
      <c r="H4827" t="str">
        <f>"0001"</f>
        <v>0001</v>
      </c>
      <c r="I4827" t="s">
        <v>75</v>
      </c>
      <c r="J4827">
        <v>0</v>
      </c>
      <c r="K4827">
        <v>1</v>
      </c>
      <c r="L4827">
        <v>2</v>
      </c>
      <c r="M4827">
        <v>404</v>
      </c>
      <c r="N4827">
        <v>276</v>
      </c>
      <c r="O4827">
        <v>0</v>
      </c>
      <c r="P4827">
        <v>276</v>
      </c>
      <c r="Q4827">
        <v>1</v>
      </c>
      <c r="R4827">
        <v>64</v>
      </c>
      <c r="S4827">
        <v>52</v>
      </c>
      <c r="T4827">
        <v>3</v>
      </c>
      <c r="U4827">
        <v>5</v>
      </c>
      <c r="V4827">
        <v>3</v>
      </c>
      <c r="W4827">
        <v>1</v>
      </c>
      <c r="X4827">
        <v>121</v>
      </c>
      <c r="Y4827">
        <v>0</v>
      </c>
      <c r="Z4827">
        <v>6</v>
      </c>
      <c r="AA4827">
        <v>12</v>
      </c>
      <c r="AB4827">
        <v>4</v>
      </c>
      <c r="AD4827">
        <v>0</v>
      </c>
      <c r="AE4827">
        <v>0</v>
      </c>
      <c r="AF4827">
        <v>0</v>
      </c>
      <c r="AG4827">
        <v>0</v>
      </c>
      <c r="AI4827">
        <v>0</v>
      </c>
      <c r="AJ4827">
        <v>4</v>
      </c>
      <c r="AK4827">
        <v>276</v>
      </c>
      <c r="AL4827">
        <v>276</v>
      </c>
      <c r="AM4827">
        <v>636</v>
      </c>
      <c r="AN4827">
        <v>44</v>
      </c>
      <c r="AP4827">
        <v>1</v>
      </c>
      <c r="AR4827" t="s">
        <v>4930</v>
      </c>
      <c r="AS4827" s="1">
        <v>44353.83488425926</v>
      </c>
      <c r="AT4827" s="1">
        <v>44353.839282407411</v>
      </c>
      <c r="AU4827" s="1">
        <v>44353.839837962965</v>
      </c>
      <c r="AV4827" t="s">
        <v>269</v>
      </c>
      <c r="AW4827" t="s">
        <v>270</v>
      </c>
      <c r="AX4827" t="s">
        <v>73</v>
      </c>
    </row>
    <row r="4828" spans="1:50" x14ac:dyDescent="0.3">
      <c r="A4828" t="str">
        <f>"200716B0000"</f>
        <v>200716B0000</v>
      </c>
      <c r="B4828" t="str">
        <f>"200716B00002"</f>
        <v>200716B00002</v>
      </c>
      <c r="C4828" t="str">
        <f t="shared" si="243"/>
        <v>20</v>
      </c>
      <c r="D4828" t="s">
        <v>67</v>
      </c>
      <c r="E4828" t="str">
        <f t="shared" si="244"/>
        <v>022</v>
      </c>
      <c r="F4828" t="s">
        <v>4913</v>
      </c>
      <c r="G4828" t="str">
        <f>"0716"</f>
        <v>0716</v>
      </c>
      <c r="H4828" t="str">
        <f>"0000"</f>
        <v>0000</v>
      </c>
      <c r="I4828" t="s">
        <v>69</v>
      </c>
      <c r="J4828">
        <v>0</v>
      </c>
      <c r="K4828">
        <v>1</v>
      </c>
      <c r="L4828">
        <v>2</v>
      </c>
      <c r="M4828">
        <v>383</v>
      </c>
      <c r="N4828">
        <v>289</v>
      </c>
      <c r="O4828">
        <v>0</v>
      </c>
      <c r="P4828">
        <v>289</v>
      </c>
      <c r="Q4828">
        <v>3</v>
      </c>
      <c r="R4828">
        <v>32</v>
      </c>
      <c r="S4828">
        <v>61</v>
      </c>
      <c r="T4828">
        <v>4</v>
      </c>
      <c r="U4828">
        <v>7</v>
      </c>
      <c r="V4828">
        <v>3</v>
      </c>
      <c r="W4828">
        <v>3</v>
      </c>
      <c r="X4828">
        <v>103</v>
      </c>
      <c r="Y4828">
        <v>9</v>
      </c>
      <c r="Z4828">
        <v>13</v>
      </c>
      <c r="AA4828">
        <v>42</v>
      </c>
      <c r="AB4828">
        <v>1</v>
      </c>
      <c r="AD4828">
        <v>0</v>
      </c>
      <c r="AE4828">
        <v>0</v>
      </c>
      <c r="AF4828">
        <v>0</v>
      </c>
      <c r="AG4828">
        <v>0</v>
      </c>
      <c r="AI4828">
        <v>0</v>
      </c>
      <c r="AJ4828">
        <v>8</v>
      </c>
      <c r="AK4828">
        <v>289</v>
      </c>
      <c r="AL4828">
        <v>289</v>
      </c>
      <c r="AM4828">
        <v>629</v>
      </c>
      <c r="AN4828">
        <v>44</v>
      </c>
      <c r="AP4828">
        <v>1</v>
      </c>
      <c r="AR4828" t="s">
        <v>4931</v>
      </c>
      <c r="AS4828" s="1">
        <v>44354.23541666667</v>
      </c>
      <c r="AT4828" s="1">
        <v>44354.243148148147</v>
      </c>
      <c r="AU4828" s="1">
        <v>44354.24386574074</v>
      </c>
      <c r="AV4828" t="s">
        <v>71</v>
      </c>
      <c r="AW4828" t="s">
        <v>72</v>
      </c>
      <c r="AX4828" t="s">
        <v>73</v>
      </c>
    </row>
    <row r="4829" spans="1:50" x14ac:dyDescent="0.3">
      <c r="A4829" t="str">
        <f>"200744B0000"</f>
        <v>200744B0000</v>
      </c>
      <c r="B4829" t="str">
        <f>"200744B00002"</f>
        <v>200744B00002</v>
      </c>
      <c r="C4829" t="str">
        <f t="shared" si="243"/>
        <v>20</v>
      </c>
      <c r="D4829" t="s">
        <v>67</v>
      </c>
      <c r="E4829" t="str">
        <f t="shared" si="244"/>
        <v>022</v>
      </c>
      <c r="F4829" t="s">
        <v>4913</v>
      </c>
      <c r="G4829" t="str">
        <f>"0744"</f>
        <v>0744</v>
      </c>
      <c r="H4829" t="str">
        <f>"0000"</f>
        <v>0000</v>
      </c>
      <c r="I4829" t="s">
        <v>69</v>
      </c>
      <c r="J4829">
        <v>0</v>
      </c>
      <c r="K4829">
        <v>1</v>
      </c>
      <c r="L4829">
        <v>2</v>
      </c>
      <c r="M4829">
        <v>193</v>
      </c>
      <c r="N4829">
        <v>387</v>
      </c>
      <c r="O4829">
        <v>4</v>
      </c>
      <c r="P4829">
        <v>387</v>
      </c>
      <c r="Q4829">
        <v>2</v>
      </c>
      <c r="R4829">
        <v>67</v>
      </c>
      <c r="S4829">
        <v>5</v>
      </c>
      <c r="T4829">
        <v>36</v>
      </c>
      <c r="U4829">
        <v>103</v>
      </c>
      <c r="V4829">
        <v>2</v>
      </c>
      <c r="W4829">
        <v>20</v>
      </c>
      <c r="X4829">
        <v>117</v>
      </c>
      <c r="Y4829">
        <v>14</v>
      </c>
      <c r="Z4829">
        <v>0</v>
      </c>
      <c r="AA4829">
        <v>4</v>
      </c>
      <c r="AB4829">
        <v>9</v>
      </c>
      <c r="AD4829">
        <v>0</v>
      </c>
      <c r="AE4829">
        <v>2</v>
      </c>
      <c r="AF4829">
        <v>0</v>
      </c>
      <c r="AG4829">
        <v>0</v>
      </c>
      <c r="AI4829">
        <v>0</v>
      </c>
      <c r="AJ4829">
        <v>6</v>
      </c>
      <c r="AK4829">
        <v>387</v>
      </c>
      <c r="AL4829">
        <v>387</v>
      </c>
      <c r="AM4829">
        <v>536</v>
      </c>
      <c r="AN4829">
        <v>44</v>
      </c>
      <c r="AP4829">
        <v>1</v>
      </c>
      <c r="AR4829" t="s">
        <v>4932</v>
      </c>
      <c r="AS4829" s="1">
        <v>44354.191666666666</v>
      </c>
      <c r="AT4829" s="1">
        <v>44354.221516203703</v>
      </c>
      <c r="AU4829" s="1">
        <v>44354.222071759257</v>
      </c>
      <c r="AV4829" t="s">
        <v>71</v>
      </c>
      <c r="AW4829" t="s">
        <v>72</v>
      </c>
      <c r="AX4829" t="s">
        <v>73</v>
      </c>
    </row>
    <row r="4830" spans="1:50" x14ac:dyDescent="0.3">
      <c r="A4830" t="str">
        <f>"200744C0100"</f>
        <v>200744C0100</v>
      </c>
      <c r="B4830" t="str">
        <f>"200744C01002"</f>
        <v>200744C01002</v>
      </c>
      <c r="C4830" t="str">
        <f t="shared" si="243"/>
        <v>20</v>
      </c>
      <c r="D4830" t="s">
        <v>67</v>
      </c>
      <c r="E4830" t="str">
        <f t="shared" si="244"/>
        <v>022</v>
      </c>
      <c r="F4830" t="s">
        <v>4913</v>
      </c>
      <c r="G4830" t="str">
        <f>"0744"</f>
        <v>0744</v>
      </c>
      <c r="H4830" t="str">
        <f>"0001"</f>
        <v>0001</v>
      </c>
      <c r="I4830" t="s">
        <v>75</v>
      </c>
      <c r="J4830">
        <v>0</v>
      </c>
      <c r="K4830">
        <v>1</v>
      </c>
      <c r="L4830">
        <v>2</v>
      </c>
      <c r="M4830">
        <v>176</v>
      </c>
      <c r="N4830">
        <v>403</v>
      </c>
      <c r="O4830">
        <v>4</v>
      </c>
      <c r="P4830">
        <v>403</v>
      </c>
      <c r="Q4830">
        <v>1</v>
      </c>
      <c r="R4830">
        <v>74</v>
      </c>
      <c r="S4830">
        <v>10</v>
      </c>
      <c r="T4830">
        <v>53</v>
      </c>
      <c r="U4830">
        <v>77</v>
      </c>
      <c r="V4830">
        <v>7</v>
      </c>
      <c r="W4830">
        <v>15</v>
      </c>
      <c r="X4830">
        <v>103</v>
      </c>
      <c r="Y4830">
        <v>24</v>
      </c>
      <c r="Z4830">
        <v>0</v>
      </c>
      <c r="AA4830">
        <v>10</v>
      </c>
      <c r="AB4830">
        <v>0</v>
      </c>
      <c r="AD4830">
        <v>0</v>
      </c>
      <c r="AE4830">
        <v>0</v>
      </c>
      <c r="AF4830">
        <v>0</v>
      </c>
      <c r="AG4830">
        <v>0</v>
      </c>
      <c r="AI4830">
        <v>0</v>
      </c>
      <c r="AJ4830">
        <v>12</v>
      </c>
      <c r="AK4830">
        <v>403</v>
      </c>
      <c r="AL4830">
        <v>386</v>
      </c>
      <c r="AM4830">
        <v>535</v>
      </c>
      <c r="AN4830">
        <v>44</v>
      </c>
      <c r="AP4830">
        <v>1</v>
      </c>
      <c r="AR4830" t="s">
        <v>4933</v>
      </c>
      <c r="AS4830" s="1">
        <v>44354.162499999999</v>
      </c>
      <c r="AT4830" s="1">
        <v>44354.167847222219</v>
      </c>
      <c r="AU4830" s="1">
        <v>44354.169236111113</v>
      </c>
      <c r="AV4830" t="s">
        <v>71</v>
      </c>
      <c r="AW4830" t="s">
        <v>72</v>
      </c>
      <c r="AX4830" t="s">
        <v>73</v>
      </c>
    </row>
    <row r="4831" spans="1:50" x14ac:dyDescent="0.3">
      <c r="A4831" t="str">
        <f>"200744E0100"</f>
        <v>200744E0100</v>
      </c>
      <c r="B4831" t="str">
        <f>"200744E01002"</f>
        <v>200744E01002</v>
      </c>
      <c r="C4831" t="str">
        <f t="shared" si="243"/>
        <v>20</v>
      </c>
      <c r="D4831" t="s">
        <v>67</v>
      </c>
      <c r="E4831" t="str">
        <f t="shared" si="244"/>
        <v>022</v>
      </c>
      <c r="F4831" t="s">
        <v>4913</v>
      </c>
      <c r="G4831" t="str">
        <f>"0744"</f>
        <v>0744</v>
      </c>
      <c r="H4831" t="str">
        <f>"0001"</f>
        <v>0001</v>
      </c>
      <c r="I4831" t="s">
        <v>109</v>
      </c>
      <c r="J4831">
        <v>0</v>
      </c>
      <c r="K4831">
        <v>1</v>
      </c>
      <c r="L4831">
        <v>2</v>
      </c>
      <c r="M4831">
        <v>186</v>
      </c>
      <c r="N4831">
        <v>344</v>
      </c>
      <c r="O4831">
        <v>3</v>
      </c>
      <c r="P4831">
        <v>344</v>
      </c>
      <c r="Q4831">
        <v>2</v>
      </c>
      <c r="R4831">
        <v>29</v>
      </c>
      <c r="S4831">
        <v>6</v>
      </c>
      <c r="T4831">
        <v>97</v>
      </c>
      <c r="U4831">
        <v>41</v>
      </c>
      <c r="V4831">
        <v>3</v>
      </c>
      <c r="W4831">
        <v>17</v>
      </c>
      <c r="X4831">
        <v>62</v>
      </c>
      <c r="Y4831">
        <v>63</v>
      </c>
      <c r="Z4831">
        <v>2</v>
      </c>
      <c r="AA4831">
        <v>3</v>
      </c>
      <c r="AB4831">
        <v>3</v>
      </c>
      <c r="AD4831">
        <v>0</v>
      </c>
      <c r="AE4831">
        <v>1</v>
      </c>
      <c r="AF4831">
        <v>0</v>
      </c>
      <c r="AG4831">
        <v>0</v>
      </c>
      <c r="AI4831">
        <v>0</v>
      </c>
      <c r="AJ4831">
        <v>15</v>
      </c>
      <c r="AK4831">
        <v>344</v>
      </c>
      <c r="AL4831">
        <v>344</v>
      </c>
      <c r="AM4831">
        <v>486</v>
      </c>
      <c r="AN4831">
        <v>44</v>
      </c>
      <c r="AP4831">
        <v>1</v>
      </c>
      <c r="AR4831" t="s">
        <v>4934</v>
      </c>
      <c r="AS4831" s="1">
        <v>44354.182638888888</v>
      </c>
      <c r="AT4831" s="1">
        <v>44354.18608796296</v>
      </c>
      <c r="AU4831" s="1">
        <v>44354.187037037038</v>
      </c>
      <c r="AV4831" t="s">
        <v>71</v>
      </c>
      <c r="AW4831" t="s">
        <v>72</v>
      </c>
      <c r="AX4831" t="s">
        <v>73</v>
      </c>
    </row>
    <row r="4832" spans="1:50" x14ac:dyDescent="0.3">
      <c r="A4832" t="str">
        <f>"200745B0000"</f>
        <v>200745B0000</v>
      </c>
      <c r="B4832" t="str">
        <f>"200745B00002"</f>
        <v>200745B00002</v>
      </c>
      <c r="C4832" t="str">
        <f t="shared" si="243"/>
        <v>20</v>
      </c>
      <c r="D4832" t="s">
        <v>67</v>
      </c>
      <c r="E4832" t="str">
        <f t="shared" si="244"/>
        <v>022</v>
      </c>
      <c r="F4832" t="s">
        <v>4913</v>
      </c>
      <c r="G4832" t="str">
        <f>"0745"</f>
        <v>0745</v>
      </c>
      <c r="H4832" t="str">
        <f>"0000"</f>
        <v>0000</v>
      </c>
      <c r="I4832" t="s">
        <v>69</v>
      </c>
      <c r="J4832">
        <v>0</v>
      </c>
      <c r="K4832">
        <v>1</v>
      </c>
      <c r="L4832">
        <v>2</v>
      </c>
      <c r="M4832">
        <v>146</v>
      </c>
      <c r="N4832">
        <v>316</v>
      </c>
      <c r="O4832">
        <v>1</v>
      </c>
      <c r="P4832">
        <v>316</v>
      </c>
      <c r="Q4832">
        <v>5</v>
      </c>
      <c r="R4832">
        <v>55</v>
      </c>
      <c r="S4832">
        <v>3</v>
      </c>
      <c r="T4832">
        <v>31</v>
      </c>
      <c r="U4832">
        <v>65</v>
      </c>
      <c r="V4832">
        <v>4</v>
      </c>
      <c r="W4832">
        <v>14</v>
      </c>
      <c r="X4832">
        <v>103</v>
      </c>
      <c r="Y4832">
        <v>19</v>
      </c>
      <c r="Z4832">
        <v>0</v>
      </c>
      <c r="AA4832">
        <v>4</v>
      </c>
      <c r="AB4832">
        <v>5</v>
      </c>
      <c r="AD4832">
        <v>1</v>
      </c>
      <c r="AE4832">
        <v>0</v>
      </c>
      <c r="AF4832">
        <v>0</v>
      </c>
      <c r="AG4832">
        <v>1</v>
      </c>
      <c r="AI4832">
        <v>0</v>
      </c>
      <c r="AJ4832">
        <v>6</v>
      </c>
      <c r="AK4832">
        <v>316</v>
      </c>
      <c r="AL4832">
        <v>316</v>
      </c>
      <c r="AM4832">
        <v>418</v>
      </c>
      <c r="AN4832">
        <v>44</v>
      </c>
      <c r="AP4832">
        <v>1</v>
      </c>
      <c r="AR4832" t="s">
        <v>4935</v>
      </c>
      <c r="AS4832" s="1">
        <v>44354.178472222222</v>
      </c>
      <c r="AT4832" s="1">
        <v>44354.189664351848</v>
      </c>
      <c r="AU4832" s="1">
        <v>44354.190486111111</v>
      </c>
      <c r="AV4832" t="s">
        <v>71</v>
      </c>
      <c r="AW4832" t="s">
        <v>72</v>
      </c>
      <c r="AX4832" t="s">
        <v>73</v>
      </c>
    </row>
    <row r="4833" spans="1:50" x14ac:dyDescent="0.3">
      <c r="A4833" t="str">
        <f>"200745C0100"</f>
        <v>200745C0100</v>
      </c>
      <c r="B4833" t="str">
        <f>"200745C01002"</f>
        <v>200745C01002</v>
      </c>
      <c r="C4833" t="str">
        <f t="shared" si="243"/>
        <v>20</v>
      </c>
      <c r="D4833" t="s">
        <v>67</v>
      </c>
      <c r="E4833" t="str">
        <f t="shared" si="244"/>
        <v>022</v>
      </c>
      <c r="F4833" t="s">
        <v>4913</v>
      </c>
      <c r="G4833" t="str">
        <f>"0745"</f>
        <v>0745</v>
      </c>
      <c r="H4833" t="str">
        <f>"0001"</f>
        <v>0001</v>
      </c>
      <c r="I4833" t="s">
        <v>75</v>
      </c>
      <c r="J4833">
        <v>0</v>
      </c>
      <c r="K4833">
        <v>1</v>
      </c>
      <c r="L4833">
        <v>2</v>
      </c>
      <c r="M4833">
        <v>150</v>
      </c>
      <c r="N4833">
        <v>312</v>
      </c>
      <c r="O4833">
        <v>3</v>
      </c>
      <c r="P4833">
        <v>312</v>
      </c>
      <c r="Q4833">
        <v>2</v>
      </c>
      <c r="R4833">
        <v>78</v>
      </c>
      <c r="S4833">
        <v>4</v>
      </c>
      <c r="T4833">
        <v>18</v>
      </c>
      <c r="U4833">
        <v>68</v>
      </c>
      <c r="V4833">
        <v>2</v>
      </c>
      <c r="W4833">
        <v>10</v>
      </c>
      <c r="X4833">
        <v>85</v>
      </c>
      <c r="Y4833">
        <v>26</v>
      </c>
      <c r="Z4833">
        <v>1</v>
      </c>
      <c r="AA4833">
        <v>2</v>
      </c>
      <c r="AB4833">
        <v>8</v>
      </c>
      <c r="AD4833">
        <v>0</v>
      </c>
      <c r="AE4833">
        <v>0</v>
      </c>
      <c r="AF4833">
        <v>0</v>
      </c>
      <c r="AG4833">
        <v>0</v>
      </c>
      <c r="AI4833">
        <v>0</v>
      </c>
      <c r="AJ4833">
        <v>8</v>
      </c>
      <c r="AK4833">
        <v>312</v>
      </c>
      <c r="AL4833">
        <v>312</v>
      </c>
      <c r="AM4833">
        <v>418</v>
      </c>
      <c r="AN4833">
        <v>44</v>
      </c>
      <c r="AP4833">
        <v>1</v>
      </c>
      <c r="AR4833" t="s">
        <v>4936</v>
      </c>
      <c r="AS4833" s="1">
        <v>44354.193055555559</v>
      </c>
      <c r="AT4833" s="1">
        <v>44354.219456018516</v>
      </c>
      <c r="AU4833" s="1">
        <v>44354.220682870371</v>
      </c>
      <c r="AV4833" t="s">
        <v>71</v>
      </c>
      <c r="AW4833" t="s">
        <v>72</v>
      </c>
      <c r="AX4833" t="s">
        <v>73</v>
      </c>
    </row>
    <row r="4834" spans="1:50" x14ac:dyDescent="0.3">
      <c r="A4834" t="str">
        <f>"200745E0100"</f>
        <v>200745E0100</v>
      </c>
      <c r="B4834" t="str">
        <f>"200745E01002"</f>
        <v>200745E01002</v>
      </c>
      <c r="C4834" t="str">
        <f t="shared" si="243"/>
        <v>20</v>
      </c>
      <c r="D4834" t="s">
        <v>67</v>
      </c>
      <c r="E4834" t="str">
        <f t="shared" si="244"/>
        <v>022</v>
      </c>
      <c r="F4834" t="s">
        <v>4913</v>
      </c>
      <c r="G4834" t="str">
        <f>"0745"</f>
        <v>0745</v>
      </c>
      <c r="H4834" t="str">
        <f>"0001"</f>
        <v>0001</v>
      </c>
      <c r="I4834" t="s">
        <v>109</v>
      </c>
      <c r="J4834">
        <v>0</v>
      </c>
      <c r="K4834">
        <v>1</v>
      </c>
      <c r="L4834">
        <v>2</v>
      </c>
      <c r="M4834">
        <v>264</v>
      </c>
      <c r="N4834">
        <v>478</v>
      </c>
      <c r="O4834">
        <v>3</v>
      </c>
      <c r="P4834">
        <v>475</v>
      </c>
      <c r="Q4834">
        <v>1</v>
      </c>
      <c r="R4834">
        <v>68</v>
      </c>
      <c r="S4834">
        <v>17</v>
      </c>
      <c r="T4834">
        <v>43</v>
      </c>
      <c r="U4834">
        <v>180</v>
      </c>
      <c r="V4834">
        <v>0</v>
      </c>
      <c r="W4834">
        <v>45</v>
      </c>
      <c r="X4834">
        <v>55</v>
      </c>
      <c r="Y4834">
        <v>39</v>
      </c>
      <c r="Z4834">
        <v>0</v>
      </c>
      <c r="AA4834">
        <v>1</v>
      </c>
      <c r="AB4834">
        <v>10</v>
      </c>
      <c r="AD4834">
        <v>1</v>
      </c>
      <c r="AE4834">
        <v>0</v>
      </c>
      <c r="AF4834">
        <v>0</v>
      </c>
      <c r="AG4834">
        <v>1</v>
      </c>
      <c r="AI4834">
        <v>0</v>
      </c>
      <c r="AJ4834">
        <v>14</v>
      </c>
      <c r="AK4834">
        <v>475</v>
      </c>
      <c r="AL4834">
        <v>475</v>
      </c>
      <c r="AM4834">
        <v>698</v>
      </c>
      <c r="AN4834">
        <v>44</v>
      </c>
      <c r="AP4834">
        <v>1</v>
      </c>
      <c r="AR4834" t="s">
        <v>4937</v>
      </c>
      <c r="AS4834" s="1">
        <v>44354.098611111112</v>
      </c>
      <c r="AT4834" s="1">
        <v>44354.101458333331</v>
      </c>
      <c r="AU4834" s="1">
        <v>44354.101898148147</v>
      </c>
      <c r="AV4834" t="s">
        <v>71</v>
      </c>
      <c r="AW4834" t="s">
        <v>72</v>
      </c>
      <c r="AX4834" t="s">
        <v>73</v>
      </c>
    </row>
    <row r="4835" spans="1:50" x14ac:dyDescent="0.3">
      <c r="A4835" t="str">
        <f>"200746B0000"</f>
        <v>200746B0000</v>
      </c>
      <c r="B4835" t="str">
        <f>"200746B00002"</f>
        <v>200746B00002</v>
      </c>
      <c r="C4835" t="str">
        <f t="shared" si="243"/>
        <v>20</v>
      </c>
      <c r="D4835" t="s">
        <v>67</v>
      </c>
      <c r="E4835" t="str">
        <f t="shared" si="244"/>
        <v>022</v>
      </c>
      <c r="F4835" t="s">
        <v>4913</v>
      </c>
      <c r="G4835" t="str">
        <f>"0746"</f>
        <v>0746</v>
      </c>
      <c r="H4835" t="str">
        <f>"0000"</f>
        <v>0000</v>
      </c>
      <c r="I4835" t="s">
        <v>69</v>
      </c>
      <c r="J4835">
        <v>0</v>
      </c>
      <c r="K4835">
        <v>1</v>
      </c>
      <c r="L4835">
        <v>2</v>
      </c>
      <c r="M4835">
        <v>246</v>
      </c>
      <c r="N4835">
        <v>534</v>
      </c>
      <c r="O4835">
        <v>2</v>
      </c>
      <c r="P4835" t="s">
        <v>80</v>
      </c>
      <c r="Q4835">
        <v>7</v>
      </c>
      <c r="R4835">
        <v>99</v>
      </c>
      <c r="S4835">
        <v>10</v>
      </c>
      <c r="T4835">
        <v>40</v>
      </c>
      <c r="U4835">
        <v>92</v>
      </c>
      <c r="V4835">
        <v>8</v>
      </c>
      <c r="W4835">
        <v>30</v>
      </c>
      <c r="X4835">
        <v>171</v>
      </c>
      <c r="Y4835">
        <v>41</v>
      </c>
      <c r="Z4835">
        <v>2</v>
      </c>
      <c r="AA4835">
        <v>5</v>
      </c>
      <c r="AB4835">
        <v>13</v>
      </c>
      <c r="AD4835">
        <v>0</v>
      </c>
      <c r="AE4835">
        <v>3</v>
      </c>
      <c r="AF4835">
        <v>0</v>
      </c>
      <c r="AG4835">
        <v>0</v>
      </c>
      <c r="AI4835" t="s">
        <v>77</v>
      </c>
      <c r="AJ4835" t="s">
        <v>77</v>
      </c>
      <c r="AK4835" t="s">
        <v>77</v>
      </c>
      <c r="AL4835">
        <v>521</v>
      </c>
      <c r="AM4835">
        <v>736</v>
      </c>
      <c r="AN4835">
        <v>44</v>
      </c>
      <c r="AO4835" t="s">
        <v>78</v>
      </c>
      <c r="AP4835">
        <v>1</v>
      </c>
      <c r="AR4835" t="s">
        <v>4938</v>
      </c>
      <c r="AS4835" s="1">
        <v>44354.193055555559</v>
      </c>
      <c r="AT4835" s="1">
        <v>44354.201238425929</v>
      </c>
      <c r="AU4835" s="1">
        <v>44354.202106481483</v>
      </c>
      <c r="AV4835" t="s">
        <v>71</v>
      </c>
      <c r="AW4835" t="s">
        <v>72</v>
      </c>
      <c r="AX4835" t="s">
        <v>73</v>
      </c>
    </row>
    <row r="4836" spans="1:50" x14ac:dyDescent="0.3">
      <c r="A4836" t="str">
        <f>"200746C0100"</f>
        <v>200746C0100</v>
      </c>
      <c r="B4836" t="str">
        <f>"200746C01002"</f>
        <v>200746C01002</v>
      </c>
      <c r="C4836" t="str">
        <f t="shared" si="243"/>
        <v>20</v>
      </c>
      <c r="D4836" t="s">
        <v>67</v>
      </c>
      <c r="E4836" t="str">
        <f t="shared" si="244"/>
        <v>022</v>
      </c>
      <c r="F4836" t="s">
        <v>4913</v>
      </c>
      <c r="G4836" t="str">
        <f>"0746"</f>
        <v>0746</v>
      </c>
      <c r="H4836" t="str">
        <f>"0001"</f>
        <v>0001</v>
      </c>
      <c r="I4836" t="s">
        <v>75</v>
      </c>
      <c r="J4836">
        <v>0</v>
      </c>
      <c r="K4836">
        <v>1</v>
      </c>
      <c r="L4836">
        <v>2</v>
      </c>
      <c r="M4836">
        <v>265</v>
      </c>
      <c r="N4836">
        <v>515</v>
      </c>
      <c r="O4836">
        <v>5</v>
      </c>
      <c r="P4836">
        <v>515</v>
      </c>
      <c r="Q4836">
        <v>5</v>
      </c>
      <c r="R4836">
        <v>80</v>
      </c>
      <c r="S4836">
        <v>11</v>
      </c>
      <c r="T4836">
        <v>32</v>
      </c>
      <c r="U4836">
        <v>94</v>
      </c>
      <c r="V4836">
        <v>1</v>
      </c>
      <c r="W4836">
        <v>29</v>
      </c>
      <c r="X4836">
        <v>180</v>
      </c>
      <c r="Y4836">
        <v>51</v>
      </c>
      <c r="Z4836">
        <v>0</v>
      </c>
      <c r="AA4836">
        <v>0</v>
      </c>
      <c r="AB4836">
        <v>15</v>
      </c>
      <c r="AD4836">
        <v>0</v>
      </c>
      <c r="AE4836">
        <v>2</v>
      </c>
      <c r="AF4836">
        <v>0</v>
      </c>
      <c r="AG4836">
        <v>0</v>
      </c>
      <c r="AI4836">
        <v>0</v>
      </c>
      <c r="AJ4836">
        <v>15</v>
      </c>
      <c r="AK4836">
        <v>515</v>
      </c>
      <c r="AL4836">
        <v>515</v>
      </c>
      <c r="AM4836">
        <v>736</v>
      </c>
      <c r="AN4836">
        <v>44</v>
      </c>
      <c r="AP4836">
        <v>1</v>
      </c>
      <c r="AR4836" t="s">
        <v>4939</v>
      </c>
      <c r="AS4836" s="1">
        <v>44354.192361111112</v>
      </c>
      <c r="AT4836" s="1">
        <v>44354.195879629631</v>
      </c>
      <c r="AU4836" s="1">
        <v>44354.196527777778</v>
      </c>
      <c r="AV4836" t="s">
        <v>71</v>
      </c>
      <c r="AW4836" t="s">
        <v>72</v>
      </c>
      <c r="AX4836" t="s">
        <v>73</v>
      </c>
    </row>
    <row r="4837" spans="1:50" x14ac:dyDescent="0.3">
      <c r="A4837" t="str">
        <f>"200790B0000"</f>
        <v>200790B0000</v>
      </c>
      <c r="B4837" t="str">
        <f>"200790B00002"</f>
        <v>200790B00002</v>
      </c>
      <c r="C4837" t="str">
        <f t="shared" si="243"/>
        <v>20</v>
      </c>
      <c r="D4837" t="s">
        <v>67</v>
      </c>
      <c r="E4837" t="str">
        <f t="shared" si="244"/>
        <v>022</v>
      </c>
      <c r="F4837" t="s">
        <v>4913</v>
      </c>
      <c r="G4837" t="str">
        <f>"0790"</f>
        <v>0790</v>
      </c>
      <c r="H4837" t="str">
        <f>"0000"</f>
        <v>0000</v>
      </c>
      <c r="I4837" t="s">
        <v>69</v>
      </c>
      <c r="J4837">
        <v>0</v>
      </c>
      <c r="K4837">
        <v>1</v>
      </c>
      <c r="L4837">
        <v>2</v>
      </c>
      <c r="M4837">
        <v>479</v>
      </c>
      <c r="N4837">
        <v>156</v>
      </c>
      <c r="O4837">
        <v>2</v>
      </c>
      <c r="P4837">
        <v>156</v>
      </c>
      <c r="Q4837">
        <v>3</v>
      </c>
      <c r="R4837">
        <v>18</v>
      </c>
      <c r="S4837">
        <v>14</v>
      </c>
      <c r="T4837">
        <v>3</v>
      </c>
      <c r="U4837">
        <v>36</v>
      </c>
      <c r="V4837">
        <v>1</v>
      </c>
      <c r="W4837">
        <v>3</v>
      </c>
      <c r="X4837">
        <v>54</v>
      </c>
      <c r="Y4837">
        <v>1</v>
      </c>
      <c r="Z4837">
        <v>2</v>
      </c>
      <c r="AA4837">
        <v>14</v>
      </c>
      <c r="AB4837">
        <v>0</v>
      </c>
      <c r="AD4837">
        <v>0</v>
      </c>
      <c r="AE4837">
        <v>0</v>
      </c>
      <c r="AF4837">
        <v>0</v>
      </c>
      <c r="AG4837">
        <v>0</v>
      </c>
      <c r="AI4837">
        <v>0</v>
      </c>
      <c r="AJ4837">
        <v>7</v>
      </c>
      <c r="AK4837">
        <v>156</v>
      </c>
      <c r="AL4837">
        <v>156</v>
      </c>
      <c r="AM4837">
        <v>591</v>
      </c>
      <c r="AN4837">
        <v>44</v>
      </c>
      <c r="AP4837">
        <v>1</v>
      </c>
      <c r="AR4837" t="s">
        <v>4940</v>
      </c>
      <c r="AS4837" s="1">
        <v>44354.0625</v>
      </c>
      <c r="AT4837" s="1">
        <v>44354.06962962963</v>
      </c>
      <c r="AU4837" s="1">
        <v>44354.070069444446</v>
      </c>
      <c r="AV4837" t="s">
        <v>71</v>
      </c>
      <c r="AW4837" t="s">
        <v>72</v>
      </c>
      <c r="AX4837" t="s">
        <v>73</v>
      </c>
    </row>
    <row r="4838" spans="1:50" x14ac:dyDescent="0.3">
      <c r="A4838" t="str">
        <f>"200790C0100"</f>
        <v>200790C0100</v>
      </c>
      <c r="B4838" t="str">
        <f>"200790C01002"</f>
        <v>200790C01002</v>
      </c>
      <c r="C4838" t="str">
        <f t="shared" si="243"/>
        <v>20</v>
      </c>
      <c r="D4838" t="s">
        <v>67</v>
      </c>
      <c r="E4838" t="str">
        <f t="shared" si="244"/>
        <v>022</v>
      </c>
      <c r="F4838" t="s">
        <v>4913</v>
      </c>
      <c r="G4838" t="str">
        <f>"0790"</f>
        <v>0790</v>
      </c>
      <c r="H4838" t="str">
        <f>"0001"</f>
        <v>0001</v>
      </c>
      <c r="I4838" t="s">
        <v>75</v>
      </c>
      <c r="J4838">
        <v>0</v>
      </c>
      <c r="K4838">
        <v>1</v>
      </c>
      <c r="L4838">
        <v>2</v>
      </c>
      <c r="M4838">
        <v>501</v>
      </c>
      <c r="N4838">
        <v>134</v>
      </c>
      <c r="O4838">
        <v>1</v>
      </c>
      <c r="P4838">
        <v>134</v>
      </c>
      <c r="Q4838">
        <v>4</v>
      </c>
      <c r="R4838">
        <v>25</v>
      </c>
      <c r="S4838">
        <v>7</v>
      </c>
      <c r="T4838">
        <v>3</v>
      </c>
      <c r="U4838">
        <v>23</v>
      </c>
      <c r="V4838">
        <v>3</v>
      </c>
      <c r="W4838">
        <v>1</v>
      </c>
      <c r="X4838">
        <v>42</v>
      </c>
      <c r="Y4838">
        <v>0</v>
      </c>
      <c r="Z4838">
        <v>1</v>
      </c>
      <c r="AA4838">
        <v>14</v>
      </c>
      <c r="AB4838">
        <v>2</v>
      </c>
      <c r="AD4838">
        <v>0</v>
      </c>
      <c r="AE4838">
        <v>0</v>
      </c>
      <c r="AF4838">
        <v>0</v>
      </c>
      <c r="AG4838">
        <v>0</v>
      </c>
      <c r="AI4838">
        <v>0</v>
      </c>
      <c r="AJ4838">
        <v>9</v>
      </c>
      <c r="AK4838">
        <v>134</v>
      </c>
      <c r="AL4838">
        <v>134</v>
      </c>
      <c r="AM4838">
        <v>591</v>
      </c>
      <c r="AN4838">
        <v>44</v>
      </c>
      <c r="AP4838">
        <v>1</v>
      </c>
      <c r="AR4838" t="s">
        <v>4941</v>
      </c>
      <c r="AS4838" s="1">
        <v>44354.0625</v>
      </c>
      <c r="AT4838" s="1">
        <v>44354.069490740738</v>
      </c>
      <c r="AU4838" s="1">
        <v>44354.070081018515</v>
      </c>
      <c r="AV4838" t="s">
        <v>71</v>
      </c>
      <c r="AW4838" t="s">
        <v>72</v>
      </c>
      <c r="AX4838" t="s">
        <v>73</v>
      </c>
    </row>
    <row r="4839" spans="1:50" x14ac:dyDescent="0.3">
      <c r="A4839" t="str">
        <f>"200790C0200"</f>
        <v>200790C0200</v>
      </c>
      <c r="B4839" t="str">
        <f>"200790C02002"</f>
        <v>200790C02002</v>
      </c>
      <c r="C4839" t="str">
        <f t="shared" si="243"/>
        <v>20</v>
      </c>
      <c r="D4839" t="s">
        <v>67</v>
      </c>
      <c r="E4839" t="str">
        <f t="shared" si="244"/>
        <v>022</v>
      </c>
      <c r="F4839" t="s">
        <v>4913</v>
      </c>
      <c r="G4839" t="str">
        <f>"0790"</f>
        <v>0790</v>
      </c>
      <c r="H4839" t="str">
        <f>"0002"</f>
        <v>0002</v>
      </c>
      <c r="I4839" t="s">
        <v>75</v>
      </c>
      <c r="J4839">
        <v>0</v>
      </c>
      <c r="K4839">
        <v>1</v>
      </c>
      <c r="L4839">
        <v>2</v>
      </c>
      <c r="M4839">
        <v>504</v>
      </c>
      <c r="N4839">
        <v>131</v>
      </c>
      <c r="O4839">
        <v>1</v>
      </c>
      <c r="P4839">
        <v>131</v>
      </c>
      <c r="Q4839">
        <v>7</v>
      </c>
      <c r="R4839">
        <v>18</v>
      </c>
      <c r="S4839">
        <v>8</v>
      </c>
      <c r="T4839">
        <v>2</v>
      </c>
      <c r="U4839">
        <v>22</v>
      </c>
      <c r="V4839">
        <v>0</v>
      </c>
      <c r="W4839">
        <v>1</v>
      </c>
      <c r="X4839">
        <v>50</v>
      </c>
      <c r="Y4839">
        <v>1</v>
      </c>
      <c r="Z4839">
        <v>3</v>
      </c>
      <c r="AA4839">
        <v>9</v>
      </c>
      <c r="AB4839">
        <v>2</v>
      </c>
      <c r="AD4839">
        <v>2</v>
      </c>
      <c r="AE4839">
        <v>0</v>
      </c>
      <c r="AF4839">
        <v>0</v>
      </c>
      <c r="AG4839">
        <v>0</v>
      </c>
      <c r="AI4839">
        <v>0</v>
      </c>
      <c r="AJ4839">
        <v>6</v>
      </c>
      <c r="AK4839">
        <v>131</v>
      </c>
      <c r="AL4839">
        <v>131</v>
      </c>
      <c r="AM4839">
        <v>591</v>
      </c>
      <c r="AN4839">
        <v>44</v>
      </c>
      <c r="AP4839">
        <v>1</v>
      </c>
      <c r="AR4839" t="s">
        <v>4942</v>
      </c>
      <c r="AS4839" s="1">
        <v>44354.0625</v>
      </c>
      <c r="AT4839" s="1">
        <v>44354.070324074077</v>
      </c>
      <c r="AU4839" s="1">
        <v>44354.070787037039</v>
      </c>
      <c r="AV4839" t="s">
        <v>71</v>
      </c>
      <c r="AW4839" t="s">
        <v>72</v>
      </c>
      <c r="AX4839" t="s">
        <v>73</v>
      </c>
    </row>
    <row r="4840" spans="1:50" x14ac:dyDescent="0.3">
      <c r="A4840" t="str">
        <f>"200791B0000"</f>
        <v>200791B0000</v>
      </c>
      <c r="B4840" t="str">
        <f>"200791B00002"</f>
        <v>200791B00002</v>
      </c>
      <c r="C4840" t="str">
        <f t="shared" si="243"/>
        <v>20</v>
      </c>
      <c r="D4840" t="s">
        <v>67</v>
      </c>
      <c r="E4840" t="str">
        <f t="shared" si="244"/>
        <v>022</v>
      </c>
      <c r="F4840" t="s">
        <v>4913</v>
      </c>
      <c r="G4840" t="str">
        <f>"0791"</f>
        <v>0791</v>
      </c>
      <c r="H4840" t="str">
        <f>"0000"</f>
        <v>0000</v>
      </c>
      <c r="I4840" t="s">
        <v>69</v>
      </c>
      <c r="J4840">
        <v>0</v>
      </c>
      <c r="K4840">
        <v>1</v>
      </c>
      <c r="L4840">
        <v>2</v>
      </c>
      <c r="M4840">
        <v>527</v>
      </c>
      <c r="N4840">
        <v>121</v>
      </c>
      <c r="O4840">
        <v>5</v>
      </c>
      <c r="P4840">
        <v>121</v>
      </c>
      <c r="Q4840">
        <v>2</v>
      </c>
      <c r="R4840">
        <v>5</v>
      </c>
      <c r="S4840">
        <v>5</v>
      </c>
      <c r="T4840">
        <v>1</v>
      </c>
      <c r="U4840">
        <v>5</v>
      </c>
      <c r="V4840">
        <v>1</v>
      </c>
      <c r="W4840">
        <v>2</v>
      </c>
      <c r="X4840">
        <v>71</v>
      </c>
      <c r="Y4840">
        <v>0</v>
      </c>
      <c r="Z4840">
        <v>4</v>
      </c>
      <c r="AA4840">
        <v>13</v>
      </c>
      <c r="AB4840">
        <v>2</v>
      </c>
      <c r="AD4840">
        <v>0</v>
      </c>
      <c r="AE4840">
        <v>0</v>
      </c>
      <c r="AF4840">
        <v>1</v>
      </c>
      <c r="AG4840">
        <v>0</v>
      </c>
      <c r="AI4840">
        <v>0</v>
      </c>
      <c r="AJ4840">
        <v>9</v>
      </c>
      <c r="AK4840">
        <v>121</v>
      </c>
      <c r="AL4840">
        <v>121</v>
      </c>
      <c r="AM4840">
        <v>604</v>
      </c>
      <c r="AN4840">
        <v>44</v>
      </c>
      <c r="AP4840">
        <v>1</v>
      </c>
      <c r="AR4840" t="s">
        <v>4943</v>
      </c>
      <c r="AS4840" s="1">
        <v>44354.061805555553</v>
      </c>
      <c r="AT4840" s="1">
        <v>44354.068831018521</v>
      </c>
      <c r="AU4840" s="1">
        <v>44354.06931712963</v>
      </c>
      <c r="AV4840" t="s">
        <v>71</v>
      </c>
      <c r="AW4840" t="s">
        <v>72</v>
      </c>
      <c r="AX4840" t="s">
        <v>73</v>
      </c>
    </row>
    <row r="4841" spans="1:50" x14ac:dyDescent="0.3">
      <c r="A4841" t="str">
        <f>"200791C0100"</f>
        <v>200791C0100</v>
      </c>
      <c r="B4841" t="str">
        <f>"200791C01002"</f>
        <v>200791C01002</v>
      </c>
      <c r="C4841" t="str">
        <f t="shared" si="243"/>
        <v>20</v>
      </c>
      <c r="D4841" t="s">
        <v>67</v>
      </c>
      <c r="E4841" t="str">
        <f t="shared" si="244"/>
        <v>022</v>
      </c>
      <c r="F4841" t="s">
        <v>4913</v>
      </c>
      <c r="G4841" t="str">
        <f>"0791"</f>
        <v>0791</v>
      </c>
      <c r="H4841" t="str">
        <f>"0001"</f>
        <v>0001</v>
      </c>
      <c r="I4841" t="s">
        <v>75</v>
      </c>
      <c r="J4841">
        <v>0</v>
      </c>
      <c r="K4841">
        <v>1</v>
      </c>
      <c r="L4841">
        <v>2</v>
      </c>
      <c r="M4841">
        <v>539</v>
      </c>
      <c r="N4841">
        <v>108</v>
      </c>
      <c r="O4841">
        <v>3</v>
      </c>
      <c r="P4841">
        <v>108</v>
      </c>
      <c r="Q4841">
        <v>1</v>
      </c>
      <c r="R4841" t="s">
        <v>99</v>
      </c>
      <c r="S4841" t="s">
        <v>99</v>
      </c>
      <c r="T4841">
        <v>0</v>
      </c>
      <c r="U4841">
        <v>6</v>
      </c>
      <c r="V4841">
        <v>0</v>
      </c>
      <c r="W4841" t="s">
        <v>99</v>
      </c>
      <c r="X4841">
        <v>76</v>
      </c>
      <c r="Y4841">
        <v>4</v>
      </c>
      <c r="Z4841">
        <v>2</v>
      </c>
      <c r="AA4841">
        <v>6</v>
      </c>
      <c r="AB4841">
        <v>0</v>
      </c>
      <c r="AD4841">
        <v>1</v>
      </c>
      <c r="AE4841">
        <v>1</v>
      </c>
      <c r="AF4841">
        <v>1</v>
      </c>
      <c r="AG4841">
        <v>1</v>
      </c>
      <c r="AI4841">
        <v>0</v>
      </c>
      <c r="AJ4841">
        <v>2</v>
      </c>
      <c r="AK4841" t="s">
        <v>99</v>
      </c>
      <c r="AL4841">
        <v>101</v>
      </c>
      <c r="AM4841">
        <v>603</v>
      </c>
      <c r="AN4841">
        <v>44</v>
      </c>
      <c r="AO4841" t="s">
        <v>78</v>
      </c>
      <c r="AP4841">
        <v>1</v>
      </c>
      <c r="AR4841" t="s">
        <v>4944</v>
      </c>
      <c r="AS4841" s="1">
        <v>44354.068055555559</v>
      </c>
      <c r="AT4841" s="1">
        <v>44354.096759259257</v>
      </c>
      <c r="AU4841" s="1">
        <v>44354.100300925929</v>
      </c>
      <c r="AV4841" t="s">
        <v>71</v>
      </c>
      <c r="AW4841" t="s">
        <v>72</v>
      </c>
      <c r="AX4841" t="s">
        <v>73</v>
      </c>
    </row>
    <row r="4842" spans="1:50" x14ac:dyDescent="0.3">
      <c r="A4842" t="str">
        <f>"200951B0000"</f>
        <v>200951B0000</v>
      </c>
      <c r="B4842" t="str">
        <f>"200951B00002"</f>
        <v>200951B00002</v>
      </c>
      <c r="C4842" t="str">
        <f t="shared" si="243"/>
        <v>20</v>
      </c>
      <c r="D4842" t="s">
        <v>67</v>
      </c>
      <c r="E4842" t="str">
        <f t="shared" si="244"/>
        <v>022</v>
      </c>
      <c r="F4842" t="s">
        <v>4913</v>
      </c>
      <c r="G4842" t="str">
        <f>"0951"</f>
        <v>0951</v>
      </c>
      <c r="H4842" t="str">
        <f>"0000"</f>
        <v>0000</v>
      </c>
      <c r="I4842" t="s">
        <v>69</v>
      </c>
      <c r="J4842">
        <v>0</v>
      </c>
      <c r="K4842">
        <v>1</v>
      </c>
      <c r="L4842">
        <v>2</v>
      </c>
      <c r="M4842">
        <v>125</v>
      </c>
      <c r="N4842">
        <v>214</v>
      </c>
      <c r="O4842">
        <v>0</v>
      </c>
      <c r="P4842" t="s">
        <v>80</v>
      </c>
      <c r="Q4842">
        <v>3</v>
      </c>
      <c r="R4842">
        <v>10</v>
      </c>
      <c r="S4842">
        <v>21</v>
      </c>
      <c r="T4842">
        <v>62</v>
      </c>
      <c r="U4842">
        <v>2</v>
      </c>
      <c r="V4842">
        <v>1</v>
      </c>
      <c r="W4842">
        <v>2</v>
      </c>
      <c r="X4842">
        <v>65</v>
      </c>
      <c r="Y4842">
        <v>92</v>
      </c>
      <c r="Z4842">
        <v>1</v>
      </c>
      <c r="AA4842">
        <v>11</v>
      </c>
      <c r="AB4842">
        <v>29</v>
      </c>
      <c r="AD4842">
        <v>0</v>
      </c>
      <c r="AE4842">
        <v>0</v>
      </c>
      <c r="AF4842">
        <v>0</v>
      </c>
      <c r="AG4842">
        <v>0</v>
      </c>
      <c r="AI4842">
        <v>0</v>
      </c>
      <c r="AJ4842">
        <v>16</v>
      </c>
      <c r="AK4842">
        <v>314</v>
      </c>
      <c r="AL4842">
        <v>315</v>
      </c>
      <c r="AM4842">
        <v>394</v>
      </c>
      <c r="AN4842">
        <v>44</v>
      </c>
      <c r="AP4842">
        <v>1</v>
      </c>
      <c r="AR4842" t="s">
        <v>4945</v>
      </c>
      <c r="AS4842" s="1">
        <v>44353.969444444447</v>
      </c>
      <c r="AT4842" s="1">
        <v>44353.974675925929</v>
      </c>
      <c r="AU4842" s="1">
        <v>44353.97550925926</v>
      </c>
      <c r="AV4842" t="s">
        <v>71</v>
      </c>
      <c r="AW4842" t="s">
        <v>72</v>
      </c>
      <c r="AX4842" t="s">
        <v>73</v>
      </c>
    </row>
    <row r="4843" spans="1:50" x14ac:dyDescent="0.3">
      <c r="A4843" t="str">
        <f>"200951C0100"</f>
        <v>200951C0100</v>
      </c>
      <c r="B4843" t="str">
        <f>"200951C01002"</f>
        <v>200951C01002</v>
      </c>
      <c r="C4843" t="str">
        <f t="shared" si="243"/>
        <v>20</v>
      </c>
      <c r="D4843" t="s">
        <v>67</v>
      </c>
      <c r="E4843" t="str">
        <f t="shared" si="244"/>
        <v>022</v>
      </c>
      <c r="F4843" t="s">
        <v>4913</v>
      </c>
      <c r="G4843" t="str">
        <f>"0951"</f>
        <v>0951</v>
      </c>
      <c r="H4843" t="str">
        <f>"0001"</f>
        <v>0001</v>
      </c>
      <c r="I4843" t="s">
        <v>75</v>
      </c>
      <c r="J4843">
        <v>0</v>
      </c>
      <c r="K4843">
        <v>1</v>
      </c>
      <c r="L4843">
        <v>2</v>
      </c>
      <c r="M4843">
        <v>313</v>
      </c>
      <c r="N4843">
        <v>313</v>
      </c>
      <c r="O4843">
        <v>0</v>
      </c>
      <c r="P4843" t="s">
        <v>80</v>
      </c>
      <c r="Q4843">
        <v>4</v>
      </c>
      <c r="R4843">
        <v>10</v>
      </c>
      <c r="S4843">
        <v>18</v>
      </c>
      <c r="T4843">
        <v>81</v>
      </c>
      <c r="U4843">
        <v>1</v>
      </c>
      <c r="V4843">
        <v>1</v>
      </c>
      <c r="W4843">
        <v>1</v>
      </c>
      <c r="X4843">
        <v>71</v>
      </c>
      <c r="Y4843">
        <v>72</v>
      </c>
      <c r="Z4843">
        <v>1</v>
      </c>
      <c r="AA4843">
        <v>13</v>
      </c>
      <c r="AB4843">
        <v>25</v>
      </c>
      <c r="AD4843">
        <v>0</v>
      </c>
      <c r="AE4843" t="s">
        <v>77</v>
      </c>
      <c r="AF4843" t="s">
        <v>77</v>
      </c>
      <c r="AG4843" t="s">
        <v>77</v>
      </c>
      <c r="AI4843" t="s">
        <v>77</v>
      </c>
      <c r="AJ4843">
        <v>15</v>
      </c>
      <c r="AK4843">
        <v>313</v>
      </c>
      <c r="AL4843">
        <v>313</v>
      </c>
      <c r="AM4843">
        <v>394</v>
      </c>
      <c r="AN4843">
        <v>44</v>
      </c>
      <c r="AO4843" t="s">
        <v>78</v>
      </c>
      <c r="AP4843">
        <v>1</v>
      </c>
      <c r="AR4843" t="s">
        <v>4946</v>
      </c>
      <c r="AS4843" s="1">
        <v>44353.965277777781</v>
      </c>
      <c r="AT4843" s="1">
        <v>44353.968356481484</v>
      </c>
      <c r="AU4843" s="1">
        <v>44353.968958333331</v>
      </c>
      <c r="AV4843" t="s">
        <v>71</v>
      </c>
      <c r="AW4843" t="s">
        <v>72</v>
      </c>
      <c r="AX4843" t="s">
        <v>73</v>
      </c>
    </row>
    <row r="4844" spans="1:50" x14ac:dyDescent="0.3">
      <c r="A4844" t="str">
        <f>"201003B0000"</f>
        <v>201003B0000</v>
      </c>
      <c r="B4844" t="str">
        <f>"201003B00002"</f>
        <v>201003B00002</v>
      </c>
      <c r="C4844" t="str">
        <f t="shared" si="243"/>
        <v>20</v>
      </c>
      <c r="D4844" t="s">
        <v>67</v>
      </c>
      <c r="E4844" t="str">
        <f t="shared" si="244"/>
        <v>022</v>
      </c>
      <c r="F4844" t="s">
        <v>4913</v>
      </c>
      <c r="G4844" t="str">
        <f>"1003"</f>
        <v>1003</v>
      </c>
      <c r="H4844" t="str">
        <f>"0000"</f>
        <v>0000</v>
      </c>
      <c r="I4844" t="s">
        <v>69</v>
      </c>
      <c r="J4844">
        <v>0</v>
      </c>
      <c r="K4844">
        <v>1</v>
      </c>
      <c r="L4844">
        <v>2</v>
      </c>
      <c r="M4844">
        <v>226</v>
      </c>
      <c r="N4844">
        <v>562</v>
      </c>
      <c r="O4844">
        <v>0</v>
      </c>
      <c r="P4844">
        <v>562</v>
      </c>
      <c r="Q4844">
        <v>3</v>
      </c>
      <c r="R4844">
        <v>18</v>
      </c>
      <c r="S4844">
        <v>8</v>
      </c>
      <c r="T4844">
        <v>2</v>
      </c>
      <c r="U4844">
        <v>74</v>
      </c>
      <c r="V4844">
        <v>4</v>
      </c>
      <c r="W4844">
        <v>71</v>
      </c>
      <c r="X4844">
        <v>214</v>
      </c>
      <c r="Y4844">
        <v>1</v>
      </c>
      <c r="Z4844">
        <v>3</v>
      </c>
      <c r="AA4844">
        <v>19</v>
      </c>
      <c r="AB4844">
        <v>113</v>
      </c>
      <c r="AD4844">
        <v>0</v>
      </c>
      <c r="AE4844">
        <v>0</v>
      </c>
      <c r="AF4844">
        <v>0</v>
      </c>
      <c r="AG4844">
        <v>0</v>
      </c>
      <c r="AI4844">
        <v>0</v>
      </c>
      <c r="AJ4844">
        <v>32</v>
      </c>
      <c r="AK4844">
        <v>562</v>
      </c>
      <c r="AL4844">
        <v>562</v>
      </c>
      <c r="AM4844">
        <v>744</v>
      </c>
      <c r="AN4844">
        <v>44</v>
      </c>
      <c r="AP4844">
        <v>1</v>
      </c>
      <c r="AR4844" t="s">
        <v>4947</v>
      </c>
      <c r="AS4844" s="1">
        <v>44354.13958333333</v>
      </c>
      <c r="AT4844" s="1">
        <v>44354.144409722219</v>
      </c>
      <c r="AU4844" s="1">
        <v>44354.145046296297</v>
      </c>
      <c r="AV4844" t="s">
        <v>71</v>
      </c>
      <c r="AW4844" t="s">
        <v>72</v>
      </c>
      <c r="AX4844" t="s">
        <v>73</v>
      </c>
    </row>
    <row r="4845" spans="1:50" x14ac:dyDescent="0.3">
      <c r="A4845" t="str">
        <f>"201004B0000"</f>
        <v>201004B0000</v>
      </c>
      <c r="B4845" t="str">
        <f>"201004B00002"</f>
        <v>201004B00002</v>
      </c>
      <c r="C4845" t="str">
        <f t="shared" si="243"/>
        <v>20</v>
      </c>
      <c r="D4845" t="s">
        <v>67</v>
      </c>
      <c r="E4845" t="str">
        <f t="shared" si="244"/>
        <v>022</v>
      </c>
      <c r="F4845" t="s">
        <v>4913</v>
      </c>
      <c r="G4845" t="str">
        <f>"1004"</f>
        <v>1004</v>
      </c>
      <c r="H4845" t="str">
        <f>"0000"</f>
        <v>0000</v>
      </c>
      <c r="I4845" t="s">
        <v>69</v>
      </c>
      <c r="J4845">
        <v>0</v>
      </c>
      <c r="K4845">
        <v>1</v>
      </c>
      <c r="L4845">
        <v>2</v>
      </c>
      <c r="M4845">
        <v>159</v>
      </c>
      <c r="N4845">
        <v>297</v>
      </c>
      <c r="O4845">
        <v>0</v>
      </c>
      <c r="P4845">
        <v>297</v>
      </c>
      <c r="Q4845">
        <v>4</v>
      </c>
      <c r="R4845">
        <v>10</v>
      </c>
      <c r="S4845">
        <v>2</v>
      </c>
      <c r="T4845">
        <v>3</v>
      </c>
      <c r="U4845">
        <v>26</v>
      </c>
      <c r="V4845">
        <v>1</v>
      </c>
      <c r="W4845">
        <v>63</v>
      </c>
      <c r="X4845">
        <v>106</v>
      </c>
      <c r="Y4845">
        <v>2</v>
      </c>
      <c r="Z4845">
        <v>3</v>
      </c>
      <c r="AA4845">
        <v>7</v>
      </c>
      <c r="AB4845">
        <v>57</v>
      </c>
      <c r="AD4845">
        <v>0</v>
      </c>
      <c r="AE4845">
        <v>0</v>
      </c>
      <c r="AF4845">
        <v>0</v>
      </c>
      <c r="AG4845">
        <v>0</v>
      </c>
      <c r="AI4845">
        <v>0</v>
      </c>
      <c r="AJ4845">
        <v>13</v>
      </c>
      <c r="AK4845">
        <v>297</v>
      </c>
      <c r="AL4845">
        <v>297</v>
      </c>
      <c r="AM4845">
        <v>412</v>
      </c>
      <c r="AN4845">
        <v>44</v>
      </c>
      <c r="AP4845">
        <v>1</v>
      </c>
      <c r="AR4845" t="s">
        <v>4948</v>
      </c>
      <c r="AS4845" s="1">
        <v>44354.13958333333</v>
      </c>
      <c r="AT4845" s="1">
        <v>44354.14340277778</v>
      </c>
      <c r="AU4845" s="1">
        <v>44354.144062500003</v>
      </c>
      <c r="AV4845" t="s">
        <v>71</v>
      </c>
      <c r="AW4845" t="s">
        <v>72</v>
      </c>
      <c r="AX4845" t="s">
        <v>73</v>
      </c>
    </row>
    <row r="4846" spans="1:50" x14ac:dyDescent="0.3">
      <c r="A4846" t="str">
        <f>"201004C0100"</f>
        <v>201004C0100</v>
      </c>
      <c r="B4846" t="str">
        <f>"201004C01002"</f>
        <v>201004C01002</v>
      </c>
      <c r="C4846" t="str">
        <f t="shared" si="243"/>
        <v>20</v>
      </c>
      <c r="D4846" t="s">
        <v>67</v>
      </c>
      <c r="E4846" t="str">
        <f t="shared" si="244"/>
        <v>022</v>
      </c>
      <c r="F4846" t="s">
        <v>4913</v>
      </c>
      <c r="G4846" t="str">
        <f>"1004"</f>
        <v>1004</v>
      </c>
      <c r="H4846" t="str">
        <f>"0001"</f>
        <v>0001</v>
      </c>
      <c r="I4846" t="s">
        <v>75</v>
      </c>
      <c r="J4846">
        <v>0</v>
      </c>
      <c r="K4846">
        <v>1</v>
      </c>
      <c r="L4846">
        <v>2</v>
      </c>
      <c r="M4846">
        <v>162</v>
      </c>
      <c r="N4846">
        <v>294</v>
      </c>
      <c r="O4846">
        <v>0</v>
      </c>
      <c r="P4846">
        <v>294</v>
      </c>
      <c r="Q4846">
        <v>2</v>
      </c>
      <c r="R4846">
        <v>12</v>
      </c>
      <c r="S4846">
        <v>3</v>
      </c>
      <c r="T4846">
        <v>2</v>
      </c>
      <c r="U4846">
        <v>23</v>
      </c>
      <c r="V4846">
        <v>3</v>
      </c>
      <c r="W4846">
        <v>59</v>
      </c>
      <c r="X4846">
        <v>101</v>
      </c>
      <c r="Y4846">
        <v>2</v>
      </c>
      <c r="Z4846">
        <v>3</v>
      </c>
      <c r="AA4846">
        <v>8</v>
      </c>
      <c r="AB4846">
        <v>62</v>
      </c>
      <c r="AD4846">
        <v>0</v>
      </c>
      <c r="AE4846">
        <v>0</v>
      </c>
      <c r="AF4846">
        <v>0</v>
      </c>
      <c r="AG4846">
        <v>0</v>
      </c>
      <c r="AI4846">
        <v>0</v>
      </c>
      <c r="AJ4846">
        <v>14</v>
      </c>
      <c r="AK4846">
        <v>294</v>
      </c>
      <c r="AL4846">
        <v>294</v>
      </c>
      <c r="AM4846">
        <v>412</v>
      </c>
      <c r="AN4846">
        <v>44</v>
      </c>
      <c r="AP4846">
        <v>1</v>
      </c>
      <c r="AR4846" t="s">
        <v>4949</v>
      </c>
      <c r="AS4846" s="1">
        <v>44354.145833333336</v>
      </c>
      <c r="AT4846" s="1">
        <v>44354.150127314817</v>
      </c>
      <c r="AU4846" s="1">
        <v>44354.150682870371</v>
      </c>
      <c r="AV4846" t="s">
        <v>71</v>
      </c>
      <c r="AW4846" t="s">
        <v>72</v>
      </c>
      <c r="AX4846" t="s">
        <v>73</v>
      </c>
    </row>
    <row r="4847" spans="1:50" x14ac:dyDescent="0.3">
      <c r="A4847" t="str">
        <f>"201004E0100"</f>
        <v>201004E0100</v>
      </c>
      <c r="B4847" t="str">
        <f>"201004E01002"</f>
        <v>201004E01002</v>
      </c>
      <c r="C4847" t="str">
        <f t="shared" si="243"/>
        <v>20</v>
      </c>
      <c r="D4847" t="s">
        <v>67</v>
      </c>
      <c r="E4847" t="str">
        <f t="shared" si="244"/>
        <v>022</v>
      </c>
      <c r="F4847" t="s">
        <v>4913</v>
      </c>
      <c r="G4847" t="str">
        <f>"1004"</f>
        <v>1004</v>
      </c>
      <c r="H4847" t="str">
        <f>"0001"</f>
        <v>0001</v>
      </c>
      <c r="I4847" t="s">
        <v>109</v>
      </c>
      <c r="J4847">
        <v>0</v>
      </c>
      <c r="K4847">
        <v>1</v>
      </c>
      <c r="L4847">
        <v>2</v>
      </c>
      <c r="M4847">
        <v>112</v>
      </c>
      <c r="N4847">
        <v>248</v>
      </c>
      <c r="O4847">
        <v>0</v>
      </c>
      <c r="P4847">
        <v>248</v>
      </c>
      <c r="Q4847">
        <v>1</v>
      </c>
      <c r="R4847">
        <v>15</v>
      </c>
      <c r="S4847">
        <v>2</v>
      </c>
      <c r="T4847">
        <v>0</v>
      </c>
      <c r="U4847">
        <v>12</v>
      </c>
      <c r="V4847">
        <v>2</v>
      </c>
      <c r="W4847">
        <v>23</v>
      </c>
      <c r="X4847">
        <v>137</v>
      </c>
      <c r="Y4847">
        <v>0</v>
      </c>
      <c r="Z4847">
        <v>1</v>
      </c>
      <c r="AA4847">
        <v>1</v>
      </c>
      <c r="AB4847">
        <v>44</v>
      </c>
      <c r="AD4847">
        <v>0</v>
      </c>
      <c r="AE4847">
        <v>0</v>
      </c>
      <c r="AF4847">
        <v>0</v>
      </c>
      <c r="AG4847">
        <v>0</v>
      </c>
      <c r="AI4847">
        <v>0</v>
      </c>
      <c r="AJ4847">
        <v>0</v>
      </c>
      <c r="AK4847">
        <v>248</v>
      </c>
      <c r="AL4847">
        <v>238</v>
      </c>
      <c r="AM4847">
        <v>316</v>
      </c>
      <c r="AN4847">
        <v>44</v>
      </c>
      <c r="AP4847">
        <v>1</v>
      </c>
      <c r="AR4847" t="s">
        <v>4950</v>
      </c>
      <c r="AS4847" s="1">
        <v>44354.143750000003</v>
      </c>
      <c r="AT4847" s="1">
        <v>44354.147812499999</v>
      </c>
      <c r="AU4847" s="1">
        <v>44354.1484375</v>
      </c>
      <c r="AV4847" t="s">
        <v>71</v>
      </c>
      <c r="AW4847" t="s">
        <v>72</v>
      </c>
      <c r="AX4847" t="s">
        <v>73</v>
      </c>
    </row>
    <row r="4848" spans="1:50" x14ac:dyDescent="0.3">
      <c r="A4848" t="str">
        <f>"201112B0000"</f>
        <v>201112B0000</v>
      </c>
      <c r="B4848" t="str">
        <f>"201112B00002"</f>
        <v>201112B00002</v>
      </c>
      <c r="C4848" t="str">
        <f t="shared" si="243"/>
        <v>20</v>
      </c>
      <c r="D4848" t="s">
        <v>67</v>
      </c>
      <c r="E4848" t="str">
        <f t="shared" si="244"/>
        <v>022</v>
      </c>
      <c r="F4848" t="s">
        <v>4913</v>
      </c>
      <c r="G4848" t="str">
        <f>"1112"</f>
        <v>1112</v>
      </c>
      <c r="H4848" t="str">
        <f>"0000"</f>
        <v>0000</v>
      </c>
      <c r="I4848" t="s">
        <v>69</v>
      </c>
      <c r="J4848">
        <v>0</v>
      </c>
      <c r="K4848">
        <v>1</v>
      </c>
      <c r="L4848">
        <v>2</v>
      </c>
      <c r="M4848">
        <v>183</v>
      </c>
      <c r="N4848">
        <v>572</v>
      </c>
      <c r="O4848">
        <v>10</v>
      </c>
      <c r="P4848">
        <v>573</v>
      </c>
      <c r="Q4848">
        <v>113</v>
      </c>
      <c r="R4848">
        <v>71</v>
      </c>
      <c r="S4848">
        <v>127</v>
      </c>
      <c r="T4848">
        <v>1</v>
      </c>
      <c r="U4848">
        <v>6</v>
      </c>
      <c r="V4848">
        <v>2</v>
      </c>
      <c r="W4848">
        <v>1</v>
      </c>
      <c r="X4848">
        <v>64</v>
      </c>
      <c r="Y4848">
        <v>142</v>
      </c>
      <c r="Z4848">
        <v>2</v>
      </c>
      <c r="AA4848">
        <v>7</v>
      </c>
      <c r="AB4848">
        <v>10</v>
      </c>
      <c r="AD4848">
        <v>0</v>
      </c>
      <c r="AE4848">
        <v>1</v>
      </c>
      <c r="AF4848">
        <v>1</v>
      </c>
      <c r="AG4848">
        <v>0</v>
      </c>
      <c r="AI4848">
        <v>0</v>
      </c>
      <c r="AJ4848">
        <v>25</v>
      </c>
      <c r="AK4848">
        <v>573</v>
      </c>
      <c r="AL4848">
        <v>573</v>
      </c>
      <c r="AM4848">
        <v>713</v>
      </c>
      <c r="AN4848">
        <v>44</v>
      </c>
      <c r="AP4848">
        <v>1</v>
      </c>
      <c r="AR4848" t="s">
        <v>4951</v>
      </c>
      <c r="AS4848" s="1">
        <v>44354.236111111109</v>
      </c>
      <c r="AT4848" s="1">
        <v>44354.241666666669</v>
      </c>
      <c r="AU4848" s="1">
        <v>44354.242905092593</v>
      </c>
      <c r="AV4848" t="s">
        <v>71</v>
      </c>
      <c r="AW4848" t="s">
        <v>72</v>
      </c>
      <c r="AX4848" t="s">
        <v>73</v>
      </c>
    </row>
    <row r="4849" spans="1:50" x14ac:dyDescent="0.3">
      <c r="A4849" t="str">
        <f>"201112C0100"</f>
        <v>201112C0100</v>
      </c>
      <c r="B4849" t="str">
        <f>"201112C01002"</f>
        <v>201112C01002</v>
      </c>
      <c r="C4849" t="str">
        <f t="shared" si="243"/>
        <v>20</v>
      </c>
      <c r="D4849" t="s">
        <v>67</v>
      </c>
      <c r="E4849" t="str">
        <f t="shared" si="244"/>
        <v>022</v>
      </c>
      <c r="F4849" t="s">
        <v>4913</v>
      </c>
      <c r="G4849" t="str">
        <f>"1112"</f>
        <v>1112</v>
      </c>
      <c r="H4849" t="str">
        <f>"0001"</f>
        <v>0001</v>
      </c>
      <c r="I4849" t="s">
        <v>75</v>
      </c>
      <c r="J4849">
        <v>0</v>
      </c>
      <c r="K4849">
        <v>1</v>
      </c>
      <c r="L4849">
        <v>2</v>
      </c>
      <c r="M4849">
        <v>166</v>
      </c>
      <c r="N4849">
        <v>589</v>
      </c>
      <c r="O4849">
        <v>6</v>
      </c>
      <c r="P4849">
        <v>589</v>
      </c>
      <c r="Q4849">
        <v>132</v>
      </c>
      <c r="R4849">
        <v>73</v>
      </c>
      <c r="S4849">
        <v>101</v>
      </c>
      <c r="T4849">
        <v>8</v>
      </c>
      <c r="U4849">
        <v>6</v>
      </c>
      <c r="V4849">
        <v>0</v>
      </c>
      <c r="W4849">
        <v>0</v>
      </c>
      <c r="X4849">
        <v>70</v>
      </c>
      <c r="Y4849">
        <v>168</v>
      </c>
      <c r="Z4849">
        <v>1</v>
      </c>
      <c r="AA4849">
        <v>6</v>
      </c>
      <c r="AB4849">
        <v>6</v>
      </c>
      <c r="AD4849">
        <v>1</v>
      </c>
      <c r="AE4849">
        <v>0</v>
      </c>
      <c r="AF4849">
        <v>0</v>
      </c>
      <c r="AG4849">
        <v>0</v>
      </c>
      <c r="AI4849">
        <v>0</v>
      </c>
      <c r="AJ4849">
        <v>17</v>
      </c>
      <c r="AK4849">
        <v>589</v>
      </c>
      <c r="AL4849">
        <v>589</v>
      </c>
      <c r="AM4849">
        <v>712</v>
      </c>
      <c r="AN4849">
        <v>44</v>
      </c>
      <c r="AP4849">
        <v>1</v>
      </c>
      <c r="AR4849" t="s">
        <v>4952</v>
      </c>
      <c r="AS4849" s="1">
        <v>44354.236111111109</v>
      </c>
      <c r="AT4849" s="1">
        <v>44354.238842592589</v>
      </c>
      <c r="AU4849" s="1">
        <v>44354.239305555559</v>
      </c>
      <c r="AV4849" t="s">
        <v>71</v>
      </c>
      <c r="AW4849" t="s">
        <v>72</v>
      </c>
      <c r="AX4849" t="s">
        <v>73</v>
      </c>
    </row>
    <row r="4850" spans="1:50" x14ac:dyDescent="0.3">
      <c r="A4850" t="str">
        <f>"201112E0100"</f>
        <v>201112E0100</v>
      </c>
      <c r="B4850" t="str">
        <f>"201112E01002"</f>
        <v>201112E01002</v>
      </c>
      <c r="C4850" t="str">
        <f t="shared" si="243"/>
        <v>20</v>
      </c>
      <c r="D4850" t="s">
        <v>67</v>
      </c>
      <c r="E4850" t="str">
        <f t="shared" si="244"/>
        <v>022</v>
      </c>
      <c r="F4850" t="s">
        <v>4913</v>
      </c>
      <c r="G4850" t="str">
        <f>"1112"</f>
        <v>1112</v>
      </c>
      <c r="H4850" t="str">
        <f>"0001"</f>
        <v>0001</v>
      </c>
      <c r="I4850" t="s">
        <v>109</v>
      </c>
      <c r="J4850">
        <v>0</v>
      </c>
      <c r="K4850">
        <v>1</v>
      </c>
      <c r="L4850">
        <v>2</v>
      </c>
      <c r="M4850">
        <v>142</v>
      </c>
      <c r="N4850">
        <v>371</v>
      </c>
      <c r="O4850">
        <v>13</v>
      </c>
      <c r="P4850">
        <v>371</v>
      </c>
      <c r="Q4850">
        <v>59</v>
      </c>
      <c r="R4850">
        <v>24</v>
      </c>
      <c r="S4850">
        <v>65</v>
      </c>
      <c r="T4850">
        <v>4</v>
      </c>
      <c r="U4850">
        <v>14</v>
      </c>
      <c r="V4850">
        <v>0</v>
      </c>
      <c r="W4850">
        <v>2</v>
      </c>
      <c r="X4850">
        <v>121</v>
      </c>
      <c r="Y4850">
        <v>65</v>
      </c>
      <c r="Z4850">
        <v>0</v>
      </c>
      <c r="AA4850">
        <v>1</v>
      </c>
      <c r="AB4850">
        <v>3</v>
      </c>
      <c r="AD4850">
        <v>0</v>
      </c>
      <c r="AE4850">
        <v>0</v>
      </c>
      <c r="AF4850">
        <v>1</v>
      </c>
      <c r="AG4850">
        <v>1</v>
      </c>
      <c r="AI4850">
        <v>0</v>
      </c>
      <c r="AJ4850">
        <v>11</v>
      </c>
      <c r="AK4850">
        <v>371</v>
      </c>
      <c r="AL4850">
        <v>371</v>
      </c>
      <c r="AM4850">
        <v>469</v>
      </c>
      <c r="AN4850">
        <v>44</v>
      </c>
      <c r="AP4850">
        <v>1</v>
      </c>
      <c r="AR4850" t="s">
        <v>4953</v>
      </c>
      <c r="AS4850" s="1">
        <v>44354.236111111109</v>
      </c>
      <c r="AT4850" s="1">
        <v>44354.240185185183</v>
      </c>
      <c r="AU4850" s="1">
        <v>44354.240659722222</v>
      </c>
      <c r="AV4850" t="s">
        <v>71</v>
      </c>
      <c r="AW4850" t="s">
        <v>72</v>
      </c>
      <c r="AX4850" t="s">
        <v>73</v>
      </c>
    </row>
    <row r="4851" spans="1:50" x14ac:dyDescent="0.3">
      <c r="A4851" t="str">
        <f>"201113B0000"</f>
        <v>201113B0000</v>
      </c>
      <c r="B4851" t="str">
        <f>"201113B00002"</f>
        <v>201113B00002</v>
      </c>
      <c r="C4851" t="str">
        <f t="shared" si="243"/>
        <v>20</v>
      </c>
      <c r="D4851" t="s">
        <v>67</v>
      </c>
      <c r="E4851" t="str">
        <f t="shared" si="244"/>
        <v>022</v>
      </c>
      <c r="F4851" t="s">
        <v>4913</v>
      </c>
      <c r="G4851" t="str">
        <f>"1113"</f>
        <v>1113</v>
      </c>
      <c r="H4851" t="str">
        <f>"0000"</f>
        <v>0000</v>
      </c>
      <c r="I4851" t="s">
        <v>69</v>
      </c>
      <c r="J4851">
        <v>0</v>
      </c>
      <c r="K4851">
        <v>1</v>
      </c>
      <c r="L4851">
        <v>2</v>
      </c>
      <c r="M4851">
        <v>162</v>
      </c>
      <c r="N4851">
        <v>506</v>
      </c>
      <c r="O4851">
        <v>0</v>
      </c>
      <c r="P4851">
        <v>506</v>
      </c>
      <c r="Q4851">
        <v>93</v>
      </c>
      <c r="R4851">
        <v>53</v>
      </c>
      <c r="S4851">
        <v>87</v>
      </c>
      <c r="T4851">
        <v>4</v>
      </c>
      <c r="U4851">
        <v>15</v>
      </c>
      <c r="V4851">
        <v>1</v>
      </c>
      <c r="W4851">
        <v>1</v>
      </c>
      <c r="X4851">
        <v>83</v>
      </c>
      <c r="Y4851">
        <v>118</v>
      </c>
      <c r="Z4851">
        <v>0</v>
      </c>
      <c r="AA4851">
        <v>8</v>
      </c>
      <c r="AB4851">
        <v>19</v>
      </c>
      <c r="AD4851">
        <v>0</v>
      </c>
      <c r="AE4851">
        <v>0</v>
      </c>
      <c r="AF4851">
        <v>1</v>
      </c>
      <c r="AG4851">
        <v>0</v>
      </c>
      <c r="AI4851">
        <v>0</v>
      </c>
      <c r="AJ4851">
        <v>23</v>
      </c>
      <c r="AK4851">
        <v>506</v>
      </c>
      <c r="AL4851">
        <v>506</v>
      </c>
      <c r="AM4851">
        <v>624</v>
      </c>
      <c r="AN4851">
        <v>44</v>
      </c>
      <c r="AP4851">
        <v>1</v>
      </c>
      <c r="AR4851" t="s">
        <v>4954</v>
      </c>
      <c r="AS4851" s="1">
        <v>44354.231944444444</v>
      </c>
      <c r="AT4851" s="1">
        <v>44354.240844907406</v>
      </c>
      <c r="AU4851" s="1">
        <v>44354.241863425923</v>
      </c>
      <c r="AV4851" t="s">
        <v>71</v>
      </c>
      <c r="AW4851" t="s">
        <v>72</v>
      </c>
      <c r="AX4851" t="s">
        <v>73</v>
      </c>
    </row>
    <row r="4852" spans="1:50" x14ac:dyDescent="0.3">
      <c r="A4852" t="str">
        <f>"201113C0100"</f>
        <v>201113C0100</v>
      </c>
      <c r="B4852" t="str">
        <f>"201113C01002"</f>
        <v>201113C01002</v>
      </c>
      <c r="C4852" t="str">
        <f t="shared" si="243"/>
        <v>20</v>
      </c>
      <c r="D4852" t="s">
        <v>67</v>
      </c>
      <c r="E4852" t="str">
        <f t="shared" si="244"/>
        <v>022</v>
      </c>
      <c r="F4852" t="s">
        <v>4913</v>
      </c>
      <c r="G4852" t="str">
        <f>"1113"</f>
        <v>1113</v>
      </c>
      <c r="H4852" t="str">
        <f>"0001"</f>
        <v>0001</v>
      </c>
      <c r="I4852" t="s">
        <v>75</v>
      </c>
      <c r="J4852">
        <v>0</v>
      </c>
      <c r="K4852">
        <v>1</v>
      </c>
      <c r="L4852">
        <v>2</v>
      </c>
      <c r="M4852">
        <v>162</v>
      </c>
      <c r="N4852">
        <v>506</v>
      </c>
      <c r="O4852">
        <v>0</v>
      </c>
      <c r="P4852">
        <v>506</v>
      </c>
      <c r="Q4852">
        <v>123</v>
      </c>
      <c r="R4852">
        <v>63</v>
      </c>
      <c r="S4852">
        <v>75</v>
      </c>
      <c r="T4852">
        <v>5</v>
      </c>
      <c r="U4852">
        <v>10</v>
      </c>
      <c r="V4852">
        <v>2</v>
      </c>
      <c r="W4852">
        <v>2</v>
      </c>
      <c r="X4852">
        <v>56</v>
      </c>
      <c r="Y4852">
        <v>118</v>
      </c>
      <c r="Z4852">
        <v>3</v>
      </c>
      <c r="AA4852">
        <v>11</v>
      </c>
      <c r="AB4852">
        <v>22</v>
      </c>
      <c r="AD4852">
        <v>0</v>
      </c>
      <c r="AE4852">
        <v>1</v>
      </c>
      <c r="AF4852">
        <v>0</v>
      </c>
      <c r="AG4852">
        <v>0</v>
      </c>
      <c r="AI4852" t="s">
        <v>77</v>
      </c>
      <c r="AJ4852">
        <v>15</v>
      </c>
      <c r="AK4852">
        <v>506</v>
      </c>
      <c r="AL4852">
        <v>506</v>
      </c>
      <c r="AM4852">
        <v>624</v>
      </c>
      <c r="AN4852">
        <v>44</v>
      </c>
      <c r="AO4852" t="s">
        <v>78</v>
      </c>
      <c r="AP4852">
        <v>1</v>
      </c>
      <c r="AR4852" t="s">
        <v>4955</v>
      </c>
      <c r="AS4852" s="1">
        <v>44354.226388888892</v>
      </c>
      <c r="AT4852" s="1">
        <v>44354.233680555553</v>
      </c>
      <c r="AU4852" s="1">
        <v>44354.234467592592</v>
      </c>
      <c r="AV4852" t="s">
        <v>71</v>
      </c>
      <c r="AW4852" t="s">
        <v>72</v>
      </c>
      <c r="AX4852" t="s">
        <v>73</v>
      </c>
    </row>
    <row r="4853" spans="1:50" x14ac:dyDescent="0.3">
      <c r="A4853" t="str">
        <f>"201114B0000"</f>
        <v>201114B0000</v>
      </c>
      <c r="B4853" t="str">
        <f>"201114B00002"</f>
        <v>201114B00002</v>
      </c>
      <c r="C4853" t="str">
        <f t="shared" si="243"/>
        <v>20</v>
      </c>
      <c r="D4853" t="s">
        <v>67</v>
      </c>
      <c r="E4853" t="str">
        <f t="shared" si="244"/>
        <v>022</v>
      </c>
      <c r="F4853" t="s">
        <v>4913</v>
      </c>
      <c r="G4853" t="str">
        <f>"1114"</f>
        <v>1114</v>
      </c>
      <c r="H4853" t="str">
        <f>"0000"</f>
        <v>0000</v>
      </c>
      <c r="I4853" t="s">
        <v>69</v>
      </c>
      <c r="J4853">
        <v>0</v>
      </c>
      <c r="K4853">
        <v>1</v>
      </c>
      <c r="L4853">
        <v>2</v>
      </c>
      <c r="M4853">
        <v>167</v>
      </c>
      <c r="N4853">
        <v>530</v>
      </c>
      <c r="O4853">
        <v>9</v>
      </c>
      <c r="P4853">
        <v>530</v>
      </c>
      <c r="Q4853">
        <v>126</v>
      </c>
      <c r="R4853">
        <v>85</v>
      </c>
      <c r="S4853">
        <v>69</v>
      </c>
      <c r="T4853">
        <v>5</v>
      </c>
      <c r="U4853">
        <v>12</v>
      </c>
      <c r="V4853">
        <v>1</v>
      </c>
      <c r="W4853">
        <v>1</v>
      </c>
      <c r="X4853">
        <v>55</v>
      </c>
      <c r="Y4853">
        <v>138</v>
      </c>
      <c r="Z4853">
        <v>2</v>
      </c>
      <c r="AA4853">
        <v>9</v>
      </c>
      <c r="AB4853">
        <v>11</v>
      </c>
      <c r="AD4853">
        <v>0</v>
      </c>
      <c r="AE4853">
        <v>0</v>
      </c>
      <c r="AF4853">
        <v>0</v>
      </c>
      <c r="AG4853">
        <v>0</v>
      </c>
      <c r="AI4853">
        <v>0</v>
      </c>
      <c r="AJ4853">
        <v>16</v>
      </c>
      <c r="AK4853">
        <v>530</v>
      </c>
      <c r="AL4853">
        <v>530</v>
      </c>
      <c r="AM4853">
        <v>653</v>
      </c>
      <c r="AN4853">
        <v>44</v>
      </c>
      <c r="AP4853">
        <v>1</v>
      </c>
      <c r="AR4853" t="s">
        <v>4956</v>
      </c>
      <c r="AS4853" s="1">
        <v>44354.226388888892</v>
      </c>
      <c r="AT4853" s="1">
        <v>44354.228877314818</v>
      </c>
      <c r="AU4853" s="1">
        <v>44354.229548611111</v>
      </c>
      <c r="AV4853" t="s">
        <v>71</v>
      </c>
      <c r="AW4853" t="s">
        <v>72</v>
      </c>
      <c r="AX4853" t="s">
        <v>73</v>
      </c>
    </row>
    <row r="4854" spans="1:50" x14ac:dyDescent="0.3">
      <c r="A4854" t="str">
        <f>"201114C0100"</f>
        <v>201114C0100</v>
      </c>
      <c r="B4854" t="str">
        <f>"201114C01002"</f>
        <v>201114C01002</v>
      </c>
      <c r="C4854" t="str">
        <f t="shared" si="243"/>
        <v>20</v>
      </c>
      <c r="D4854" t="s">
        <v>67</v>
      </c>
      <c r="E4854" t="str">
        <f t="shared" si="244"/>
        <v>022</v>
      </c>
      <c r="F4854" t="s">
        <v>4913</v>
      </c>
      <c r="G4854" t="str">
        <f>"1114"</f>
        <v>1114</v>
      </c>
      <c r="H4854" t="str">
        <f>"0001"</f>
        <v>0001</v>
      </c>
      <c r="I4854" t="s">
        <v>75</v>
      </c>
      <c r="J4854">
        <v>0</v>
      </c>
      <c r="K4854">
        <v>1</v>
      </c>
      <c r="L4854">
        <v>2</v>
      </c>
      <c r="M4854">
        <v>149</v>
      </c>
      <c r="N4854">
        <v>547</v>
      </c>
      <c r="O4854">
        <v>2</v>
      </c>
      <c r="P4854">
        <v>548</v>
      </c>
      <c r="Q4854">
        <v>144</v>
      </c>
      <c r="R4854">
        <v>76</v>
      </c>
      <c r="S4854">
        <v>71</v>
      </c>
      <c r="T4854">
        <v>6</v>
      </c>
      <c r="U4854">
        <v>6</v>
      </c>
      <c r="V4854">
        <v>7</v>
      </c>
      <c r="W4854">
        <v>2</v>
      </c>
      <c r="X4854">
        <v>43</v>
      </c>
      <c r="Y4854">
        <v>136</v>
      </c>
      <c r="Z4854">
        <v>3</v>
      </c>
      <c r="AA4854">
        <v>14</v>
      </c>
      <c r="AB4854">
        <v>11</v>
      </c>
      <c r="AD4854">
        <v>0</v>
      </c>
      <c r="AE4854">
        <v>1</v>
      </c>
      <c r="AF4854">
        <v>0</v>
      </c>
      <c r="AG4854">
        <v>0</v>
      </c>
      <c r="AI4854">
        <v>0</v>
      </c>
      <c r="AJ4854">
        <v>28</v>
      </c>
      <c r="AK4854">
        <v>548</v>
      </c>
      <c r="AL4854">
        <v>548</v>
      </c>
      <c r="AM4854">
        <v>653</v>
      </c>
      <c r="AN4854">
        <v>44</v>
      </c>
      <c r="AP4854">
        <v>1</v>
      </c>
      <c r="AR4854" t="s">
        <v>4957</v>
      </c>
      <c r="AS4854" s="1">
        <v>44354.230555555558</v>
      </c>
      <c r="AT4854" s="1">
        <v>44354.236215277779</v>
      </c>
      <c r="AU4854" s="1">
        <v>44354.236944444441</v>
      </c>
      <c r="AV4854" t="s">
        <v>71</v>
      </c>
      <c r="AW4854" t="s">
        <v>72</v>
      </c>
      <c r="AX4854" t="s">
        <v>73</v>
      </c>
    </row>
    <row r="4855" spans="1:50" x14ac:dyDescent="0.3">
      <c r="A4855" t="str">
        <f>"201115B0000"</f>
        <v>201115B0000</v>
      </c>
      <c r="B4855" t="str">
        <f>"201115B00002"</f>
        <v>201115B00002</v>
      </c>
      <c r="C4855" t="str">
        <f t="shared" si="243"/>
        <v>20</v>
      </c>
      <c r="D4855" t="s">
        <v>67</v>
      </c>
      <c r="E4855" t="str">
        <f t="shared" si="244"/>
        <v>022</v>
      </c>
      <c r="F4855" t="s">
        <v>4913</v>
      </c>
      <c r="G4855" t="str">
        <f>"1115"</f>
        <v>1115</v>
      </c>
      <c r="H4855" t="str">
        <f>"0000"</f>
        <v>0000</v>
      </c>
      <c r="I4855" t="s">
        <v>69</v>
      </c>
      <c r="J4855">
        <v>0</v>
      </c>
      <c r="K4855">
        <v>1</v>
      </c>
      <c r="L4855">
        <v>2</v>
      </c>
      <c r="M4855">
        <v>145</v>
      </c>
      <c r="N4855">
        <v>300</v>
      </c>
      <c r="O4855">
        <v>2</v>
      </c>
      <c r="P4855" t="s">
        <v>80</v>
      </c>
      <c r="Q4855">
        <v>34</v>
      </c>
      <c r="R4855">
        <v>32</v>
      </c>
      <c r="S4855">
        <v>37</v>
      </c>
      <c r="T4855">
        <v>3</v>
      </c>
      <c r="U4855">
        <v>6</v>
      </c>
      <c r="V4855">
        <v>1</v>
      </c>
      <c r="W4855">
        <v>3</v>
      </c>
      <c r="X4855">
        <v>68</v>
      </c>
      <c r="Y4855">
        <v>85</v>
      </c>
      <c r="Z4855">
        <v>14</v>
      </c>
      <c r="AA4855">
        <v>14</v>
      </c>
      <c r="AB4855">
        <v>1</v>
      </c>
      <c r="AD4855" t="s">
        <v>77</v>
      </c>
      <c r="AE4855" t="s">
        <v>77</v>
      </c>
      <c r="AF4855" t="s">
        <v>77</v>
      </c>
      <c r="AG4855" t="s">
        <v>77</v>
      </c>
      <c r="AI4855" t="s">
        <v>99</v>
      </c>
      <c r="AJ4855">
        <v>16</v>
      </c>
      <c r="AK4855">
        <v>300</v>
      </c>
      <c r="AL4855">
        <v>314</v>
      </c>
      <c r="AM4855">
        <v>401</v>
      </c>
      <c r="AN4855">
        <v>44</v>
      </c>
      <c r="AO4855" t="s">
        <v>78</v>
      </c>
      <c r="AP4855">
        <v>1</v>
      </c>
      <c r="AR4855" t="s">
        <v>4958</v>
      </c>
      <c r="AS4855" s="1">
        <v>44354.23541666667</v>
      </c>
      <c r="AT4855" s="1">
        <v>44354.245034722226</v>
      </c>
      <c r="AU4855" s="1">
        <v>44354.245474537034</v>
      </c>
      <c r="AV4855" t="s">
        <v>71</v>
      </c>
      <c r="AW4855" t="s">
        <v>72</v>
      </c>
      <c r="AX4855" t="s">
        <v>73</v>
      </c>
    </row>
    <row r="4856" spans="1:50" x14ac:dyDescent="0.3">
      <c r="A4856" t="str">
        <f>"201115C0100"</f>
        <v>201115C0100</v>
      </c>
      <c r="B4856" t="str">
        <f>"201115C01002"</f>
        <v>201115C01002</v>
      </c>
      <c r="C4856" t="str">
        <f t="shared" si="243"/>
        <v>20</v>
      </c>
      <c r="D4856" t="s">
        <v>67</v>
      </c>
      <c r="E4856" t="str">
        <f t="shared" si="244"/>
        <v>022</v>
      </c>
      <c r="F4856" t="s">
        <v>4913</v>
      </c>
      <c r="G4856" t="str">
        <f>"1115"</f>
        <v>1115</v>
      </c>
      <c r="H4856" t="str">
        <f>"0001"</f>
        <v>0001</v>
      </c>
      <c r="I4856" t="s">
        <v>75</v>
      </c>
      <c r="J4856">
        <v>0</v>
      </c>
      <c r="K4856">
        <v>1</v>
      </c>
      <c r="L4856">
        <v>2</v>
      </c>
      <c r="M4856">
        <v>137</v>
      </c>
      <c r="N4856">
        <v>307</v>
      </c>
      <c r="O4856">
        <v>0</v>
      </c>
      <c r="P4856">
        <v>307</v>
      </c>
      <c r="Q4856">
        <v>27</v>
      </c>
      <c r="R4856">
        <v>36</v>
      </c>
      <c r="S4856">
        <v>48</v>
      </c>
      <c r="T4856">
        <v>5</v>
      </c>
      <c r="U4856">
        <v>7</v>
      </c>
      <c r="V4856">
        <v>1</v>
      </c>
      <c r="W4856">
        <v>2</v>
      </c>
      <c r="X4856">
        <v>63</v>
      </c>
      <c r="Y4856">
        <v>91</v>
      </c>
      <c r="Z4856">
        <v>2</v>
      </c>
      <c r="AA4856">
        <v>13</v>
      </c>
      <c r="AB4856">
        <v>3</v>
      </c>
      <c r="AD4856" t="s">
        <v>77</v>
      </c>
      <c r="AE4856" t="s">
        <v>77</v>
      </c>
      <c r="AF4856" t="s">
        <v>77</v>
      </c>
      <c r="AG4856" t="s">
        <v>77</v>
      </c>
      <c r="AI4856" t="s">
        <v>77</v>
      </c>
      <c r="AJ4856">
        <v>9</v>
      </c>
      <c r="AK4856">
        <v>307</v>
      </c>
      <c r="AL4856">
        <v>307</v>
      </c>
      <c r="AM4856">
        <v>400</v>
      </c>
      <c r="AN4856">
        <v>44</v>
      </c>
      <c r="AO4856" t="s">
        <v>78</v>
      </c>
      <c r="AP4856">
        <v>1</v>
      </c>
      <c r="AR4856" t="s">
        <v>4959</v>
      </c>
      <c r="AS4856" s="1">
        <v>44354.234027777777</v>
      </c>
      <c r="AT4856" s="1">
        <v>44354.243738425925</v>
      </c>
      <c r="AU4856" s="1">
        <v>44354.244606481479</v>
      </c>
      <c r="AV4856" t="s">
        <v>71</v>
      </c>
      <c r="AW4856" t="s">
        <v>72</v>
      </c>
      <c r="AX4856" t="s">
        <v>73</v>
      </c>
    </row>
    <row r="4857" spans="1:50" x14ac:dyDescent="0.3">
      <c r="A4857" t="str">
        <f>"201115E0100"</f>
        <v>201115E0100</v>
      </c>
      <c r="B4857" t="str">
        <f>"201115E01002"</f>
        <v>201115E01002</v>
      </c>
      <c r="C4857" t="str">
        <f t="shared" si="243"/>
        <v>20</v>
      </c>
      <c r="D4857" t="s">
        <v>67</v>
      </c>
      <c r="E4857" t="str">
        <f t="shared" si="244"/>
        <v>022</v>
      </c>
      <c r="F4857" t="s">
        <v>4913</v>
      </c>
      <c r="G4857" t="str">
        <f>"1115"</f>
        <v>1115</v>
      </c>
      <c r="H4857" t="str">
        <f>"0001"</f>
        <v>0001</v>
      </c>
      <c r="I4857" t="s">
        <v>109</v>
      </c>
      <c r="J4857">
        <v>0</v>
      </c>
      <c r="K4857">
        <v>1</v>
      </c>
      <c r="L4857">
        <v>2</v>
      </c>
      <c r="M4857">
        <v>258</v>
      </c>
      <c r="N4857">
        <v>386</v>
      </c>
      <c r="O4857">
        <v>5</v>
      </c>
      <c r="P4857">
        <v>386</v>
      </c>
      <c r="Q4857">
        <v>107</v>
      </c>
      <c r="R4857">
        <v>14</v>
      </c>
      <c r="S4857">
        <v>62</v>
      </c>
      <c r="T4857">
        <v>4</v>
      </c>
      <c r="U4857">
        <v>1</v>
      </c>
      <c r="V4857">
        <v>0</v>
      </c>
      <c r="W4857">
        <v>3</v>
      </c>
      <c r="X4857">
        <v>79</v>
      </c>
      <c r="Y4857">
        <v>82</v>
      </c>
      <c r="Z4857">
        <v>1</v>
      </c>
      <c r="AA4857">
        <v>14</v>
      </c>
      <c r="AB4857">
        <v>4</v>
      </c>
      <c r="AD4857">
        <v>0</v>
      </c>
      <c r="AE4857">
        <v>0</v>
      </c>
      <c r="AF4857">
        <v>0</v>
      </c>
      <c r="AG4857">
        <v>0</v>
      </c>
      <c r="AI4857">
        <v>0</v>
      </c>
      <c r="AJ4857">
        <v>15</v>
      </c>
      <c r="AK4857">
        <v>386</v>
      </c>
      <c r="AL4857">
        <v>386</v>
      </c>
      <c r="AM4857">
        <v>600</v>
      </c>
      <c r="AN4857">
        <v>44</v>
      </c>
      <c r="AP4857">
        <v>1</v>
      </c>
      <c r="AR4857" t="s">
        <v>4960</v>
      </c>
      <c r="AS4857" s="1">
        <v>44354.23541666667</v>
      </c>
      <c r="AT4857" s="1">
        <v>44354.243657407409</v>
      </c>
      <c r="AU4857" s="1">
        <v>44354.244166666664</v>
      </c>
      <c r="AV4857" t="s">
        <v>71</v>
      </c>
      <c r="AW4857" t="s">
        <v>72</v>
      </c>
      <c r="AX4857" t="s">
        <v>73</v>
      </c>
    </row>
    <row r="4858" spans="1:50" x14ac:dyDescent="0.3">
      <c r="A4858" t="str">
        <f>"201115E0200"</f>
        <v>201115E0200</v>
      </c>
      <c r="B4858" t="str">
        <f>"201115E02002"</f>
        <v>201115E02002</v>
      </c>
      <c r="C4858" t="str">
        <f t="shared" si="243"/>
        <v>20</v>
      </c>
      <c r="D4858" t="s">
        <v>67</v>
      </c>
      <c r="E4858" t="str">
        <f t="shared" si="244"/>
        <v>022</v>
      </c>
      <c r="F4858" t="s">
        <v>4913</v>
      </c>
      <c r="G4858" t="str">
        <f>"1115"</f>
        <v>1115</v>
      </c>
      <c r="H4858" t="str">
        <f>"0002"</f>
        <v>0002</v>
      </c>
      <c r="I4858" t="s">
        <v>109</v>
      </c>
      <c r="J4858">
        <v>0</v>
      </c>
      <c r="K4858">
        <v>1</v>
      </c>
      <c r="L4858">
        <v>2</v>
      </c>
      <c r="M4858">
        <v>140</v>
      </c>
      <c r="N4858">
        <v>190</v>
      </c>
      <c r="O4858">
        <v>4</v>
      </c>
      <c r="P4858">
        <v>190</v>
      </c>
      <c r="Q4858">
        <v>14</v>
      </c>
      <c r="R4858">
        <v>19</v>
      </c>
      <c r="S4858">
        <v>29</v>
      </c>
      <c r="T4858">
        <v>2</v>
      </c>
      <c r="U4858">
        <v>5</v>
      </c>
      <c r="V4858">
        <v>0</v>
      </c>
      <c r="W4858">
        <v>2</v>
      </c>
      <c r="X4858">
        <v>53</v>
      </c>
      <c r="Y4858">
        <v>53</v>
      </c>
      <c r="Z4858">
        <v>1</v>
      </c>
      <c r="AA4858">
        <v>8</v>
      </c>
      <c r="AB4858">
        <v>0</v>
      </c>
      <c r="AD4858">
        <v>0</v>
      </c>
      <c r="AE4858">
        <v>0</v>
      </c>
      <c r="AF4858">
        <v>0</v>
      </c>
      <c r="AG4858">
        <v>0</v>
      </c>
      <c r="AI4858">
        <v>0</v>
      </c>
      <c r="AJ4858">
        <v>0</v>
      </c>
      <c r="AK4858">
        <v>190</v>
      </c>
      <c r="AL4858">
        <v>186</v>
      </c>
      <c r="AM4858">
        <v>286</v>
      </c>
      <c r="AN4858">
        <v>44</v>
      </c>
      <c r="AP4858">
        <v>1</v>
      </c>
      <c r="AR4858" t="s">
        <v>4961</v>
      </c>
      <c r="AS4858" s="1">
        <v>44354.234722222223</v>
      </c>
      <c r="AT4858" s="1">
        <v>44354.245509259257</v>
      </c>
      <c r="AU4858" s="1">
        <v>44354.24596064815</v>
      </c>
      <c r="AV4858" t="s">
        <v>71</v>
      </c>
      <c r="AW4858" t="s">
        <v>72</v>
      </c>
      <c r="AX4858" t="s">
        <v>73</v>
      </c>
    </row>
    <row r="4859" spans="1:50" x14ac:dyDescent="0.3">
      <c r="A4859" t="str">
        <f>"201116B0000"</f>
        <v>201116B0000</v>
      </c>
      <c r="B4859" t="str">
        <f>"201116B00002"</f>
        <v>201116B00002</v>
      </c>
      <c r="C4859" t="str">
        <f t="shared" si="243"/>
        <v>20</v>
      </c>
      <c r="D4859" t="s">
        <v>67</v>
      </c>
      <c r="E4859" t="str">
        <f t="shared" si="244"/>
        <v>022</v>
      </c>
      <c r="F4859" t="s">
        <v>4913</v>
      </c>
      <c r="G4859" t="str">
        <f>"1116"</f>
        <v>1116</v>
      </c>
      <c r="H4859" t="str">
        <f>"0000"</f>
        <v>0000</v>
      </c>
      <c r="I4859" t="s">
        <v>69</v>
      </c>
      <c r="J4859">
        <v>0</v>
      </c>
      <c r="K4859">
        <v>1</v>
      </c>
      <c r="L4859">
        <v>2</v>
      </c>
      <c r="M4859">
        <v>122</v>
      </c>
      <c r="N4859">
        <v>257</v>
      </c>
      <c r="O4859">
        <v>4</v>
      </c>
      <c r="P4859">
        <v>257</v>
      </c>
      <c r="Q4859">
        <v>33</v>
      </c>
      <c r="R4859">
        <v>21</v>
      </c>
      <c r="S4859">
        <v>16</v>
      </c>
      <c r="T4859">
        <v>3</v>
      </c>
      <c r="U4859">
        <v>40</v>
      </c>
      <c r="V4859">
        <v>1</v>
      </c>
      <c r="W4859">
        <v>0</v>
      </c>
      <c r="X4859">
        <v>23</v>
      </c>
      <c r="Y4859">
        <v>99</v>
      </c>
      <c r="Z4859">
        <v>2</v>
      </c>
      <c r="AA4859">
        <v>6</v>
      </c>
      <c r="AB4859">
        <v>0</v>
      </c>
      <c r="AD4859">
        <v>0</v>
      </c>
      <c r="AE4859">
        <v>2</v>
      </c>
      <c r="AF4859">
        <v>0</v>
      </c>
      <c r="AG4859">
        <v>0</v>
      </c>
      <c r="AI4859">
        <v>0</v>
      </c>
      <c r="AJ4859">
        <v>11</v>
      </c>
      <c r="AK4859">
        <v>257</v>
      </c>
      <c r="AL4859">
        <v>257</v>
      </c>
      <c r="AM4859">
        <v>335</v>
      </c>
      <c r="AN4859">
        <v>44</v>
      </c>
      <c r="AP4859">
        <v>1</v>
      </c>
      <c r="AR4859" t="s">
        <v>4962</v>
      </c>
      <c r="AS4859" s="1">
        <v>44354.234722222223</v>
      </c>
      <c r="AT4859" s="1">
        <v>44354.245497685188</v>
      </c>
      <c r="AU4859" s="1">
        <v>44354.245844907404</v>
      </c>
      <c r="AV4859" t="s">
        <v>71</v>
      </c>
      <c r="AW4859" t="s">
        <v>72</v>
      </c>
      <c r="AX4859" t="s">
        <v>73</v>
      </c>
    </row>
    <row r="4860" spans="1:50" x14ac:dyDescent="0.3">
      <c r="A4860" t="str">
        <f>"201116E0100"</f>
        <v>201116E0100</v>
      </c>
      <c r="B4860" t="str">
        <f>"201116E01002"</f>
        <v>201116E01002</v>
      </c>
      <c r="C4860" t="str">
        <f t="shared" si="243"/>
        <v>20</v>
      </c>
      <c r="D4860" t="s">
        <v>67</v>
      </c>
      <c r="E4860" t="str">
        <f t="shared" si="244"/>
        <v>022</v>
      </c>
      <c r="F4860" t="s">
        <v>4913</v>
      </c>
      <c r="G4860" t="str">
        <f>"1116"</f>
        <v>1116</v>
      </c>
      <c r="H4860" t="str">
        <f>"0001"</f>
        <v>0001</v>
      </c>
      <c r="I4860" t="s">
        <v>109</v>
      </c>
      <c r="J4860">
        <v>0</v>
      </c>
      <c r="K4860">
        <v>1</v>
      </c>
      <c r="L4860">
        <v>2</v>
      </c>
      <c r="M4860">
        <v>57</v>
      </c>
      <c r="N4860">
        <v>244</v>
      </c>
      <c r="O4860">
        <v>1</v>
      </c>
      <c r="P4860">
        <v>244</v>
      </c>
      <c r="Q4860">
        <v>26</v>
      </c>
      <c r="R4860">
        <v>18</v>
      </c>
      <c r="S4860">
        <v>78</v>
      </c>
      <c r="T4860">
        <v>4</v>
      </c>
      <c r="U4860">
        <v>0</v>
      </c>
      <c r="V4860">
        <v>0</v>
      </c>
      <c r="W4860">
        <v>0</v>
      </c>
      <c r="X4860">
        <v>34</v>
      </c>
      <c r="Y4860">
        <v>74</v>
      </c>
      <c r="Z4860">
        <v>2</v>
      </c>
      <c r="AA4860">
        <v>1</v>
      </c>
      <c r="AB4860">
        <v>3</v>
      </c>
      <c r="AD4860">
        <v>1</v>
      </c>
      <c r="AE4860">
        <v>0</v>
      </c>
      <c r="AF4860">
        <v>0</v>
      </c>
      <c r="AG4860">
        <v>0</v>
      </c>
      <c r="AI4860">
        <v>0</v>
      </c>
      <c r="AJ4860">
        <v>3</v>
      </c>
      <c r="AK4860">
        <v>244</v>
      </c>
      <c r="AL4860">
        <v>244</v>
      </c>
      <c r="AM4860">
        <v>257</v>
      </c>
      <c r="AN4860">
        <v>44</v>
      </c>
      <c r="AP4860">
        <v>1</v>
      </c>
      <c r="AR4860" t="s">
        <v>4963</v>
      </c>
      <c r="AS4860" s="1">
        <v>44354.231944444444</v>
      </c>
      <c r="AT4860" s="1">
        <v>44354.240914351853</v>
      </c>
      <c r="AU4860" s="1">
        <v>44354.241608796299</v>
      </c>
      <c r="AV4860" t="s">
        <v>71</v>
      </c>
      <c r="AW4860" t="s">
        <v>72</v>
      </c>
      <c r="AX4860" t="s">
        <v>73</v>
      </c>
    </row>
    <row r="4861" spans="1:50" x14ac:dyDescent="0.3">
      <c r="A4861" t="str">
        <f>"201238B0000"</f>
        <v>201238B0000</v>
      </c>
      <c r="B4861" t="str">
        <f>"201238B00002"</f>
        <v>201238B00002</v>
      </c>
      <c r="C4861" t="str">
        <f t="shared" si="243"/>
        <v>20</v>
      </c>
      <c r="D4861" t="s">
        <v>67</v>
      </c>
      <c r="E4861" t="str">
        <f t="shared" si="244"/>
        <v>022</v>
      </c>
      <c r="F4861" t="s">
        <v>4913</v>
      </c>
      <c r="G4861" t="str">
        <f>"1238"</f>
        <v>1238</v>
      </c>
      <c r="H4861" t="str">
        <f>"0000"</f>
        <v>0000</v>
      </c>
      <c r="I4861" t="s">
        <v>69</v>
      </c>
      <c r="J4861">
        <v>0</v>
      </c>
      <c r="K4861">
        <v>1</v>
      </c>
      <c r="L4861">
        <v>2</v>
      </c>
      <c r="M4861">
        <v>204</v>
      </c>
      <c r="N4861">
        <v>584</v>
      </c>
      <c r="O4861">
        <v>0</v>
      </c>
      <c r="P4861">
        <v>584</v>
      </c>
      <c r="Q4861">
        <v>214</v>
      </c>
      <c r="R4861">
        <v>5</v>
      </c>
      <c r="S4861">
        <v>11</v>
      </c>
      <c r="T4861">
        <v>3</v>
      </c>
      <c r="U4861">
        <v>94</v>
      </c>
      <c r="V4861">
        <v>4</v>
      </c>
      <c r="W4861">
        <v>5</v>
      </c>
      <c r="X4861">
        <v>149</v>
      </c>
      <c r="Y4861">
        <v>50</v>
      </c>
      <c r="Z4861">
        <v>3</v>
      </c>
      <c r="AA4861">
        <v>8</v>
      </c>
      <c r="AB4861">
        <v>16</v>
      </c>
      <c r="AD4861">
        <v>1</v>
      </c>
      <c r="AE4861">
        <v>0</v>
      </c>
      <c r="AF4861">
        <v>0</v>
      </c>
      <c r="AG4861">
        <v>0</v>
      </c>
      <c r="AI4861">
        <v>0</v>
      </c>
      <c r="AJ4861">
        <v>21</v>
      </c>
      <c r="AK4861">
        <v>584</v>
      </c>
      <c r="AL4861">
        <v>584</v>
      </c>
      <c r="AM4861">
        <v>744</v>
      </c>
      <c r="AN4861">
        <v>44</v>
      </c>
      <c r="AP4861">
        <v>1</v>
      </c>
      <c r="AR4861" t="s">
        <v>4964</v>
      </c>
      <c r="AS4861" s="1">
        <v>44354.227083333331</v>
      </c>
      <c r="AT4861" s="1">
        <v>44354.23883101852</v>
      </c>
      <c r="AU4861" s="1">
        <v>44354.23951388889</v>
      </c>
      <c r="AV4861" t="s">
        <v>71</v>
      </c>
      <c r="AW4861" t="s">
        <v>72</v>
      </c>
      <c r="AX4861" t="s">
        <v>73</v>
      </c>
    </row>
    <row r="4862" spans="1:50" x14ac:dyDescent="0.3">
      <c r="A4862" t="str">
        <f>"201238C0100"</f>
        <v>201238C0100</v>
      </c>
      <c r="B4862" t="str">
        <f>"201238C01002"</f>
        <v>201238C01002</v>
      </c>
      <c r="C4862" t="str">
        <f t="shared" si="243"/>
        <v>20</v>
      </c>
      <c r="D4862" t="s">
        <v>67</v>
      </c>
      <c r="E4862" t="str">
        <f t="shared" si="244"/>
        <v>022</v>
      </c>
      <c r="F4862" t="s">
        <v>4913</v>
      </c>
      <c r="G4862" t="str">
        <f>"1238"</f>
        <v>1238</v>
      </c>
      <c r="H4862" t="str">
        <f>"0001"</f>
        <v>0001</v>
      </c>
      <c r="I4862" t="s">
        <v>75</v>
      </c>
      <c r="J4862">
        <v>0</v>
      </c>
      <c r="K4862">
        <v>1</v>
      </c>
      <c r="L4862">
        <v>2</v>
      </c>
      <c r="M4862">
        <v>234</v>
      </c>
      <c r="N4862">
        <v>553</v>
      </c>
      <c r="O4862">
        <v>0</v>
      </c>
      <c r="P4862">
        <v>554</v>
      </c>
      <c r="Q4862">
        <v>165</v>
      </c>
      <c r="R4862">
        <v>5</v>
      </c>
      <c r="S4862">
        <v>15</v>
      </c>
      <c r="T4862">
        <v>1</v>
      </c>
      <c r="U4862">
        <v>123</v>
      </c>
      <c r="V4862">
        <v>3</v>
      </c>
      <c r="W4862">
        <v>5</v>
      </c>
      <c r="X4862">
        <v>135</v>
      </c>
      <c r="Y4862">
        <v>46</v>
      </c>
      <c r="Z4862">
        <v>1</v>
      </c>
      <c r="AA4862">
        <v>33</v>
      </c>
      <c r="AB4862">
        <v>33</v>
      </c>
      <c r="AD4862">
        <v>0</v>
      </c>
      <c r="AE4862">
        <v>0</v>
      </c>
      <c r="AF4862">
        <v>0</v>
      </c>
      <c r="AG4862">
        <v>0</v>
      </c>
      <c r="AI4862">
        <v>0</v>
      </c>
      <c r="AJ4862">
        <v>16</v>
      </c>
      <c r="AK4862">
        <v>554</v>
      </c>
      <c r="AL4862">
        <v>581</v>
      </c>
      <c r="AM4862">
        <v>744</v>
      </c>
      <c r="AN4862">
        <v>44</v>
      </c>
      <c r="AP4862">
        <v>1</v>
      </c>
      <c r="AR4862" t="s">
        <v>4965</v>
      </c>
      <c r="AS4862" s="1">
        <v>44354.21875</v>
      </c>
      <c r="AT4862" s="1">
        <v>44354.227627314816</v>
      </c>
      <c r="AU4862" s="1">
        <v>44354.229120370372</v>
      </c>
      <c r="AV4862" t="s">
        <v>71</v>
      </c>
      <c r="AW4862" t="s">
        <v>72</v>
      </c>
      <c r="AX4862" t="s">
        <v>73</v>
      </c>
    </row>
    <row r="4863" spans="1:50" x14ac:dyDescent="0.3">
      <c r="A4863" t="str">
        <f>"201239B0000"</f>
        <v>201239B0000</v>
      </c>
      <c r="B4863" t="str">
        <f>"201239B00002"</f>
        <v>201239B00002</v>
      </c>
      <c r="C4863" t="str">
        <f t="shared" si="243"/>
        <v>20</v>
      </c>
      <c r="D4863" t="s">
        <v>67</v>
      </c>
      <c r="E4863" t="str">
        <f t="shared" si="244"/>
        <v>022</v>
      </c>
      <c r="F4863" t="s">
        <v>4913</v>
      </c>
      <c r="G4863" t="str">
        <f>"1239"</f>
        <v>1239</v>
      </c>
      <c r="H4863" t="str">
        <f>"0000"</f>
        <v>0000</v>
      </c>
      <c r="I4863" t="s">
        <v>69</v>
      </c>
      <c r="J4863">
        <v>0</v>
      </c>
      <c r="K4863">
        <v>1</v>
      </c>
      <c r="L4863">
        <v>2</v>
      </c>
      <c r="M4863">
        <v>128</v>
      </c>
      <c r="N4863">
        <v>333</v>
      </c>
      <c r="O4863">
        <v>0</v>
      </c>
      <c r="P4863">
        <v>326</v>
      </c>
      <c r="Q4863">
        <v>98</v>
      </c>
      <c r="R4863">
        <v>1</v>
      </c>
      <c r="S4863">
        <v>2</v>
      </c>
      <c r="T4863">
        <v>1</v>
      </c>
      <c r="U4863">
        <v>14</v>
      </c>
      <c r="V4863">
        <v>0</v>
      </c>
      <c r="W4863">
        <v>0</v>
      </c>
      <c r="X4863">
        <v>137</v>
      </c>
      <c r="Y4863">
        <v>55</v>
      </c>
      <c r="Z4863">
        <v>3</v>
      </c>
      <c r="AA4863">
        <v>3</v>
      </c>
      <c r="AB4863">
        <v>9</v>
      </c>
      <c r="AD4863">
        <v>0</v>
      </c>
      <c r="AE4863">
        <v>0</v>
      </c>
      <c r="AF4863">
        <v>0</v>
      </c>
      <c r="AG4863">
        <v>0</v>
      </c>
      <c r="AI4863">
        <v>0</v>
      </c>
      <c r="AJ4863">
        <v>3</v>
      </c>
      <c r="AK4863">
        <v>326</v>
      </c>
      <c r="AL4863">
        <v>326</v>
      </c>
      <c r="AM4863">
        <v>417</v>
      </c>
      <c r="AN4863">
        <v>44</v>
      </c>
      <c r="AP4863">
        <v>1</v>
      </c>
      <c r="AR4863" t="s">
        <v>4966</v>
      </c>
      <c r="AS4863" s="1">
        <v>44354.219444444447</v>
      </c>
      <c r="AT4863" s="1">
        <v>44354.228425925925</v>
      </c>
      <c r="AU4863" s="1">
        <v>44354.22896990741</v>
      </c>
      <c r="AV4863" t="s">
        <v>71</v>
      </c>
      <c r="AW4863" t="s">
        <v>72</v>
      </c>
      <c r="AX4863" t="s">
        <v>73</v>
      </c>
    </row>
    <row r="4864" spans="1:50" x14ac:dyDescent="0.3">
      <c r="A4864" t="str">
        <f>"201239C0100"</f>
        <v>201239C0100</v>
      </c>
      <c r="B4864" t="str">
        <f>"201239C01002"</f>
        <v>201239C01002</v>
      </c>
      <c r="C4864" t="str">
        <f t="shared" si="243"/>
        <v>20</v>
      </c>
      <c r="D4864" t="s">
        <v>67</v>
      </c>
      <c r="E4864" t="str">
        <f t="shared" si="244"/>
        <v>022</v>
      </c>
      <c r="F4864" t="s">
        <v>4913</v>
      </c>
      <c r="G4864" t="str">
        <f>"1239"</f>
        <v>1239</v>
      </c>
      <c r="H4864" t="str">
        <f>"0001"</f>
        <v>0001</v>
      </c>
      <c r="I4864" t="s">
        <v>75</v>
      </c>
      <c r="J4864">
        <v>0</v>
      </c>
      <c r="K4864">
        <v>1</v>
      </c>
      <c r="L4864">
        <v>2</v>
      </c>
      <c r="M4864">
        <v>121</v>
      </c>
      <c r="N4864">
        <v>340</v>
      </c>
      <c r="O4864">
        <v>0</v>
      </c>
      <c r="P4864">
        <v>348</v>
      </c>
      <c r="Q4864">
        <v>82</v>
      </c>
      <c r="R4864">
        <v>1</v>
      </c>
      <c r="S4864">
        <v>1</v>
      </c>
      <c r="T4864">
        <v>0</v>
      </c>
      <c r="U4864">
        <v>18</v>
      </c>
      <c r="V4864">
        <v>0</v>
      </c>
      <c r="W4864">
        <v>1</v>
      </c>
      <c r="X4864">
        <v>173</v>
      </c>
      <c r="Y4864">
        <v>47</v>
      </c>
      <c r="Z4864">
        <v>0</v>
      </c>
      <c r="AA4864">
        <v>6</v>
      </c>
      <c r="AB4864">
        <v>11</v>
      </c>
      <c r="AD4864">
        <v>2</v>
      </c>
      <c r="AE4864">
        <v>0</v>
      </c>
      <c r="AF4864">
        <v>0</v>
      </c>
      <c r="AG4864">
        <v>0</v>
      </c>
      <c r="AI4864">
        <v>0</v>
      </c>
      <c r="AJ4864">
        <v>6</v>
      </c>
      <c r="AK4864">
        <v>348</v>
      </c>
      <c r="AL4864">
        <v>348</v>
      </c>
      <c r="AM4864">
        <v>416</v>
      </c>
      <c r="AN4864">
        <v>44</v>
      </c>
      <c r="AP4864">
        <v>1</v>
      </c>
      <c r="AR4864" t="s">
        <v>4967</v>
      </c>
      <c r="AS4864" s="1">
        <v>44354.21875</v>
      </c>
      <c r="AT4864" s="1">
        <v>44354.226574074077</v>
      </c>
      <c r="AU4864" s="1">
        <v>44354.227118055554</v>
      </c>
      <c r="AV4864" t="s">
        <v>71</v>
      </c>
      <c r="AW4864" t="s">
        <v>72</v>
      </c>
      <c r="AX4864" t="s">
        <v>73</v>
      </c>
    </row>
    <row r="4865" spans="1:50" x14ac:dyDescent="0.3">
      <c r="A4865" t="str">
        <f>"201239E0100"</f>
        <v>201239E0100</v>
      </c>
      <c r="B4865" t="str">
        <f>"201239E01002"</f>
        <v>201239E01002</v>
      </c>
      <c r="C4865" t="str">
        <f t="shared" si="243"/>
        <v>20</v>
      </c>
      <c r="D4865" t="s">
        <v>67</v>
      </c>
      <c r="E4865" t="str">
        <f t="shared" si="244"/>
        <v>022</v>
      </c>
      <c r="F4865" t="s">
        <v>4913</v>
      </c>
      <c r="G4865" t="str">
        <f>"1239"</f>
        <v>1239</v>
      </c>
      <c r="H4865" t="str">
        <f>"0001"</f>
        <v>0001</v>
      </c>
      <c r="I4865" t="s">
        <v>109</v>
      </c>
      <c r="J4865">
        <v>0</v>
      </c>
      <c r="K4865">
        <v>1</v>
      </c>
      <c r="L4865">
        <v>2</v>
      </c>
      <c r="M4865">
        <v>96</v>
      </c>
      <c r="N4865">
        <v>473</v>
      </c>
      <c r="O4865">
        <v>0</v>
      </c>
      <c r="P4865" t="s">
        <v>80</v>
      </c>
      <c r="Q4865">
        <v>167</v>
      </c>
      <c r="R4865">
        <v>10</v>
      </c>
      <c r="S4865">
        <v>3</v>
      </c>
      <c r="T4865">
        <v>2</v>
      </c>
      <c r="U4865">
        <v>9</v>
      </c>
      <c r="V4865">
        <v>0</v>
      </c>
      <c r="W4865">
        <v>1</v>
      </c>
      <c r="X4865">
        <v>122</v>
      </c>
      <c r="Y4865">
        <v>122</v>
      </c>
      <c r="Z4865">
        <v>6</v>
      </c>
      <c r="AA4865">
        <v>1</v>
      </c>
      <c r="AB4865">
        <v>16</v>
      </c>
      <c r="AD4865">
        <v>0</v>
      </c>
      <c r="AE4865">
        <v>0</v>
      </c>
      <c r="AF4865">
        <v>0</v>
      </c>
      <c r="AG4865">
        <v>0</v>
      </c>
      <c r="AI4865">
        <v>0</v>
      </c>
      <c r="AJ4865">
        <v>14</v>
      </c>
      <c r="AK4865">
        <v>473</v>
      </c>
      <c r="AL4865">
        <v>473</v>
      </c>
      <c r="AM4865">
        <v>525</v>
      </c>
      <c r="AN4865">
        <v>44</v>
      </c>
      <c r="AP4865">
        <v>1</v>
      </c>
      <c r="AR4865" t="s">
        <v>4968</v>
      </c>
      <c r="AS4865" s="1">
        <v>44354.21875</v>
      </c>
      <c r="AT4865" s="1">
        <v>44354.225069444445</v>
      </c>
      <c r="AU4865" s="1">
        <v>44354.225775462961</v>
      </c>
      <c r="AV4865" t="s">
        <v>71</v>
      </c>
      <c r="AW4865" t="s">
        <v>72</v>
      </c>
      <c r="AX4865" t="s">
        <v>73</v>
      </c>
    </row>
    <row r="4866" spans="1:50" x14ac:dyDescent="0.3">
      <c r="A4866" t="str">
        <f>"201240B0000"</f>
        <v>201240B0000</v>
      </c>
      <c r="B4866" t="str">
        <f>"201240B00002"</f>
        <v>201240B00002</v>
      </c>
      <c r="C4866" t="str">
        <f t="shared" si="243"/>
        <v>20</v>
      </c>
      <c r="D4866" t="s">
        <v>67</v>
      </c>
      <c r="E4866" t="str">
        <f t="shared" si="244"/>
        <v>022</v>
      </c>
      <c r="F4866" t="s">
        <v>4913</v>
      </c>
      <c r="G4866" t="str">
        <f>"1240"</f>
        <v>1240</v>
      </c>
      <c r="H4866" t="str">
        <f>"0000"</f>
        <v>0000</v>
      </c>
      <c r="I4866" t="s">
        <v>69</v>
      </c>
      <c r="J4866">
        <v>0</v>
      </c>
      <c r="K4866">
        <v>1</v>
      </c>
      <c r="L4866">
        <v>2</v>
      </c>
      <c r="M4866">
        <v>183</v>
      </c>
      <c r="N4866">
        <v>493</v>
      </c>
      <c r="O4866">
        <v>0</v>
      </c>
      <c r="P4866">
        <v>493</v>
      </c>
      <c r="Q4866">
        <v>185</v>
      </c>
      <c r="R4866">
        <v>1</v>
      </c>
      <c r="S4866">
        <v>6</v>
      </c>
      <c r="T4866">
        <v>1</v>
      </c>
      <c r="U4866">
        <v>22</v>
      </c>
      <c r="V4866">
        <v>1</v>
      </c>
      <c r="W4866">
        <v>4</v>
      </c>
      <c r="X4866">
        <v>105</v>
      </c>
      <c r="Y4866">
        <v>132</v>
      </c>
      <c r="Z4866">
        <v>3</v>
      </c>
      <c r="AA4866">
        <v>3</v>
      </c>
      <c r="AB4866">
        <v>13</v>
      </c>
      <c r="AD4866">
        <v>3</v>
      </c>
      <c r="AE4866">
        <v>0</v>
      </c>
      <c r="AF4866">
        <v>1</v>
      </c>
      <c r="AG4866">
        <v>0</v>
      </c>
      <c r="AI4866">
        <v>0</v>
      </c>
      <c r="AJ4866">
        <v>13</v>
      </c>
      <c r="AK4866">
        <v>493</v>
      </c>
      <c r="AL4866">
        <v>493</v>
      </c>
      <c r="AM4866">
        <v>632</v>
      </c>
      <c r="AN4866">
        <v>44</v>
      </c>
      <c r="AP4866">
        <v>1</v>
      </c>
      <c r="AR4866" t="s">
        <v>4969</v>
      </c>
      <c r="AS4866" s="1">
        <v>44354.214583333334</v>
      </c>
      <c r="AT4866" s="1">
        <v>44354.219039351854</v>
      </c>
      <c r="AU4866" s="1">
        <v>44354.219606481478</v>
      </c>
      <c r="AV4866" t="s">
        <v>71</v>
      </c>
      <c r="AW4866" t="s">
        <v>72</v>
      </c>
      <c r="AX4866" t="s">
        <v>73</v>
      </c>
    </row>
    <row r="4867" spans="1:50" x14ac:dyDescent="0.3">
      <c r="A4867" t="str">
        <f>"201240C0100"</f>
        <v>201240C0100</v>
      </c>
      <c r="B4867" t="str">
        <f>"201240C01002"</f>
        <v>201240C01002</v>
      </c>
      <c r="C4867" t="str">
        <f t="shared" si="243"/>
        <v>20</v>
      </c>
      <c r="D4867" t="s">
        <v>67</v>
      </c>
      <c r="E4867" t="str">
        <f t="shared" si="244"/>
        <v>022</v>
      </c>
      <c r="F4867" t="s">
        <v>4913</v>
      </c>
      <c r="G4867" t="str">
        <f>"1240"</f>
        <v>1240</v>
      </c>
      <c r="H4867" t="str">
        <f>"0001"</f>
        <v>0001</v>
      </c>
      <c r="I4867" t="s">
        <v>75</v>
      </c>
      <c r="J4867">
        <v>0</v>
      </c>
      <c r="K4867">
        <v>1</v>
      </c>
      <c r="L4867">
        <v>2</v>
      </c>
      <c r="M4867">
        <v>166</v>
      </c>
      <c r="N4867">
        <v>507</v>
      </c>
      <c r="O4867">
        <v>0</v>
      </c>
      <c r="P4867">
        <v>509</v>
      </c>
      <c r="Q4867">
        <v>186</v>
      </c>
      <c r="R4867">
        <v>5</v>
      </c>
      <c r="S4867">
        <v>2</v>
      </c>
      <c r="T4867">
        <v>4</v>
      </c>
      <c r="U4867">
        <v>22</v>
      </c>
      <c r="V4867">
        <v>4</v>
      </c>
      <c r="W4867">
        <v>0</v>
      </c>
      <c r="X4867">
        <v>112</v>
      </c>
      <c r="Y4867">
        <v>140</v>
      </c>
      <c r="Z4867">
        <v>4</v>
      </c>
      <c r="AA4867">
        <v>2</v>
      </c>
      <c r="AB4867">
        <v>8</v>
      </c>
      <c r="AD4867">
        <v>2</v>
      </c>
      <c r="AE4867">
        <v>0</v>
      </c>
      <c r="AF4867">
        <v>0</v>
      </c>
      <c r="AG4867">
        <v>0</v>
      </c>
      <c r="AI4867">
        <v>0</v>
      </c>
      <c r="AJ4867">
        <v>18</v>
      </c>
      <c r="AK4867">
        <v>509</v>
      </c>
      <c r="AL4867">
        <v>509</v>
      </c>
      <c r="AM4867">
        <v>631</v>
      </c>
      <c r="AN4867">
        <v>44</v>
      </c>
      <c r="AP4867">
        <v>1</v>
      </c>
      <c r="AR4867" t="s">
        <v>4970</v>
      </c>
      <c r="AS4867" s="1">
        <v>44354.21875</v>
      </c>
      <c r="AT4867" s="1">
        <v>44354.226597222223</v>
      </c>
      <c r="AU4867" s="1">
        <v>44354.227962962963</v>
      </c>
      <c r="AV4867" t="s">
        <v>71</v>
      </c>
      <c r="AW4867" t="s">
        <v>72</v>
      </c>
      <c r="AX4867" t="s">
        <v>73</v>
      </c>
    </row>
    <row r="4868" spans="1:50" x14ac:dyDescent="0.3">
      <c r="A4868" t="str">
        <f>"201409B0000"</f>
        <v>201409B0000</v>
      </c>
      <c r="B4868" t="str">
        <f>"201409B00002"</f>
        <v>201409B00002</v>
      </c>
      <c r="C4868" t="str">
        <f t="shared" si="243"/>
        <v>20</v>
      </c>
      <c r="D4868" t="s">
        <v>67</v>
      </c>
      <c r="E4868" t="str">
        <f t="shared" si="244"/>
        <v>022</v>
      </c>
      <c r="F4868" t="s">
        <v>4913</v>
      </c>
      <c r="G4868" t="str">
        <f>"1409"</f>
        <v>1409</v>
      </c>
      <c r="H4868" t="str">
        <f>"0000"</f>
        <v>0000</v>
      </c>
      <c r="I4868" t="s">
        <v>69</v>
      </c>
      <c r="J4868">
        <v>0</v>
      </c>
      <c r="K4868">
        <v>1</v>
      </c>
      <c r="L4868">
        <v>2</v>
      </c>
      <c r="M4868">
        <v>130</v>
      </c>
      <c r="N4868">
        <v>482</v>
      </c>
      <c r="O4868">
        <v>0</v>
      </c>
      <c r="P4868">
        <v>482</v>
      </c>
      <c r="Q4868">
        <v>4</v>
      </c>
      <c r="R4868">
        <v>148</v>
      </c>
      <c r="S4868">
        <v>27</v>
      </c>
      <c r="T4868">
        <v>1</v>
      </c>
      <c r="U4868">
        <v>6</v>
      </c>
      <c r="V4868">
        <v>2</v>
      </c>
      <c r="W4868">
        <v>3</v>
      </c>
      <c r="X4868">
        <v>186</v>
      </c>
      <c r="Y4868">
        <v>7</v>
      </c>
      <c r="Z4868">
        <v>6</v>
      </c>
      <c r="AA4868">
        <v>83</v>
      </c>
      <c r="AB4868">
        <v>4</v>
      </c>
      <c r="AD4868">
        <v>1</v>
      </c>
      <c r="AE4868">
        <v>0</v>
      </c>
      <c r="AF4868">
        <v>1</v>
      </c>
      <c r="AG4868">
        <v>2</v>
      </c>
      <c r="AI4868">
        <v>1</v>
      </c>
      <c r="AJ4868">
        <v>6</v>
      </c>
      <c r="AK4868">
        <v>482</v>
      </c>
      <c r="AL4868">
        <v>488</v>
      </c>
      <c r="AM4868">
        <v>568</v>
      </c>
      <c r="AN4868">
        <v>44</v>
      </c>
      <c r="AP4868">
        <v>1</v>
      </c>
      <c r="AR4868" t="s">
        <v>4971</v>
      </c>
      <c r="AS4868" s="1">
        <v>44354.032638888886</v>
      </c>
      <c r="AT4868" s="1">
        <v>44354.043888888889</v>
      </c>
      <c r="AU4868" s="1">
        <v>44354.044710648152</v>
      </c>
      <c r="AV4868" t="s">
        <v>71</v>
      </c>
      <c r="AW4868" t="s">
        <v>72</v>
      </c>
      <c r="AX4868" t="s">
        <v>73</v>
      </c>
    </row>
    <row r="4869" spans="1:50" x14ac:dyDescent="0.3">
      <c r="A4869" t="str">
        <f>"201409C0100"</f>
        <v>201409C0100</v>
      </c>
      <c r="B4869" t="str">
        <f>"201409C01002"</f>
        <v>201409C01002</v>
      </c>
      <c r="C4869" t="str">
        <f t="shared" si="243"/>
        <v>20</v>
      </c>
      <c r="D4869" t="s">
        <v>67</v>
      </c>
      <c r="E4869" t="str">
        <f t="shared" si="244"/>
        <v>022</v>
      </c>
      <c r="F4869" t="s">
        <v>4913</v>
      </c>
      <c r="G4869" t="str">
        <f>"1409"</f>
        <v>1409</v>
      </c>
      <c r="H4869" t="str">
        <f>"0001"</f>
        <v>0001</v>
      </c>
      <c r="I4869" t="s">
        <v>75</v>
      </c>
      <c r="J4869">
        <v>0</v>
      </c>
      <c r="K4869">
        <v>1</v>
      </c>
      <c r="L4869">
        <v>2</v>
      </c>
      <c r="M4869" t="s">
        <v>99</v>
      </c>
      <c r="N4869">
        <v>0</v>
      </c>
      <c r="O4869" t="s">
        <v>80</v>
      </c>
      <c r="P4869">
        <v>419</v>
      </c>
      <c r="Q4869">
        <v>3</v>
      </c>
      <c r="R4869">
        <v>119</v>
      </c>
      <c r="S4869">
        <v>18</v>
      </c>
      <c r="T4869">
        <v>2</v>
      </c>
      <c r="U4869">
        <v>3</v>
      </c>
      <c r="V4869">
        <v>4</v>
      </c>
      <c r="W4869">
        <v>3</v>
      </c>
      <c r="X4869">
        <v>156</v>
      </c>
      <c r="Y4869">
        <v>6</v>
      </c>
      <c r="Z4869">
        <v>3</v>
      </c>
      <c r="AA4869">
        <v>97</v>
      </c>
      <c r="AB4869">
        <v>0</v>
      </c>
      <c r="AD4869">
        <v>3</v>
      </c>
      <c r="AE4869">
        <v>0</v>
      </c>
      <c r="AF4869">
        <v>0</v>
      </c>
      <c r="AG4869">
        <v>2</v>
      </c>
      <c r="AI4869">
        <v>0</v>
      </c>
      <c r="AJ4869">
        <v>22</v>
      </c>
      <c r="AK4869">
        <v>419</v>
      </c>
      <c r="AL4869">
        <v>441</v>
      </c>
      <c r="AM4869">
        <v>567</v>
      </c>
      <c r="AN4869">
        <v>44</v>
      </c>
      <c r="AP4869">
        <v>1</v>
      </c>
      <c r="AR4869" t="s">
        <v>4972</v>
      </c>
      <c r="AS4869" s="1">
        <v>44354.029861111114</v>
      </c>
      <c r="AT4869" s="1">
        <v>44354.045289351852</v>
      </c>
      <c r="AU4869" s="1">
        <v>44354.062638888892</v>
      </c>
      <c r="AV4869" t="s">
        <v>71</v>
      </c>
      <c r="AW4869" t="s">
        <v>72</v>
      </c>
      <c r="AX4869" t="s">
        <v>73</v>
      </c>
    </row>
    <row r="4870" spans="1:50" x14ac:dyDescent="0.3">
      <c r="A4870" t="str">
        <f>"201409C0200"</f>
        <v>201409C0200</v>
      </c>
      <c r="B4870" t="str">
        <f>"201409C02002"</f>
        <v>201409C02002</v>
      </c>
      <c r="C4870" t="str">
        <f t="shared" si="243"/>
        <v>20</v>
      </c>
      <c r="D4870" t="s">
        <v>67</v>
      </c>
      <c r="E4870" t="str">
        <f t="shared" si="244"/>
        <v>022</v>
      </c>
      <c r="F4870" t="s">
        <v>4913</v>
      </c>
      <c r="G4870" t="str">
        <f>"1409"</f>
        <v>1409</v>
      </c>
      <c r="H4870" t="str">
        <f>"0002"</f>
        <v>0002</v>
      </c>
      <c r="I4870" t="s">
        <v>75</v>
      </c>
      <c r="J4870">
        <v>0</v>
      </c>
      <c r="K4870">
        <v>1</v>
      </c>
      <c r="L4870">
        <v>2</v>
      </c>
      <c r="M4870">
        <v>158</v>
      </c>
      <c r="N4870">
        <v>453</v>
      </c>
      <c r="O4870">
        <v>0</v>
      </c>
      <c r="P4870">
        <v>453</v>
      </c>
      <c r="Q4870">
        <v>3</v>
      </c>
      <c r="R4870">
        <v>150</v>
      </c>
      <c r="S4870">
        <v>13</v>
      </c>
      <c r="T4870">
        <v>1</v>
      </c>
      <c r="U4870">
        <v>6</v>
      </c>
      <c r="V4870">
        <v>2</v>
      </c>
      <c r="W4870">
        <v>6</v>
      </c>
      <c r="X4870">
        <v>145</v>
      </c>
      <c r="Y4870">
        <v>13</v>
      </c>
      <c r="Z4870">
        <v>0</v>
      </c>
      <c r="AA4870">
        <v>88</v>
      </c>
      <c r="AB4870">
        <v>5</v>
      </c>
      <c r="AD4870">
        <v>3</v>
      </c>
      <c r="AE4870">
        <v>0</v>
      </c>
      <c r="AF4870">
        <v>0</v>
      </c>
      <c r="AG4870">
        <v>3</v>
      </c>
      <c r="AI4870" t="s">
        <v>77</v>
      </c>
      <c r="AJ4870">
        <v>15</v>
      </c>
      <c r="AK4870">
        <v>453</v>
      </c>
      <c r="AL4870">
        <v>453</v>
      </c>
      <c r="AM4870">
        <v>567</v>
      </c>
      <c r="AN4870">
        <v>44</v>
      </c>
      <c r="AO4870" t="s">
        <v>78</v>
      </c>
      <c r="AP4870">
        <v>1</v>
      </c>
      <c r="AR4870" t="s">
        <v>4973</v>
      </c>
      <c r="AS4870" s="1">
        <v>44354.03402777778</v>
      </c>
      <c r="AT4870" s="1">
        <v>44354.046215277776</v>
      </c>
      <c r="AU4870" s="1">
        <v>44354.046817129631</v>
      </c>
      <c r="AV4870" t="s">
        <v>71</v>
      </c>
      <c r="AW4870" t="s">
        <v>72</v>
      </c>
      <c r="AX4870" t="s">
        <v>73</v>
      </c>
    </row>
    <row r="4871" spans="1:50" x14ac:dyDescent="0.3">
      <c r="A4871" t="str">
        <f>"201410B0000"</f>
        <v>201410B0000</v>
      </c>
      <c r="B4871" t="str">
        <f>"201410B00002"</f>
        <v>201410B00002</v>
      </c>
      <c r="C4871" t="str">
        <f t="shared" ref="C4871:C4934" si="245">"20"</f>
        <v>20</v>
      </c>
      <c r="D4871" t="s">
        <v>67</v>
      </c>
      <c r="E4871" t="str">
        <f t="shared" si="244"/>
        <v>022</v>
      </c>
      <c r="F4871" t="s">
        <v>4913</v>
      </c>
      <c r="G4871" t="str">
        <f>"1410"</f>
        <v>1410</v>
      </c>
      <c r="H4871" t="str">
        <f>"0000"</f>
        <v>0000</v>
      </c>
      <c r="I4871" t="s">
        <v>69</v>
      </c>
      <c r="J4871">
        <v>0</v>
      </c>
      <c r="K4871">
        <v>1</v>
      </c>
      <c r="L4871">
        <v>2</v>
      </c>
      <c r="M4871">
        <v>132</v>
      </c>
      <c r="N4871">
        <v>308</v>
      </c>
      <c r="O4871">
        <v>3</v>
      </c>
      <c r="P4871">
        <v>308</v>
      </c>
      <c r="Q4871">
        <v>2</v>
      </c>
      <c r="R4871">
        <v>123</v>
      </c>
      <c r="S4871">
        <v>8</v>
      </c>
      <c r="T4871">
        <v>0</v>
      </c>
      <c r="U4871">
        <v>1</v>
      </c>
      <c r="V4871">
        <v>13</v>
      </c>
      <c r="W4871">
        <v>1</v>
      </c>
      <c r="X4871">
        <v>90</v>
      </c>
      <c r="Y4871">
        <v>7</v>
      </c>
      <c r="Z4871">
        <v>3</v>
      </c>
      <c r="AA4871">
        <v>42</v>
      </c>
      <c r="AB4871">
        <v>2</v>
      </c>
      <c r="AD4871">
        <v>5</v>
      </c>
      <c r="AE4871">
        <v>0</v>
      </c>
      <c r="AF4871">
        <v>0</v>
      </c>
      <c r="AG4871">
        <v>1</v>
      </c>
      <c r="AI4871">
        <v>0</v>
      </c>
      <c r="AJ4871">
        <v>10</v>
      </c>
      <c r="AK4871">
        <v>308</v>
      </c>
      <c r="AL4871">
        <v>308</v>
      </c>
      <c r="AM4871">
        <v>396</v>
      </c>
      <c r="AN4871">
        <v>44</v>
      </c>
      <c r="AP4871">
        <v>1</v>
      </c>
      <c r="AR4871" t="s">
        <v>4974</v>
      </c>
      <c r="AS4871" s="1">
        <v>44354.032638888886</v>
      </c>
      <c r="AT4871" s="1">
        <v>44354.041006944448</v>
      </c>
      <c r="AU4871" s="1">
        <v>44354.04179398148</v>
      </c>
      <c r="AV4871" t="s">
        <v>71</v>
      </c>
      <c r="AW4871" t="s">
        <v>72</v>
      </c>
      <c r="AX4871" t="s">
        <v>73</v>
      </c>
    </row>
    <row r="4872" spans="1:50" x14ac:dyDescent="0.3">
      <c r="A4872" t="str">
        <f>"201410C0100"</f>
        <v>201410C0100</v>
      </c>
      <c r="B4872" t="str">
        <f>"201410C01002"</f>
        <v>201410C01002</v>
      </c>
      <c r="C4872" t="str">
        <f t="shared" si="245"/>
        <v>20</v>
      </c>
      <c r="D4872" t="s">
        <v>67</v>
      </c>
      <c r="E4872" t="str">
        <f t="shared" si="244"/>
        <v>022</v>
      </c>
      <c r="F4872" t="s">
        <v>4913</v>
      </c>
      <c r="G4872" t="str">
        <f>"1410"</f>
        <v>1410</v>
      </c>
      <c r="H4872" t="str">
        <f>"0001"</f>
        <v>0001</v>
      </c>
      <c r="I4872" t="s">
        <v>75</v>
      </c>
      <c r="J4872">
        <v>0</v>
      </c>
      <c r="K4872">
        <v>1</v>
      </c>
      <c r="L4872">
        <v>2</v>
      </c>
      <c r="M4872">
        <v>145</v>
      </c>
      <c r="N4872">
        <v>294</v>
      </c>
      <c r="O4872">
        <v>6</v>
      </c>
      <c r="P4872">
        <v>294</v>
      </c>
      <c r="Q4872">
        <v>6</v>
      </c>
      <c r="R4872">
        <v>133</v>
      </c>
      <c r="S4872">
        <v>14</v>
      </c>
      <c r="T4872">
        <v>0</v>
      </c>
      <c r="U4872">
        <v>0</v>
      </c>
      <c r="V4872">
        <v>3</v>
      </c>
      <c r="W4872">
        <v>1</v>
      </c>
      <c r="X4872">
        <v>70</v>
      </c>
      <c r="Y4872">
        <v>4</v>
      </c>
      <c r="Z4872">
        <v>4</v>
      </c>
      <c r="AA4872">
        <v>37</v>
      </c>
      <c r="AB4872">
        <v>2</v>
      </c>
      <c r="AD4872">
        <v>4</v>
      </c>
      <c r="AE4872">
        <v>2</v>
      </c>
      <c r="AF4872">
        <v>0</v>
      </c>
      <c r="AG4872">
        <v>2</v>
      </c>
      <c r="AI4872">
        <v>0</v>
      </c>
      <c r="AJ4872">
        <v>12</v>
      </c>
      <c r="AK4872">
        <v>294</v>
      </c>
      <c r="AL4872">
        <v>294</v>
      </c>
      <c r="AM4872">
        <v>395</v>
      </c>
      <c r="AN4872">
        <v>44</v>
      </c>
      <c r="AP4872">
        <v>1</v>
      </c>
      <c r="AR4872" s="2" t="s">
        <v>4975</v>
      </c>
      <c r="AS4872" s="1">
        <v>44354.032638888886</v>
      </c>
      <c r="AT4872" s="1">
        <v>44354.04414351852</v>
      </c>
      <c r="AU4872" s="1">
        <v>44354.044675925928</v>
      </c>
      <c r="AV4872" t="s">
        <v>71</v>
      </c>
      <c r="AW4872" t="s">
        <v>72</v>
      </c>
      <c r="AX4872" t="s">
        <v>73</v>
      </c>
    </row>
    <row r="4873" spans="1:50" x14ac:dyDescent="0.3">
      <c r="A4873" t="str">
        <f>"201410E0100"</f>
        <v>201410E0100</v>
      </c>
      <c r="B4873" t="str">
        <f>"201410E01002"</f>
        <v>201410E01002</v>
      </c>
      <c r="C4873" t="str">
        <f t="shared" si="245"/>
        <v>20</v>
      </c>
      <c r="D4873" t="s">
        <v>67</v>
      </c>
      <c r="E4873" t="str">
        <f t="shared" si="244"/>
        <v>022</v>
      </c>
      <c r="F4873" t="s">
        <v>4913</v>
      </c>
      <c r="G4873" t="str">
        <f>"1410"</f>
        <v>1410</v>
      </c>
      <c r="H4873" t="str">
        <f>"0001"</f>
        <v>0001</v>
      </c>
      <c r="I4873" t="s">
        <v>109</v>
      </c>
      <c r="J4873">
        <v>0</v>
      </c>
      <c r="K4873">
        <v>1</v>
      </c>
      <c r="L4873">
        <v>2</v>
      </c>
      <c r="M4873">
        <v>95</v>
      </c>
      <c r="N4873">
        <v>182</v>
      </c>
      <c r="O4873">
        <v>3</v>
      </c>
      <c r="P4873">
        <v>182</v>
      </c>
      <c r="Q4873">
        <v>3</v>
      </c>
      <c r="R4873">
        <v>55</v>
      </c>
      <c r="S4873">
        <v>12</v>
      </c>
      <c r="T4873">
        <v>2</v>
      </c>
      <c r="U4873">
        <v>2</v>
      </c>
      <c r="V4873">
        <v>5</v>
      </c>
      <c r="W4873">
        <v>0</v>
      </c>
      <c r="X4873">
        <v>33</v>
      </c>
      <c r="Y4873">
        <v>18</v>
      </c>
      <c r="Z4873">
        <v>3</v>
      </c>
      <c r="AA4873">
        <v>32</v>
      </c>
      <c r="AB4873">
        <v>0</v>
      </c>
      <c r="AD4873">
        <v>1</v>
      </c>
      <c r="AE4873">
        <v>0</v>
      </c>
      <c r="AF4873">
        <v>1</v>
      </c>
      <c r="AG4873">
        <v>1</v>
      </c>
      <c r="AI4873">
        <v>0</v>
      </c>
      <c r="AJ4873">
        <v>14</v>
      </c>
      <c r="AK4873">
        <v>182</v>
      </c>
      <c r="AL4873">
        <v>182</v>
      </c>
      <c r="AM4873">
        <v>233</v>
      </c>
      <c r="AN4873">
        <v>44</v>
      </c>
      <c r="AP4873">
        <v>1</v>
      </c>
      <c r="AR4873" t="s">
        <v>4976</v>
      </c>
      <c r="AS4873" s="1">
        <v>44354.03402777778</v>
      </c>
      <c r="AT4873" s="1">
        <v>44354.049479166664</v>
      </c>
      <c r="AU4873" s="1">
        <v>44354.050393518519</v>
      </c>
      <c r="AV4873" t="s">
        <v>71</v>
      </c>
      <c r="AW4873" t="s">
        <v>72</v>
      </c>
      <c r="AX4873" t="s">
        <v>73</v>
      </c>
    </row>
    <row r="4874" spans="1:50" x14ac:dyDescent="0.3">
      <c r="A4874" t="str">
        <f>"201454B0000"</f>
        <v>201454B0000</v>
      </c>
      <c r="B4874" t="str">
        <f>"201454B00002"</f>
        <v>201454B00002</v>
      </c>
      <c r="C4874" t="str">
        <f t="shared" si="245"/>
        <v>20</v>
      </c>
      <c r="D4874" t="s">
        <v>67</v>
      </c>
      <c r="E4874" t="str">
        <f t="shared" si="244"/>
        <v>022</v>
      </c>
      <c r="F4874" t="s">
        <v>4913</v>
      </c>
      <c r="G4874" t="str">
        <f>"1454"</f>
        <v>1454</v>
      </c>
      <c r="H4874" t="str">
        <f>"0000"</f>
        <v>0000</v>
      </c>
      <c r="I4874" t="s">
        <v>69</v>
      </c>
      <c r="J4874">
        <v>0</v>
      </c>
      <c r="K4874">
        <v>1</v>
      </c>
      <c r="L4874">
        <v>2</v>
      </c>
      <c r="M4874">
        <v>140</v>
      </c>
      <c r="N4874">
        <v>430</v>
      </c>
      <c r="O4874">
        <v>0</v>
      </c>
      <c r="P4874">
        <v>430</v>
      </c>
      <c r="Q4874">
        <v>1</v>
      </c>
      <c r="R4874">
        <v>13</v>
      </c>
      <c r="S4874">
        <v>65</v>
      </c>
      <c r="T4874">
        <v>77</v>
      </c>
      <c r="U4874">
        <v>109</v>
      </c>
      <c r="V4874">
        <v>0</v>
      </c>
      <c r="W4874">
        <v>0</v>
      </c>
      <c r="X4874">
        <v>49</v>
      </c>
      <c r="Y4874">
        <v>96</v>
      </c>
      <c r="Z4874">
        <v>2</v>
      </c>
      <c r="AA4874">
        <v>4</v>
      </c>
      <c r="AB4874">
        <v>1</v>
      </c>
      <c r="AD4874">
        <v>2</v>
      </c>
      <c r="AE4874">
        <v>0</v>
      </c>
      <c r="AF4874">
        <v>0</v>
      </c>
      <c r="AG4874">
        <v>0</v>
      </c>
      <c r="AI4874">
        <v>0</v>
      </c>
      <c r="AJ4874">
        <v>11</v>
      </c>
      <c r="AK4874">
        <v>430</v>
      </c>
      <c r="AL4874">
        <v>430</v>
      </c>
      <c r="AM4874">
        <v>526</v>
      </c>
      <c r="AN4874">
        <v>44</v>
      </c>
      <c r="AP4874">
        <v>1</v>
      </c>
      <c r="AR4874" t="s">
        <v>4977</v>
      </c>
      <c r="AS4874" s="1">
        <v>44354.069895833331</v>
      </c>
      <c r="AT4874" s="1">
        <v>44354.075729166667</v>
      </c>
      <c r="AU4874" s="1">
        <v>44354.076145833336</v>
      </c>
      <c r="AV4874" t="s">
        <v>269</v>
      </c>
      <c r="AW4874" t="s">
        <v>270</v>
      </c>
      <c r="AX4874" t="s">
        <v>73</v>
      </c>
    </row>
    <row r="4875" spans="1:50" x14ac:dyDescent="0.3">
      <c r="A4875" t="str">
        <f>"201454C0100"</f>
        <v>201454C0100</v>
      </c>
      <c r="B4875" t="str">
        <f>"201454C01002"</f>
        <v>201454C01002</v>
      </c>
      <c r="C4875" t="str">
        <f t="shared" si="245"/>
        <v>20</v>
      </c>
      <c r="D4875" t="s">
        <v>67</v>
      </c>
      <c r="E4875" t="str">
        <f t="shared" ref="E4875:E4938" si="246">"022"</f>
        <v>022</v>
      </c>
      <c r="F4875" t="s">
        <v>4913</v>
      </c>
      <c r="G4875" t="str">
        <f>"1454"</f>
        <v>1454</v>
      </c>
      <c r="H4875" t="str">
        <f>"0001"</f>
        <v>0001</v>
      </c>
      <c r="I4875" t="s">
        <v>75</v>
      </c>
      <c r="J4875">
        <v>0</v>
      </c>
      <c r="K4875">
        <v>1</v>
      </c>
      <c r="L4875">
        <v>2</v>
      </c>
      <c r="M4875">
        <v>160</v>
      </c>
      <c r="N4875">
        <v>409</v>
      </c>
      <c r="O4875">
        <v>3</v>
      </c>
      <c r="P4875">
        <v>409</v>
      </c>
      <c r="Q4875">
        <v>3</v>
      </c>
      <c r="R4875">
        <v>3</v>
      </c>
      <c r="S4875">
        <v>64</v>
      </c>
      <c r="T4875">
        <v>52</v>
      </c>
      <c r="U4875">
        <v>97</v>
      </c>
      <c r="V4875">
        <v>0</v>
      </c>
      <c r="W4875">
        <v>1</v>
      </c>
      <c r="X4875">
        <v>70</v>
      </c>
      <c r="Y4875">
        <v>93</v>
      </c>
      <c r="Z4875">
        <v>6</v>
      </c>
      <c r="AA4875">
        <v>5</v>
      </c>
      <c r="AB4875">
        <v>0</v>
      </c>
      <c r="AD4875">
        <v>2</v>
      </c>
      <c r="AE4875">
        <v>0</v>
      </c>
      <c r="AF4875">
        <v>0</v>
      </c>
      <c r="AG4875">
        <v>2</v>
      </c>
      <c r="AI4875">
        <v>0</v>
      </c>
      <c r="AJ4875">
        <v>11</v>
      </c>
      <c r="AK4875">
        <v>409</v>
      </c>
      <c r="AL4875">
        <v>409</v>
      </c>
      <c r="AM4875">
        <v>525</v>
      </c>
      <c r="AN4875">
        <v>44</v>
      </c>
      <c r="AP4875">
        <v>1</v>
      </c>
      <c r="AR4875" t="s">
        <v>4978</v>
      </c>
      <c r="AS4875" s="1">
        <v>44354.067627314813</v>
      </c>
      <c r="AT4875" s="1">
        <v>44354.072650462964</v>
      </c>
      <c r="AU4875" s="1">
        <v>44354.073240740741</v>
      </c>
      <c r="AV4875" t="s">
        <v>269</v>
      </c>
      <c r="AW4875" t="s">
        <v>270</v>
      </c>
      <c r="AX4875" t="s">
        <v>73</v>
      </c>
    </row>
    <row r="4876" spans="1:50" x14ac:dyDescent="0.3">
      <c r="A4876" t="str">
        <f>"201455B0000"</f>
        <v>201455B0000</v>
      </c>
      <c r="B4876" t="str">
        <f>"201455B00002"</f>
        <v>201455B00002</v>
      </c>
      <c r="C4876" t="str">
        <f t="shared" si="245"/>
        <v>20</v>
      </c>
      <c r="D4876" t="s">
        <v>67</v>
      </c>
      <c r="E4876" t="str">
        <f t="shared" si="246"/>
        <v>022</v>
      </c>
      <c r="F4876" t="s">
        <v>4913</v>
      </c>
      <c r="G4876" t="str">
        <f>"1455"</f>
        <v>1455</v>
      </c>
      <c r="H4876" t="str">
        <f>"0000"</f>
        <v>0000</v>
      </c>
      <c r="I4876" t="s">
        <v>69</v>
      </c>
      <c r="J4876">
        <v>0</v>
      </c>
      <c r="K4876">
        <v>1</v>
      </c>
      <c r="L4876">
        <v>2</v>
      </c>
      <c r="M4876">
        <v>164</v>
      </c>
      <c r="N4876">
        <v>400</v>
      </c>
      <c r="O4876">
        <v>0</v>
      </c>
      <c r="P4876">
        <v>400</v>
      </c>
      <c r="Q4876">
        <v>0</v>
      </c>
      <c r="R4876">
        <v>11</v>
      </c>
      <c r="S4876">
        <v>56</v>
      </c>
      <c r="T4876">
        <v>45</v>
      </c>
      <c r="U4876">
        <v>93</v>
      </c>
      <c r="V4876">
        <v>0</v>
      </c>
      <c r="W4876">
        <v>0</v>
      </c>
      <c r="X4876">
        <v>58</v>
      </c>
      <c r="Y4876">
        <v>125</v>
      </c>
      <c r="Z4876">
        <v>5</v>
      </c>
      <c r="AA4876">
        <v>2</v>
      </c>
      <c r="AB4876">
        <v>0</v>
      </c>
      <c r="AD4876">
        <v>1</v>
      </c>
      <c r="AE4876">
        <v>0</v>
      </c>
      <c r="AF4876">
        <v>0</v>
      </c>
      <c r="AG4876">
        <v>0</v>
      </c>
      <c r="AI4876">
        <v>0</v>
      </c>
      <c r="AJ4876">
        <v>4</v>
      </c>
      <c r="AK4876">
        <v>400</v>
      </c>
      <c r="AL4876">
        <v>400</v>
      </c>
      <c r="AM4876">
        <v>520</v>
      </c>
      <c r="AN4876">
        <v>44</v>
      </c>
      <c r="AP4876">
        <v>1</v>
      </c>
      <c r="AR4876" t="s">
        <v>4979</v>
      </c>
      <c r="AS4876" s="1">
        <v>44354.001828703702</v>
      </c>
      <c r="AT4876" s="1">
        <v>44354.006388888891</v>
      </c>
      <c r="AU4876" s="1">
        <v>44354.006874999999</v>
      </c>
      <c r="AV4876" t="s">
        <v>269</v>
      </c>
      <c r="AW4876" t="s">
        <v>270</v>
      </c>
      <c r="AX4876" t="s">
        <v>73</v>
      </c>
    </row>
    <row r="4877" spans="1:50" x14ac:dyDescent="0.3">
      <c r="A4877" t="str">
        <f>"201455C0100"</f>
        <v>201455C0100</v>
      </c>
      <c r="B4877" t="str">
        <f>"201455C01002"</f>
        <v>201455C01002</v>
      </c>
      <c r="C4877" t="str">
        <f t="shared" si="245"/>
        <v>20</v>
      </c>
      <c r="D4877" t="s">
        <v>67</v>
      </c>
      <c r="E4877" t="str">
        <f t="shared" si="246"/>
        <v>022</v>
      </c>
      <c r="F4877" t="s">
        <v>4913</v>
      </c>
      <c r="G4877" t="str">
        <f>"1455"</f>
        <v>1455</v>
      </c>
      <c r="H4877" t="str">
        <f>"0001"</f>
        <v>0001</v>
      </c>
      <c r="I4877" t="s">
        <v>75</v>
      </c>
      <c r="J4877">
        <v>0</v>
      </c>
      <c r="K4877">
        <v>1</v>
      </c>
      <c r="L4877">
        <v>2</v>
      </c>
      <c r="M4877">
        <v>156</v>
      </c>
      <c r="N4877">
        <v>408</v>
      </c>
      <c r="O4877">
        <v>0</v>
      </c>
      <c r="P4877">
        <v>408</v>
      </c>
      <c r="Q4877">
        <v>2</v>
      </c>
      <c r="R4877">
        <v>13</v>
      </c>
      <c r="S4877">
        <v>65</v>
      </c>
      <c r="T4877">
        <v>30</v>
      </c>
      <c r="U4877">
        <v>70</v>
      </c>
      <c r="V4877">
        <v>0</v>
      </c>
      <c r="W4877">
        <v>1</v>
      </c>
      <c r="X4877">
        <v>63</v>
      </c>
      <c r="Y4877">
        <v>146</v>
      </c>
      <c r="Z4877">
        <v>4</v>
      </c>
      <c r="AA4877">
        <v>2</v>
      </c>
      <c r="AB4877">
        <v>1</v>
      </c>
      <c r="AD4877">
        <v>1</v>
      </c>
      <c r="AE4877">
        <v>0</v>
      </c>
      <c r="AF4877">
        <v>0</v>
      </c>
      <c r="AG4877">
        <v>0</v>
      </c>
      <c r="AI4877">
        <v>0</v>
      </c>
      <c r="AJ4877">
        <v>10</v>
      </c>
      <c r="AK4877">
        <v>408</v>
      </c>
      <c r="AL4877">
        <v>408</v>
      </c>
      <c r="AM4877">
        <v>520</v>
      </c>
      <c r="AN4877">
        <v>44</v>
      </c>
      <c r="AP4877">
        <v>1</v>
      </c>
      <c r="AR4877" t="s">
        <v>4980</v>
      </c>
      <c r="AS4877" s="1">
        <v>44353.987569444442</v>
      </c>
      <c r="AT4877" s="1">
        <v>44353.989178240743</v>
      </c>
      <c r="AU4877" s="1">
        <v>44353.989733796298</v>
      </c>
      <c r="AV4877" t="s">
        <v>269</v>
      </c>
      <c r="AW4877" t="s">
        <v>270</v>
      </c>
      <c r="AX4877" t="s">
        <v>73</v>
      </c>
    </row>
    <row r="4878" spans="1:50" x14ac:dyDescent="0.3">
      <c r="A4878" t="str">
        <f>"201455C0200"</f>
        <v>201455C0200</v>
      </c>
      <c r="B4878" t="str">
        <f>"201455C02002"</f>
        <v>201455C02002</v>
      </c>
      <c r="C4878" t="str">
        <f t="shared" si="245"/>
        <v>20</v>
      </c>
      <c r="D4878" t="s">
        <v>67</v>
      </c>
      <c r="E4878" t="str">
        <f t="shared" si="246"/>
        <v>022</v>
      </c>
      <c r="F4878" t="s">
        <v>4913</v>
      </c>
      <c r="G4878" t="str">
        <f>"1455"</f>
        <v>1455</v>
      </c>
      <c r="H4878" t="str">
        <f>"0002"</f>
        <v>0002</v>
      </c>
      <c r="I4878" t="s">
        <v>75</v>
      </c>
      <c r="J4878">
        <v>0</v>
      </c>
      <c r="K4878">
        <v>1</v>
      </c>
      <c r="L4878">
        <v>2</v>
      </c>
      <c r="M4878">
        <v>168</v>
      </c>
      <c r="N4878">
        <v>396</v>
      </c>
      <c r="O4878">
        <v>3</v>
      </c>
      <c r="P4878">
        <v>396</v>
      </c>
      <c r="Q4878">
        <v>3</v>
      </c>
      <c r="R4878">
        <v>8</v>
      </c>
      <c r="S4878">
        <v>54</v>
      </c>
      <c r="T4878">
        <v>30</v>
      </c>
      <c r="U4878">
        <v>79</v>
      </c>
      <c r="V4878">
        <v>2</v>
      </c>
      <c r="W4878">
        <v>1</v>
      </c>
      <c r="X4878">
        <v>70</v>
      </c>
      <c r="Y4878">
        <v>133</v>
      </c>
      <c r="Z4878">
        <v>3</v>
      </c>
      <c r="AA4878">
        <v>3</v>
      </c>
      <c r="AB4878">
        <v>0</v>
      </c>
      <c r="AD4878">
        <v>1</v>
      </c>
      <c r="AE4878">
        <v>1</v>
      </c>
      <c r="AF4878">
        <v>0</v>
      </c>
      <c r="AG4878">
        <v>0</v>
      </c>
      <c r="AI4878">
        <v>0</v>
      </c>
      <c r="AJ4878">
        <v>8</v>
      </c>
      <c r="AK4878">
        <v>396</v>
      </c>
      <c r="AL4878">
        <v>396</v>
      </c>
      <c r="AM4878">
        <v>520</v>
      </c>
      <c r="AN4878">
        <v>44</v>
      </c>
      <c r="AP4878">
        <v>1</v>
      </c>
      <c r="AR4878" t="s">
        <v>4981</v>
      </c>
      <c r="AS4878" s="1">
        <v>44353.920613425929</v>
      </c>
      <c r="AT4878" s="1">
        <v>44353.921817129631</v>
      </c>
      <c r="AU4878" s="1">
        <v>44353.922777777778</v>
      </c>
      <c r="AV4878" t="s">
        <v>269</v>
      </c>
      <c r="AW4878" t="s">
        <v>270</v>
      </c>
      <c r="AX4878" t="s">
        <v>73</v>
      </c>
    </row>
    <row r="4879" spans="1:50" x14ac:dyDescent="0.3">
      <c r="A4879" t="str">
        <f>"201456B0000"</f>
        <v>201456B0000</v>
      </c>
      <c r="B4879" t="str">
        <f>"201456B00002"</f>
        <v>201456B00002</v>
      </c>
      <c r="C4879" t="str">
        <f t="shared" si="245"/>
        <v>20</v>
      </c>
      <c r="D4879" t="s">
        <v>67</v>
      </c>
      <c r="E4879" t="str">
        <f t="shared" si="246"/>
        <v>022</v>
      </c>
      <c r="F4879" t="s">
        <v>4913</v>
      </c>
      <c r="G4879" t="str">
        <f>"1456"</f>
        <v>1456</v>
      </c>
      <c r="H4879" t="str">
        <f>"0000"</f>
        <v>0000</v>
      </c>
      <c r="I4879" t="s">
        <v>69</v>
      </c>
      <c r="J4879">
        <v>0</v>
      </c>
      <c r="K4879">
        <v>1</v>
      </c>
      <c r="L4879">
        <v>2</v>
      </c>
      <c r="M4879">
        <v>131</v>
      </c>
      <c r="N4879">
        <v>261</v>
      </c>
      <c r="O4879">
        <v>0</v>
      </c>
      <c r="P4879">
        <v>261</v>
      </c>
      <c r="Q4879">
        <v>4</v>
      </c>
      <c r="R4879">
        <v>1</v>
      </c>
      <c r="S4879">
        <v>47</v>
      </c>
      <c r="T4879">
        <v>42</v>
      </c>
      <c r="U4879">
        <v>27</v>
      </c>
      <c r="V4879">
        <v>4</v>
      </c>
      <c r="W4879">
        <v>0</v>
      </c>
      <c r="X4879">
        <v>83</v>
      </c>
      <c r="Y4879">
        <v>43</v>
      </c>
      <c r="Z4879">
        <v>0</v>
      </c>
      <c r="AA4879">
        <v>1</v>
      </c>
      <c r="AB4879">
        <v>0</v>
      </c>
      <c r="AD4879">
        <v>0</v>
      </c>
      <c r="AE4879">
        <v>0</v>
      </c>
      <c r="AF4879">
        <v>0</v>
      </c>
      <c r="AG4879">
        <v>2</v>
      </c>
      <c r="AI4879">
        <v>0</v>
      </c>
      <c r="AJ4879">
        <v>7</v>
      </c>
      <c r="AK4879">
        <v>261</v>
      </c>
      <c r="AL4879">
        <v>261</v>
      </c>
      <c r="AM4879">
        <v>348</v>
      </c>
      <c r="AN4879">
        <v>44</v>
      </c>
      <c r="AP4879">
        <v>1</v>
      </c>
      <c r="AR4879" t="s">
        <v>4982</v>
      </c>
      <c r="AS4879" s="1">
        <v>44354.029768518521</v>
      </c>
      <c r="AT4879" s="1">
        <v>44354.037812499999</v>
      </c>
      <c r="AU4879" s="1">
        <v>44354.038958333331</v>
      </c>
      <c r="AV4879" t="s">
        <v>269</v>
      </c>
      <c r="AW4879" t="s">
        <v>270</v>
      </c>
      <c r="AX4879" t="s">
        <v>73</v>
      </c>
    </row>
    <row r="4880" spans="1:50" x14ac:dyDescent="0.3">
      <c r="A4880" t="str">
        <f>"201457B0000"</f>
        <v>201457B0000</v>
      </c>
      <c r="B4880" t="str">
        <f>"201457B00002"</f>
        <v>201457B00002</v>
      </c>
      <c r="C4880" t="str">
        <f t="shared" si="245"/>
        <v>20</v>
      </c>
      <c r="D4880" t="s">
        <v>67</v>
      </c>
      <c r="E4880" t="str">
        <f t="shared" si="246"/>
        <v>022</v>
      </c>
      <c r="F4880" t="s">
        <v>4913</v>
      </c>
      <c r="G4880" t="str">
        <f>"1457"</f>
        <v>1457</v>
      </c>
      <c r="H4880" t="str">
        <f>"0000"</f>
        <v>0000</v>
      </c>
      <c r="I4880" t="s">
        <v>69</v>
      </c>
      <c r="J4880">
        <v>0</v>
      </c>
      <c r="K4880">
        <v>1</v>
      </c>
      <c r="L4880">
        <v>2</v>
      </c>
      <c r="M4880">
        <v>84</v>
      </c>
      <c r="N4880">
        <v>205</v>
      </c>
      <c r="O4880">
        <v>0</v>
      </c>
      <c r="P4880">
        <v>205</v>
      </c>
      <c r="Q4880">
        <v>1</v>
      </c>
      <c r="R4880">
        <v>3</v>
      </c>
      <c r="S4880">
        <v>31</v>
      </c>
      <c r="T4880">
        <v>8</v>
      </c>
      <c r="U4880">
        <v>25</v>
      </c>
      <c r="V4880">
        <v>0</v>
      </c>
      <c r="W4880">
        <v>2</v>
      </c>
      <c r="X4880">
        <v>85</v>
      </c>
      <c r="Y4880">
        <v>40</v>
      </c>
      <c r="Z4880">
        <v>2</v>
      </c>
      <c r="AA4880">
        <v>1</v>
      </c>
      <c r="AB4880">
        <v>0</v>
      </c>
      <c r="AD4880">
        <v>0</v>
      </c>
      <c r="AE4880">
        <v>0</v>
      </c>
      <c r="AF4880">
        <v>0</v>
      </c>
      <c r="AG4880">
        <v>0</v>
      </c>
      <c r="AI4880">
        <v>0</v>
      </c>
      <c r="AJ4880">
        <v>7</v>
      </c>
      <c r="AK4880">
        <v>205</v>
      </c>
      <c r="AL4880">
        <v>205</v>
      </c>
      <c r="AM4880">
        <v>245</v>
      </c>
      <c r="AN4880">
        <v>44</v>
      </c>
      <c r="AP4880">
        <v>1</v>
      </c>
      <c r="AR4880" t="s">
        <v>4983</v>
      </c>
      <c r="AS4880" s="1">
        <v>44353.912245370368</v>
      </c>
      <c r="AT4880" s="1">
        <v>44353.913541666669</v>
      </c>
      <c r="AU4880" s="1">
        <v>44353.914537037039</v>
      </c>
      <c r="AV4880" t="s">
        <v>269</v>
      </c>
      <c r="AW4880" t="s">
        <v>270</v>
      </c>
      <c r="AX4880" t="s">
        <v>73</v>
      </c>
    </row>
    <row r="4881" spans="1:50" x14ac:dyDescent="0.3">
      <c r="A4881" t="str">
        <f>"201485B0000"</f>
        <v>201485B0000</v>
      </c>
      <c r="B4881" t="str">
        <f>"201485B00002"</f>
        <v>201485B00002</v>
      </c>
      <c r="C4881" t="str">
        <f t="shared" si="245"/>
        <v>20</v>
      </c>
      <c r="D4881" t="s">
        <v>67</v>
      </c>
      <c r="E4881" t="str">
        <f t="shared" si="246"/>
        <v>022</v>
      </c>
      <c r="F4881" t="s">
        <v>4913</v>
      </c>
      <c r="G4881" t="str">
        <f>"1485"</f>
        <v>1485</v>
      </c>
      <c r="H4881" t="str">
        <f>"0000"</f>
        <v>0000</v>
      </c>
      <c r="I4881" t="s">
        <v>69</v>
      </c>
      <c r="J4881">
        <v>0</v>
      </c>
      <c r="K4881">
        <v>1</v>
      </c>
      <c r="L4881">
        <v>2</v>
      </c>
      <c r="AM4881">
        <v>612</v>
      </c>
      <c r="AN4881">
        <v>44</v>
      </c>
      <c r="AO4881" t="s">
        <v>143</v>
      </c>
      <c r="AP4881">
        <v>0</v>
      </c>
      <c r="AR4881" t="s">
        <v>4984</v>
      </c>
      <c r="AS4881" s="1">
        <v>44354.216666666667</v>
      </c>
      <c r="AT4881" s="1">
        <v>44354.718055555553</v>
      </c>
      <c r="AU4881" s="1">
        <v>44354.718055555553</v>
      </c>
      <c r="AV4881" t="s">
        <v>71</v>
      </c>
      <c r="AW4881" t="s">
        <v>72</v>
      </c>
      <c r="AX4881" t="s">
        <v>73</v>
      </c>
    </row>
    <row r="4882" spans="1:50" x14ac:dyDescent="0.3">
      <c r="A4882" t="str">
        <f>"201485C0100"</f>
        <v>201485C0100</v>
      </c>
      <c r="B4882" t="str">
        <f>"201485C01002"</f>
        <v>201485C01002</v>
      </c>
      <c r="C4882" t="str">
        <f t="shared" si="245"/>
        <v>20</v>
      </c>
      <c r="D4882" t="s">
        <v>67</v>
      </c>
      <c r="E4882" t="str">
        <f t="shared" si="246"/>
        <v>022</v>
      </c>
      <c r="F4882" t="s">
        <v>4913</v>
      </c>
      <c r="G4882" t="str">
        <f>"1485"</f>
        <v>1485</v>
      </c>
      <c r="H4882" t="str">
        <f>"0001"</f>
        <v>0001</v>
      </c>
      <c r="I4882" t="s">
        <v>75</v>
      </c>
      <c r="J4882">
        <v>0</v>
      </c>
      <c r="K4882">
        <v>1</v>
      </c>
      <c r="L4882">
        <v>2</v>
      </c>
      <c r="M4882">
        <v>197</v>
      </c>
      <c r="N4882" t="s">
        <v>80</v>
      </c>
      <c r="O4882" t="s">
        <v>80</v>
      </c>
      <c r="P4882" t="s">
        <v>80</v>
      </c>
      <c r="Q4882">
        <v>2</v>
      </c>
      <c r="R4882">
        <v>65</v>
      </c>
      <c r="S4882">
        <v>82</v>
      </c>
      <c r="T4882">
        <v>4</v>
      </c>
      <c r="U4882">
        <v>1</v>
      </c>
      <c r="V4882">
        <v>2</v>
      </c>
      <c r="W4882">
        <v>3</v>
      </c>
      <c r="X4882">
        <v>155</v>
      </c>
      <c r="Y4882">
        <v>82</v>
      </c>
      <c r="Z4882">
        <v>1</v>
      </c>
      <c r="AA4882">
        <v>43</v>
      </c>
      <c r="AB4882">
        <v>13</v>
      </c>
      <c r="AD4882" t="s">
        <v>77</v>
      </c>
      <c r="AE4882" t="s">
        <v>77</v>
      </c>
      <c r="AF4882" t="s">
        <v>77</v>
      </c>
      <c r="AG4882" t="s">
        <v>77</v>
      </c>
      <c r="AI4882" t="s">
        <v>77</v>
      </c>
      <c r="AJ4882" t="s">
        <v>77</v>
      </c>
      <c r="AK4882" t="s">
        <v>77</v>
      </c>
      <c r="AL4882">
        <v>453</v>
      </c>
      <c r="AM4882">
        <v>612</v>
      </c>
      <c r="AN4882">
        <v>44</v>
      </c>
      <c r="AO4882" t="s">
        <v>78</v>
      </c>
      <c r="AP4882">
        <v>1</v>
      </c>
      <c r="AR4882" t="s">
        <v>4985</v>
      </c>
      <c r="AS4882" s="1">
        <v>44354.117361111108</v>
      </c>
      <c r="AT4882" s="1">
        <v>44354.121423611112</v>
      </c>
      <c r="AU4882" s="1">
        <v>44354.122071759259</v>
      </c>
      <c r="AV4882" t="s">
        <v>71</v>
      </c>
      <c r="AW4882" t="s">
        <v>72</v>
      </c>
      <c r="AX4882" t="s">
        <v>73</v>
      </c>
    </row>
    <row r="4883" spans="1:50" x14ac:dyDescent="0.3">
      <c r="A4883" t="str">
        <f>"201486B0000"</f>
        <v>201486B0000</v>
      </c>
      <c r="B4883" t="str">
        <f>"201486B00002"</f>
        <v>201486B00002</v>
      </c>
      <c r="C4883" t="str">
        <f t="shared" si="245"/>
        <v>20</v>
      </c>
      <c r="D4883" t="s">
        <v>67</v>
      </c>
      <c r="E4883" t="str">
        <f t="shared" si="246"/>
        <v>022</v>
      </c>
      <c r="F4883" t="s">
        <v>4913</v>
      </c>
      <c r="G4883" t="str">
        <f>"1486"</f>
        <v>1486</v>
      </c>
      <c r="H4883" t="str">
        <f>"0000"</f>
        <v>0000</v>
      </c>
      <c r="I4883" t="s">
        <v>69</v>
      </c>
      <c r="J4883">
        <v>0</v>
      </c>
      <c r="K4883">
        <v>1</v>
      </c>
      <c r="L4883">
        <v>2</v>
      </c>
      <c r="M4883">
        <v>193</v>
      </c>
      <c r="N4883" t="s">
        <v>80</v>
      </c>
      <c r="O4883" t="s">
        <v>80</v>
      </c>
      <c r="P4883">
        <v>449</v>
      </c>
      <c r="Q4883">
        <v>1</v>
      </c>
      <c r="R4883">
        <v>53</v>
      </c>
      <c r="S4883" t="s">
        <v>99</v>
      </c>
      <c r="T4883">
        <v>3</v>
      </c>
      <c r="U4883">
        <v>4</v>
      </c>
      <c r="V4883">
        <v>2</v>
      </c>
      <c r="W4883">
        <v>1</v>
      </c>
      <c r="X4883">
        <v>124</v>
      </c>
      <c r="Y4883">
        <v>109</v>
      </c>
      <c r="Z4883">
        <v>2</v>
      </c>
      <c r="AA4883">
        <v>33</v>
      </c>
      <c r="AB4883">
        <v>11</v>
      </c>
      <c r="AD4883">
        <v>1</v>
      </c>
      <c r="AE4883">
        <v>0</v>
      </c>
      <c r="AF4883">
        <v>1</v>
      </c>
      <c r="AG4883">
        <v>0</v>
      </c>
      <c r="AI4883">
        <v>0</v>
      </c>
      <c r="AJ4883">
        <v>12</v>
      </c>
      <c r="AK4883">
        <v>449</v>
      </c>
      <c r="AL4883">
        <v>357</v>
      </c>
      <c r="AM4883">
        <v>594</v>
      </c>
      <c r="AN4883">
        <v>44</v>
      </c>
      <c r="AO4883" t="s">
        <v>78</v>
      </c>
      <c r="AP4883">
        <v>1</v>
      </c>
      <c r="AR4883" t="s">
        <v>4986</v>
      </c>
      <c r="AS4883" s="1">
        <v>44354.415972222225</v>
      </c>
      <c r="AT4883" s="1">
        <v>44354.417662037034</v>
      </c>
      <c r="AU4883" s="1">
        <v>44354.419108796297</v>
      </c>
      <c r="AV4883" t="s">
        <v>71</v>
      </c>
      <c r="AW4883" t="s">
        <v>72</v>
      </c>
      <c r="AX4883" t="s">
        <v>347</v>
      </c>
    </row>
    <row r="4884" spans="1:50" x14ac:dyDescent="0.3">
      <c r="A4884" t="str">
        <f>"201486C0100"</f>
        <v>201486C0100</v>
      </c>
      <c r="B4884" t="str">
        <f>"201486C01002"</f>
        <v>201486C01002</v>
      </c>
      <c r="C4884" t="str">
        <f t="shared" si="245"/>
        <v>20</v>
      </c>
      <c r="D4884" t="s">
        <v>67</v>
      </c>
      <c r="E4884" t="str">
        <f t="shared" si="246"/>
        <v>022</v>
      </c>
      <c r="F4884" t="s">
        <v>4913</v>
      </c>
      <c r="G4884" t="str">
        <f>"1486"</f>
        <v>1486</v>
      </c>
      <c r="H4884" t="str">
        <f>"0001"</f>
        <v>0001</v>
      </c>
      <c r="I4884" t="s">
        <v>75</v>
      </c>
      <c r="J4884">
        <v>0</v>
      </c>
      <c r="K4884">
        <v>1</v>
      </c>
      <c r="L4884">
        <v>2</v>
      </c>
      <c r="AM4884">
        <v>594</v>
      </c>
      <c r="AN4884">
        <v>44</v>
      </c>
      <c r="AO4884" t="s">
        <v>143</v>
      </c>
      <c r="AP4884">
        <v>0</v>
      </c>
      <c r="AR4884" t="s">
        <v>4987</v>
      </c>
      <c r="AS4884" s="1">
        <v>44354.216666666667</v>
      </c>
      <c r="AT4884" s="1">
        <v>44354.71875</v>
      </c>
      <c r="AU4884" s="1">
        <v>44354.71875</v>
      </c>
      <c r="AV4884" t="s">
        <v>71</v>
      </c>
      <c r="AW4884" t="s">
        <v>72</v>
      </c>
      <c r="AX4884" t="s">
        <v>73</v>
      </c>
    </row>
    <row r="4885" spans="1:50" x14ac:dyDescent="0.3">
      <c r="A4885" t="str">
        <f>"201487B0000"</f>
        <v>201487B0000</v>
      </c>
      <c r="B4885" t="str">
        <f>"201487B00002"</f>
        <v>201487B00002</v>
      </c>
      <c r="C4885" t="str">
        <f t="shared" si="245"/>
        <v>20</v>
      </c>
      <c r="D4885" t="s">
        <v>67</v>
      </c>
      <c r="E4885" t="str">
        <f t="shared" si="246"/>
        <v>022</v>
      </c>
      <c r="F4885" t="s">
        <v>4913</v>
      </c>
      <c r="G4885" t="str">
        <f>"1487"</f>
        <v>1487</v>
      </c>
      <c r="H4885" t="str">
        <f>"0000"</f>
        <v>0000</v>
      </c>
      <c r="I4885" t="s">
        <v>69</v>
      </c>
      <c r="J4885">
        <v>0</v>
      </c>
      <c r="K4885">
        <v>1</v>
      </c>
      <c r="L4885">
        <v>2</v>
      </c>
      <c r="M4885">
        <v>177</v>
      </c>
      <c r="N4885">
        <v>407</v>
      </c>
      <c r="O4885">
        <v>5</v>
      </c>
      <c r="P4885">
        <v>407</v>
      </c>
      <c r="Q4885">
        <v>2</v>
      </c>
      <c r="R4885">
        <v>49</v>
      </c>
      <c r="S4885">
        <v>80</v>
      </c>
      <c r="T4885">
        <v>4</v>
      </c>
      <c r="U4885">
        <v>4</v>
      </c>
      <c r="V4885">
        <v>1</v>
      </c>
      <c r="W4885">
        <v>0</v>
      </c>
      <c r="X4885">
        <v>87</v>
      </c>
      <c r="Y4885">
        <v>93</v>
      </c>
      <c r="Z4885">
        <v>5</v>
      </c>
      <c r="AA4885">
        <v>72</v>
      </c>
      <c r="AB4885">
        <v>5</v>
      </c>
      <c r="AD4885">
        <v>131</v>
      </c>
      <c r="AE4885" t="s">
        <v>77</v>
      </c>
      <c r="AF4885" t="s">
        <v>77</v>
      </c>
      <c r="AG4885" t="s">
        <v>77</v>
      </c>
      <c r="AI4885" t="s">
        <v>77</v>
      </c>
      <c r="AJ4885">
        <v>6</v>
      </c>
      <c r="AK4885">
        <v>407</v>
      </c>
      <c r="AL4885">
        <v>539</v>
      </c>
      <c r="AM4885">
        <v>540</v>
      </c>
      <c r="AN4885">
        <v>44</v>
      </c>
      <c r="AO4885" t="s">
        <v>78</v>
      </c>
      <c r="AP4885">
        <v>1</v>
      </c>
      <c r="AR4885" t="s">
        <v>4988</v>
      </c>
      <c r="AS4885" s="1">
        <v>44354.128472222219</v>
      </c>
      <c r="AT4885" s="1">
        <v>44354.131261574075</v>
      </c>
      <c r="AU4885" s="1">
        <v>44354.131874999999</v>
      </c>
      <c r="AV4885" t="s">
        <v>71</v>
      </c>
      <c r="AW4885" t="s">
        <v>72</v>
      </c>
      <c r="AX4885" t="s">
        <v>73</v>
      </c>
    </row>
    <row r="4886" spans="1:50" x14ac:dyDescent="0.3">
      <c r="A4886" t="str">
        <f>"201487C0100"</f>
        <v>201487C0100</v>
      </c>
      <c r="B4886" t="str">
        <f>"201487C01002"</f>
        <v>201487C01002</v>
      </c>
      <c r="C4886" t="str">
        <f t="shared" si="245"/>
        <v>20</v>
      </c>
      <c r="D4886" t="s">
        <v>67</v>
      </c>
      <c r="E4886" t="str">
        <f t="shared" si="246"/>
        <v>022</v>
      </c>
      <c r="F4886" t="s">
        <v>4913</v>
      </c>
      <c r="G4886" t="str">
        <f>"1487"</f>
        <v>1487</v>
      </c>
      <c r="H4886" t="str">
        <f>"0001"</f>
        <v>0001</v>
      </c>
      <c r="I4886" t="s">
        <v>75</v>
      </c>
      <c r="J4886">
        <v>0</v>
      </c>
      <c r="K4886">
        <v>1</v>
      </c>
      <c r="L4886">
        <v>2</v>
      </c>
      <c r="AM4886">
        <v>539</v>
      </c>
      <c r="AN4886">
        <v>44</v>
      </c>
      <c r="AO4886" t="s">
        <v>143</v>
      </c>
      <c r="AP4886">
        <v>0</v>
      </c>
      <c r="AR4886" t="s">
        <v>4989</v>
      </c>
      <c r="AS4886" s="1">
        <v>44354.216666666667</v>
      </c>
      <c r="AT4886" s="1">
        <v>44354.719340277778</v>
      </c>
      <c r="AU4886" s="1">
        <v>44354.719340277778</v>
      </c>
      <c r="AV4886" t="s">
        <v>71</v>
      </c>
      <c r="AW4886" t="s">
        <v>72</v>
      </c>
      <c r="AX4886" t="s">
        <v>73</v>
      </c>
    </row>
    <row r="4887" spans="1:50" x14ac:dyDescent="0.3">
      <c r="A4887" t="str">
        <f>"201488B0000"</f>
        <v>201488B0000</v>
      </c>
      <c r="B4887" t="str">
        <f>"201488B00002"</f>
        <v>201488B00002</v>
      </c>
      <c r="C4887" t="str">
        <f t="shared" si="245"/>
        <v>20</v>
      </c>
      <c r="D4887" t="s">
        <v>67</v>
      </c>
      <c r="E4887" t="str">
        <f t="shared" si="246"/>
        <v>022</v>
      </c>
      <c r="F4887" t="s">
        <v>4913</v>
      </c>
      <c r="G4887" t="str">
        <f>"1488"</f>
        <v>1488</v>
      </c>
      <c r="H4887" t="str">
        <f>"0000"</f>
        <v>0000</v>
      </c>
      <c r="I4887" t="s">
        <v>69</v>
      </c>
      <c r="J4887">
        <v>0</v>
      </c>
      <c r="K4887">
        <v>1</v>
      </c>
      <c r="L4887">
        <v>2</v>
      </c>
      <c r="M4887">
        <v>165</v>
      </c>
      <c r="N4887">
        <v>425</v>
      </c>
      <c r="O4887">
        <v>0</v>
      </c>
      <c r="P4887" t="s">
        <v>80</v>
      </c>
      <c r="Q4887">
        <v>2</v>
      </c>
      <c r="R4887">
        <v>88</v>
      </c>
      <c r="S4887">
        <v>77</v>
      </c>
      <c r="T4887">
        <v>5</v>
      </c>
      <c r="U4887">
        <v>2</v>
      </c>
      <c r="V4887">
        <v>1</v>
      </c>
      <c r="W4887">
        <v>2</v>
      </c>
      <c r="X4887">
        <v>80</v>
      </c>
      <c r="Y4887">
        <v>105</v>
      </c>
      <c r="Z4887">
        <v>0</v>
      </c>
      <c r="AA4887">
        <v>38</v>
      </c>
      <c r="AB4887">
        <v>7</v>
      </c>
      <c r="AD4887">
        <v>0</v>
      </c>
      <c r="AE4887">
        <v>0</v>
      </c>
      <c r="AF4887">
        <v>0</v>
      </c>
      <c r="AG4887">
        <v>0</v>
      </c>
      <c r="AI4887">
        <v>0</v>
      </c>
      <c r="AJ4887">
        <v>15</v>
      </c>
      <c r="AK4887">
        <v>425</v>
      </c>
      <c r="AL4887">
        <v>422</v>
      </c>
      <c r="AM4887">
        <v>546</v>
      </c>
      <c r="AN4887">
        <v>44</v>
      </c>
      <c r="AP4887">
        <v>1</v>
      </c>
      <c r="AR4887" t="s">
        <v>4990</v>
      </c>
      <c r="AS4887" s="1">
        <v>44354.191666666666</v>
      </c>
      <c r="AT4887" s="1">
        <v>44354.22210648148</v>
      </c>
      <c r="AU4887" s="1">
        <v>44354.222777777781</v>
      </c>
      <c r="AV4887" t="s">
        <v>71</v>
      </c>
      <c r="AW4887" t="s">
        <v>72</v>
      </c>
      <c r="AX4887" t="s">
        <v>73</v>
      </c>
    </row>
    <row r="4888" spans="1:50" x14ac:dyDescent="0.3">
      <c r="A4888" t="str">
        <f>"201488E0100"</f>
        <v>201488E0100</v>
      </c>
      <c r="B4888" t="str">
        <f>"201488E01002"</f>
        <v>201488E01002</v>
      </c>
      <c r="C4888" t="str">
        <f t="shared" si="245"/>
        <v>20</v>
      </c>
      <c r="D4888" t="s">
        <v>67</v>
      </c>
      <c r="E4888" t="str">
        <f t="shared" si="246"/>
        <v>022</v>
      </c>
      <c r="F4888" t="s">
        <v>4913</v>
      </c>
      <c r="G4888" t="str">
        <f>"1488"</f>
        <v>1488</v>
      </c>
      <c r="H4888" t="str">
        <f>"0001"</f>
        <v>0001</v>
      </c>
      <c r="I4888" t="s">
        <v>109</v>
      </c>
      <c r="J4888">
        <v>0</v>
      </c>
      <c r="K4888">
        <v>1</v>
      </c>
      <c r="L4888">
        <v>2</v>
      </c>
      <c r="M4888">
        <v>181</v>
      </c>
      <c r="N4888">
        <v>329</v>
      </c>
      <c r="O4888">
        <v>1</v>
      </c>
      <c r="P4888">
        <v>329</v>
      </c>
      <c r="Q4888">
        <v>5</v>
      </c>
      <c r="R4888">
        <v>35</v>
      </c>
      <c r="S4888">
        <v>61</v>
      </c>
      <c r="T4888">
        <v>3</v>
      </c>
      <c r="U4888">
        <v>17</v>
      </c>
      <c r="V4888">
        <v>0</v>
      </c>
      <c r="W4888">
        <v>2</v>
      </c>
      <c r="X4888">
        <v>43</v>
      </c>
      <c r="Y4888">
        <v>91</v>
      </c>
      <c r="Z4888">
        <v>5</v>
      </c>
      <c r="AA4888">
        <v>51</v>
      </c>
      <c r="AB4888">
        <v>4</v>
      </c>
      <c r="AD4888">
        <v>1</v>
      </c>
      <c r="AE4888">
        <v>1</v>
      </c>
      <c r="AF4888">
        <v>0</v>
      </c>
      <c r="AG4888">
        <v>0</v>
      </c>
      <c r="AI4888">
        <v>0</v>
      </c>
      <c r="AJ4888">
        <v>10</v>
      </c>
      <c r="AK4888">
        <v>329</v>
      </c>
      <c r="AL4888">
        <v>329</v>
      </c>
      <c r="AM4888">
        <v>466</v>
      </c>
      <c r="AN4888">
        <v>44</v>
      </c>
      <c r="AP4888">
        <v>1</v>
      </c>
      <c r="AR4888" t="s">
        <v>4991</v>
      </c>
      <c r="AS4888" s="1">
        <v>44353.833611111113</v>
      </c>
      <c r="AT4888" s="1">
        <v>44353.840983796297</v>
      </c>
      <c r="AU4888" s="1">
        <v>44353.842118055552</v>
      </c>
      <c r="AV4888" t="s">
        <v>269</v>
      </c>
      <c r="AW4888" t="s">
        <v>270</v>
      </c>
      <c r="AX4888" t="s">
        <v>73</v>
      </c>
    </row>
    <row r="4889" spans="1:50" x14ac:dyDescent="0.3">
      <c r="A4889" t="str">
        <f>"201489B0000"</f>
        <v>201489B0000</v>
      </c>
      <c r="B4889" t="str">
        <f>"201489B00002"</f>
        <v>201489B00002</v>
      </c>
      <c r="C4889" t="str">
        <f t="shared" si="245"/>
        <v>20</v>
      </c>
      <c r="D4889" t="s">
        <v>67</v>
      </c>
      <c r="E4889" t="str">
        <f t="shared" si="246"/>
        <v>022</v>
      </c>
      <c r="F4889" t="s">
        <v>4913</v>
      </c>
      <c r="G4889" t="str">
        <f>"1489"</f>
        <v>1489</v>
      </c>
      <c r="H4889" t="str">
        <f>"0000"</f>
        <v>0000</v>
      </c>
      <c r="I4889" t="s">
        <v>69</v>
      </c>
      <c r="J4889">
        <v>0</v>
      </c>
      <c r="K4889">
        <v>1</v>
      </c>
      <c r="L4889">
        <v>2</v>
      </c>
      <c r="M4889">
        <v>203</v>
      </c>
      <c r="N4889">
        <v>364</v>
      </c>
      <c r="O4889">
        <v>0</v>
      </c>
      <c r="P4889">
        <v>364</v>
      </c>
      <c r="Q4889">
        <v>1</v>
      </c>
      <c r="R4889">
        <v>48</v>
      </c>
      <c r="S4889">
        <v>72</v>
      </c>
      <c r="T4889">
        <v>1</v>
      </c>
      <c r="U4889">
        <v>3</v>
      </c>
      <c r="V4889">
        <v>3</v>
      </c>
      <c r="W4889">
        <v>0</v>
      </c>
      <c r="X4889">
        <v>115</v>
      </c>
      <c r="Y4889">
        <v>19</v>
      </c>
      <c r="Z4889">
        <v>1</v>
      </c>
      <c r="AA4889">
        <v>86</v>
      </c>
      <c r="AB4889">
        <v>6</v>
      </c>
      <c r="AD4889">
        <v>0</v>
      </c>
      <c r="AE4889">
        <v>0</v>
      </c>
      <c r="AF4889">
        <v>0</v>
      </c>
      <c r="AG4889">
        <v>0</v>
      </c>
      <c r="AI4889">
        <v>0</v>
      </c>
      <c r="AJ4889">
        <v>9</v>
      </c>
      <c r="AK4889">
        <v>364</v>
      </c>
      <c r="AL4889">
        <v>364</v>
      </c>
      <c r="AM4889">
        <v>523</v>
      </c>
      <c r="AN4889">
        <v>44</v>
      </c>
      <c r="AP4889">
        <v>1</v>
      </c>
      <c r="AR4889" s="2" t="s">
        <v>4992</v>
      </c>
      <c r="AS4889" s="1">
        <v>44354.12777777778</v>
      </c>
      <c r="AT4889" s="1">
        <v>44354.130462962959</v>
      </c>
      <c r="AU4889" s="1">
        <v>44354.131215277775</v>
      </c>
      <c r="AV4889" t="s">
        <v>71</v>
      </c>
      <c r="AW4889" t="s">
        <v>72</v>
      </c>
      <c r="AX4889" t="s">
        <v>73</v>
      </c>
    </row>
    <row r="4890" spans="1:50" x14ac:dyDescent="0.3">
      <c r="A4890" t="str">
        <f>"201489C0100"</f>
        <v>201489C0100</v>
      </c>
      <c r="B4890" t="str">
        <f>"201489C01002"</f>
        <v>201489C01002</v>
      </c>
      <c r="C4890" t="str">
        <f t="shared" si="245"/>
        <v>20</v>
      </c>
      <c r="D4890" t="s">
        <v>67</v>
      </c>
      <c r="E4890" t="str">
        <f t="shared" si="246"/>
        <v>022</v>
      </c>
      <c r="F4890" t="s">
        <v>4913</v>
      </c>
      <c r="G4890" t="str">
        <f>"1489"</f>
        <v>1489</v>
      </c>
      <c r="H4890" t="str">
        <f>"0001"</f>
        <v>0001</v>
      </c>
      <c r="I4890" t="s">
        <v>75</v>
      </c>
      <c r="J4890">
        <v>0</v>
      </c>
      <c r="K4890">
        <v>1</v>
      </c>
      <c r="L4890">
        <v>2</v>
      </c>
      <c r="M4890">
        <v>206</v>
      </c>
      <c r="N4890">
        <v>360</v>
      </c>
      <c r="O4890">
        <v>0</v>
      </c>
      <c r="P4890">
        <v>360</v>
      </c>
      <c r="Q4890">
        <v>2</v>
      </c>
      <c r="R4890">
        <v>41</v>
      </c>
      <c r="S4890">
        <v>47</v>
      </c>
      <c r="T4890">
        <v>5</v>
      </c>
      <c r="U4890">
        <v>5</v>
      </c>
      <c r="V4890">
        <v>2</v>
      </c>
      <c r="W4890">
        <v>3</v>
      </c>
      <c r="X4890">
        <v>128</v>
      </c>
      <c r="Y4890">
        <v>27</v>
      </c>
      <c r="Z4890">
        <v>3</v>
      </c>
      <c r="AA4890">
        <v>85</v>
      </c>
      <c r="AB4890">
        <v>2</v>
      </c>
      <c r="AD4890">
        <v>0</v>
      </c>
      <c r="AE4890">
        <v>0</v>
      </c>
      <c r="AF4890">
        <v>0</v>
      </c>
      <c r="AG4890">
        <v>1</v>
      </c>
      <c r="AI4890">
        <v>0</v>
      </c>
      <c r="AJ4890">
        <v>9</v>
      </c>
      <c r="AK4890">
        <v>360</v>
      </c>
      <c r="AL4890">
        <v>360</v>
      </c>
      <c r="AM4890">
        <v>522</v>
      </c>
      <c r="AN4890">
        <v>44</v>
      </c>
      <c r="AP4890">
        <v>1</v>
      </c>
      <c r="AR4890" t="s">
        <v>4993</v>
      </c>
      <c r="AS4890" s="1">
        <v>44354.100694444445</v>
      </c>
      <c r="AT4890" s="1">
        <v>44354.10359953704</v>
      </c>
      <c r="AU4890" s="1">
        <v>44354.104108796295</v>
      </c>
      <c r="AV4890" t="s">
        <v>71</v>
      </c>
      <c r="AW4890" t="s">
        <v>72</v>
      </c>
      <c r="AX4890" t="s">
        <v>73</v>
      </c>
    </row>
    <row r="4891" spans="1:50" x14ac:dyDescent="0.3">
      <c r="A4891" t="str">
        <f>"201489C0200"</f>
        <v>201489C0200</v>
      </c>
      <c r="B4891" t="str">
        <f>"201489C02002"</f>
        <v>201489C02002</v>
      </c>
      <c r="C4891" t="str">
        <f t="shared" si="245"/>
        <v>20</v>
      </c>
      <c r="D4891" t="s">
        <v>67</v>
      </c>
      <c r="E4891" t="str">
        <f t="shared" si="246"/>
        <v>022</v>
      </c>
      <c r="F4891" t="s">
        <v>4913</v>
      </c>
      <c r="G4891" t="str">
        <f>"1489"</f>
        <v>1489</v>
      </c>
      <c r="H4891" t="str">
        <f>"0002"</f>
        <v>0002</v>
      </c>
      <c r="I4891" t="s">
        <v>75</v>
      </c>
      <c r="J4891">
        <v>0</v>
      </c>
      <c r="K4891">
        <v>1</v>
      </c>
      <c r="L4891">
        <v>2</v>
      </c>
      <c r="M4891">
        <v>210</v>
      </c>
      <c r="N4891">
        <v>356</v>
      </c>
      <c r="O4891">
        <v>0</v>
      </c>
      <c r="P4891">
        <v>356</v>
      </c>
      <c r="Q4891">
        <v>2</v>
      </c>
      <c r="R4891">
        <v>56</v>
      </c>
      <c r="S4891">
        <v>76</v>
      </c>
      <c r="T4891">
        <v>2</v>
      </c>
      <c r="U4891">
        <v>1</v>
      </c>
      <c r="V4891">
        <v>0</v>
      </c>
      <c r="W4891">
        <v>0</v>
      </c>
      <c r="X4891">
        <v>107</v>
      </c>
      <c r="Y4891">
        <v>27</v>
      </c>
      <c r="Z4891">
        <v>2</v>
      </c>
      <c r="AA4891">
        <v>65</v>
      </c>
      <c r="AB4891">
        <v>6</v>
      </c>
      <c r="AD4891">
        <v>0</v>
      </c>
      <c r="AE4891">
        <v>0</v>
      </c>
      <c r="AF4891">
        <v>0</v>
      </c>
      <c r="AG4891">
        <v>0</v>
      </c>
      <c r="AI4891">
        <v>0</v>
      </c>
      <c r="AJ4891">
        <v>0</v>
      </c>
      <c r="AK4891">
        <v>356</v>
      </c>
      <c r="AL4891">
        <v>344</v>
      </c>
      <c r="AM4891">
        <v>522</v>
      </c>
      <c r="AN4891">
        <v>44</v>
      </c>
      <c r="AP4891">
        <v>1</v>
      </c>
      <c r="AR4891" t="s">
        <v>4994</v>
      </c>
      <c r="AS4891" s="1">
        <v>44354.100694444445</v>
      </c>
      <c r="AT4891" s="1">
        <v>44354.103564814817</v>
      </c>
      <c r="AU4891" s="1">
        <v>44354.104247685187</v>
      </c>
      <c r="AV4891" t="s">
        <v>71</v>
      </c>
      <c r="AW4891" t="s">
        <v>72</v>
      </c>
      <c r="AX4891" t="s">
        <v>73</v>
      </c>
    </row>
    <row r="4892" spans="1:50" x14ac:dyDescent="0.3">
      <c r="A4892" t="str">
        <f>"201490B0000"</f>
        <v>201490B0000</v>
      </c>
      <c r="B4892" t="str">
        <f>"201490B00002"</f>
        <v>201490B00002</v>
      </c>
      <c r="C4892" t="str">
        <f t="shared" si="245"/>
        <v>20</v>
      </c>
      <c r="D4892" t="s">
        <v>67</v>
      </c>
      <c r="E4892" t="str">
        <f t="shared" si="246"/>
        <v>022</v>
      </c>
      <c r="F4892" t="s">
        <v>4913</v>
      </c>
      <c r="G4892" t="str">
        <f>"1490"</f>
        <v>1490</v>
      </c>
      <c r="H4892" t="str">
        <f>"0000"</f>
        <v>0000</v>
      </c>
      <c r="I4892" t="s">
        <v>69</v>
      </c>
      <c r="J4892">
        <v>0</v>
      </c>
      <c r="K4892">
        <v>1</v>
      </c>
      <c r="L4892">
        <v>2</v>
      </c>
      <c r="M4892">
        <v>161</v>
      </c>
      <c r="N4892">
        <v>285</v>
      </c>
      <c r="O4892">
        <v>0</v>
      </c>
      <c r="P4892">
        <v>285</v>
      </c>
      <c r="Q4892">
        <v>0</v>
      </c>
      <c r="R4892">
        <v>8</v>
      </c>
      <c r="S4892">
        <v>55</v>
      </c>
      <c r="T4892">
        <v>4</v>
      </c>
      <c r="U4892">
        <v>2</v>
      </c>
      <c r="V4892">
        <v>0</v>
      </c>
      <c r="W4892">
        <v>1</v>
      </c>
      <c r="X4892">
        <v>95</v>
      </c>
      <c r="Y4892">
        <v>41</v>
      </c>
      <c r="Z4892">
        <v>2</v>
      </c>
      <c r="AA4892">
        <v>59</v>
      </c>
      <c r="AB4892">
        <v>4</v>
      </c>
      <c r="AD4892">
        <v>0</v>
      </c>
      <c r="AE4892">
        <v>0</v>
      </c>
      <c r="AF4892">
        <v>0</v>
      </c>
      <c r="AG4892">
        <v>0</v>
      </c>
      <c r="AI4892">
        <v>0</v>
      </c>
      <c r="AJ4892">
        <v>14</v>
      </c>
      <c r="AK4892">
        <v>285</v>
      </c>
      <c r="AL4892">
        <v>285</v>
      </c>
      <c r="AM4892">
        <v>402</v>
      </c>
      <c r="AN4892">
        <v>44</v>
      </c>
      <c r="AP4892">
        <v>1</v>
      </c>
      <c r="AR4892" s="2" t="s">
        <v>4995</v>
      </c>
      <c r="AS4892" s="1">
        <v>44354.1</v>
      </c>
      <c r="AT4892" s="1">
        <v>44354.102175925924</v>
      </c>
      <c r="AU4892" s="1">
        <v>44354.102858796294</v>
      </c>
      <c r="AV4892" t="s">
        <v>71</v>
      </c>
      <c r="AW4892" t="s">
        <v>72</v>
      </c>
      <c r="AX4892" t="s">
        <v>73</v>
      </c>
    </row>
    <row r="4893" spans="1:50" x14ac:dyDescent="0.3">
      <c r="A4893" t="str">
        <f>"201490C0100"</f>
        <v>201490C0100</v>
      </c>
      <c r="B4893" t="str">
        <f>"201490C01002"</f>
        <v>201490C01002</v>
      </c>
      <c r="C4893" t="str">
        <f t="shared" si="245"/>
        <v>20</v>
      </c>
      <c r="D4893" t="s">
        <v>67</v>
      </c>
      <c r="E4893" t="str">
        <f t="shared" si="246"/>
        <v>022</v>
      </c>
      <c r="F4893" t="s">
        <v>4913</v>
      </c>
      <c r="G4893" t="str">
        <f>"1490"</f>
        <v>1490</v>
      </c>
      <c r="H4893" t="str">
        <f>"0001"</f>
        <v>0001</v>
      </c>
      <c r="I4893" t="s">
        <v>75</v>
      </c>
      <c r="J4893">
        <v>0</v>
      </c>
      <c r="K4893">
        <v>1</v>
      </c>
      <c r="L4893">
        <v>2</v>
      </c>
      <c r="M4893">
        <v>155</v>
      </c>
      <c r="N4893">
        <v>290</v>
      </c>
      <c r="O4893">
        <v>0</v>
      </c>
      <c r="P4893">
        <v>290</v>
      </c>
      <c r="Q4893">
        <v>0</v>
      </c>
      <c r="R4893">
        <v>8</v>
      </c>
      <c r="S4893">
        <v>44</v>
      </c>
      <c r="T4893">
        <v>1</v>
      </c>
      <c r="U4893">
        <v>6</v>
      </c>
      <c r="V4893">
        <v>1</v>
      </c>
      <c r="W4893" t="s">
        <v>77</v>
      </c>
      <c r="X4893">
        <v>108</v>
      </c>
      <c r="Y4893">
        <v>45</v>
      </c>
      <c r="Z4893">
        <v>7</v>
      </c>
      <c r="AA4893">
        <v>56</v>
      </c>
      <c r="AB4893">
        <v>3</v>
      </c>
      <c r="AD4893">
        <v>0</v>
      </c>
      <c r="AE4893">
        <v>0</v>
      </c>
      <c r="AF4893">
        <v>0</v>
      </c>
      <c r="AG4893">
        <v>0</v>
      </c>
      <c r="AI4893">
        <v>0</v>
      </c>
      <c r="AJ4893">
        <v>11</v>
      </c>
      <c r="AK4893">
        <v>290</v>
      </c>
      <c r="AL4893">
        <v>290</v>
      </c>
      <c r="AM4893">
        <v>401</v>
      </c>
      <c r="AN4893">
        <v>44</v>
      </c>
      <c r="AO4893" t="s">
        <v>78</v>
      </c>
      <c r="AP4893">
        <v>1</v>
      </c>
      <c r="AR4893" t="s">
        <v>4996</v>
      </c>
      <c r="AS4893" s="1">
        <v>44354.102083333331</v>
      </c>
      <c r="AT4893" s="1">
        <v>44354.104560185187</v>
      </c>
      <c r="AU4893" s="1">
        <v>44354.104895833334</v>
      </c>
      <c r="AV4893" t="s">
        <v>71</v>
      </c>
      <c r="AW4893" t="s">
        <v>72</v>
      </c>
      <c r="AX4893" t="s">
        <v>73</v>
      </c>
    </row>
    <row r="4894" spans="1:50" x14ac:dyDescent="0.3">
      <c r="A4894" t="str">
        <f>"201491B0000"</f>
        <v>201491B0000</v>
      </c>
      <c r="B4894" t="str">
        <f>"201491B00002"</f>
        <v>201491B00002</v>
      </c>
      <c r="C4894" t="str">
        <f t="shared" si="245"/>
        <v>20</v>
      </c>
      <c r="D4894" t="s">
        <v>67</v>
      </c>
      <c r="E4894" t="str">
        <f t="shared" si="246"/>
        <v>022</v>
      </c>
      <c r="F4894" t="s">
        <v>4913</v>
      </c>
      <c r="G4894" t="str">
        <f>"1491"</f>
        <v>1491</v>
      </c>
      <c r="H4894" t="str">
        <f>"0000"</f>
        <v>0000</v>
      </c>
      <c r="I4894" t="s">
        <v>69</v>
      </c>
      <c r="J4894">
        <v>0</v>
      </c>
      <c r="K4894">
        <v>1</v>
      </c>
      <c r="L4894">
        <v>2</v>
      </c>
      <c r="M4894">
        <v>148</v>
      </c>
      <c r="N4894">
        <v>383</v>
      </c>
      <c r="O4894">
        <v>11</v>
      </c>
      <c r="P4894">
        <v>383</v>
      </c>
      <c r="Q4894">
        <v>4</v>
      </c>
      <c r="R4894">
        <v>41</v>
      </c>
      <c r="S4894">
        <v>63</v>
      </c>
      <c r="T4894">
        <v>0</v>
      </c>
      <c r="U4894">
        <v>2</v>
      </c>
      <c r="V4894">
        <v>0</v>
      </c>
      <c r="W4894">
        <v>0</v>
      </c>
      <c r="X4894">
        <v>59</v>
      </c>
      <c r="Y4894">
        <v>101</v>
      </c>
      <c r="Z4894">
        <v>2</v>
      </c>
      <c r="AA4894">
        <v>92</v>
      </c>
      <c r="AB4894">
        <v>0</v>
      </c>
      <c r="AD4894">
        <v>0</v>
      </c>
      <c r="AE4894">
        <v>0</v>
      </c>
      <c r="AF4894">
        <v>0</v>
      </c>
      <c r="AG4894">
        <v>0</v>
      </c>
      <c r="AI4894">
        <v>0</v>
      </c>
      <c r="AJ4894">
        <v>19</v>
      </c>
      <c r="AK4894">
        <v>383</v>
      </c>
      <c r="AL4894">
        <v>383</v>
      </c>
      <c r="AM4894">
        <v>487</v>
      </c>
      <c r="AN4894">
        <v>44</v>
      </c>
      <c r="AP4894">
        <v>1</v>
      </c>
      <c r="AR4894" t="s">
        <v>4997</v>
      </c>
      <c r="AS4894" s="1">
        <v>44354.049120370371</v>
      </c>
      <c r="AT4894" s="1">
        <v>44354.071203703701</v>
      </c>
      <c r="AU4894" s="1">
        <v>44354.071736111109</v>
      </c>
      <c r="AV4894" t="s">
        <v>269</v>
      </c>
      <c r="AW4894" t="s">
        <v>270</v>
      </c>
      <c r="AX4894" t="s">
        <v>73</v>
      </c>
    </row>
    <row r="4895" spans="1:50" x14ac:dyDescent="0.3">
      <c r="A4895" t="str">
        <f>"201491E0100"</f>
        <v>201491E0100</v>
      </c>
      <c r="B4895" t="str">
        <f>"201491E01002"</f>
        <v>201491E01002</v>
      </c>
      <c r="C4895" t="str">
        <f t="shared" si="245"/>
        <v>20</v>
      </c>
      <c r="D4895" t="s">
        <v>67</v>
      </c>
      <c r="E4895" t="str">
        <f t="shared" si="246"/>
        <v>022</v>
      </c>
      <c r="F4895" t="s">
        <v>4913</v>
      </c>
      <c r="G4895" t="str">
        <f>"1491"</f>
        <v>1491</v>
      </c>
      <c r="H4895" t="str">
        <f>"0001"</f>
        <v>0001</v>
      </c>
      <c r="I4895" t="s">
        <v>109</v>
      </c>
      <c r="J4895">
        <v>0</v>
      </c>
      <c r="K4895">
        <v>1</v>
      </c>
      <c r="L4895">
        <v>2</v>
      </c>
      <c r="M4895">
        <v>183</v>
      </c>
      <c r="N4895">
        <v>390</v>
      </c>
      <c r="O4895">
        <v>0</v>
      </c>
      <c r="P4895">
        <v>390</v>
      </c>
      <c r="Q4895">
        <v>0</v>
      </c>
      <c r="R4895">
        <v>42</v>
      </c>
      <c r="S4895">
        <v>142</v>
      </c>
      <c r="T4895">
        <v>3</v>
      </c>
      <c r="U4895">
        <v>4</v>
      </c>
      <c r="V4895">
        <v>2</v>
      </c>
      <c r="W4895">
        <v>2</v>
      </c>
      <c r="X4895">
        <v>112</v>
      </c>
      <c r="Y4895">
        <v>39</v>
      </c>
      <c r="Z4895">
        <v>4</v>
      </c>
      <c r="AA4895">
        <v>30</v>
      </c>
      <c r="AB4895">
        <v>2</v>
      </c>
      <c r="AD4895" t="s">
        <v>77</v>
      </c>
      <c r="AE4895" t="s">
        <v>77</v>
      </c>
      <c r="AF4895" t="s">
        <v>77</v>
      </c>
      <c r="AG4895" t="s">
        <v>77</v>
      </c>
      <c r="AI4895" t="s">
        <v>77</v>
      </c>
      <c r="AJ4895">
        <v>11</v>
      </c>
      <c r="AK4895">
        <v>390</v>
      </c>
      <c r="AL4895">
        <v>393</v>
      </c>
      <c r="AM4895">
        <v>529</v>
      </c>
      <c r="AN4895">
        <v>44</v>
      </c>
      <c r="AO4895" t="s">
        <v>78</v>
      </c>
      <c r="AP4895">
        <v>1</v>
      </c>
      <c r="AR4895" t="s">
        <v>4998</v>
      </c>
      <c r="AS4895" s="1">
        <v>44354.193749999999</v>
      </c>
      <c r="AT4895" s="1">
        <v>44354.196458333332</v>
      </c>
      <c r="AU4895" s="1">
        <v>44354.197870370372</v>
      </c>
      <c r="AV4895" t="s">
        <v>71</v>
      </c>
      <c r="AW4895" t="s">
        <v>72</v>
      </c>
      <c r="AX4895" t="s">
        <v>73</v>
      </c>
    </row>
    <row r="4896" spans="1:50" x14ac:dyDescent="0.3">
      <c r="A4896" t="str">
        <f>"201609B0000"</f>
        <v>201609B0000</v>
      </c>
      <c r="B4896" t="str">
        <f>"201609B00002"</f>
        <v>201609B00002</v>
      </c>
      <c r="C4896" t="str">
        <f t="shared" si="245"/>
        <v>20</v>
      </c>
      <c r="D4896" t="s">
        <v>67</v>
      </c>
      <c r="E4896" t="str">
        <f t="shared" si="246"/>
        <v>022</v>
      </c>
      <c r="F4896" t="s">
        <v>4913</v>
      </c>
      <c r="G4896" t="str">
        <f>"1609"</f>
        <v>1609</v>
      </c>
      <c r="H4896" t="str">
        <f>"0000"</f>
        <v>0000</v>
      </c>
      <c r="I4896" t="s">
        <v>69</v>
      </c>
      <c r="J4896">
        <v>0</v>
      </c>
      <c r="K4896">
        <v>1</v>
      </c>
      <c r="L4896">
        <v>2</v>
      </c>
      <c r="M4896">
        <v>136</v>
      </c>
      <c r="N4896">
        <v>432</v>
      </c>
      <c r="O4896">
        <v>0</v>
      </c>
      <c r="P4896">
        <v>432</v>
      </c>
      <c r="Q4896">
        <v>5</v>
      </c>
      <c r="R4896">
        <v>141</v>
      </c>
      <c r="S4896">
        <v>21</v>
      </c>
      <c r="T4896">
        <v>2</v>
      </c>
      <c r="U4896">
        <v>8</v>
      </c>
      <c r="V4896">
        <v>21</v>
      </c>
      <c r="W4896">
        <v>1</v>
      </c>
      <c r="X4896">
        <v>191</v>
      </c>
      <c r="Y4896">
        <v>8</v>
      </c>
      <c r="Z4896">
        <v>2</v>
      </c>
      <c r="AA4896">
        <v>15</v>
      </c>
      <c r="AB4896">
        <v>1</v>
      </c>
      <c r="AD4896">
        <v>3</v>
      </c>
      <c r="AE4896">
        <v>0</v>
      </c>
      <c r="AF4896">
        <v>0</v>
      </c>
      <c r="AG4896">
        <v>2</v>
      </c>
      <c r="AI4896">
        <v>0</v>
      </c>
      <c r="AJ4896">
        <v>11</v>
      </c>
      <c r="AK4896">
        <v>432</v>
      </c>
      <c r="AL4896">
        <v>432</v>
      </c>
      <c r="AM4896">
        <v>524</v>
      </c>
      <c r="AN4896">
        <v>44</v>
      </c>
      <c r="AP4896">
        <v>1</v>
      </c>
      <c r="AR4896" t="s">
        <v>4999</v>
      </c>
      <c r="AS4896" s="1">
        <v>44354.172222222223</v>
      </c>
      <c r="AT4896" s="1">
        <v>44354.174953703703</v>
      </c>
      <c r="AU4896" s="1">
        <v>44354.175625000003</v>
      </c>
      <c r="AV4896" t="s">
        <v>71</v>
      </c>
      <c r="AW4896" t="s">
        <v>72</v>
      </c>
      <c r="AX4896" t="s">
        <v>73</v>
      </c>
    </row>
    <row r="4897" spans="1:50" x14ac:dyDescent="0.3">
      <c r="A4897" t="str">
        <f>"201609C0100"</f>
        <v>201609C0100</v>
      </c>
      <c r="B4897" t="str">
        <f>"201609C01002"</f>
        <v>201609C01002</v>
      </c>
      <c r="C4897" t="str">
        <f t="shared" si="245"/>
        <v>20</v>
      </c>
      <c r="D4897" t="s">
        <v>67</v>
      </c>
      <c r="E4897" t="str">
        <f t="shared" si="246"/>
        <v>022</v>
      </c>
      <c r="F4897" t="s">
        <v>4913</v>
      </c>
      <c r="G4897" t="str">
        <f>"1609"</f>
        <v>1609</v>
      </c>
      <c r="H4897" t="str">
        <f>"0001"</f>
        <v>0001</v>
      </c>
      <c r="I4897" t="s">
        <v>75</v>
      </c>
      <c r="J4897">
        <v>0</v>
      </c>
      <c r="K4897">
        <v>1</v>
      </c>
      <c r="L4897">
        <v>2</v>
      </c>
      <c r="M4897">
        <v>147</v>
      </c>
      <c r="N4897">
        <v>420</v>
      </c>
      <c r="O4897">
        <v>0</v>
      </c>
      <c r="P4897">
        <v>420</v>
      </c>
      <c r="Q4897">
        <v>2</v>
      </c>
      <c r="R4897">
        <v>134</v>
      </c>
      <c r="S4897">
        <v>22</v>
      </c>
      <c r="T4897">
        <v>2</v>
      </c>
      <c r="U4897">
        <v>10</v>
      </c>
      <c r="V4897">
        <v>14</v>
      </c>
      <c r="W4897">
        <v>2</v>
      </c>
      <c r="X4897">
        <v>206</v>
      </c>
      <c r="Y4897">
        <v>3</v>
      </c>
      <c r="Z4897">
        <v>1</v>
      </c>
      <c r="AA4897">
        <v>10</v>
      </c>
      <c r="AB4897">
        <v>3</v>
      </c>
      <c r="AD4897">
        <v>3</v>
      </c>
      <c r="AE4897">
        <v>0</v>
      </c>
      <c r="AF4897">
        <v>0</v>
      </c>
      <c r="AG4897">
        <v>0</v>
      </c>
      <c r="AI4897">
        <v>0</v>
      </c>
      <c r="AJ4897">
        <v>8</v>
      </c>
      <c r="AK4897">
        <v>8</v>
      </c>
      <c r="AL4897">
        <v>420</v>
      </c>
      <c r="AM4897">
        <v>523</v>
      </c>
      <c r="AN4897">
        <v>44</v>
      </c>
      <c r="AP4897">
        <v>1</v>
      </c>
      <c r="AR4897" t="s">
        <v>5000</v>
      </c>
      <c r="AS4897" s="1">
        <v>44354.175000000003</v>
      </c>
      <c r="AT4897" s="1">
        <v>44354.178495370368</v>
      </c>
      <c r="AU4897" s="1">
        <v>44354.179675925923</v>
      </c>
      <c r="AV4897" t="s">
        <v>71</v>
      </c>
      <c r="AW4897" t="s">
        <v>72</v>
      </c>
      <c r="AX4897" t="s">
        <v>73</v>
      </c>
    </row>
    <row r="4898" spans="1:50" x14ac:dyDescent="0.3">
      <c r="A4898" t="str">
        <f>"201610B0000"</f>
        <v>201610B0000</v>
      </c>
      <c r="B4898" t="str">
        <f>"201610B00002"</f>
        <v>201610B00002</v>
      </c>
      <c r="C4898" t="str">
        <f t="shared" si="245"/>
        <v>20</v>
      </c>
      <c r="D4898" t="s">
        <v>67</v>
      </c>
      <c r="E4898" t="str">
        <f t="shared" si="246"/>
        <v>022</v>
      </c>
      <c r="F4898" t="s">
        <v>4913</v>
      </c>
      <c r="G4898" t="str">
        <f>"1610"</f>
        <v>1610</v>
      </c>
      <c r="H4898" t="str">
        <f>"0000"</f>
        <v>0000</v>
      </c>
      <c r="I4898" t="s">
        <v>69</v>
      </c>
      <c r="J4898">
        <v>0</v>
      </c>
      <c r="K4898">
        <v>1</v>
      </c>
      <c r="L4898">
        <v>2</v>
      </c>
      <c r="M4898">
        <v>147</v>
      </c>
      <c r="N4898">
        <v>315</v>
      </c>
      <c r="O4898">
        <v>0</v>
      </c>
      <c r="P4898">
        <v>315</v>
      </c>
      <c r="Q4898">
        <v>0</v>
      </c>
      <c r="R4898">
        <v>134</v>
      </c>
      <c r="S4898">
        <v>0</v>
      </c>
      <c r="T4898">
        <v>0</v>
      </c>
      <c r="U4898">
        <v>7</v>
      </c>
      <c r="V4898">
        <v>11</v>
      </c>
      <c r="W4898">
        <v>1</v>
      </c>
      <c r="X4898">
        <v>125</v>
      </c>
      <c r="Y4898">
        <v>3</v>
      </c>
      <c r="Z4898">
        <v>1</v>
      </c>
      <c r="AA4898">
        <v>29</v>
      </c>
      <c r="AB4898">
        <v>0</v>
      </c>
      <c r="AD4898">
        <v>0</v>
      </c>
      <c r="AE4898">
        <v>0</v>
      </c>
      <c r="AF4898">
        <v>0</v>
      </c>
      <c r="AG4898">
        <v>0</v>
      </c>
      <c r="AI4898">
        <v>0</v>
      </c>
      <c r="AJ4898">
        <v>4</v>
      </c>
      <c r="AK4898">
        <v>315</v>
      </c>
      <c r="AL4898">
        <v>315</v>
      </c>
      <c r="AM4898">
        <v>418</v>
      </c>
      <c r="AN4898">
        <v>44</v>
      </c>
      <c r="AP4898">
        <v>1</v>
      </c>
      <c r="AR4898" t="s">
        <v>5001</v>
      </c>
      <c r="AS4898" s="1">
        <v>44354.195138888892</v>
      </c>
      <c r="AT4898" s="1">
        <v>44354.199444444443</v>
      </c>
      <c r="AU4898" s="1">
        <v>44354.199826388889</v>
      </c>
      <c r="AV4898" t="s">
        <v>71</v>
      </c>
      <c r="AW4898" t="s">
        <v>72</v>
      </c>
      <c r="AX4898" t="s">
        <v>73</v>
      </c>
    </row>
    <row r="4899" spans="1:50" x14ac:dyDescent="0.3">
      <c r="A4899" t="str">
        <f>"201610C0100"</f>
        <v>201610C0100</v>
      </c>
      <c r="B4899" t="str">
        <f>"201610C01002"</f>
        <v>201610C01002</v>
      </c>
      <c r="C4899" t="str">
        <f t="shared" si="245"/>
        <v>20</v>
      </c>
      <c r="D4899" t="s">
        <v>67</v>
      </c>
      <c r="E4899" t="str">
        <f t="shared" si="246"/>
        <v>022</v>
      </c>
      <c r="F4899" t="s">
        <v>4913</v>
      </c>
      <c r="G4899" t="str">
        <f>"1610"</f>
        <v>1610</v>
      </c>
      <c r="H4899" t="str">
        <f>"0001"</f>
        <v>0001</v>
      </c>
      <c r="I4899" t="s">
        <v>75</v>
      </c>
      <c r="J4899">
        <v>0</v>
      </c>
      <c r="K4899">
        <v>1</v>
      </c>
      <c r="L4899">
        <v>2</v>
      </c>
      <c r="M4899">
        <v>134</v>
      </c>
      <c r="N4899">
        <v>327</v>
      </c>
      <c r="O4899">
        <v>2</v>
      </c>
      <c r="P4899">
        <v>327</v>
      </c>
      <c r="Q4899">
        <v>1</v>
      </c>
      <c r="R4899">
        <v>120</v>
      </c>
      <c r="S4899">
        <v>3</v>
      </c>
      <c r="T4899">
        <v>0</v>
      </c>
      <c r="U4899">
        <v>5</v>
      </c>
      <c r="V4899">
        <v>7</v>
      </c>
      <c r="W4899">
        <v>1</v>
      </c>
      <c r="X4899">
        <v>134</v>
      </c>
      <c r="Y4899">
        <v>5</v>
      </c>
      <c r="Z4899">
        <v>1</v>
      </c>
      <c r="AA4899">
        <v>37</v>
      </c>
      <c r="AB4899">
        <v>0</v>
      </c>
      <c r="AD4899">
        <v>3</v>
      </c>
      <c r="AE4899">
        <v>0</v>
      </c>
      <c r="AF4899">
        <v>0</v>
      </c>
      <c r="AG4899">
        <v>1</v>
      </c>
      <c r="AI4899">
        <v>0</v>
      </c>
      <c r="AJ4899">
        <v>9</v>
      </c>
      <c r="AK4899">
        <v>327</v>
      </c>
      <c r="AL4899">
        <v>327</v>
      </c>
      <c r="AM4899">
        <v>418</v>
      </c>
      <c r="AN4899">
        <v>44</v>
      </c>
      <c r="AP4899">
        <v>1</v>
      </c>
      <c r="AR4899" t="s">
        <v>5002</v>
      </c>
      <c r="AS4899" s="1">
        <v>44354.183333333334</v>
      </c>
      <c r="AT4899" s="1">
        <v>44354.188877314817</v>
      </c>
      <c r="AU4899" s="1">
        <v>44354.18959490741</v>
      </c>
      <c r="AV4899" t="s">
        <v>71</v>
      </c>
      <c r="AW4899" t="s">
        <v>72</v>
      </c>
      <c r="AX4899" t="s">
        <v>73</v>
      </c>
    </row>
    <row r="4900" spans="1:50" x14ac:dyDescent="0.3">
      <c r="A4900" t="str">
        <f>"201611B0000"</f>
        <v>201611B0000</v>
      </c>
      <c r="B4900" t="str">
        <f>"201611B00002"</f>
        <v>201611B00002</v>
      </c>
      <c r="C4900" t="str">
        <f t="shared" si="245"/>
        <v>20</v>
      </c>
      <c r="D4900" t="s">
        <v>67</v>
      </c>
      <c r="E4900" t="str">
        <f t="shared" si="246"/>
        <v>022</v>
      </c>
      <c r="F4900" t="s">
        <v>4913</v>
      </c>
      <c r="G4900" t="str">
        <f>"1611"</f>
        <v>1611</v>
      </c>
      <c r="H4900" t="str">
        <f>"0000"</f>
        <v>0000</v>
      </c>
      <c r="I4900" t="s">
        <v>69</v>
      </c>
      <c r="J4900">
        <v>0</v>
      </c>
      <c r="K4900">
        <v>1</v>
      </c>
      <c r="L4900">
        <v>2</v>
      </c>
      <c r="M4900">
        <v>120</v>
      </c>
      <c r="N4900">
        <v>306</v>
      </c>
      <c r="O4900">
        <v>0</v>
      </c>
      <c r="P4900">
        <v>306</v>
      </c>
      <c r="Q4900">
        <v>4</v>
      </c>
      <c r="R4900">
        <v>108</v>
      </c>
      <c r="S4900">
        <v>3</v>
      </c>
      <c r="T4900">
        <v>3</v>
      </c>
      <c r="U4900">
        <v>14</v>
      </c>
      <c r="V4900">
        <v>2</v>
      </c>
      <c r="W4900">
        <v>3</v>
      </c>
      <c r="X4900">
        <v>109</v>
      </c>
      <c r="Y4900">
        <v>4</v>
      </c>
      <c r="Z4900">
        <v>2</v>
      </c>
      <c r="AA4900">
        <v>30</v>
      </c>
      <c r="AB4900">
        <v>2</v>
      </c>
      <c r="AD4900">
        <v>7</v>
      </c>
      <c r="AE4900">
        <v>1</v>
      </c>
      <c r="AF4900">
        <v>0</v>
      </c>
      <c r="AG4900">
        <v>2</v>
      </c>
      <c r="AI4900">
        <v>0</v>
      </c>
      <c r="AJ4900">
        <v>12</v>
      </c>
      <c r="AK4900">
        <v>306</v>
      </c>
      <c r="AL4900">
        <v>306</v>
      </c>
      <c r="AM4900">
        <v>382</v>
      </c>
      <c r="AN4900">
        <v>44</v>
      </c>
      <c r="AP4900">
        <v>1</v>
      </c>
      <c r="AR4900" t="s">
        <v>5003</v>
      </c>
      <c r="AS4900" s="1">
        <v>44354.162499999999</v>
      </c>
      <c r="AT4900" s="1">
        <v>44354.165868055556</v>
      </c>
      <c r="AU4900" s="1">
        <v>44354.166365740741</v>
      </c>
      <c r="AV4900" t="s">
        <v>71</v>
      </c>
      <c r="AW4900" t="s">
        <v>72</v>
      </c>
      <c r="AX4900" t="s">
        <v>73</v>
      </c>
    </row>
    <row r="4901" spans="1:50" x14ac:dyDescent="0.3">
      <c r="A4901" t="str">
        <f>"201612B0000"</f>
        <v>201612B0000</v>
      </c>
      <c r="B4901" t="str">
        <f>"201612B00002"</f>
        <v>201612B00002</v>
      </c>
      <c r="C4901" t="str">
        <f t="shared" si="245"/>
        <v>20</v>
      </c>
      <c r="D4901" t="s">
        <v>67</v>
      </c>
      <c r="E4901" t="str">
        <f t="shared" si="246"/>
        <v>022</v>
      </c>
      <c r="F4901" t="s">
        <v>4913</v>
      </c>
      <c r="G4901" t="str">
        <f>"1612"</f>
        <v>1612</v>
      </c>
      <c r="H4901" t="str">
        <f>"0000"</f>
        <v>0000</v>
      </c>
      <c r="I4901" t="s">
        <v>69</v>
      </c>
      <c r="J4901">
        <v>0</v>
      </c>
      <c r="K4901">
        <v>1</v>
      </c>
      <c r="L4901">
        <v>2</v>
      </c>
      <c r="M4901">
        <v>126</v>
      </c>
      <c r="N4901">
        <v>286</v>
      </c>
      <c r="O4901">
        <v>0</v>
      </c>
      <c r="P4901">
        <v>286</v>
      </c>
      <c r="Q4901">
        <v>1</v>
      </c>
      <c r="R4901">
        <v>147</v>
      </c>
      <c r="S4901">
        <v>6</v>
      </c>
      <c r="T4901">
        <v>1</v>
      </c>
      <c r="U4901">
        <v>0</v>
      </c>
      <c r="V4901">
        <v>7</v>
      </c>
      <c r="W4901">
        <v>2</v>
      </c>
      <c r="X4901">
        <v>97</v>
      </c>
      <c r="Y4901">
        <v>0</v>
      </c>
      <c r="Z4901">
        <v>2</v>
      </c>
      <c r="AA4901">
        <v>20</v>
      </c>
      <c r="AB4901">
        <v>1</v>
      </c>
      <c r="AD4901" t="s">
        <v>77</v>
      </c>
      <c r="AE4901" t="s">
        <v>77</v>
      </c>
      <c r="AF4901" t="s">
        <v>77</v>
      </c>
      <c r="AG4901" t="s">
        <v>77</v>
      </c>
      <c r="AI4901" t="s">
        <v>77</v>
      </c>
      <c r="AJ4901">
        <v>2</v>
      </c>
      <c r="AK4901">
        <v>286</v>
      </c>
      <c r="AL4901">
        <v>286</v>
      </c>
      <c r="AM4901">
        <v>368</v>
      </c>
      <c r="AN4901">
        <v>44</v>
      </c>
      <c r="AO4901" t="s">
        <v>78</v>
      </c>
      <c r="AP4901">
        <v>1</v>
      </c>
      <c r="AR4901" t="s">
        <v>5004</v>
      </c>
      <c r="AS4901" s="1">
        <v>44354.177083333336</v>
      </c>
      <c r="AT4901" s="1">
        <v>44354.191874999997</v>
      </c>
      <c r="AU4901" s="1">
        <v>44354.192453703705</v>
      </c>
      <c r="AV4901" t="s">
        <v>71</v>
      </c>
      <c r="AW4901" t="s">
        <v>72</v>
      </c>
      <c r="AX4901" t="s">
        <v>73</v>
      </c>
    </row>
    <row r="4902" spans="1:50" x14ac:dyDescent="0.3">
      <c r="A4902" t="str">
        <f>"201612E0100"</f>
        <v>201612E0100</v>
      </c>
      <c r="B4902" t="str">
        <f>"201612E01002"</f>
        <v>201612E01002</v>
      </c>
      <c r="C4902" t="str">
        <f t="shared" si="245"/>
        <v>20</v>
      </c>
      <c r="D4902" t="s">
        <v>67</v>
      </c>
      <c r="E4902" t="str">
        <f t="shared" si="246"/>
        <v>022</v>
      </c>
      <c r="F4902" t="s">
        <v>4913</v>
      </c>
      <c r="G4902" t="str">
        <f>"1612"</f>
        <v>1612</v>
      </c>
      <c r="H4902" t="str">
        <f>"0001"</f>
        <v>0001</v>
      </c>
      <c r="I4902" t="s">
        <v>109</v>
      </c>
      <c r="J4902">
        <v>0</v>
      </c>
      <c r="K4902">
        <v>1</v>
      </c>
      <c r="L4902">
        <v>2</v>
      </c>
      <c r="M4902">
        <v>175</v>
      </c>
      <c r="N4902">
        <v>423</v>
      </c>
      <c r="O4902">
        <v>0</v>
      </c>
      <c r="P4902">
        <v>423</v>
      </c>
      <c r="Q4902">
        <v>0</v>
      </c>
      <c r="R4902">
        <v>130</v>
      </c>
      <c r="S4902">
        <v>25</v>
      </c>
      <c r="T4902">
        <v>3</v>
      </c>
      <c r="U4902">
        <v>14</v>
      </c>
      <c r="V4902">
        <v>12</v>
      </c>
      <c r="W4902">
        <v>4</v>
      </c>
      <c r="X4902">
        <v>200</v>
      </c>
      <c r="Y4902">
        <v>3</v>
      </c>
      <c r="Z4902">
        <v>2</v>
      </c>
      <c r="AA4902">
        <v>23</v>
      </c>
      <c r="AB4902">
        <v>1</v>
      </c>
      <c r="AD4902">
        <v>0</v>
      </c>
      <c r="AE4902">
        <v>0</v>
      </c>
      <c r="AF4902">
        <v>0</v>
      </c>
      <c r="AG4902">
        <v>0</v>
      </c>
      <c r="AI4902">
        <v>0</v>
      </c>
      <c r="AJ4902">
        <v>6</v>
      </c>
      <c r="AK4902">
        <v>423</v>
      </c>
      <c r="AL4902">
        <v>423</v>
      </c>
      <c r="AM4902">
        <v>554</v>
      </c>
      <c r="AN4902">
        <v>44</v>
      </c>
      <c r="AP4902">
        <v>1</v>
      </c>
      <c r="AR4902" t="s">
        <v>5005</v>
      </c>
      <c r="AS4902" s="1">
        <v>44354.183333333334</v>
      </c>
      <c r="AT4902" s="1">
        <v>44354.18577546296</v>
      </c>
      <c r="AU4902" s="1">
        <v>44354.186203703706</v>
      </c>
      <c r="AV4902" t="s">
        <v>71</v>
      </c>
      <c r="AW4902" t="s">
        <v>72</v>
      </c>
      <c r="AX4902" t="s">
        <v>73</v>
      </c>
    </row>
    <row r="4903" spans="1:50" x14ac:dyDescent="0.3">
      <c r="A4903" t="str">
        <f>"201671B0000"</f>
        <v>201671B0000</v>
      </c>
      <c r="B4903" t="str">
        <f>"201671B00002"</f>
        <v>201671B00002</v>
      </c>
      <c r="C4903" t="str">
        <f t="shared" si="245"/>
        <v>20</v>
      </c>
      <c r="D4903" t="s">
        <v>67</v>
      </c>
      <c r="E4903" t="str">
        <f t="shared" si="246"/>
        <v>022</v>
      </c>
      <c r="F4903" t="s">
        <v>4913</v>
      </c>
      <c r="G4903" t="str">
        <f>"1671"</f>
        <v>1671</v>
      </c>
      <c r="H4903" t="str">
        <f>"0000"</f>
        <v>0000</v>
      </c>
      <c r="I4903" t="s">
        <v>69</v>
      </c>
      <c r="J4903">
        <v>0</v>
      </c>
      <c r="K4903">
        <v>1</v>
      </c>
      <c r="L4903">
        <v>2</v>
      </c>
      <c r="M4903">
        <v>324</v>
      </c>
      <c r="N4903">
        <v>249</v>
      </c>
      <c r="O4903">
        <v>0</v>
      </c>
      <c r="P4903">
        <v>249</v>
      </c>
      <c r="Q4903">
        <v>4</v>
      </c>
      <c r="R4903">
        <v>94</v>
      </c>
      <c r="S4903">
        <v>22</v>
      </c>
      <c r="T4903">
        <v>5</v>
      </c>
      <c r="U4903">
        <v>8</v>
      </c>
      <c r="V4903">
        <v>2</v>
      </c>
      <c r="W4903">
        <v>0</v>
      </c>
      <c r="X4903">
        <v>84</v>
      </c>
      <c r="Y4903">
        <v>3</v>
      </c>
      <c r="Z4903">
        <v>5</v>
      </c>
      <c r="AA4903">
        <v>9</v>
      </c>
      <c r="AB4903">
        <v>2</v>
      </c>
      <c r="AD4903">
        <v>0</v>
      </c>
      <c r="AE4903">
        <v>0</v>
      </c>
      <c r="AF4903">
        <v>0</v>
      </c>
      <c r="AG4903">
        <v>0</v>
      </c>
      <c r="AI4903">
        <v>0</v>
      </c>
      <c r="AJ4903">
        <v>11</v>
      </c>
      <c r="AK4903">
        <v>249</v>
      </c>
      <c r="AL4903">
        <v>249</v>
      </c>
      <c r="AM4903">
        <v>529</v>
      </c>
      <c r="AN4903">
        <v>44</v>
      </c>
      <c r="AP4903">
        <v>1</v>
      </c>
      <c r="AR4903" t="s">
        <v>5006</v>
      </c>
      <c r="AS4903" s="1">
        <v>44354.100694444445</v>
      </c>
      <c r="AT4903" s="1">
        <v>44354.10423611111</v>
      </c>
      <c r="AU4903" s="1">
        <v>44354.104803240742</v>
      </c>
      <c r="AV4903" t="s">
        <v>71</v>
      </c>
      <c r="AW4903" t="s">
        <v>72</v>
      </c>
      <c r="AX4903" t="s">
        <v>73</v>
      </c>
    </row>
    <row r="4904" spans="1:50" x14ac:dyDescent="0.3">
      <c r="A4904" t="str">
        <f>"201671C0100"</f>
        <v>201671C0100</v>
      </c>
      <c r="B4904" t="str">
        <f>"201671C01002"</f>
        <v>201671C01002</v>
      </c>
      <c r="C4904" t="str">
        <f t="shared" si="245"/>
        <v>20</v>
      </c>
      <c r="D4904" t="s">
        <v>67</v>
      </c>
      <c r="E4904" t="str">
        <f t="shared" si="246"/>
        <v>022</v>
      </c>
      <c r="F4904" t="s">
        <v>4913</v>
      </c>
      <c r="G4904" t="str">
        <f>"1671"</f>
        <v>1671</v>
      </c>
      <c r="H4904" t="str">
        <f>"0001"</f>
        <v>0001</v>
      </c>
      <c r="I4904" t="s">
        <v>75</v>
      </c>
      <c r="J4904">
        <v>0</v>
      </c>
      <c r="K4904">
        <v>1</v>
      </c>
      <c r="L4904">
        <v>2</v>
      </c>
      <c r="M4904">
        <v>306</v>
      </c>
      <c r="N4904">
        <v>260</v>
      </c>
      <c r="O4904">
        <v>0</v>
      </c>
      <c r="P4904">
        <v>266</v>
      </c>
      <c r="Q4904">
        <v>6</v>
      </c>
      <c r="R4904">
        <v>109</v>
      </c>
      <c r="S4904">
        <v>19</v>
      </c>
      <c r="T4904">
        <v>2</v>
      </c>
      <c r="U4904">
        <v>13</v>
      </c>
      <c r="V4904">
        <v>1</v>
      </c>
      <c r="W4904">
        <v>0</v>
      </c>
      <c r="X4904">
        <v>92</v>
      </c>
      <c r="Y4904">
        <v>2</v>
      </c>
      <c r="Z4904">
        <v>1</v>
      </c>
      <c r="AA4904">
        <v>10</v>
      </c>
      <c r="AB4904">
        <v>0</v>
      </c>
      <c r="AD4904">
        <v>0</v>
      </c>
      <c r="AE4904">
        <v>0</v>
      </c>
      <c r="AF4904">
        <v>0</v>
      </c>
      <c r="AG4904">
        <v>1</v>
      </c>
      <c r="AI4904">
        <v>0</v>
      </c>
      <c r="AJ4904">
        <v>10</v>
      </c>
      <c r="AK4904">
        <v>266</v>
      </c>
      <c r="AL4904">
        <v>266</v>
      </c>
      <c r="AM4904">
        <v>528</v>
      </c>
      <c r="AN4904">
        <v>44</v>
      </c>
      <c r="AP4904">
        <v>1</v>
      </c>
      <c r="AR4904" t="s">
        <v>5007</v>
      </c>
      <c r="AS4904" s="1">
        <v>44354.1</v>
      </c>
      <c r="AT4904" s="1">
        <v>44354.10229166667</v>
      </c>
      <c r="AU4904" s="1">
        <v>44354.104039351849</v>
      </c>
      <c r="AV4904" t="s">
        <v>71</v>
      </c>
      <c r="AW4904" t="s">
        <v>72</v>
      </c>
      <c r="AX4904" t="s">
        <v>73</v>
      </c>
    </row>
    <row r="4905" spans="1:50" x14ac:dyDescent="0.3">
      <c r="A4905" t="str">
        <f>"201671C0200"</f>
        <v>201671C0200</v>
      </c>
      <c r="B4905" t="str">
        <f>"201671C02002"</f>
        <v>201671C02002</v>
      </c>
      <c r="C4905" t="str">
        <f t="shared" si="245"/>
        <v>20</v>
      </c>
      <c r="D4905" t="s">
        <v>67</v>
      </c>
      <c r="E4905" t="str">
        <f t="shared" si="246"/>
        <v>022</v>
      </c>
      <c r="F4905" t="s">
        <v>4913</v>
      </c>
      <c r="G4905" t="str">
        <f>"1671"</f>
        <v>1671</v>
      </c>
      <c r="H4905" t="str">
        <f>"0002"</f>
        <v>0002</v>
      </c>
      <c r="I4905" t="s">
        <v>75</v>
      </c>
      <c r="J4905">
        <v>0</v>
      </c>
      <c r="K4905">
        <v>1</v>
      </c>
      <c r="L4905">
        <v>2</v>
      </c>
      <c r="M4905">
        <v>330</v>
      </c>
      <c r="N4905">
        <v>242</v>
      </c>
      <c r="O4905">
        <v>0</v>
      </c>
      <c r="P4905">
        <v>242</v>
      </c>
      <c r="Q4905">
        <v>0</v>
      </c>
      <c r="R4905">
        <v>97</v>
      </c>
      <c r="S4905">
        <v>27</v>
      </c>
      <c r="T4905">
        <v>4</v>
      </c>
      <c r="U4905">
        <v>4</v>
      </c>
      <c r="V4905">
        <v>1</v>
      </c>
      <c r="W4905">
        <v>0</v>
      </c>
      <c r="X4905">
        <v>82</v>
      </c>
      <c r="Y4905">
        <v>0</v>
      </c>
      <c r="Z4905">
        <v>3</v>
      </c>
      <c r="AA4905">
        <v>13</v>
      </c>
      <c r="AB4905">
        <v>2</v>
      </c>
      <c r="AD4905">
        <v>2</v>
      </c>
      <c r="AE4905">
        <v>1</v>
      </c>
      <c r="AF4905">
        <v>0</v>
      </c>
      <c r="AG4905">
        <v>1</v>
      </c>
      <c r="AI4905">
        <v>0</v>
      </c>
      <c r="AJ4905">
        <v>5</v>
      </c>
      <c r="AK4905">
        <v>242</v>
      </c>
      <c r="AL4905">
        <v>242</v>
      </c>
      <c r="AM4905">
        <v>528</v>
      </c>
      <c r="AN4905">
        <v>44</v>
      </c>
      <c r="AP4905">
        <v>1</v>
      </c>
      <c r="AR4905" t="s">
        <v>5008</v>
      </c>
      <c r="AS4905" s="1">
        <v>44354.102083333331</v>
      </c>
      <c r="AT4905" s="1">
        <v>44354.106666666667</v>
      </c>
      <c r="AU4905" s="1">
        <v>44354.107534722221</v>
      </c>
      <c r="AV4905" t="s">
        <v>71</v>
      </c>
      <c r="AW4905" t="s">
        <v>72</v>
      </c>
      <c r="AX4905" t="s">
        <v>73</v>
      </c>
    </row>
    <row r="4906" spans="1:50" x14ac:dyDescent="0.3">
      <c r="A4906" t="str">
        <f>"201672B0000"</f>
        <v>201672B0000</v>
      </c>
      <c r="B4906" t="str">
        <f>"201672B00002"</f>
        <v>201672B00002</v>
      </c>
      <c r="C4906" t="str">
        <f t="shared" si="245"/>
        <v>20</v>
      </c>
      <c r="D4906" t="s">
        <v>67</v>
      </c>
      <c r="E4906" t="str">
        <f t="shared" si="246"/>
        <v>022</v>
      </c>
      <c r="F4906" t="s">
        <v>4913</v>
      </c>
      <c r="G4906" t="str">
        <f>"1672"</f>
        <v>1672</v>
      </c>
      <c r="H4906" t="str">
        <f>"0000"</f>
        <v>0000</v>
      </c>
      <c r="I4906" t="s">
        <v>69</v>
      </c>
      <c r="J4906">
        <v>0</v>
      </c>
      <c r="K4906">
        <v>1</v>
      </c>
      <c r="L4906">
        <v>2</v>
      </c>
      <c r="M4906">
        <v>439</v>
      </c>
      <c r="N4906">
        <v>355</v>
      </c>
      <c r="O4906">
        <v>0</v>
      </c>
      <c r="P4906">
        <v>355</v>
      </c>
      <c r="Q4906">
        <v>0</v>
      </c>
      <c r="R4906">
        <v>110</v>
      </c>
      <c r="S4906">
        <v>24</v>
      </c>
      <c r="T4906">
        <v>5</v>
      </c>
      <c r="U4906">
        <v>12</v>
      </c>
      <c r="V4906">
        <v>1</v>
      </c>
      <c r="W4906">
        <v>3</v>
      </c>
      <c r="X4906">
        <v>144</v>
      </c>
      <c r="Y4906">
        <v>10</v>
      </c>
      <c r="Z4906">
        <v>4</v>
      </c>
      <c r="AA4906">
        <v>26</v>
      </c>
      <c r="AB4906">
        <v>4</v>
      </c>
      <c r="AD4906">
        <v>1</v>
      </c>
      <c r="AE4906">
        <v>0</v>
      </c>
      <c r="AF4906">
        <v>0</v>
      </c>
      <c r="AG4906">
        <v>0</v>
      </c>
      <c r="AI4906">
        <v>0</v>
      </c>
      <c r="AJ4906">
        <v>11</v>
      </c>
      <c r="AK4906">
        <v>355</v>
      </c>
      <c r="AL4906">
        <v>355</v>
      </c>
      <c r="AM4906">
        <v>750</v>
      </c>
      <c r="AN4906">
        <v>44</v>
      </c>
      <c r="AP4906">
        <v>1</v>
      </c>
      <c r="AR4906" t="s">
        <v>5009</v>
      </c>
      <c r="AS4906" s="1">
        <v>44354.097222222219</v>
      </c>
      <c r="AT4906" s="1">
        <v>44354.100277777776</v>
      </c>
      <c r="AU4906" s="1">
        <v>44354.101099537038</v>
      </c>
      <c r="AV4906" t="s">
        <v>71</v>
      </c>
      <c r="AW4906" t="s">
        <v>72</v>
      </c>
      <c r="AX4906" t="s">
        <v>73</v>
      </c>
    </row>
    <row r="4907" spans="1:50" x14ac:dyDescent="0.3">
      <c r="A4907" t="str">
        <f>"201672C0100"</f>
        <v>201672C0100</v>
      </c>
      <c r="B4907" t="str">
        <f>"201672C01002"</f>
        <v>201672C01002</v>
      </c>
      <c r="C4907" t="str">
        <f t="shared" si="245"/>
        <v>20</v>
      </c>
      <c r="D4907" t="s">
        <v>67</v>
      </c>
      <c r="E4907" t="str">
        <f t="shared" si="246"/>
        <v>022</v>
      </c>
      <c r="F4907" t="s">
        <v>4913</v>
      </c>
      <c r="G4907" t="str">
        <f>"1672"</f>
        <v>1672</v>
      </c>
      <c r="H4907" t="str">
        <f>"0001"</f>
        <v>0001</v>
      </c>
      <c r="I4907" t="s">
        <v>75</v>
      </c>
      <c r="J4907">
        <v>0</v>
      </c>
      <c r="K4907">
        <v>1</v>
      </c>
      <c r="L4907">
        <v>2</v>
      </c>
      <c r="M4907">
        <v>446</v>
      </c>
      <c r="N4907">
        <v>347</v>
      </c>
      <c r="O4907">
        <v>0</v>
      </c>
      <c r="P4907" t="s">
        <v>80</v>
      </c>
      <c r="Q4907">
        <v>2</v>
      </c>
      <c r="R4907">
        <v>126</v>
      </c>
      <c r="S4907">
        <v>33</v>
      </c>
      <c r="T4907">
        <v>2</v>
      </c>
      <c r="U4907">
        <v>9</v>
      </c>
      <c r="V4907">
        <v>3</v>
      </c>
      <c r="W4907">
        <v>0</v>
      </c>
      <c r="X4907">
        <v>107</v>
      </c>
      <c r="Y4907">
        <v>5</v>
      </c>
      <c r="Z4907">
        <v>5</v>
      </c>
      <c r="AA4907">
        <v>23</v>
      </c>
      <c r="AB4907">
        <v>1</v>
      </c>
      <c r="AD4907">
        <v>0</v>
      </c>
      <c r="AE4907">
        <v>1</v>
      </c>
      <c r="AF4907">
        <v>0</v>
      </c>
      <c r="AG4907">
        <v>0</v>
      </c>
      <c r="AI4907">
        <v>0</v>
      </c>
      <c r="AJ4907">
        <v>30</v>
      </c>
      <c r="AK4907">
        <v>347</v>
      </c>
      <c r="AL4907">
        <v>347</v>
      </c>
      <c r="AM4907">
        <v>749</v>
      </c>
      <c r="AN4907">
        <v>44</v>
      </c>
      <c r="AP4907">
        <v>1</v>
      </c>
      <c r="AR4907" t="s">
        <v>5010</v>
      </c>
      <c r="AS4907" s="1">
        <v>44354.097222222219</v>
      </c>
      <c r="AT4907" s="1">
        <v>44354.10050925926</v>
      </c>
      <c r="AU4907" s="1">
        <v>44354.101238425923</v>
      </c>
      <c r="AV4907" t="s">
        <v>71</v>
      </c>
      <c r="AW4907" t="s">
        <v>72</v>
      </c>
      <c r="AX4907" t="s">
        <v>73</v>
      </c>
    </row>
    <row r="4908" spans="1:50" x14ac:dyDescent="0.3">
      <c r="A4908" t="str">
        <f>"201826B0000"</f>
        <v>201826B0000</v>
      </c>
      <c r="B4908" t="str">
        <f>"201826B00002"</f>
        <v>201826B00002</v>
      </c>
      <c r="C4908" t="str">
        <f t="shared" si="245"/>
        <v>20</v>
      </c>
      <c r="D4908" t="s">
        <v>67</v>
      </c>
      <c r="E4908" t="str">
        <f t="shared" si="246"/>
        <v>022</v>
      </c>
      <c r="F4908" t="s">
        <v>4913</v>
      </c>
      <c r="G4908" t="str">
        <f>"1826"</f>
        <v>1826</v>
      </c>
      <c r="H4908" t="str">
        <f>"0000"</f>
        <v>0000</v>
      </c>
      <c r="I4908" t="s">
        <v>69</v>
      </c>
      <c r="J4908">
        <v>0</v>
      </c>
      <c r="K4908">
        <v>1</v>
      </c>
      <c r="L4908">
        <v>2</v>
      </c>
      <c r="M4908">
        <v>129</v>
      </c>
      <c r="N4908">
        <v>392</v>
      </c>
      <c r="O4908">
        <v>0</v>
      </c>
      <c r="P4908">
        <v>392</v>
      </c>
      <c r="Q4908">
        <v>3</v>
      </c>
      <c r="R4908">
        <v>21</v>
      </c>
      <c r="S4908">
        <v>100</v>
      </c>
      <c r="T4908">
        <v>9</v>
      </c>
      <c r="U4908">
        <v>39</v>
      </c>
      <c r="V4908">
        <v>12</v>
      </c>
      <c r="W4908">
        <v>0</v>
      </c>
      <c r="X4908">
        <v>47</v>
      </c>
      <c r="Y4908">
        <v>8</v>
      </c>
      <c r="Z4908">
        <v>3</v>
      </c>
      <c r="AA4908">
        <v>8</v>
      </c>
      <c r="AB4908">
        <v>48</v>
      </c>
      <c r="AD4908">
        <v>7</v>
      </c>
      <c r="AE4908">
        <v>0</v>
      </c>
      <c r="AF4908">
        <v>1</v>
      </c>
      <c r="AG4908">
        <v>2</v>
      </c>
      <c r="AI4908">
        <v>15</v>
      </c>
      <c r="AJ4908">
        <v>69</v>
      </c>
      <c r="AK4908">
        <v>392</v>
      </c>
      <c r="AL4908">
        <v>392</v>
      </c>
      <c r="AM4908">
        <v>477</v>
      </c>
      <c r="AN4908">
        <v>44</v>
      </c>
      <c r="AP4908">
        <v>1</v>
      </c>
      <c r="AR4908" t="s">
        <v>5011</v>
      </c>
      <c r="AS4908" s="1">
        <v>44354.179166666669</v>
      </c>
      <c r="AT4908" s="1">
        <v>44354.183263888888</v>
      </c>
      <c r="AU4908" s="1">
        <v>44354.184270833335</v>
      </c>
      <c r="AV4908" t="s">
        <v>71</v>
      </c>
      <c r="AW4908" t="s">
        <v>72</v>
      </c>
      <c r="AX4908" t="s">
        <v>73</v>
      </c>
    </row>
    <row r="4909" spans="1:50" x14ac:dyDescent="0.3">
      <c r="A4909" t="str">
        <f>"201826C0100"</f>
        <v>201826C0100</v>
      </c>
      <c r="B4909" t="str">
        <f>"201826C01002"</f>
        <v>201826C01002</v>
      </c>
      <c r="C4909" t="str">
        <f t="shared" si="245"/>
        <v>20</v>
      </c>
      <c r="D4909" t="s">
        <v>67</v>
      </c>
      <c r="E4909" t="str">
        <f t="shared" si="246"/>
        <v>022</v>
      </c>
      <c r="F4909" t="s">
        <v>4913</v>
      </c>
      <c r="G4909" t="str">
        <f>"1826"</f>
        <v>1826</v>
      </c>
      <c r="H4909" t="str">
        <f>"0001"</f>
        <v>0001</v>
      </c>
      <c r="I4909" t="s">
        <v>75</v>
      </c>
      <c r="J4909">
        <v>0</v>
      </c>
      <c r="K4909">
        <v>1</v>
      </c>
      <c r="L4909">
        <v>2</v>
      </c>
      <c r="M4909">
        <v>158</v>
      </c>
      <c r="N4909">
        <v>362</v>
      </c>
      <c r="O4909">
        <v>0</v>
      </c>
      <c r="P4909">
        <v>362</v>
      </c>
      <c r="Q4909">
        <v>8</v>
      </c>
      <c r="R4909">
        <v>17</v>
      </c>
      <c r="S4909">
        <v>110</v>
      </c>
      <c r="T4909">
        <v>7</v>
      </c>
      <c r="U4909">
        <v>38</v>
      </c>
      <c r="V4909">
        <v>23</v>
      </c>
      <c r="W4909">
        <v>1</v>
      </c>
      <c r="X4909">
        <v>50</v>
      </c>
      <c r="Y4909">
        <v>12</v>
      </c>
      <c r="Z4909">
        <v>1</v>
      </c>
      <c r="AA4909">
        <v>5</v>
      </c>
      <c r="AB4909">
        <v>51</v>
      </c>
      <c r="AD4909">
        <v>4</v>
      </c>
      <c r="AE4909">
        <v>0</v>
      </c>
      <c r="AF4909">
        <v>1</v>
      </c>
      <c r="AG4909">
        <v>1</v>
      </c>
      <c r="AI4909">
        <v>11</v>
      </c>
      <c r="AJ4909">
        <v>22</v>
      </c>
      <c r="AK4909">
        <v>362</v>
      </c>
      <c r="AL4909">
        <v>362</v>
      </c>
      <c r="AM4909">
        <v>476</v>
      </c>
      <c r="AN4909">
        <v>44</v>
      </c>
      <c r="AP4909">
        <v>1</v>
      </c>
      <c r="AR4909" t="s">
        <v>5012</v>
      </c>
      <c r="AS4909" s="1">
        <v>44354.175000000003</v>
      </c>
      <c r="AT4909" s="1">
        <v>44354.179444444446</v>
      </c>
      <c r="AU4909" s="1">
        <v>44354.180115740739</v>
      </c>
      <c r="AV4909" t="s">
        <v>71</v>
      </c>
      <c r="AW4909" t="s">
        <v>72</v>
      </c>
      <c r="AX4909" t="s">
        <v>73</v>
      </c>
    </row>
    <row r="4910" spans="1:50" x14ac:dyDescent="0.3">
      <c r="A4910" t="str">
        <f>"201851B0000"</f>
        <v>201851B0000</v>
      </c>
      <c r="B4910" t="str">
        <f>"201851B00002"</f>
        <v>201851B00002</v>
      </c>
      <c r="C4910" t="str">
        <f t="shared" si="245"/>
        <v>20</v>
      </c>
      <c r="D4910" t="s">
        <v>67</v>
      </c>
      <c r="E4910" t="str">
        <f t="shared" si="246"/>
        <v>022</v>
      </c>
      <c r="F4910" t="s">
        <v>4913</v>
      </c>
      <c r="G4910" t="str">
        <f>"1851"</f>
        <v>1851</v>
      </c>
      <c r="H4910" t="str">
        <f>"0000"</f>
        <v>0000</v>
      </c>
      <c r="I4910" t="s">
        <v>69</v>
      </c>
      <c r="J4910">
        <v>0</v>
      </c>
      <c r="K4910">
        <v>1</v>
      </c>
      <c r="L4910">
        <v>2</v>
      </c>
      <c r="M4910" t="s">
        <v>80</v>
      </c>
      <c r="N4910">
        <v>436</v>
      </c>
      <c r="O4910">
        <v>6</v>
      </c>
      <c r="P4910" t="s">
        <v>80</v>
      </c>
      <c r="Q4910">
        <v>1</v>
      </c>
      <c r="R4910">
        <v>52</v>
      </c>
      <c r="S4910">
        <v>67</v>
      </c>
      <c r="T4910">
        <v>59</v>
      </c>
      <c r="U4910">
        <v>26</v>
      </c>
      <c r="V4910">
        <v>0</v>
      </c>
      <c r="W4910">
        <v>3</v>
      </c>
      <c r="X4910">
        <v>140</v>
      </c>
      <c r="Y4910">
        <v>26</v>
      </c>
      <c r="Z4910">
        <v>2</v>
      </c>
      <c r="AA4910">
        <v>4</v>
      </c>
      <c r="AB4910">
        <v>40</v>
      </c>
      <c r="AD4910">
        <v>0</v>
      </c>
      <c r="AE4910">
        <v>0</v>
      </c>
      <c r="AF4910">
        <v>1</v>
      </c>
      <c r="AG4910">
        <v>0</v>
      </c>
      <c r="AI4910">
        <v>0</v>
      </c>
      <c r="AJ4910">
        <v>15</v>
      </c>
      <c r="AK4910">
        <v>435</v>
      </c>
      <c r="AL4910">
        <v>436</v>
      </c>
      <c r="AM4910">
        <v>614</v>
      </c>
      <c r="AN4910">
        <v>44</v>
      </c>
      <c r="AP4910">
        <v>1</v>
      </c>
      <c r="AR4910" t="s">
        <v>5013</v>
      </c>
      <c r="AS4910" s="1">
        <v>44354.009583333333</v>
      </c>
      <c r="AT4910" s="1">
        <v>44354.0153125</v>
      </c>
      <c r="AU4910" s="1">
        <v>44354.016944444447</v>
      </c>
      <c r="AV4910" t="s">
        <v>269</v>
      </c>
      <c r="AW4910" t="s">
        <v>270</v>
      </c>
      <c r="AX4910" t="s">
        <v>73</v>
      </c>
    </row>
    <row r="4911" spans="1:50" x14ac:dyDescent="0.3">
      <c r="A4911" t="str">
        <f>"201851C0100"</f>
        <v>201851C0100</v>
      </c>
      <c r="B4911" t="str">
        <f>"201851C01002"</f>
        <v>201851C01002</v>
      </c>
      <c r="C4911" t="str">
        <f t="shared" si="245"/>
        <v>20</v>
      </c>
      <c r="D4911" t="s">
        <v>67</v>
      </c>
      <c r="E4911" t="str">
        <f t="shared" si="246"/>
        <v>022</v>
      </c>
      <c r="F4911" t="s">
        <v>4913</v>
      </c>
      <c r="G4911" t="str">
        <f>"1851"</f>
        <v>1851</v>
      </c>
      <c r="H4911" t="str">
        <f>"0001"</f>
        <v>0001</v>
      </c>
      <c r="I4911" t="s">
        <v>75</v>
      </c>
      <c r="J4911">
        <v>0</v>
      </c>
      <c r="K4911">
        <v>1</v>
      </c>
      <c r="L4911">
        <v>2</v>
      </c>
      <c r="M4911">
        <v>216</v>
      </c>
      <c r="N4911">
        <v>441</v>
      </c>
      <c r="O4911">
        <v>4</v>
      </c>
      <c r="P4911">
        <v>441</v>
      </c>
      <c r="Q4911">
        <v>0</v>
      </c>
      <c r="R4911">
        <v>63</v>
      </c>
      <c r="S4911">
        <v>75</v>
      </c>
      <c r="T4911">
        <v>85</v>
      </c>
      <c r="U4911">
        <v>16</v>
      </c>
      <c r="V4911">
        <v>3</v>
      </c>
      <c r="W4911">
        <v>1</v>
      </c>
      <c r="X4911">
        <v>129</v>
      </c>
      <c r="Y4911">
        <v>18</v>
      </c>
      <c r="Z4911">
        <v>3</v>
      </c>
      <c r="AA4911">
        <v>1</v>
      </c>
      <c r="AB4911">
        <v>26</v>
      </c>
      <c r="AD4911">
        <v>1</v>
      </c>
      <c r="AE4911">
        <v>0</v>
      </c>
      <c r="AF4911">
        <v>0</v>
      </c>
      <c r="AG4911">
        <v>0</v>
      </c>
      <c r="AI4911">
        <v>0</v>
      </c>
      <c r="AJ4911">
        <v>20</v>
      </c>
      <c r="AK4911">
        <v>441</v>
      </c>
      <c r="AL4911">
        <v>441</v>
      </c>
      <c r="AM4911">
        <v>613</v>
      </c>
      <c r="AN4911">
        <v>44</v>
      </c>
      <c r="AP4911">
        <v>1</v>
      </c>
      <c r="AR4911" t="s">
        <v>5014</v>
      </c>
      <c r="AS4911" s="1">
        <v>44354.00854166667</v>
      </c>
      <c r="AT4911" s="1">
        <v>44354.013287037036</v>
      </c>
      <c r="AU4911" s="1">
        <v>44354.013958333337</v>
      </c>
      <c r="AV4911" t="s">
        <v>269</v>
      </c>
      <c r="AW4911" t="s">
        <v>270</v>
      </c>
      <c r="AX4911" t="s">
        <v>73</v>
      </c>
    </row>
    <row r="4912" spans="1:50" x14ac:dyDescent="0.3">
      <c r="A4912" t="str">
        <f>"201851C0200"</f>
        <v>201851C0200</v>
      </c>
      <c r="B4912" t="str">
        <f>"201851C02002"</f>
        <v>201851C02002</v>
      </c>
      <c r="C4912" t="str">
        <f t="shared" si="245"/>
        <v>20</v>
      </c>
      <c r="D4912" t="s">
        <v>67</v>
      </c>
      <c r="E4912" t="str">
        <f t="shared" si="246"/>
        <v>022</v>
      </c>
      <c r="F4912" t="s">
        <v>4913</v>
      </c>
      <c r="G4912" t="str">
        <f>"1851"</f>
        <v>1851</v>
      </c>
      <c r="H4912" t="str">
        <f>"0002"</f>
        <v>0002</v>
      </c>
      <c r="I4912" t="s">
        <v>75</v>
      </c>
      <c r="J4912">
        <v>0</v>
      </c>
      <c r="K4912">
        <v>1</v>
      </c>
      <c r="L4912">
        <v>2</v>
      </c>
      <c r="M4912">
        <v>196</v>
      </c>
      <c r="N4912">
        <v>461</v>
      </c>
      <c r="O4912">
        <v>8</v>
      </c>
      <c r="P4912">
        <v>461</v>
      </c>
      <c r="Q4912">
        <v>0</v>
      </c>
      <c r="R4912">
        <v>68</v>
      </c>
      <c r="S4912">
        <v>60</v>
      </c>
      <c r="T4912">
        <v>73</v>
      </c>
      <c r="U4912">
        <v>16</v>
      </c>
      <c r="V4912">
        <v>0</v>
      </c>
      <c r="W4912">
        <v>2</v>
      </c>
      <c r="X4912">
        <v>147</v>
      </c>
      <c r="Y4912">
        <v>30</v>
      </c>
      <c r="Z4912">
        <v>0</v>
      </c>
      <c r="AA4912">
        <v>2</v>
      </c>
      <c r="AB4912">
        <v>55</v>
      </c>
      <c r="AD4912">
        <v>0</v>
      </c>
      <c r="AE4912">
        <v>0</v>
      </c>
      <c r="AF4912">
        <v>0</v>
      </c>
      <c r="AG4912">
        <v>0</v>
      </c>
      <c r="AI4912">
        <v>0</v>
      </c>
      <c r="AJ4912">
        <v>8</v>
      </c>
      <c r="AK4912">
        <v>461</v>
      </c>
      <c r="AL4912">
        <v>461</v>
      </c>
      <c r="AM4912">
        <v>613</v>
      </c>
      <c r="AN4912">
        <v>44</v>
      </c>
      <c r="AP4912">
        <v>1</v>
      </c>
      <c r="AR4912" t="s">
        <v>5015</v>
      </c>
      <c r="AS4912" s="1">
        <v>44354.090277777781</v>
      </c>
      <c r="AT4912" s="1">
        <v>44354.096516203703</v>
      </c>
      <c r="AU4912" s="1">
        <v>44354.097268518519</v>
      </c>
      <c r="AV4912" t="s">
        <v>71</v>
      </c>
      <c r="AW4912" t="s">
        <v>72</v>
      </c>
      <c r="AX4912" t="s">
        <v>73</v>
      </c>
    </row>
    <row r="4913" spans="1:50" x14ac:dyDescent="0.3">
      <c r="A4913" t="str">
        <f>"201851E0100"</f>
        <v>201851E0100</v>
      </c>
      <c r="B4913" t="str">
        <f>"201851E01002"</f>
        <v>201851E01002</v>
      </c>
      <c r="C4913" t="str">
        <f t="shared" si="245"/>
        <v>20</v>
      </c>
      <c r="D4913" t="s">
        <v>67</v>
      </c>
      <c r="E4913" t="str">
        <f t="shared" si="246"/>
        <v>022</v>
      </c>
      <c r="F4913" t="s">
        <v>4913</v>
      </c>
      <c r="G4913" t="str">
        <f>"1851"</f>
        <v>1851</v>
      </c>
      <c r="H4913" t="str">
        <f>"0001"</f>
        <v>0001</v>
      </c>
      <c r="I4913" t="s">
        <v>109</v>
      </c>
      <c r="J4913">
        <v>0</v>
      </c>
      <c r="K4913">
        <v>1</v>
      </c>
      <c r="L4913">
        <v>2</v>
      </c>
      <c r="M4913">
        <v>134</v>
      </c>
      <c r="N4913">
        <v>165</v>
      </c>
      <c r="O4913">
        <v>2</v>
      </c>
      <c r="P4913">
        <v>165</v>
      </c>
      <c r="Q4913">
        <v>0</v>
      </c>
      <c r="R4913">
        <v>32</v>
      </c>
      <c r="S4913">
        <v>13</v>
      </c>
      <c r="T4913">
        <v>22</v>
      </c>
      <c r="U4913">
        <v>33</v>
      </c>
      <c r="V4913">
        <v>1</v>
      </c>
      <c r="W4913">
        <v>0</v>
      </c>
      <c r="X4913">
        <v>48</v>
      </c>
      <c r="Y4913">
        <v>8</v>
      </c>
      <c r="Z4913">
        <v>2</v>
      </c>
      <c r="AA4913">
        <v>0</v>
      </c>
      <c r="AB4913">
        <v>0</v>
      </c>
      <c r="AD4913">
        <v>0</v>
      </c>
      <c r="AE4913">
        <v>0</v>
      </c>
      <c r="AF4913">
        <v>0</v>
      </c>
      <c r="AG4913">
        <v>0</v>
      </c>
      <c r="AI4913">
        <v>0</v>
      </c>
      <c r="AJ4913">
        <v>6</v>
      </c>
      <c r="AK4913">
        <v>165</v>
      </c>
      <c r="AL4913">
        <v>165</v>
      </c>
      <c r="AM4913">
        <v>255</v>
      </c>
      <c r="AN4913">
        <v>44</v>
      </c>
      <c r="AP4913">
        <v>1</v>
      </c>
      <c r="AR4913" t="s">
        <v>5016</v>
      </c>
      <c r="AS4913" s="1">
        <v>44354.095138888886</v>
      </c>
      <c r="AT4913" s="1">
        <v>44354.100590277776</v>
      </c>
      <c r="AU4913" s="1">
        <v>44354.100972222222</v>
      </c>
      <c r="AV4913" t="s">
        <v>71</v>
      </c>
      <c r="AW4913" t="s">
        <v>72</v>
      </c>
      <c r="AX4913" t="s">
        <v>73</v>
      </c>
    </row>
    <row r="4914" spans="1:50" x14ac:dyDescent="0.3">
      <c r="A4914" t="str">
        <f>"201852B0000"</f>
        <v>201852B0000</v>
      </c>
      <c r="B4914" t="str">
        <f>"201852B00002"</f>
        <v>201852B00002</v>
      </c>
      <c r="C4914" t="str">
        <f t="shared" si="245"/>
        <v>20</v>
      </c>
      <c r="D4914" t="s">
        <v>67</v>
      </c>
      <c r="E4914" t="str">
        <f t="shared" si="246"/>
        <v>022</v>
      </c>
      <c r="F4914" t="s">
        <v>4913</v>
      </c>
      <c r="G4914" t="str">
        <f>"1852"</f>
        <v>1852</v>
      </c>
      <c r="H4914" t="str">
        <f>"0000"</f>
        <v>0000</v>
      </c>
      <c r="I4914" t="s">
        <v>69</v>
      </c>
      <c r="J4914">
        <v>0</v>
      </c>
      <c r="K4914">
        <v>1</v>
      </c>
      <c r="L4914">
        <v>2</v>
      </c>
      <c r="M4914">
        <v>237</v>
      </c>
      <c r="N4914">
        <v>509</v>
      </c>
      <c r="O4914">
        <v>3</v>
      </c>
      <c r="P4914">
        <v>508</v>
      </c>
      <c r="Q4914">
        <v>1</v>
      </c>
      <c r="R4914">
        <v>64</v>
      </c>
      <c r="S4914">
        <v>100</v>
      </c>
      <c r="T4914">
        <v>84</v>
      </c>
      <c r="U4914">
        <v>29</v>
      </c>
      <c r="V4914">
        <v>3</v>
      </c>
      <c r="W4914">
        <v>1</v>
      </c>
      <c r="X4914">
        <v>163</v>
      </c>
      <c r="Y4914">
        <v>21</v>
      </c>
      <c r="Z4914">
        <v>1</v>
      </c>
      <c r="AA4914">
        <v>4</v>
      </c>
      <c r="AB4914">
        <v>22</v>
      </c>
      <c r="AD4914">
        <v>1</v>
      </c>
      <c r="AE4914">
        <v>0</v>
      </c>
      <c r="AF4914">
        <v>0</v>
      </c>
      <c r="AG4914">
        <v>1</v>
      </c>
      <c r="AI4914">
        <v>0</v>
      </c>
      <c r="AJ4914">
        <v>13</v>
      </c>
      <c r="AK4914">
        <v>508</v>
      </c>
      <c r="AL4914">
        <v>508</v>
      </c>
      <c r="AM4914">
        <v>701</v>
      </c>
      <c r="AN4914">
        <v>44</v>
      </c>
      <c r="AP4914">
        <v>1</v>
      </c>
      <c r="AR4914" t="s">
        <v>5017</v>
      </c>
      <c r="AS4914" s="1">
        <v>44353.998078703706</v>
      </c>
      <c r="AT4914" s="1">
        <v>44354.003703703704</v>
      </c>
      <c r="AU4914" s="1">
        <v>44354.004490740743</v>
      </c>
      <c r="AV4914" t="s">
        <v>269</v>
      </c>
      <c r="AW4914" t="s">
        <v>270</v>
      </c>
      <c r="AX4914" t="s">
        <v>73</v>
      </c>
    </row>
    <row r="4915" spans="1:50" x14ac:dyDescent="0.3">
      <c r="A4915" t="str">
        <f>"201852C0100"</f>
        <v>201852C0100</v>
      </c>
      <c r="B4915" t="str">
        <f>"201852C01002"</f>
        <v>201852C01002</v>
      </c>
      <c r="C4915" t="str">
        <f t="shared" si="245"/>
        <v>20</v>
      </c>
      <c r="D4915" t="s">
        <v>67</v>
      </c>
      <c r="E4915" t="str">
        <f t="shared" si="246"/>
        <v>022</v>
      </c>
      <c r="F4915" t="s">
        <v>4913</v>
      </c>
      <c r="G4915" t="str">
        <f>"1852"</f>
        <v>1852</v>
      </c>
      <c r="H4915" t="str">
        <f>"0001"</f>
        <v>0001</v>
      </c>
      <c r="I4915" t="s">
        <v>75</v>
      </c>
      <c r="J4915">
        <v>0</v>
      </c>
      <c r="K4915">
        <v>1</v>
      </c>
      <c r="L4915">
        <v>2</v>
      </c>
      <c r="M4915">
        <v>226</v>
      </c>
      <c r="N4915">
        <v>519</v>
      </c>
      <c r="O4915">
        <v>2</v>
      </c>
      <c r="P4915">
        <v>517</v>
      </c>
      <c r="Q4915">
        <v>4</v>
      </c>
      <c r="R4915">
        <v>89</v>
      </c>
      <c r="S4915">
        <v>97</v>
      </c>
      <c r="T4915">
        <v>58</v>
      </c>
      <c r="U4915">
        <v>25</v>
      </c>
      <c r="V4915">
        <v>1</v>
      </c>
      <c r="W4915">
        <v>0</v>
      </c>
      <c r="X4915">
        <v>157</v>
      </c>
      <c r="Y4915">
        <v>20</v>
      </c>
      <c r="Z4915">
        <v>2</v>
      </c>
      <c r="AA4915">
        <v>3</v>
      </c>
      <c r="AB4915">
        <v>48</v>
      </c>
      <c r="AD4915">
        <v>0</v>
      </c>
      <c r="AE4915">
        <v>0</v>
      </c>
      <c r="AF4915">
        <v>0</v>
      </c>
      <c r="AG4915">
        <v>0</v>
      </c>
      <c r="AI4915">
        <v>0</v>
      </c>
      <c r="AJ4915">
        <v>15</v>
      </c>
      <c r="AK4915">
        <v>519</v>
      </c>
      <c r="AL4915">
        <v>519</v>
      </c>
      <c r="AM4915">
        <v>701</v>
      </c>
      <c r="AN4915">
        <v>44</v>
      </c>
      <c r="AP4915">
        <v>1</v>
      </c>
      <c r="AR4915" t="s">
        <v>5018</v>
      </c>
      <c r="AS4915" s="1">
        <v>44353.908692129633</v>
      </c>
      <c r="AT4915" s="1">
        <v>44353.910682870373</v>
      </c>
      <c r="AU4915" s="1">
        <v>44353.911666666667</v>
      </c>
      <c r="AV4915" t="s">
        <v>269</v>
      </c>
      <c r="AW4915" t="s">
        <v>270</v>
      </c>
      <c r="AX4915" t="s">
        <v>73</v>
      </c>
    </row>
    <row r="4916" spans="1:50" x14ac:dyDescent="0.3">
      <c r="A4916" t="str">
        <f>"201852C0200"</f>
        <v>201852C0200</v>
      </c>
      <c r="B4916" t="str">
        <f>"201852C02002"</f>
        <v>201852C02002</v>
      </c>
      <c r="C4916" t="str">
        <f t="shared" si="245"/>
        <v>20</v>
      </c>
      <c r="D4916" t="s">
        <v>67</v>
      </c>
      <c r="E4916" t="str">
        <f t="shared" si="246"/>
        <v>022</v>
      </c>
      <c r="F4916" t="s">
        <v>4913</v>
      </c>
      <c r="G4916" t="str">
        <f>"1852"</f>
        <v>1852</v>
      </c>
      <c r="H4916" t="str">
        <f>"0002"</f>
        <v>0002</v>
      </c>
      <c r="I4916" t="s">
        <v>75</v>
      </c>
      <c r="J4916">
        <v>0</v>
      </c>
      <c r="K4916">
        <v>1</v>
      </c>
      <c r="L4916">
        <v>2</v>
      </c>
      <c r="M4916">
        <v>208</v>
      </c>
      <c r="N4916">
        <v>536</v>
      </c>
      <c r="O4916">
        <v>3</v>
      </c>
      <c r="P4916">
        <v>536</v>
      </c>
      <c r="Q4916">
        <v>5</v>
      </c>
      <c r="R4916">
        <v>110</v>
      </c>
      <c r="S4916">
        <v>59</v>
      </c>
      <c r="T4916">
        <v>70</v>
      </c>
      <c r="U4916">
        <v>33</v>
      </c>
      <c r="V4916">
        <v>1</v>
      </c>
      <c r="W4916">
        <v>2</v>
      </c>
      <c r="X4916">
        <v>186</v>
      </c>
      <c r="Y4916">
        <v>20</v>
      </c>
      <c r="Z4916">
        <v>0</v>
      </c>
      <c r="AA4916">
        <v>3</v>
      </c>
      <c r="AB4916">
        <v>36</v>
      </c>
      <c r="AD4916" t="s">
        <v>77</v>
      </c>
      <c r="AE4916" t="s">
        <v>77</v>
      </c>
      <c r="AF4916" t="s">
        <v>77</v>
      </c>
      <c r="AG4916" t="s">
        <v>77</v>
      </c>
      <c r="AI4916" t="s">
        <v>77</v>
      </c>
      <c r="AJ4916">
        <v>11</v>
      </c>
      <c r="AK4916">
        <v>536</v>
      </c>
      <c r="AL4916">
        <v>536</v>
      </c>
      <c r="AM4916">
        <v>700</v>
      </c>
      <c r="AN4916">
        <v>44</v>
      </c>
      <c r="AO4916" t="s">
        <v>78</v>
      </c>
      <c r="AP4916">
        <v>1</v>
      </c>
      <c r="AR4916" t="s">
        <v>5019</v>
      </c>
      <c r="AS4916" s="1">
        <v>44353.910868055558</v>
      </c>
      <c r="AT4916" s="1">
        <v>44353.912754629629</v>
      </c>
      <c r="AU4916" s="1">
        <v>44353.914097222223</v>
      </c>
      <c r="AV4916" t="s">
        <v>269</v>
      </c>
      <c r="AW4916" t="s">
        <v>270</v>
      </c>
      <c r="AX4916" t="s">
        <v>73</v>
      </c>
    </row>
    <row r="4917" spans="1:50" x14ac:dyDescent="0.3">
      <c r="A4917" t="str">
        <f>"201853B0000"</f>
        <v>201853B0000</v>
      </c>
      <c r="B4917" t="str">
        <f>"201853B00002"</f>
        <v>201853B00002</v>
      </c>
      <c r="C4917" t="str">
        <f t="shared" si="245"/>
        <v>20</v>
      </c>
      <c r="D4917" t="s">
        <v>67</v>
      </c>
      <c r="E4917" t="str">
        <f t="shared" si="246"/>
        <v>022</v>
      </c>
      <c r="F4917" t="s">
        <v>4913</v>
      </c>
      <c r="G4917" t="str">
        <f>"1853"</f>
        <v>1853</v>
      </c>
      <c r="H4917" t="str">
        <f>"0000"</f>
        <v>0000</v>
      </c>
      <c r="I4917" t="s">
        <v>69</v>
      </c>
      <c r="J4917">
        <v>0</v>
      </c>
      <c r="K4917">
        <v>1</v>
      </c>
      <c r="L4917">
        <v>2</v>
      </c>
      <c r="M4917">
        <v>167</v>
      </c>
      <c r="N4917">
        <v>308</v>
      </c>
      <c r="O4917">
        <v>7</v>
      </c>
      <c r="P4917">
        <v>309</v>
      </c>
      <c r="Q4917">
        <v>2</v>
      </c>
      <c r="R4917">
        <v>87</v>
      </c>
      <c r="S4917">
        <v>43</v>
      </c>
      <c r="T4917">
        <v>33</v>
      </c>
      <c r="U4917">
        <v>37</v>
      </c>
      <c r="V4917">
        <v>0</v>
      </c>
      <c r="W4917">
        <v>0</v>
      </c>
      <c r="X4917">
        <v>39</v>
      </c>
      <c r="Y4917">
        <v>42</v>
      </c>
      <c r="Z4917">
        <v>2</v>
      </c>
      <c r="AA4917">
        <v>1</v>
      </c>
      <c r="AB4917">
        <v>13</v>
      </c>
      <c r="AD4917">
        <v>0</v>
      </c>
      <c r="AE4917">
        <v>0</v>
      </c>
      <c r="AF4917">
        <v>0</v>
      </c>
      <c r="AG4917">
        <v>0</v>
      </c>
      <c r="AI4917">
        <v>0</v>
      </c>
      <c r="AJ4917">
        <v>10</v>
      </c>
      <c r="AK4917">
        <v>309</v>
      </c>
      <c r="AL4917">
        <v>309</v>
      </c>
      <c r="AM4917">
        <v>432</v>
      </c>
      <c r="AN4917">
        <v>44</v>
      </c>
      <c r="AP4917">
        <v>1</v>
      </c>
      <c r="AR4917" t="s">
        <v>5020</v>
      </c>
      <c r="AS4917" s="1">
        <v>44354.160416666666</v>
      </c>
      <c r="AT4917" s="1">
        <v>44354.17082175926</v>
      </c>
      <c r="AU4917" s="1">
        <v>44354.171307870369</v>
      </c>
      <c r="AV4917" t="s">
        <v>71</v>
      </c>
      <c r="AW4917" t="s">
        <v>72</v>
      </c>
      <c r="AX4917" t="s">
        <v>73</v>
      </c>
    </row>
    <row r="4918" spans="1:50" x14ac:dyDescent="0.3">
      <c r="A4918" t="str">
        <f>"201853E0100"</f>
        <v>201853E0100</v>
      </c>
      <c r="B4918" t="str">
        <f>"201853E01002"</f>
        <v>201853E01002</v>
      </c>
      <c r="C4918" t="str">
        <f t="shared" si="245"/>
        <v>20</v>
      </c>
      <c r="D4918" t="s">
        <v>67</v>
      </c>
      <c r="E4918" t="str">
        <f t="shared" si="246"/>
        <v>022</v>
      </c>
      <c r="F4918" t="s">
        <v>4913</v>
      </c>
      <c r="G4918" t="str">
        <f>"1853"</f>
        <v>1853</v>
      </c>
      <c r="H4918" t="str">
        <f>"0001"</f>
        <v>0001</v>
      </c>
      <c r="I4918" t="s">
        <v>109</v>
      </c>
      <c r="J4918">
        <v>0</v>
      </c>
      <c r="K4918">
        <v>1</v>
      </c>
      <c r="L4918">
        <v>2</v>
      </c>
      <c r="M4918">
        <v>158</v>
      </c>
      <c r="N4918">
        <v>274</v>
      </c>
      <c r="O4918">
        <v>3</v>
      </c>
      <c r="P4918">
        <v>274</v>
      </c>
      <c r="Q4918">
        <v>0</v>
      </c>
      <c r="R4918">
        <v>57</v>
      </c>
      <c r="S4918">
        <v>49</v>
      </c>
      <c r="T4918">
        <v>76</v>
      </c>
      <c r="U4918">
        <v>24</v>
      </c>
      <c r="V4918">
        <v>0</v>
      </c>
      <c r="W4918">
        <v>0</v>
      </c>
      <c r="X4918">
        <v>56</v>
      </c>
      <c r="Y4918">
        <v>8</v>
      </c>
      <c r="Z4918">
        <v>1</v>
      </c>
      <c r="AA4918">
        <v>0</v>
      </c>
      <c r="AB4918">
        <v>15</v>
      </c>
      <c r="AD4918">
        <v>0</v>
      </c>
      <c r="AE4918">
        <v>0</v>
      </c>
      <c r="AF4918">
        <v>0</v>
      </c>
      <c r="AG4918">
        <v>0</v>
      </c>
      <c r="AI4918">
        <v>0</v>
      </c>
      <c r="AJ4918">
        <v>8</v>
      </c>
      <c r="AK4918">
        <v>274</v>
      </c>
      <c r="AL4918">
        <v>294</v>
      </c>
      <c r="AM4918">
        <v>388</v>
      </c>
      <c r="AN4918">
        <v>44</v>
      </c>
      <c r="AP4918">
        <v>1</v>
      </c>
      <c r="AR4918" t="s">
        <v>5021</v>
      </c>
      <c r="AS4918" s="1">
        <v>44354.13958333333</v>
      </c>
      <c r="AT4918" s="1">
        <v>44354.144629629627</v>
      </c>
      <c r="AU4918" s="1">
        <v>44354.144895833335</v>
      </c>
      <c r="AV4918" t="s">
        <v>71</v>
      </c>
      <c r="AW4918" t="s">
        <v>72</v>
      </c>
      <c r="AX4918" t="s">
        <v>73</v>
      </c>
    </row>
    <row r="4919" spans="1:50" x14ac:dyDescent="0.3">
      <c r="A4919" t="str">
        <f>"201853E0101"</f>
        <v>201853E0101</v>
      </c>
      <c r="B4919" t="str">
        <f>"201853E01012"</f>
        <v>201853E01012</v>
      </c>
      <c r="C4919" t="str">
        <f t="shared" si="245"/>
        <v>20</v>
      </c>
      <c r="D4919" t="s">
        <v>67</v>
      </c>
      <c r="E4919" t="str">
        <f t="shared" si="246"/>
        <v>022</v>
      </c>
      <c r="F4919" t="s">
        <v>4913</v>
      </c>
      <c r="G4919" t="str">
        <f>"1853"</f>
        <v>1853</v>
      </c>
      <c r="H4919" t="str">
        <f>"0001"</f>
        <v>0001</v>
      </c>
      <c r="I4919" t="s">
        <v>109</v>
      </c>
      <c r="J4919">
        <v>1</v>
      </c>
      <c r="K4919">
        <v>1</v>
      </c>
      <c r="L4919">
        <v>2</v>
      </c>
      <c r="M4919">
        <v>156</v>
      </c>
      <c r="N4919">
        <v>275</v>
      </c>
      <c r="O4919">
        <v>4</v>
      </c>
      <c r="P4919">
        <v>275</v>
      </c>
      <c r="Q4919">
        <v>3</v>
      </c>
      <c r="R4919">
        <v>70</v>
      </c>
      <c r="S4919">
        <v>30</v>
      </c>
      <c r="T4919">
        <v>73</v>
      </c>
      <c r="U4919">
        <v>24</v>
      </c>
      <c r="V4919">
        <v>2</v>
      </c>
      <c r="W4919">
        <v>0</v>
      </c>
      <c r="X4919">
        <v>42</v>
      </c>
      <c r="Y4919">
        <v>3</v>
      </c>
      <c r="Z4919">
        <v>1</v>
      </c>
      <c r="AA4919">
        <v>0</v>
      </c>
      <c r="AB4919">
        <v>13</v>
      </c>
      <c r="AD4919" t="s">
        <v>77</v>
      </c>
      <c r="AE4919" t="s">
        <v>77</v>
      </c>
      <c r="AF4919" t="s">
        <v>77</v>
      </c>
      <c r="AG4919" t="s">
        <v>77</v>
      </c>
      <c r="AI4919" t="s">
        <v>77</v>
      </c>
      <c r="AJ4919">
        <v>14</v>
      </c>
      <c r="AK4919">
        <v>275</v>
      </c>
      <c r="AL4919">
        <v>275</v>
      </c>
      <c r="AM4919">
        <v>387</v>
      </c>
      <c r="AN4919">
        <v>44</v>
      </c>
      <c r="AO4919" t="s">
        <v>78</v>
      </c>
      <c r="AP4919">
        <v>1</v>
      </c>
      <c r="AR4919" t="s">
        <v>5022</v>
      </c>
      <c r="AS4919" s="1">
        <v>44354.145833333336</v>
      </c>
      <c r="AT4919" s="1">
        <v>44354.150057870371</v>
      </c>
      <c r="AU4919" s="1">
        <v>44354.15111111111</v>
      </c>
      <c r="AV4919" t="s">
        <v>71</v>
      </c>
      <c r="AW4919" t="s">
        <v>72</v>
      </c>
      <c r="AX4919" t="s">
        <v>73</v>
      </c>
    </row>
    <row r="4920" spans="1:50" x14ac:dyDescent="0.3">
      <c r="A4920" t="str">
        <f>"201854B0000"</f>
        <v>201854B0000</v>
      </c>
      <c r="B4920" t="str">
        <f>"201854B00002"</f>
        <v>201854B00002</v>
      </c>
      <c r="C4920" t="str">
        <f t="shared" si="245"/>
        <v>20</v>
      </c>
      <c r="D4920" t="s">
        <v>67</v>
      </c>
      <c r="E4920" t="str">
        <f t="shared" si="246"/>
        <v>022</v>
      </c>
      <c r="F4920" t="s">
        <v>4913</v>
      </c>
      <c r="G4920" t="str">
        <f>"1854"</f>
        <v>1854</v>
      </c>
      <c r="H4920" t="str">
        <f>"0000"</f>
        <v>0000</v>
      </c>
      <c r="I4920" t="s">
        <v>69</v>
      </c>
      <c r="J4920">
        <v>0</v>
      </c>
      <c r="K4920">
        <v>1</v>
      </c>
      <c r="L4920">
        <v>2</v>
      </c>
      <c r="M4920">
        <v>227</v>
      </c>
      <c r="N4920">
        <v>386</v>
      </c>
      <c r="O4920">
        <v>7</v>
      </c>
      <c r="P4920">
        <v>386</v>
      </c>
      <c r="Q4920">
        <v>1</v>
      </c>
      <c r="R4920">
        <v>84</v>
      </c>
      <c r="S4920">
        <v>59</v>
      </c>
      <c r="T4920">
        <v>18</v>
      </c>
      <c r="U4920">
        <v>84</v>
      </c>
      <c r="V4920">
        <v>1</v>
      </c>
      <c r="W4920">
        <v>0</v>
      </c>
      <c r="X4920">
        <v>61</v>
      </c>
      <c r="Y4920">
        <v>60</v>
      </c>
      <c r="Z4920">
        <v>0</v>
      </c>
      <c r="AA4920">
        <v>0</v>
      </c>
      <c r="AB4920">
        <v>9</v>
      </c>
      <c r="AD4920">
        <v>0</v>
      </c>
      <c r="AE4920">
        <v>0</v>
      </c>
      <c r="AF4920">
        <v>1</v>
      </c>
      <c r="AG4920">
        <v>0</v>
      </c>
      <c r="AI4920">
        <v>0</v>
      </c>
      <c r="AJ4920">
        <v>8</v>
      </c>
      <c r="AK4920" t="s">
        <v>99</v>
      </c>
      <c r="AL4920">
        <v>386</v>
      </c>
      <c r="AM4920">
        <v>569</v>
      </c>
      <c r="AN4920">
        <v>44</v>
      </c>
      <c r="AP4920">
        <v>1</v>
      </c>
      <c r="AR4920" t="s">
        <v>5023</v>
      </c>
      <c r="AS4920" s="1">
        <v>44354.138888888891</v>
      </c>
      <c r="AT4920" s="1">
        <v>44354.14267361111</v>
      </c>
      <c r="AU4920" s="1">
        <v>44354.143645833334</v>
      </c>
      <c r="AV4920" t="s">
        <v>71</v>
      </c>
      <c r="AW4920" t="s">
        <v>72</v>
      </c>
      <c r="AX4920" t="s">
        <v>73</v>
      </c>
    </row>
    <row r="4921" spans="1:50" x14ac:dyDescent="0.3">
      <c r="A4921" t="str">
        <f>"201854C0100"</f>
        <v>201854C0100</v>
      </c>
      <c r="B4921" t="str">
        <f>"201854C01002"</f>
        <v>201854C01002</v>
      </c>
      <c r="C4921" t="str">
        <f t="shared" si="245"/>
        <v>20</v>
      </c>
      <c r="D4921" t="s">
        <v>67</v>
      </c>
      <c r="E4921" t="str">
        <f t="shared" si="246"/>
        <v>022</v>
      </c>
      <c r="F4921" t="s">
        <v>4913</v>
      </c>
      <c r="G4921" t="str">
        <f>"1854"</f>
        <v>1854</v>
      </c>
      <c r="H4921" t="str">
        <f>"0001"</f>
        <v>0001</v>
      </c>
      <c r="I4921" t="s">
        <v>75</v>
      </c>
      <c r="J4921">
        <v>0</v>
      </c>
      <c r="K4921">
        <v>1</v>
      </c>
      <c r="L4921">
        <v>2</v>
      </c>
      <c r="M4921">
        <v>259</v>
      </c>
      <c r="N4921">
        <v>354</v>
      </c>
      <c r="O4921">
        <v>5</v>
      </c>
      <c r="P4921">
        <v>349</v>
      </c>
      <c r="Q4921">
        <v>2</v>
      </c>
      <c r="R4921">
        <v>103</v>
      </c>
      <c r="S4921">
        <v>40</v>
      </c>
      <c r="T4921">
        <v>16</v>
      </c>
      <c r="U4921">
        <v>71</v>
      </c>
      <c r="V4921">
        <v>1</v>
      </c>
      <c r="W4921">
        <v>1</v>
      </c>
      <c r="X4921">
        <v>47</v>
      </c>
      <c r="Y4921">
        <v>41</v>
      </c>
      <c r="Z4921">
        <v>1</v>
      </c>
      <c r="AA4921">
        <v>3</v>
      </c>
      <c r="AB4921">
        <v>13</v>
      </c>
      <c r="AD4921">
        <v>0</v>
      </c>
      <c r="AE4921">
        <v>0</v>
      </c>
      <c r="AF4921">
        <v>1</v>
      </c>
      <c r="AG4921">
        <v>0</v>
      </c>
      <c r="AI4921">
        <v>0</v>
      </c>
      <c r="AJ4921">
        <v>14</v>
      </c>
      <c r="AK4921">
        <v>354</v>
      </c>
      <c r="AL4921">
        <v>354</v>
      </c>
      <c r="AM4921">
        <v>569</v>
      </c>
      <c r="AN4921">
        <v>44</v>
      </c>
      <c r="AP4921">
        <v>1</v>
      </c>
      <c r="AR4921" t="s">
        <v>5024</v>
      </c>
      <c r="AS4921" s="1">
        <v>44354.154166666667</v>
      </c>
      <c r="AT4921" s="1">
        <v>44354.158750000002</v>
      </c>
      <c r="AU4921" s="1">
        <v>44354.159722222219</v>
      </c>
      <c r="AV4921" t="s">
        <v>71</v>
      </c>
      <c r="AW4921" t="s">
        <v>72</v>
      </c>
      <c r="AX4921" t="s">
        <v>73</v>
      </c>
    </row>
    <row r="4922" spans="1:50" x14ac:dyDescent="0.3">
      <c r="A4922" t="str">
        <f>"201854C0200"</f>
        <v>201854C0200</v>
      </c>
      <c r="B4922" t="str">
        <f>"201854C02002"</f>
        <v>201854C02002</v>
      </c>
      <c r="C4922" t="str">
        <f t="shared" si="245"/>
        <v>20</v>
      </c>
      <c r="D4922" t="s">
        <v>67</v>
      </c>
      <c r="E4922" t="str">
        <f t="shared" si="246"/>
        <v>022</v>
      </c>
      <c r="F4922" t="s">
        <v>4913</v>
      </c>
      <c r="G4922" t="str">
        <f>"1854"</f>
        <v>1854</v>
      </c>
      <c r="H4922" t="str">
        <f>"0002"</f>
        <v>0002</v>
      </c>
      <c r="I4922" t="s">
        <v>75</v>
      </c>
      <c r="J4922">
        <v>0</v>
      </c>
      <c r="K4922">
        <v>1</v>
      </c>
      <c r="L4922">
        <v>2</v>
      </c>
      <c r="M4922">
        <v>215</v>
      </c>
      <c r="N4922">
        <v>398</v>
      </c>
      <c r="O4922">
        <v>0</v>
      </c>
      <c r="P4922">
        <v>398</v>
      </c>
      <c r="Q4922">
        <v>1</v>
      </c>
      <c r="R4922">
        <v>113</v>
      </c>
      <c r="S4922">
        <v>61</v>
      </c>
      <c r="T4922">
        <v>33</v>
      </c>
      <c r="U4922">
        <v>75</v>
      </c>
      <c r="V4922">
        <v>1</v>
      </c>
      <c r="W4922">
        <v>0</v>
      </c>
      <c r="X4922">
        <v>55</v>
      </c>
      <c r="Y4922">
        <v>54</v>
      </c>
      <c r="Z4922">
        <v>1</v>
      </c>
      <c r="AA4922">
        <v>1</v>
      </c>
      <c r="AB4922">
        <v>18</v>
      </c>
      <c r="AD4922">
        <v>0</v>
      </c>
      <c r="AE4922">
        <v>0</v>
      </c>
      <c r="AF4922">
        <v>0</v>
      </c>
      <c r="AG4922">
        <v>0</v>
      </c>
      <c r="AI4922">
        <v>0</v>
      </c>
      <c r="AJ4922">
        <v>11</v>
      </c>
      <c r="AK4922">
        <v>398</v>
      </c>
      <c r="AL4922">
        <v>424</v>
      </c>
      <c r="AM4922">
        <v>569</v>
      </c>
      <c r="AN4922">
        <v>44</v>
      </c>
      <c r="AP4922">
        <v>1</v>
      </c>
      <c r="AR4922" t="s">
        <v>5025</v>
      </c>
      <c r="AS4922" s="1">
        <v>44354.161111111112</v>
      </c>
      <c r="AT4922" s="1">
        <v>44354.164618055554</v>
      </c>
      <c r="AU4922" s="1">
        <v>44354.165335648147</v>
      </c>
      <c r="AV4922" t="s">
        <v>71</v>
      </c>
      <c r="AW4922" t="s">
        <v>72</v>
      </c>
      <c r="AX4922" t="s">
        <v>73</v>
      </c>
    </row>
    <row r="4923" spans="1:50" x14ac:dyDescent="0.3">
      <c r="A4923" t="str">
        <f>"201855B0000"</f>
        <v>201855B0000</v>
      </c>
      <c r="B4923" t="str">
        <f>"201855B00002"</f>
        <v>201855B00002</v>
      </c>
      <c r="C4923" t="str">
        <f t="shared" si="245"/>
        <v>20</v>
      </c>
      <c r="D4923" t="s">
        <v>67</v>
      </c>
      <c r="E4923" t="str">
        <f t="shared" si="246"/>
        <v>022</v>
      </c>
      <c r="F4923" t="s">
        <v>4913</v>
      </c>
      <c r="G4923" t="str">
        <f>"1855"</f>
        <v>1855</v>
      </c>
      <c r="H4923" t="str">
        <f>"0000"</f>
        <v>0000</v>
      </c>
      <c r="I4923" t="s">
        <v>69</v>
      </c>
      <c r="J4923">
        <v>0</v>
      </c>
      <c r="K4923">
        <v>1</v>
      </c>
      <c r="L4923">
        <v>2</v>
      </c>
      <c r="M4923">
        <v>602</v>
      </c>
      <c r="N4923">
        <v>325</v>
      </c>
      <c r="O4923">
        <v>0</v>
      </c>
      <c r="P4923">
        <v>325</v>
      </c>
      <c r="Q4923">
        <v>2</v>
      </c>
      <c r="R4923">
        <v>72</v>
      </c>
      <c r="S4923">
        <v>56</v>
      </c>
      <c r="T4923">
        <v>28</v>
      </c>
      <c r="U4923">
        <v>29</v>
      </c>
      <c r="V4923">
        <v>1</v>
      </c>
      <c r="W4923">
        <v>0</v>
      </c>
      <c r="X4923">
        <v>68</v>
      </c>
      <c r="Y4923">
        <v>12</v>
      </c>
      <c r="Z4923">
        <v>5</v>
      </c>
      <c r="AA4923">
        <v>11</v>
      </c>
      <c r="AB4923">
        <v>32</v>
      </c>
      <c r="AD4923">
        <v>0</v>
      </c>
      <c r="AE4923">
        <v>0</v>
      </c>
      <c r="AF4923">
        <v>0</v>
      </c>
      <c r="AG4923">
        <v>0</v>
      </c>
      <c r="AI4923">
        <v>0</v>
      </c>
      <c r="AJ4923">
        <v>9</v>
      </c>
      <c r="AK4923">
        <v>325</v>
      </c>
      <c r="AL4923">
        <v>325</v>
      </c>
      <c r="AM4923">
        <v>558</v>
      </c>
      <c r="AN4923">
        <v>44</v>
      </c>
      <c r="AP4923">
        <v>1</v>
      </c>
      <c r="AR4923" t="s">
        <v>5026</v>
      </c>
      <c r="AS4923" s="1">
        <v>44354.150694444441</v>
      </c>
      <c r="AT4923" s="1">
        <v>44354.155717592592</v>
      </c>
      <c r="AU4923" s="1">
        <v>44354.1565162037</v>
      </c>
      <c r="AV4923" t="s">
        <v>71</v>
      </c>
      <c r="AW4923" t="s">
        <v>72</v>
      </c>
      <c r="AX4923" t="s">
        <v>73</v>
      </c>
    </row>
    <row r="4924" spans="1:50" x14ac:dyDescent="0.3">
      <c r="A4924" t="str">
        <f>"201855C0100"</f>
        <v>201855C0100</v>
      </c>
      <c r="B4924" t="str">
        <f>"201855C01002"</f>
        <v>201855C01002</v>
      </c>
      <c r="C4924" t="str">
        <f t="shared" si="245"/>
        <v>20</v>
      </c>
      <c r="D4924" t="s">
        <v>67</v>
      </c>
      <c r="E4924" t="str">
        <f t="shared" si="246"/>
        <v>022</v>
      </c>
      <c r="F4924" t="s">
        <v>4913</v>
      </c>
      <c r="G4924" t="str">
        <f>"1855"</f>
        <v>1855</v>
      </c>
      <c r="H4924" t="str">
        <f>"0001"</f>
        <v>0001</v>
      </c>
      <c r="I4924" t="s">
        <v>75</v>
      </c>
      <c r="J4924">
        <v>0</v>
      </c>
      <c r="K4924">
        <v>1</v>
      </c>
      <c r="L4924">
        <v>2</v>
      </c>
      <c r="M4924">
        <v>260</v>
      </c>
      <c r="N4924">
        <v>342</v>
      </c>
      <c r="O4924">
        <v>0</v>
      </c>
      <c r="P4924">
        <v>342</v>
      </c>
      <c r="Q4924">
        <v>0</v>
      </c>
      <c r="R4924">
        <v>96</v>
      </c>
      <c r="S4924">
        <v>35</v>
      </c>
      <c r="T4924">
        <v>39</v>
      </c>
      <c r="U4924">
        <v>39</v>
      </c>
      <c r="V4924">
        <v>4</v>
      </c>
      <c r="W4924">
        <v>2</v>
      </c>
      <c r="X4924">
        <v>78</v>
      </c>
      <c r="Y4924">
        <v>14</v>
      </c>
      <c r="Z4924">
        <v>0</v>
      </c>
      <c r="AA4924">
        <v>8</v>
      </c>
      <c r="AB4924">
        <v>19</v>
      </c>
      <c r="AD4924">
        <v>0</v>
      </c>
      <c r="AE4924">
        <v>0</v>
      </c>
      <c r="AF4924">
        <v>0</v>
      </c>
      <c r="AG4924">
        <v>0</v>
      </c>
      <c r="AI4924">
        <v>0</v>
      </c>
      <c r="AJ4924">
        <v>8</v>
      </c>
      <c r="AK4924">
        <v>342</v>
      </c>
      <c r="AL4924">
        <v>342</v>
      </c>
      <c r="AM4924">
        <v>558</v>
      </c>
      <c r="AN4924">
        <v>44</v>
      </c>
      <c r="AP4924">
        <v>1</v>
      </c>
      <c r="AR4924" t="s">
        <v>5027</v>
      </c>
      <c r="AS4924" s="1">
        <v>44354.15</v>
      </c>
      <c r="AT4924" s="1">
        <v>44354.151863425926</v>
      </c>
      <c r="AU4924" s="1">
        <v>44354.152581018519</v>
      </c>
      <c r="AV4924" t="s">
        <v>71</v>
      </c>
      <c r="AW4924" t="s">
        <v>72</v>
      </c>
      <c r="AX4924" t="s">
        <v>73</v>
      </c>
    </row>
    <row r="4925" spans="1:50" x14ac:dyDescent="0.3">
      <c r="A4925" t="str">
        <f>"201855E0100"</f>
        <v>201855E0100</v>
      </c>
      <c r="B4925" t="str">
        <f>"201855E01002"</f>
        <v>201855E01002</v>
      </c>
      <c r="C4925" t="str">
        <f t="shared" si="245"/>
        <v>20</v>
      </c>
      <c r="D4925" t="s">
        <v>67</v>
      </c>
      <c r="E4925" t="str">
        <f t="shared" si="246"/>
        <v>022</v>
      </c>
      <c r="F4925" t="s">
        <v>4913</v>
      </c>
      <c r="G4925" t="str">
        <f>"1855"</f>
        <v>1855</v>
      </c>
      <c r="H4925" t="str">
        <f>"0001"</f>
        <v>0001</v>
      </c>
      <c r="I4925" t="s">
        <v>109</v>
      </c>
      <c r="J4925">
        <v>0</v>
      </c>
      <c r="K4925">
        <v>1</v>
      </c>
      <c r="L4925">
        <v>2</v>
      </c>
      <c r="M4925">
        <v>112</v>
      </c>
      <c r="N4925">
        <v>144</v>
      </c>
      <c r="O4925">
        <v>3</v>
      </c>
      <c r="P4925">
        <v>144</v>
      </c>
      <c r="Q4925">
        <v>0</v>
      </c>
      <c r="R4925">
        <v>30</v>
      </c>
      <c r="S4925">
        <v>14</v>
      </c>
      <c r="T4925">
        <v>12</v>
      </c>
      <c r="U4925">
        <v>8</v>
      </c>
      <c r="V4925">
        <v>1</v>
      </c>
      <c r="W4925">
        <v>0</v>
      </c>
      <c r="X4925">
        <v>19</v>
      </c>
      <c r="Y4925">
        <v>36</v>
      </c>
      <c r="Z4925">
        <v>2</v>
      </c>
      <c r="AA4925">
        <v>3</v>
      </c>
      <c r="AB4925">
        <v>9</v>
      </c>
      <c r="AD4925">
        <v>1</v>
      </c>
      <c r="AE4925">
        <v>0</v>
      </c>
      <c r="AF4925">
        <v>0</v>
      </c>
      <c r="AG4925">
        <v>0</v>
      </c>
      <c r="AI4925">
        <v>0</v>
      </c>
      <c r="AJ4925">
        <v>9</v>
      </c>
      <c r="AK4925">
        <v>144</v>
      </c>
      <c r="AL4925">
        <v>144</v>
      </c>
      <c r="AM4925">
        <v>212</v>
      </c>
      <c r="AN4925">
        <v>44</v>
      </c>
      <c r="AP4925">
        <v>1</v>
      </c>
      <c r="AR4925" t="s">
        <v>5028</v>
      </c>
      <c r="AS4925" s="1">
        <v>44354.145138888889</v>
      </c>
      <c r="AT4925" s="1">
        <v>44354.150567129633</v>
      </c>
      <c r="AU4925" s="1">
        <v>44354.150891203702</v>
      </c>
      <c r="AV4925" t="s">
        <v>71</v>
      </c>
      <c r="AW4925" t="s">
        <v>72</v>
      </c>
      <c r="AX4925" t="s">
        <v>73</v>
      </c>
    </row>
    <row r="4926" spans="1:50" x14ac:dyDescent="0.3">
      <c r="A4926" t="str">
        <f>"202005B0000"</f>
        <v>202005B0000</v>
      </c>
      <c r="B4926" t="str">
        <f>"202005B00002"</f>
        <v>202005B00002</v>
      </c>
      <c r="C4926" t="str">
        <f t="shared" si="245"/>
        <v>20</v>
      </c>
      <c r="D4926" t="s">
        <v>67</v>
      </c>
      <c r="E4926" t="str">
        <f t="shared" si="246"/>
        <v>022</v>
      </c>
      <c r="F4926" t="s">
        <v>4913</v>
      </c>
      <c r="G4926" t="str">
        <f>"2005"</f>
        <v>2005</v>
      </c>
      <c r="H4926" t="str">
        <f>"0000"</f>
        <v>0000</v>
      </c>
      <c r="I4926" t="s">
        <v>69</v>
      </c>
      <c r="J4926">
        <v>0</v>
      </c>
      <c r="K4926">
        <v>1</v>
      </c>
      <c r="L4926">
        <v>2</v>
      </c>
      <c r="M4926">
        <v>301</v>
      </c>
      <c r="N4926">
        <v>358</v>
      </c>
      <c r="O4926">
        <v>7</v>
      </c>
      <c r="P4926">
        <v>351</v>
      </c>
      <c r="Q4926">
        <v>2</v>
      </c>
      <c r="R4926">
        <v>53</v>
      </c>
      <c r="S4926">
        <v>179</v>
      </c>
      <c r="T4926">
        <v>2</v>
      </c>
      <c r="U4926">
        <v>5</v>
      </c>
      <c r="V4926">
        <v>0</v>
      </c>
      <c r="W4926">
        <v>1</v>
      </c>
      <c r="X4926">
        <v>76</v>
      </c>
      <c r="Y4926">
        <v>1</v>
      </c>
      <c r="Z4926">
        <v>1</v>
      </c>
      <c r="AA4926">
        <v>8</v>
      </c>
      <c r="AB4926">
        <v>9</v>
      </c>
      <c r="AD4926">
        <v>5</v>
      </c>
      <c r="AE4926">
        <v>0</v>
      </c>
      <c r="AF4926">
        <v>0</v>
      </c>
      <c r="AG4926">
        <v>0</v>
      </c>
      <c r="AI4926">
        <v>0</v>
      </c>
      <c r="AJ4926">
        <v>9</v>
      </c>
      <c r="AK4926">
        <v>351</v>
      </c>
      <c r="AL4926">
        <v>351</v>
      </c>
      <c r="AM4926">
        <v>608</v>
      </c>
      <c r="AN4926">
        <v>44</v>
      </c>
      <c r="AP4926">
        <v>1</v>
      </c>
      <c r="AR4926" t="s">
        <v>5029</v>
      </c>
      <c r="AS4926" s="1">
        <v>44354.218055555553</v>
      </c>
      <c r="AT4926" s="1">
        <v>44354.222534722219</v>
      </c>
      <c r="AU4926" s="1">
        <v>44354.223217592589</v>
      </c>
      <c r="AV4926" t="s">
        <v>71</v>
      </c>
      <c r="AW4926" t="s">
        <v>72</v>
      </c>
      <c r="AX4926" t="s">
        <v>73</v>
      </c>
    </row>
    <row r="4927" spans="1:50" x14ac:dyDescent="0.3">
      <c r="A4927" t="str">
        <f>"202005C0100"</f>
        <v>202005C0100</v>
      </c>
      <c r="B4927" t="str">
        <f>"202005C01002"</f>
        <v>202005C01002</v>
      </c>
      <c r="C4927" t="str">
        <f t="shared" si="245"/>
        <v>20</v>
      </c>
      <c r="D4927" t="s">
        <v>67</v>
      </c>
      <c r="E4927" t="str">
        <f t="shared" si="246"/>
        <v>022</v>
      </c>
      <c r="F4927" t="s">
        <v>4913</v>
      </c>
      <c r="G4927" t="str">
        <f>"2005"</f>
        <v>2005</v>
      </c>
      <c r="H4927" t="str">
        <f>"0001"</f>
        <v>0001</v>
      </c>
      <c r="I4927" t="s">
        <v>75</v>
      </c>
      <c r="J4927">
        <v>0</v>
      </c>
      <c r="K4927">
        <v>1</v>
      </c>
      <c r="L4927">
        <v>2</v>
      </c>
      <c r="M4927">
        <v>321</v>
      </c>
      <c r="N4927">
        <v>331</v>
      </c>
      <c r="O4927">
        <v>0</v>
      </c>
      <c r="P4927">
        <v>331</v>
      </c>
      <c r="Q4927">
        <v>3</v>
      </c>
      <c r="R4927">
        <v>47</v>
      </c>
      <c r="S4927">
        <v>169</v>
      </c>
      <c r="T4927">
        <v>2</v>
      </c>
      <c r="U4927">
        <v>9</v>
      </c>
      <c r="V4927">
        <v>1</v>
      </c>
      <c r="W4927">
        <v>0</v>
      </c>
      <c r="X4927">
        <v>43</v>
      </c>
      <c r="Y4927">
        <v>2</v>
      </c>
      <c r="Z4927">
        <v>2</v>
      </c>
      <c r="AA4927">
        <v>17</v>
      </c>
      <c r="AB4927">
        <v>12</v>
      </c>
      <c r="AD4927">
        <v>0</v>
      </c>
      <c r="AE4927">
        <v>0</v>
      </c>
      <c r="AF4927">
        <v>1</v>
      </c>
      <c r="AG4927">
        <v>0</v>
      </c>
      <c r="AI4927">
        <v>0</v>
      </c>
      <c r="AJ4927">
        <v>23</v>
      </c>
      <c r="AK4927">
        <v>331</v>
      </c>
      <c r="AL4927">
        <v>331</v>
      </c>
      <c r="AM4927">
        <v>608</v>
      </c>
      <c r="AN4927">
        <v>44</v>
      </c>
      <c r="AP4927">
        <v>1</v>
      </c>
      <c r="AR4927" t="s">
        <v>5030</v>
      </c>
      <c r="AS4927" s="1">
        <v>44354.227777777778</v>
      </c>
      <c r="AT4927" s="1">
        <v>44354.232627314814</v>
      </c>
      <c r="AU4927" s="1">
        <v>44354.23296296296</v>
      </c>
      <c r="AV4927" t="s">
        <v>71</v>
      </c>
      <c r="AW4927" t="s">
        <v>72</v>
      </c>
      <c r="AX4927" t="s">
        <v>73</v>
      </c>
    </row>
    <row r="4928" spans="1:50" x14ac:dyDescent="0.3">
      <c r="A4928" t="str">
        <f>"202005C0200"</f>
        <v>202005C0200</v>
      </c>
      <c r="B4928" t="str">
        <f>"202005C02002"</f>
        <v>202005C02002</v>
      </c>
      <c r="C4928" t="str">
        <f t="shared" si="245"/>
        <v>20</v>
      </c>
      <c r="D4928" t="s">
        <v>67</v>
      </c>
      <c r="E4928" t="str">
        <f t="shared" si="246"/>
        <v>022</v>
      </c>
      <c r="F4928" t="s">
        <v>4913</v>
      </c>
      <c r="G4928" t="str">
        <f>"2005"</f>
        <v>2005</v>
      </c>
      <c r="H4928" t="str">
        <f>"0002"</f>
        <v>0002</v>
      </c>
      <c r="I4928" t="s">
        <v>75</v>
      </c>
      <c r="J4928">
        <v>0</v>
      </c>
      <c r="K4928">
        <v>1</v>
      </c>
      <c r="L4928">
        <v>2</v>
      </c>
      <c r="M4928">
        <v>325</v>
      </c>
      <c r="N4928">
        <v>328</v>
      </c>
      <c r="O4928">
        <v>326</v>
      </c>
      <c r="P4928" t="s">
        <v>80</v>
      </c>
      <c r="Q4928">
        <v>2</v>
      </c>
      <c r="R4928">
        <v>46</v>
      </c>
      <c r="S4928">
        <v>191</v>
      </c>
      <c r="T4928">
        <v>3</v>
      </c>
      <c r="U4928">
        <v>8</v>
      </c>
      <c r="V4928">
        <v>1</v>
      </c>
      <c r="W4928">
        <v>0</v>
      </c>
      <c r="X4928">
        <v>84</v>
      </c>
      <c r="Y4928">
        <v>3</v>
      </c>
      <c r="Z4928">
        <v>4</v>
      </c>
      <c r="AA4928">
        <v>7</v>
      </c>
      <c r="AB4928">
        <v>4</v>
      </c>
      <c r="AD4928">
        <v>2</v>
      </c>
      <c r="AE4928">
        <v>0</v>
      </c>
      <c r="AF4928">
        <v>2</v>
      </c>
      <c r="AG4928">
        <v>1</v>
      </c>
      <c r="AI4928" t="s">
        <v>77</v>
      </c>
      <c r="AJ4928">
        <v>8</v>
      </c>
      <c r="AK4928">
        <v>326</v>
      </c>
      <c r="AL4928">
        <v>366</v>
      </c>
      <c r="AM4928">
        <v>607</v>
      </c>
      <c r="AN4928">
        <v>44</v>
      </c>
      <c r="AO4928" t="s">
        <v>78</v>
      </c>
      <c r="AP4928">
        <v>1</v>
      </c>
      <c r="AR4928" t="s">
        <v>5031</v>
      </c>
      <c r="AS4928" s="1">
        <v>44354.227083333331</v>
      </c>
      <c r="AT4928" s="1">
        <v>44354.236759259256</v>
      </c>
      <c r="AU4928" s="1">
        <v>44354.237824074073</v>
      </c>
      <c r="AV4928" t="s">
        <v>71</v>
      </c>
      <c r="AW4928" t="s">
        <v>72</v>
      </c>
      <c r="AX4928" t="s">
        <v>73</v>
      </c>
    </row>
    <row r="4929" spans="1:50" x14ac:dyDescent="0.3">
      <c r="A4929" t="str">
        <f>"202005E0100"</f>
        <v>202005E0100</v>
      </c>
      <c r="B4929" t="str">
        <f>"202005E01002"</f>
        <v>202005E01002</v>
      </c>
      <c r="C4929" t="str">
        <f t="shared" si="245"/>
        <v>20</v>
      </c>
      <c r="D4929" t="s">
        <v>67</v>
      </c>
      <c r="E4929" t="str">
        <f t="shared" si="246"/>
        <v>022</v>
      </c>
      <c r="F4929" t="s">
        <v>4913</v>
      </c>
      <c r="G4929" t="str">
        <f>"2005"</f>
        <v>2005</v>
      </c>
      <c r="H4929" t="str">
        <f>"0001"</f>
        <v>0001</v>
      </c>
      <c r="I4929" t="s">
        <v>109</v>
      </c>
      <c r="J4929">
        <v>0</v>
      </c>
      <c r="K4929">
        <v>1</v>
      </c>
      <c r="L4929">
        <v>2</v>
      </c>
      <c r="M4929">
        <v>300</v>
      </c>
      <c r="N4929">
        <v>397</v>
      </c>
      <c r="O4929">
        <v>0</v>
      </c>
      <c r="P4929">
        <v>397</v>
      </c>
      <c r="Q4929">
        <v>6</v>
      </c>
      <c r="R4929">
        <v>46</v>
      </c>
      <c r="S4929">
        <v>200</v>
      </c>
      <c r="T4929">
        <v>5</v>
      </c>
      <c r="U4929">
        <v>12</v>
      </c>
      <c r="V4929">
        <v>1</v>
      </c>
      <c r="W4929">
        <v>1</v>
      </c>
      <c r="X4929">
        <v>51</v>
      </c>
      <c r="Y4929">
        <v>0</v>
      </c>
      <c r="Z4929">
        <v>5</v>
      </c>
      <c r="AA4929">
        <v>42</v>
      </c>
      <c r="AB4929">
        <v>8</v>
      </c>
      <c r="AD4929">
        <v>0</v>
      </c>
      <c r="AE4929">
        <v>0</v>
      </c>
      <c r="AF4929">
        <v>0</v>
      </c>
      <c r="AG4929">
        <v>2</v>
      </c>
      <c r="AI4929">
        <v>0</v>
      </c>
      <c r="AJ4929">
        <v>18</v>
      </c>
      <c r="AK4929">
        <v>397</v>
      </c>
      <c r="AL4929">
        <v>397</v>
      </c>
      <c r="AM4929">
        <v>653</v>
      </c>
      <c r="AN4929">
        <v>44</v>
      </c>
      <c r="AP4929">
        <v>1</v>
      </c>
      <c r="AR4929" t="s">
        <v>5032</v>
      </c>
      <c r="AS4929" s="1">
        <v>44354.231249999997</v>
      </c>
      <c r="AT4929" s="1">
        <v>44354.237905092596</v>
      </c>
      <c r="AU4929" s="1">
        <v>44354.238599537035</v>
      </c>
      <c r="AV4929" t="s">
        <v>71</v>
      </c>
      <c r="AW4929" t="s">
        <v>72</v>
      </c>
      <c r="AX4929" t="s">
        <v>73</v>
      </c>
    </row>
    <row r="4930" spans="1:50" x14ac:dyDescent="0.3">
      <c r="A4930" t="str">
        <f>"202005E0200"</f>
        <v>202005E0200</v>
      </c>
      <c r="B4930" t="str">
        <f>"202005E02002"</f>
        <v>202005E02002</v>
      </c>
      <c r="C4930" t="str">
        <f t="shared" si="245"/>
        <v>20</v>
      </c>
      <c r="D4930" t="s">
        <v>67</v>
      </c>
      <c r="E4930" t="str">
        <f t="shared" si="246"/>
        <v>022</v>
      </c>
      <c r="F4930" t="s">
        <v>4913</v>
      </c>
      <c r="G4930" t="str">
        <f>"2005"</f>
        <v>2005</v>
      </c>
      <c r="H4930" t="str">
        <f>"0002"</f>
        <v>0002</v>
      </c>
      <c r="I4930" t="s">
        <v>109</v>
      </c>
      <c r="J4930">
        <v>0</v>
      </c>
      <c r="K4930">
        <v>1</v>
      </c>
      <c r="L4930">
        <v>2</v>
      </c>
      <c r="M4930">
        <v>160</v>
      </c>
      <c r="N4930">
        <v>140</v>
      </c>
      <c r="O4930">
        <v>5</v>
      </c>
      <c r="P4930">
        <v>140</v>
      </c>
      <c r="Q4930">
        <v>1</v>
      </c>
      <c r="R4930">
        <v>38</v>
      </c>
      <c r="S4930">
        <v>35</v>
      </c>
      <c r="T4930">
        <v>3</v>
      </c>
      <c r="U4930">
        <v>3</v>
      </c>
      <c r="V4930">
        <v>0</v>
      </c>
      <c r="W4930">
        <v>2</v>
      </c>
      <c r="X4930">
        <v>27</v>
      </c>
      <c r="Y4930">
        <v>0</v>
      </c>
      <c r="Z4930">
        <v>11</v>
      </c>
      <c r="AA4930">
        <v>10</v>
      </c>
      <c r="AB4930">
        <v>0</v>
      </c>
      <c r="AD4930">
        <v>0</v>
      </c>
      <c r="AE4930">
        <v>0</v>
      </c>
      <c r="AF4930">
        <v>0</v>
      </c>
      <c r="AG4930">
        <v>1</v>
      </c>
      <c r="AI4930">
        <v>0</v>
      </c>
      <c r="AJ4930">
        <v>9</v>
      </c>
      <c r="AK4930">
        <v>140</v>
      </c>
      <c r="AL4930">
        <v>140</v>
      </c>
      <c r="AM4930">
        <v>256</v>
      </c>
      <c r="AN4930">
        <v>44</v>
      </c>
      <c r="AP4930">
        <v>1</v>
      </c>
      <c r="AR4930" t="s">
        <v>5033</v>
      </c>
      <c r="AS4930" s="1">
        <v>44354.231944444444</v>
      </c>
      <c r="AT4930" s="1">
        <v>44354.239062499997</v>
      </c>
      <c r="AU4930" s="1">
        <v>44354.240081018521</v>
      </c>
      <c r="AV4930" t="s">
        <v>71</v>
      </c>
      <c r="AW4930" t="s">
        <v>72</v>
      </c>
      <c r="AX4930" t="s">
        <v>73</v>
      </c>
    </row>
    <row r="4931" spans="1:50" x14ac:dyDescent="0.3">
      <c r="A4931" t="str">
        <f>"202006B0000"</f>
        <v>202006B0000</v>
      </c>
      <c r="B4931" t="str">
        <f>"202006B00002"</f>
        <v>202006B00002</v>
      </c>
      <c r="C4931" t="str">
        <f t="shared" si="245"/>
        <v>20</v>
      </c>
      <c r="D4931" t="s">
        <v>67</v>
      </c>
      <c r="E4931" t="str">
        <f t="shared" si="246"/>
        <v>022</v>
      </c>
      <c r="F4931" t="s">
        <v>4913</v>
      </c>
      <c r="G4931" t="str">
        <f>"2006"</f>
        <v>2006</v>
      </c>
      <c r="H4931" t="str">
        <f>"0000"</f>
        <v>0000</v>
      </c>
      <c r="I4931" t="s">
        <v>69</v>
      </c>
      <c r="J4931">
        <v>0</v>
      </c>
      <c r="K4931">
        <v>1</v>
      </c>
      <c r="L4931">
        <v>2</v>
      </c>
      <c r="M4931">
        <v>173</v>
      </c>
      <c r="N4931">
        <v>151</v>
      </c>
      <c r="O4931">
        <v>0</v>
      </c>
      <c r="P4931">
        <v>153</v>
      </c>
      <c r="Q4931">
        <v>0</v>
      </c>
      <c r="R4931">
        <v>15</v>
      </c>
      <c r="S4931">
        <v>22</v>
      </c>
      <c r="T4931">
        <v>1</v>
      </c>
      <c r="U4931">
        <v>3</v>
      </c>
      <c r="V4931">
        <v>0</v>
      </c>
      <c r="W4931">
        <v>3</v>
      </c>
      <c r="X4931">
        <v>99</v>
      </c>
      <c r="Y4931">
        <v>0</v>
      </c>
      <c r="Z4931">
        <v>3</v>
      </c>
      <c r="AA4931">
        <v>2</v>
      </c>
      <c r="AB4931">
        <v>1</v>
      </c>
      <c r="AD4931">
        <v>0</v>
      </c>
      <c r="AE4931">
        <v>0</v>
      </c>
      <c r="AF4931">
        <v>0</v>
      </c>
      <c r="AG4931">
        <v>2</v>
      </c>
      <c r="AI4931">
        <v>0</v>
      </c>
      <c r="AJ4931">
        <v>2</v>
      </c>
      <c r="AK4931">
        <v>153</v>
      </c>
      <c r="AL4931">
        <v>153</v>
      </c>
      <c r="AM4931">
        <v>282</v>
      </c>
      <c r="AN4931">
        <v>44</v>
      </c>
      <c r="AP4931">
        <v>1</v>
      </c>
      <c r="AR4931" t="s">
        <v>5034</v>
      </c>
      <c r="AS4931" s="1">
        <v>44354.234722222223</v>
      </c>
      <c r="AT4931" s="1">
        <v>44354.245266203703</v>
      </c>
      <c r="AU4931" s="1">
        <v>44354.24559027778</v>
      </c>
      <c r="AV4931" t="s">
        <v>71</v>
      </c>
      <c r="AW4931" t="s">
        <v>72</v>
      </c>
      <c r="AX4931" t="s">
        <v>73</v>
      </c>
    </row>
    <row r="4932" spans="1:50" x14ac:dyDescent="0.3">
      <c r="A4932" t="str">
        <f>"202007B0000"</f>
        <v>202007B0000</v>
      </c>
      <c r="B4932" t="str">
        <f>"202007B00002"</f>
        <v>202007B00002</v>
      </c>
      <c r="C4932" t="str">
        <f t="shared" si="245"/>
        <v>20</v>
      </c>
      <c r="D4932" t="s">
        <v>67</v>
      </c>
      <c r="E4932" t="str">
        <f t="shared" si="246"/>
        <v>022</v>
      </c>
      <c r="F4932" t="s">
        <v>4913</v>
      </c>
      <c r="G4932" t="str">
        <f>"2007"</f>
        <v>2007</v>
      </c>
      <c r="H4932" t="str">
        <f>"0000"</f>
        <v>0000</v>
      </c>
      <c r="I4932" t="s">
        <v>69</v>
      </c>
      <c r="J4932">
        <v>0</v>
      </c>
      <c r="K4932">
        <v>1</v>
      </c>
      <c r="L4932">
        <v>2</v>
      </c>
      <c r="M4932">
        <v>424</v>
      </c>
      <c r="N4932">
        <v>272</v>
      </c>
      <c r="O4932">
        <v>20</v>
      </c>
      <c r="P4932">
        <v>274</v>
      </c>
      <c r="Q4932">
        <v>1</v>
      </c>
      <c r="R4932">
        <v>53</v>
      </c>
      <c r="S4932">
        <v>141</v>
      </c>
      <c r="T4932">
        <v>5</v>
      </c>
      <c r="U4932">
        <v>5</v>
      </c>
      <c r="V4932">
        <v>2</v>
      </c>
      <c r="W4932">
        <v>0</v>
      </c>
      <c r="X4932">
        <v>31</v>
      </c>
      <c r="Y4932">
        <v>2</v>
      </c>
      <c r="Z4932">
        <v>4</v>
      </c>
      <c r="AA4932">
        <v>6</v>
      </c>
      <c r="AB4932">
        <v>3</v>
      </c>
      <c r="AD4932">
        <v>1</v>
      </c>
      <c r="AE4932">
        <v>0</v>
      </c>
      <c r="AF4932">
        <v>0</v>
      </c>
      <c r="AG4932">
        <v>0</v>
      </c>
      <c r="AI4932">
        <v>0</v>
      </c>
      <c r="AJ4932">
        <v>20</v>
      </c>
      <c r="AK4932">
        <v>274</v>
      </c>
      <c r="AL4932">
        <v>274</v>
      </c>
      <c r="AM4932">
        <v>652</v>
      </c>
      <c r="AN4932">
        <v>44</v>
      </c>
      <c r="AP4932">
        <v>1</v>
      </c>
      <c r="AR4932" t="s">
        <v>5035</v>
      </c>
      <c r="AS4932" s="1">
        <v>44354.231249999997</v>
      </c>
      <c r="AT4932" s="1">
        <v>44354.237164351849</v>
      </c>
      <c r="AU4932" s="1">
        <v>44354.241168981483</v>
      </c>
      <c r="AV4932" t="s">
        <v>71</v>
      </c>
      <c r="AW4932" t="s">
        <v>72</v>
      </c>
      <c r="AX4932" t="s">
        <v>73</v>
      </c>
    </row>
    <row r="4933" spans="1:50" x14ac:dyDescent="0.3">
      <c r="A4933" t="str">
        <f>"202007C0100"</f>
        <v>202007C0100</v>
      </c>
      <c r="B4933" t="str">
        <f>"202007C01002"</f>
        <v>202007C01002</v>
      </c>
      <c r="C4933" t="str">
        <f t="shared" si="245"/>
        <v>20</v>
      </c>
      <c r="D4933" t="s">
        <v>67</v>
      </c>
      <c r="E4933" t="str">
        <f t="shared" si="246"/>
        <v>022</v>
      </c>
      <c r="F4933" t="s">
        <v>4913</v>
      </c>
      <c r="G4933" t="str">
        <f>"2007"</f>
        <v>2007</v>
      </c>
      <c r="H4933" t="str">
        <f>"0001"</f>
        <v>0001</v>
      </c>
      <c r="I4933" t="s">
        <v>75</v>
      </c>
      <c r="J4933">
        <v>0</v>
      </c>
      <c r="K4933">
        <v>1</v>
      </c>
      <c r="L4933">
        <v>2</v>
      </c>
      <c r="M4933">
        <v>437</v>
      </c>
      <c r="N4933">
        <v>269</v>
      </c>
      <c r="O4933">
        <v>20</v>
      </c>
      <c r="P4933" t="s">
        <v>80</v>
      </c>
      <c r="Q4933">
        <v>3</v>
      </c>
      <c r="R4933">
        <v>48</v>
      </c>
      <c r="S4933">
        <v>132</v>
      </c>
      <c r="T4933">
        <v>4</v>
      </c>
      <c r="U4933">
        <v>6</v>
      </c>
      <c r="V4933">
        <v>2</v>
      </c>
      <c r="W4933">
        <v>0</v>
      </c>
      <c r="X4933">
        <v>23</v>
      </c>
      <c r="Y4933">
        <v>1</v>
      </c>
      <c r="Z4933">
        <v>14</v>
      </c>
      <c r="AA4933">
        <v>3</v>
      </c>
      <c r="AB4933">
        <v>6</v>
      </c>
      <c r="AD4933">
        <v>0</v>
      </c>
      <c r="AE4933">
        <v>0</v>
      </c>
      <c r="AF4933">
        <v>0</v>
      </c>
      <c r="AG4933">
        <v>2</v>
      </c>
      <c r="AI4933">
        <v>0</v>
      </c>
      <c r="AJ4933">
        <v>20</v>
      </c>
      <c r="AK4933">
        <v>269</v>
      </c>
      <c r="AL4933">
        <v>264</v>
      </c>
      <c r="AM4933">
        <v>652</v>
      </c>
      <c r="AN4933">
        <v>44</v>
      </c>
      <c r="AP4933">
        <v>1</v>
      </c>
      <c r="AR4933" t="s">
        <v>5036</v>
      </c>
      <c r="AS4933" s="1">
        <v>44354.231249999997</v>
      </c>
      <c r="AT4933" s="1">
        <v>44354.240543981483</v>
      </c>
      <c r="AU4933" s="1">
        <v>44354.241388888891</v>
      </c>
      <c r="AV4933" t="s">
        <v>71</v>
      </c>
      <c r="AW4933" t="s">
        <v>72</v>
      </c>
      <c r="AX4933" t="s">
        <v>73</v>
      </c>
    </row>
    <row r="4934" spans="1:50" x14ac:dyDescent="0.3">
      <c r="A4934" t="str">
        <f>"202008B0000"</f>
        <v>202008B0000</v>
      </c>
      <c r="B4934" t="str">
        <f>"202008B00002"</f>
        <v>202008B00002</v>
      </c>
      <c r="C4934" t="str">
        <f t="shared" si="245"/>
        <v>20</v>
      </c>
      <c r="D4934" t="s">
        <v>67</v>
      </c>
      <c r="E4934" t="str">
        <f t="shared" si="246"/>
        <v>022</v>
      </c>
      <c r="F4934" t="s">
        <v>4913</v>
      </c>
      <c r="G4934" t="str">
        <f>"2008"</f>
        <v>2008</v>
      </c>
      <c r="H4934" t="str">
        <f>"0000"</f>
        <v>0000</v>
      </c>
      <c r="I4934" t="s">
        <v>69</v>
      </c>
      <c r="J4934">
        <v>0</v>
      </c>
      <c r="K4934">
        <v>1</v>
      </c>
      <c r="L4934">
        <v>2</v>
      </c>
      <c r="M4934">
        <v>269</v>
      </c>
      <c r="N4934">
        <v>168</v>
      </c>
      <c r="O4934">
        <v>0</v>
      </c>
      <c r="P4934">
        <v>168</v>
      </c>
      <c r="Q4934">
        <v>1</v>
      </c>
      <c r="R4934">
        <v>9</v>
      </c>
      <c r="S4934">
        <v>31</v>
      </c>
      <c r="T4934">
        <v>2</v>
      </c>
      <c r="U4934">
        <v>0</v>
      </c>
      <c r="V4934">
        <v>2</v>
      </c>
      <c r="W4934">
        <v>2</v>
      </c>
      <c r="X4934">
        <v>88</v>
      </c>
      <c r="Y4934">
        <v>20</v>
      </c>
      <c r="Z4934">
        <v>3</v>
      </c>
      <c r="AA4934">
        <v>3</v>
      </c>
      <c r="AB4934">
        <v>1</v>
      </c>
      <c r="AD4934">
        <v>0</v>
      </c>
      <c r="AE4934">
        <v>0</v>
      </c>
      <c r="AF4934">
        <v>0</v>
      </c>
      <c r="AG4934">
        <v>1</v>
      </c>
      <c r="AI4934">
        <v>0</v>
      </c>
      <c r="AJ4934">
        <v>5</v>
      </c>
      <c r="AK4934">
        <v>5</v>
      </c>
      <c r="AL4934">
        <v>168</v>
      </c>
      <c r="AM4934">
        <v>393</v>
      </c>
      <c r="AN4934">
        <v>44</v>
      </c>
      <c r="AP4934">
        <v>1</v>
      </c>
      <c r="AR4934" t="s">
        <v>5037</v>
      </c>
      <c r="AS4934" s="1">
        <v>44354.23541666667</v>
      </c>
      <c r="AT4934" s="1">
        <v>44354.2421875</v>
      </c>
      <c r="AU4934" s="1">
        <v>44354.243055555555</v>
      </c>
      <c r="AV4934" t="s">
        <v>71</v>
      </c>
      <c r="AW4934" t="s">
        <v>72</v>
      </c>
      <c r="AX4934" t="s">
        <v>73</v>
      </c>
    </row>
    <row r="4935" spans="1:50" x14ac:dyDescent="0.3">
      <c r="A4935" t="str">
        <f>"202009B0000"</f>
        <v>202009B0000</v>
      </c>
      <c r="B4935" t="str">
        <f>"202009B00002"</f>
        <v>202009B00002</v>
      </c>
      <c r="C4935" t="str">
        <f t="shared" ref="C4935:C4998" si="247">"20"</f>
        <v>20</v>
      </c>
      <c r="D4935" t="s">
        <v>67</v>
      </c>
      <c r="E4935" t="str">
        <f t="shared" si="246"/>
        <v>022</v>
      </c>
      <c r="F4935" t="s">
        <v>4913</v>
      </c>
      <c r="G4935" t="str">
        <f>"2009"</f>
        <v>2009</v>
      </c>
      <c r="H4935" t="str">
        <f>"0000"</f>
        <v>0000</v>
      </c>
      <c r="I4935" t="s">
        <v>69</v>
      </c>
      <c r="J4935">
        <v>0</v>
      </c>
      <c r="K4935">
        <v>1</v>
      </c>
      <c r="L4935">
        <v>2</v>
      </c>
      <c r="M4935">
        <v>299</v>
      </c>
      <c r="N4935">
        <v>265</v>
      </c>
      <c r="O4935">
        <v>0</v>
      </c>
      <c r="P4935" t="s">
        <v>80</v>
      </c>
      <c r="Q4935">
        <v>3</v>
      </c>
      <c r="R4935">
        <v>56</v>
      </c>
      <c r="S4935">
        <v>105</v>
      </c>
      <c r="T4935">
        <v>0</v>
      </c>
      <c r="U4935">
        <v>11</v>
      </c>
      <c r="V4935">
        <v>0</v>
      </c>
      <c r="W4935">
        <v>1</v>
      </c>
      <c r="X4935">
        <v>35</v>
      </c>
      <c r="Y4935">
        <v>1</v>
      </c>
      <c r="Z4935">
        <v>6</v>
      </c>
      <c r="AA4935">
        <v>26</v>
      </c>
      <c r="AB4935">
        <v>6</v>
      </c>
      <c r="AD4935">
        <v>0</v>
      </c>
      <c r="AE4935">
        <v>0</v>
      </c>
      <c r="AF4935">
        <v>0</v>
      </c>
      <c r="AG4935">
        <v>3</v>
      </c>
      <c r="AI4935">
        <v>0</v>
      </c>
      <c r="AJ4935">
        <v>12</v>
      </c>
      <c r="AK4935">
        <v>265</v>
      </c>
      <c r="AL4935">
        <v>265</v>
      </c>
      <c r="AM4935">
        <v>520</v>
      </c>
      <c r="AN4935">
        <v>44</v>
      </c>
      <c r="AP4935">
        <v>1</v>
      </c>
      <c r="AR4935" t="s">
        <v>5038</v>
      </c>
      <c r="AS4935" s="1">
        <v>44354.228472222225</v>
      </c>
      <c r="AT4935" s="1">
        <v>44354.232314814813</v>
      </c>
      <c r="AU4935" s="1">
        <v>44354.232870370368</v>
      </c>
      <c r="AV4935" t="s">
        <v>71</v>
      </c>
      <c r="AW4935" t="s">
        <v>72</v>
      </c>
      <c r="AX4935" t="s">
        <v>73</v>
      </c>
    </row>
    <row r="4936" spans="1:50" x14ac:dyDescent="0.3">
      <c r="A4936" t="str">
        <f>"202009C0100"</f>
        <v>202009C0100</v>
      </c>
      <c r="B4936" t="str">
        <f>"202009C01002"</f>
        <v>202009C01002</v>
      </c>
      <c r="C4936" t="str">
        <f t="shared" si="247"/>
        <v>20</v>
      </c>
      <c r="D4936" t="s">
        <v>67</v>
      </c>
      <c r="E4936" t="str">
        <f t="shared" si="246"/>
        <v>022</v>
      </c>
      <c r="F4936" t="s">
        <v>4913</v>
      </c>
      <c r="G4936" t="str">
        <f>"2009"</f>
        <v>2009</v>
      </c>
      <c r="H4936" t="str">
        <f>"0001"</f>
        <v>0001</v>
      </c>
      <c r="I4936" t="s">
        <v>75</v>
      </c>
      <c r="J4936">
        <v>0</v>
      </c>
      <c r="K4936">
        <v>1</v>
      </c>
      <c r="L4936">
        <v>2</v>
      </c>
      <c r="AM4936">
        <v>520</v>
      </c>
      <c r="AN4936">
        <v>44</v>
      </c>
      <c r="AO4936" t="s">
        <v>143</v>
      </c>
      <c r="AP4936">
        <v>0</v>
      </c>
      <c r="AR4936" t="s">
        <v>5039</v>
      </c>
      <c r="AS4936" s="1">
        <v>44354.217361111114</v>
      </c>
      <c r="AT4936" s="1">
        <v>44354.719907407409</v>
      </c>
      <c r="AU4936" s="1">
        <v>44354.719907407409</v>
      </c>
      <c r="AV4936" t="s">
        <v>71</v>
      </c>
      <c r="AW4936" t="s">
        <v>72</v>
      </c>
      <c r="AX4936" t="s">
        <v>73</v>
      </c>
    </row>
    <row r="4937" spans="1:50" x14ac:dyDescent="0.3">
      <c r="A4937" t="str">
        <f>"202009E0100"</f>
        <v>202009E0100</v>
      </c>
      <c r="B4937" t="str">
        <f>"202009E01002"</f>
        <v>202009E01002</v>
      </c>
      <c r="C4937" t="str">
        <f t="shared" si="247"/>
        <v>20</v>
      </c>
      <c r="D4937" t="s">
        <v>67</v>
      </c>
      <c r="E4937" t="str">
        <f t="shared" si="246"/>
        <v>022</v>
      </c>
      <c r="F4937" t="s">
        <v>4913</v>
      </c>
      <c r="G4937" t="str">
        <f>"2009"</f>
        <v>2009</v>
      </c>
      <c r="H4937" t="str">
        <f>"0001"</f>
        <v>0001</v>
      </c>
      <c r="I4937" t="s">
        <v>109</v>
      </c>
      <c r="J4937">
        <v>0</v>
      </c>
      <c r="K4937">
        <v>1</v>
      </c>
      <c r="L4937">
        <v>2</v>
      </c>
      <c r="M4937">
        <v>295</v>
      </c>
      <c r="N4937">
        <v>269</v>
      </c>
      <c r="O4937">
        <v>0</v>
      </c>
      <c r="P4937">
        <v>269</v>
      </c>
      <c r="Q4937">
        <v>0</v>
      </c>
      <c r="R4937">
        <v>44</v>
      </c>
      <c r="S4937">
        <v>121</v>
      </c>
      <c r="T4937">
        <v>1</v>
      </c>
      <c r="U4937">
        <v>3</v>
      </c>
      <c r="V4937">
        <v>0</v>
      </c>
      <c r="W4937">
        <v>1</v>
      </c>
      <c r="X4937">
        <v>42</v>
      </c>
      <c r="Y4937">
        <v>0</v>
      </c>
      <c r="Z4937">
        <v>8</v>
      </c>
      <c r="AA4937">
        <v>24</v>
      </c>
      <c r="AB4937">
        <v>5</v>
      </c>
      <c r="AD4937">
        <v>0</v>
      </c>
      <c r="AE4937">
        <v>0</v>
      </c>
      <c r="AF4937">
        <v>1</v>
      </c>
      <c r="AG4937">
        <v>2</v>
      </c>
      <c r="AI4937">
        <v>0</v>
      </c>
      <c r="AJ4937">
        <v>17</v>
      </c>
      <c r="AK4937">
        <v>269</v>
      </c>
      <c r="AL4937">
        <v>269</v>
      </c>
      <c r="AM4937">
        <v>442</v>
      </c>
      <c r="AN4937">
        <v>44</v>
      </c>
      <c r="AP4937">
        <v>1</v>
      </c>
      <c r="AR4937" t="s">
        <v>5040</v>
      </c>
      <c r="AS4937" s="1">
        <v>44354.217361111114</v>
      </c>
      <c r="AT4937" s="1">
        <v>44354.22111111111</v>
      </c>
      <c r="AU4937" s="1">
        <v>44354.22215277778</v>
      </c>
      <c r="AV4937" t="s">
        <v>71</v>
      </c>
      <c r="AW4937" t="s">
        <v>72</v>
      </c>
      <c r="AX4937" t="s">
        <v>73</v>
      </c>
    </row>
    <row r="4938" spans="1:50" x14ac:dyDescent="0.3">
      <c r="A4938" t="str">
        <f>"202010B0000"</f>
        <v>202010B0000</v>
      </c>
      <c r="B4938" t="str">
        <f>"202010B00002"</f>
        <v>202010B00002</v>
      </c>
      <c r="C4938" t="str">
        <f t="shared" si="247"/>
        <v>20</v>
      </c>
      <c r="D4938" t="s">
        <v>67</v>
      </c>
      <c r="E4938" t="str">
        <f t="shared" si="246"/>
        <v>022</v>
      </c>
      <c r="F4938" t="s">
        <v>4913</v>
      </c>
      <c r="G4938" t="str">
        <f>"2010"</f>
        <v>2010</v>
      </c>
      <c r="H4938" t="str">
        <f>"0000"</f>
        <v>0000</v>
      </c>
      <c r="I4938" t="s">
        <v>69</v>
      </c>
      <c r="J4938">
        <v>0</v>
      </c>
      <c r="K4938">
        <v>1</v>
      </c>
      <c r="L4938">
        <v>2</v>
      </c>
      <c r="M4938">
        <v>259</v>
      </c>
      <c r="N4938">
        <v>204</v>
      </c>
      <c r="O4938">
        <v>0</v>
      </c>
      <c r="P4938">
        <v>204</v>
      </c>
      <c r="Q4938">
        <v>2</v>
      </c>
      <c r="R4938">
        <v>16</v>
      </c>
      <c r="S4938">
        <v>18</v>
      </c>
      <c r="T4938">
        <v>2</v>
      </c>
      <c r="U4938">
        <v>4</v>
      </c>
      <c r="V4938">
        <v>0</v>
      </c>
      <c r="W4938">
        <v>3</v>
      </c>
      <c r="X4938">
        <v>53</v>
      </c>
      <c r="Y4938">
        <v>37</v>
      </c>
      <c r="Z4938">
        <v>0</v>
      </c>
      <c r="AA4938">
        <v>63</v>
      </c>
      <c r="AB4938">
        <v>1</v>
      </c>
      <c r="AD4938">
        <v>0</v>
      </c>
      <c r="AE4938">
        <v>0</v>
      </c>
      <c r="AF4938">
        <v>0</v>
      </c>
      <c r="AG4938">
        <v>0</v>
      </c>
      <c r="AI4938">
        <v>0</v>
      </c>
      <c r="AJ4938">
        <v>5</v>
      </c>
      <c r="AK4938">
        <v>204</v>
      </c>
      <c r="AL4938">
        <v>204</v>
      </c>
      <c r="AM4938">
        <v>419</v>
      </c>
      <c r="AN4938">
        <v>44</v>
      </c>
      <c r="AP4938">
        <v>1</v>
      </c>
      <c r="AR4938" t="s">
        <v>5041</v>
      </c>
      <c r="AS4938" s="1">
        <v>44354.230555555558</v>
      </c>
      <c r="AT4938" s="1">
        <v>44354.236030092594</v>
      </c>
      <c r="AU4938" s="1">
        <v>44354.236574074072</v>
      </c>
      <c r="AV4938" t="s">
        <v>71</v>
      </c>
      <c r="AW4938" t="s">
        <v>72</v>
      </c>
      <c r="AX4938" t="s">
        <v>73</v>
      </c>
    </row>
    <row r="4939" spans="1:50" x14ac:dyDescent="0.3">
      <c r="A4939" t="str">
        <f>"202010E0100"</f>
        <v>202010E0100</v>
      </c>
      <c r="B4939" t="str">
        <f>"202010E01002"</f>
        <v>202010E01002</v>
      </c>
      <c r="C4939" t="str">
        <f t="shared" si="247"/>
        <v>20</v>
      </c>
      <c r="D4939" t="s">
        <v>67</v>
      </c>
      <c r="E4939" t="str">
        <f t="shared" ref="E4939:E5002" si="248">"022"</f>
        <v>022</v>
      </c>
      <c r="F4939" t="s">
        <v>4913</v>
      </c>
      <c r="G4939" t="str">
        <f>"2010"</f>
        <v>2010</v>
      </c>
      <c r="H4939" t="str">
        <f>"0001"</f>
        <v>0001</v>
      </c>
      <c r="I4939" t="s">
        <v>109</v>
      </c>
      <c r="J4939">
        <v>0</v>
      </c>
      <c r="K4939">
        <v>1</v>
      </c>
      <c r="L4939">
        <v>2</v>
      </c>
      <c r="M4939">
        <v>272</v>
      </c>
      <c r="N4939">
        <v>280</v>
      </c>
      <c r="O4939">
        <v>0</v>
      </c>
      <c r="P4939">
        <v>280</v>
      </c>
      <c r="Q4939">
        <v>2</v>
      </c>
      <c r="R4939">
        <v>13</v>
      </c>
      <c r="S4939">
        <v>31</v>
      </c>
      <c r="T4939">
        <v>4</v>
      </c>
      <c r="U4939">
        <v>85</v>
      </c>
      <c r="V4939">
        <v>5</v>
      </c>
      <c r="W4939">
        <v>3</v>
      </c>
      <c r="X4939">
        <v>104</v>
      </c>
      <c r="Y4939">
        <v>0</v>
      </c>
      <c r="Z4939">
        <v>3</v>
      </c>
      <c r="AA4939">
        <v>3</v>
      </c>
      <c r="AB4939">
        <v>1</v>
      </c>
      <c r="AD4939">
        <v>0</v>
      </c>
      <c r="AE4939">
        <v>0</v>
      </c>
      <c r="AF4939">
        <v>0</v>
      </c>
      <c r="AG4939">
        <v>0</v>
      </c>
      <c r="AI4939">
        <v>0</v>
      </c>
      <c r="AJ4939">
        <v>26</v>
      </c>
      <c r="AK4939">
        <v>280</v>
      </c>
      <c r="AL4939">
        <v>280</v>
      </c>
      <c r="AM4939">
        <v>508</v>
      </c>
      <c r="AN4939">
        <v>44</v>
      </c>
      <c r="AP4939">
        <v>1</v>
      </c>
      <c r="AR4939" t="s">
        <v>5042</v>
      </c>
      <c r="AS4939" s="1">
        <v>44354.227777777778</v>
      </c>
      <c r="AT4939" s="1">
        <v>44354.233657407407</v>
      </c>
      <c r="AU4939" s="1">
        <v>44354.234363425923</v>
      </c>
      <c r="AV4939" t="s">
        <v>71</v>
      </c>
      <c r="AW4939" t="s">
        <v>72</v>
      </c>
      <c r="AX4939" t="s">
        <v>73</v>
      </c>
    </row>
    <row r="4940" spans="1:50" x14ac:dyDescent="0.3">
      <c r="A4940" t="str">
        <f>"202010E0200"</f>
        <v>202010E0200</v>
      </c>
      <c r="B4940" t="str">
        <f>"202010E02002"</f>
        <v>202010E02002</v>
      </c>
      <c r="C4940" t="str">
        <f t="shared" si="247"/>
        <v>20</v>
      </c>
      <c r="D4940" t="s">
        <v>67</v>
      </c>
      <c r="E4940" t="str">
        <f t="shared" si="248"/>
        <v>022</v>
      </c>
      <c r="F4940" t="s">
        <v>4913</v>
      </c>
      <c r="G4940" t="str">
        <f>"2010"</f>
        <v>2010</v>
      </c>
      <c r="H4940" t="str">
        <f>"0002"</f>
        <v>0002</v>
      </c>
      <c r="I4940" t="s">
        <v>109</v>
      </c>
      <c r="J4940">
        <v>0</v>
      </c>
      <c r="K4940">
        <v>1</v>
      </c>
      <c r="L4940">
        <v>2</v>
      </c>
      <c r="M4940">
        <v>350</v>
      </c>
      <c r="N4940">
        <v>226</v>
      </c>
      <c r="O4940">
        <v>0</v>
      </c>
      <c r="P4940" t="s">
        <v>80</v>
      </c>
      <c r="Q4940">
        <v>5</v>
      </c>
      <c r="R4940">
        <v>46</v>
      </c>
      <c r="S4940">
        <v>83</v>
      </c>
      <c r="T4940">
        <v>2</v>
      </c>
      <c r="U4940">
        <v>4</v>
      </c>
      <c r="V4940">
        <v>1</v>
      </c>
      <c r="W4940">
        <v>1</v>
      </c>
      <c r="X4940">
        <v>51</v>
      </c>
      <c r="Y4940">
        <v>0</v>
      </c>
      <c r="Z4940">
        <v>3</v>
      </c>
      <c r="AA4940">
        <v>13</v>
      </c>
      <c r="AB4940">
        <v>3</v>
      </c>
      <c r="AD4940">
        <v>2</v>
      </c>
      <c r="AE4940">
        <v>0</v>
      </c>
      <c r="AF4940">
        <v>0</v>
      </c>
      <c r="AG4940">
        <v>2</v>
      </c>
      <c r="AI4940">
        <v>0</v>
      </c>
      <c r="AJ4940">
        <v>10</v>
      </c>
      <c r="AK4940">
        <v>226</v>
      </c>
      <c r="AL4940">
        <v>226</v>
      </c>
      <c r="AM4940">
        <v>532</v>
      </c>
      <c r="AN4940">
        <v>44</v>
      </c>
      <c r="AP4940">
        <v>1</v>
      </c>
      <c r="AR4940" t="s">
        <v>5043</v>
      </c>
      <c r="AS4940" s="1">
        <v>44354.227777777778</v>
      </c>
      <c r="AT4940" s="1">
        <v>44354.234131944446</v>
      </c>
      <c r="AU4940" s="1">
        <v>44354.234780092593</v>
      </c>
      <c r="AV4940" t="s">
        <v>71</v>
      </c>
      <c r="AW4940" t="s">
        <v>72</v>
      </c>
      <c r="AX4940" t="s">
        <v>73</v>
      </c>
    </row>
    <row r="4941" spans="1:50" x14ac:dyDescent="0.3">
      <c r="A4941" t="str">
        <f>"202010E0300"</f>
        <v>202010E0300</v>
      </c>
      <c r="B4941" t="str">
        <f>"202010E03002"</f>
        <v>202010E03002</v>
      </c>
      <c r="C4941" t="str">
        <f t="shared" si="247"/>
        <v>20</v>
      </c>
      <c r="D4941" t="s">
        <v>67</v>
      </c>
      <c r="E4941" t="str">
        <f t="shared" si="248"/>
        <v>022</v>
      </c>
      <c r="F4941" t="s">
        <v>4913</v>
      </c>
      <c r="G4941" t="str">
        <f>"2010"</f>
        <v>2010</v>
      </c>
      <c r="H4941" t="str">
        <f>"0003"</f>
        <v>0003</v>
      </c>
      <c r="I4941" t="s">
        <v>109</v>
      </c>
      <c r="J4941">
        <v>0</v>
      </c>
      <c r="K4941">
        <v>1</v>
      </c>
      <c r="L4941">
        <v>2</v>
      </c>
      <c r="M4941">
        <v>192</v>
      </c>
      <c r="N4941">
        <v>327</v>
      </c>
      <c r="O4941">
        <v>0</v>
      </c>
      <c r="P4941" t="s">
        <v>80</v>
      </c>
      <c r="Q4941">
        <v>1</v>
      </c>
      <c r="R4941">
        <v>9</v>
      </c>
      <c r="S4941">
        <v>68</v>
      </c>
      <c r="T4941">
        <v>2</v>
      </c>
      <c r="U4941">
        <v>21</v>
      </c>
      <c r="V4941">
        <v>0</v>
      </c>
      <c r="W4941">
        <v>0</v>
      </c>
      <c r="X4941">
        <v>31</v>
      </c>
      <c r="Y4941">
        <v>1</v>
      </c>
      <c r="Z4941">
        <v>9</v>
      </c>
      <c r="AA4941">
        <v>168</v>
      </c>
      <c r="AB4941">
        <v>1</v>
      </c>
      <c r="AD4941">
        <v>0</v>
      </c>
      <c r="AE4941">
        <v>1</v>
      </c>
      <c r="AF4941">
        <v>1</v>
      </c>
      <c r="AG4941">
        <v>0</v>
      </c>
      <c r="AI4941">
        <v>0</v>
      </c>
      <c r="AJ4941">
        <v>14</v>
      </c>
      <c r="AK4941">
        <v>327</v>
      </c>
      <c r="AL4941">
        <v>327</v>
      </c>
      <c r="AM4941">
        <v>475</v>
      </c>
      <c r="AN4941">
        <v>44</v>
      </c>
      <c r="AP4941">
        <v>1</v>
      </c>
      <c r="AR4941" t="s">
        <v>5044</v>
      </c>
      <c r="AS4941" s="1">
        <v>44354.227083333331</v>
      </c>
      <c r="AT4941" s="1">
        <v>44354.237175925926</v>
      </c>
      <c r="AU4941" s="1">
        <v>44354.23883101852</v>
      </c>
      <c r="AV4941" t="s">
        <v>71</v>
      </c>
      <c r="AW4941" t="s">
        <v>72</v>
      </c>
      <c r="AX4941" t="s">
        <v>73</v>
      </c>
    </row>
    <row r="4942" spans="1:50" x14ac:dyDescent="0.3">
      <c r="A4942" t="str">
        <f>"202011B0000"</f>
        <v>202011B0000</v>
      </c>
      <c r="B4942" t="str">
        <f>"202011B00002"</f>
        <v>202011B00002</v>
      </c>
      <c r="C4942" t="str">
        <f t="shared" si="247"/>
        <v>20</v>
      </c>
      <c r="D4942" t="s">
        <v>67</v>
      </c>
      <c r="E4942" t="str">
        <f t="shared" si="248"/>
        <v>022</v>
      </c>
      <c r="F4942" t="s">
        <v>4913</v>
      </c>
      <c r="G4942" t="str">
        <f>"2011"</f>
        <v>2011</v>
      </c>
      <c r="H4942" t="str">
        <f>"0000"</f>
        <v>0000</v>
      </c>
      <c r="I4942" t="s">
        <v>69</v>
      </c>
      <c r="J4942">
        <v>0</v>
      </c>
      <c r="K4942">
        <v>1</v>
      </c>
      <c r="L4942">
        <v>2</v>
      </c>
      <c r="M4942">
        <v>82</v>
      </c>
      <c r="N4942">
        <v>108</v>
      </c>
      <c r="O4942">
        <v>0</v>
      </c>
      <c r="P4942">
        <v>108</v>
      </c>
      <c r="Q4942">
        <v>0</v>
      </c>
      <c r="R4942">
        <v>10</v>
      </c>
      <c r="S4942">
        <v>3</v>
      </c>
      <c r="T4942">
        <v>0</v>
      </c>
      <c r="U4942">
        <v>1</v>
      </c>
      <c r="V4942">
        <v>1</v>
      </c>
      <c r="W4942">
        <v>1</v>
      </c>
      <c r="X4942">
        <v>78</v>
      </c>
      <c r="Y4942">
        <v>2</v>
      </c>
      <c r="Z4942">
        <v>5</v>
      </c>
      <c r="AA4942">
        <v>3</v>
      </c>
      <c r="AB4942">
        <v>1</v>
      </c>
      <c r="AD4942">
        <v>0</v>
      </c>
      <c r="AE4942">
        <v>0</v>
      </c>
      <c r="AF4942">
        <v>0</v>
      </c>
      <c r="AG4942">
        <v>0</v>
      </c>
      <c r="AI4942">
        <v>0</v>
      </c>
      <c r="AJ4942">
        <v>3</v>
      </c>
      <c r="AK4942">
        <v>108</v>
      </c>
      <c r="AL4942">
        <v>108</v>
      </c>
      <c r="AM4942">
        <v>146</v>
      </c>
      <c r="AN4942">
        <v>44</v>
      </c>
      <c r="AP4942">
        <v>1</v>
      </c>
      <c r="AR4942" t="s">
        <v>5045</v>
      </c>
      <c r="AS4942" s="1">
        <v>44354.226388888892</v>
      </c>
      <c r="AT4942" s="1">
        <v>44354.230034722219</v>
      </c>
      <c r="AU4942" s="1">
        <v>44354.230821759258</v>
      </c>
      <c r="AV4942" t="s">
        <v>71</v>
      </c>
      <c r="AW4942" t="s">
        <v>72</v>
      </c>
      <c r="AX4942" t="s">
        <v>73</v>
      </c>
    </row>
    <row r="4943" spans="1:50" x14ac:dyDescent="0.3">
      <c r="A4943" t="str">
        <f>"202011E0100"</f>
        <v>202011E0100</v>
      </c>
      <c r="B4943" t="str">
        <f>"202011E01002"</f>
        <v>202011E01002</v>
      </c>
      <c r="C4943" t="str">
        <f t="shared" si="247"/>
        <v>20</v>
      </c>
      <c r="D4943" t="s">
        <v>67</v>
      </c>
      <c r="E4943" t="str">
        <f t="shared" si="248"/>
        <v>022</v>
      </c>
      <c r="F4943" t="s">
        <v>4913</v>
      </c>
      <c r="G4943" t="str">
        <f>"2011"</f>
        <v>2011</v>
      </c>
      <c r="H4943" t="str">
        <f>"0001"</f>
        <v>0001</v>
      </c>
      <c r="I4943" t="s">
        <v>109</v>
      </c>
      <c r="J4943">
        <v>0</v>
      </c>
      <c r="K4943">
        <v>1</v>
      </c>
      <c r="L4943">
        <v>2</v>
      </c>
      <c r="M4943">
        <v>219</v>
      </c>
      <c r="N4943">
        <v>221</v>
      </c>
      <c r="O4943">
        <v>0</v>
      </c>
      <c r="P4943">
        <v>221</v>
      </c>
      <c r="Q4943">
        <v>3</v>
      </c>
      <c r="R4943">
        <v>36</v>
      </c>
      <c r="S4943">
        <v>100</v>
      </c>
      <c r="T4943">
        <v>0</v>
      </c>
      <c r="U4943">
        <v>6</v>
      </c>
      <c r="V4943">
        <v>0</v>
      </c>
      <c r="W4943">
        <v>2</v>
      </c>
      <c r="X4943">
        <v>53</v>
      </c>
      <c r="Y4943">
        <v>1</v>
      </c>
      <c r="Z4943">
        <v>7</v>
      </c>
      <c r="AA4943">
        <v>2</v>
      </c>
      <c r="AB4943">
        <v>0</v>
      </c>
      <c r="AD4943">
        <v>0</v>
      </c>
      <c r="AE4943">
        <v>0</v>
      </c>
      <c r="AF4943">
        <v>0</v>
      </c>
      <c r="AG4943">
        <v>0</v>
      </c>
      <c r="AI4943">
        <v>0</v>
      </c>
      <c r="AJ4943">
        <v>11</v>
      </c>
      <c r="AK4943">
        <v>221</v>
      </c>
      <c r="AL4943">
        <v>221</v>
      </c>
      <c r="AM4943">
        <v>396</v>
      </c>
      <c r="AN4943">
        <v>44</v>
      </c>
      <c r="AP4943">
        <v>1</v>
      </c>
      <c r="AR4943" t="s">
        <v>5046</v>
      </c>
      <c r="AS4943" s="1">
        <v>44354.23333333333</v>
      </c>
      <c r="AT4943" s="1">
        <v>44354.242685185185</v>
      </c>
      <c r="AU4943" s="1">
        <v>44354.243275462963</v>
      </c>
      <c r="AV4943" t="s">
        <v>71</v>
      </c>
      <c r="AW4943" t="s">
        <v>72</v>
      </c>
      <c r="AX4943" t="s">
        <v>73</v>
      </c>
    </row>
    <row r="4944" spans="1:50" x14ac:dyDescent="0.3">
      <c r="A4944" t="str">
        <f>"202012B0000"</f>
        <v>202012B0000</v>
      </c>
      <c r="B4944" t="str">
        <f>"202012B00002"</f>
        <v>202012B00002</v>
      </c>
      <c r="C4944" t="str">
        <f t="shared" si="247"/>
        <v>20</v>
      </c>
      <c r="D4944" t="s">
        <v>67</v>
      </c>
      <c r="E4944" t="str">
        <f t="shared" si="248"/>
        <v>022</v>
      </c>
      <c r="F4944" t="s">
        <v>4913</v>
      </c>
      <c r="G4944" t="str">
        <f>"2012"</f>
        <v>2012</v>
      </c>
      <c r="H4944" t="str">
        <f>"0000"</f>
        <v>0000</v>
      </c>
      <c r="I4944" t="s">
        <v>69</v>
      </c>
      <c r="J4944">
        <v>0</v>
      </c>
      <c r="K4944">
        <v>1</v>
      </c>
      <c r="L4944">
        <v>2</v>
      </c>
      <c r="M4944">
        <v>149</v>
      </c>
      <c r="N4944">
        <v>488</v>
      </c>
      <c r="O4944">
        <v>0</v>
      </c>
      <c r="P4944" t="s">
        <v>80</v>
      </c>
      <c r="Q4944">
        <v>2</v>
      </c>
      <c r="R4944">
        <v>198</v>
      </c>
      <c r="S4944">
        <v>2</v>
      </c>
      <c r="T4944">
        <v>3</v>
      </c>
      <c r="U4944">
        <v>8</v>
      </c>
      <c r="V4944">
        <v>3</v>
      </c>
      <c r="W4944">
        <v>1</v>
      </c>
      <c r="X4944">
        <v>245</v>
      </c>
      <c r="Y4944">
        <v>1</v>
      </c>
      <c r="Z4944">
        <v>2</v>
      </c>
      <c r="AA4944">
        <v>11</v>
      </c>
      <c r="AB4944">
        <v>7</v>
      </c>
      <c r="AD4944">
        <v>0</v>
      </c>
      <c r="AE4944">
        <v>0</v>
      </c>
      <c r="AF4944">
        <v>0</v>
      </c>
      <c r="AG4944">
        <v>0</v>
      </c>
      <c r="AI4944">
        <v>0</v>
      </c>
      <c r="AJ4944">
        <v>5</v>
      </c>
      <c r="AK4944">
        <v>488</v>
      </c>
      <c r="AL4944">
        <v>488</v>
      </c>
      <c r="AM4944">
        <v>593</v>
      </c>
      <c r="AN4944">
        <v>44</v>
      </c>
      <c r="AP4944">
        <v>1</v>
      </c>
      <c r="AR4944" t="s">
        <v>5047</v>
      </c>
      <c r="AS4944" s="1">
        <v>44354.20416666667</v>
      </c>
      <c r="AT4944" s="1">
        <v>44354.213738425926</v>
      </c>
      <c r="AU4944" s="1">
        <v>44354.214467592596</v>
      </c>
      <c r="AV4944" t="s">
        <v>71</v>
      </c>
      <c r="AW4944" t="s">
        <v>72</v>
      </c>
      <c r="AX4944" t="s">
        <v>73</v>
      </c>
    </row>
    <row r="4945" spans="1:50" x14ac:dyDescent="0.3">
      <c r="A4945" t="str">
        <f>"202012C0100"</f>
        <v>202012C0100</v>
      </c>
      <c r="B4945" t="str">
        <f>"202012C01002"</f>
        <v>202012C01002</v>
      </c>
      <c r="C4945" t="str">
        <f t="shared" si="247"/>
        <v>20</v>
      </c>
      <c r="D4945" t="s">
        <v>67</v>
      </c>
      <c r="E4945" t="str">
        <f t="shared" si="248"/>
        <v>022</v>
      </c>
      <c r="F4945" t="s">
        <v>4913</v>
      </c>
      <c r="G4945" t="str">
        <f>"2012"</f>
        <v>2012</v>
      </c>
      <c r="H4945" t="str">
        <f>"0001"</f>
        <v>0001</v>
      </c>
      <c r="I4945" t="s">
        <v>75</v>
      </c>
      <c r="J4945">
        <v>0</v>
      </c>
      <c r="K4945">
        <v>1</v>
      </c>
      <c r="L4945">
        <v>2</v>
      </c>
      <c r="M4945">
        <v>177</v>
      </c>
      <c r="N4945">
        <v>459</v>
      </c>
      <c r="O4945">
        <v>0</v>
      </c>
      <c r="P4945">
        <v>459</v>
      </c>
      <c r="Q4945">
        <v>4</v>
      </c>
      <c r="R4945">
        <v>205</v>
      </c>
      <c r="S4945">
        <v>7</v>
      </c>
      <c r="T4945">
        <v>2</v>
      </c>
      <c r="U4945">
        <v>4</v>
      </c>
      <c r="V4945">
        <v>2</v>
      </c>
      <c r="W4945">
        <v>0</v>
      </c>
      <c r="X4945">
        <v>209</v>
      </c>
      <c r="Y4945">
        <v>1</v>
      </c>
      <c r="Z4945">
        <v>4</v>
      </c>
      <c r="AA4945">
        <v>7</v>
      </c>
      <c r="AB4945">
        <v>6</v>
      </c>
      <c r="AD4945">
        <v>1</v>
      </c>
      <c r="AE4945">
        <v>0</v>
      </c>
      <c r="AF4945">
        <v>0</v>
      </c>
      <c r="AG4945">
        <v>0</v>
      </c>
      <c r="AI4945">
        <v>0</v>
      </c>
      <c r="AJ4945">
        <v>7</v>
      </c>
      <c r="AK4945">
        <v>459</v>
      </c>
      <c r="AL4945">
        <v>459</v>
      </c>
      <c r="AM4945">
        <v>592</v>
      </c>
      <c r="AN4945">
        <v>44</v>
      </c>
      <c r="AP4945">
        <v>1</v>
      </c>
      <c r="AR4945" t="s">
        <v>5048</v>
      </c>
      <c r="AS4945" s="1">
        <v>44354.207638888889</v>
      </c>
      <c r="AT4945" s="1">
        <v>44354.211365740739</v>
      </c>
      <c r="AU4945" s="1">
        <v>44354.21197916667</v>
      </c>
      <c r="AV4945" t="s">
        <v>71</v>
      </c>
      <c r="AW4945" t="s">
        <v>72</v>
      </c>
      <c r="AX4945" t="s">
        <v>73</v>
      </c>
    </row>
    <row r="4946" spans="1:50" x14ac:dyDescent="0.3">
      <c r="A4946" t="str">
        <f>"202013B0000"</f>
        <v>202013B0000</v>
      </c>
      <c r="B4946" t="str">
        <f>"202013B00002"</f>
        <v>202013B00002</v>
      </c>
      <c r="C4946" t="str">
        <f t="shared" si="247"/>
        <v>20</v>
      </c>
      <c r="D4946" t="s">
        <v>67</v>
      </c>
      <c r="E4946" t="str">
        <f t="shared" si="248"/>
        <v>022</v>
      </c>
      <c r="F4946" t="s">
        <v>4913</v>
      </c>
      <c r="G4946" t="str">
        <f>"2013"</f>
        <v>2013</v>
      </c>
      <c r="H4946" t="str">
        <f>"0000"</f>
        <v>0000</v>
      </c>
      <c r="I4946" t="s">
        <v>69</v>
      </c>
      <c r="J4946">
        <v>0</v>
      </c>
      <c r="K4946">
        <v>1</v>
      </c>
      <c r="L4946">
        <v>2</v>
      </c>
      <c r="M4946">
        <v>157</v>
      </c>
      <c r="N4946">
        <v>456</v>
      </c>
      <c r="O4946">
        <v>2</v>
      </c>
      <c r="P4946">
        <v>457</v>
      </c>
      <c r="Q4946">
        <v>5</v>
      </c>
      <c r="R4946">
        <v>138</v>
      </c>
      <c r="S4946">
        <v>3</v>
      </c>
      <c r="T4946">
        <v>1</v>
      </c>
      <c r="U4946">
        <v>4</v>
      </c>
      <c r="V4946">
        <v>2</v>
      </c>
      <c r="W4946">
        <v>0</v>
      </c>
      <c r="X4946">
        <v>281</v>
      </c>
      <c r="Y4946">
        <v>4</v>
      </c>
      <c r="Z4946">
        <v>5</v>
      </c>
      <c r="AA4946">
        <v>10</v>
      </c>
      <c r="AB4946">
        <v>1</v>
      </c>
      <c r="AD4946">
        <v>0</v>
      </c>
      <c r="AE4946">
        <v>0</v>
      </c>
      <c r="AF4946">
        <v>0</v>
      </c>
      <c r="AG4946">
        <v>0</v>
      </c>
      <c r="AI4946">
        <v>0</v>
      </c>
      <c r="AJ4946">
        <v>3</v>
      </c>
      <c r="AK4946">
        <v>457</v>
      </c>
      <c r="AL4946">
        <v>457</v>
      </c>
      <c r="AM4946">
        <v>570</v>
      </c>
      <c r="AN4946">
        <v>44</v>
      </c>
      <c r="AP4946">
        <v>1</v>
      </c>
      <c r="AR4946" t="s">
        <v>5049</v>
      </c>
      <c r="AS4946" s="1">
        <v>44354.215277777781</v>
      </c>
      <c r="AT4946" s="1">
        <v>44354.217326388891</v>
      </c>
      <c r="AU4946" s="1">
        <v>44354.218472222223</v>
      </c>
      <c r="AV4946" t="s">
        <v>71</v>
      </c>
      <c r="AW4946" t="s">
        <v>72</v>
      </c>
      <c r="AX4946" t="s">
        <v>73</v>
      </c>
    </row>
    <row r="4947" spans="1:50" x14ac:dyDescent="0.3">
      <c r="A4947" t="str">
        <f>"202013C0100"</f>
        <v>202013C0100</v>
      </c>
      <c r="B4947" t="str">
        <f>"202013C01002"</f>
        <v>202013C01002</v>
      </c>
      <c r="C4947" t="str">
        <f t="shared" si="247"/>
        <v>20</v>
      </c>
      <c r="D4947" t="s">
        <v>67</v>
      </c>
      <c r="E4947" t="str">
        <f t="shared" si="248"/>
        <v>022</v>
      </c>
      <c r="F4947" t="s">
        <v>4913</v>
      </c>
      <c r="G4947" t="str">
        <f>"2013"</f>
        <v>2013</v>
      </c>
      <c r="H4947" t="str">
        <f>"0001"</f>
        <v>0001</v>
      </c>
      <c r="I4947" t="s">
        <v>75</v>
      </c>
      <c r="J4947">
        <v>0</v>
      </c>
      <c r="K4947">
        <v>1</v>
      </c>
      <c r="L4947">
        <v>2</v>
      </c>
      <c r="M4947">
        <v>147</v>
      </c>
      <c r="N4947">
        <v>467</v>
      </c>
      <c r="O4947">
        <v>1</v>
      </c>
      <c r="P4947">
        <v>467</v>
      </c>
      <c r="Q4947">
        <v>2</v>
      </c>
      <c r="R4947">
        <v>153</v>
      </c>
      <c r="S4947">
        <v>3</v>
      </c>
      <c r="T4947">
        <v>2</v>
      </c>
      <c r="U4947">
        <v>4</v>
      </c>
      <c r="V4947">
        <v>3</v>
      </c>
      <c r="W4947">
        <v>1</v>
      </c>
      <c r="X4947">
        <v>259</v>
      </c>
      <c r="Y4947">
        <v>5</v>
      </c>
      <c r="Z4947">
        <v>6</v>
      </c>
      <c r="AA4947">
        <v>10</v>
      </c>
      <c r="AB4947">
        <v>2</v>
      </c>
      <c r="AD4947">
        <v>1</v>
      </c>
      <c r="AE4947">
        <v>0</v>
      </c>
      <c r="AF4947">
        <v>0</v>
      </c>
      <c r="AG4947">
        <v>0</v>
      </c>
      <c r="AI4947">
        <v>1</v>
      </c>
      <c r="AJ4947">
        <v>15</v>
      </c>
      <c r="AK4947">
        <v>467</v>
      </c>
      <c r="AL4947">
        <v>467</v>
      </c>
      <c r="AM4947">
        <v>570</v>
      </c>
      <c r="AN4947">
        <v>44</v>
      </c>
      <c r="AP4947">
        <v>1</v>
      </c>
      <c r="AR4947" t="s">
        <v>5050</v>
      </c>
      <c r="AS4947" s="1">
        <v>44354.214583333334</v>
      </c>
      <c r="AT4947" s="1">
        <v>44354.217511574076</v>
      </c>
      <c r="AU4947" s="1">
        <v>44354.218287037038</v>
      </c>
      <c r="AV4947" t="s">
        <v>71</v>
      </c>
      <c r="AW4947" t="s">
        <v>72</v>
      </c>
      <c r="AX4947" t="s">
        <v>73</v>
      </c>
    </row>
    <row r="4948" spans="1:50" x14ac:dyDescent="0.3">
      <c r="A4948" t="str">
        <f>"202013C0200"</f>
        <v>202013C0200</v>
      </c>
      <c r="B4948" t="str">
        <f>"202013C02002"</f>
        <v>202013C02002</v>
      </c>
      <c r="C4948" t="str">
        <f t="shared" si="247"/>
        <v>20</v>
      </c>
      <c r="D4948" t="s">
        <v>67</v>
      </c>
      <c r="E4948" t="str">
        <f t="shared" si="248"/>
        <v>022</v>
      </c>
      <c r="F4948" t="s">
        <v>4913</v>
      </c>
      <c r="G4948" t="str">
        <f>"2013"</f>
        <v>2013</v>
      </c>
      <c r="H4948" t="str">
        <f>"0002"</f>
        <v>0002</v>
      </c>
      <c r="I4948" t="s">
        <v>75</v>
      </c>
      <c r="J4948">
        <v>0</v>
      </c>
      <c r="K4948">
        <v>1</v>
      </c>
      <c r="L4948">
        <v>2</v>
      </c>
      <c r="M4948">
        <v>138</v>
      </c>
      <c r="N4948">
        <v>474</v>
      </c>
      <c r="O4948">
        <v>0</v>
      </c>
      <c r="P4948">
        <v>475</v>
      </c>
      <c r="Q4948">
        <v>5</v>
      </c>
      <c r="R4948">
        <v>146</v>
      </c>
      <c r="S4948">
        <v>3</v>
      </c>
      <c r="T4948">
        <v>3</v>
      </c>
      <c r="U4948">
        <v>4</v>
      </c>
      <c r="V4948">
        <v>0</v>
      </c>
      <c r="W4948">
        <v>2</v>
      </c>
      <c r="X4948">
        <v>280</v>
      </c>
      <c r="Y4948">
        <v>2</v>
      </c>
      <c r="Z4948">
        <v>5</v>
      </c>
      <c r="AA4948">
        <v>14</v>
      </c>
      <c r="AB4948">
        <v>2</v>
      </c>
      <c r="AD4948">
        <v>1</v>
      </c>
      <c r="AE4948">
        <v>0</v>
      </c>
      <c r="AF4948">
        <v>0</v>
      </c>
      <c r="AG4948">
        <v>0</v>
      </c>
      <c r="AI4948">
        <v>0</v>
      </c>
      <c r="AJ4948">
        <v>8</v>
      </c>
      <c r="AK4948">
        <v>475</v>
      </c>
      <c r="AL4948">
        <v>475</v>
      </c>
      <c r="AM4948">
        <v>569</v>
      </c>
      <c r="AN4948">
        <v>44</v>
      </c>
      <c r="AP4948">
        <v>1</v>
      </c>
      <c r="AR4948" t="s">
        <v>5051</v>
      </c>
      <c r="AS4948" s="1">
        <v>44354.214583333334</v>
      </c>
      <c r="AT4948" s="1">
        <v>44354.218101851853</v>
      </c>
      <c r="AU4948" s="1">
        <v>44354.218368055554</v>
      </c>
      <c r="AV4948" t="s">
        <v>71</v>
      </c>
      <c r="AW4948" t="s">
        <v>72</v>
      </c>
      <c r="AX4948" t="s">
        <v>73</v>
      </c>
    </row>
    <row r="4949" spans="1:50" x14ac:dyDescent="0.3">
      <c r="A4949" t="str">
        <f>"202014B0000"</f>
        <v>202014B0000</v>
      </c>
      <c r="B4949" t="str">
        <f>"202014B00002"</f>
        <v>202014B00002</v>
      </c>
      <c r="C4949" t="str">
        <f t="shared" si="247"/>
        <v>20</v>
      </c>
      <c r="D4949" t="s">
        <v>67</v>
      </c>
      <c r="E4949" t="str">
        <f t="shared" si="248"/>
        <v>022</v>
      </c>
      <c r="F4949" t="s">
        <v>4913</v>
      </c>
      <c r="G4949" t="str">
        <f>"2014"</f>
        <v>2014</v>
      </c>
      <c r="H4949" t="str">
        <f>"0000"</f>
        <v>0000</v>
      </c>
      <c r="I4949" t="s">
        <v>69</v>
      </c>
      <c r="J4949">
        <v>0</v>
      </c>
      <c r="K4949">
        <v>1</v>
      </c>
      <c r="L4949">
        <v>2</v>
      </c>
      <c r="M4949">
        <v>200</v>
      </c>
      <c r="N4949">
        <v>445</v>
      </c>
      <c r="O4949">
        <v>2</v>
      </c>
      <c r="P4949">
        <v>445</v>
      </c>
      <c r="Q4949">
        <v>2</v>
      </c>
      <c r="R4949">
        <v>142</v>
      </c>
      <c r="S4949">
        <v>2</v>
      </c>
      <c r="T4949">
        <v>0</v>
      </c>
      <c r="U4949">
        <v>10</v>
      </c>
      <c r="V4949">
        <v>3</v>
      </c>
      <c r="W4949">
        <v>2</v>
      </c>
      <c r="X4949">
        <v>244</v>
      </c>
      <c r="Y4949">
        <v>2</v>
      </c>
      <c r="Z4949">
        <v>5</v>
      </c>
      <c r="AA4949">
        <v>17</v>
      </c>
      <c r="AB4949">
        <v>4</v>
      </c>
      <c r="AD4949">
        <v>0</v>
      </c>
      <c r="AE4949">
        <v>0</v>
      </c>
      <c r="AF4949">
        <v>0</v>
      </c>
      <c r="AG4949">
        <v>1</v>
      </c>
      <c r="AI4949">
        <v>0</v>
      </c>
      <c r="AJ4949">
        <v>11</v>
      </c>
      <c r="AK4949">
        <v>445</v>
      </c>
      <c r="AL4949">
        <v>445</v>
      </c>
      <c r="AM4949">
        <v>601</v>
      </c>
      <c r="AN4949">
        <v>44</v>
      </c>
      <c r="AP4949">
        <v>1</v>
      </c>
      <c r="AR4949" t="s">
        <v>5052</v>
      </c>
      <c r="AS4949" s="1">
        <v>44353.839432870373</v>
      </c>
      <c r="AT4949" s="1">
        <v>44353.842349537037</v>
      </c>
      <c r="AU4949" s="1">
        <v>44353.844166666669</v>
      </c>
      <c r="AV4949" t="s">
        <v>269</v>
      </c>
      <c r="AW4949" t="s">
        <v>270</v>
      </c>
      <c r="AX4949" t="s">
        <v>73</v>
      </c>
    </row>
    <row r="4950" spans="1:50" x14ac:dyDescent="0.3">
      <c r="A4950" t="str">
        <f>"202014C0100"</f>
        <v>202014C0100</v>
      </c>
      <c r="B4950" t="str">
        <f>"202014C01002"</f>
        <v>202014C01002</v>
      </c>
      <c r="C4950" t="str">
        <f t="shared" si="247"/>
        <v>20</v>
      </c>
      <c r="D4950" t="s">
        <v>67</v>
      </c>
      <c r="E4950" t="str">
        <f t="shared" si="248"/>
        <v>022</v>
      </c>
      <c r="F4950" t="s">
        <v>4913</v>
      </c>
      <c r="G4950" t="str">
        <f>"2014"</f>
        <v>2014</v>
      </c>
      <c r="H4950" t="str">
        <f>"0001"</f>
        <v>0001</v>
      </c>
      <c r="I4950" t="s">
        <v>75</v>
      </c>
      <c r="J4950">
        <v>0</v>
      </c>
      <c r="K4950">
        <v>1</v>
      </c>
      <c r="L4950">
        <v>2</v>
      </c>
      <c r="M4950">
        <v>168</v>
      </c>
      <c r="N4950">
        <v>476</v>
      </c>
      <c r="O4950">
        <v>1</v>
      </c>
      <c r="P4950">
        <v>476</v>
      </c>
      <c r="Q4950">
        <v>0</v>
      </c>
      <c r="R4950">
        <v>144</v>
      </c>
      <c r="S4950">
        <v>3</v>
      </c>
      <c r="T4950">
        <v>0</v>
      </c>
      <c r="U4950">
        <v>5</v>
      </c>
      <c r="V4950">
        <v>0</v>
      </c>
      <c r="W4950">
        <v>2</v>
      </c>
      <c r="X4950">
        <v>273</v>
      </c>
      <c r="Y4950">
        <v>3</v>
      </c>
      <c r="Z4950">
        <v>3</v>
      </c>
      <c r="AA4950">
        <v>30</v>
      </c>
      <c r="AB4950">
        <v>2</v>
      </c>
      <c r="AD4950">
        <v>0</v>
      </c>
      <c r="AE4950">
        <v>0</v>
      </c>
      <c r="AF4950">
        <v>0</v>
      </c>
      <c r="AG4950">
        <v>0</v>
      </c>
      <c r="AI4950">
        <v>0</v>
      </c>
      <c r="AJ4950">
        <v>11</v>
      </c>
      <c r="AK4950">
        <v>476</v>
      </c>
      <c r="AL4950">
        <v>476</v>
      </c>
      <c r="AM4950">
        <v>600</v>
      </c>
      <c r="AN4950">
        <v>44</v>
      </c>
      <c r="AP4950">
        <v>1</v>
      </c>
      <c r="AR4950" t="s">
        <v>5053</v>
      </c>
      <c r="AS4950" s="1">
        <v>44353.843865740739</v>
      </c>
      <c r="AT4950" s="1">
        <v>44353.846273148149</v>
      </c>
      <c r="AU4950" s="1">
        <v>44353.847060185188</v>
      </c>
      <c r="AV4950" t="s">
        <v>269</v>
      </c>
      <c r="AW4950" t="s">
        <v>270</v>
      </c>
      <c r="AX4950" t="s">
        <v>73</v>
      </c>
    </row>
    <row r="4951" spans="1:50" x14ac:dyDescent="0.3">
      <c r="A4951" t="str">
        <f>"202015B0000"</f>
        <v>202015B0000</v>
      </c>
      <c r="B4951" t="str">
        <f>"202015B00002"</f>
        <v>202015B00002</v>
      </c>
      <c r="C4951" t="str">
        <f t="shared" si="247"/>
        <v>20</v>
      </c>
      <c r="D4951" t="s">
        <v>67</v>
      </c>
      <c r="E4951" t="str">
        <f t="shared" si="248"/>
        <v>022</v>
      </c>
      <c r="F4951" t="s">
        <v>4913</v>
      </c>
      <c r="G4951" t="str">
        <f>"2015"</f>
        <v>2015</v>
      </c>
      <c r="H4951" t="str">
        <f>"0000"</f>
        <v>0000</v>
      </c>
      <c r="I4951" t="s">
        <v>69</v>
      </c>
      <c r="J4951">
        <v>0</v>
      </c>
      <c r="K4951">
        <v>1</v>
      </c>
      <c r="L4951">
        <v>2</v>
      </c>
      <c r="M4951">
        <v>221</v>
      </c>
      <c r="N4951">
        <v>537</v>
      </c>
      <c r="O4951">
        <v>0</v>
      </c>
      <c r="P4951">
        <v>537</v>
      </c>
      <c r="Q4951">
        <v>2</v>
      </c>
      <c r="R4951">
        <v>202</v>
      </c>
      <c r="S4951">
        <v>3</v>
      </c>
      <c r="T4951">
        <v>2</v>
      </c>
      <c r="U4951">
        <v>7</v>
      </c>
      <c r="V4951">
        <v>2</v>
      </c>
      <c r="W4951">
        <v>1</v>
      </c>
      <c r="X4951">
        <v>284</v>
      </c>
      <c r="Y4951">
        <v>3</v>
      </c>
      <c r="Z4951">
        <v>6</v>
      </c>
      <c r="AA4951">
        <v>15</v>
      </c>
      <c r="AB4951">
        <v>3</v>
      </c>
      <c r="AD4951">
        <v>0</v>
      </c>
      <c r="AE4951">
        <v>0</v>
      </c>
      <c r="AF4951">
        <v>0</v>
      </c>
      <c r="AG4951">
        <v>0</v>
      </c>
      <c r="AI4951">
        <v>0</v>
      </c>
      <c r="AJ4951">
        <v>7</v>
      </c>
      <c r="AK4951">
        <v>537</v>
      </c>
      <c r="AL4951">
        <v>537</v>
      </c>
      <c r="AM4951">
        <v>714</v>
      </c>
      <c r="AN4951">
        <v>44</v>
      </c>
      <c r="AP4951">
        <v>1</v>
      </c>
      <c r="AR4951" t="s">
        <v>5054</v>
      </c>
      <c r="AS4951" s="1">
        <v>44353.99490740741</v>
      </c>
      <c r="AT4951" s="1">
        <v>44354.000636574077</v>
      </c>
      <c r="AU4951" s="1">
        <v>44354.001828703702</v>
      </c>
      <c r="AV4951" t="s">
        <v>269</v>
      </c>
      <c r="AW4951" t="s">
        <v>270</v>
      </c>
      <c r="AX4951" t="s">
        <v>73</v>
      </c>
    </row>
    <row r="4952" spans="1:50" x14ac:dyDescent="0.3">
      <c r="A4952" t="str">
        <f>"202015C0100"</f>
        <v>202015C0100</v>
      </c>
      <c r="B4952" t="str">
        <f>"202015C01002"</f>
        <v>202015C01002</v>
      </c>
      <c r="C4952" t="str">
        <f t="shared" si="247"/>
        <v>20</v>
      </c>
      <c r="D4952" t="s">
        <v>67</v>
      </c>
      <c r="E4952" t="str">
        <f t="shared" si="248"/>
        <v>022</v>
      </c>
      <c r="F4952" t="s">
        <v>4913</v>
      </c>
      <c r="G4952" t="str">
        <f>"2015"</f>
        <v>2015</v>
      </c>
      <c r="H4952" t="str">
        <f>"0001"</f>
        <v>0001</v>
      </c>
      <c r="I4952" t="s">
        <v>75</v>
      </c>
      <c r="J4952">
        <v>0</v>
      </c>
      <c r="K4952">
        <v>1</v>
      </c>
      <c r="L4952">
        <v>2</v>
      </c>
      <c r="M4952">
        <v>222</v>
      </c>
      <c r="N4952">
        <v>536</v>
      </c>
      <c r="O4952">
        <v>0</v>
      </c>
      <c r="P4952">
        <v>536</v>
      </c>
      <c r="Q4952">
        <v>2</v>
      </c>
      <c r="R4952">
        <v>194</v>
      </c>
      <c r="S4952">
        <v>4</v>
      </c>
      <c r="T4952">
        <v>0</v>
      </c>
      <c r="U4952">
        <v>11</v>
      </c>
      <c r="V4952">
        <v>2</v>
      </c>
      <c r="W4952">
        <v>3</v>
      </c>
      <c r="X4952">
        <v>279</v>
      </c>
      <c r="Y4952">
        <v>1</v>
      </c>
      <c r="Z4952">
        <v>5</v>
      </c>
      <c r="AA4952">
        <v>13</v>
      </c>
      <c r="AB4952">
        <v>4</v>
      </c>
      <c r="AD4952">
        <v>0</v>
      </c>
      <c r="AE4952">
        <v>0</v>
      </c>
      <c r="AF4952">
        <v>0</v>
      </c>
      <c r="AG4952">
        <v>0</v>
      </c>
      <c r="AI4952">
        <v>0</v>
      </c>
      <c r="AJ4952">
        <v>18</v>
      </c>
      <c r="AK4952">
        <v>536</v>
      </c>
      <c r="AL4952">
        <v>536</v>
      </c>
      <c r="AM4952">
        <v>714</v>
      </c>
      <c r="AN4952">
        <v>44</v>
      </c>
      <c r="AP4952">
        <v>1</v>
      </c>
      <c r="AR4952" t="s">
        <v>5055</v>
      </c>
      <c r="AS4952" s="1">
        <v>44353.850231481483</v>
      </c>
      <c r="AT4952" s="1">
        <v>44353.852870370371</v>
      </c>
      <c r="AU4952" s="1">
        <v>44353.853819444441</v>
      </c>
      <c r="AV4952" t="s">
        <v>269</v>
      </c>
      <c r="AW4952" t="s">
        <v>270</v>
      </c>
      <c r="AX4952" t="s">
        <v>73</v>
      </c>
    </row>
    <row r="4953" spans="1:50" x14ac:dyDescent="0.3">
      <c r="A4953" t="str">
        <f>"202016B0000"</f>
        <v>202016B0000</v>
      </c>
      <c r="B4953" t="str">
        <f>"202016B00002"</f>
        <v>202016B00002</v>
      </c>
      <c r="C4953" t="str">
        <f t="shared" si="247"/>
        <v>20</v>
      </c>
      <c r="D4953" t="s">
        <v>67</v>
      </c>
      <c r="E4953" t="str">
        <f t="shared" si="248"/>
        <v>022</v>
      </c>
      <c r="F4953" t="s">
        <v>4913</v>
      </c>
      <c r="G4953" t="str">
        <f>"2016"</f>
        <v>2016</v>
      </c>
      <c r="H4953" t="str">
        <f>"0000"</f>
        <v>0000</v>
      </c>
      <c r="I4953" t="s">
        <v>69</v>
      </c>
      <c r="J4953">
        <v>0</v>
      </c>
      <c r="K4953">
        <v>1</v>
      </c>
      <c r="L4953">
        <v>2</v>
      </c>
      <c r="M4953">
        <v>168</v>
      </c>
      <c r="N4953">
        <v>389</v>
      </c>
      <c r="O4953">
        <v>1</v>
      </c>
      <c r="P4953">
        <v>389</v>
      </c>
      <c r="Q4953">
        <v>0</v>
      </c>
      <c r="R4953">
        <v>129</v>
      </c>
      <c r="S4953">
        <v>4</v>
      </c>
      <c r="T4953">
        <v>2</v>
      </c>
      <c r="U4953">
        <v>5</v>
      </c>
      <c r="V4953">
        <v>3</v>
      </c>
      <c r="W4953">
        <v>0</v>
      </c>
      <c r="X4953">
        <v>222</v>
      </c>
      <c r="Y4953">
        <v>3</v>
      </c>
      <c r="Z4953">
        <v>2</v>
      </c>
      <c r="AA4953">
        <v>12</v>
      </c>
      <c r="AB4953">
        <v>2</v>
      </c>
      <c r="AD4953" t="s">
        <v>77</v>
      </c>
      <c r="AE4953" t="s">
        <v>77</v>
      </c>
      <c r="AF4953" t="s">
        <v>77</v>
      </c>
      <c r="AG4953" t="s">
        <v>77</v>
      </c>
      <c r="AI4953" t="s">
        <v>77</v>
      </c>
      <c r="AJ4953">
        <v>5</v>
      </c>
      <c r="AK4953" t="s">
        <v>77</v>
      </c>
      <c r="AL4953">
        <v>389</v>
      </c>
      <c r="AM4953">
        <v>513</v>
      </c>
      <c r="AN4953">
        <v>44</v>
      </c>
      <c r="AO4953" t="s">
        <v>78</v>
      </c>
      <c r="AP4953">
        <v>1</v>
      </c>
      <c r="AR4953" t="s">
        <v>5056</v>
      </c>
      <c r="AS4953" s="1">
        <v>44354.200694444444</v>
      </c>
      <c r="AT4953" s="1">
        <v>44354.218344907407</v>
      </c>
      <c r="AU4953" s="1">
        <v>44354.219050925924</v>
      </c>
      <c r="AV4953" t="s">
        <v>71</v>
      </c>
      <c r="AW4953" t="s">
        <v>72</v>
      </c>
      <c r="AX4953" t="s">
        <v>73</v>
      </c>
    </row>
    <row r="4954" spans="1:50" x14ac:dyDescent="0.3">
      <c r="A4954" t="str">
        <f>"202016C0100"</f>
        <v>202016C0100</v>
      </c>
      <c r="B4954" t="str">
        <f>"202016C01002"</f>
        <v>202016C01002</v>
      </c>
      <c r="C4954" t="str">
        <f t="shared" si="247"/>
        <v>20</v>
      </c>
      <c r="D4954" t="s">
        <v>67</v>
      </c>
      <c r="E4954" t="str">
        <f t="shared" si="248"/>
        <v>022</v>
      </c>
      <c r="F4954" t="s">
        <v>4913</v>
      </c>
      <c r="G4954" t="str">
        <f>"2016"</f>
        <v>2016</v>
      </c>
      <c r="H4954" t="str">
        <f>"0001"</f>
        <v>0001</v>
      </c>
      <c r="I4954" t="s">
        <v>75</v>
      </c>
      <c r="J4954">
        <v>0</v>
      </c>
      <c r="K4954">
        <v>1</v>
      </c>
      <c r="L4954">
        <v>2</v>
      </c>
      <c r="M4954">
        <v>148</v>
      </c>
      <c r="N4954">
        <v>409</v>
      </c>
      <c r="O4954">
        <v>3</v>
      </c>
      <c r="P4954">
        <v>409</v>
      </c>
      <c r="Q4954">
        <v>1</v>
      </c>
      <c r="R4954">
        <v>147</v>
      </c>
      <c r="S4954">
        <v>10</v>
      </c>
      <c r="T4954">
        <v>3</v>
      </c>
      <c r="U4954">
        <v>6</v>
      </c>
      <c r="V4954">
        <v>4</v>
      </c>
      <c r="W4954">
        <v>2</v>
      </c>
      <c r="X4954">
        <v>218</v>
      </c>
      <c r="Y4954">
        <v>1</v>
      </c>
      <c r="Z4954">
        <v>2</v>
      </c>
      <c r="AA4954">
        <v>8</v>
      </c>
      <c r="AB4954">
        <v>1</v>
      </c>
      <c r="AD4954" t="s">
        <v>77</v>
      </c>
      <c r="AE4954" t="s">
        <v>77</v>
      </c>
      <c r="AF4954" t="s">
        <v>77</v>
      </c>
      <c r="AG4954" t="s">
        <v>77</v>
      </c>
      <c r="AI4954" t="s">
        <v>77</v>
      </c>
      <c r="AJ4954">
        <v>6</v>
      </c>
      <c r="AK4954">
        <v>409</v>
      </c>
      <c r="AL4954">
        <v>409</v>
      </c>
      <c r="AM4954">
        <v>513</v>
      </c>
      <c r="AN4954">
        <v>44</v>
      </c>
      <c r="AO4954" t="s">
        <v>78</v>
      </c>
      <c r="AP4954">
        <v>1</v>
      </c>
      <c r="AR4954" t="s">
        <v>5057</v>
      </c>
      <c r="AS4954" s="1">
        <v>44354.199305555558</v>
      </c>
      <c r="AT4954" s="1">
        <v>44354.217488425929</v>
      </c>
      <c r="AU4954" s="1">
        <v>44354.218113425923</v>
      </c>
      <c r="AV4954" t="s">
        <v>71</v>
      </c>
      <c r="AW4954" t="s">
        <v>72</v>
      </c>
      <c r="AX4954" t="s">
        <v>73</v>
      </c>
    </row>
    <row r="4955" spans="1:50" x14ac:dyDescent="0.3">
      <c r="A4955" t="str">
        <f>"202017B0000"</f>
        <v>202017B0000</v>
      </c>
      <c r="B4955" t="str">
        <f>"202017B00002"</f>
        <v>202017B00002</v>
      </c>
      <c r="C4955" t="str">
        <f t="shared" si="247"/>
        <v>20</v>
      </c>
      <c r="D4955" t="s">
        <v>67</v>
      </c>
      <c r="E4955" t="str">
        <f t="shared" si="248"/>
        <v>022</v>
      </c>
      <c r="F4955" t="s">
        <v>4913</v>
      </c>
      <c r="G4955" t="str">
        <f>"2017"</f>
        <v>2017</v>
      </c>
      <c r="H4955" t="str">
        <f>"0000"</f>
        <v>0000</v>
      </c>
      <c r="I4955" t="s">
        <v>69</v>
      </c>
      <c r="J4955">
        <v>0</v>
      </c>
      <c r="K4955">
        <v>1</v>
      </c>
      <c r="L4955">
        <v>2</v>
      </c>
      <c r="M4955">
        <v>175</v>
      </c>
      <c r="N4955">
        <v>555</v>
      </c>
      <c r="O4955">
        <v>2</v>
      </c>
      <c r="P4955">
        <v>555</v>
      </c>
      <c r="Q4955">
        <v>2</v>
      </c>
      <c r="R4955">
        <v>284</v>
      </c>
      <c r="S4955">
        <v>5</v>
      </c>
      <c r="T4955">
        <v>1</v>
      </c>
      <c r="U4955">
        <v>0</v>
      </c>
      <c r="V4955">
        <v>5</v>
      </c>
      <c r="W4955">
        <v>0</v>
      </c>
      <c r="X4955">
        <v>231</v>
      </c>
      <c r="Y4955">
        <v>2</v>
      </c>
      <c r="Z4955">
        <v>1</v>
      </c>
      <c r="AA4955">
        <v>12</v>
      </c>
      <c r="AB4955">
        <v>3</v>
      </c>
      <c r="AD4955">
        <v>1</v>
      </c>
      <c r="AE4955">
        <v>0</v>
      </c>
      <c r="AF4955">
        <v>0</v>
      </c>
      <c r="AG4955">
        <v>0</v>
      </c>
      <c r="AI4955">
        <v>0</v>
      </c>
      <c r="AJ4955">
        <v>8</v>
      </c>
      <c r="AK4955">
        <v>555</v>
      </c>
      <c r="AL4955">
        <v>555</v>
      </c>
      <c r="AM4955">
        <v>686</v>
      </c>
      <c r="AN4955">
        <v>44</v>
      </c>
      <c r="AP4955">
        <v>1</v>
      </c>
      <c r="AR4955" t="s">
        <v>5058</v>
      </c>
      <c r="AS4955" s="1">
        <v>44354.2</v>
      </c>
      <c r="AT4955" s="1">
        <v>44354.216631944444</v>
      </c>
      <c r="AU4955" s="1">
        <v>44354.217349537037</v>
      </c>
      <c r="AV4955" t="s">
        <v>71</v>
      </c>
      <c r="AW4955" t="s">
        <v>72</v>
      </c>
      <c r="AX4955" t="s">
        <v>73</v>
      </c>
    </row>
    <row r="4956" spans="1:50" x14ac:dyDescent="0.3">
      <c r="A4956" t="str">
        <f>"202017C0100"</f>
        <v>202017C0100</v>
      </c>
      <c r="B4956" t="str">
        <f>"202017C01002"</f>
        <v>202017C01002</v>
      </c>
      <c r="C4956" t="str">
        <f t="shared" si="247"/>
        <v>20</v>
      </c>
      <c r="D4956" t="s">
        <v>67</v>
      </c>
      <c r="E4956" t="str">
        <f t="shared" si="248"/>
        <v>022</v>
      </c>
      <c r="F4956" t="s">
        <v>4913</v>
      </c>
      <c r="G4956" t="str">
        <f>"2017"</f>
        <v>2017</v>
      </c>
      <c r="H4956" t="str">
        <f>"0001"</f>
        <v>0001</v>
      </c>
      <c r="I4956" t="s">
        <v>75</v>
      </c>
      <c r="J4956">
        <v>0</v>
      </c>
      <c r="K4956">
        <v>1</v>
      </c>
      <c r="L4956">
        <v>2</v>
      </c>
      <c r="M4956">
        <v>164</v>
      </c>
      <c r="N4956">
        <v>566</v>
      </c>
      <c r="O4956">
        <v>2</v>
      </c>
      <c r="P4956">
        <v>566</v>
      </c>
      <c r="Q4956">
        <v>3</v>
      </c>
      <c r="R4956">
        <v>265</v>
      </c>
      <c r="S4956">
        <v>3</v>
      </c>
      <c r="T4956">
        <v>7</v>
      </c>
      <c r="U4956">
        <v>7</v>
      </c>
      <c r="V4956">
        <v>4</v>
      </c>
      <c r="W4956">
        <v>1</v>
      </c>
      <c r="X4956">
        <v>249</v>
      </c>
      <c r="Y4956">
        <v>2</v>
      </c>
      <c r="Z4956">
        <v>4</v>
      </c>
      <c r="AA4956">
        <v>5</v>
      </c>
      <c r="AB4956">
        <v>4</v>
      </c>
      <c r="AD4956">
        <v>1</v>
      </c>
      <c r="AE4956">
        <v>0</v>
      </c>
      <c r="AF4956">
        <v>0</v>
      </c>
      <c r="AG4956">
        <v>0</v>
      </c>
      <c r="AI4956">
        <v>0</v>
      </c>
      <c r="AJ4956">
        <v>11</v>
      </c>
      <c r="AK4956">
        <v>566</v>
      </c>
      <c r="AL4956">
        <v>566</v>
      </c>
      <c r="AM4956">
        <v>686</v>
      </c>
      <c r="AN4956">
        <v>44</v>
      </c>
      <c r="AP4956">
        <v>1</v>
      </c>
      <c r="AR4956" t="s">
        <v>5059</v>
      </c>
      <c r="AS4956" s="1">
        <v>44354.199305555558</v>
      </c>
      <c r="AT4956" s="1">
        <v>44354.201631944445</v>
      </c>
      <c r="AU4956" s="1">
        <v>44354.202280092592</v>
      </c>
      <c r="AV4956" t="s">
        <v>71</v>
      </c>
      <c r="AW4956" t="s">
        <v>72</v>
      </c>
      <c r="AX4956" t="s">
        <v>73</v>
      </c>
    </row>
    <row r="4957" spans="1:50" x14ac:dyDescent="0.3">
      <c r="A4957" t="str">
        <f>"202018B0000"</f>
        <v>202018B0000</v>
      </c>
      <c r="B4957" t="str">
        <f>"202018B00002"</f>
        <v>202018B00002</v>
      </c>
      <c r="C4957" t="str">
        <f t="shared" si="247"/>
        <v>20</v>
      </c>
      <c r="D4957" t="s">
        <v>67</v>
      </c>
      <c r="E4957" t="str">
        <f t="shared" si="248"/>
        <v>022</v>
      </c>
      <c r="F4957" t="s">
        <v>4913</v>
      </c>
      <c r="G4957" t="str">
        <f>"2018"</f>
        <v>2018</v>
      </c>
      <c r="H4957" t="str">
        <f>"0000"</f>
        <v>0000</v>
      </c>
      <c r="I4957" t="s">
        <v>69</v>
      </c>
      <c r="J4957">
        <v>0</v>
      </c>
      <c r="K4957">
        <v>1</v>
      </c>
      <c r="L4957">
        <v>2</v>
      </c>
      <c r="M4957">
        <v>157</v>
      </c>
      <c r="N4957">
        <v>265</v>
      </c>
      <c r="O4957">
        <v>0</v>
      </c>
      <c r="P4957">
        <v>265</v>
      </c>
      <c r="Q4957">
        <v>2</v>
      </c>
      <c r="R4957">
        <v>59</v>
      </c>
      <c r="S4957">
        <v>0</v>
      </c>
      <c r="T4957">
        <v>3</v>
      </c>
      <c r="U4957">
        <v>10</v>
      </c>
      <c r="V4957">
        <v>1</v>
      </c>
      <c r="W4957">
        <v>1</v>
      </c>
      <c r="X4957">
        <v>166</v>
      </c>
      <c r="Y4957">
        <v>1</v>
      </c>
      <c r="Z4957">
        <v>2</v>
      </c>
      <c r="AA4957">
        <v>11</v>
      </c>
      <c r="AB4957">
        <v>0</v>
      </c>
      <c r="AD4957">
        <v>0</v>
      </c>
      <c r="AE4957">
        <v>0</v>
      </c>
      <c r="AF4957">
        <v>0</v>
      </c>
      <c r="AG4957">
        <v>0</v>
      </c>
      <c r="AI4957">
        <v>0</v>
      </c>
      <c r="AJ4957" t="s">
        <v>99</v>
      </c>
      <c r="AK4957" t="s">
        <v>99</v>
      </c>
      <c r="AL4957">
        <v>256</v>
      </c>
      <c r="AM4957">
        <v>378</v>
      </c>
      <c r="AN4957">
        <v>44</v>
      </c>
      <c r="AO4957" t="s">
        <v>78</v>
      </c>
      <c r="AP4957">
        <v>1</v>
      </c>
      <c r="AR4957" t="s">
        <v>5060</v>
      </c>
      <c r="AS4957" s="1">
        <v>44354.179166666669</v>
      </c>
      <c r="AT4957" s="1">
        <v>44354.181689814817</v>
      </c>
      <c r="AU4957" s="1">
        <v>44354.183217592596</v>
      </c>
      <c r="AV4957" t="s">
        <v>71</v>
      </c>
      <c r="AW4957" t="s">
        <v>72</v>
      </c>
      <c r="AX4957" t="s">
        <v>73</v>
      </c>
    </row>
    <row r="4958" spans="1:50" x14ac:dyDescent="0.3">
      <c r="A4958" t="str">
        <f>"202018C0100"</f>
        <v>202018C0100</v>
      </c>
      <c r="B4958" t="str">
        <f>"202018C01002"</f>
        <v>202018C01002</v>
      </c>
      <c r="C4958" t="str">
        <f t="shared" si="247"/>
        <v>20</v>
      </c>
      <c r="D4958" t="s">
        <v>67</v>
      </c>
      <c r="E4958" t="str">
        <f t="shared" si="248"/>
        <v>022</v>
      </c>
      <c r="F4958" t="s">
        <v>4913</v>
      </c>
      <c r="G4958" t="str">
        <f>"2018"</f>
        <v>2018</v>
      </c>
      <c r="H4958" t="str">
        <f>"0001"</f>
        <v>0001</v>
      </c>
      <c r="I4958" t="s">
        <v>75</v>
      </c>
      <c r="J4958">
        <v>0</v>
      </c>
      <c r="K4958">
        <v>1</v>
      </c>
      <c r="L4958">
        <v>2</v>
      </c>
      <c r="M4958">
        <v>127</v>
      </c>
      <c r="N4958">
        <v>295</v>
      </c>
      <c r="O4958">
        <v>0</v>
      </c>
      <c r="P4958">
        <v>295</v>
      </c>
      <c r="Q4958">
        <v>1</v>
      </c>
      <c r="R4958">
        <v>132</v>
      </c>
      <c r="S4958">
        <v>1</v>
      </c>
      <c r="T4958">
        <v>1</v>
      </c>
      <c r="U4958">
        <v>4</v>
      </c>
      <c r="V4958">
        <v>3</v>
      </c>
      <c r="W4958">
        <v>0</v>
      </c>
      <c r="X4958">
        <v>137</v>
      </c>
      <c r="Y4958">
        <v>0</v>
      </c>
      <c r="Z4958">
        <v>0</v>
      </c>
      <c r="AA4958">
        <v>13</v>
      </c>
      <c r="AB4958">
        <v>0</v>
      </c>
      <c r="AD4958">
        <v>0</v>
      </c>
      <c r="AE4958">
        <v>0</v>
      </c>
      <c r="AF4958">
        <v>0</v>
      </c>
      <c r="AG4958">
        <v>0</v>
      </c>
      <c r="AI4958">
        <v>0</v>
      </c>
      <c r="AJ4958">
        <v>3</v>
      </c>
      <c r="AK4958">
        <v>295</v>
      </c>
      <c r="AL4958">
        <v>295</v>
      </c>
      <c r="AM4958">
        <v>378</v>
      </c>
      <c r="AN4958">
        <v>44</v>
      </c>
      <c r="AP4958">
        <v>1</v>
      </c>
      <c r="AR4958" t="s">
        <v>5061</v>
      </c>
      <c r="AS4958" s="1">
        <v>44354.161805555559</v>
      </c>
      <c r="AT4958" s="1">
        <v>44354.169733796298</v>
      </c>
      <c r="AU4958" s="1">
        <v>44354.170416666668</v>
      </c>
      <c r="AV4958" t="s">
        <v>71</v>
      </c>
      <c r="AW4958" t="s">
        <v>72</v>
      </c>
      <c r="AX4958" t="s">
        <v>73</v>
      </c>
    </row>
    <row r="4959" spans="1:50" x14ac:dyDescent="0.3">
      <c r="A4959" t="str">
        <f>"202018E0100"</f>
        <v>202018E0100</v>
      </c>
      <c r="B4959" t="str">
        <f>"202018E01002"</f>
        <v>202018E01002</v>
      </c>
      <c r="C4959" t="str">
        <f t="shared" si="247"/>
        <v>20</v>
      </c>
      <c r="D4959" t="s">
        <v>67</v>
      </c>
      <c r="E4959" t="str">
        <f t="shared" si="248"/>
        <v>022</v>
      </c>
      <c r="F4959" t="s">
        <v>4913</v>
      </c>
      <c r="G4959" t="str">
        <f>"2018"</f>
        <v>2018</v>
      </c>
      <c r="H4959" t="str">
        <f>"0001"</f>
        <v>0001</v>
      </c>
      <c r="I4959" t="s">
        <v>109</v>
      </c>
      <c r="J4959">
        <v>0</v>
      </c>
      <c r="K4959">
        <v>1</v>
      </c>
      <c r="L4959">
        <v>2</v>
      </c>
      <c r="M4959">
        <v>199</v>
      </c>
      <c r="N4959">
        <v>567</v>
      </c>
      <c r="O4959">
        <v>0</v>
      </c>
      <c r="P4959">
        <v>567</v>
      </c>
      <c r="Q4959">
        <v>0</v>
      </c>
      <c r="R4959">
        <v>289</v>
      </c>
      <c r="S4959">
        <v>1</v>
      </c>
      <c r="T4959">
        <v>2</v>
      </c>
      <c r="U4959">
        <v>2</v>
      </c>
      <c r="V4959">
        <v>1</v>
      </c>
      <c r="W4959">
        <v>3</v>
      </c>
      <c r="X4959">
        <v>166</v>
      </c>
      <c r="Y4959">
        <v>0</v>
      </c>
      <c r="Z4959">
        <v>5</v>
      </c>
      <c r="AA4959">
        <v>79</v>
      </c>
      <c r="AB4959">
        <v>5</v>
      </c>
      <c r="AD4959">
        <v>1</v>
      </c>
      <c r="AE4959">
        <v>0</v>
      </c>
      <c r="AF4959">
        <v>0</v>
      </c>
      <c r="AG4959">
        <v>0</v>
      </c>
      <c r="AI4959">
        <v>0</v>
      </c>
      <c r="AJ4959">
        <v>13</v>
      </c>
      <c r="AK4959">
        <v>567</v>
      </c>
      <c r="AL4959">
        <v>567</v>
      </c>
      <c r="AM4959">
        <v>722</v>
      </c>
      <c r="AN4959">
        <v>44</v>
      </c>
      <c r="AP4959">
        <v>1</v>
      </c>
      <c r="AR4959" t="s">
        <v>5062</v>
      </c>
      <c r="AS4959" s="1">
        <v>44354.179166666669</v>
      </c>
      <c r="AT4959" s="1">
        <v>44354.18677083333</v>
      </c>
      <c r="AU4959" s="1">
        <v>44354.187696759262</v>
      </c>
      <c r="AV4959" t="s">
        <v>71</v>
      </c>
      <c r="AW4959" t="s">
        <v>72</v>
      </c>
      <c r="AX4959" t="s">
        <v>73</v>
      </c>
    </row>
    <row r="4960" spans="1:50" x14ac:dyDescent="0.3">
      <c r="A4960" t="str">
        <f>"202019B0000"</f>
        <v>202019B0000</v>
      </c>
      <c r="B4960" t="str">
        <f>"202019B00002"</f>
        <v>202019B00002</v>
      </c>
      <c r="C4960" t="str">
        <f t="shared" si="247"/>
        <v>20</v>
      </c>
      <c r="D4960" t="s">
        <v>67</v>
      </c>
      <c r="E4960" t="str">
        <f t="shared" si="248"/>
        <v>022</v>
      </c>
      <c r="F4960" t="s">
        <v>4913</v>
      </c>
      <c r="G4960" t="str">
        <f>"2019"</f>
        <v>2019</v>
      </c>
      <c r="H4960" t="str">
        <f>"0000"</f>
        <v>0000</v>
      </c>
      <c r="I4960" t="s">
        <v>69</v>
      </c>
      <c r="J4960">
        <v>0</v>
      </c>
      <c r="K4960">
        <v>1</v>
      </c>
      <c r="L4960">
        <v>2</v>
      </c>
      <c r="M4960">
        <v>174</v>
      </c>
      <c r="N4960">
        <v>500</v>
      </c>
      <c r="O4960">
        <v>0</v>
      </c>
      <c r="P4960">
        <v>500</v>
      </c>
      <c r="Q4960">
        <v>0</v>
      </c>
      <c r="R4960">
        <v>191</v>
      </c>
      <c r="S4960">
        <v>5</v>
      </c>
      <c r="T4960">
        <v>1</v>
      </c>
      <c r="U4960">
        <v>1</v>
      </c>
      <c r="V4960">
        <v>2</v>
      </c>
      <c r="W4960">
        <v>1</v>
      </c>
      <c r="X4960">
        <v>280</v>
      </c>
      <c r="Y4960">
        <v>2</v>
      </c>
      <c r="Z4960">
        <v>2</v>
      </c>
      <c r="AA4960">
        <v>7</v>
      </c>
      <c r="AB4960">
        <v>0</v>
      </c>
      <c r="AD4960">
        <v>0</v>
      </c>
      <c r="AE4960">
        <v>0</v>
      </c>
      <c r="AF4960">
        <v>0</v>
      </c>
      <c r="AG4960">
        <v>0</v>
      </c>
      <c r="AI4960">
        <v>0</v>
      </c>
      <c r="AJ4960">
        <v>8</v>
      </c>
      <c r="AK4960">
        <v>500</v>
      </c>
      <c r="AL4960">
        <v>500</v>
      </c>
      <c r="AM4960">
        <v>630</v>
      </c>
      <c r="AN4960">
        <v>44</v>
      </c>
      <c r="AP4960">
        <v>1</v>
      </c>
      <c r="AR4960" t="s">
        <v>5063</v>
      </c>
      <c r="AS4960" s="1">
        <v>44354.178472222222</v>
      </c>
      <c r="AT4960" s="1">
        <v>44354.189189814817</v>
      </c>
      <c r="AU4960" s="1">
        <v>44354.190196759257</v>
      </c>
      <c r="AV4960" t="s">
        <v>71</v>
      </c>
      <c r="AW4960" t="s">
        <v>72</v>
      </c>
      <c r="AX4960" t="s">
        <v>73</v>
      </c>
    </row>
    <row r="4961" spans="1:50" x14ac:dyDescent="0.3">
      <c r="A4961" t="str">
        <f>"202020B0000"</f>
        <v>202020B0000</v>
      </c>
      <c r="B4961" t="str">
        <f>"202020B00002"</f>
        <v>202020B00002</v>
      </c>
      <c r="C4961" t="str">
        <f t="shared" si="247"/>
        <v>20</v>
      </c>
      <c r="D4961" t="s">
        <v>67</v>
      </c>
      <c r="E4961" t="str">
        <f t="shared" si="248"/>
        <v>022</v>
      </c>
      <c r="F4961" t="s">
        <v>4913</v>
      </c>
      <c r="G4961" t="str">
        <f>"2020"</f>
        <v>2020</v>
      </c>
      <c r="H4961" t="str">
        <f>"0000"</f>
        <v>0000</v>
      </c>
      <c r="I4961" t="s">
        <v>69</v>
      </c>
      <c r="J4961">
        <v>0</v>
      </c>
      <c r="K4961">
        <v>1</v>
      </c>
      <c r="L4961">
        <v>2</v>
      </c>
      <c r="M4961">
        <v>150</v>
      </c>
      <c r="N4961">
        <v>338</v>
      </c>
      <c r="O4961">
        <v>0</v>
      </c>
      <c r="P4961">
        <v>338</v>
      </c>
      <c r="Q4961">
        <v>1</v>
      </c>
      <c r="R4961">
        <v>119</v>
      </c>
      <c r="S4961">
        <v>6</v>
      </c>
      <c r="T4961">
        <v>1</v>
      </c>
      <c r="U4961">
        <v>2</v>
      </c>
      <c r="V4961">
        <v>3</v>
      </c>
      <c r="W4961">
        <v>0</v>
      </c>
      <c r="X4961">
        <v>165</v>
      </c>
      <c r="Y4961">
        <v>2</v>
      </c>
      <c r="Z4961">
        <v>4</v>
      </c>
      <c r="AA4961">
        <v>6</v>
      </c>
      <c r="AB4961">
        <v>23</v>
      </c>
      <c r="AD4961">
        <v>0</v>
      </c>
      <c r="AE4961">
        <v>0</v>
      </c>
      <c r="AF4961">
        <v>0</v>
      </c>
      <c r="AG4961">
        <v>0</v>
      </c>
      <c r="AI4961">
        <v>0</v>
      </c>
      <c r="AJ4961">
        <v>6</v>
      </c>
      <c r="AK4961">
        <v>338</v>
      </c>
      <c r="AL4961">
        <v>338</v>
      </c>
      <c r="AM4961">
        <v>444</v>
      </c>
      <c r="AN4961">
        <v>44</v>
      </c>
      <c r="AP4961">
        <v>1</v>
      </c>
      <c r="AR4961" t="s">
        <v>5064</v>
      </c>
      <c r="AS4961" s="1">
        <v>44354.205555555556</v>
      </c>
      <c r="AT4961" s="1">
        <v>44354.209062499998</v>
      </c>
      <c r="AU4961" s="1">
        <v>44354.209467592591</v>
      </c>
      <c r="AV4961" t="s">
        <v>71</v>
      </c>
      <c r="AW4961" t="s">
        <v>72</v>
      </c>
      <c r="AX4961" t="s">
        <v>73</v>
      </c>
    </row>
    <row r="4962" spans="1:50" x14ac:dyDescent="0.3">
      <c r="A4962" t="str">
        <f>"202021B0000"</f>
        <v>202021B0000</v>
      </c>
      <c r="B4962" t="str">
        <f>"202021B00002"</f>
        <v>202021B00002</v>
      </c>
      <c r="C4962" t="str">
        <f t="shared" si="247"/>
        <v>20</v>
      </c>
      <c r="D4962" t="s">
        <v>67</v>
      </c>
      <c r="E4962" t="str">
        <f t="shared" si="248"/>
        <v>022</v>
      </c>
      <c r="F4962" t="s">
        <v>4913</v>
      </c>
      <c r="G4962" t="str">
        <f>"2021"</f>
        <v>2021</v>
      </c>
      <c r="H4962" t="str">
        <f>"0000"</f>
        <v>0000</v>
      </c>
      <c r="I4962" t="s">
        <v>69</v>
      </c>
      <c r="J4962">
        <v>0</v>
      </c>
      <c r="K4962">
        <v>1</v>
      </c>
      <c r="L4962">
        <v>2</v>
      </c>
      <c r="M4962">
        <v>90</v>
      </c>
      <c r="N4962">
        <v>182</v>
      </c>
      <c r="O4962">
        <v>0</v>
      </c>
      <c r="P4962">
        <v>182</v>
      </c>
      <c r="Q4962">
        <v>3</v>
      </c>
      <c r="R4962">
        <v>71</v>
      </c>
      <c r="S4962">
        <v>1</v>
      </c>
      <c r="T4962">
        <v>0</v>
      </c>
      <c r="U4962">
        <v>2</v>
      </c>
      <c r="V4962">
        <v>0</v>
      </c>
      <c r="W4962">
        <v>0</v>
      </c>
      <c r="X4962">
        <v>93</v>
      </c>
      <c r="Y4962">
        <v>4</v>
      </c>
      <c r="Z4962">
        <v>2</v>
      </c>
      <c r="AA4962">
        <v>1</v>
      </c>
      <c r="AB4962">
        <v>2</v>
      </c>
      <c r="AD4962">
        <v>0</v>
      </c>
      <c r="AE4962">
        <v>0</v>
      </c>
      <c r="AF4962">
        <v>0</v>
      </c>
      <c r="AG4962">
        <v>0</v>
      </c>
      <c r="AI4962">
        <v>0</v>
      </c>
      <c r="AJ4962">
        <v>3</v>
      </c>
      <c r="AK4962">
        <v>182</v>
      </c>
      <c r="AL4962">
        <v>182</v>
      </c>
      <c r="AM4962">
        <v>228</v>
      </c>
      <c r="AN4962">
        <v>44</v>
      </c>
      <c r="AP4962">
        <v>1</v>
      </c>
      <c r="AR4962" t="s">
        <v>5065</v>
      </c>
      <c r="AS4962" s="1">
        <v>44354.204861111109</v>
      </c>
      <c r="AT4962" s="1">
        <v>44354.207199074073</v>
      </c>
      <c r="AU4962" s="1">
        <v>44354.208182870374</v>
      </c>
      <c r="AV4962" t="s">
        <v>71</v>
      </c>
      <c r="AW4962" t="s">
        <v>72</v>
      </c>
      <c r="AX4962" t="s">
        <v>73</v>
      </c>
    </row>
    <row r="4963" spans="1:50" x14ac:dyDescent="0.3">
      <c r="A4963" t="str">
        <f>"202021E0100"</f>
        <v>202021E0100</v>
      </c>
      <c r="B4963" t="str">
        <f>"202021E01002"</f>
        <v>202021E01002</v>
      </c>
      <c r="C4963" t="str">
        <f t="shared" si="247"/>
        <v>20</v>
      </c>
      <c r="D4963" t="s">
        <v>67</v>
      </c>
      <c r="E4963" t="str">
        <f t="shared" si="248"/>
        <v>022</v>
      </c>
      <c r="F4963" t="s">
        <v>4913</v>
      </c>
      <c r="G4963" t="str">
        <f>"2021"</f>
        <v>2021</v>
      </c>
      <c r="H4963" t="str">
        <f>"0001"</f>
        <v>0001</v>
      </c>
      <c r="I4963" t="s">
        <v>109</v>
      </c>
      <c r="J4963">
        <v>0</v>
      </c>
      <c r="K4963">
        <v>1</v>
      </c>
      <c r="L4963">
        <v>2</v>
      </c>
      <c r="M4963">
        <v>198</v>
      </c>
      <c r="N4963">
        <v>462</v>
      </c>
      <c r="O4963">
        <v>0</v>
      </c>
      <c r="P4963">
        <v>462</v>
      </c>
      <c r="Q4963">
        <v>2</v>
      </c>
      <c r="R4963">
        <v>233</v>
      </c>
      <c r="S4963">
        <v>8</v>
      </c>
      <c r="T4963">
        <v>1</v>
      </c>
      <c r="U4963">
        <v>3</v>
      </c>
      <c r="V4963">
        <v>2</v>
      </c>
      <c r="W4963">
        <v>1</v>
      </c>
      <c r="X4963">
        <v>188</v>
      </c>
      <c r="Y4963">
        <v>3</v>
      </c>
      <c r="Z4963">
        <v>6</v>
      </c>
      <c r="AA4963">
        <v>4</v>
      </c>
      <c r="AB4963">
        <v>3</v>
      </c>
      <c r="AD4963">
        <v>1</v>
      </c>
      <c r="AE4963">
        <v>0</v>
      </c>
      <c r="AF4963">
        <v>0</v>
      </c>
      <c r="AG4963">
        <v>0</v>
      </c>
      <c r="AI4963">
        <v>0</v>
      </c>
      <c r="AJ4963">
        <v>7</v>
      </c>
      <c r="AK4963">
        <v>462</v>
      </c>
      <c r="AL4963">
        <v>462</v>
      </c>
      <c r="AM4963">
        <v>616</v>
      </c>
      <c r="AN4963">
        <v>44</v>
      </c>
      <c r="AP4963">
        <v>1</v>
      </c>
      <c r="AR4963" t="s">
        <v>5066</v>
      </c>
      <c r="AS4963" s="1">
        <v>44354.084722222222</v>
      </c>
      <c r="AT4963" s="1">
        <v>44354.092141203706</v>
      </c>
      <c r="AU4963" s="1">
        <v>44354.092719907407</v>
      </c>
      <c r="AV4963" t="s">
        <v>71</v>
      </c>
      <c r="AW4963" t="s">
        <v>72</v>
      </c>
      <c r="AX4963" t="s">
        <v>73</v>
      </c>
    </row>
    <row r="4964" spans="1:50" x14ac:dyDescent="0.3">
      <c r="A4964" t="str">
        <f>"202022B0000"</f>
        <v>202022B0000</v>
      </c>
      <c r="B4964" t="str">
        <f>"202022B00002"</f>
        <v>202022B00002</v>
      </c>
      <c r="C4964" t="str">
        <f t="shared" si="247"/>
        <v>20</v>
      </c>
      <c r="D4964" t="s">
        <v>67</v>
      </c>
      <c r="E4964" t="str">
        <f t="shared" si="248"/>
        <v>022</v>
      </c>
      <c r="F4964" t="s">
        <v>4913</v>
      </c>
      <c r="G4964" t="str">
        <f>"2022"</f>
        <v>2022</v>
      </c>
      <c r="H4964" t="str">
        <f>"0000"</f>
        <v>0000</v>
      </c>
      <c r="I4964" t="s">
        <v>69</v>
      </c>
      <c r="J4964">
        <v>0</v>
      </c>
      <c r="K4964">
        <v>1</v>
      </c>
      <c r="L4964">
        <v>2</v>
      </c>
      <c r="M4964">
        <v>183</v>
      </c>
      <c r="N4964">
        <v>416</v>
      </c>
      <c r="O4964">
        <v>6</v>
      </c>
      <c r="P4964">
        <v>412</v>
      </c>
      <c r="Q4964">
        <v>1</v>
      </c>
      <c r="R4964">
        <v>270</v>
      </c>
      <c r="S4964">
        <v>2</v>
      </c>
      <c r="T4964">
        <v>2</v>
      </c>
      <c r="U4964">
        <v>2</v>
      </c>
      <c r="V4964">
        <v>2</v>
      </c>
      <c r="W4964">
        <v>0</v>
      </c>
      <c r="X4964">
        <v>107</v>
      </c>
      <c r="Y4964">
        <v>2</v>
      </c>
      <c r="Z4964">
        <v>2</v>
      </c>
      <c r="AA4964">
        <v>5</v>
      </c>
      <c r="AB4964">
        <v>2</v>
      </c>
      <c r="AD4964">
        <v>0</v>
      </c>
      <c r="AE4964">
        <v>1</v>
      </c>
      <c r="AF4964">
        <v>0</v>
      </c>
      <c r="AG4964">
        <v>3</v>
      </c>
      <c r="AI4964">
        <v>0</v>
      </c>
      <c r="AJ4964">
        <v>11</v>
      </c>
      <c r="AK4964">
        <v>412</v>
      </c>
      <c r="AL4964">
        <v>412</v>
      </c>
      <c r="AM4964">
        <v>551</v>
      </c>
      <c r="AN4964">
        <v>44</v>
      </c>
      <c r="AP4964">
        <v>1</v>
      </c>
      <c r="AR4964" t="s">
        <v>5067</v>
      </c>
      <c r="AS4964" s="1">
        <v>44354.218055555553</v>
      </c>
      <c r="AT4964" s="1">
        <v>44354.226180555554</v>
      </c>
      <c r="AU4964" s="1">
        <v>44354.226747685185</v>
      </c>
      <c r="AV4964" t="s">
        <v>71</v>
      </c>
      <c r="AW4964" t="s">
        <v>72</v>
      </c>
      <c r="AX4964" t="s">
        <v>73</v>
      </c>
    </row>
    <row r="4965" spans="1:50" x14ac:dyDescent="0.3">
      <c r="A4965" t="str">
        <f>"202022E0100"</f>
        <v>202022E0100</v>
      </c>
      <c r="B4965" t="str">
        <f>"202022E01002"</f>
        <v>202022E01002</v>
      </c>
      <c r="C4965" t="str">
        <f t="shared" si="247"/>
        <v>20</v>
      </c>
      <c r="D4965" t="s">
        <v>67</v>
      </c>
      <c r="E4965" t="str">
        <f t="shared" si="248"/>
        <v>022</v>
      </c>
      <c r="F4965" t="s">
        <v>4913</v>
      </c>
      <c r="G4965" t="str">
        <f>"2022"</f>
        <v>2022</v>
      </c>
      <c r="H4965" t="str">
        <f>"0001"</f>
        <v>0001</v>
      </c>
      <c r="I4965" t="s">
        <v>109</v>
      </c>
      <c r="J4965">
        <v>0</v>
      </c>
      <c r="K4965">
        <v>1</v>
      </c>
      <c r="L4965">
        <v>2</v>
      </c>
      <c r="M4965" t="s">
        <v>99</v>
      </c>
      <c r="N4965">
        <v>569</v>
      </c>
      <c r="O4965">
        <v>1</v>
      </c>
      <c r="P4965" t="s">
        <v>80</v>
      </c>
      <c r="Q4965">
        <v>5</v>
      </c>
      <c r="R4965">
        <v>258</v>
      </c>
      <c r="S4965">
        <v>12</v>
      </c>
      <c r="T4965">
        <v>5</v>
      </c>
      <c r="U4965">
        <v>8</v>
      </c>
      <c r="V4965">
        <v>1</v>
      </c>
      <c r="W4965">
        <v>1</v>
      </c>
      <c r="X4965">
        <v>174</v>
      </c>
      <c r="Y4965">
        <v>1</v>
      </c>
      <c r="Z4965">
        <v>5</v>
      </c>
      <c r="AA4965">
        <v>37</v>
      </c>
      <c r="AB4965">
        <v>3</v>
      </c>
      <c r="AD4965">
        <v>0</v>
      </c>
      <c r="AE4965">
        <v>0</v>
      </c>
      <c r="AF4965">
        <v>0</v>
      </c>
      <c r="AG4965">
        <v>0</v>
      </c>
      <c r="AI4965">
        <v>0</v>
      </c>
      <c r="AJ4965">
        <v>23</v>
      </c>
      <c r="AK4965">
        <v>533</v>
      </c>
      <c r="AL4965">
        <v>533</v>
      </c>
      <c r="AM4965">
        <v>750</v>
      </c>
      <c r="AN4965">
        <v>44</v>
      </c>
      <c r="AP4965">
        <v>1</v>
      </c>
      <c r="AR4965" t="s">
        <v>5068</v>
      </c>
      <c r="AS4965" s="1">
        <v>44354.220138888886</v>
      </c>
      <c r="AT4965" s="1">
        <v>44354.224189814813</v>
      </c>
      <c r="AU4965" s="1">
        <v>44354.224652777775</v>
      </c>
      <c r="AV4965" t="s">
        <v>71</v>
      </c>
      <c r="AW4965" t="s">
        <v>72</v>
      </c>
      <c r="AX4965" t="s">
        <v>73</v>
      </c>
    </row>
    <row r="4966" spans="1:50" x14ac:dyDescent="0.3">
      <c r="A4966" t="str">
        <f>"202023B0000"</f>
        <v>202023B0000</v>
      </c>
      <c r="B4966" t="str">
        <f>"202023B00002"</f>
        <v>202023B00002</v>
      </c>
      <c r="C4966" t="str">
        <f t="shared" si="247"/>
        <v>20</v>
      </c>
      <c r="D4966" t="s">
        <v>67</v>
      </c>
      <c r="E4966" t="str">
        <f t="shared" si="248"/>
        <v>022</v>
      </c>
      <c r="F4966" t="s">
        <v>4913</v>
      </c>
      <c r="G4966" t="str">
        <f>"2023"</f>
        <v>2023</v>
      </c>
      <c r="H4966" t="str">
        <f>"0000"</f>
        <v>0000</v>
      </c>
      <c r="I4966" t="s">
        <v>69</v>
      </c>
      <c r="J4966">
        <v>0</v>
      </c>
      <c r="K4966">
        <v>1</v>
      </c>
      <c r="L4966">
        <v>2</v>
      </c>
      <c r="M4966">
        <v>196</v>
      </c>
      <c r="N4966">
        <v>555</v>
      </c>
      <c r="O4966">
        <v>0</v>
      </c>
      <c r="P4966">
        <v>555</v>
      </c>
      <c r="Q4966">
        <v>2</v>
      </c>
      <c r="R4966">
        <v>295</v>
      </c>
      <c r="S4966">
        <v>2</v>
      </c>
      <c r="T4966">
        <v>8</v>
      </c>
      <c r="U4966">
        <v>7</v>
      </c>
      <c r="V4966">
        <v>4</v>
      </c>
      <c r="W4966">
        <v>0</v>
      </c>
      <c r="X4966">
        <v>222</v>
      </c>
      <c r="Y4966">
        <v>0</v>
      </c>
      <c r="Z4966">
        <v>5</v>
      </c>
      <c r="AA4966">
        <v>3</v>
      </c>
      <c r="AB4966">
        <v>3</v>
      </c>
      <c r="AD4966">
        <v>0</v>
      </c>
      <c r="AE4966">
        <v>0</v>
      </c>
      <c r="AF4966">
        <v>0</v>
      </c>
      <c r="AG4966">
        <v>0</v>
      </c>
      <c r="AI4966">
        <v>0</v>
      </c>
      <c r="AJ4966">
        <v>4</v>
      </c>
      <c r="AK4966">
        <v>555</v>
      </c>
      <c r="AL4966">
        <v>555</v>
      </c>
      <c r="AM4966">
        <v>707</v>
      </c>
      <c r="AN4966">
        <v>44</v>
      </c>
      <c r="AP4966">
        <v>1</v>
      </c>
      <c r="AR4966" t="s">
        <v>5069</v>
      </c>
      <c r="AS4966" s="1">
        <v>44354.220138888886</v>
      </c>
      <c r="AT4966" s="1">
        <v>44354.223391203705</v>
      </c>
      <c r="AU4966" s="1">
        <v>44354.224108796298</v>
      </c>
      <c r="AV4966" t="s">
        <v>71</v>
      </c>
      <c r="AW4966" t="s">
        <v>72</v>
      </c>
      <c r="AX4966" t="s">
        <v>73</v>
      </c>
    </row>
    <row r="4967" spans="1:50" x14ac:dyDescent="0.3">
      <c r="A4967" t="str">
        <f>"202024B0000"</f>
        <v>202024B0000</v>
      </c>
      <c r="B4967" t="str">
        <f>"202024B00002"</f>
        <v>202024B00002</v>
      </c>
      <c r="C4967" t="str">
        <f t="shared" si="247"/>
        <v>20</v>
      </c>
      <c r="D4967" t="s">
        <v>67</v>
      </c>
      <c r="E4967" t="str">
        <f t="shared" si="248"/>
        <v>022</v>
      </c>
      <c r="F4967" t="s">
        <v>4913</v>
      </c>
      <c r="G4967" t="str">
        <f>"2024"</f>
        <v>2024</v>
      </c>
      <c r="H4967" t="str">
        <f>"0000"</f>
        <v>0000</v>
      </c>
      <c r="I4967" t="s">
        <v>69</v>
      </c>
      <c r="J4967">
        <v>0</v>
      </c>
      <c r="K4967">
        <v>1</v>
      </c>
      <c r="L4967">
        <v>2</v>
      </c>
      <c r="M4967">
        <v>116</v>
      </c>
      <c r="N4967">
        <v>352</v>
      </c>
      <c r="O4967">
        <v>2</v>
      </c>
      <c r="P4967">
        <v>352</v>
      </c>
      <c r="Q4967">
        <v>0</v>
      </c>
      <c r="R4967">
        <v>237</v>
      </c>
      <c r="S4967">
        <v>4</v>
      </c>
      <c r="T4967">
        <v>2</v>
      </c>
      <c r="U4967">
        <v>13</v>
      </c>
      <c r="V4967">
        <v>0</v>
      </c>
      <c r="W4967">
        <v>1</v>
      </c>
      <c r="X4967">
        <v>76</v>
      </c>
      <c r="Y4967">
        <v>0</v>
      </c>
      <c r="Z4967">
        <v>1</v>
      </c>
      <c r="AA4967">
        <v>3</v>
      </c>
      <c r="AB4967">
        <v>5</v>
      </c>
      <c r="AD4967">
        <v>0</v>
      </c>
      <c r="AE4967">
        <v>0</v>
      </c>
      <c r="AF4967">
        <v>0</v>
      </c>
      <c r="AG4967">
        <v>0</v>
      </c>
      <c r="AI4967">
        <v>0</v>
      </c>
      <c r="AJ4967">
        <v>10</v>
      </c>
      <c r="AK4967">
        <v>352</v>
      </c>
      <c r="AL4967">
        <v>352</v>
      </c>
      <c r="AM4967">
        <v>424</v>
      </c>
      <c r="AN4967">
        <v>44</v>
      </c>
      <c r="AP4967">
        <v>1</v>
      </c>
      <c r="AR4967" t="s">
        <v>5070</v>
      </c>
      <c r="AS4967" s="1">
        <v>44354.218055555553</v>
      </c>
      <c r="AT4967" s="1">
        <v>44354.224664351852</v>
      </c>
      <c r="AU4967" s="1">
        <v>44354.225590277776</v>
      </c>
      <c r="AV4967" t="s">
        <v>71</v>
      </c>
      <c r="AW4967" t="s">
        <v>72</v>
      </c>
      <c r="AX4967" t="s">
        <v>73</v>
      </c>
    </row>
    <row r="4968" spans="1:50" x14ac:dyDescent="0.3">
      <c r="A4968" t="str">
        <f>"202024C0100"</f>
        <v>202024C0100</v>
      </c>
      <c r="B4968" t="str">
        <f>"202024C01002"</f>
        <v>202024C01002</v>
      </c>
      <c r="C4968" t="str">
        <f t="shared" si="247"/>
        <v>20</v>
      </c>
      <c r="D4968" t="s">
        <v>67</v>
      </c>
      <c r="E4968" t="str">
        <f t="shared" si="248"/>
        <v>022</v>
      </c>
      <c r="F4968" t="s">
        <v>4913</v>
      </c>
      <c r="G4968" t="str">
        <f>"2024"</f>
        <v>2024</v>
      </c>
      <c r="H4968" t="str">
        <f>"0001"</f>
        <v>0001</v>
      </c>
      <c r="I4968" t="s">
        <v>75</v>
      </c>
      <c r="J4968">
        <v>0</v>
      </c>
      <c r="K4968">
        <v>1</v>
      </c>
      <c r="L4968">
        <v>2</v>
      </c>
      <c r="M4968">
        <v>120</v>
      </c>
      <c r="N4968">
        <v>348</v>
      </c>
      <c r="O4968">
        <v>2</v>
      </c>
      <c r="P4968">
        <v>348</v>
      </c>
      <c r="Q4968">
        <v>1</v>
      </c>
      <c r="R4968">
        <v>210</v>
      </c>
      <c r="S4968">
        <v>4</v>
      </c>
      <c r="T4968">
        <v>1</v>
      </c>
      <c r="U4968">
        <v>4</v>
      </c>
      <c r="V4968">
        <v>1</v>
      </c>
      <c r="W4968">
        <v>1</v>
      </c>
      <c r="X4968">
        <v>110</v>
      </c>
      <c r="Y4968">
        <v>3</v>
      </c>
      <c r="Z4968">
        <v>1</v>
      </c>
      <c r="AA4968">
        <v>9</v>
      </c>
      <c r="AB4968">
        <v>2</v>
      </c>
      <c r="AD4968">
        <v>0</v>
      </c>
      <c r="AE4968">
        <v>0</v>
      </c>
      <c r="AF4968">
        <v>0</v>
      </c>
      <c r="AG4968">
        <v>0</v>
      </c>
      <c r="AI4968">
        <v>0</v>
      </c>
      <c r="AJ4968">
        <v>1</v>
      </c>
      <c r="AK4968">
        <v>348</v>
      </c>
      <c r="AL4968">
        <v>348</v>
      </c>
      <c r="AM4968">
        <v>424</v>
      </c>
      <c r="AN4968">
        <v>44</v>
      </c>
      <c r="AP4968">
        <v>1</v>
      </c>
      <c r="AR4968" t="s">
        <v>5071</v>
      </c>
      <c r="AS4968" s="1">
        <v>44354.21875</v>
      </c>
      <c r="AT4968" s="1">
        <v>44354.225358796299</v>
      </c>
      <c r="AU4968" s="1">
        <v>44354.226412037038</v>
      </c>
      <c r="AV4968" t="s">
        <v>71</v>
      </c>
      <c r="AW4968" t="s">
        <v>72</v>
      </c>
      <c r="AX4968" t="s">
        <v>73</v>
      </c>
    </row>
    <row r="4969" spans="1:50" x14ac:dyDescent="0.3">
      <c r="A4969" t="str">
        <f>"202062B0000"</f>
        <v>202062B0000</v>
      </c>
      <c r="B4969" t="str">
        <f>"202062B00002"</f>
        <v>202062B00002</v>
      </c>
      <c r="C4969" t="str">
        <f t="shared" si="247"/>
        <v>20</v>
      </c>
      <c r="D4969" t="s">
        <v>67</v>
      </c>
      <c r="E4969" t="str">
        <f t="shared" si="248"/>
        <v>022</v>
      </c>
      <c r="F4969" t="s">
        <v>4913</v>
      </c>
      <c r="G4969" t="str">
        <f>"2062"</f>
        <v>2062</v>
      </c>
      <c r="H4969" t="str">
        <f>"0000"</f>
        <v>0000</v>
      </c>
      <c r="I4969" t="s">
        <v>69</v>
      </c>
      <c r="J4969">
        <v>0</v>
      </c>
      <c r="K4969">
        <v>1</v>
      </c>
      <c r="L4969">
        <v>2</v>
      </c>
      <c r="M4969">
        <v>155</v>
      </c>
      <c r="N4969">
        <v>437</v>
      </c>
      <c r="O4969">
        <v>0</v>
      </c>
      <c r="P4969">
        <v>437</v>
      </c>
      <c r="Q4969">
        <v>1</v>
      </c>
      <c r="R4969">
        <v>212</v>
      </c>
      <c r="S4969">
        <v>6</v>
      </c>
      <c r="T4969">
        <v>0</v>
      </c>
      <c r="U4969">
        <v>1</v>
      </c>
      <c r="V4969">
        <v>2</v>
      </c>
      <c r="W4969">
        <v>0</v>
      </c>
      <c r="X4969">
        <v>196</v>
      </c>
      <c r="Y4969">
        <v>1</v>
      </c>
      <c r="Z4969">
        <v>1</v>
      </c>
      <c r="AA4969">
        <v>7</v>
      </c>
      <c r="AB4969">
        <v>2</v>
      </c>
      <c r="AD4969">
        <v>0</v>
      </c>
      <c r="AE4969">
        <v>0</v>
      </c>
      <c r="AF4969">
        <v>0</v>
      </c>
      <c r="AG4969">
        <v>0</v>
      </c>
      <c r="AI4969">
        <v>0</v>
      </c>
      <c r="AJ4969">
        <v>8</v>
      </c>
      <c r="AK4969">
        <v>437</v>
      </c>
      <c r="AL4969">
        <v>437</v>
      </c>
      <c r="AM4969">
        <v>548</v>
      </c>
      <c r="AN4969">
        <v>44</v>
      </c>
      <c r="AP4969">
        <v>1</v>
      </c>
      <c r="AR4969" t="s">
        <v>5072</v>
      </c>
      <c r="AS4969" s="1">
        <v>44354.134722222225</v>
      </c>
      <c r="AT4969" s="1">
        <v>44354.136805555558</v>
      </c>
      <c r="AU4969" s="1">
        <v>44354.137407407405</v>
      </c>
      <c r="AV4969" t="s">
        <v>71</v>
      </c>
      <c r="AW4969" t="s">
        <v>72</v>
      </c>
      <c r="AX4969" t="s">
        <v>73</v>
      </c>
    </row>
    <row r="4970" spans="1:50" x14ac:dyDescent="0.3">
      <c r="A4970" t="str">
        <f>"202062C0100"</f>
        <v>202062C0100</v>
      </c>
      <c r="B4970" t="str">
        <f>"202062C01002"</f>
        <v>202062C01002</v>
      </c>
      <c r="C4970" t="str">
        <f t="shared" si="247"/>
        <v>20</v>
      </c>
      <c r="D4970" t="s">
        <v>67</v>
      </c>
      <c r="E4970" t="str">
        <f t="shared" si="248"/>
        <v>022</v>
      </c>
      <c r="F4970" t="s">
        <v>4913</v>
      </c>
      <c r="G4970" t="str">
        <f>"2062"</f>
        <v>2062</v>
      </c>
      <c r="H4970" t="str">
        <f>"0001"</f>
        <v>0001</v>
      </c>
      <c r="I4970" t="s">
        <v>75</v>
      </c>
      <c r="J4970">
        <v>0</v>
      </c>
      <c r="K4970">
        <v>1</v>
      </c>
      <c r="L4970">
        <v>2</v>
      </c>
      <c r="M4970">
        <v>158</v>
      </c>
      <c r="N4970">
        <v>592</v>
      </c>
      <c r="O4970">
        <v>0</v>
      </c>
      <c r="P4970">
        <v>434</v>
      </c>
      <c r="Q4970">
        <v>2</v>
      </c>
      <c r="R4970">
        <v>152</v>
      </c>
      <c r="S4970">
        <v>5</v>
      </c>
      <c r="T4970">
        <v>2</v>
      </c>
      <c r="U4970">
        <v>4</v>
      </c>
      <c r="V4970">
        <v>2</v>
      </c>
      <c r="W4970">
        <v>0</v>
      </c>
      <c r="X4970">
        <v>251</v>
      </c>
      <c r="Y4970">
        <v>0</v>
      </c>
      <c r="Z4970">
        <v>1</v>
      </c>
      <c r="AA4970">
        <v>3</v>
      </c>
      <c r="AB4970">
        <v>4</v>
      </c>
      <c r="AD4970">
        <v>3</v>
      </c>
      <c r="AE4970">
        <v>0</v>
      </c>
      <c r="AF4970">
        <v>0</v>
      </c>
      <c r="AG4970">
        <v>0</v>
      </c>
      <c r="AI4970">
        <v>0</v>
      </c>
      <c r="AJ4970">
        <v>5</v>
      </c>
      <c r="AK4970">
        <v>434</v>
      </c>
      <c r="AL4970">
        <v>434</v>
      </c>
      <c r="AM4970">
        <v>548</v>
      </c>
      <c r="AN4970">
        <v>44</v>
      </c>
      <c r="AP4970">
        <v>1</v>
      </c>
      <c r="AR4970" t="s">
        <v>5073</v>
      </c>
      <c r="AS4970" s="1">
        <v>44354.105555555558</v>
      </c>
      <c r="AT4970" s="1">
        <v>44354.108530092592</v>
      </c>
      <c r="AU4970" s="1">
        <v>44354.109074074076</v>
      </c>
      <c r="AV4970" t="s">
        <v>71</v>
      </c>
      <c r="AW4970" t="s">
        <v>72</v>
      </c>
      <c r="AX4970" t="s">
        <v>73</v>
      </c>
    </row>
    <row r="4971" spans="1:50" x14ac:dyDescent="0.3">
      <c r="A4971" t="str">
        <f>"202062C0200"</f>
        <v>202062C0200</v>
      </c>
      <c r="B4971" t="str">
        <f>"202062C02002"</f>
        <v>202062C02002</v>
      </c>
      <c r="C4971" t="str">
        <f t="shared" si="247"/>
        <v>20</v>
      </c>
      <c r="D4971" t="s">
        <v>67</v>
      </c>
      <c r="E4971" t="str">
        <f t="shared" si="248"/>
        <v>022</v>
      </c>
      <c r="F4971" t="s">
        <v>4913</v>
      </c>
      <c r="G4971" t="str">
        <f>"2062"</f>
        <v>2062</v>
      </c>
      <c r="H4971" t="str">
        <f>"0002"</f>
        <v>0002</v>
      </c>
      <c r="I4971" t="s">
        <v>75</v>
      </c>
      <c r="J4971">
        <v>0</v>
      </c>
      <c r="K4971">
        <v>1</v>
      </c>
      <c r="L4971">
        <v>2</v>
      </c>
      <c r="M4971">
        <v>155</v>
      </c>
      <c r="N4971">
        <v>437</v>
      </c>
      <c r="O4971">
        <v>1</v>
      </c>
      <c r="P4971">
        <v>437</v>
      </c>
      <c r="Q4971">
        <v>1</v>
      </c>
      <c r="R4971">
        <v>195</v>
      </c>
      <c r="S4971">
        <v>1</v>
      </c>
      <c r="T4971">
        <v>0</v>
      </c>
      <c r="U4971">
        <v>3</v>
      </c>
      <c r="V4971">
        <v>3</v>
      </c>
      <c r="W4971">
        <v>0</v>
      </c>
      <c r="X4971">
        <v>216</v>
      </c>
      <c r="Y4971">
        <v>2</v>
      </c>
      <c r="Z4971">
        <v>0</v>
      </c>
      <c r="AA4971">
        <v>2</v>
      </c>
      <c r="AB4971">
        <v>2</v>
      </c>
      <c r="AD4971">
        <v>2</v>
      </c>
      <c r="AE4971">
        <v>0</v>
      </c>
      <c r="AF4971">
        <v>0</v>
      </c>
      <c r="AG4971">
        <v>0</v>
      </c>
      <c r="AI4971">
        <v>0</v>
      </c>
      <c r="AJ4971">
        <v>7</v>
      </c>
      <c r="AK4971">
        <v>434</v>
      </c>
      <c r="AL4971">
        <v>434</v>
      </c>
      <c r="AM4971">
        <v>547</v>
      </c>
      <c r="AN4971">
        <v>44</v>
      </c>
      <c r="AP4971">
        <v>1</v>
      </c>
      <c r="AR4971" t="s">
        <v>5074</v>
      </c>
      <c r="AS4971" s="1">
        <v>44353.949687499997</v>
      </c>
      <c r="AT4971" s="1">
        <v>44353.960833333331</v>
      </c>
      <c r="AU4971" s="1">
        <v>44353.961562500001</v>
      </c>
      <c r="AV4971" t="s">
        <v>269</v>
      </c>
      <c r="AW4971" t="s">
        <v>270</v>
      </c>
      <c r="AX4971" t="s">
        <v>73</v>
      </c>
    </row>
    <row r="4972" spans="1:50" x14ac:dyDescent="0.3">
      <c r="A4972" t="str">
        <f>"202063B0000"</f>
        <v>202063B0000</v>
      </c>
      <c r="B4972" t="str">
        <f>"202063B00002"</f>
        <v>202063B00002</v>
      </c>
      <c r="C4972" t="str">
        <f t="shared" si="247"/>
        <v>20</v>
      </c>
      <c r="D4972" t="s">
        <v>67</v>
      </c>
      <c r="E4972" t="str">
        <f t="shared" si="248"/>
        <v>022</v>
      </c>
      <c r="F4972" t="s">
        <v>4913</v>
      </c>
      <c r="G4972" t="str">
        <f>"2063"</f>
        <v>2063</v>
      </c>
      <c r="H4972" t="str">
        <f>"0000"</f>
        <v>0000</v>
      </c>
      <c r="I4972" t="s">
        <v>69</v>
      </c>
      <c r="J4972">
        <v>0</v>
      </c>
      <c r="K4972">
        <v>1</v>
      </c>
      <c r="L4972">
        <v>2</v>
      </c>
      <c r="M4972">
        <v>130</v>
      </c>
      <c r="N4972">
        <v>377</v>
      </c>
      <c r="O4972">
        <v>0</v>
      </c>
      <c r="P4972" t="s">
        <v>80</v>
      </c>
      <c r="Q4972">
        <v>1</v>
      </c>
      <c r="R4972">
        <v>132</v>
      </c>
      <c r="S4972">
        <v>0</v>
      </c>
      <c r="T4972">
        <v>1</v>
      </c>
      <c r="U4972">
        <v>2</v>
      </c>
      <c r="V4972">
        <v>5</v>
      </c>
      <c r="W4972">
        <v>1</v>
      </c>
      <c r="X4972">
        <v>217</v>
      </c>
      <c r="Y4972">
        <v>0</v>
      </c>
      <c r="Z4972">
        <v>2</v>
      </c>
      <c r="AA4972">
        <v>8</v>
      </c>
      <c r="AB4972">
        <v>0</v>
      </c>
      <c r="AD4972" t="s">
        <v>77</v>
      </c>
      <c r="AE4972" t="s">
        <v>77</v>
      </c>
      <c r="AF4972" t="s">
        <v>77</v>
      </c>
      <c r="AG4972" t="s">
        <v>77</v>
      </c>
      <c r="AI4972" t="s">
        <v>77</v>
      </c>
      <c r="AJ4972">
        <v>8</v>
      </c>
      <c r="AK4972" t="s">
        <v>77</v>
      </c>
      <c r="AL4972">
        <v>377</v>
      </c>
      <c r="AM4972">
        <v>462</v>
      </c>
      <c r="AN4972">
        <v>44</v>
      </c>
      <c r="AO4972" t="s">
        <v>78</v>
      </c>
      <c r="AP4972">
        <v>1</v>
      </c>
      <c r="AR4972" t="s">
        <v>5075</v>
      </c>
      <c r="AS4972" s="1">
        <v>44354.114583333336</v>
      </c>
      <c r="AT4972" s="1">
        <v>44354.145520833335</v>
      </c>
      <c r="AU4972" s="1">
        <v>44354.145983796298</v>
      </c>
      <c r="AV4972" t="s">
        <v>71</v>
      </c>
      <c r="AW4972" t="s">
        <v>72</v>
      </c>
      <c r="AX4972" t="s">
        <v>73</v>
      </c>
    </row>
    <row r="4973" spans="1:50" x14ac:dyDescent="0.3">
      <c r="A4973" t="str">
        <f>"202064B0000"</f>
        <v>202064B0000</v>
      </c>
      <c r="B4973" t="str">
        <f>"202064B00002"</f>
        <v>202064B00002</v>
      </c>
      <c r="C4973" t="str">
        <f t="shared" si="247"/>
        <v>20</v>
      </c>
      <c r="D4973" t="s">
        <v>67</v>
      </c>
      <c r="E4973" t="str">
        <f t="shared" si="248"/>
        <v>022</v>
      </c>
      <c r="F4973" t="s">
        <v>4913</v>
      </c>
      <c r="G4973" t="str">
        <f>"2064"</f>
        <v>2064</v>
      </c>
      <c r="H4973" t="str">
        <f>"0000"</f>
        <v>0000</v>
      </c>
      <c r="I4973" t="s">
        <v>69</v>
      </c>
      <c r="J4973">
        <v>0</v>
      </c>
      <c r="K4973">
        <v>1</v>
      </c>
      <c r="L4973">
        <v>2</v>
      </c>
      <c r="M4973">
        <v>277</v>
      </c>
      <c r="N4973">
        <v>460</v>
      </c>
      <c r="O4973">
        <v>0</v>
      </c>
      <c r="P4973">
        <v>157</v>
      </c>
      <c r="Q4973">
        <v>1</v>
      </c>
      <c r="R4973">
        <v>194</v>
      </c>
      <c r="S4973">
        <v>2</v>
      </c>
      <c r="T4973">
        <v>1</v>
      </c>
      <c r="U4973">
        <v>3</v>
      </c>
      <c r="V4973">
        <v>5</v>
      </c>
      <c r="W4973">
        <v>0</v>
      </c>
      <c r="X4973">
        <v>177</v>
      </c>
      <c r="Y4973">
        <v>10</v>
      </c>
      <c r="Z4973">
        <v>1</v>
      </c>
      <c r="AA4973">
        <v>25</v>
      </c>
      <c r="AB4973">
        <v>4</v>
      </c>
      <c r="AD4973" t="s">
        <v>77</v>
      </c>
      <c r="AE4973" t="s">
        <v>77</v>
      </c>
      <c r="AF4973" t="s">
        <v>77</v>
      </c>
      <c r="AG4973" t="s">
        <v>77</v>
      </c>
      <c r="AI4973" t="s">
        <v>77</v>
      </c>
      <c r="AJ4973">
        <v>34</v>
      </c>
      <c r="AK4973">
        <v>457</v>
      </c>
      <c r="AL4973">
        <v>457</v>
      </c>
      <c r="AM4973">
        <v>692</v>
      </c>
      <c r="AN4973">
        <v>44</v>
      </c>
      <c r="AO4973" t="s">
        <v>78</v>
      </c>
      <c r="AP4973">
        <v>1</v>
      </c>
      <c r="AR4973" t="s">
        <v>5076</v>
      </c>
      <c r="AS4973" s="1">
        <v>44354.135416666664</v>
      </c>
      <c r="AT4973" s="1">
        <v>44354.146527777775</v>
      </c>
      <c r="AU4973" s="1">
        <v>44354.147997685184</v>
      </c>
      <c r="AV4973" t="s">
        <v>71</v>
      </c>
      <c r="AW4973" t="s">
        <v>72</v>
      </c>
      <c r="AX4973" t="s">
        <v>73</v>
      </c>
    </row>
    <row r="4974" spans="1:50" x14ac:dyDescent="0.3">
      <c r="A4974" t="str">
        <f>"202088B0000"</f>
        <v>202088B0000</v>
      </c>
      <c r="B4974" t="str">
        <f>"202088B00002"</f>
        <v>202088B00002</v>
      </c>
      <c r="C4974" t="str">
        <f t="shared" si="247"/>
        <v>20</v>
      </c>
      <c r="D4974" t="s">
        <v>67</v>
      </c>
      <c r="E4974" t="str">
        <f t="shared" si="248"/>
        <v>022</v>
      </c>
      <c r="F4974" t="s">
        <v>4913</v>
      </c>
      <c r="G4974" t="str">
        <f>"2088"</f>
        <v>2088</v>
      </c>
      <c r="H4974" t="str">
        <f>"0000"</f>
        <v>0000</v>
      </c>
      <c r="I4974" t="s">
        <v>69</v>
      </c>
      <c r="J4974">
        <v>0</v>
      </c>
      <c r="K4974">
        <v>1</v>
      </c>
      <c r="L4974">
        <v>2</v>
      </c>
      <c r="M4974">
        <v>289</v>
      </c>
      <c r="N4974">
        <v>360</v>
      </c>
      <c r="O4974">
        <v>0</v>
      </c>
      <c r="P4974">
        <v>360</v>
      </c>
      <c r="Q4974">
        <v>9</v>
      </c>
      <c r="R4974">
        <v>68</v>
      </c>
      <c r="S4974">
        <v>69</v>
      </c>
      <c r="T4974">
        <v>0</v>
      </c>
      <c r="U4974">
        <v>15</v>
      </c>
      <c r="V4974">
        <v>9</v>
      </c>
      <c r="W4974">
        <v>3</v>
      </c>
      <c r="X4974">
        <v>152</v>
      </c>
      <c r="Y4974">
        <v>4</v>
      </c>
      <c r="Z4974">
        <v>0</v>
      </c>
      <c r="AA4974">
        <v>6</v>
      </c>
      <c r="AB4974">
        <v>14</v>
      </c>
      <c r="AD4974">
        <v>2</v>
      </c>
      <c r="AE4974">
        <v>0</v>
      </c>
      <c r="AF4974">
        <v>1</v>
      </c>
      <c r="AG4974">
        <v>0</v>
      </c>
      <c r="AI4974">
        <v>0</v>
      </c>
      <c r="AJ4974">
        <v>8</v>
      </c>
      <c r="AK4974">
        <v>360</v>
      </c>
      <c r="AL4974">
        <v>360</v>
      </c>
      <c r="AM4974">
        <v>605</v>
      </c>
      <c r="AN4974">
        <v>44</v>
      </c>
      <c r="AP4974">
        <v>1</v>
      </c>
      <c r="AR4974" t="s">
        <v>5077</v>
      </c>
      <c r="AS4974" s="1">
        <v>44354.03125</v>
      </c>
      <c r="AT4974" s="1">
        <v>44354.042314814818</v>
      </c>
      <c r="AU4974" s="1">
        <v>44354.042708333334</v>
      </c>
      <c r="AV4974" t="s">
        <v>71</v>
      </c>
      <c r="AW4974" t="s">
        <v>72</v>
      </c>
      <c r="AX4974" t="s">
        <v>73</v>
      </c>
    </row>
    <row r="4975" spans="1:50" x14ac:dyDescent="0.3">
      <c r="A4975" t="str">
        <f>"202088C0100"</f>
        <v>202088C0100</v>
      </c>
      <c r="B4975" t="str">
        <f>"202088C01002"</f>
        <v>202088C01002</v>
      </c>
      <c r="C4975" t="str">
        <f t="shared" si="247"/>
        <v>20</v>
      </c>
      <c r="D4975" t="s">
        <v>67</v>
      </c>
      <c r="E4975" t="str">
        <f t="shared" si="248"/>
        <v>022</v>
      </c>
      <c r="F4975" t="s">
        <v>4913</v>
      </c>
      <c r="G4975" t="str">
        <f>"2088"</f>
        <v>2088</v>
      </c>
      <c r="H4975" t="str">
        <f>"0001"</f>
        <v>0001</v>
      </c>
      <c r="I4975" t="s">
        <v>75</v>
      </c>
      <c r="J4975">
        <v>0</v>
      </c>
      <c r="K4975">
        <v>1</v>
      </c>
      <c r="L4975">
        <v>2</v>
      </c>
      <c r="M4975">
        <v>286</v>
      </c>
      <c r="N4975">
        <v>363</v>
      </c>
      <c r="O4975">
        <v>2</v>
      </c>
      <c r="P4975">
        <v>363</v>
      </c>
      <c r="Q4975">
        <v>4</v>
      </c>
      <c r="R4975">
        <v>64</v>
      </c>
      <c r="S4975">
        <v>98</v>
      </c>
      <c r="T4975">
        <v>2</v>
      </c>
      <c r="U4975">
        <v>11</v>
      </c>
      <c r="V4975">
        <v>2</v>
      </c>
      <c r="W4975">
        <v>1</v>
      </c>
      <c r="X4975">
        <v>148</v>
      </c>
      <c r="Y4975">
        <v>7</v>
      </c>
      <c r="Z4975">
        <v>2</v>
      </c>
      <c r="AA4975">
        <v>8</v>
      </c>
      <c r="AB4975">
        <v>10</v>
      </c>
      <c r="AD4975">
        <v>0</v>
      </c>
      <c r="AE4975">
        <v>0</v>
      </c>
      <c r="AF4975">
        <v>0</v>
      </c>
      <c r="AG4975">
        <v>0</v>
      </c>
      <c r="AI4975">
        <v>0</v>
      </c>
      <c r="AJ4975">
        <v>6</v>
      </c>
      <c r="AK4975">
        <v>363</v>
      </c>
      <c r="AL4975">
        <v>363</v>
      </c>
      <c r="AM4975">
        <v>605</v>
      </c>
      <c r="AN4975">
        <v>44</v>
      </c>
      <c r="AP4975">
        <v>1</v>
      </c>
      <c r="AR4975" t="s">
        <v>5078</v>
      </c>
      <c r="AS4975" s="1">
        <v>44354.029166666667</v>
      </c>
      <c r="AT4975" s="1">
        <v>44354.03875</v>
      </c>
      <c r="AU4975" s="1">
        <v>44354.039259259262</v>
      </c>
      <c r="AV4975" t="s">
        <v>71</v>
      </c>
      <c r="AW4975" t="s">
        <v>72</v>
      </c>
      <c r="AX4975" t="s">
        <v>73</v>
      </c>
    </row>
    <row r="4976" spans="1:50" x14ac:dyDescent="0.3">
      <c r="A4976" t="str">
        <f>"202088C0200"</f>
        <v>202088C0200</v>
      </c>
      <c r="B4976" t="str">
        <f>"202088C02002"</f>
        <v>202088C02002</v>
      </c>
      <c r="C4976" t="str">
        <f t="shared" si="247"/>
        <v>20</v>
      </c>
      <c r="D4976" t="s">
        <v>67</v>
      </c>
      <c r="E4976" t="str">
        <f t="shared" si="248"/>
        <v>022</v>
      </c>
      <c r="F4976" t="s">
        <v>4913</v>
      </c>
      <c r="G4976" t="str">
        <f>"2088"</f>
        <v>2088</v>
      </c>
      <c r="H4976" t="str">
        <f>"0002"</f>
        <v>0002</v>
      </c>
      <c r="I4976" t="s">
        <v>75</v>
      </c>
      <c r="J4976">
        <v>0</v>
      </c>
      <c r="K4976">
        <v>1</v>
      </c>
      <c r="L4976">
        <v>2</v>
      </c>
      <c r="M4976">
        <v>251</v>
      </c>
      <c r="N4976">
        <v>398</v>
      </c>
      <c r="O4976">
        <v>1</v>
      </c>
      <c r="P4976">
        <v>398</v>
      </c>
      <c r="Q4976">
        <v>13</v>
      </c>
      <c r="R4976">
        <v>66</v>
      </c>
      <c r="S4976">
        <v>73</v>
      </c>
      <c r="T4976">
        <v>3</v>
      </c>
      <c r="U4976">
        <v>14</v>
      </c>
      <c r="V4976">
        <v>4</v>
      </c>
      <c r="W4976">
        <v>3</v>
      </c>
      <c r="X4976">
        <v>186</v>
      </c>
      <c r="Y4976">
        <v>11</v>
      </c>
      <c r="Z4976">
        <v>2</v>
      </c>
      <c r="AA4976">
        <v>8</v>
      </c>
      <c r="AB4976">
        <v>9</v>
      </c>
      <c r="AD4976">
        <v>0</v>
      </c>
      <c r="AE4976">
        <v>0</v>
      </c>
      <c r="AF4976">
        <v>0</v>
      </c>
      <c r="AG4976">
        <v>0</v>
      </c>
      <c r="AI4976">
        <v>0</v>
      </c>
      <c r="AJ4976">
        <v>6</v>
      </c>
      <c r="AK4976">
        <v>398</v>
      </c>
      <c r="AL4976">
        <v>398</v>
      </c>
      <c r="AM4976">
        <v>605</v>
      </c>
      <c r="AN4976">
        <v>44</v>
      </c>
      <c r="AP4976">
        <v>1</v>
      </c>
      <c r="AR4976" t="s">
        <v>5079</v>
      </c>
      <c r="AS4976" s="1">
        <v>44353.951388888891</v>
      </c>
      <c r="AT4976" s="1">
        <v>44353.953946759262</v>
      </c>
      <c r="AU4976" s="1">
        <v>44353.954872685186</v>
      </c>
      <c r="AV4976" t="s">
        <v>71</v>
      </c>
      <c r="AW4976" t="s">
        <v>72</v>
      </c>
      <c r="AX4976" t="s">
        <v>73</v>
      </c>
    </row>
    <row r="4977" spans="1:50" x14ac:dyDescent="0.3">
      <c r="A4977" t="str">
        <f>"202088S0100"</f>
        <v>202088S0100</v>
      </c>
      <c r="B4977" t="str">
        <f>"202088S01002EMR"</f>
        <v>202088S01002EMR</v>
      </c>
      <c r="C4977" t="str">
        <f t="shared" si="247"/>
        <v>20</v>
      </c>
      <c r="D4977" t="s">
        <v>67</v>
      </c>
      <c r="E4977" t="str">
        <f t="shared" si="248"/>
        <v>022</v>
      </c>
      <c r="F4977" t="s">
        <v>4913</v>
      </c>
      <c r="G4977" t="str">
        <f>"2088"</f>
        <v>2088</v>
      </c>
      <c r="H4977" t="str">
        <f>"0001"</f>
        <v>0001</v>
      </c>
      <c r="I4977" t="s">
        <v>85</v>
      </c>
      <c r="J4977">
        <v>0</v>
      </c>
      <c r="K4977">
        <v>1</v>
      </c>
      <c r="L4977" t="s">
        <v>86</v>
      </c>
      <c r="M4977">
        <v>665</v>
      </c>
      <c r="N4977">
        <v>118</v>
      </c>
      <c r="O4977">
        <v>0</v>
      </c>
      <c r="P4977">
        <v>119</v>
      </c>
      <c r="Q4977">
        <v>2</v>
      </c>
      <c r="R4977">
        <v>20</v>
      </c>
      <c r="S4977">
        <v>18</v>
      </c>
      <c r="T4977">
        <v>1</v>
      </c>
      <c r="U4977">
        <v>6</v>
      </c>
      <c r="V4977">
        <v>0</v>
      </c>
      <c r="W4977">
        <v>2</v>
      </c>
      <c r="X4977">
        <v>58</v>
      </c>
      <c r="Y4977">
        <v>4</v>
      </c>
      <c r="Z4977">
        <v>0</v>
      </c>
      <c r="AA4977">
        <v>3</v>
      </c>
      <c r="AB4977">
        <v>2</v>
      </c>
      <c r="AD4977">
        <v>0</v>
      </c>
      <c r="AE4977">
        <v>0</v>
      </c>
      <c r="AF4977">
        <v>0</v>
      </c>
      <c r="AG4977">
        <v>0</v>
      </c>
      <c r="AI4977">
        <v>0</v>
      </c>
      <c r="AJ4977">
        <v>3</v>
      </c>
      <c r="AK4977">
        <v>119</v>
      </c>
      <c r="AL4977">
        <v>119</v>
      </c>
      <c r="AM4977">
        <v>0</v>
      </c>
      <c r="AN4977">
        <v>44</v>
      </c>
      <c r="AP4977">
        <v>1</v>
      </c>
      <c r="AR4977" t="s">
        <v>5080</v>
      </c>
      <c r="AS4977" s="1">
        <v>44354.291666666664</v>
      </c>
      <c r="AT4977" s="1">
        <v>44354.752245370371</v>
      </c>
      <c r="AU4977" s="1">
        <v>44354.752604166664</v>
      </c>
      <c r="AV4977" t="s">
        <v>71</v>
      </c>
      <c r="AW4977" t="s">
        <v>72</v>
      </c>
      <c r="AX4977" t="s">
        <v>73</v>
      </c>
    </row>
    <row r="4978" spans="1:50" x14ac:dyDescent="0.3">
      <c r="A4978" t="str">
        <f>"202089B0000"</f>
        <v>202089B0000</v>
      </c>
      <c r="B4978" t="str">
        <f>"202089B00002"</f>
        <v>202089B00002</v>
      </c>
      <c r="C4978" t="str">
        <f t="shared" si="247"/>
        <v>20</v>
      </c>
      <c r="D4978" t="s">
        <v>67</v>
      </c>
      <c r="E4978" t="str">
        <f t="shared" si="248"/>
        <v>022</v>
      </c>
      <c r="F4978" t="s">
        <v>4913</v>
      </c>
      <c r="G4978" t="str">
        <f>"2089"</f>
        <v>2089</v>
      </c>
      <c r="H4978" t="str">
        <f>"0000"</f>
        <v>0000</v>
      </c>
      <c r="I4978" t="s">
        <v>69</v>
      </c>
      <c r="J4978">
        <v>0</v>
      </c>
      <c r="K4978">
        <v>1</v>
      </c>
      <c r="L4978">
        <v>2</v>
      </c>
      <c r="M4978">
        <v>269</v>
      </c>
      <c r="N4978">
        <v>382</v>
      </c>
      <c r="O4978">
        <v>10</v>
      </c>
      <c r="P4978">
        <v>382</v>
      </c>
      <c r="Q4978">
        <v>6</v>
      </c>
      <c r="R4978">
        <v>79</v>
      </c>
      <c r="S4978">
        <v>67</v>
      </c>
      <c r="T4978">
        <v>2</v>
      </c>
      <c r="U4978">
        <v>8</v>
      </c>
      <c r="V4978">
        <v>2</v>
      </c>
      <c r="W4978">
        <v>4</v>
      </c>
      <c r="X4978">
        <v>173</v>
      </c>
      <c r="Y4978">
        <v>5</v>
      </c>
      <c r="Z4978">
        <v>2</v>
      </c>
      <c r="AA4978">
        <v>5</v>
      </c>
      <c r="AB4978">
        <v>14</v>
      </c>
      <c r="AD4978" t="s">
        <v>77</v>
      </c>
      <c r="AE4978" t="s">
        <v>77</v>
      </c>
      <c r="AF4978" t="s">
        <v>77</v>
      </c>
      <c r="AG4978" t="s">
        <v>77</v>
      </c>
      <c r="AI4978" t="s">
        <v>77</v>
      </c>
      <c r="AJ4978">
        <v>5</v>
      </c>
      <c r="AK4978">
        <v>382</v>
      </c>
      <c r="AL4978">
        <v>372</v>
      </c>
      <c r="AM4978">
        <v>607</v>
      </c>
      <c r="AN4978">
        <v>44</v>
      </c>
      <c r="AO4978" t="s">
        <v>78</v>
      </c>
      <c r="AP4978">
        <v>1</v>
      </c>
      <c r="AR4978" t="s">
        <v>5081</v>
      </c>
      <c r="AS4978" s="1">
        <v>44353.981921296298</v>
      </c>
      <c r="AT4978" s="1">
        <v>44353.984120370369</v>
      </c>
      <c r="AU4978" s="1">
        <v>44353.9846875</v>
      </c>
      <c r="AV4978" t="s">
        <v>269</v>
      </c>
      <c r="AW4978" t="s">
        <v>270</v>
      </c>
      <c r="AX4978" t="s">
        <v>73</v>
      </c>
    </row>
    <row r="4979" spans="1:50" x14ac:dyDescent="0.3">
      <c r="A4979" t="str">
        <f>"202089C0100"</f>
        <v>202089C0100</v>
      </c>
      <c r="B4979" t="str">
        <f>"202089C01002"</f>
        <v>202089C01002</v>
      </c>
      <c r="C4979" t="str">
        <f t="shared" si="247"/>
        <v>20</v>
      </c>
      <c r="D4979" t="s">
        <v>67</v>
      </c>
      <c r="E4979" t="str">
        <f t="shared" si="248"/>
        <v>022</v>
      </c>
      <c r="F4979" t="s">
        <v>4913</v>
      </c>
      <c r="G4979" t="str">
        <f>"2089"</f>
        <v>2089</v>
      </c>
      <c r="H4979" t="str">
        <f>"0001"</f>
        <v>0001</v>
      </c>
      <c r="I4979" t="s">
        <v>75</v>
      </c>
      <c r="J4979">
        <v>0</v>
      </c>
      <c r="K4979">
        <v>1</v>
      </c>
      <c r="L4979">
        <v>2</v>
      </c>
      <c r="M4979">
        <v>278</v>
      </c>
      <c r="N4979">
        <v>360</v>
      </c>
      <c r="O4979">
        <v>8</v>
      </c>
      <c r="P4979">
        <v>373</v>
      </c>
      <c r="Q4979">
        <v>4</v>
      </c>
      <c r="R4979">
        <v>62</v>
      </c>
      <c r="S4979">
        <v>65</v>
      </c>
      <c r="T4979">
        <v>2</v>
      </c>
      <c r="U4979">
        <v>15</v>
      </c>
      <c r="V4979">
        <v>11</v>
      </c>
      <c r="W4979">
        <v>6</v>
      </c>
      <c r="X4979">
        <v>167</v>
      </c>
      <c r="Y4979">
        <v>8</v>
      </c>
      <c r="Z4979">
        <v>1</v>
      </c>
      <c r="AA4979">
        <v>9</v>
      </c>
      <c r="AB4979">
        <v>11</v>
      </c>
      <c r="AD4979">
        <v>2</v>
      </c>
      <c r="AE4979">
        <v>0</v>
      </c>
      <c r="AF4979">
        <v>0</v>
      </c>
      <c r="AG4979">
        <v>1</v>
      </c>
      <c r="AI4979">
        <v>0</v>
      </c>
      <c r="AJ4979">
        <v>9</v>
      </c>
      <c r="AK4979">
        <v>373</v>
      </c>
      <c r="AL4979">
        <v>373</v>
      </c>
      <c r="AM4979">
        <v>607</v>
      </c>
      <c r="AN4979">
        <v>44</v>
      </c>
      <c r="AP4979">
        <v>1</v>
      </c>
      <c r="AR4979" t="s">
        <v>5082</v>
      </c>
      <c r="AS4979" s="1">
        <v>44354.016111111108</v>
      </c>
      <c r="AT4979" s="1">
        <v>44354.023125</v>
      </c>
      <c r="AU4979" s="1">
        <v>44354.023726851854</v>
      </c>
      <c r="AV4979" t="s">
        <v>269</v>
      </c>
      <c r="AW4979" t="s">
        <v>270</v>
      </c>
      <c r="AX4979" t="s">
        <v>73</v>
      </c>
    </row>
    <row r="4980" spans="1:50" x14ac:dyDescent="0.3">
      <c r="A4980" t="str">
        <f>"202089C0200"</f>
        <v>202089C0200</v>
      </c>
      <c r="B4980" t="str">
        <f>"202089C02002"</f>
        <v>202089C02002</v>
      </c>
      <c r="C4980" t="str">
        <f t="shared" si="247"/>
        <v>20</v>
      </c>
      <c r="D4980" t="s">
        <v>67</v>
      </c>
      <c r="E4980" t="str">
        <f t="shared" si="248"/>
        <v>022</v>
      </c>
      <c r="F4980" t="s">
        <v>4913</v>
      </c>
      <c r="G4980" t="str">
        <f>"2089"</f>
        <v>2089</v>
      </c>
      <c r="H4980" t="str">
        <f>"0002"</f>
        <v>0002</v>
      </c>
      <c r="I4980" t="s">
        <v>75</v>
      </c>
      <c r="J4980">
        <v>0</v>
      </c>
      <c r="K4980">
        <v>1</v>
      </c>
      <c r="L4980">
        <v>2</v>
      </c>
      <c r="M4980">
        <v>281</v>
      </c>
      <c r="N4980">
        <v>370</v>
      </c>
      <c r="O4980">
        <v>9</v>
      </c>
      <c r="P4980">
        <v>370</v>
      </c>
      <c r="Q4980">
        <v>7</v>
      </c>
      <c r="R4980">
        <v>57</v>
      </c>
      <c r="S4980">
        <v>73</v>
      </c>
      <c r="T4980">
        <v>1</v>
      </c>
      <c r="U4980">
        <v>7</v>
      </c>
      <c r="V4980">
        <v>11</v>
      </c>
      <c r="W4980">
        <v>1</v>
      </c>
      <c r="X4980">
        <v>183</v>
      </c>
      <c r="Y4980">
        <v>3</v>
      </c>
      <c r="Z4980">
        <v>2</v>
      </c>
      <c r="AA4980">
        <v>9</v>
      </c>
      <c r="AB4980">
        <v>10</v>
      </c>
      <c r="AD4980">
        <v>0</v>
      </c>
      <c r="AE4980">
        <v>0</v>
      </c>
      <c r="AF4980">
        <v>0</v>
      </c>
      <c r="AG4980">
        <v>0</v>
      </c>
      <c r="AI4980">
        <v>0</v>
      </c>
      <c r="AJ4980">
        <v>6</v>
      </c>
      <c r="AK4980">
        <v>370</v>
      </c>
      <c r="AL4980">
        <v>370</v>
      </c>
      <c r="AM4980">
        <v>607</v>
      </c>
      <c r="AN4980">
        <v>44</v>
      </c>
      <c r="AP4980">
        <v>1</v>
      </c>
      <c r="AR4980" t="s">
        <v>5083</v>
      </c>
      <c r="AS4980" s="1">
        <v>44353.95416666667</v>
      </c>
      <c r="AT4980" s="1">
        <v>44353.955393518518</v>
      </c>
      <c r="AU4980" s="1">
        <v>44353.956053240741</v>
      </c>
      <c r="AV4980" t="s">
        <v>269</v>
      </c>
      <c r="AW4980" t="s">
        <v>270</v>
      </c>
      <c r="AX4980" t="s">
        <v>73</v>
      </c>
    </row>
    <row r="4981" spans="1:50" x14ac:dyDescent="0.3">
      <c r="A4981" t="str">
        <f>"202090B0000"</f>
        <v>202090B0000</v>
      </c>
      <c r="B4981" t="str">
        <f>"202090B00002"</f>
        <v>202090B00002</v>
      </c>
      <c r="C4981" t="str">
        <f t="shared" si="247"/>
        <v>20</v>
      </c>
      <c r="D4981" t="s">
        <v>67</v>
      </c>
      <c r="E4981" t="str">
        <f t="shared" si="248"/>
        <v>022</v>
      </c>
      <c r="F4981" t="s">
        <v>4913</v>
      </c>
      <c r="G4981" t="str">
        <f>"2090"</f>
        <v>2090</v>
      </c>
      <c r="H4981" t="str">
        <f>"0000"</f>
        <v>0000</v>
      </c>
      <c r="I4981" t="s">
        <v>69</v>
      </c>
      <c r="J4981">
        <v>0</v>
      </c>
      <c r="K4981">
        <v>1</v>
      </c>
      <c r="L4981">
        <v>2</v>
      </c>
      <c r="M4981">
        <v>255</v>
      </c>
      <c r="N4981">
        <v>373</v>
      </c>
      <c r="O4981">
        <v>7</v>
      </c>
      <c r="P4981">
        <v>373</v>
      </c>
      <c r="Q4981">
        <v>5</v>
      </c>
      <c r="R4981">
        <v>64</v>
      </c>
      <c r="S4981">
        <v>90</v>
      </c>
      <c r="T4981">
        <v>4</v>
      </c>
      <c r="U4981">
        <v>11</v>
      </c>
      <c r="V4981">
        <v>7</v>
      </c>
      <c r="W4981">
        <v>14</v>
      </c>
      <c r="X4981">
        <v>150</v>
      </c>
      <c r="Y4981">
        <v>4</v>
      </c>
      <c r="Z4981">
        <v>2</v>
      </c>
      <c r="AA4981">
        <v>6</v>
      </c>
      <c r="AB4981">
        <v>10</v>
      </c>
      <c r="AD4981">
        <v>2</v>
      </c>
      <c r="AE4981">
        <v>0</v>
      </c>
      <c r="AF4981">
        <v>0</v>
      </c>
      <c r="AG4981">
        <v>0</v>
      </c>
      <c r="AI4981">
        <v>0</v>
      </c>
      <c r="AJ4981">
        <v>4</v>
      </c>
      <c r="AK4981">
        <v>373</v>
      </c>
      <c r="AL4981">
        <v>373</v>
      </c>
      <c r="AM4981">
        <v>584</v>
      </c>
      <c r="AN4981">
        <v>44</v>
      </c>
      <c r="AP4981">
        <v>1</v>
      </c>
      <c r="AR4981" t="s">
        <v>5084</v>
      </c>
      <c r="AS4981" s="1">
        <v>44354.025694444441</v>
      </c>
      <c r="AT4981" s="1">
        <v>44354.032708333332</v>
      </c>
      <c r="AU4981" s="1">
        <v>44354.033182870371</v>
      </c>
      <c r="AV4981" t="s">
        <v>71</v>
      </c>
      <c r="AW4981" t="s">
        <v>72</v>
      </c>
      <c r="AX4981" t="s">
        <v>73</v>
      </c>
    </row>
    <row r="4982" spans="1:50" x14ac:dyDescent="0.3">
      <c r="A4982" t="str">
        <f>"202090C0100"</f>
        <v>202090C0100</v>
      </c>
      <c r="B4982" t="str">
        <f>"202090C01002"</f>
        <v>202090C01002</v>
      </c>
      <c r="C4982" t="str">
        <f t="shared" si="247"/>
        <v>20</v>
      </c>
      <c r="D4982" t="s">
        <v>67</v>
      </c>
      <c r="E4982" t="str">
        <f t="shared" si="248"/>
        <v>022</v>
      </c>
      <c r="F4982" t="s">
        <v>4913</v>
      </c>
      <c r="G4982" t="str">
        <f>"2090"</f>
        <v>2090</v>
      </c>
      <c r="H4982" t="str">
        <f>"0001"</f>
        <v>0001</v>
      </c>
      <c r="I4982" t="s">
        <v>75</v>
      </c>
      <c r="J4982">
        <v>0</v>
      </c>
      <c r="K4982">
        <v>1</v>
      </c>
      <c r="L4982">
        <v>2</v>
      </c>
      <c r="M4982">
        <v>238</v>
      </c>
      <c r="N4982">
        <v>389</v>
      </c>
      <c r="O4982">
        <v>8</v>
      </c>
      <c r="P4982">
        <v>390</v>
      </c>
      <c r="Q4982">
        <v>7</v>
      </c>
      <c r="R4982">
        <v>72</v>
      </c>
      <c r="S4982">
        <v>101</v>
      </c>
      <c r="T4982">
        <v>6</v>
      </c>
      <c r="U4982">
        <v>7</v>
      </c>
      <c r="V4982">
        <v>6</v>
      </c>
      <c r="W4982">
        <v>13</v>
      </c>
      <c r="X4982">
        <v>146</v>
      </c>
      <c r="Y4982">
        <v>14</v>
      </c>
      <c r="Z4982">
        <v>2</v>
      </c>
      <c r="AA4982">
        <v>4</v>
      </c>
      <c r="AB4982">
        <v>10</v>
      </c>
      <c r="AD4982">
        <v>0</v>
      </c>
      <c r="AE4982">
        <v>0</v>
      </c>
      <c r="AF4982">
        <v>0</v>
      </c>
      <c r="AG4982">
        <v>1</v>
      </c>
      <c r="AI4982">
        <v>0</v>
      </c>
      <c r="AJ4982">
        <v>1</v>
      </c>
      <c r="AK4982">
        <v>390</v>
      </c>
      <c r="AL4982">
        <v>390</v>
      </c>
      <c r="AM4982">
        <v>584</v>
      </c>
      <c r="AN4982">
        <v>44</v>
      </c>
      <c r="AP4982">
        <v>1</v>
      </c>
      <c r="AR4982" t="s">
        <v>5085</v>
      </c>
      <c r="AS4982" s="1">
        <v>44354.025694444441</v>
      </c>
      <c r="AT4982" s="1">
        <v>44354.034062500003</v>
      </c>
      <c r="AU4982" s="1">
        <v>44354.03460648148</v>
      </c>
      <c r="AV4982" t="s">
        <v>71</v>
      </c>
      <c r="AW4982" t="s">
        <v>72</v>
      </c>
      <c r="AX4982" t="s">
        <v>73</v>
      </c>
    </row>
    <row r="4983" spans="1:50" x14ac:dyDescent="0.3">
      <c r="A4983" t="str">
        <f>"202091B0000"</f>
        <v>202091B0000</v>
      </c>
      <c r="B4983" t="str">
        <f>"202091B00002"</f>
        <v>202091B00002</v>
      </c>
      <c r="C4983" t="str">
        <f t="shared" si="247"/>
        <v>20</v>
      </c>
      <c r="D4983" t="s">
        <v>67</v>
      </c>
      <c r="E4983" t="str">
        <f t="shared" si="248"/>
        <v>022</v>
      </c>
      <c r="F4983" t="s">
        <v>4913</v>
      </c>
      <c r="G4983" t="str">
        <f>"2091"</f>
        <v>2091</v>
      </c>
      <c r="H4983" t="str">
        <f>"0000"</f>
        <v>0000</v>
      </c>
      <c r="I4983" t="s">
        <v>69</v>
      </c>
      <c r="J4983">
        <v>0</v>
      </c>
      <c r="K4983">
        <v>1</v>
      </c>
      <c r="L4983">
        <v>2</v>
      </c>
      <c r="M4983">
        <v>262</v>
      </c>
      <c r="N4983">
        <v>360</v>
      </c>
      <c r="O4983">
        <v>4</v>
      </c>
      <c r="P4983">
        <v>353</v>
      </c>
      <c r="Q4983">
        <v>3</v>
      </c>
      <c r="R4983">
        <v>58</v>
      </c>
      <c r="S4983">
        <v>103</v>
      </c>
      <c r="T4983">
        <v>3</v>
      </c>
      <c r="U4983">
        <v>11</v>
      </c>
      <c r="V4983">
        <v>4</v>
      </c>
      <c r="W4983">
        <v>9</v>
      </c>
      <c r="X4983">
        <v>122</v>
      </c>
      <c r="Y4983">
        <v>8</v>
      </c>
      <c r="Z4983">
        <v>2</v>
      </c>
      <c r="AA4983">
        <v>2</v>
      </c>
      <c r="AB4983">
        <v>13</v>
      </c>
      <c r="AD4983">
        <v>3</v>
      </c>
      <c r="AE4983">
        <v>0</v>
      </c>
      <c r="AF4983">
        <v>0</v>
      </c>
      <c r="AG4983">
        <v>0</v>
      </c>
      <c r="AI4983">
        <v>0</v>
      </c>
      <c r="AJ4983">
        <v>12</v>
      </c>
      <c r="AK4983">
        <v>353</v>
      </c>
      <c r="AL4983">
        <v>353</v>
      </c>
      <c r="AM4983">
        <v>571</v>
      </c>
      <c r="AN4983">
        <v>44</v>
      </c>
      <c r="AP4983">
        <v>1</v>
      </c>
      <c r="AR4983" t="s">
        <v>5086</v>
      </c>
      <c r="AS4983" s="1">
        <v>44354.025000000001</v>
      </c>
      <c r="AT4983" s="1">
        <v>44354.035162037035</v>
      </c>
      <c r="AU4983" s="1">
        <v>44354.035798611112</v>
      </c>
      <c r="AV4983" t="s">
        <v>71</v>
      </c>
      <c r="AW4983" t="s">
        <v>72</v>
      </c>
      <c r="AX4983" t="s">
        <v>73</v>
      </c>
    </row>
    <row r="4984" spans="1:50" x14ac:dyDescent="0.3">
      <c r="A4984" t="str">
        <f>"202091C0100"</f>
        <v>202091C0100</v>
      </c>
      <c r="B4984" t="str">
        <f>"202091C01002"</f>
        <v>202091C01002</v>
      </c>
      <c r="C4984" t="str">
        <f t="shared" si="247"/>
        <v>20</v>
      </c>
      <c r="D4984" t="s">
        <v>67</v>
      </c>
      <c r="E4984" t="str">
        <f t="shared" si="248"/>
        <v>022</v>
      </c>
      <c r="F4984" t="s">
        <v>4913</v>
      </c>
      <c r="G4984" t="str">
        <f>"2091"</f>
        <v>2091</v>
      </c>
      <c r="H4984" t="str">
        <f>"0001"</f>
        <v>0001</v>
      </c>
      <c r="I4984" t="s">
        <v>75</v>
      </c>
      <c r="J4984">
        <v>0</v>
      </c>
      <c r="K4984">
        <v>1</v>
      </c>
      <c r="L4984">
        <v>2</v>
      </c>
      <c r="M4984">
        <v>259</v>
      </c>
      <c r="N4984">
        <v>356</v>
      </c>
      <c r="O4984">
        <v>5</v>
      </c>
      <c r="P4984">
        <v>363</v>
      </c>
      <c r="Q4984">
        <v>2</v>
      </c>
      <c r="R4984">
        <v>40</v>
      </c>
      <c r="S4984">
        <v>107</v>
      </c>
      <c r="T4984">
        <v>3</v>
      </c>
      <c r="U4984">
        <v>8</v>
      </c>
      <c r="V4984">
        <v>4</v>
      </c>
      <c r="W4984">
        <v>16</v>
      </c>
      <c r="X4984">
        <v>147</v>
      </c>
      <c r="Y4984">
        <v>11</v>
      </c>
      <c r="Z4984">
        <v>5</v>
      </c>
      <c r="AA4984">
        <v>5</v>
      </c>
      <c r="AB4984">
        <v>12</v>
      </c>
      <c r="AD4984" t="s">
        <v>77</v>
      </c>
      <c r="AE4984" t="s">
        <v>77</v>
      </c>
      <c r="AF4984" t="s">
        <v>77</v>
      </c>
      <c r="AG4984" t="s">
        <v>77</v>
      </c>
      <c r="AI4984" t="s">
        <v>77</v>
      </c>
      <c r="AJ4984">
        <v>2</v>
      </c>
      <c r="AK4984">
        <v>363</v>
      </c>
      <c r="AL4984">
        <v>362</v>
      </c>
      <c r="AM4984">
        <v>571</v>
      </c>
      <c r="AN4984">
        <v>44</v>
      </c>
      <c r="AO4984" t="s">
        <v>78</v>
      </c>
      <c r="AP4984">
        <v>1</v>
      </c>
      <c r="AR4984" t="s">
        <v>5087</v>
      </c>
      <c r="AS4984" s="1">
        <v>44354.026388888888</v>
      </c>
      <c r="AT4984" s="1">
        <v>44354.034189814818</v>
      </c>
      <c r="AU4984" s="1">
        <v>44354.034756944442</v>
      </c>
      <c r="AV4984" t="s">
        <v>71</v>
      </c>
      <c r="AW4984" t="s">
        <v>72</v>
      </c>
      <c r="AX4984" t="s">
        <v>73</v>
      </c>
    </row>
    <row r="4985" spans="1:50" x14ac:dyDescent="0.3">
      <c r="A4985" t="str">
        <f>"202091C0200"</f>
        <v>202091C0200</v>
      </c>
      <c r="B4985" t="str">
        <f>"202091C02002"</f>
        <v>202091C02002</v>
      </c>
      <c r="C4985" t="str">
        <f t="shared" si="247"/>
        <v>20</v>
      </c>
      <c r="D4985" t="s">
        <v>67</v>
      </c>
      <c r="E4985" t="str">
        <f t="shared" si="248"/>
        <v>022</v>
      </c>
      <c r="F4985" t="s">
        <v>4913</v>
      </c>
      <c r="G4985" t="str">
        <f>"2091"</f>
        <v>2091</v>
      </c>
      <c r="H4985" t="str">
        <f>"0002"</f>
        <v>0002</v>
      </c>
      <c r="I4985" t="s">
        <v>75</v>
      </c>
      <c r="J4985">
        <v>0</v>
      </c>
      <c r="K4985">
        <v>1</v>
      </c>
      <c r="L4985">
        <v>2</v>
      </c>
      <c r="M4985">
        <v>266</v>
      </c>
      <c r="N4985">
        <v>349</v>
      </c>
      <c r="O4985">
        <v>6</v>
      </c>
      <c r="P4985">
        <v>341</v>
      </c>
      <c r="Q4985">
        <v>3</v>
      </c>
      <c r="R4985">
        <v>49</v>
      </c>
      <c r="S4985">
        <v>102</v>
      </c>
      <c r="T4985">
        <v>5</v>
      </c>
      <c r="U4985">
        <v>6</v>
      </c>
      <c r="V4985">
        <v>2</v>
      </c>
      <c r="W4985">
        <v>8</v>
      </c>
      <c r="X4985">
        <v>135</v>
      </c>
      <c r="Y4985">
        <v>7</v>
      </c>
      <c r="Z4985">
        <v>1</v>
      </c>
      <c r="AA4985">
        <v>2</v>
      </c>
      <c r="AB4985">
        <v>9</v>
      </c>
      <c r="AD4985">
        <v>0</v>
      </c>
      <c r="AE4985">
        <v>0</v>
      </c>
      <c r="AF4985">
        <v>0</v>
      </c>
      <c r="AG4985">
        <v>1</v>
      </c>
      <c r="AI4985">
        <v>0</v>
      </c>
      <c r="AJ4985">
        <v>11</v>
      </c>
      <c r="AK4985">
        <v>341</v>
      </c>
      <c r="AL4985">
        <v>341</v>
      </c>
      <c r="AM4985">
        <v>571</v>
      </c>
      <c r="AN4985">
        <v>44</v>
      </c>
      <c r="AP4985">
        <v>1</v>
      </c>
      <c r="AR4985" t="s">
        <v>5088</v>
      </c>
      <c r="AS4985" s="1">
        <v>44354.02847222222</v>
      </c>
      <c r="AT4985" s="1">
        <v>44354.064108796294</v>
      </c>
      <c r="AU4985" s="1">
        <v>44354.064699074072</v>
      </c>
      <c r="AV4985" t="s">
        <v>71</v>
      </c>
      <c r="AW4985" t="s">
        <v>72</v>
      </c>
      <c r="AX4985" t="s">
        <v>73</v>
      </c>
    </row>
    <row r="4986" spans="1:50" x14ac:dyDescent="0.3">
      <c r="A4986" t="str">
        <f>"202092B0000"</f>
        <v>202092B0000</v>
      </c>
      <c r="B4986" t="str">
        <f>"202092B00002"</f>
        <v>202092B00002</v>
      </c>
      <c r="C4986" t="str">
        <f t="shared" si="247"/>
        <v>20</v>
      </c>
      <c r="D4986" t="s">
        <v>67</v>
      </c>
      <c r="E4986" t="str">
        <f t="shared" si="248"/>
        <v>022</v>
      </c>
      <c r="F4986" t="s">
        <v>4913</v>
      </c>
      <c r="G4986" t="str">
        <f>"2092"</f>
        <v>2092</v>
      </c>
      <c r="H4986" t="str">
        <f>"0000"</f>
        <v>0000</v>
      </c>
      <c r="I4986" t="s">
        <v>69</v>
      </c>
      <c r="J4986">
        <v>0</v>
      </c>
      <c r="K4986">
        <v>1</v>
      </c>
      <c r="L4986">
        <v>2</v>
      </c>
      <c r="M4986">
        <v>234</v>
      </c>
      <c r="N4986">
        <v>369</v>
      </c>
      <c r="O4986">
        <v>4</v>
      </c>
      <c r="P4986">
        <v>369</v>
      </c>
      <c r="Q4986">
        <v>12</v>
      </c>
      <c r="R4986">
        <v>84</v>
      </c>
      <c r="S4986">
        <v>77</v>
      </c>
      <c r="T4986">
        <v>1</v>
      </c>
      <c r="U4986">
        <v>2</v>
      </c>
      <c r="V4986">
        <v>4</v>
      </c>
      <c r="W4986">
        <v>6</v>
      </c>
      <c r="X4986">
        <v>153</v>
      </c>
      <c r="Y4986">
        <v>9</v>
      </c>
      <c r="Z4986">
        <v>2</v>
      </c>
      <c r="AA4986">
        <v>0</v>
      </c>
      <c r="AB4986">
        <v>10</v>
      </c>
      <c r="AD4986">
        <v>1</v>
      </c>
      <c r="AE4986">
        <v>0</v>
      </c>
      <c r="AF4986">
        <v>0</v>
      </c>
      <c r="AG4986">
        <v>0</v>
      </c>
      <c r="AI4986">
        <v>0</v>
      </c>
      <c r="AJ4986">
        <v>8</v>
      </c>
      <c r="AK4986">
        <v>369</v>
      </c>
      <c r="AL4986">
        <v>369</v>
      </c>
      <c r="AM4986">
        <v>559</v>
      </c>
      <c r="AN4986">
        <v>44</v>
      </c>
      <c r="AP4986">
        <v>1</v>
      </c>
      <c r="AR4986" t="s">
        <v>5089</v>
      </c>
      <c r="AS4986" s="1">
        <v>44353.92083333333</v>
      </c>
      <c r="AT4986" s="1">
        <v>44353.937719907408</v>
      </c>
      <c r="AU4986" s="1">
        <v>44353.938391203701</v>
      </c>
      <c r="AV4986" t="s">
        <v>71</v>
      </c>
      <c r="AW4986" t="s">
        <v>72</v>
      </c>
      <c r="AX4986" t="s">
        <v>73</v>
      </c>
    </row>
    <row r="4987" spans="1:50" x14ac:dyDescent="0.3">
      <c r="A4987" t="str">
        <f>"202092C0100"</f>
        <v>202092C0100</v>
      </c>
      <c r="B4987" t="str">
        <f>"202092C01002"</f>
        <v>202092C01002</v>
      </c>
      <c r="C4987" t="str">
        <f t="shared" si="247"/>
        <v>20</v>
      </c>
      <c r="D4987" t="s">
        <v>67</v>
      </c>
      <c r="E4987" t="str">
        <f t="shared" si="248"/>
        <v>022</v>
      </c>
      <c r="F4987" t="s">
        <v>4913</v>
      </c>
      <c r="G4987" t="str">
        <f>"2092"</f>
        <v>2092</v>
      </c>
      <c r="H4987" t="str">
        <f>"0001"</f>
        <v>0001</v>
      </c>
      <c r="I4987" t="s">
        <v>75</v>
      </c>
      <c r="J4987">
        <v>0</v>
      </c>
      <c r="K4987">
        <v>1</v>
      </c>
      <c r="L4987">
        <v>2</v>
      </c>
      <c r="M4987">
        <v>250</v>
      </c>
      <c r="N4987">
        <v>353</v>
      </c>
      <c r="O4987">
        <v>2</v>
      </c>
      <c r="P4987">
        <v>353</v>
      </c>
      <c r="Q4987">
        <v>11</v>
      </c>
      <c r="R4987">
        <v>40</v>
      </c>
      <c r="S4987">
        <v>78</v>
      </c>
      <c r="T4987">
        <v>5</v>
      </c>
      <c r="U4987">
        <v>6</v>
      </c>
      <c r="V4987">
        <v>11</v>
      </c>
      <c r="W4987">
        <v>12</v>
      </c>
      <c r="X4987">
        <v>148</v>
      </c>
      <c r="Y4987">
        <v>7</v>
      </c>
      <c r="Z4987">
        <v>3</v>
      </c>
      <c r="AA4987">
        <v>6</v>
      </c>
      <c r="AB4987">
        <v>15</v>
      </c>
      <c r="AD4987">
        <v>1</v>
      </c>
      <c r="AE4987">
        <v>0</v>
      </c>
      <c r="AF4987">
        <v>1</v>
      </c>
      <c r="AG4987">
        <v>0</v>
      </c>
      <c r="AI4987">
        <v>0</v>
      </c>
      <c r="AJ4987">
        <v>9</v>
      </c>
      <c r="AK4987">
        <v>353</v>
      </c>
      <c r="AL4987">
        <v>353</v>
      </c>
      <c r="AM4987">
        <v>559</v>
      </c>
      <c r="AN4987">
        <v>44</v>
      </c>
      <c r="AP4987">
        <v>1</v>
      </c>
      <c r="AR4987" t="s">
        <v>5090</v>
      </c>
      <c r="AS4987" s="1">
        <v>44353.931250000001</v>
      </c>
      <c r="AT4987" s="1">
        <v>44353.934571759259</v>
      </c>
      <c r="AU4987" s="1">
        <v>44353.935023148151</v>
      </c>
      <c r="AV4987" t="s">
        <v>71</v>
      </c>
      <c r="AW4987" t="s">
        <v>72</v>
      </c>
      <c r="AX4987" t="s">
        <v>73</v>
      </c>
    </row>
    <row r="4988" spans="1:50" x14ac:dyDescent="0.3">
      <c r="A4988" t="str">
        <f>"202092C0200"</f>
        <v>202092C0200</v>
      </c>
      <c r="B4988" t="str">
        <f>"202092C02002"</f>
        <v>202092C02002</v>
      </c>
      <c r="C4988" t="str">
        <f t="shared" si="247"/>
        <v>20</v>
      </c>
      <c r="D4988" t="s">
        <v>67</v>
      </c>
      <c r="E4988" t="str">
        <f t="shared" si="248"/>
        <v>022</v>
      </c>
      <c r="F4988" t="s">
        <v>4913</v>
      </c>
      <c r="G4988" t="str">
        <f>"2092"</f>
        <v>2092</v>
      </c>
      <c r="H4988" t="str">
        <f>"0002"</f>
        <v>0002</v>
      </c>
      <c r="I4988" t="s">
        <v>75</v>
      </c>
      <c r="J4988">
        <v>0</v>
      </c>
      <c r="K4988">
        <v>1</v>
      </c>
      <c r="L4988">
        <v>2</v>
      </c>
      <c r="M4988">
        <v>223</v>
      </c>
      <c r="N4988">
        <v>380</v>
      </c>
      <c r="O4988">
        <v>3</v>
      </c>
      <c r="P4988" t="s">
        <v>80</v>
      </c>
      <c r="Q4988">
        <v>10</v>
      </c>
      <c r="R4988">
        <v>52</v>
      </c>
      <c r="S4988">
        <v>83</v>
      </c>
      <c r="T4988">
        <v>1</v>
      </c>
      <c r="U4988">
        <v>7</v>
      </c>
      <c r="V4988">
        <v>3</v>
      </c>
      <c r="W4988">
        <v>7</v>
      </c>
      <c r="X4988">
        <v>174</v>
      </c>
      <c r="Y4988">
        <v>11</v>
      </c>
      <c r="Z4988">
        <v>0</v>
      </c>
      <c r="AA4988">
        <v>6</v>
      </c>
      <c r="AB4988">
        <v>17</v>
      </c>
      <c r="AD4988">
        <v>3</v>
      </c>
      <c r="AE4988">
        <v>0</v>
      </c>
      <c r="AF4988">
        <v>0</v>
      </c>
      <c r="AG4988">
        <v>0</v>
      </c>
      <c r="AI4988">
        <v>0</v>
      </c>
      <c r="AJ4988">
        <v>6</v>
      </c>
      <c r="AK4988">
        <v>380</v>
      </c>
      <c r="AL4988">
        <v>380</v>
      </c>
      <c r="AM4988">
        <v>559</v>
      </c>
      <c r="AN4988">
        <v>44</v>
      </c>
      <c r="AP4988">
        <v>1</v>
      </c>
      <c r="AR4988" t="s">
        <v>5091</v>
      </c>
      <c r="AS4988" s="1">
        <v>44353.935416666667</v>
      </c>
      <c r="AT4988" s="1">
        <v>44353.938240740739</v>
      </c>
      <c r="AU4988" s="1">
        <v>44353.938738425924</v>
      </c>
      <c r="AV4988" t="s">
        <v>71</v>
      </c>
      <c r="AW4988" t="s">
        <v>72</v>
      </c>
      <c r="AX4988" t="s">
        <v>73</v>
      </c>
    </row>
    <row r="4989" spans="1:50" x14ac:dyDescent="0.3">
      <c r="A4989" t="str">
        <f>"202093B0000"</f>
        <v>202093B0000</v>
      </c>
      <c r="B4989" t="str">
        <f>"202093B00002"</f>
        <v>202093B00002</v>
      </c>
      <c r="C4989" t="str">
        <f t="shared" si="247"/>
        <v>20</v>
      </c>
      <c r="D4989" t="s">
        <v>67</v>
      </c>
      <c r="E4989" t="str">
        <f t="shared" si="248"/>
        <v>022</v>
      </c>
      <c r="F4989" t="s">
        <v>4913</v>
      </c>
      <c r="G4989" t="str">
        <f>"2093"</f>
        <v>2093</v>
      </c>
      <c r="H4989" t="str">
        <f>"0000"</f>
        <v>0000</v>
      </c>
      <c r="I4989" t="s">
        <v>69</v>
      </c>
      <c r="J4989">
        <v>0</v>
      </c>
      <c r="K4989">
        <v>1</v>
      </c>
      <c r="L4989">
        <v>2</v>
      </c>
      <c r="M4989">
        <v>304</v>
      </c>
      <c r="N4989">
        <v>487</v>
      </c>
      <c r="O4989">
        <v>4</v>
      </c>
      <c r="P4989">
        <v>488</v>
      </c>
      <c r="Q4989">
        <v>3</v>
      </c>
      <c r="R4989">
        <v>83</v>
      </c>
      <c r="S4989">
        <v>66</v>
      </c>
      <c r="T4989">
        <v>3</v>
      </c>
      <c r="U4989">
        <v>19</v>
      </c>
      <c r="V4989">
        <v>6</v>
      </c>
      <c r="W4989">
        <v>10</v>
      </c>
      <c r="X4989">
        <v>258</v>
      </c>
      <c r="Y4989">
        <v>13</v>
      </c>
      <c r="Z4989">
        <v>0</v>
      </c>
      <c r="AA4989">
        <v>3</v>
      </c>
      <c r="AB4989">
        <v>12</v>
      </c>
      <c r="AD4989">
        <v>0</v>
      </c>
      <c r="AE4989">
        <v>0</v>
      </c>
      <c r="AF4989">
        <v>0</v>
      </c>
      <c r="AG4989">
        <v>0</v>
      </c>
      <c r="AI4989">
        <v>0</v>
      </c>
      <c r="AJ4989">
        <v>12</v>
      </c>
      <c r="AK4989">
        <v>488</v>
      </c>
      <c r="AL4989">
        <v>488</v>
      </c>
      <c r="AM4989">
        <v>747</v>
      </c>
      <c r="AN4989">
        <v>44</v>
      </c>
      <c r="AP4989">
        <v>1</v>
      </c>
      <c r="AR4989" t="s">
        <v>5092</v>
      </c>
      <c r="AS4989" s="1">
        <v>44353.956944444442</v>
      </c>
      <c r="AT4989" s="1">
        <v>44353.960613425923</v>
      </c>
      <c r="AU4989" s="1">
        <v>44353.961145833331</v>
      </c>
      <c r="AV4989" t="s">
        <v>71</v>
      </c>
      <c r="AW4989" t="s">
        <v>72</v>
      </c>
      <c r="AX4989" t="s">
        <v>73</v>
      </c>
    </row>
    <row r="4990" spans="1:50" x14ac:dyDescent="0.3">
      <c r="A4990" t="str">
        <f>"202093C0100"</f>
        <v>202093C0100</v>
      </c>
      <c r="B4990" t="str">
        <f>"202093C01002"</f>
        <v>202093C01002</v>
      </c>
      <c r="C4990" t="str">
        <f t="shared" si="247"/>
        <v>20</v>
      </c>
      <c r="D4990" t="s">
        <v>67</v>
      </c>
      <c r="E4990" t="str">
        <f t="shared" si="248"/>
        <v>022</v>
      </c>
      <c r="F4990" t="s">
        <v>4913</v>
      </c>
      <c r="G4990" t="str">
        <f>"2093"</f>
        <v>2093</v>
      </c>
      <c r="H4990" t="str">
        <f>"0001"</f>
        <v>0001</v>
      </c>
      <c r="I4990" t="s">
        <v>75</v>
      </c>
      <c r="J4990">
        <v>0</v>
      </c>
      <c r="K4990">
        <v>1</v>
      </c>
      <c r="L4990">
        <v>2</v>
      </c>
      <c r="M4990">
        <v>306</v>
      </c>
      <c r="N4990">
        <v>484</v>
      </c>
      <c r="O4990">
        <v>5</v>
      </c>
      <c r="P4990">
        <v>483</v>
      </c>
      <c r="Q4990">
        <v>10</v>
      </c>
      <c r="R4990">
        <v>86</v>
      </c>
      <c r="S4990">
        <v>87</v>
      </c>
      <c r="T4990">
        <v>1</v>
      </c>
      <c r="U4990">
        <v>18</v>
      </c>
      <c r="V4990">
        <v>9</v>
      </c>
      <c r="W4990">
        <v>8</v>
      </c>
      <c r="X4990">
        <v>225</v>
      </c>
      <c r="Y4990">
        <v>2</v>
      </c>
      <c r="Z4990">
        <v>1</v>
      </c>
      <c r="AA4990">
        <v>6</v>
      </c>
      <c r="AB4990">
        <v>20</v>
      </c>
      <c r="AD4990">
        <v>1</v>
      </c>
      <c r="AE4990">
        <v>0</v>
      </c>
      <c r="AF4990">
        <v>0</v>
      </c>
      <c r="AG4990">
        <v>2</v>
      </c>
      <c r="AI4990">
        <v>0</v>
      </c>
      <c r="AJ4990">
        <v>7</v>
      </c>
      <c r="AK4990">
        <v>483</v>
      </c>
      <c r="AL4990">
        <v>483</v>
      </c>
      <c r="AM4990">
        <v>746</v>
      </c>
      <c r="AN4990">
        <v>44</v>
      </c>
      <c r="AP4990">
        <v>1</v>
      </c>
      <c r="AR4990" t="s">
        <v>5093</v>
      </c>
      <c r="AS4990" s="1">
        <v>44353.973611111112</v>
      </c>
      <c r="AT4990" s="1">
        <v>44353.977060185185</v>
      </c>
      <c r="AU4990" s="1">
        <v>44353.977581018517</v>
      </c>
      <c r="AV4990" t="s">
        <v>71</v>
      </c>
      <c r="AW4990" t="s">
        <v>72</v>
      </c>
      <c r="AX4990" t="s">
        <v>73</v>
      </c>
    </row>
    <row r="4991" spans="1:50" x14ac:dyDescent="0.3">
      <c r="A4991" t="str">
        <f>"202094B0000"</f>
        <v>202094B0000</v>
      </c>
      <c r="B4991" t="str">
        <f>"202094B00002"</f>
        <v>202094B00002</v>
      </c>
      <c r="C4991" t="str">
        <f t="shared" si="247"/>
        <v>20</v>
      </c>
      <c r="D4991" t="s">
        <v>67</v>
      </c>
      <c r="E4991" t="str">
        <f t="shared" si="248"/>
        <v>022</v>
      </c>
      <c r="F4991" t="s">
        <v>4913</v>
      </c>
      <c r="G4991" t="str">
        <f>"2094"</f>
        <v>2094</v>
      </c>
      <c r="H4991" t="str">
        <f>"0000"</f>
        <v>0000</v>
      </c>
      <c r="I4991" t="s">
        <v>69</v>
      </c>
      <c r="J4991">
        <v>0</v>
      </c>
      <c r="K4991">
        <v>1</v>
      </c>
      <c r="L4991">
        <v>2</v>
      </c>
      <c r="M4991">
        <v>318</v>
      </c>
      <c r="N4991">
        <v>357</v>
      </c>
      <c r="O4991">
        <v>4</v>
      </c>
      <c r="P4991">
        <v>357</v>
      </c>
      <c r="Q4991">
        <v>2</v>
      </c>
      <c r="R4991">
        <v>50</v>
      </c>
      <c r="S4991">
        <v>82</v>
      </c>
      <c r="T4991">
        <v>5</v>
      </c>
      <c r="U4991">
        <v>24</v>
      </c>
      <c r="V4991">
        <v>6</v>
      </c>
      <c r="W4991">
        <v>4</v>
      </c>
      <c r="X4991">
        <v>150</v>
      </c>
      <c r="Y4991">
        <v>7</v>
      </c>
      <c r="Z4991">
        <v>1</v>
      </c>
      <c r="AA4991">
        <v>2</v>
      </c>
      <c r="AB4991">
        <v>17</v>
      </c>
      <c r="AD4991">
        <v>1</v>
      </c>
      <c r="AE4991">
        <v>0</v>
      </c>
      <c r="AF4991">
        <v>0</v>
      </c>
      <c r="AG4991">
        <v>0</v>
      </c>
      <c r="AI4991">
        <v>0</v>
      </c>
      <c r="AJ4991">
        <v>6</v>
      </c>
      <c r="AK4991">
        <v>357</v>
      </c>
      <c r="AL4991">
        <v>357</v>
      </c>
      <c r="AM4991">
        <v>633</v>
      </c>
      <c r="AN4991">
        <v>44</v>
      </c>
      <c r="AP4991">
        <v>1</v>
      </c>
      <c r="AR4991" t="s">
        <v>5094</v>
      </c>
      <c r="AS4991" s="1">
        <v>44354.077777777777</v>
      </c>
      <c r="AT4991" s="1">
        <v>44354.085844907408</v>
      </c>
      <c r="AU4991" s="1">
        <v>44354.086331018516</v>
      </c>
      <c r="AV4991" t="s">
        <v>71</v>
      </c>
      <c r="AW4991" t="s">
        <v>72</v>
      </c>
      <c r="AX4991" t="s">
        <v>73</v>
      </c>
    </row>
    <row r="4992" spans="1:50" x14ac:dyDescent="0.3">
      <c r="A4992" t="str">
        <f>"202094C0100"</f>
        <v>202094C0100</v>
      </c>
      <c r="B4992" t="str">
        <f>"202094C01002"</f>
        <v>202094C01002</v>
      </c>
      <c r="C4992" t="str">
        <f t="shared" si="247"/>
        <v>20</v>
      </c>
      <c r="D4992" t="s">
        <v>67</v>
      </c>
      <c r="E4992" t="str">
        <f t="shared" si="248"/>
        <v>022</v>
      </c>
      <c r="F4992" t="s">
        <v>4913</v>
      </c>
      <c r="G4992" t="str">
        <f>"2094"</f>
        <v>2094</v>
      </c>
      <c r="H4992" t="str">
        <f>"0001"</f>
        <v>0001</v>
      </c>
      <c r="I4992" t="s">
        <v>75</v>
      </c>
      <c r="J4992">
        <v>0</v>
      </c>
      <c r="K4992">
        <v>1</v>
      </c>
      <c r="L4992">
        <v>2</v>
      </c>
      <c r="M4992">
        <v>300</v>
      </c>
      <c r="N4992">
        <v>377</v>
      </c>
      <c r="O4992">
        <v>4</v>
      </c>
      <c r="P4992">
        <v>378</v>
      </c>
      <c r="Q4992">
        <v>6</v>
      </c>
      <c r="R4992">
        <v>53</v>
      </c>
      <c r="S4992">
        <v>93</v>
      </c>
      <c r="T4992">
        <v>2</v>
      </c>
      <c r="U4992">
        <v>26</v>
      </c>
      <c r="V4992">
        <v>4</v>
      </c>
      <c r="W4992">
        <v>3</v>
      </c>
      <c r="X4992">
        <v>157</v>
      </c>
      <c r="Y4992">
        <v>10</v>
      </c>
      <c r="Z4992">
        <v>0</v>
      </c>
      <c r="AA4992">
        <v>3</v>
      </c>
      <c r="AB4992">
        <v>12</v>
      </c>
      <c r="AD4992" t="s">
        <v>77</v>
      </c>
      <c r="AE4992" t="s">
        <v>77</v>
      </c>
      <c r="AF4992" t="s">
        <v>77</v>
      </c>
      <c r="AG4992">
        <v>2</v>
      </c>
      <c r="AI4992" t="s">
        <v>77</v>
      </c>
      <c r="AJ4992">
        <v>7</v>
      </c>
      <c r="AK4992">
        <v>378</v>
      </c>
      <c r="AL4992">
        <v>378</v>
      </c>
      <c r="AM4992">
        <v>633</v>
      </c>
      <c r="AN4992">
        <v>44</v>
      </c>
      <c r="AO4992" t="s">
        <v>78</v>
      </c>
      <c r="AP4992">
        <v>1</v>
      </c>
      <c r="AR4992" t="s">
        <v>5095</v>
      </c>
      <c r="AS4992" s="1">
        <v>44354.075694444444</v>
      </c>
      <c r="AT4992" s="1">
        <v>44354.087129629632</v>
      </c>
      <c r="AU4992" s="1">
        <v>44354.088449074072</v>
      </c>
      <c r="AV4992" t="s">
        <v>71</v>
      </c>
      <c r="AW4992" t="s">
        <v>72</v>
      </c>
      <c r="AX4992" t="s">
        <v>73</v>
      </c>
    </row>
    <row r="4993" spans="1:50" x14ac:dyDescent="0.3">
      <c r="A4993" t="str">
        <f>"202094C0200"</f>
        <v>202094C0200</v>
      </c>
      <c r="B4993" t="str">
        <f>"202094C02002"</f>
        <v>202094C02002</v>
      </c>
      <c r="C4993" t="str">
        <f t="shared" si="247"/>
        <v>20</v>
      </c>
      <c r="D4993" t="s">
        <v>67</v>
      </c>
      <c r="E4993" t="str">
        <f t="shared" si="248"/>
        <v>022</v>
      </c>
      <c r="F4993" t="s">
        <v>4913</v>
      </c>
      <c r="G4993" t="str">
        <f>"2094"</f>
        <v>2094</v>
      </c>
      <c r="H4993" t="str">
        <f>"0002"</f>
        <v>0002</v>
      </c>
      <c r="I4993" t="s">
        <v>75</v>
      </c>
      <c r="J4993">
        <v>0</v>
      </c>
      <c r="K4993">
        <v>1</v>
      </c>
      <c r="L4993">
        <v>2</v>
      </c>
      <c r="M4993">
        <v>319</v>
      </c>
      <c r="N4993">
        <v>358</v>
      </c>
      <c r="O4993">
        <v>3</v>
      </c>
      <c r="P4993">
        <v>359</v>
      </c>
      <c r="Q4993">
        <v>5</v>
      </c>
      <c r="R4993">
        <v>46</v>
      </c>
      <c r="S4993">
        <v>99</v>
      </c>
      <c r="T4993">
        <v>1</v>
      </c>
      <c r="U4993">
        <v>14</v>
      </c>
      <c r="V4993">
        <v>5</v>
      </c>
      <c r="W4993">
        <v>5</v>
      </c>
      <c r="X4993">
        <v>140</v>
      </c>
      <c r="Y4993">
        <v>8</v>
      </c>
      <c r="Z4993">
        <v>1</v>
      </c>
      <c r="AA4993">
        <v>4</v>
      </c>
      <c r="AB4993">
        <v>24</v>
      </c>
      <c r="AD4993">
        <v>1</v>
      </c>
      <c r="AE4993">
        <v>0</v>
      </c>
      <c r="AF4993">
        <v>0</v>
      </c>
      <c r="AG4993">
        <v>0</v>
      </c>
      <c r="AI4993">
        <v>1</v>
      </c>
      <c r="AJ4993">
        <v>5</v>
      </c>
      <c r="AK4993">
        <v>359</v>
      </c>
      <c r="AL4993">
        <v>359</v>
      </c>
      <c r="AM4993">
        <v>633</v>
      </c>
      <c r="AN4993">
        <v>44</v>
      </c>
      <c r="AP4993">
        <v>1</v>
      </c>
      <c r="AR4993" t="s">
        <v>5096</v>
      </c>
      <c r="AS4993" s="1">
        <v>44354.077777777777</v>
      </c>
      <c r="AT4993" s="1">
        <v>44354.085868055554</v>
      </c>
      <c r="AU4993" s="1">
        <v>44354.086678240739</v>
      </c>
      <c r="AV4993" t="s">
        <v>71</v>
      </c>
      <c r="AW4993" t="s">
        <v>72</v>
      </c>
      <c r="AX4993" t="s">
        <v>73</v>
      </c>
    </row>
    <row r="4994" spans="1:50" x14ac:dyDescent="0.3">
      <c r="A4994" t="str">
        <f>"202095B0000"</f>
        <v>202095B0000</v>
      </c>
      <c r="B4994" t="str">
        <f>"202095B00002"</f>
        <v>202095B00002</v>
      </c>
      <c r="C4994" t="str">
        <f t="shared" si="247"/>
        <v>20</v>
      </c>
      <c r="D4994" t="s">
        <v>67</v>
      </c>
      <c r="E4994" t="str">
        <f t="shared" si="248"/>
        <v>022</v>
      </c>
      <c r="F4994" t="s">
        <v>4913</v>
      </c>
      <c r="G4994" t="str">
        <f>"2095"</f>
        <v>2095</v>
      </c>
      <c r="H4994" t="str">
        <f>"0000"</f>
        <v>0000</v>
      </c>
      <c r="I4994" t="s">
        <v>69</v>
      </c>
      <c r="J4994">
        <v>0</v>
      </c>
      <c r="K4994">
        <v>1</v>
      </c>
      <c r="L4994">
        <v>2</v>
      </c>
      <c r="M4994">
        <v>277</v>
      </c>
      <c r="N4994">
        <v>392</v>
      </c>
      <c r="O4994">
        <v>4</v>
      </c>
      <c r="P4994" t="s">
        <v>80</v>
      </c>
      <c r="Q4994">
        <v>9</v>
      </c>
      <c r="R4994">
        <v>71</v>
      </c>
      <c r="S4994">
        <v>75</v>
      </c>
      <c r="T4994">
        <v>3</v>
      </c>
      <c r="U4994">
        <v>39</v>
      </c>
      <c r="V4994">
        <v>13</v>
      </c>
      <c r="W4994">
        <v>6</v>
      </c>
      <c r="X4994">
        <v>140</v>
      </c>
      <c r="Y4994">
        <v>6</v>
      </c>
      <c r="Z4994">
        <v>3</v>
      </c>
      <c r="AA4994">
        <v>6</v>
      </c>
      <c r="AB4994">
        <v>13</v>
      </c>
      <c r="AD4994">
        <v>1</v>
      </c>
      <c r="AE4994">
        <v>0</v>
      </c>
      <c r="AF4994">
        <v>0</v>
      </c>
      <c r="AG4994">
        <v>0</v>
      </c>
      <c r="AI4994">
        <v>0</v>
      </c>
      <c r="AJ4994">
        <v>6</v>
      </c>
      <c r="AK4994">
        <v>391</v>
      </c>
      <c r="AL4994">
        <v>391</v>
      </c>
      <c r="AM4994">
        <v>624</v>
      </c>
      <c r="AN4994">
        <v>44</v>
      </c>
      <c r="AP4994">
        <v>1</v>
      </c>
      <c r="AR4994" t="s">
        <v>5097</v>
      </c>
      <c r="AS4994" s="1">
        <v>44354.031944444447</v>
      </c>
      <c r="AT4994" s="1">
        <v>44354.047280092593</v>
      </c>
      <c r="AU4994" s="1">
        <v>44354.04787037037</v>
      </c>
      <c r="AV4994" t="s">
        <v>71</v>
      </c>
      <c r="AW4994" t="s">
        <v>72</v>
      </c>
      <c r="AX4994" t="s">
        <v>73</v>
      </c>
    </row>
    <row r="4995" spans="1:50" x14ac:dyDescent="0.3">
      <c r="A4995" t="str">
        <f>"202095C0100"</f>
        <v>202095C0100</v>
      </c>
      <c r="B4995" t="str">
        <f>"202095C01002"</f>
        <v>202095C01002</v>
      </c>
      <c r="C4995" t="str">
        <f t="shared" si="247"/>
        <v>20</v>
      </c>
      <c r="D4995" t="s">
        <v>67</v>
      </c>
      <c r="E4995" t="str">
        <f t="shared" si="248"/>
        <v>022</v>
      </c>
      <c r="F4995" t="s">
        <v>4913</v>
      </c>
      <c r="G4995" t="str">
        <f>"2095"</f>
        <v>2095</v>
      </c>
      <c r="H4995" t="str">
        <f>"0001"</f>
        <v>0001</v>
      </c>
      <c r="I4995" t="s">
        <v>75</v>
      </c>
      <c r="J4995">
        <v>0</v>
      </c>
      <c r="K4995">
        <v>1</v>
      </c>
      <c r="L4995">
        <v>2</v>
      </c>
      <c r="M4995">
        <v>447</v>
      </c>
      <c r="N4995" t="s">
        <v>99</v>
      </c>
      <c r="O4995">
        <v>4</v>
      </c>
      <c r="P4995" t="s">
        <v>99</v>
      </c>
      <c r="Q4995">
        <v>13</v>
      </c>
      <c r="R4995">
        <v>75</v>
      </c>
      <c r="S4995">
        <v>73</v>
      </c>
      <c r="T4995">
        <v>4</v>
      </c>
      <c r="U4995" t="s">
        <v>99</v>
      </c>
      <c r="V4995">
        <v>12</v>
      </c>
      <c r="W4995">
        <v>3</v>
      </c>
      <c r="X4995">
        <v>176</v>
      </c>
      <c r="Y4995">
        <v>6</v>
      </c>
      <c r="Z4995">
        <v>1</v>
      </c>
      <c r="AA4995">
        <v>9</v>
      </c>
      <c r="AB4995">
        <v>20</v>
      </c>
      <c r="AD4995">
        <v>0</v>
      </c>
      <c r="AE4995">
        <v>0</v>
      </c>
      <c r="AF4995">
        <v>0</v>
      </c>
      <c r="AG4995">
        <v>0</v>
      </c>
      <c r="AI4995">
        <v>0</v>
      </c>
      <c r="AJ4995">
        <v>4</v>
      </c>
      <c r="AK4995" t="s">
        <v>99</v>
      </c>
      <c r="AL4995">
        <v>396</v>
      </c>
      <c r="AM4995">
        <v>624</v>
      </c>
      <c r="AN4995">
        <v>44</v>
      </c>
      <c r="AO4995" t="s">
        <v>78</v>
      </c>
      <c r="AP4995">
        <v>1</v>
      </c>
      <c r="AR4995" t="s">
        <v>5098</v>
      </c>
      <c r="AS4995" s="1">
        <v>44354.029861111114</v>
      </c>
      <c r="AT4995" s="1">
        <v>44354.043854166666</v>
      </c>
      <c r="AU4995" s="1">
        <v>44354.083472222221</v>
      </c>
      <c r="AV4995" t="s">
        <v>71</v>
      </c>
      <c r="AW4995" t="s">
        <v>72</v>
      </c>
      <c r="AX4995" t="s">
        <v>73</v>
      </c>
    </row>
    <row r="4996" spans="1:50" x14ac:dyDescent="0.3">
      <c r="A4996" t="str">
        <f>"202096B0000"</f>
        <v>202096B0000</v>
      </c>
      <c r="B4996" t="str">
        <f>"202096B00002"</f>
        <v>202096B00002</v>
      </c>
      <c r="C4996" t="str">
        <f t="shared" si="247"/>
        <v>20</v>
      </c>
      <c r="D4996" t="s">
        <v>67</v>
      </c>
      <c r="E4996" t="str">
        <f t="shared" si="248"/>
        <v>022</v>
      </c>
      <c r="F4996" t="s">
        <v>4913</v>
      </c>
      <c r="G4996" t="str">
        <f>"2096"</f>
        <v>2096</v>
      </c>
      <c r="H4996" t="str">
        <f>"0000"</f>
        <v>0000</v>
      </c>
      <c r="I4996" t="s">
        <v>69</v>
      </c>
      <c r="J4996">
        <v>0</v>
      </c>
      <c r="K4996">
        <v>1</v>
      </c>
      <c r="L4996">
        <v>2</v>
      </c>
      <c r="M4996">
        <v>306</v>
      </c>
      <c r="N4996">
        <v>459</v>
      </c>
      <c r="O4996">
        <v>1</v>
      </c>
      <c r="P4996">
        <v>459</v>
      </c>
      <c r="Q4996">
        <v>12</v>
      </c>
      <c r="R4996">
        <v>65</v>
      </c>
      <c r="S4996">
        <v>87</v>
      </c>
      <c r="T4996">
        <v>2</v>
      </c>
      <c r="U4996">
        <v>25</v>
      </c>
      <c r="V4996">
        <v>5</v>
      </c>
      <c r="W4996">
        <v>8</v>
      </c>
      <c r="X4996">
        <v>204</v>
      </c>
      <c r="Y4996">
        <v>7</v>
      </c>
      <c r="Z4996">
        <v>2</v>
      </c>
      <c r="AA4996">
        <v>9</v>
      </c>
      <c r="AB4996">
        <v>18</v>
      </c>
      <c r="AD4996">
        <v>0</v>
      </c>
      <c r="AE4996">
        <v>0</v>
      </c>
      <c r="AF4996">
        <v>0</v>
      </c>
      <c r="AG4996">
        <v>0</v>
      </c>
      <c r="AI4996">
        <v>0</v>
      </c>
      <c r="AJ4996">
        <v>15</v>
      </c>
      <c r="AK4996">
        <v>459</v>
      </c>
      <c r="AL4996">
        <v>459</v>
      </c>
      <c r="AM4996">
        <v>721</v>
      </c>
      <c r="AN4996">
        <v>44</v>
      </c>
      <c r="AP4996">
        <v>1</v>
      </c>
      <c r="AR4996" t="s">
        <v>5099</v>
      </c>
      <c r="AS4996" s="1">
        <v>44353.982638888891</v>
      </c>
      <c r="AT4996" s="1">
        <v>44353.986400462964</v>
      </c>
      <c r="AU4996" s="1">
        <v>44353.987025462964</v>
      </c>
      <c r="AV4996" t="s">
        <v>71</v>
      </c>
      <c r="AW4996" t="s">
        <v>72</v>
      </c>
      <c r="AX4996" t="s">
        <v>73</v>
      </c>
    </row>
    <row r="4997" spans="1:50" x14ac:dyDescent="0.3">
      <c r="A4997" t="str">
        <f>"202096C0100"</f>
        <v>202096C0100</v>
      </c>
      <c r="B4997" t="str">
        <f>"202096C01002"</f>
        <v>202096C01002</v>
      </c>
      <c r="C4997" t="str">
        <f t="shared" si="247"/>
        <v>20</v>
      </c>
      <c r="D4997" t="s">
        <v>67</v>
      </c>
      <c r="E4997" t="str">
        <f t="shared" si="248"/>
        <v>022</v>
      </c>
      <c r="F4997" t="s">
        <v>4913</v>
      </c>
      <c r="G4997" t="str">
        <f>"2096"</f>
        <v>2096</v>
      </c>
      <c r="H4997" t="str">
        <f>"0001"</f>
        <v>0001</v>
      </c>
      <c r="I4997" t="s">
        <v>75</v>
      </c>
      <c r="J4997">
        <v>0</v>
      </c>
      <c r="K4997">
        <v>1</v>
      </c>
      <c r="L4997">
        <v>2</v>
      </c>
      <c r="M4997">
        <v>289</v>
      </c>
      <c r="N4997">
        <v>476</v>
      </c>
      <c r="O4997">
        <v>6</v>
      </c>
      <c r="P4997" t="s">
        <v>80</v>
      </c>
      <c r="Q4997">
        <v>7</v>
      </c>
      <c r="R4997">
        <v>60</v>
      </c>
      <c r="S4997">
        <v>100</v>
      </c>
      <c r="T4997">
        <v>6</v>
      </c>
      <c r="U4997">
        <v>16</v>
      </c>
      <c r="V4997">
        <v>13</v>
      </c>
      <c r="W4997">
        <v>3</v>
      </c>
      <c r="X4997">
        <v>216</v>
      </c>
      <c r="Y4997">
        <v>16</v>
      </c>
      <c r="Z4997">
        <v>2</v>
      </c>
      <c r="AA4997">
        <v>8</v>
      </c>
      <c r="AB4997">
        <v>12</v>
      </c>
      <c r="AD4997">
        <v>4</v>
      </c>
      <c r="AE4997">
        <v>0</v>
      </c>
      <c r="AF4997">
        <v>0</v>
      </c>
      <c r="AG4997">
        <v>0</v>
      </c>
      <c r="AI4997">
        <v>0</v>
      </c>
      <c r="AJ4997">
        <v>13</v>
      </c>
      <c r="AK4997">
        <v>476</v>
      </c>
      <c r="AL4997">
        <v>476</v>
      </c>
      <c r="AM4997">
        <v>721</v>
      </c>
      <c r="AN4997">
        <v>44</v>
      </c>
      <c r="AP4997">
        <v>1</v>
      </c>
      <c r="AR4997" t="s">
        <v>5100</v>
      </c>
      <c r="AS4997" s="1">
        <v>44354.027083333334</v>
      </c>
      <c r="AT4997" s="1">
        <v>44354.037743055553</v>
      </c>
      <c r="AU4997" s="1">
        <v>44354.038472222222</v>
      </c>
      <c r="AV4997" t="s">
        <v>71</v>
      </c>
      <c r="AW4997" t="s">
        <v>72</v>
      </c>
      <c r="AX4997" t="s">
        <v>73</v>
      </c>
    </row>
    <row r="4998" spans="1:50" x14ac:dyDescent="0.3">
      <c r="A4998" t="str">
        <f>"202097B0000"</f>
        <v>202097B0000</v>
      </c>
      <c r="B4998" t="str">
        <f>"202097B00002"</f>
        <v>202097B00002</v>
      </c>
      <c r="C4998" t="str">
        <f t="shared" si="247"/>
        <v>20</v>
      </c>
      <c r="D4998" t="s">
        <v>67</v>
      </c>
      <c r="E4998" t="str">
        <f t="shared" si="248"/>
        <v>022</v>
      </c>
      <c r="F4998" t="s">
        <v>4913</v>
      </c>
      <c r="G4998" t="str">
        <f>"2097"</f>
        <v>2097</v>
      </c>
      <c r="H4998" t="str">
        <f>"0000"</f>
        <v>0000</v>
      </c>
      <c r="I4998" t="s">
        <v>69</v>
      </c>
      <c r="J4998">
        <v>0</v>
      </c>
      <c r="K4998">
        <v>1</v>
      </c>
      <c r="L4998">
        <v>2</v>
      </c>
      <c r="M4998">
        <v>299</v>
      </c>
      <c r="N4998">
        <v>464</v>
      </c>
      <c r="O4998">
        <v>8</v>
      </c>
      <c r="P4998">
        <v>464</v>
      </c>
      <c r="Q4998">
        <v>8</v>
      </c>
      <c r="R4998">
        <v>83</v>
      </c>
      <c r="S4998">
        <v>118</v>
      </c>
      <c r="T4998">
        <v>2</v>
      </c>
      <c r="U4998">
        <v>17</v>
      </c>
      <c r="V4998">
        <v>8</v>
      </c>
      <c r="W4998">
        <v>11</v>
      </c>
      <c r="X4998">
        <v>170</v>
      </c>
      <c r="Y4998">
        <v>4</v>
      </c>
      <c r="Z4998">
        <v>2</v>
      </c>
      <c r="AA4998">
        <v>9</v>
      </c>
      <c r="AB4998">
        <v>17</v>
      </c>
      <c r="AD4998">
        <v>1</v>
      </c>
      <c r="AE4998">
        <v>1</v>
      </c>
      <c r="AF4998">
        <v>0</v>
      </c>
      <c r="AG4998">
        <v>0</v>
      </c>
      <c r="AI4998">
        <v>0</v>
      </c>
      <c r="AJ4998">
        <v>13</v>
      </c>
      <c r="AK4998">
        <v>464</v>
      </c>
      <c r="AL4998">
        <v>464</v>
      </c>
      <c r="AM4998">
        <v>720</v>
      </c>
      <c r="AN4998">
        <v>44</v>
      </c>
      <c r="AP4998">
        <v>1</v>
      </c>
      <c r="AR4998" t="s">
        <v>5101</v>
      </c>
      <c r="AS4998" s="1">
        <v>44354.051388888889</v>
      </c>
      <c r="AT4998" s="1">
        <v>44354.061678240738</v>
      </c>
      <c r="AU4998" s="1">
        <v>44354.062384259261</v>
      </c>
      <c r="AV4998" t="s">
        <v>71</v>
      </c>
      <c r="AW4998" t="s">
        <v>72</v>
      </c>
      <c r="AX4998" t="s">
        <v>347</v>
      </c>
    </row>
    <row r="4999" spans="1:50" x14ac:dyDescent="0.3">
      <c r="A4999" t="str">
        <f>"202097C0100"</f>
        <v>202097C0100</v>
      </c>
      <c r="B4999" t="str">
        <f>"202097C01002"</f>
        <v>202097C01002</v>
      </c>
      <c r="C4999" t="str">
        <f t="shared" ref="C4999:C5062" si="249">"20"</f>
        <v>20</v>
      </c>
      <c r="D4999" t="s">
        <v>67</v>
      </c>
      <c r="E4999" t="str">
        <f t="shared" si="248"/>
        <v>022</v>
      </c>
      <c r="F4999" t="s">
        <v>4913</v>
      </c>
      <c r="G4999" t="str">
        <f>"2097"</f>
        <v>2097</v>
      </c>
      <c r="H4999" t="str">
        <f>"0001"</f>
        <v>0001</v>
      </c>
      <c r="I4999" t="s">
        <v>75</v>
      </c>
      <c r="J4999">
        <v>0</v>
      </c>
      <c r="K4999">
        <v>1</v>
      </c>
      <c r="L4999">
        <v>2</v>
      </c>
      <c r="M4999">
        <v>336</v>
      </c>
      <c r="N4999">
        <v>430</v>
      </c>
      <c r="O4999">
        <v>3</v>
      </c>
      <c r="P4999">
        <v>430</v>
      </c>
      <c r="Q4999">
        <v>5</v>
      </c>
      <c r="R4999">
        <v>90</v>
      </c>
      <c r="S4999">
        <v>94</v>
      </c>
      <c r="T4999">
        <v>3</v>
      </c>
      <c r="U4999">
        <v>8</v>
      </c>
      <c r="V4999">
        <v>4</v>
      </c>
      <c r="W4999">
        <v>5</v>
      </c>
      <c r="X4999">
        <v>178</v>
      </c>
      <c r="Y4999">
        <v>7</v>
      </c>
      <c r="Z4999">
        <v>1</v>
      </c>
      <c r="AA4999">
        <v>8</v>
      </c>
      <c r="AB4999">
        <v>10</v>
      </c>
      <c r="AD4999">
        <v>2</v>
      </c>
      <c r="AE4999">
        <v>2</v>
      </c>
      <c r="AF4999">
        <v>0</v>
      </c>
      <c r="AG4999">
        <v>0</v>
      </c>
      <c r="AI4999">
        <v>0</v>
      </c>
      <c r="AJ4999">
        <v>13</v>
      </c>
      <c r="AK4999">
        <v>430</v>
      </c>
      <c r="AL4999">
        <v>430</v>
      </c>
      <c r="AM4999">
        <v>719</v>
      </c>
      <c r="AN4999">
        <v>44</v>
      </c>
      <c r="AP4999">
        <v>1</v>
      </c>
      <c r="AR4999" t="s">
        <v>5102</v>
      </c>
      <c r="AS4999" s="1">
        <v>44354.027777777781</v>
      </c>
      <c r="AT4999" s="1">
        <v>44354.035381944443</v>
      </c>
      <c r="AU4999" s="1">
        <v>44354.036215277774</v>
      </c>
      <c r="AV4999" t="s">
        <v>71</v>
      </c>
      <c r="AW4999" t="s">
        <v>72</v>
      </c>
      <c r="AX4999" t="s">
        <v>73</v>
      </c>
    </row>
    <row r="5000" spans="1:50" x14ac:dyDescent="0.3">
      <c r="A5000" t="str">
        <f>"202097C0200"</f>
        <v>202097C0200</v>
      </c>
      <c r="B5000" t="str">
        <f>"202097C02002"</f>
        <v>202097C02002</v>
      </c>
      <c r="C5000" t="str">
        <f t="shared" si="249"/>
        <v>20</v>
      </c>
      <c r="D5000" t="s">
        <v>67</v>
      </c>
      <c r="E5000" t="str">
        <f t="shared" si="248"/>
        <v>022</v>
      </c>
      <c r="F5000" t="s">
        <v>4913</v>
      </c>
      <c r="G5000" t="str">
        <f>"2097"</f>
        <v>2097</v>
      </c>
      <c r="H5000" t="str">
        <f>"0002"</f>
        <v>0002</v>
      </c>
      <c r="I5000" t="s">
        <v>75</v>
      </c>
      <c r="J5000">
        <v>0</v>
      </c>
      <c r="K5000">
        <v>1</v>
      </c>
      <c r="L5000">
        <v>2</v>
      </c>
      <c r="M5000">
        <v>317</v>
      </c>
      <c r="N5000">
        <v>446</v>
      </c>
      <c r="O5000">
        <v>2</v>
      </c>
      <c r="P5000">
        <v>444</v>
      </c>
      <c r="Q5000">
        <v>5</v>
      </c>
      <c r="R5000">
        <v>94</v>
      </c>
      <c r="S5000">
        <v>93</v>
      </c>
      <c r="T5000">
        <v>0</v>
      </c>
      <c r="U5000">
        <v>8</v>
      </c>
      <c r="V5000">
        <v>4</v>
      </c>
      <c r="W5000">
        <v>3</v>
      </c>
      <c r="X5000">
        <v>195</v>
      </c>
      <c r="Y5000">
        <v>15</v>
      </c>
      <c r="Z5000">
        <v>0</v>
      </c>
      <c r="AA5000">
        <v>7</v>
      </c>
      <c r="AB5000">
        <v>9</v>
      </c>
      <c r="AD5000">
        <v>1</v>
      </c>
      <c r="AE5000">
        <v>0</v>
      </c>
      <c r="AF5000">
        <v>0</v>
      </c>
      <c r="AG5000">
        <v>1</v>
      </c>
      <c r="AI5000">
        <v>0</v>
      </c>
      <c r="AJ5000">
        <v>9</v>
      </c>
      <c r="AK5000">
        <v>444</v>
      </c>
      <c r="AL5000">
        <v>444</v>
      </c>
      <c r="AM5000">
        <v>719</v>
      </c>
      <c r="AN5000">
        <v>44</v>
      </c>
      <c r="AP5000">
        <v>1</v>
      </c>
      <c r="AR5000" t="s">
        <v>5103</v>
      </c>
      <c r="AS5000" s="1">
        <v>44354.051388888889</v>
      </c>
      <c r="AT5000" s="1">
        <v>44354.059074074074</v>
      </c>
      <c r="AU5000" s="1">
        <v>44354.059398148151</v>
      </c>
      <c r="AV5000" t="s">
        <v>71</v>
      </c>
      <c r="AW5000" t="s">
        <v>72</v>
      </c>
      <c r="AX5000" t="s">
        <v>73</v>
      </c>
    </row>
    <row r="5001" spans="1:50" x14ac:dyDescent="0.3">
      <c r="A5001" t="str">
        <f>"202098B0000"</f>
        <v>202098B0000</v>
      </c>
      <c r="B5001" t="str">
        <f>"202098B00002"</f>
        <v>202098B00002</v>
      </c>
      <c r="C5001" t="str">
        <f t="shared" si="249"/>
        <v>20</v>
      </c>
      <c r="D5001" t="s">
        <v>67</v>
      </c>
      <c r="E5001" t="str">
        <f t="shared" si="248"/>
        <v>022</v>
      </c>
      <c r="F5001" t="s">
        <v>4913</v>
      </c>
      <c r="G5001" t="str">
        <f>"2098"</f>
        <v>2098</v>
      </c>
      <c r="H5001" t="str">
        <f>"0000"</f>
        <v>0000</v>
      </c>
      <c r="I5001" t="s">
        <v>69</v>
      </c>
      <c r="J5001">
        <v>0</v>
      </c>
      <c r="K5001">
        <v>1</v>
      </c>
      <c r="L5001">
        <v>2</v>
      </c>
      <c r="M5001">
        <v>330</v>
      </c>
      <c r="N5001">
        <v>364</v>
      </c>
      <c r="O5001">
        <v>3</v>
      </c>
      <c r="P5001">
        <v>364</v>
      </c>
      <c r="Q5001">
        <v>4</v>
      </c>
      <c r="R5001">
        <v>60</v>
      </c>
      <c r="S5001">
        <v>71</v>
      </c>
      <c r="T5001">
        <v>2</v>
      </c>
      <c r="U5001">
        <v>7</v>
      </c>
      <c r="V5001">
        <v>11</v>
      </c>
      <c r="W5001">
        <v>2</v>
      </c>
      <c r="X5001">
        <v>42</v>
      </c>
      <c r="Y5001">
        <v>18</v>
      </c>
      <c r="Z5001">
        <v>6</v>
      </c>
      <c r="AA5001">
        <v>6</v>
      </c>
      <c r="AB5001">
        <v>8</v>
      </c>
      <c r="AD5001">
        <v>0</v>
      </c>
      <c r="AE5001">
        <v>0</v>
      </c>
      <c r="AF5001">
        <v>0</v>
      </c>
      <c r="AG5001">
        <v>0</v>
      </c>
      <c r="AI5001">
        <v>0</v>
      </c>
      <c r="AJ5001">
        <v>27</v>
      </c>
      <c r="AK5001">
        <v>364</v>
      </c>
      <c r="AL5001">
        <v>264</v>
      </c>
      <c r="AM5001">
        <v>650</v>
      </c>
      <c r="AN5001">
        <v>44</v>
      </c>
      <c r="AP5001">
        <v>1</v>
      </c>
      <c r="AR5001" t="s">
        <v>5104</v>
      </c>
      <c r="AS5001" s="1">
        <v>44354.085416666669</v>
      </c>
      <c r="AT5001" s="1">
        <v>44354.105821759258</v>
      </c>
      <c r="AU5001" s="1">
        <v>44354.106377314813</v>
      </c>
      <c r="AV5001" t="s">
        <v>71</v>
      </c>
      <c r="AW5001" t="s">
        <v>72</v>
      </c>
      <c r="AX5001" t="s">
        <v>73</v>
      </c>
    </row>
    <row r="5002" spans="1:50" x14ac:dyDescent="0.3">
      <c r="A5002" t="str">
        <f>"202098C0100"</f>
        <v>202098C0100</v>
      </c>
      <c r="B5002" t="str">
        <f>"202098C01002"</f>
        <v>202098C01002</v>
      </c>
      <c r="C5002" t="str">
        <f t="shared" si="249"/>
        <v>20</v>
      </c>
      <c r="D5002" t="s">
        <v>67</v>
      </c>
      <c r="E5002" t="str">
        <f t="shared" si="248"/>
        <v>022</v>
      </c>
      <c r="F5002" t="s">
        <v>4913</v>
      </c>
      <c r="G5002" t="str">
        <f>"2098"</f>
        <v>2098</v>
      </c>
      <c r="H5002" t="str">
        <f>"0001"</f>
        <v>0001</v>
      </c>
      <c r="I5002" t="s">
        <v>75</v>
      </c>
      <c r="J5002">
        <v>0</v>
      </c>
      <c r="K5002">
        <v>1</v>
      </c>
      <c r="L5002">
        <v>2</v>
      </c>
      <c r="M5002">
        <v>300</v>
      </c>
      <c r="N5002">
        <v>394</v>
      </c>
      <c r="O5002">
        <v>7</v>
      </c>
      <c r="P5002">
        <v>394</v>
      </c>
      <c r="Q5002">
        <v>9</v>
      </c>
      <c r="R5002">
        <v>56</v>
      </c>
      <c r="S5002">
        <v>79</v>
      </c>
      <c r="T5002">
        <v>5</v>
      </c>
      <c r="U5002">
        <v>6</v>
      </c>
      <c r="V5002">
        <v>9</v>
      </c>
      <c r="W5002">
        <v>9</v>
      </c>
      <c r="X5002">
        <v>154</v>
      </c>
      <c r="Y5002">
        <v>29</v>
      </c>
      <c r="Z5002">
        <v>1</v>
      </c>
      <c r="AA5002">
        <v>9</v>
      </c>
      <c r="AB5002">
        <v>7</v>
      </c>
      <c r="AD5002">
        <v>1</v>
      </c>
      <c r="AE5002">
        <v>0</v>
      </c>
      <c r="AF5002">
        <v>0</v>
      </c>
      <c r="AG5002">
        <v>0</v>
      </c>
      <c r="AI5002">
        <v>0</v>
      </c>
      <c r="AJ5002">
        <v>20</v>
      </c>
      <c r="AK5002">
        <v>394</v>
      </c>
      <c r="AL5002">
        <v>394</v>
      </c>
      <c r="AM5002">
        <v>650</v>
      </c>
      <c r="AN5002">
        <v>44</v>
      </c>
      <c r="AP5002">
        <v>1</v>
      </c>
      <c r="AR5002" t="s">
        <v>5105</v>
      </c>
      <c r="AS5002" s="1">
        <v>44354.084722222222</v>
      </c>
      <c r="AT5002" s="1">
        <v>44354.092650462961</v>
      </c>
      <c r="AU5002" s="1">
        <v>44354.093240740738</v>
      </c>
      <c r="AV5002" t="s">
        <v>71</v>
      </c>
      <c r="AW5002" t="s">
        <v>72</v>
      </c>
      <c r="AX5002" t="s">
        <v>73</v>
      </c>
    </row>
    <row r="5003" spans="1:50" x14ac:dyDescent="0.3">
      <c r="A5003" t="str">
        <f>"202098C0200"</f>
        <v>202098C0200</v>
      </c>
      <c r="B5003" t="str">
        <f>"202098C02002"</f>
        <v>202098C02002</v>
      </c>
      <c r="C5003" t="str">
        <f t="shared" si="249"/>
        <v>20</v>
      </c>
      <c r="D5003" t="s">
        <v>67</v>
      </c>
      <c r="E5003" t="str">
        <f t="shared" ref="E5003:E5053" si="250">"022"</f>
        <v>022</v>
      </c>
      <c r="F5003" t="s">
        <v>4913</v>
      </c>
      <c r="G5003" t="str">
        <f>"2098"</f>
        <v>2098</v>
      </c>
      <c r="H5003" t="str">
        <f>"0002"</f>
        <v>0002</v>
      </c>
      <c r="I5003" t="s">
        <v>75</v>
      </c>
      <c r="J5003">
        <v>0</v>
      </c>
      <c r="K5003">
        <v>1</v>
      </c>
      <c r="L5003">
        <v>2</v>
      </c>
      <c r="M5003">
        <v>317</v>
      </c>
      <c r="N5003">
        <v>377</v>
      </c>
      <c r="O5003">
        <v>9</v>
      </c>
      <c r="P5003">
        <v>377</v>
      </c>
      <c r="Q5003">
        <v>6</v>
      </c>
      <c r="R5003">
        <v>47</v>
      </c>
      <c r="S5003">
        <v>70</v>
      </c>
      <c r="T5003">
        <v>3</v>
      </c>
      <c r="U5003">
        <v>7</v>
      </c>
      <c r="V5003">
        <v>12</v>
      </c>
      <c r="W5003">
        <v>10</v>
      </c>
      <c r="X5003">
        <v>147</v>
      </c>
      <c r="Y5003">
        <v>32</v>
      </c>
      <c r="Z5003">
        <v>5</v>
      </c>
      <c r="AA5003">
        <v>13</v>
      </c>
      <c r="AB5003">
        <v>9</v>
      </c>
      <c r="AD5003">
        <v>2</v>
      </c>
      <c r="AE5003">
        <v>0</v>
      </c>
      <c r="AF5003">
        <v>0</v>
      </c>
      <c r="AG5003">
        <v>0</v>
      </c>
      <c r="AI5003">
        <v>0</v>
      </c>
      <c r="AJ5003">
        <v>14</v>
      </c>
      <c r="AK5003">
        <v>377</v>
      </c>
      <c r="AL5003">
        <v>377</v>
      </c>
      <c r="AM5003">
        <v>650</v>
      </c>
      <c r="AN5003">
        <v>44</v>
      </c>
      <c r="AP5003">
        <v>1</v>
      </c>
      <c r="AR5003" t="s">
        <v>5106</v>
      </c>
      <c r="AS5003" s="1">
        <v>44354.082638888889</v>
      </c>
      <c r="AT5003" s="1">
        <v>44354.090462962966</v>
      </c>
      <c r="AU5003" s="1">
        <v>44354.092164351852</v>
      </c>
      <c r="AV5003" t="s">
        <v>71</v>
      </c>
      <c r="AW5003" t="s">
        <v>72</v>
      </c>
      <c r="AX5003" t="s">
        <v>73</v>
      </c>
    </row>
    <row r="5004" spans="1:50" x14ac:dyDescent="0.3">
      <c r="A5004" t="str">
        <f>"202098C0300"</f>
        <v>202098C0300</v>
      </c>
      <c r="B5004" t="str">
        <f>"202098C03002"</f>
        <v>202098C03002</v>
      </c>
      <c r="C5004" t="str">
        <f t="shared" si="249"/>
        <v>20</v>
      </c>
      <c r="D5004" t="s">
        <v>67</v>
      </c>
      <c r="E5004" t="str">
        <f t="shared" si="250"/>
        <v>022</v>
      </c>
      <c r="F5004" t="s">
        <v>4913</v>
      </c>
      <c r="G5004" t="str">
        <f>"2098"</f>
        <v>2098</v>
      </c>
      <c r="H5004" t="str">
        <f>"0003"</f>
        <v>0003</v>
      </c>
      <c r="I5004" t="s">
        <v>75</v>
      </c>
      <c r="J5004">
        <v>0</v>
      </c>
      <c r="K5004">
        <v>1</v>
      </c>
      <c r="L5004">
        <v>2</v>
      </c>
      <c r="M5004">
        <v>317</v>
      </c>
      <c r="N5004">
        <v>377</v>
      </c>
      <c r="O5004">
        <v>3</v>
      </c>
      <c r="P5004">
        <v>377</v>
      </c>
      <c r="Q5004">
        <v>4</v>
      </c>
      <c r="R5004">
        <v>59</v>
      </c>
      <c r="S5004">
        <v>77</v>
      </c>
      <c r="T5004">
        <v>7</v>
      </c>
      <c r="U5004">
        <v>9</v>
      </c>
      <c r="V5004">
        <v>7</v>
      </c>
      <c r="W5004">
        <v>4</v>
      </c>
      <c r="X5004">
        <v>161</v>
      </c>
      <c r="Y5004">
        <v>10</v>
      </c>
      <c r="Z5004">
        <v>5</v>
      </c>
      <c r="AA5004">
        <v>5</v>
      </c>
      <c r="AB5004">
        <v>9</v>
      </c>
      <c r="AD5004">
        <v>0</v>
      </c>
      <c r="AE5004">
        <v>0</v>
      </c>
      <c r="AF5004">
        <v>0</v>
      </c>
      <c r="AG5004">
        <v>0</v>
      </c>
      <c r="AI5004">
        <v>0</v>
      </c>
      <c r="AJ5004">
        <v>20</v>
      </c>
      <c r="AK5004">
        <v>377</v>
      </c>
      <c r="AL5004">
        <v>377</v>
      </c>
      <c r="AM5004">
        <v>650</v>
      </c>
      <c r="AN5004">
        <v>44</v>
      </c>
      <c r="AP5004">
        <v>1</v>
      </c>
      <c r="AR5004" t="s">
        <v>5107</v>
      </c>
      <c r="AS5004" s="1">
        <v>44354.083333333336</v>
      </c>
      <c r="AT5004" s="1">
        <v>44354.091064814813</v>
      </c>
      <c r="AU5004" s="1">
        <v>44354.091504629629</v>
      </c>
      <c r="AV5004" t="s">
        <v>71</v>
      </c>
      <c r="AW5004" t="s">
        <v>72</v>
      </c>
      <c r="AX5004" t="s">
        <v>73</v>
      </c>
    </row>
    <row r="5005" spans="1:50" x14ac:dyDescent="0.3">
      <c r="A5005" t="str">
        <f>"202099B0000"</f>
        <v>202099B0000</v>
      </c>
      <c r="B5005" t="str">
        <f>"202099B00002"</f>
        <v>202099B00002</v>
      </c>
      <c r="C5005" t="str">
        <f t="shared" si="249"/>
        <v>20</v>
      </c>
      <c r="D5005" t="s">
        <v>67</v>
      </c>
      <c r="E5005" t="str">
        <f t="shared" si="250"/>
        <v>022</v>
      </c>
      <c r="F5005" t="s">
        <v>4913</v>
      </c>
      <c r="G5005" t="str">
        <f>"2099"</f>
        <v>2099</v>
      </c>
      <c r="H5005" t="str">
        <f>"0000"</f>
        <v>0000</v>
      </c>
      <c r="I5005" t="s">
        <v>69</v>
      </c>
      <c r="J5005">
        <v>0</v>
      </c>
      <c r="K5005">
        <v>1</v>
      </c>
      <c r="L5005">
        <v>2</v>
      </c>
      <c r="M5005">
        <v>289</v>
      </c>
      <c r="N5005">
        <v>383</v>
      </c>
      <c r="O5005">
        <v>3</v>
      </c>
      <c r="P5005">
        <v>383</v>
      </c>
      <c r="Q5005">
        <v>3</v>
      </c>
      <c r="R5005">
        <v>60</v>
      </c>
      <c r="S5005">
        <v>99</v>
      </c>
      <c r="T5005">
        <v>2</v>
      </c>
      <c r="U5005">
        <v>20</v>
      </c>
      <c r="V5005">
        <v>12</v>
      </c>
      <c r="W5005">
        <v>8</v>
      </c>
      <c r="X5005">
        <v>135</v>
      </c>
      <c r="Y5005">
        <v>8</v>
      </c>
      <c r="Z5005">
        <v>3</v>
      </c>
      <c r="AA5005">
        <v>11</v>
      </c>
      <c r="AB5005">
        <v>8</v>
      </c>
      <c r="AD5005" t="s">
        <v>77</v>
      </c>
      <c r="AE5005" t="s">
        <v>77</v>
      </c>
      <c r="AF5005" t="s">
        <v>77</v>
      </c>
      <c r="AG5005" t="s">
        <v>77</v>
      </c>
      <c r="AI5005" t="s">
        <v>77</v>
      </c>
      <c r="AJ5005">
        <v>14</v>
      </c>
      <c r="AK5005">
        <v>383</v>
      </c>
      <c r="AL5005">
        <v>383</v>
      </c>
      <c r="AM5005">
        <v>628</v>
      </c>
      <c r="AN5005">
        <v>44</v>
      </c>
      <c r="AO5005" t="s">
        <v>78</v>
      </c>
      <c r="AP5005">
        <v>1</v>
      </c>
      <c r="AR5005" t="s">
        <v>5108</v>
      </c>
      <c r="AS5005" s="1">
        <v>44353.876944444448</v>
      </c>
      <c r="AT5005" s="1">
        <v>44353.880370370367</v>
      </c>
      <c r="AU5005" s="1">
        <v>44353.881620370368</v>
      </c>
      <c r="AV5005" t="s">
        <v>269</v>
      </c>
      <c r="AW5005" t="s">
        <v>270</v>
      </c>
      <c r="AX5005" t="s">
        <v>73</v>
      </c>
    </row>
    <row r="5006" spans="1:50" x14ac:dyDescent="0.3">
      <c r="A5006" t="str">
        <f>"202099C0100"</f>
        <v>202099C0100</v>
      </c>
      <c r="B5006" t="str">
        <f>"202099C01002"</f>
        <v>202099C01002</v>
      </c>
      <c r="C5006" t="str">
        <f t="shared" si="249"/>
        <v>20</v>
      </c>
      <c r="D5006" t="s">
        <v>67</v>
      </c>
      <c r="E5006" t="str">
        <f t="shared" si="250"/>
        <v>022</v>
      </c>
      <c r="F5006" t="s">
        <v>4913</v>
      </c>
      <c r="G5006" t="str">
        <f>"2099"</f>
        <v>2099</v>
      </c>
      <c r="H5006" t="str">
        <f>"0001"</f>
        <v>0001</v>
      </c>
      <c r="I5006" t="s">
        <v>75</v>
      </c>
      <c r="J5006">
        <v>0</v>
      </c>
      <c r="K5006">
        <v>1</v>
      </c>
      <c r="L5006">
        <v>2</v>
      </c>
      <c r="M5006">
        <v>252</v>
      </c>
      <c r="N5006">
        <v>420</v>
      </c>
      <c r="O5006">
        <v>2</v>
      </c>
      <c r="P5006">
        <v>420</v>
      </c>
      <c r="Q5006">
        <v>7</v>
      </c>
      <c r="R5006">
        <v>66</v>
      </c>
      <c r="S5006">
        <v>136</v>
      </c>
      <c r="T5006">
        <v>2</v>
      </c>
      <c r="U5006">
        <v>2</v>
      </c>
      <c r="V5006">
        <v>21</v>
      </c>
      <c r="W5006">
        <v>150</v>
      </c>
      <c r="X5006">
        <v>150</v>
      </c>
      <c r="Y5006">
        <v>0</v>
      </c>
      <c r="Z5006">
        <v>8</v>
      </c>
      <c r="AA5006">
        <v>4</v>
      </c>
      <c r="AB5006">
        <v>4</v>
      </c>
      <c r="AD5006">
        <v>0</v>
      </c>
      <c r="AE5006">
        <v>0</v>
      </c>
      <c r="AF5006">
        <v>0</v>
      </c>
      <c r="AG5006">
        <v>0</v>
      </c>
      <c r="AI5006">
        <v>0</v>
      </c>
      <c r="AJ5006">
        <v>5</v>
      </c>
      <c r="AK5006">
        <v>420</v>
      </c>
      <c r="AL5006">
        <v>555</v>
      </c>
      <c r="AM5006">
        <v>628</v>
      </c>
      <c r="AN5006">
        <v>44</v>
      </c>
      <c r="AP5006">
        <v>1</v>
      </c>
      <c r="AR5006" t="s">
        <v>5109</v>
      </c>
      <c r="AS5006" s="1">
        <v>44353.879884259259</v>
      </c>
      <c r="AT5006" s="1">
        <v>44353.88994212963</v>
      </c>
      <c r="AU5006" s="1">
        <v>44353.898622685185</v>
      </c>
      <c r="AV5006" t="s">
        <v>269</v>
      </c>
      <c r="AW5006" t="s">
        <v>270</v>
      </c>
      <c r="AX5006" t="s">
        <v>73</v>
      </c>
    </row>
    <row r="5007" spans="1:50" x14ac:dyDescent="0.3">
      <c r="A5007" t="str">
        <f>"202099C0200"</f>
        <v>202099C0200</v>
      </c>
      <c r="B5007" t="str">
        <f>"202099C02002"</f>
        <v>202099C02002</v>
      </c>
      <c r="C5007" t="str">
        <f t="shared" si="249"/>
        <v>20</v>
      </c>
      <c r="D5007" t="s">
        <v>67</v>
      </c>
      <c r="E5007" t="str">
        <f t="shared" si="250"/>
        <v>022</v>
      </c>
      <c r="F5007" t="s">
        <v>4913</v>
      </c>
      <c r="G5007" t="str">
        <f>"2099"</f>
        <v>2099</v>
      </c>
      <c r="H5007" t="str">
        <f>"0002"</f>
        <v>0002</v>
      </c>
      <c r="I5007" t="s">
        <v>75</v>
      </c>
      <c r="J5007">
        <v>0</v>
      </c>
      <c r="K5007">
        <v>1</v>
      </c>
      <c r="L5007">
        <v>2</v>
      </c>
      <c r="M5007">
        <v>285</v>
      </c>
      <c r="N5007">
        <v>387</v>
      </c>
      <c r="O5007">
        <v>1</v>
      </c>
      <c r="P5007">
        <v>382</v>
      </c>
      <c r="Q5007">
        <v>4</v>
      </c>
      <c r="R5007">
        <v>66</v>
      </c>
      <c r="S5007">
        <v>77</v>
      </c>
      <c r="T5007">
        <v>4</v>
      </c>
      <c r="U5007">
        <v>13</v>
      </c>
      <c r="V5007">
        <v>1</v>
      </c>
      <c r="W5007">
        <v>14</v>
      </c>
      <c r="X5007">
        <v>169</v>
      </c>
      <c r="Y5007">
        <v>2</v>
      </c>
      <c r="Z5007">
        <v>3</v>
      </c>
      <c r="AA5007">
        <v>11</v>
      </c>
      <c r="AB5007">
        <v>4</v>
      </c>
      <c r="AD5007">
        <v>3</v>
      </c>
      <c r="AE5007">
        <v>0</v>
      </c>
      <c r="AF5007">
        <v>0</v>
      </c>
      <c r="AG5007">
        <v>0</v>
      </c>
      <c r="AI5007">
        <v>0</v>
      </c>
      <c r="AJ5007">
        <v>11</v>
      </c>
      <c r="AK5007">
        <v>382</v>
      </c>
      <c r="AL5007">
        <v>382</v>
      </c>
      <c r="AM5007">
        <v>628</v>
      </c>
      <c r="AN5007">
        <v>44</v>
      </c>
      <c r="AP5007">
        <v>1</v>
      </c>
      <c r="AR5007" t="s">
        <v>5110</v>
      </c>
      <c r="AS5007" s="1">
        <v>44353.883067129631</v>
      </c>
      <c r="AT5007" s="1">
        <v>44353.88517361111</v>
      </c>
      <c r="AU5007" s="1">
        <v>44353.885671296295</v>
      </c>
      <c r="AV5007" t="s">
        <v>269</v>
      </c>
      <c r="AW5007" t="s">
        <v>270</v>
      </c>
      <c r="AX5007" t="s">
        <v>73</v>
      </c>
    </row>
    <row r="5008" spans="1:50" x14ac:dyDescent="0.3">
      <c r="A5008" t="str">
        <f>"202099C0300"</f>
        <v>202099C0300</v>
      </c>
      <c r="B5008" t="str">
        <f>"202099C03002"</f>
        <v>202099C03002</v>
      </c>
      <c r="C5008" t="str">
        <f t="shared" si="249"/>
        <v>20</v>
      </c>
      <c r="D5008" t="s">
        <v>67</v>
      </c>
      <c r="E5008" t="str">
        <f t="shared" si="250"/>
        <v>022</v>
      </c>
      <c r="F5008" t="s">
        <v>4913</v>
      </c>
      <c r="G5008" t="str">
        <f>"2099"</f>
        <v>2099</v>
      </c>
      <c r="H5008" t="str">
        <f>"0003"</f>
        <v>0003</v>
      </c>
      <c r="I5008" t="s">
        <v>75</v>
      </c>
      <c r="J5008">
        <v>0</v>
      </c>
      <c r="K5008">
        <v>1</v>
      </c>
      <c r="L5008">
        <v>2</v>
      </c>
      <c r="M5008">
        <v>260</v>
      </c>
      <c r="N5008">
        <v>412</v>
      </c>
      <c r="O5008">
        <v>1</v>
      </c>
      <c r="P5008">
        <v>412</v>
      </c>
      <c r="Q5008">
        <v>7</v>
      </c>
      <c r="R5008">
        <v>74</v>
      </c>
      <c r="S5008">
        <v>113</v>
      </c>
      <c r="T5008">
        <v>1</v>
      </c>
      <c r="U5008">
        <v>18</v>
      </c>
      <c r="V5008">
        <v>7</v>
      </c>
      <c r="W5008">
        <v>21</v>
      </c>
      <c r="X5008">
        <v>121</v>
      </c>
      <c r="Y5008">
        <v>5</v>
      </c>
      <c r="Z5008">
        <v>4</v>
      </c>
      <c r="AA5008">
        <v>13</v>
      </c>
      <c r="AB5008">
        <v>16</v>
      </c>
      <c r="AD5008">
        <v>0</v>
      </c>
      <c r="AE5008">
        <v>0</v>
      </c>
      <c r="AF5008">
        <v>0</v>
      </c>
      <c r="AG5008">
        <v>0</v>
      </c>
      <c r="AI5008">
        <v>0</v>
      </c>
      <c r="AJ5008">
        <v>12</v>
      </c>
      <c r="AK5008">
        <v>412</v>
      </c>
      <c r="AL5008">
        <v>412</v>
      </c>
      <c r="AM5008">
        <v>628</v>
      </c>
      <c r="AN5008">
        <v>44</v>
      </c>
      <c r="AP5008">
        <v>1</v>
      </c>
      <c r="AR5008" t="s">
        <v>5111</v>
      </c>
      <c r="AS5008" s="1">
        <v>44353.852280092593</v>
      </c>
      <c r="AT5008" s="1">
        <v>44353.859502314815</v>
      </c>
      <c r="AU5008" s="1">
        <v>44353.860034722224</v>
      </c>
      <c r="AV5008" t="s">
        <v>269</v>
      </c>
      <c r="AW5008" t="s">
        <v>270</v>
      </c>
      <c r="AX5008" t="s">
        <v>73</v>
      </c>
    </row>
    <row r="5009" spans="1:50" x14ac:dyDescent="0.3">
      <c r="A5009" t="str">
        <f>"202100B0000"</f>
        <v>202100B0000</v>
      </c>
      <c r="B5009" t="str">
        <f>"202100B00002"</f>
        <v>202100B00002</v>
      </c>
      <c r="C5009" t="str">
        <f t="shared" si="249"/>
        <v>20</v>
      </c>
      <c r="D5009" t="s">
        <v>67</v>
      </c>
      <c r="E5009" t="str">
        <f t="shared" si="250"/>
        <v>022</v>
      </c>
      <c r="F5009" t="s">
        <v>4913</v>
      </c>
      <c r="G5009" t="str">
        <f t="shared" ref="G5009:G5014" si="251">"2100"</f>
        <v>2100</v>
      </c>
      <c r="H5009" t="str">
        <f>"0000"</f>
        <v>0000</v>
      </c>
      <c r="I5009" t="s">
        <v>69</v>
      </c>
      <c r="J5009">
        <v>0</v>
      </c>
      <c r="K5009">
        <v>1</v>
      </c>
      <c r="L5009">
        <v>2</v>
      </c>
      <c r="M5009">
        <v>333</v>
      </c>
      <c r="N5009">
        <v>401</v>
      </c>
      <c r="O5009">
        <v>5</v>
      </c>
      <c r="P5009">
        <v>401</v>
      </c>
      <c r="Q5009">
        <v>4</v>
      </c>
      <c r="R5009">
        <v>56</v>
      </c>
      <c r="S5009">
        <v>98</v>
      </c>
      <c r="T5009">
        <v>1</v>
      </c>
      <c r="U5009">
        <v>14</v>
      </c>
      <c r="V5009">
        <v>28</v>
      </c>
      <c r="W5009">
        <v>55</v>
      </c>
      <c r="X5009">
        <v>150</v>
      </c>
      <c r="Y5009">
        <v>10</v>
      </c>
      <c r="Z5009">
        <v>3</v>
      </c>
      <c r="AA5009">
        <v>7</v>
      </c>
      <c r="AB5009">
        <v>17</v>
      </c>
      <c r="AD5009" t="s">
        <v>77</v>
      </c>
      <c r="AE5009" t="s">
        <v>77</v>
      </c>
      <c r="AF5009" t="s">
        <v>77</v>
      </c>
      <c r="AG5009">
        <v>1</v>
      </c>
      <c r="AI5009" t="s">
        <v>77</v>
      </c>
      <c r="AJ5009">
        <v>7</v>
      </c>
      <c r="AK5009">
        <v>401</v>
      </c>
      <c r="AL5009">
        <v>451</v>
      </c>
      <c r="AM5009">
        <v>690</v>
      </c>
      <c r="AN5009">
        <v>44</v>
      </c>
      <c r="AO5009" t="s">
        <v>78</v>
      </c>
      <c r="AP5009">
        <v>1</v>
      </c>
      <c r="AR5009" t="s">
        <v>5112</v>
      </c>
      <c r="AS5009" s="1">
        <v>44353.921655092592</v>
      </c>
      <c r="AT5009" s="1">
        <v>44353.92391203704</v>
      </c>
      <c r="AU5009" s="1">
        <v>44353.924884259257</v>
      </c>
      <c r="AV5009" t="s">
        <v>269</v>
      </c>
      <c r="AW5009" t="s">
        <v>270</v>
      </c>
      <c r="AX5009" t="s">
        <v>73</v>
      </c>
    </row>
    <row r="5010" spans="1:50" x14ac:dyDescent="0.3">
      <c r="A5010" t="str">
        <f>"202100C0100"</f>
        <v>202100C0100</v>
      </c>
      <c r="B5010" t="str">
        <f>"202100C01002"</f>
        <v>202100C01002</v>
      </c>
      <c r="C5010" t="str">
        <f t="shared" si="249"/>
        <v>20</v>
      </c>
      <c r="D5010" t="s">
        <v>67</v>
      </c>
      <c r="E5010" t="str">
        <f t="shared" si="250"/>
        <v>022</v>
      </c>
      <c r="F5010" t="s">
        <v>4913</v>
      </c>
      <c r="G5010" t="str">
        <f t="shared" si="251"/>
        <v>2100</v>
      </c>
      <c r="H5010" t="str">
        <f>"0001"</f>
        <v>0001</v>
      </c>
      <c r="I5010" t="s">
        <v>75</v>
      </c>
      <c r="J5010">
        <v>0</v>
      </c>
      <c r="K5010">
        <v>1</v>
      </c>
      <c r="L5010">
        <v>2</v>
      </c>
      <c r="M5010">
        <v>330</v>
      </c>
      <c r="N5010">
        <v>402</v>
      </c>
      <c r="O5010">
        <v>3</v>
      </c>
      <c r="P5010">
        <v>402</v>
      </c>
      <c r="Q5010">
        <v>7</v>
      </c>
      <c r="R5010">
        <v>72</v>
      </c>
      <c r="S5010">
        <v>103</v>
      </c>
      <c r="T5010">
        <v>3</v>
      </c>
      <c r="U5010">
        <v>21</v>
      </c>
      <c r="V5010">
        <v>17</v>
      </c>
      <c r="W5010">
        <v>10</v>
      </c>
      <c r="X5010">
        <v>140</v>
      </c>
      <c r="Y5010">
        <v>10</v>
      </c>
      <c r="Z5010">
        <v>3</v>
      </c>
      <c r="AA5010">
        <v>6</v>
      </c>
      <c r="AB5010">
        <v>6</v>
      </c>
      <c r="AD5010">
        <v>1</v>
      </c>
      <c r="AE5010">
        <v>0</v>
      </c>
      <c r="AF5010">
        <v>0</v>
      </c>
      <c r="AG5010">
        <v>0</v>
      </c>
      <c r="AI5010">
        <v>0</v>
      </c>
      <c r="AJ5010">
        <v>3</v>
      </c>
      <c r="AK5010">
        <v>402</v>
      </c>
      <c r="AL5010">
        <v>402</v>
      </c>
      <c r="AM5010">
        <v>689</v>
      </c>
      <c r="AN5010">
        <v>44</v>
      </c>
      <c r="AP5010">
        <v>1</v>
      </c>
      <c r="AR5010" t="s">
        <v>5113</v>
      </c>
      <c r="AS5010" s="1">
        <v>44353.937199074076</v>
      </c>
      <c r="AT5010" s="1">
        <v>44353.939212962963</v>
      </c>
      <c r="AU5010" s="1">
        <v>44353.939479166664</v>
      </c>
      <c r="AV5010" t="s">
        <v>269</v>
      </c>
      <c r="AW5010" t="s">
        <v>270</v>
      </c>
      <c r="AX5010" t="s">
        <v>73</v>
      </c>
    </row>
    <row r="5011" spans="1:50" x14ac:dyDescent="0.3">
      <c r="A5011" t="str">
        <f>"202100C0200"</f>
        <v>202100C0200</v>
      </c>
      <c r="B5011" t="str">
        <f>"202100C02002"</f>
        <v>202100C02002</v>
      </c>
      <c r="C5011" t="str">
        <f t="shared" si="249"/>
        <v>20</v>
      </c>
      <c r="D5011" t="s">
        <v>67</v>
      </c>
      <c r="E5011" t="str">
        <f t="shared" si="250"/>
        <v>022</v>
      </c>
      <c r="F5011" t="s">
        <v>4913</v>
      </c>
      <c r="G5011" t="str">
        <f t="shared" si="251"/>
        <v>2100</v>
      </c>
      <c r="H5011" t="str">
        <f>"0002"</f>
        <v>0002</v>
      </c>
      <c r="I5011" t="s">
        <v>75</v>
      </c>
      <c r="J5011">
        <v>0</v>
      </c>
      <c r="K5011">
        <v>1</v>
      </c>
      <c r="L5011">
        <v>2</v>
      </c>
      <c r="M5011">
        <v>321</v>
      </c>
      <c r="N5011">
        <v>412</v>
      </c>
      <c r="O5011">
        <v>6</v>
      </c>
      <c r="P5011">
        <v>412</v>
      </c>
      <c r="Q5011">
        <v>9</v>
      </c>
      <c r="R5011">
        <v>76</v>
      </c>
      <c r="S5011">
        <v>87</v>
      </c>
      <c r="T5011">
        <v>4</v>
      </c>
      <c r="U5011">
        <v>16</v>
      </c>
      <c r="V5011">
        <v>34</v>
      </c>
      <c r="W5011">
        <v>11</v>
      </c>
      <c r="X5011">
        <v>132</v>
      </c>
      <c r="Y5011">
        <v>5</v>
      </c>
      <c r="Z5011">
        <v>4</v>
      </c>
      <c r="AA5011">
        <v>7</v>
      </c>
      <c r="AB5011">
        <v>14</v>
      </c>
      <c r="AD5011">
        <v>1</v>
      </c>
      <c r="AE5011">
        <v>1</v>
      </c>
      <c r="AF5011">
        <v>0</v>
      </c>
      <c r="AG5011">
        <v>0</v>
      </c>
      <c r="AI5011">
        <v>0</v>
      </c>
      <c r="AJ5011">
        <v>11</v>
      </c>
      <c r="AK5011">
        <v>412</v>
      </c>
      <c r="AL5011">
        <v>412</v>
      </c>
      <c r="AM5011">
        <v>689</v>
      </c>
      <c r="AN5011">
        <v>44</v>
      </c>
      <c r="AP5011">
        <v>1</v>
      </c>
      <c r="AR5011" t="s">
        <v>5114</v>
      </c>
      <c r="AS5011" s="1">
        <v>44353.940682870372</v>
      </c>
      <c r="AT5011" s="1">
        <v>44353.94195601852</v>
      </c>
      <c r="AU5011" s="1">
        <v>44353.942453703705</v>
      </c>
      <c r="AV5011" t="s">
        <v>269</v>
      </c>
      <c r="AW5011" t="s">
        <v>270</v>
      </c>
      <c r="AX5011" t="s">
        <v>73</v>
      </c>
    </row>
    <row r="5012" spans="1:50" x14ac:dyDescent="0.3">
      <c r="A5012" t="str">
        <f>"202100E0100"</f>
        <v>202100E0100</v>
      </c>
      <c r="B5012" t="str">
        <f>"202100E01002"</f>
        <v>202100E01002</v>
      </c>
      <c r="C5012" t="str">
        <f t="shared" si="249"/>
        <v>20</v>
      </c>
      <c r="D5012" t="s">
        <v>67</v>
      </c>
      <c r="E5012" t="str">
        <f t="shared" si="250"/>
        <v>022</v>
      </c>
      <c r="F5012" t="s">
        <v>4913</v>
      </c>
      <c r="G5012" t="str">
        <f t="shared" si="251"/>
        <v>2100</v>
      </c>
      <c r="H5012" t="str">
        <f>"0001"</f>
        <v>0001</v>
      </c>
      <c r="I5012" t="s">
        <v>109</v>
      </c>
      <c r="J5012">
        <v>0</v>
      </c>
      <c r="K5012">
        <v>1</v>
      </c>
      <c r="L5012">
        <v>2</v>
      </c>
      <c r="M5012">
        <v>340</v>
      </c>
      <c r="N5012">
        <v>378</v>
      </c>
      <c r="O5012">
        <v>10</v>
      </c>
      <c r="P5012">
        <v>375</v>
      </c>
      <c r="Q5012">
        <v>8</v>
      </c>
      <c r="R5012">
        <v>55</v>
      </c>
      <c r="S5012">
        <v>108</v>
      </c>
      <c r="T5012">
        <v>1</v>
      </c>
      <c r="U5012">
        <v>40</v>
      </c>
      <c r="V5012">
        <v>9</v>
      </c>
      <c r="W5012">
        <v>7</v>
      </c>
      <c r="X5012">
        <v>116</v>
      </c>
      <c r="Y5012">
        <v>4</v>
      </c>
      <c r="Z5012">
        <v>0</v>
      </c>
      <c r="AA5012">
        <v>12</v>
      </c>
      <c r="AB5012">
        <v>8</v>
      </c>
      <c r="AD5012" t="s">
        <v>77</v>
      </c>
      <c r="AE5012" t="s">
        <v>77</v>
      </c>
      <c r="AF5012" t="s">
        <v>77</v>
      </c>
      <c r="AG5012" t="s">
        <v>77</v>
      </c>
      <c r="AI5012" t="s">
        <v>77</v>
      </c>
      <c r="AJ5012">
        <v>7</v>
      </c>
      <c r="AK5012">
        <v>375</v>
      </c>
      <c r="AL5012">
        <v>375</v>
      </c>
      <c r="AM5012">
        <v>674</v>
      </c>
      <c r="AN5012">
        <v>44</v>
      </c>
      <c r="AO5012" t="s">
        <v>78</v>
      </c>
      <c r="AP5012">
        <v>1</v>
      </c>
      <c r="AR5012" t="s">
        <v>5115</v>
      </c>
      <c r="AS5012" s="1">
        <v>44354.065659722219</v>
      </c>
      <c r="AT5012" s="1">
        <v>44354.070289351854</v>
      </c>
      <c r="AU5012" s="1">
        <v>44354.071296296293</v>
      </c>
      <c r="AV5012" t="s">
        <v>269</v>
      </c>
      <c r="AW5012" t="s">
        <v>270</v>
      </c>
      <c r="AX5012" t="s">
        <v>73</v>
      </c>
    </row>
    <row r="5013" spans="1:50" x14ac:dyDescent="0.3">
      <c r="A5013" t="str">
        <f>"202100E0101"</f>
        <v>202100E0101</v>
      </c>
      <c r="B5013" t="str">
        <f>"202100E01012"</f>
        <v>202100E01012</v>
      </c>
      <c r="C5013" t="str">
        <f t="shared" si="249"/>
        <v>20</v>
      </c>
      <c r="D5013" t="s">
        <v>67</v>
      </c>
      <c r="E5013" t="str">
        <f t="shared" si="250"/>
        <v>022</v>
      </c>
      <c r="F5013" t="s">
        <v>4913</v>
      </c>
      <c r="G5013" t="str">
        <f t="shared" si="251"/>
        <v>2100</v>
      </c>
      <c r="H5013" t="str">
        <f>"0001"</f>
        <v>0001</v>
      </c>
      <c r="I5013" t="s">
        <v>109</v>
      </c>
      <c r="J5013">
        <v>1</v>
      </c>
      <c r="K5013">
        <v>1</v>
      </c>
      <c r="L5013">
        <v>2</v>
      </c>
      <c r="M5013">
        <v>341</v>
      </c>
      <c r="N5013">
        <v>377</v>
      </c>
      <c r="O5013">
        <v>7</v>
      </c>
      <c r="P5013">
        <v>379</v>
      </c>
      <c r="Q5013">
        <v>5</v>
      </c>
      <c r="R5013">
        <v>60</v>
      </c>
      <c r="S5013">
        <v>103</v>
      </c>
      <c r="T5013">
        <v>2</v>
      </c>
      <c r="U5013">
        <v>28</v>
      </c>
      <c r="V5013">
        <v>4</v>
      </c>
      <c r="W5013">
        <v>12</v>
      </c>
      <c r="X5013">
        <v>125</v>
      </c>
      <c r="Y5013">
        <v>8</v>
      </c>
      <c r="Z5013">
        <v>1</v>
      </c>
      <c r="AA5013">
        <v>11</v>
      </c>
      <c r="AB5013">
        <v>5</v>
      </c>
      <c r="AD5013" t="s">
        <v>77</v>
      </c>
      <c r="AE5013" t="s">
        <v>77</v>
      </c>
      <c r="AF5013">
        <v>1</v>
      </c>
      <c r="AG5013" t="s">
        <v>77</v>
      </c>
      <c r="AI5013" t="s">
        <v>77</v>
      </c>
      <c r="AJ5013">
        <v>14</v>
      </c>
      <c r="AK5013" t="s">
        <v>99</v>
      </c>
      <c r="AL5013">
        <v>379</v>
      </c>
      <c r="AM5013">
        <v>674</v>
      </c>
      <c r="AN5013">
        <v>44</v>
      </c>
      <c r="AO5013" t="s">
        <v>78</v>
      </c>
      <c r="AP5013">
        <v>1</v>
      </c>
      <c r="AR5013" t="s">
        <v>5116</v>
      </c>
      <c r="AS5013" s="1">
        <v>44354.019317129627</v>
      </c>
      <c r="AT5013" s="1">
        <v>44354.030081018522</v>
      </c>
      <c r="AU5013" s="1">
        <v>44354.031331018516</v>
      </c>
      <c r="AV5013" t="s">
        <v>269</v>
      </c>
      <c r="AW5013" t="s">
        <v>270</v>
      </c>
      <c r="AX5013" t="s">
        <v>73</v>
      </c>
    </row>
    <row r="5014" spans="1:50" x14ac:dyDescent="0.3">
      <c r="A5014" t="str">
        <f>"202100E0102"</f>
        <v>202100E0102</v>
      </c>
      <c r="B5014" t="str">
        <f>"202100E01022"</f>
        <v>202100E01022</v>
      </c>
      <c r="C5014" t="str">
        <f t="shared" si="249"/>
        <v>20</v>
      </c>
      <c r="D5014" t="s">
        <v>67</v>
      </c>
      <c r="E5014" t="str">
        <f t="shared" si="250"/>
        <v>022</v>
      </c>
      <c r="F5014" t="s">
        <v>4913</v>
      </c>
      <c r="G5014" t="str">
        <f t="shared" si="251"/>
        <v>2100</v>
      </c>
      <c r="H5014" t="str">
        <f>"0001"</f>
        <v>0001</v>
      </c>
      <c r="I5014" t="s">
        <v>109</v>
      </c>
      <c r="J5014">
        <v>2</v>
      </c>
      <c r="K5014">
        <v>1</v>
      </c>
      <c r="L5014">
        <v>2</v>
      </c>
      <c r="M5014">
        <v>335</v>
      </c>
      <c r="N5014">
        <v>381</v>
      </c>
      <c r="O5014">
        <v>7</v>
      </c>
      <c r="P5014">
        <v>382</v>
      </c>
      <c r="Q5014">
        <v>4</v>
      </c>
      <c r="R5014">
        <v>56</v>
      </c>
      <c r="S5014">
        <v>113</v>
      </c>
      <c r="T5014">
        <v>1</v>
      </c>
      <c r="U5014">
        <v>25</v>
      </c>
      <c r="V5014">
        <v>9</v>
      </c>
      <c r="W5014">
        <v>6</v>
      </c>
      <c r="X5014">
        <v>123</v>
      </c>
      <c r="Y5014">
        <v>5</v>
      </c>
      <c r="Z5014">
        <v>2</v>
      </c>
      <c r="AA5014">
        <v>16</v>
      </c>
      <c r="AB5014">
        <v>9</v>
      </c>
      <c r="AD5014">
        <v>0</v>
      </c>
      <c r="AE5014">
        <v>0</v>
      </c>
      <c r="AF5014">
        <v>0</v>
      </c>
      <c r="AG5014">
        <v>2</v>
      </c>
      <c r="AI5014">
        <v>0</v>
      </c>
      <c r="AJ5014">
        <v>11</v>
      </c>
      <c r="AK5014">
        <v>382</v>
      </c>
      <c r="AL5014">
        <v>382</v>
      </c>
      <c r="AM5014">
        <v>673</v>
      </c>
      <c r="AN5014">
        <v>44</v>
      </c>
      <c r="AP5014">
        <v>1</v>
      </c>
      <c r="AR5014" t="s">
        <v>5117</v>
      </c>
      <c r="AS5014" s="1">
        <v>44354.04959490741</v>
      </c>
      <c r="AT5014" s="1">
        <v>44354.057962962965</v>
      </c>
      <c r="AU5014" s="1">
        <v>44354.059004629627</v>
      </c>
      <c r="AV5014" t="s">
        <v>269</v>
      </c>
      <c r="AW5014" t="s">
        <v>270</v>
      </c>
      <c r="AX5014" t="s">
        <v>73</v>
      </c>
    </row>
    <row r="5015" spans="1:50" x14ac:dyDescent="0.3">
      <c r="A5015" t="str">
        <f>"202101B0000"</f>
        <v>202101B0000</v>
      </c>
      <c r="B5015" t="str">
        <f>"202101B00002"</f>
        <v>202101B00002</v>
      </c>
      <c r="C5015" t="str">
        <f t="shared" si="249"/>
        <v>20</v>
      </c>
      <c r="D5015" t="s">
        <v>67</v>
      </c>
      <c r="E5015" t="str">
        <f t="shared" si="250"/>
        <v>022</v>
      </c>
      <c r="F5015" t="s">
        <v>4913</v>
      </c>
      <c r="G5015" t="str">
        <f>"2101"</f>
        <v>2101</v>
      </c>
      <c r="H5015" t="str">
        <f>"0000"</f>
        <v>0000</v>
      </c>
      <c r="I5015" t="s">
        <v>69</v>
      </c>
      <c r="J5015">
        <v>0</v>
      </c>
      <c r="K5015">
        <v>1</v>
      </c>
      <c r="L5015">
        <v>2</v>
      </c>
      <c r="M5015">
        <v>223</v>
      </c>
      <c r="N5015">
        <v>11</v>
      </c>
      <c r="O5015">
        <v>5</v>
      </c>
      <c r="P5015">
        <v>257</v>
      </c>
      <c r="Q5015">
        <v>13</v>
      </c>
      <c r="R5015">
        <v>59</v>
      </c>
      <c r="S5015">
        <v>92</v>
      </c>
      <c r="T5015">
        <v>1</v>
      </c>
      <c r="U5015">
        <v>5</v>
      </c>
      <c r="V5015">
        <v>2</v>
      </c>
      <c r="W5015">
        <v>4</v>
      </c>
      <c r="X5015">
        <v>46</v>
      </c>
      <c r="Y5015">
        <v>2</v>
      </c>
      <c r="Z5015">
        <v>4</v>
      </c>
      <c r="AA5015">
        <v>12</v>
      </c>
      <c r="AB5015">
        <v>8</v>
      </c>
      <c r="AD5015">
        <v>0</v>
      </c>
      <c r="AE5015">
        <v>0</v>
      </c>
      <c r="AF5015">
        <v>1</v>
      </c>
      <c r="AG5015">
        <v>1</v>
      </c>
      <c r="AI5015">
        <v>0</v>
      </c>
      <c r="AJ5015">
        <v>7</v>
      </c>
      <c r="AK5015">
        <v>257</v>
      </c>
      <c r="AL5015">
        <v>257</v>
      </c>
      <c r="AM5015">
        <v>436</v>
      </c>
      <c r="AN5015">
        <v>44</v>
      </c>
      <c r="AP5015">
        <v>1</v>
      </c>
      <c r="AR5015" t="s">
        <v>5118</v>
      </c>
      <c r="AS5015" s="1">
        <v>44354.038194444445</v>
      </c>
      <c r="AT5015" s="1">
        <v>44354.048055555555</v>
      </c>
      <c r="AU5015" s="1">
        <v>44354.049004629633</v>
      </c>
      <c r="AV5015" t="s">
        <v>71</v>
      </c>
      <c r="AW5015" t="s">
        <v>72</v>
      </c>
      <c r="AX5015" t="s">
        <v>73</v>
      </c>
    </row>
    <row r="5016" spans="1:50" x14ac:dyDescent="0.3">
      <c r="A5016" t="str">
        <f>"202101C0100"</f>
        <v>202101C0100</v>
      </c>
      <c r="B5016" t="str">
        <f>"202101C01002"</f>
        <v>202101C01002</v>
      </c>
      <c r="C5016" t="str">
        <f t="shared" si="249"/>
        <v>20</v>
      </c>
      <c r="D5016" t="s">
        <v>67</v>
      </c>
      <c r="E5016" t="str">
        <f t="shared" si="250"/>
        <v>022</v>
      </c>
      <c r="F5016" t="s">
        <v>4913</v>
      </c>
      <c r="G5016" t="str">
        <f>"2101"</f>
        <v>2101</v>
      </c>
      <c r="H5016" t="str">
        <f>"0001"</f>
        <v>0001</v>
      </c>
      <c r="I5016" t="s">
        <v>75</v>
      </c>
      <c r="J5016">
        <v>0</v>
      </c>
      <c r="K5016">
        <v>1</v>
      </c>
      <c r="L5016">
        <v>2</v>
      </c>
      <c r="M5016">
        <v>188</v>
      </c>
      <c r="N5016">
        <v>291</v>
      </c>
      <c r="O5016">
        <v>2</v>
      </c>
      <c r="P5016">
        <v>290</v>
      </c>
      <c r="Q5016">
        <v>10</v>
      </c>
      <c r="R5016">
        <v>56</v>
      </c>
      <c r="S5016">
        <v>119</v>
      </c>
      <c r="T5016">
        <v>2</v>
      </c>
      <c r="U5016">
        <v>4</v>
      </c>
      <c r="V5016">
        <v>3</v>
      </c>
      <c r="W5016">
        <v>1</v>
      </c>
      <c r="X5016">
        <v>67</v>
      </c>
      <c r="Y5016">
        <v>0</v>
      </c>
      <c r="Z5016">
        <v>1</v>
      </c>
      <c r="AA5016">
        <v>7</v>
      </c>
      <c r="AB5016">
        <v>2</v>
      </c>
      <c r="AD5016">
        <v>1</v>
      </c>
      <c r="AE5016">
        <v>0</v>
      </c>
      <c r="AF5016">
        <v>0</v>
      </c>
      <c r="AG5016">
        <v>0</v>
      </c>
      <c r="AI5016">
        <v>0</v>
      </c>
      <c r="AJ5016">
        <v>17</v>
      </c>
      <c r="AK5016">
        <v>290</v>
      </c>
      <c r="AL5016">
        <v>290</v>
      </c>
      <c r="AM5016">
        <v>435</v>
      </c>
      <c r="AN5016">
        <v>44</v>
      </c>
      <c r="AP5016">
        <v>1</v>
      </c>
      <c r="AR5016" t="s">
        <v>5119</v>
      </c>
      <c r="AS5016" s="1">
        <v>44354.038888888892</v>
      </c>
      <c r="AT5016" s="1">
        <v>44354.050613425927</v>
      </c>
      <c r="AU5016" s="1">
        <v>44354.05128472222</v>
      </c>
      <c r="AV5016" t="s">
        <v>71</v>
      </c>
      <c r="AW5016" t="s">
        <v>72</v>
      </c>
      <c r="AX5016" t="s">
        <v>73</v>
      </c>
    </row>
    <row r="5017" spans="1:50" x14ac:dyDescent="0.3">
      <c r="A5017" t="str">
        <f>"202102B0000"</f>
        <v>202102B0000</v>
      </c>
      <c r="B5017" t="str">
        <f>"202102B00002"</f>
        <v>202102B00002</v>
      </c>
      <c r="C5017" t="str">
        <f t="shared" si="249"/>
        <v>20</v>
      </c>
      <c r="D5017" t="s">
        <v>67</v>
      </c>
      <c r="E5017" t="str">
        <f t="shared" si="250"/>
        <v>022</v>
      </c>
      <c r="F5017" t="s">
        <v>4913</v>
      </c>
      <c r="G5017" t="str">
        <f>"2102"</f>
        <v>2102</v>
      </c>
      <c r="H5017" t="str">
        <f>"0000"</f>
        <v>0000</v>
      </c>
      <c r="I5017" t="s">
        <v>69</v>
      </c>
      <c r="J5017">
        <v>0</v>
      </c>
      <c r="K5017">
        <v>1</v>
      </c>
      <c r="L5017">
        <v>2</v>
      </c>
      <c r="M5017">
        <v>222</v>
      </c>
      <c r="N5017">
        <v>247</v>
      </c>
      <c r="O5017">
        <v>2</v>
      </c>
      <c r="P5017">
        <v>246</v>
      </c>
      <c r="Q5017">
        <v>12</v>
      </c>
      <c r="R5017">
        <v>68</v>
      </c>
      <c r="S5017">
        <v>91</v>
      </c>
      <c r="T5017">
        <v>2</v>
      </c>
      <c r="U5017">
        <v>2</v>
      </c>
      <c r="V5017">
        <v>3</v>
      </c>
      <c r="W5017">
        <v>0</v>
      </c>
      <c r="X5017">
        <v>51</v>
      </c>
      <c r="Y5017">
        <v>0</v>
      </c>
      <c r="Z5017">
        <v>2</v>
      </c>
      <c r="AA5017">
        <v>3</v>
      </c>
      <c r="AB5017">
        <v>3</v>
      </c>
      <c r="AD5017">
        <v>0</v>
      </c>
      <c r="AE5017">
        <v>0</v>
      </c>
      <c r="AF5017">
        <v>0</v>
      </c>
      <c r="AG5017">
        <v>0</v>
      </c>
      <c r="AI5017">
        <v>0</v>
      </c>
      <c r="AJ5017">
        <v>9</v>
      </c>
      <c r="AK5017">
        <v>246</v>
      </c>
      <c r="AL5017">
        <v>246</v>
      </c>
      <c r="AM5017">
        <v>425</v>
      </c>
      <c r="AN5017">
        <v>44</v>
      </c>
      <c r="AP5017">
        <v>1</v>
      </c>
      <c r="AR5017" t="s">
        <v>5120</v>
      </c>
      <c r="AS5017" s="1">
        <v>44353.832789351851</v>
      </c>
      <c r="AT5017" s="1">
        <v>44353.946087962962</v>
      </c>
      <c r="AU5017" s="1">
        <v>44353.946840277778</v>
      </c>
      <c r="AV5017" t="s">
        <v>269</v>
      </c>
      <c r="AW5017" t="s">
        <v>270</v>
      </c>
      <c r="AX5017" t="s">
        <v>73</v>
      </c>
    </row>
    <row r="5018" spans="1:50" x14ac:dyDescent="0.3">
      <c r="A5018" t="str">
        <f>"202102C0100"</f>
        <v>202102C0100</v>
      </c>
      <c r="B5018" t="str">
        <f>"202102C01002"</f>
        <v>202102C01002</v>
      </c>
      <c r="C5018" t="str">
        <f t="shared" si="249"/>
        <v>20</v>
      </c>
      <c r="D5018" t="s">
        <v>67</v>
      </c>
      <c r="E5018" t="str">
        <f t="shared" si="250"/>
        <v>022</v>
      </c>
      <c r="F5018" t="s">
        <v>4913</v>
      </c>
      <c r="G5018" t="str">
        <f>"2102"</f>
        <v>2102</v>
      </c>
      <c r="H5018" t="str">
        <f>"0001"</f>
        <v>0001</v>
      </c>
      <c r="I5018" t="s">
        <v>75</v>
      </c>
      <c r="J5018">
        <v>0</v>
      </c>
      <c r="K5018">
        <v>1</v>
      </c>
      <c r="L5018">
        <v>2</v>
      </c>
      <c r="M5018">
        <v>183</v>
      </c>
      <c r="N5018">
        <v>286</v>
      </c>
      <c r="O5018">
        <v>1</v>
      </c>
      <c r="P5018">
        <v>286</v>
      </c>
      <c r="Q5018">
        <v>13</v>
      </c>
      <c r="R5018">
        <v>86</v>
      </c>
      <c r="S5018">
        <v>95</v>
      </c>
      <c r="T5018">
        <v>3</v>
      </c>
      <c r="U5018">
        <v>5</v>
      </c>
      <c r="V5018">
        <v>4</v>
      </c>
      <c r="W5018">
        <v>0</v>
      </c>
      <c r="X5018">
        <v>56</v>
      </c>
      <c r="Y5018">
        <v>0</v>
      </c>
      <c r="Z5018">
        <v>1</v>
      </c>
      <c r="AA5018">
        <v>10</v>
      </c>
      <c r="AB5018">
        <v>2</v>
      </c>
      <c r="AD5018">
        <v>0</v>
      </c>
      <c r="AE5018">
        <v>0</v>
      </c>
      <c r="AF5018">
        <v>0</v>
      </c>
      <c r="AG5018">
        <v>0</v>
      </c>
      <c r="AI5018">
        <v>0</v>
      </c>
      <c r="AJ5018">
        <v>11</v>
      </c>
      <c r="AK5018">
        <v>286</v>
      </c>
      <c r="AL5018">
        <v>286</v>
      </c>
      <c r="AM5018">
        <v>425</v>
      </c>
      <c r="AN5018">
        <v>44</v>
      </c>
      <c r="AP5018">
        <v>1</v>
      </c>
      <c r="AR5018" t="s">
        <v>5121</v>
      </c>
      <c r="AS5018" s="1">
        <v>44353.855925925927</v>
      </c>
      <c r="AT5018" s="1">
        <v>44353.947500000002</v>
      </c>
      <c r="AU5018" s="1">
        <v>44353.947800925926</v>
      </c>
      <c r="AV5018" t="s">
        <v>269</v>
      </c>
      <c r="AW5018" t="s">
        <v>270</v>
      </c>
      <c r="AX5018" t="s">
        <v>73</v>
      </c>
    </row>
    <row r="5019" spans="1:50" x14ac:dyDescent="0.3">
      <c r="A5019" t="str">
        <f>"202103B0000"</f>
        <v>202103B0000</v>
      </c>
      <c r="B5019" t="str">
        <f>"202103B00002"</f>
        <v>202103B00002</v>
      </c>
      <c r="C5019" t="str">
        <f t="shared" si="249"/>
        <v>20</v>
      </c>
      <c r="D5019" t="s">
        <v>67</v>
      </c>
      <c r="E5019" t="str">
        <f t="shared" si="250"/>
        <v>022</v>
      </c>
      <c r="F5019" t="s">
        <v>4913</v>
      </c>
      <c r="G5019" t="str">
        <f>"2103"</f>
        <v>2103</v>
      </c>
      <c r="H5019" t="str">
        <f>"0000"</f>
        <v>0000</v>
      </c>
      <c r="I5019" t="s">
        <v>69</v>
      </c>
      <c r="J5019">
        <v>0</v>
      </c>
      <c r="K5019">
        <v>1</v>
      </c>
      <c r="L5019">
        <v>2</v>
      </c>
      <c r="M5019">
        <v>178</v>
      </c>
      <c r="N5019">
        <v>317</v>
      </c>
      <c r="O5019">
        <v>0</v>
      </c>
      <c r="P5019">
        <v>317</v>
      </c>
      <c r="Q5019">
        <v>1</v>
      </c>
      <c r="R5019">
        <v>73</v>
      </c>
      <c r="S5019">
        <v>67</v>
      </c>
      <c r="T5019">
        <v>2</v>
      </c>
      <c r="U5019">
        <v>11</v>
      </c>
      <c r="V5019">
        <v>3</v>
      </c>
      <c r="W5019">
        <v>2</v>
      </c>
      <c r="X5019">
        <v>111</v>
      </c>
      <c r="Y5019">
        <v>25</v>
      </c>
      <c r="Z5019">
        <v>2</v>
      </c>
      <c r="AA5019">
        <v>8</v>
      </c>
      <c r="AB5019">
        <v>7</v>
      </c>
      <c r="AD5019">
        <v>0</v>
      </c>
      <c r="AE5019">
        <v>0</v>
      </c>
      <c r="AF5019">
        <v>0</v>
      </c>
      <c r="AG5019">
        <v>0</v>
      </c>
      <c r="AI5019">
        <v>0</v>
      </c>
      <c r="AJ5019">
        <v>5</v>
      </c>
      <c r="AK5019">
        <v>317</v>
      </c>
      <c r="AL5019">
        <v>317</v>
      </c>
      <c r="AM5019">
        <v>451</v>
      </c>
      <c r="AN5019">
        <v>44</v>
      </c>
      <c r="AP5019">
        <v>1</v>
      </c>
      <c r="AR5019" t="s">
        <v>5122</v>
      </c>
      <c r="AS5019" s="1">
        <v>44354.179166666669</v>
      </c>
      <c r="AT5019" s="1">
        <v>44354.185486111113</v>
      </c>
      <c r="AU5019" s="1">
        <v>44354.186122685183</v>
      </c>
      <c r="AV5019" t="s">
        <v>71</v>
      </c>
      <c r="AW5019" t="s">
        <v>72</v>
      </c>
      <c r="AX5019" t="s">
        <v>73</v>
      </c>
    </row>
    <row r="5020" spans="1:50" x14ac:dyDescent="0.3">
      <c r="A5020" t="str">
        <f>"202103E0100"</f>
        <v>202103E0100</v>
      </c>
      <c r="B5020" t="str">
        <f>"202103E01002"</f>
        <v>202103E01002</v>
      </c>
      <c r="C5020" t="str">
        <f t="shared" si="249"/>
        <v>20</v>
      </c>
      <c r="D5020" t="s">
        <v>67</v>
      </c>
      <c r="E5020" t="str">
        <f t="shared" si="250"/>
        <v>022</v>
      </c>
      <c r="F5020" t="s">
        <v>4913</v>
      </c>
      <c r="G5020" t="str">
        <f>"2103"</f>
        <v>2103</v>
      </c>
      <c r="H5020" t="str">
        <f>"0001"</f>
        <v>0001</v>
      </c>
      <c r="I5020" t="s">
        <v>109</v>
      </c>
      <c r="J5020">
        <v>0</v>
      </c>
      <c r="K5020">
        <v>1</v>
      </c>
      <c r="L5020">
        <v>2</v>
      </c>
      <c r="M5020">
        <v>313</v>
      </c>
      <c r="N5020">
        <v>402</v>
      </c>
      <c r="O5020">
        <v>9</v>
      </c>
      <c r="P5020" t="s">
        <v>99</v>
      </c>
      <c r="Q5020">
        <v>7</v>
      </c>
      <c r="R5020">
        <v>76</v>
      </c>
      <c r="S5020">
        <v>141</v>
      </c>
      <c r="T5020">
        <v>6</v>
      </c>
      <c r="U5020">
        <v>6</v>
      </c>
      <c r="V5020">
        <v>9</v>
      </c>
      <c r="W5020">
        <v>11</v>
      </c>
      <c r="X5020">
        <v>83</v>
      </c>
      <c r="Y5020">
        <v>10</v>
      </c>
      <c r="Z5020">
        <v>5</v>
      </c>
      <c r="AA5020">
        <v>18</v>
      </c>
      <c r="AB5020">
        <v>7</v>
      </c>
      <c r="AD5020">
        <v>0</v>
      </c>
      <c r="AE5020">
        <v>0</v>
      </c>
      <c r="AF5020">
        <v>0</v>
      </c>
      <c r="AG5020">
        <v>0</v>
      </c>
      <c r="AI5020">
        <v>0</v>
      </c>
      <c r="AJ5020">
        <v>23</v>
      </c>
      <c r="AK5020">
        <v>23</v>
      </c>
      <c r="AL5020">
        <v>402</v>
      </c>
      <c r="AM5020">
        <v>672</v>
      </c>
      <c r="AN5020">
        <v>44</v>
      </c>
      <c r="AP5020">
        <v>1</v>
      </c>
      <c r="AR5020" t="s">
        <v>5123</v>
      </c>
      <c r="AS5020" s="1">
        <v>44353.96597222222</v>
      </c>
      <c r="AT5020" s="1">
        <v>44353.968611111108</v>
      </c>
      <c r="AU5020" s="1">
        <v>44353.969641203701</v>
      </c>
      <c r="AV5020" t="s">
        <v>71</v>
      </c>
      <c r="AW5020" t="s">
        <v>72</v>
      </c>
      <c r="AX5020" t="s">
        <v>73</v>
      </c>
    </row>
    <row r="5021" spans="1:50" x14ac:dyDescent="0.3">
      <c r="A5021" t="str">
        <f>"202103E0200"</f>
        <v>202103E0200</v>
      </c>
      <c r="B5021" t="str">
        <f>"202103E02002"</f>
        <v>202103E02002</v>
      </c>
      <c r="C5021" t="str">
        <f t="shared" si="249"/>
        <v>20</v>
      </c>
      <c r="D5021" t="s">
        <v>67</v>
      </c>
      <c r="E5021" t="str">
        <f t="shared" si="250"/>
        <v>022</v>
      </c>
      <c r="F5021" t="s">
        <v>4913</v>
      </c>
      <c r="G5021" t="str">
        <f>"2103"</f>
        <v>2103</v>
      </c>
      <c r="H5021" t="str">
        <f>"0002"</f>
        <v>0002</v>
      </c>
      <c r="I5021" t="s">
        <v>109</v>
      </c>
      <c r="J5021">
        <v>0</v>
      </c>
      <c r="K5021">
        <v>1</v>
      </c>
      <c r="L5021">
        <v>2</v>
      </c>
      <c r="M5021">
        <v>161</v>
      </c>
      <c r="N5021">
        <v>236</v>
      </c>
      <c r="O5021">
        <v>0</v>
      </c>
      <c r="P5021">
        <v>234</v>
      </c>
      <c r="Q5021" t="s">
        <v>77</v>
      </c>
      <c r="R5021">
        <v>45</v>
      </c>
      <c r="S5021">
        <v>69</v>
      </c>
      <c r="T5021">
        <v>5</v>
      </c>
      <c r="U5021" t="s">
        <v>77</v>
      </c>
      <c r="V5021">
        <v>4</v>
      </c>
      <c r="W5021">
        <v>8</v>
      </c>
      <c r="X5021">
        <v>95</v>
      </c>
      <c r="Y5021" t="s">
        <v>77</v>
      </c>
      <c r="Z5021" t="s">
        <v>77</v>
      </c>
      <c r="AA5021">
        <v>6</v>
      </c>
      <c r="AB5021">
        <v>2</v>
      </c>
      <c r="AD5021" t="s">
        <v>77</v>
      </c>
      <c r="AE5021" t="s">
        <v>77</v>
      </c>
      <c r="AF5021" t="s">
        <v>77</v>
      </c>
      <c r="AG5021" t="s">
        <v>77</v>
      </c>
      <c r="AI5021" t="s">
        <v>77</v>
      </c>
      <c r="AJ5021">
        <v>8</v>
      </c>
      <c r="AK5021" t="s">
        <v>77</v>
      </c>
      <c r="AL5021">
        <v>242</v>
      </c>
      <c r="AM5021">
        <v>354</v>
      </c>
      <c r="AN5021">
        <v>44</v>
      </c>
      <c r="AO5021" t="s">
        <v>78</v>
      </c>
      <c r="AP5021">
        <v>1</v>
      </c>
      <c r="AR5021" t="s">
        <v>5124</v>
      </c>
      <c r="AS5021" s="1">
        <v>44354.182638888888</v>
      </c>
      <c r="AT5021" s="1">
        <v>44354.18854166667</v>
      </c>
      <c r="AU5021" s="1">
        <v>44354.189918981479</v>
      </c>
      <c r="AV5021" t="s">
        <v>71</v>
      </c>
      <c r="AW5021" t="s">
        <v>72</v>
      </c>
      <c r="AX5021" t="s">
        <v>73</v>
      </c>
    </row>
    <row r="5022" spans="1:50" x14ac:dyDescent="0.3">
      <c r="A5022" t="str">
        <f>"202104B0000"</f>
        <v>202104B0000</v>
      </c>
      <c r="B5022" t="str">
        <f>"202104B00002"</f>
        <v>202104B00002</v>
      </c>
      <c r="C5022" t="str">
        <f t="shared" si="249"/>
        <v>20</v>
      </c>
      <c r="D5022" t="s">
        <v>67</v>
      </c>
      <c r="E5022" t="str">
        <f t="shared" si="250"/>
        <v>022</v>
      </c>
      <c r="F5022" t="s">
        <v>4913</v>
      </c>
      <c r="G5022" t="str">
        <f>"2104"</f>
        <v>2104</v>
      </c>
      <c r="H5022" t="str">
        <f>"0000"</f>
        <v>0000</v>
      </c>
      <c r="I5022" t="s">
        <v>69</v>
      </c>
      <c r="J5022">
        <v>0</v>
      </c>
      <c r="K5022">
        <v>1</v>
      </c>
      <c r="L5022">
        <v>2</v>
      </c>
      <c r="M5022">
        <v>225</v>
      </c>
      <c r="N5022">
        <v>327</v>
      </c>
      <c r="O5022">
        <v>0</v>
      </c>
      <c r="P5022">
        <v>327</v>
      </c>
      <c r="Q5022">
        <v>5</v>
      </c>
      <c r="R5022">
        <v>80</v>
      </c>
      <c r="S5022">
        <v>75</v>
      </c>
      <c r="T5022">
        <v>2</v>
      </c>
      <c r="U5022">
        <v>4</v>
      </c>
      <c r="V5022">
        <v>6</v>
      </c>
      <c r="W5022">
        <v>6</v>
      </c>
      <c r="X5022">
        <v>116</v>
      </c>
      <c r="Y5022">
        <v>0</v>
      </c>
      <c r="Z5022">
        <v>1</v>
      </c>
      <c r="AA5022">
        <v>17</v>
      </c>
      <c r="AB5022">
        <v>1</v>
      </c>
      <c r="AD5022">
        <v>0</v>
      </c>
      <c r="AE5022">
        <v>0</v>
      </c>
      <c r="AF5022">
        <v>0</v>
      </c>
      <c r="AG5022">
        <v>2</v>
      </c>
      <c r="AI5022">
        <v>0</v>
      </c>
      <c r="AJ5022">
        <v>12</v>
      </c>
      <c r="AK5022">
        <v>327</v>
      </c>
      <c r="AL5022">
        <v>327</v>
      </c>
      <c r="AM5022">
        <v>508</v>
      </c>
      <c r="AN5022">
        <v>44</v>
      </c>
      <c r="AP5022">
        <v>1</v>
      </c>
      <c r="AR5022" t="s">
        <v>5125</v>
      </c>
      <c r="AS5022" s="1">
        <v>44353.978472222225</v>
      </c>
      <c r="AT5022" s="1">
        <v>44353.980983796297</v>
      </c>
      <c r="AU5022" s="1">
        <v>44353.981516203705</v>
      </c>
      <c r="AV5022" t="s">
        <v>71</v>
      </c>
      <c r="AW5022" t="s">
        <v>72</v>
      </c>
      <c r="AX5022" t="s">
        <v>73</v>
      </c>
    </row>
    <row r="5023" spans="1:50" x14ac:dyDescent="0.3">
      <c r="A5023" t="str">
        <f>"202104C0100"</f>
        <v>202104C0100</v>
      </c>
      <c r="B5023" t="str">
        <f>"202104C01002"</f>
        <v>202104C01002</v>
      </c>
      <c r="C5023" t="str">
        <f t="shared" si="249"/>
        <v>20</v>
      </c>
      <c r="D5023" t="s">
        <v>67</v>
      </c>
      <c r="E5023" t="str">
        <f t="shared" si="250"/>
        <v>022</v>
      </c>
      <c r="F5023" t="s">
        <v>4913</v>
      </c>
      <c r="G5023" t="str">
        <f>"2104"</f>
        <v>2104</v>
      </c>
      <c r="H5023" t="str">
        <f>"0001"</f>
        <v>0001</v>
      </c>
      <c r="I5023" t="s">
        <v>75</v>
      </c>
      <c r="J5023">
        <v>0</v>
      </c>
      <c r="K5023">
        <v>1</v>
      </c>
      <c r="L5023">
        <v>2</v>
      </c>
      <c r="M5023">
        <v>219</v>
      </c>
      <c r="N5023" t="s">
        <v>80</v>
      </c>
      <c r="O5023" t="s">
        <v>80</v>
      </c>
      <c r="P5023" t="s">
        <v>80</v>
      </c>
      <c r="Q5023">
        <v>4</v>
      </c>
      <c r="R5023">
        <v>82</v>
      </c>
      <c r="S5023">
        <v>61</v>
      </c>
      <c r="T5023">
        <v>2</v>
      </c>
      <c r="U5023">
        <v>7</v>
      </c>
      <c r="V5023">
        <v>3</v>
      </c>
      <c r="W5023">
        <v>4</v>
      </c>
      <c r="X5023">
        <v>138</v>
      </c>
      <c r="Y5023">
        <v>3</v>
      </c>
      <c r="Z5023">
        <v>4</v>
      </c>
      <c r="AA5023">
        <v>9</v>
      </c>
      <c r="AB5023">
        <v>11</v>
      </c>
      <c r="AD5023" t="s">
        <v>77</v>
      </c>
      <c r="AE5023" t="s">
        <v>77</v>
      </c>
      <c r="AF5023" t="s">
        <v>77</v>
      </c>
      <c r="AG5023" t="s">
        <v>77</v>
      </c>
      <c r="AI5023" t="s">
        <v>77</v>
      </c>
      <c r="AJ5023">
        <v>4</v>
      </c>
      <c r="AK5023" t="s">
        <v>77</v>
      </c>
      <c r="AL5023">
        <v>332</v>
      </c>
      <c r="AM5023">
        <v>508</v>
      </c>
      <c r="AN5023">
        <v>44</v>
      </c>
      <c r="AO5023" t="s">
        <v>78</v>
      </c>
      <c r="AP5023">
        <v>1</v>
      </c>
      <c r="AR5023" t="s">
        <v>5126</v>
      </c>
      <c r="AS5023" s="1">
        <v>44353.981944444444</v>
      </c>
      <c r="AT5023" s="1">
        <v>44353.984259259261</v>
      </c>
      <c r="AU5023" s="1">
        <v>44353.984918981485</v>
      </c>
      <c r="AV5023" t="s">
        <v>71</v>
      </c>
      <c r="AW5023" t="s">
        <v>72</v>
      </c>
      <c r="AX5023" t="s">
        <v>73</v>
      </c>
    </row>
    <row r="5024" spans="1:50" x14ac:dyDescent="0.3">
      <c r="A5024" t="str">
        <f>"202104C0200"</f>
        <v>202104C0200</v>
      </c>
      <c r="B5024" t="str">
        <f>"202104C02002"</f>
        <v>202104C02002</v>
      </c>
      <c r="C5024" t="str">
        <f t="shared" si="249"/>
        <v>20</v>
      </c>
      <c r="D5024" t="s">
        <v>67</v>
      </c>
      <c r="E5024" t="str">
        <f t="shared" si="250"/>
        <v>022</v>
      </c>
      <c r="F5024" t="s">
        <v>4913</v>
      </c>
      <c r="G5024" t="str">
        <f>"2104"</f>
        <v>2104</v>
      </c>
      <c r="H5024" t="str">
        <f>"0002"</f>
        <v>0002</v>
      </c>
      <c r="I5024" t="s">
        <v>75</v>
      </c>
      <c r="J5024">
        <v>0</v>
      </c>
      <c r="K5024">
        <v>1</v>
      </c>
      <c r="L5024">
        <v>2</v>
      </c>
      <c r="M5024">
        <v>238</v>
      </c>
      <c r="N5024">
        <v>313</v>
      </c>
      <c r="O5024">
        <v>0</v>
      </c>
      <c r="P5024">
        <v>313</v>
      </c>
      <c r="Q5024">
        <v>1</v>
      </c>
      <c r="R5024">
        <v>88</v>
      </c>
      <c r="S5024">
        <v>86</v>
      </c>
      <c r="T5024">
        <v>2</v>
      </c>
      <c r="U5024">
        <v>2</v>
      </c>
      <c r="V5024">
        <v>5</v>
      </c>
      <c r="W5024">
        <v>3</v>
      </c>
      <c r="X5024">
        <v>104</v>
      </c>
      <c r="Y5024">
        <v>5</v>
      </c>
      <c r="Z5024">
        <v>3</v>
      </c>
      <c r="AA5024">
        <v>8</v>
      </c>
      <c r="AB5024">
        <v>1</v>
      </c>
      <c r="AD5024">
        <v>1</v>
      </c>
      <c r="AE5024">
        <v>0</v>
      </c>
      <c r="AF5024">
        <v>0</v>
      </c>
      <c r="AG5024">
        <v>1</v>
      </c>
      <c r="AI5024">
        <v>0</v>
      </c>
      <c r="AJ5024">
        <v>3</v>
      </c>
      <c r="AK5024">
        <v>313</v>
      </c>
      <c r="AL5024">
        <v>313</v>
      </c>
      <c r="AM5024">
        <v>507</v>
      </c>
      <c r="AN5024">
        <v>44</v>
      </c>
      <c r="AP5024">
        <v>1</v>
      </c>
      <c r="AR5024" t="s">
        <v>5127</v>
      </c>
      <c r="AS5024" s="1">
        <v>44353.981249999997</v>
      </c>
      <c r="AT5024" s="1">
        <v>44353.985972222225</v>
      </c>
      <c r="AU5024" s="1">
        <v>44353.986539351848</v>
      </c>
      <c r="AV5024" t="s">
        <v>71</v>
      </c>
      <c r="AW5024" t="s">
        <v>72</v>
      </c>
      <c r="AX5024" t="s">
        <v>73</v>
      </c>
    </row>
    <row r="5025" spans="1:50" x14ac:dyDescent="0.3">
      <c r="A5025" t="str">
        <f>"202105B0000"</f>
        <v>202105B0000</v>
      </c>
      <c r="B5025" t="str">
        <f>"202105B00002"</f>
        <v>202105B00002</v>
      </c>
      <c r="C5025" t="str">
        <f t="shared" si="249"/>
        <v>20</v>
      </c>
      <c r="D5025" t="s">
        <v>67</v>
      </c>
      <c r="E5025" t="str">
        <f t="shared" si="250"/>
        <v>022</v>
      </c>
      <c r="F5025" t="s">
        <v>4913</v>
      </c>
      <c r="G5025" t="str">
        <f>"2105"</f>
        <v>2105</v>
      </c>
      <c r="H5025" t="str">
        <f>"0000"</f>
        <v>0000</v>
      </c>
      <c r="I5025" t="s">
        <v>69</v>
      </c>
      <c r="J5025">
        <v>0</v>
      </c>
      <c r="K5025">
        <v>1</v>
      </c>
      <c r="L5025">
        <v>2</v>
      </c>
      <c r="M5025">
        <v>326</v>
      </c>
      <c r="N5025">
        <v>409</v>
      </c>
      <c r="O5025">
        <v>0</v>
      </c>
      <c r="P5025">
        <v>411</v>
      </c>
      <c r="Q5025">
        <v>2</v>
      </c>
      <c r="R5025">
        <v>93</v>
      </c>
      <c r="S5025">
        <v>43</v>
      </c>
      <c r="T5025">
        <v>1</v>
      </c>
      <c r="U5025">
        <v>11</v>
      </c>
      <c r="V5025">
        <v>10</v>
      </c>
      <c r="W5025">
        <v>7</v>
      </c>
      <c r="X5025">
        <v>191</v>
      </c>
      <c r="Y5025">
        <v>1</v>
      </c>
      <c r="Z5025">
        <v>7</v>
      </c>
      <c r="AA5025">
        <v>12</v>
      </c>
      <c r="AB5025">
        <v>25</v>
      </c>
      <c r="AD5025">
        <v>0</v>
      </c>
      <c r="AE5025">
        <v>0</v>
      </c>
      <c r="AF5025">
        <v>0</v>
      </c>
      <c r="AG5025">
        <v>0</v>
      </c>
      <c r="AI5025">
        <v>0</v>
      </c>
      <c r="AJ5025">
        <v>8</v>
      </c>
      <c r="AK5025">
        <v>411</v>
      </c>
      <c r="AL5025">
        <v>411</v>
      </c>
      <c r="AM5025">
        <v>693</v>
      </c>
      <c r="AN5025">
        <v>44</v>
      </c>
      <c r="AP5025">
        <v>1</v>
      </c>
      <c r="AR5025" t="s">
        <v>5128</v>
      </c>
      <c r="AS5025" s="1">
        <v>44354.086805555555</v>
      </c>
      <c r="AT5025" s="1">
        <v>44354.094664351855</v>
      </c>
      <c r="AU5025" s="1">
        <v>44354.095150462963</v>
      </c>
      <c r="AV5025" t="s">
        <v>71</v>
      </c>
      <c r="AW5025" t="s">
        <v>72</v>
      </c>
      <c r="AX5025" t="s">
        <v>73</v>
      </c>
    </row>
    <row r="5026" spans="1:50" x14ac:dyDescent="0.3">
      <c r="A5026" t="str">
        <f>"202105C0100"</f>
        <v>202105C0100</v>
      </c>
      <c r="B5026" t="str">
        <f>"202105C01002"</f>
        <v>202105C01002</v>
      </c>
      <c r="C5026" t="str">
        <f t="shared" si="249"/>
        <v>20</v>
      </c>
      <c r="D5026" t="s">
        <v>67</v>
      </c>
      <c r="E5026" t="str">
        <f t="shared" si="250"/>
        <v>022</v>
      </c>
      <c r="F5026" t="s">
        <v>4913</v>
      </c>
      <c r="G5026" t="str">
        <f>"2105"</f>
        <v>2105</v>
      </c>
      <c r="H5026" t="str">
        <f>"0001"</f>
        <v>0001</v>
      </c>
      <c r="I5026" t="s">
        <v>75</v>
      </c>
      <c r="J5026">
        <v>0</v>
      </c>
      <c r="K5026">
        <v>1</v>
      </c>
      <c r="L5026">
        <v>2</v>
      </c>
      <c r="M5026">
        <v>340</v>
      </c>
      <c r="N5026">
        <v>397</v>
      </c>
      <c r="O5026">
        <v>0</v>
      </c>
      <c r="P5026">
        <v>397</v>
      </c>
      <c r="Q5026">
        <v>4</v>
      </c>
      <c r="R5026">
        <v>105</v>
      </c>
      <c r="S5026">
        <v>59</v>
      </c>
      <c r="T5026">
        <v>3</v>
      </c>
      <c r="U5026">
        <v>3</v>
      </c>
      <c r="V5026">
        <v>4</v>
      </c>
      <c r="W5026">
        <v>3</v>
      </c>
      <c r="X5026">
        <v>174</v>
      </c>
      <c r="Y5026">
        <v>1</v>
      </c>
      <c r="Z5026">
        <v>4</v>
      </c>
      <c r="AA5026">
        <v>7</v>
      </c>
      <c r="AB5026">
        <v>19</v>
      </c>
      <c r="AD5026">
        <v>1</v>
      </c>
      <c r="AE5026">
        <v>0</v>
      </c>
      <c r="AF5026">
        <v>0</v>
      </c>
      <c r="AG5026">
        <v>0</v>
      </c>
      <c r="AI5026">
        <v>0</v>
      </c>
      <c r="AJ5026">
        <v>10</v>
      </c>
      <c r="AK5026">
        <v>397</v>
      </c>
      <c r="AL5026">
        <v>397</v>
      </c>
      <c r="AM5026">
        <v>693</v>
      </c>
      <c r="AN5026">
        <v>44</v>
      </c>
      <c r="AP5026">
        <v>1</v>
      </c>
      <c r="AR5026" t="s">
        <v>5129</v>
      </c>
      <c r="AS5026" s="1">
        <v>44354.086805555555</v>
      </c>
      <c r="AT5026" s="1">
        <v>44354.094224537039</v>
      </c>
      <c r="AU5026" s="1">
        <v>44354.094826388886</v>
      </c>
      <c r="AV5026" t="s">
        <v>71</v>
      </c>
      <c r="AW5026" t="s">
        <v>72</v>
      </c>
      <c r="AX5026" t="s">
        <v>73</v>
      </c>
    </row>
    <row r="5027" spans="1:50" x14ac:dyDescent="0.3">
      <c r="A5027" t="str">
        <f>"202106B0000"</f>
        <v>202106B0000</v>
      </c>
      <c r="B5027" t="str">
        <f>"202106B00002"</f>
        <v>202106B00002</v>
      </c>
      <c r="C5027" t="str">
        <f t="shared" si="249"/>
        <v>20</v>
      </c>
      <c r="D5027" t="s">
        <v>67</v>
      </c>
      <c r="E5027" t="str">
        <f t="shared" si="250"/>
        <v>022</v>
      </c>
      <c r="F5027" t="s">
        <v>4913</v>
      </c>
      <c r="G5027" t="str">
        <f>"2106"</f>
        <v>2106</v>
      </c>
      <c r="H5027" t="str">
        <f>"0000"</f>
        <v>0000</v>
      </c>
      <c r="I5027" t="s">
        <v>69</v>
      </c>
      <c r="J5027">
        <v>0</v>
      </c>
      <c r="K5027">
        <v>1</v>
      </c>
      <c r="L5027">
        <v>2</v>
      </c>
      <c r="M5027">
        <v>467</v>
      </c>
      <c r="N5027">
        <v>489</v>
      </c>
      <c r="O5027">
        <v>0</v>
      </c>
      <c r="P5027">
        <v>489</v>
      </c>
      <c r="Q5027">
        <v>4</v>
      </c>
      <c r="R5027">
        <v>145</v>
      </c>
      <c r="S5027">
        <v>212</v>
      </c>
      <c r="T5027">
        <v>1</v>
      </c>
      <c r="U5027">
        <v>4</v>
      </c>
      <c r="V5027">
        <v>8</v>
      </c>
      <c r="W5027">
        <v>4</v>
      </c>
      <c r="X5027">
        <v>92</v>
      </c>
      <c r="Y5027">
        <v>2</v>
      </c>
      <c r="Z5027">
        <v>1</v>
      </c>
      <c r="AA5027">
        <v>8</v>
      </c>
      <c r="AB5027">
        <v>2</v>
      </c>
      <c r="AD5027">
        <v>0</v>
      </c>
      <c r="AE5027">
        <v>0</v>
      </c>
      <c r="AF5027">
        <v>0</v>
      </c>
      <c r="AG5027">
        <v>1</v>
      </c>
      <c r="AI5027">
        <v>0</v>
      </c>
      <c r="AJ5027">
        <v>5</v>
      </c>
      <c r="AK5027">
        <v>489</v>
      </c>
      <c r="AL5027">
        <v>489</v>
      </c>
      <c r="AM5027">
        <v>682</v>
      </c>
      <c r="AN5027">
        <v>44</v>
      </c>
      <c r="AP5027">
        <v>1</v>
      </c>
      <c r="AR5027" t="s">
        <v>5130</v>
      </c>
      <c r="AS5027" s="1">
        <v>44354.204861111109</v>
      </c>
      <c r="AT5027" s="1">
        <v>44354.216261574074</v>
      </c>
      <c r="AU5027" s="1">
        <v>44354.216643518521</v>
      </c>
      <c r="AV5027" t="s">
        <v>71</v>
      </c>
      <c r="AW5027" t="s">
        <v>72</v>
      </c>
      <c r="AX5027" t="s">
        <v>73</v>
      </c>
    </row>
    <row r="5028" spans="1:50" x14ac:dyDescent="0.3">
      <c r="A5028" t="str">
        <f>"202106C0100"</f>
        <v>202106C0100</v>
      </c>
      <c r="B5028" t="str">
        <f>"202106C01002"</f>
        <v>202106C01002</v>
      </c>
      <c r="C5028" t="str">
        <f t="shared" si="249"/>
        <v>20</v>
      </c>
      <c r="D5028" t="s">
        <v>67</v>
      </c>
      <c r="E5028" t="str">
        <f t="shared" si="250"/>
        <v>022</v>
      </c>
      <c r="F5028" t="s">
        <v>4913</v>
      </c>
      <c r="G5028" t="str">
        <f>"2106"</f>
        <v>2106</v>
      </c>
      <c r="H5028" t="str">
        <f>"0001"</f>
        <v>0001</v>
      </c>
      <c r="I5028" t="s">
        <v>75</v>
      </c>
      <c r="J5028">
        <v>0</v>
      </c>
      <c r="K5028">
        <v>1</v>
      </c>
      <c r="L5028">
        <v>2</v>
      </c>
      <c r="M5028">
        <v>232</v>
      </c>
      <c r="N5028">
        <v>493</v>
      </c>
      <c r="O5028">
        <v>0</v>
      </c>
      <c r="P5028">
        <v>493</v>
      </c>
      <c r="Q5028">
        <v>2</v>
      </c>
      <c r="R5028">
        <v>127</v>
      </c>
      <c r="S5028">
        <v>217</v>
      </c>
      <c r="T5028">
        <v>5</v>
      </c>
      <c r="U5028">
        <v>4</v>
      </c>
      <c r="V5028">
        <v>6</v>
      </c>
      <c r="W5028">
        <v>2</v>
      </c>
      <c r="X5028">
        <v>92</v>
      </c>
      <c r="Y5028">
        <v>3</v>
      </c>
      <c r="Z5028">
        <v>2</v>
      </c>
      <c r="AA5028">
        <v>10</v>
      </c>
      <c r="AB5028">
        <v>10</v>
      </c>
      <c r="AD5028">
        <v>0</v>
      </c>
      <c r="AE5028">
        <v>0</v>
      </c>
      <c r="AF5028">
        <v>0</v>
      </c>
      <c r="AG5028">
        <v>0</v>
      </c>
      <c r="AI5028">
        <v>0</v>
      </c>
      <c r="AJ5028">
        <v>13</v>
      </c>
      <c r="AK5028">
        <v>493</v>
      </c>
      <c r="AL5028">
        <v>493</v>
      </c>
      <c r="AM5028">
        <v>681</v>
      </c>
      <c r="AN5028">
        <v>44</v>
      </c>
      <c r="AP5028">
        <v>1</v>
      </c>
      <c r="AR5028" t="s">
        <v>5131</v>
      </c>
      <c r="AS5028" s="1">
        <v>44354.204861111109</v>
      </c>
      <c r="AT5028" s="1">
        <v>44354.213206018518</v>
      </c>
      <c r="AU5028" s="1">
        <v>44354.213564814818</v>
      </c>
      <c r="AV5028" t="s">
        <v>71</v>
      </c>
      <c r="AW5028" t="s">
        <v>72</v>
      </c>
      <c r="AX5028" t="s">
        <v>73</v>
      </c>
    </row>
    <row r="5029" spans="1:50" x14ac:dyDescent="0.3">
      <c r="A5029" t="str">
        <f>"202106E0100"</f>
        <v>202106E0100</v>
      </c>
      <c r="B5029" t="str">
        <f>"202106E01002"</f>
        <v>202106E01002</v>
      </c>
      <c r="C5029" t="str">
        <f t="shared" si="249"/>
        <v>20</v>
      </c>
      <c r="D5029" t="s">
        <v>67</v>
      </c>
      <c r="E5029" t="str">
        <f t="shared" si="250"/>
        <v>022</v>
      </c>
      <c r="F5029" t="s">
        <v>4913</v>
      </c>
      <c r="G5029" t="str">
        <f>"2106"</f>
        <v>2106</v>
      </c>
      <c r="H5029" t="str">
        <f>"0001"</f>
        <v>0001</v>
      </c>
      <c r="I5029" t="s">
        <v>109</v>
      </c>
      <c r="J5029">
        <v>0</v>
      </c>
      <c r="K5029">
        <v>1</v>
      </c>
      <c r="L5029">
        <v>2</v>
      </c>
      <c r="M5029">
        <v>77</v>
      </c>
      <c r="N5029">
        <v>129</v>
      </c>
      <c r="O5029">
        <v>2</v>
      </c>
      <c r="P5029">
        <v>129</v>
      </c>
      <c r="Q5029">
        <v>0</v>
      </c>
      <c r="R5029">
        <v>23</v>
      </c>
      <c r="S5029">
        <v>35</v>
      </c>
      <c r="T5029">
        <v>0</v>
      </c>
      <c r="U5029">
        <v>2</v>
      </c>
      <c r="V5029">
        <v>1</v>
      </c>
      <c r="W5029">
        <v>4</v>
      </c>
      <c r="X5029">
        <v>29</v>
      </c>
      <c r="Y5029">
        <v>10</v>
      </c>
      <c r="Z5029">
        <v>4</v>
      </c>
      <c r="AA5029">
        <v>11</v>
      </c>
      <c r="AB5029">
        <v>3</v>
      </c>
      <c r="AD5029">
        <v>1</v>
      </c>
      <c r="AE5029">
        <v>0</v>
      </c>
      <c r="AF5029">
        <v>1</v>
      </c>
      <c r="AG5029">
        <v>0</v>
      </c>
      <c r="AI5029">
        <v>0</v>
      </c>
      <c r="AJ5029">
        <v>5</v>
      </c>
      <c r="AK5029">
        <v>129</v>
      </c>
      <c r="AL5029">
        <v>129</v>
      </c>
      <c r="AM5029">
        <v>162</v>
      </c>
      <c r="AN5029">
        <v>44</v>
      </c>
      <c r="AP5029">
        <v>1</v>
      </c>
      <c r="AR5029" t="s">
        <v>5132</v>
      </c>
      <c r="AS5029" s="1">
        <v>44354.401388888888</v>
      </c>
      <c r="AT5029" s="1">
        <v>44354.402997685182</v>
      </c>
      <c r="AU5029" s="1">
        <v>44354.403506944444</v>
      </c>
      <c r="AV5029" t="s">
        <v>71</v>
      </c>
      <c r="AW5029" t="s">
        <v>72</v>
      </c>
      <c r="AX5029" t="s">
        <v>347</v>
      </c>
    </row>
    <row r="5030" spans="1:50" x14ac:dyDescent="0.3">
      <c r="A5030" t="str">
        <f>"202107B0000"</f>
        <v>202107B0000</v>
      </c>
      <c r="B5030" t="str">
        <f>"202107B00002"</f>
        <v>202107B00002</v>
      </c>
      <c r="C5030" t="str">
        <f t="shared" si="249"/>
        <v>20</v>
      </c>
      <c r="D5030" t="s">
        <v>67</v>
      </c>
      <c r="E5030" t="str">
        <f t="shared" si="250"/>
        <v>022</v>
      </c>
      <c r="F5030" t="s">
        <v>4913</v>
      </c>
      <c r="G5030" t="str">
        <f>"2107"</f>
        <v>2107</v>
      </c>
      <c r="H5030" t="str">
        <f>"0000"</f>
        <v>0000</v>
      </c>
      <c r="I5030" t="s">
        <v>69</v>
      </c>
      <c r="J5030">
        <v>0</v>
      </c>
      <c r="K5030">
        <v>1</v>
      </c>
      <c r="L5030">
        <v>2</v>
      </c>
      <c r="M5030">
        <v>193</v>
      </c>
      <c r="N5030">
        <v>313</v>
      </c>
      <c r="O5030">
        <v>10</v>
      </c>
      <c r="P5030">
        <v>313</v>
      </c>
      <c r="Q5030">
        <v>1</v>
      </c>
      <c r="R5030">
        <v>72</v>
      </c>
      <c r="S5030">
        <v>111</v>
      </c>
      <c r="T5030">
        <v>2</v>
      </c>
      <c r="U5030">
        <v>3</v>
      </c>
      <c r="V5030">
        <v>1</v>
      </c>
      <c r="W5030">
        <v>4</v>
      </c>
      <c r="X5030">
        <v>79</v>
      </c>
      <c r="Y5030">
        <v>2</v>
      </c>
      <c r="Z5030">
        <v>4</v>
      </c>
      <c r="AA5030">
        <v>20</v>
      </c>
      <c r="AB5030">
        <v>2</v>
      </c>
      <c r="AD5030">
        <v>1</v>
      </c>
      <c r="AE5030">
        <v>0</v>
      </c>
      <c r="AF5030">
        <v>1</v>
      </c>
      <c r="AG5030">
        <v>1</v>
      </c>
      <c r="AI5030">
        <v>0</v>
      </c>
      <c r="AJ5030">
        <v>9</v>
      </c>
      <c r="AK5030">
        <v>313</v>
      </c>
      <c r="AL5030">
        <v>313</v>
      </c>
      <c r="AM5030">
        <v>462</v>
      </c>
      <c r="AN5030">
        <v>44</v>
      </c>
      <c r="AP5030">
        <v>1</v>
      </c>
      <c r="AR5030" t="s">
        <v>5133</v>
      </c>
      <c r="AS5030" s="1">
        <v>44354.234027777777</v>
      </c>
      <c r="AT5030" s="1">
        <v>44354.242696759262</v>
      </c>
      <c r="AU5030" s="1">
        <v>44354.243275462963</v>
      </c>
      <c r="AV5030" t="s">
        <v>71</v>
      </c>
      <c r="AW5030" t="s">
        <v>72</v>
      </c>
      <c r="AX5030" t="s">
        <v>73</v>
      </c>
    </row>
    <row r="5031" spans="1:50" x14ac:dyDescent="0.3">
      <c r="A5031" t="str">
        <f>"202107E0100"</f>
        <v>202107E0100</v>
      </c>
      <c r="B5031" t="str">
        <f>"202107E01002"</f>
        <v>202107E01002</v>
      </c>
      <c r="C5031" t="str">
        <f t="shared" si="249"/>
        <v>20</v>
      </c>
      <c r="D5031" t="s">
        <v>67</v>
      </c>
      <c r="E5031" t="str">
        <f t="shared" si="250"/>
        <v>022</v>
      </c>
      <c r="F5031" t="s">
        <v>4913</v>
      </c>
      <c r="G5031" t="str">
        <f>"2107"</f>
        <v>2107</v>
      </c>
      <c r="H5031" t="str">
        <f>"0001"</f>
        <v>0001</v>
      </c>
      <c r="I5031" t="s">
        <v>109</v>
      </c>
      <c r="J5031">
        <v>0</v>
      </c>
      <c r="K5031">
        <v>1</v>
      </c>
      <c r="L5031">
        <v>2</v>
      </c>
      <c r="M5031">
        <v>137</v>
      </c>
      <c r="N5031">
        <v>137</v>
      </c>
      <c r="O5031">
        <v>0</v>
      </c>
      <c r="P5031">
        <v>137</v>
      </c>
      <c r="Q5031">
        <v>0</v>
      </c>
      <c r="R5031">
        <v>16</v>
      </c>
      <c r="S5031">
        <v>44</v>
      </c>
      <c r="T5031">
        <v>0</v>
      </c>
      <c r="U5031">
        <v>0</v>
      </c>
      <c r="V5031">
        <v>1</v>
      </c>
      <c r="W5031">
        <v>0</v>
      </c>
      <c r="X5031">
        <v>56</v>
      </c>
      <c r="Y5031">
        <v>0</v>
      </c>
      <c r="Z5031">
        <v>4</v>
      </c>
      <c r="AA5031">
        <v>8</v>
      </c>
      <c r="AB5031">
        <v>3</v>
      </c>
      <c r="AD5031">
        <v>0</v>
      </c>
      <c r="AE5031">
        <v>0</v>
      </c>
      <c r="AF5031">
        <v>0</v>
      </c>
      <c r="AG5031">
        <v>0</v>
      </c>
      <c r="AI5031">
        <v>0</v>
      </c>
      <c r="AJ5031">
        <v>2</v>
      </c>
      <c r="AK5031">
        <v>137</v>
      </c>
      <c r="AL5031">
        <v>134</v>
      </c>
      <c r="AM5031">
        <v>172</v>
      </c>
      <c r="AN5031">
        <v>44</v>
      </c>
      <c r="AP5031">
        <v>1</v>
      </c>
      <c r="AR5031" t="s">
        <v>5134</v>
      </c>
      <c r="AS5031" s="1">
        <v>44354.074305555558</v>
      </c>
      <c r="AT5031" s="1">
        <v>44354.103263888886</v>
      </c>
      <c r="AU5031" s="1">
        <v>44354.104363425926</v>
      </c>
      <c r="AV5031" t="s">
        <v>71</v>
      </c>
      <c r="AW5031" t="s">
        <v>72</v>
      </c>
      <c r="AX5031" t="s">
        <v>73</v>
      </c>
    </row>
    <row r="5032" spans="1:50" x14ac:dyDescent="0.3">
      <c r="A5032" t="str">
        <f>"202107E0200"</f>
        <v>202107E0200</v>
      </c>
      <c r="B5032" t="str">
        <f>"202107E02002"</f>
        <v>202107E02002</v>
      </c>
      <c r="C5032" t="str">
        <f t="shared" si="249"/>
        <v>20</v>
      </c>
      <c r="D5032" t="s">
        <v>67</v>
      </c>
      <c r="E5032" t="str">
        <f t="shared" si="250"/>
        <v>022</v>
      </c>
      <c r="F5032" t="s">
        <v>4913</v>
      </c>
      <c r="G5032" t="str">
        <f>"2107"</f>
        <v>2107</v>
      </c>
      <c r="H5032" t="str">
        <f>"0002"</f>
        <v>0002</v>
      </c>
      <c r="I5032" t="s">
        <v>109</v>
      </c>
      <c r="J5032">
        <v>0</v>
      </c>
      <c r="K5032">
        <v>1</v>
      </c>
      <c r="L5032">
        <v>2</v>
      </c>
      <c r="M5032">
        <v>179</v>
      </c>
      <c r="N5032" t="s">
        <v>80</v>
      </c>
      <c r="O5032">
        <v>1</v>
      </c>
      <c r="P5032">
        <v>261</v>
      </c>
      <c r="Q5032">
        <v>2</v>
      </c>
      <c r="R5032">
        <v>30</v>
      </c>
      <c r="S5032">
        <v>87</v>
      </c>
      <c r="T5032">
        <v>2</v>
      </c>
      <c r="U5032">
        <v>2</v>
      </c>
      <c r="V5032">
        <v>9</v>
      </c>
      <c r="W5032">
        <v>3</v>
      </c>
      <c r="X5032">
        <v>86</v>
      </c>
      <c r="Y5032">
        <v>1</v>
      </c>
      <c r="Z5032">
        <v>3</v>
      </c>
      <c r="AA5032">
        <v>23</v>
      </c>
      <c r="AB5032">
        <v>4</v>
      </c>
      <c r="AD5032">
        <v>0</v>
      </c>
      <c r="AE5032">
        <v>0</v>
      </c>
      <c r="AF5032">
        <v>1</v>
      </c>
      <c r="AG5032">
        <v>0</v>
      </c>
      <c r="AI5032">
        <v>0</v>
      </c>
      <c r="AJ5032">
        <v>8</v>
      </c>
      <c r="AK5032">
        <v>261</v>
      </c>
      <c r="AL5032">
        <v>261</v>
      </c>
      <c r="AM5032">
        <v>396</v>
      </c>
      <c r="AN5032">
        <v>44</v>
      </c>
      <c r="AP5032">
        <v>1</v>
      </c>
      <c r="AR5032" t="s">
        <v>5135</v>
      </c>
      <c r="AS5032" s="1">
        <v>44354.234722222223</v>
      </c>
      <c r="AT5032" s="1">
        <v>44354.24459490741</v>
      </c>
      <c r="AU5032" s="1">
        <v>44354.245092592595</v>
      </c>
      <c r="AV5032" t="s">
        <v>71</v>
      </c>
      <c r="AW5032" t="s">
        <v>72</v>
      </c>
      <c r="AX5032" t="s">
        <v>73</v>
      </c>
    </row>
    <row r="5033" spans="1:50" x14ac:dyDescent="0.3">
      <c r="A5033" t="str">
        <f>"202108B0000"</f>
        <v>202108B0000</v>
      </c>
      <c r="B5033" t="str">
        <f>"202108B00002"</f>
        <v>202108B00002</v>
      </c>
      <c r="C5033" t="str">
        <f t="shared" si="249"/>
        <v>20</v>
      </c>
      <c r="D5033" t="s">
        <v>67</v>
      </c>
      <c r="E5033" t="str">
        <f t="shared" si="250"/>
        <v>022</v>
      </c>
      <c r="F5033" t="s">
        <v>4913</v>
      </c>
      <c r="G5033" t="str">
        <f>"2108"</f>
        <v>2108</v>
      </c>
      <c r="H5033" t="str">
        <f>"0000"</f>
        <v>0000</v>
      </c>
      <c r="I5033" t="s">
        <v>69</v>
      </c>
      <c r="J5033">
        <v>0</v>
      </c>
      <c r="K5033">
        <v>1</v>
      </c>
      <c r="L5033">
        <v>2</v>
      </c>
      <c r="M5033">
        <v>229</v>
      </c>
      <c r="N5033">
        <v>736</v>
      </c>
      <c r="O5033">
        <v>0</v>
      </c>
      <c r="P5033">
        <v>507</v>
      </c>
      <c r="Q5033">
        <v>6</v>
      </c>
      <c r="R5033">
        <v>80</v>
      </c>
      <c r="S5033">
        <v>94</v>
      </c>
      <c r="T5033">
        <v>4</v>
      </c>
      <c r="U5033">
        <v>18</v>
      </c>
      <c r="V5033">
        <v>1</v>
      </c>
      <c r="W5033">
        <v>5</v>
      </c>
      <c r="X5033">
        <v>256</v>
      </c>
      <c r="Y5033">
        <v>17</v>
      </c>
      <c r="Z5033">
        <v>4</v>
      </c>
      <c r="AA5033">
        <v>7</v>
      </c>
      <c r="AB5033">
        <v>7</v>
      </c>
      <c r="AD5033" t="s">
        <v>77</v>
      </c>
      <c r="AE5033">
        <v>1</v>
      </c>
      <c r="AF5033">
        <v>1</v>
      </c>
      <c r="AG5033" t="s">
        <v>77</v>
      </c>
      <c r="AI5033" t="s">
        <v>77</v>
      </c>
      <c r="AJ5033">
        <v>6</v>
      </c>
      <c r="AK5033">
        <v>507</v>
      </c>
      <c r="AL5033">
        <v>507</v>
      </c>
      <c r="AM5033">
        <v>692</v>
      </c>
      <c r="AN5033">
        <v>44</v>
      </c>
      <c r="AO5033" t="s">
        <v>78</v>
      </c>
      <c r="AP5033">
        <v>1</v>
      </c>
      <c r="AR5033" t="s">
        <v>5136</v>
      </c>
      <c r="AS5033" s="1">
        <v>44354.159722222219</v>
      </c>
      <c r="AT5033" s="1">
        <v>44354.170671296299</v>
      </c>
      <c r="AU5033" s="1">
        <v>44354.174363425926</v>
      </c>
      <c r="AV5033" t="s">
        <v>71</v>
      </c>
      <c r="AW5033" t="s">
        <v>72</v>
      </c>
      <c r="AX5033" t="s">
        <v>73</v>
      </c>
    </row>
    <row r="5034" spans="1:50" x14ac:dyDescent="0.3">
      <c r="A5034" t="str">
        <f>"202108C0100"</f>
        <v>202108C0100</v>
      </c>
      <c r="B5034" t="str">
        <f>"202108C01002"</f>
        <v>202108C01002</v>
      </c>
      <c r="C5034" t="str">
        <f t="shared" si="249"/>
        <v>20</v>
      </c>
      <c r="D5034" t="s">
        <v>67</v>
      </c>
      <c r="E5034" t="str">
        <f t="shared" si="250"/>
        <v>022</v>
      </c>
      <c r="F5034" t="s">
        <v>4913</v>
      </c>
      <c r="G5034" t="str">
        <f>"2108"</f>
        <v>2108</v>
      </c>
      <c r="H5034" t="str">
        <f>"0001"</f>
        <v>0001</v>
      </c>
      <c r="I5034" t="s">
        <v>75</v>
      </c>
      <c r="J5034">
        <v>0</v>
      </c>
      <c r="K5034">
        <v>1</v>
      </c>
      <c r="L5034">
        <v>2</v>
      </c>
      <c r="M5034">
        <v>224</v>
      </c>
      <c r="N5034">
        <v>511</v>
      </c>
      <c r="O5034">
        <v>1</v>
      </c>
      <c r="P5034" t="s">
        <v>80</v>
      </c>
      <c r="Q5034">
        <v>6</v>
      </c>
      <c r="R5034">
        <v>147</v>
      </c>
      <c r="S5034">
        <v>86</v>
      </c>
      <c r="T5034">
        <v>1</v>
      </c>
      <c r="U5034">
        <v>4</v>
      </c>
      <c r="V5034">
        <v>2</v>
      </c>
      <c r="W5034">
        <v>2</v>
      </c>
      <c r="X5034">
        <v>210</v>
      </c>
      <c r="Y5034">
        <v>17</v>
      </c>
      <c r="Z5034">
        <v>7</v>
      </c>
      <c r="AA5034">
        <v>13</v>
      </c>
      <c r="AB5034">
        <v>4</v>
      </c>
      <c r="AD5034" t="s">
        <v>77</v>
      </c>
      <c r="AE5034" t="s">
        <v>77</v>
      </c>
      <c r="AF5034" t="s">
        <v>77</v>
      </c>
      <c r="AG5034" t="s">
        <v>77</v>
      </c>
      <c r="AI5034" t="s">
        <v>77</v>
      </c>
      <c r="AJ5034">
        <v>12</v>
      </c>
      <c r="AK5034">
        <v>511</v>
      </c>
      <c r="AL5034">
        <v>511</v>
      </c>
      <c r="AM5034">
        <v>691</v>
      </c>
      <c r="AN5034">
        <v>44</v>
      </c>
      <c r="AO5034" t="s">
        <v>78</v>
      </c>
      <c r="AP5034">
        <v>1</v>
      </c>
      <c r="AR5034" t="s">
        <v>5137</v>
      </c>
      <c r="AS5034" s="1">
        <v>44354.159722222219</v>
      </c>
      <c r="AT5034" s="1">
        <v>44354.169976851852</v>
      </c>
      <c r="AU5034" s="1">
        <v>44354.170902777776</v>
      </c>
      <c r="AV5034" t="s">
        <v>71</v>
      </c>
      <c r="AW5034" t="s">
        <v>72</v>
      </c>
      <c r="AX5034" t="s">
        <v>73</v>
      </c>
    </row>
    <row r="5035" spans="1:50" x14ac:dyDescent="0.3">
      <c r="A5035" t="str">
        <f>"202109B0000"</f>
        <v>202109B0000</v>
      </c>
      <c r="B5035" t="str">
        <f>"202109B00002"</f>
        <v>202109B00002</v>
      </c>
      <c r="C5035" t="str">
        <f t="shared" si="249"/>
        <v>20</v>
      </c>
      <c r="D5035" t="s">
        <v>67</v>
      </c>
      <c r="E5035" t="str">
        <f t="shared" si="250"/>
        <v>022</v>
      </c>
      <c r="F5035" t="s">
        <v>4913</v>
      </c>
      <c r="G5035" t="str">
        <f>"2109"</f>
        <v>2109</v>
      </c>
      <c r="H5035" t="str">
        <f>"0000"</f>
        <v>0000</v>
      </c>
      <c r="I5035" t="s">
        <v>69</v>
      </c>
      <c r="J5035">
        <v>0</v>
      </c>
      <c r="K5035">
        <v>1</v>
      </c>
      <c r="L5035">
        <v>2</v>
      </c>
      <c r="M5035">
        <v>246</v>
      </c>
      <c r="N5035">
        <v>414</v>
      </c>
      <c r="O5035">
        <v>0</v>
      </c>
      <c r="P5035">
        <v>415</v>
      </c>
      <c r="Q5035">
        <v>2</v>
      </c>
      <c r="R5035">
        <v>126</v>
      </c>
      <c r="S5035">
        <v>137</v>
      </c>
      <c r="T5035">
        <v>0</v>
      </c>
      <c r="U5035">
        <v>10</v>
      </c>
      <c r="V5035">
        <v>6</v>
      </c>
      <c r="W5035">
        <v>3</v>
      </c>
      <c r="X5035">
        <v>104</v>
      </c>
      <c r="Y5035">
        <v>0</v>
      </c>
      <c r="Z5035">
        <v>4</v>
      </c>
      <c r="AA5035">
        <v>6</v>
      </c>
      <c r="AB5035">
        <v>0</v>
      </c>
      <c r="AD5035">
        <v>0</v>
      </c>
      <c r="AE5035">
        <v>0</v>
      </c>
      <c r="AF5035">
        <v>0</v>
      </c>
      <c r="AG5035">
        <v>0</v>
      </c>
      <c r="AI5035">
        <v>0</v>
      </c>
      <c r="AJ5035">
        <v>12</v>
      </c>
      <c r="AK5035">
        <v>415</v>
      </c>
      <c r="AL5035">
        <v>410</v>
      </c>
      <c r="AM5035">
        <v>616</v>
      </c>
      <c r="AN5035">
        <v>44</v>
      </c>
      <c r="AP5035">
        <v>1</v>
      </c>
      <c r="AR5035" t="s">
        <v>5138</v>
      </c>
      <c r="AS5035" s="1">
        <v>44354.425000000003</v>
      </c>
      <c r="AT5035" s="1">
        <v>44354.426574074074</v>
      </c>
      <c r="AU5035" s="1">
        <v>44354.427060185182</v>
      </c>
      <c r="AV5035" t="s">
        <v>71</v>
      </c>
      <c r="AW5035" t="s">
        <v>72</v>
      </c>
      <c r="AX5035" t="s">
        <v>347</v>
      </c>
    </row>
    <row r="5036" spans="1:50" x14ac:dyDescent="0.3">
      <c r="A5036" t="str">
        <f>"202109E0100"</f>
        <v>202109E0100</v>
      </c>
      <c r="B5036" t="str">
        <f>"202109E01002"</f>
        <v>202109E01002</v>
      </c>
      <c r="C5036" t="str">
        <f t="shared" si="249"/>
        <v>20</v>
      </c>
      <c r="D5036" t="s">
        <v>67</v>
      </c>
      <c r="E5036" t="str">
        <f t="shared" si="250"/>
        <v>022</v>
      </c>
      <c r="F5036" t="s">
        <v>4913</v>
      </c>
      <c r="G5036" t="str">
        <f>"2109"</f>
        <v>2109</v>
      </c>
      <c r="H5036" t="str">
        <f>"0001"</f>
        <v>0001</v>
      </c>
      <c r="I5036" t="s">
        <v>109</v>
      </c>
      <c r="J5036">
        <v>0</v>
      </c>
      <c r="K5036">
        <v>1</v>
      </c>
      <c r="L5036">
        <v>2</v>
      </c>
      <c r="M5036">
        <v>261</v>
      </c>
      <c r="N5036">
        <v>337</v>
      </c>
      <c r="O5036">
        <v>6</v>
      </c>
      <c r="P5036">
        <v>337</v>
      </c>
      <c r="Q5036">
        <v>0</v>
      </c>
      <c r="R5036">
        <v>68</v>
      </c>
      <c r="S5036">
        <v>101</v>
      </c>
      <c r="T5036">
        <v>1</v>
      </c>
      <c r="U5036">
        <v>5</v>
      </c>
      <c r="V5036">
        <v>3</v>
      </c>
      <c r="W5036">
        <v>5</v>
      </c>
      <c r="X5036">
        <v>113</v>
      </c>
      <c r="Y5036">
        <v>1</v>
      </c>
      <c r="Z5036">
        <v>4</v>
      </c>
      <c r="AA5036">
        <v>18</v>
      </c>
      <c r="AB5036">
        <v>6</v>
      </c>
      <c r="AD5036">
        <v>0</v>
      </c>
      <c r="AE5036">
        <v>0</v>
      </c>
      <c r="AF5036">
        <v>1</v>
      </c>
      <c r="AG5036">
        <v>1</v>
      </c>
      <c r="AI5036">
        <v>0</v>
      </c>
      <c r="AJ5036">
        <v>10</v>
      </c>
      <c r="AK5036">
        <v>337</v>
      </c>
      <c r="AL5036">
        <v>337</v>
      </c>
      <c r="AM5036">
        <v>554</v>
      </c>
      <c r="AN5036">
        <v>44</v>
      </c>
      <c r="AP5036">
        <v>1</v>
      </c>
      <c r="AR5036" t="s">
        <v>5139</v>
      </c>
      <c r="AS5036" s="1">
        <v>44354.159722222219</v>
      </c>
      <c r="AT5036" s="1">
        <v>44354.169374999998</v>
      </c>
      <c r="AU5036" s="1">
        <v>44354.169965277775</v>
      </c>
      <c r="AV5036" t="s">
        <v>71</v>
      </c>
      <c r="AW5036" t="s">
        <v>72</v>
      </c>
      <c r="AX5036" t="s">
        <v>73</v>
      </c>
    </row>
    <row r="5037" spans="1:50" x14ac:dyDescent="0.3">
      <c r="A5037" t="str">
        <f>"202110B0000"</f>
        <v>202110B0000</v>
      </c>
      <c r="B5037" t="str">
        <f>"202110B00002"</f>
        <v>202110B00002</v>
      </c>
      <c r="C5037" t="str">
        <f t="shared" si="249"/>
        <v>20</v>
      </c>
      <c r="D5037" t="s">
        <v>67</v>
      </c>
      <c r="E5037" t="str">
        <f t="shared" si="250"/>
        <v>022</v>
      </c>
      <c r="F5037" t="s">
        <v>4913</v>
      </c>
      <c r="G5037" t="str">
        <f>"2110"</f>
        <v>2110</v>
      </c>
      <c r="H5037" t="str">
        <f>"0000"</f>
        <v>0000</v>
      </c>
      <c r="I5037" t="s">
        <v>69</v>
      </c>
      <c r="J5037">
        <v>0</v>
      </c>
      <c r="K5037">
        <v>1</v>
      </c>
      <c r="L5037">
        <v>2</v>
      </c>
      <c r="M5037">
        <v>191</v>
      </c>
      <c r="N5037">
        <v>232</v>
      </c>
      <c r="O5037">
        <v>1</v>
      </c>
      <c r="P5037">
        <v>232</v>
      </c>
      <c r="Q5037">
        <v>1</v>
      </c>
      <c r="R5037">
        <v>55</v>
      </c>
      <c r="S5037">
        <v>65</v>
      </c>
      <c r="T5037">
        <v>1</v>
      </c>
      <c r="U5037">
        <v>5</v>
      </c>
      <c r="V5037">
        <v>2</v>
      </c>
      <c r="W5037">
        <v>7</v>
      </c>
      <c r="X5037">
        <v>71</v>
      </c>
      <c r="Y5037">
        <v>2</v>
      </c>
      <c r="Z5037">
        <v>2</v>
      </c>
      <c r="AA5037">
        <v>8</v>
      </c>
      <c r="AB5037">
        <v>7</v>
      </c>
      <c r="AD5037">
        <v>0</v>
      </c>
      <c r="AE5037">
        <v>1</v>
      </c>
      <c r="AF5037">
        <v>0</v>
      </c>
      <c r="AG5037">
        <v>1</v>
      </c>
      <c r="AI5037">
        <v>0</v>
      </c>
      <c r="AJ5037">
        <v>4</v>
      </c>
      <c r="AK5037">
        <v>232</v>
      </c>
      <c r="AL5037">
        <v>232</v>
      </c>
      <c r="AM5037">
        <v>379</v>
      </c>
      <c r="AN5037">
        <v>44</v>
      </c>
      <c r="AP5037">
        <v>1</v>
      </c>
      <c r="AR5037" t="s">
        <v>5140</v>
      </c>
      <c r="AS5037" s="1">
        <v>44354.073611111111</v>
      </c>
      <c r="AT5037" s="1">
        <v>44354.083726851852</v>
      </c>
      <c r="AU5037" s="1">
        <v>44354.084131944444</v>
      </c>
      <c r="AV5037" t="s">
        <v>71</v>
      </c>
      <c r="AW5037" t="s">
        <v>72</v>
      </c>
      <c r="AX5037" t="s">
        <v>73</v>
      </c>
    </row>
    <row r="5038" spans="1:50" x14ac:dyDescent="0.3">
      <c r="A5038" t="str">
        <f>"202110C0100"</f>
        <v>202110C0100</v>
      </c>
      <c r="B5038" t="str">
        <f>"202110C01002"</f>
        <v>202110C01002</v>
      </c>
      <c r="C5038" t="str">
        <f t="shared" si="249"/>
        <v>20</v>
      </c>
      <c r="D5038" t="s">
        <v>67</v>
      </c>
      <c r="E5038" t="str">
        <f t="shared" si="250"/>
        <v>022</v>
      </c>
      <c r="F5038" t="s">
        <v>4913</v>
      </c>
      <c r="G5038" t="str">
        <f>"2110"</f>
        <v>2110</v>
      </c>
      <c r="H5038" t="str">
        <f>"0001"</f>
        <v>0001</v>
      </c>
      <c r="I5038" t="s">
        <v>75</v>
      </c>
      <c r="J5038">
        <v>0</v>
      </c>
      <c r="K5038">
        <v>1</v>
      </c>
      <c r="L5038">
        <v>2</v>
      </c>
      <c r="M5038">
        <v>180</v>
      </c>
      <c r="N5038">
        <v>242</v>
      </c>
      <c r="O5038">
        <v>0</v>
      </c>
      <c r="P5038">
        <v>242</v>
      </c>
      <c r="Q5038">
        <v>0</v>
      </c>
      <c r="R5038">
        <v>55</v>
      </c>
      <c r="S5038">
        <v>80</v>
      </c>
      <c r="T5038">
        <v>2</v>
      </c>
      <c r="U5038">
        <v>3</v>
      </c>
      <c r="V5038">
        <v>1</v>
      </c>
      <c r="W5038">
        <v>1</v>
      </c>
      <c r="X5038">
        <v>80</v>
      </c>
      <c r="Y5038">
        <v>1</v>
      </c>
      <c r="Z5038">
        <v>1</v>
      </c>
      <c r="AA5038">
        <v>4</v>
      </c>
      <c r="AB5038">
        <v>9</v>
      </c>
      <c r="AD5038">
        <v>1</v>
      </c>
      <c r="AE5038">
        <v>0</v>
      </c>
      <c r="AF5038">
        <v>0</v>
      </c>
      <c r="AG5038">
        <v>0</v>
      </c>
      <c r="AI5038">
        <v>0</v>
      </c>
      <c r="AJ5038">
        <v>4</v>
      </c>
      <c r="AK5038">
        <v>242</v>
      </c>
      <c r="AL5038">
        <v>242</v>
      </c>
      <c r="AM5038">
        <v>378</v>
      </c>
      <c r="AN5038">
        <v>44</v>
      </c>
      <c r="AP5038">
        <v>1</v>
      </c>
      <c r="AR5038" t="s">
        <v>5141</v>
      </c>
      <c r="AS5038" s="1">
        <v>44354.072916666664</v>
      </c>
      <c r="AT5038" s="1">
        <v>44354.082268518519</v>
      </c>
      <c r="AU5038" s="1">
        <v>44354.082673611112</v>
      </c>
      <c r="AV5038" t="s">
        <v>71</v>
      </c>
      <c r="AW5038" t="s">
        <v>72</v>
      </c>
      <c r="AX5038" t="s">
        <v>73</v>
      </c>
    </row>
    <row r="5039" spans="1:50" x14ac:dyDescent="0.3">
      <c r="A5039" t="str">
        <f>"202110E0100"</f>
        <v>202110E0100</v>
      </c>
      <c r="B5039" t="str">
        <f>"202110E01002"</f>
        <v>202110E01002</v>
      </c>
      <c r="C5039" t="str">
        <f t="shared" si="249"/>
        <v>20</v>
      </c>
      <c r="D5039" t="s">
        <v>67</v>
      </c>
      <c r="E5039" t="str">
        <f t="shared" si="250"/>
        <v>022</v>
      </c>
      <c r="F5039" t="s">
        <v>4913</v>
      </c>
      <c r="G5039" t="str">
        <f>"2110"</f>
        <v>2110</v>
      </c>
      <c r="H5039" t="str">
        <f>"0001"</f>
        <v>0001</v>
      </c>
      <c r="I5039" t="s">
        <v>109</v>
      </c>
      <c r="J5039">
        <v>0</v>
      </c>
      <c r="K5039">
        <v>1</v>
      </c>
      <c r="L5039">
        <v>2</v>
      </c>
      <c r="M5039">
        <v>174</v>
      </c>
      <c r="N5039">
        <v>289</v>
      </c>
      <c r="O5039">
        <v>0</v>
      </c>
      <c r="P5039">
        <v>289</v>
      </c>
      <c r="Q5039">
        <v>1</v>
      </c>
      <c r="R5039">
        <v>55</v>
      </c>
      <c r="S5039">
        <v>91</v>
      </c>
      <c r="T5039">
        <v>1</v>
      </c>
      <c r="U5039">
        <v>7</v>
      </c>
      <c r="V5039">
        <v>3</v>
      </c>
      <c r="W5039">
        <v>2</v>
      </c>
      <c r="X5039">
        <v>100</v>
      </c>
      <c r="Y5039">
        <v>4</v>
      </c>
      <c r="Z5039">
        <v>2</v>
      </c>
      <c r="AA5039">
        <v>13</v>
      </c>
      <c r="AB5039">
        <v>10</v>
      </c>
      <c r="AD5039">
        <v>0</v>
      </c>
      <c r="AE5039">
        <v>0</v>
      </c>
      <c r="AF5039">
        <v>0</v>
      </c>
      <c r="AG5039">
        <v>0</v>
      </c>
      <c r="AI5039">
        <v>0</v>
      </c>
      <c r="AJ5039">
        <v>0</v>
      </c>
      <c r="AK5039">
        <v>0</v>
      </c>
      <c r="AL5039">
        <v>289</v>
      </c>
      <c r="AM5039">
        <v>426</v>
      </c>
      <c r="AN5039">
        <v>44</v>
      </c>
      <c r="AP5039">
        <v>1</v>
      </c>
      <c r="AR5039" t="s">
        <v>5142</v>
      </c>
      <c r="AS5039" s="1">
        <v>44354.072916666664</v>
      </c>
      <c r="AT5039" s="1">
        <v>44354.082175925927</v>
      </c>
      <c r="AU5039" s="1">
        <v>44354.082442129627</v>
      </c>
      <c r="AV5039" t="s">
        <v>71</v>
      </c>
      <c r="AW5039" t="s">
        <v>72</v>
      </c>
      <c r="AX5039" t="s">
        <v>73</v>
      </c>
    </row>
    <row r="5040" spans="1:50" x14ac:dyDescent="0.3">
      <c r="A5040" t="str">
        <f>"202111B0000"</f>
        <v>202111B0000</v>
      </c>
      <c r="B5040" t="str">
        <f>"202111B00002"</f>
        <v>202111B00002</v>
      </c>
      <c r="C5040" t="str">
        <f t="shared" si="249"/>
        <v>20</v>
      </c>
      <c r="D5040" t="s">
        <v>67</v>
      </c>
      <c r="E5040" t="str">
        <f t="shared" si="250"/>
        <v>022</v>
      </c>
      <c r="F5040" t="s">
        <v>4913</v>
      </c>
      <c r="G5040" t="str">
        <f>"2111"</f>
        <v>2111</v>
      </c>
      <c r="H5040" t="str">
        <f>"0000"</f>
        <v>0000</v>
      </c>
      <c r="I5040" t="s">
        <v>69</v>
      </c>
      <c r="J5040">
        <v>0</v>
      </c>
      <c r="K5040">
        <v>1</v>
      </c>
      <c r="L5040">
        <v>2</v>
      </c>
      <c r="M5040">
        <v>249</v>
      </c>
      <c r="N5040">
        <v>354</v>
      </c>
      <c r="O5040">
        <v>0</v>
      </c>
      <c r="P5040">
        <v>354</v>
      </c>
      <c r="Q5040">
        <v>0</v>
      </c>
      <c r="R5040">
        <v>83</v>
      </c>
      <c r="S5040">
        <v>88</v>
      </c>
      <c r="T5040">
        <v>1</v>
      </c>
      <c r="U5040">
        <v>9</v>
      </c>
      <c r="V5040">
        <v>2</v>
      </c>
      <c r="W5040">
        <v>6</v>
      </c>
      <c r="X5040">
        <v>99</v>
      </c>
      <c r="Y5040">
        <v>7</v>
      </c>
      <c r="Z5040">
        <v>6</v>
      </c>
      <c r="AA5040">
        <v>9</v>
      </c>
      <c r="AB5040">
        <v>35</v>
      </c>
      <c r="AD5040">
        <v>0</v>
      </c>
      <c r="AE5040">
        <v>0</v>
      </c>
      <c r="AF5040">
        <v>0</v>
      </c>
      <c r="AG5040">
        <v>1</v>
      </c>
      <c r="AI5040">
        <v>0</v>
      </c>
      <c r="AJ5040">
        <v>8</v>
      </c>
      <c r="AK5040">
        <v>354</v>
      </c>
      <c r="AL5040">
        <v>354</v>
      </c>
      <c r="AM5040">
        <v>559</v>
      </c>
      <c r="AN5040">
        <v>44</v>
      </c>
      <c r="AP5040">
        <v>1</v>
      </c>
      <c r="AR5040" t="s">
        <v>5143</v>
      </c>
      <c r="AS5040" s="1">
        <v>44354.15347222222</v>
      </c>
      <c r="AT5040" s="1">
        <v>44354.15792824074</v>
      </c>
      <c r="AU5040" s="1">
        <v>44354.158750000002</v>
      </c>
      <c r="AV5040" t="s">
        <v>71</v>
      </c>
      <c r="AW5040" t="s">
        <v>72</v>
      </c>
      <c r="AX5040" t="s">
        <v>73</v>
      </c>
    </row>
    <row r="5041" spans="1:50" x14ac:dyDescent="0.3">
      <c r="A5041" t="str">
        <f>"202111C0100"</f>
        <v>202111C0100</v>
      </c>
      <c r="B5041" t="str">
        <f>"202111C01002"</f>
        <v>202111C01002</v>
      </c>
      <c r="C5041" t="str">
        <f t="shared" si="249"/>
        <v>20</v>
      </c>
      <c r="D5041" t="s">
        <v>67</v>
      </c>
      <c r="E5041" t="str">
        <f t="shared" si="250"/>
        <v>022</v>
      </c>
      <c r="F5041" t="s">
        <v>4913</v>
      </c>
      <c r="G5041" t="str">
        <f>"2111"</f>
        <v>2111</v>
      </c>
      <c r="H5041" t="str">
        <f>"0001"</f>
        <v>0001</v>
      </c>
      <c r="I5041" t="s">
        <v>75</v>
      </c>
      <c r="J5041">
        <v>0</v>
      </c>
      <c r="K5041">
        <v>1</v>
      </c>
      <c r="L5041">
        <v>2</v>
      </c>
      <c r="M5041">
        <v>263</v>
      </c>
      <c r="N5041">
        <v>340</v>
      </c>
      <c r="O5041">
        <v>0</v>
      </c>
      <c r="P5041">
        <v>340</v>
      </c>
      <c r="Q5041">
        <v>1</v>
      </c>
      <c r="R5041">
        <v>102</v>
      </c>
      <c r="S5041">
        <v>77</v>
      </c>
      <c r="T5041">
        <v>2</v>
      </c>
      <c r="U5041">
        <v>6</v>
      </c>
      <c r="V5041">
        <v>6</v>
      </c>
      <c r="W5041">
        <v>2</v>
      </c>
      <c r="X5041">
        <v>106</v>
      </c>
      <c r="Y5041">
        <v>6</v>
      </c>
      <c r="Z5041">
        <v>6</v>
      </c>
      <c r="AA5041">
        <v>6</v>
      </c>
      <c r="AB5041">
        <v>10</v>
      </c>
      <c r="AD5041">
        <v>0</v>
      </c>
      <c r="AE5041">
        <v>0</v>
      </c>
      <c r="AF5041">
        <v>0</v>
      </c>
      <c r="AG5041">
        <v>1</v>
      </c>
      <c r="AI5041">
        <v>0</v>
      </c>
      <c r="AJ5041">
        <v>9</v>
      </c>
      <c r="AK5041">
        <v>340</v>
      </c>
      <c r="AL5041">
        <v>340</v>
      </c>
      <c r="AM5041">
        <v>559</v>
      </c>
      <c r="AN5041">
        <v>44</v>
      </c>
      <c r="AP5041">
        <v>1</v>
      </c>
      <c r="AR5041" t="s">
        <v>5144</v>
      </c>
      <c r="AS5041" s="1">
        <v>44354.15347222222</v>
      </c>
      <c r="AT5041" s="1">
        <v>44354.157337962963</v>
      </c>
      <c r="AU5041" s="1">
        <v>44354.157847222225</v>
      </c>
      <c r="AV5041" t="s">
        <v>71</v>
      </c>
      <c r="AW5041" t="s">
        <v>72</v>
      </c>
      <c r="AX5041" t="s">
        <v>73</v>
      </c>
    </row>
    <row r="5042" spans="1:50" x14ac:dyDescent="0.3">
      <c r="A5042" t="str">
        <f>"202111C0200"</f>
        <v>202111C0200</v>
      </c>
      <c r="B5042" t="str">
        <f>"202111C02002"</f>
        <v>202111C02002</v>
      </c>
      <c r="C5042" t="str">
        <f t="shared" si="249"/>
        <v>20</v>
      </c>
      <c r="D5042" t="s">
        <v>67</v>
      </c>
      <c r="E5042" t="str">
        <f t="shared" si="250"/>
        <v>022</v>
      </c>
      <c r="F5042" t="s">
        <v>4913</v>
      </c>
      <c r="G5042" t="str">
        <f>"2111"</f>
        <v>2111</v>
      </c>
      <c r="H5042" t="str">
        <f>"0002"</f>
        <v>0002</v>
      </c>
      <c r="I5042" t="s">
        <v>75</v>
      </c>
      <c r="J5042">
        <v>0</v>
      </c>
      <c r="K5042">
        <v>1</v>
      </c>
      <c r="L5042">
        <v>2</v>
      </c>
      <c r="M5042">
        <v>267</v>
      </c>
      <c r="N5042">
        <v>335</v>
      </c>
      <c r="O5042">
        <v>0</v>
      </c>
      <c r="P5042">
        <v>335</v>
      </c>
      <c r="Q5042">
        <v>1</v>
      </c>
      <c r="R5042">
        <v>95</v>
      </c>
      <c r="S5042">
        <v>59</v>
      </c>
      <c r="T5042">
        <v>1</v>
      </c>
      <c r="U5042">
        <v>11</v>
      </c>
      <c r="V5042">
        <v>5</v>
      </c>
      <c r="W5042">
        <v>3</v>
      </c>
      <c r="X5042">
        <v>112</v>
      </c>
      <c r="Y5042">
        <v>16</v>
      </c>
      <c r="Z5042">
        <v>5</v>
      </c>
      <c r="AA5042">
        <v>2</v>
      </c>
      <c r="AB5042">
        <v>14</v>
      </c>
      <c r="AD5042">
        <v>0</v>
      </c>
      <c r="AE5042">
        <v>0</v>
      </c>
      <c r="AF5042">
        <v>0</v>
      </c>
      <c r="AG5042">
        <v>1</v>
      </c>
      <c r="AI5042">
        <v>0</v>
      </c>
      <c r="AJ5042">
        <v>9</v>
      </c>
      <c r="AK5042">
        <v>335</v>
      </c>
      <c r="AL5042">
        <v>334</v>
      </c>
      <c r="AM5042">
        <v>558</v>
      </c>
      <c r="AN5042">
        <v>44</v>
      </c>
      <c r="AP5042">
        <v>1</v>
      </c>
      <c r="AR5042" t="s">
        <v>5145</v>
      </c>
      <c r="AS5042" s="1">
        <v>44354.15</v>
      </c>
      <c r="AT5042" s="1">
        <v>44354.159814814811</v>
      </c>
      <c r="AU5042" s="1">
        <v>44354.160624999997</v>
      </c>
      <c r="AV5042" t="s">
        <v>71</v>
      </c>
      <c r="AW5042" t="s">
        <v>72</v>
      </c>
      <c r="AX5042" t="s">
        <v>73</v>
      </c>
    </row>
    <row r="5043" spans="1:50" x14ac:dyDescent="0.3">
      <c r="A5043" t="str">
        <f>"202123B0000"</f>
        <v>202123B0000</v>
      </c>
      <c r="B5043" t="str">
        <f>"202123B00002"</f>
        <v>202123B00002</v>
      </c>
      <c r="C5043" t="str">
        <f t="shared" si="249"/>
        <v>20</v>
      </c>
      <c r="D5043" t="s">
        <v>67</v>
      </c>
      <c r="E5043" t="str">
        <f t="shared" si="250"/>
        <v>022</v>
      </c>
      <c r="F5043" t="s">
        <v>4913</v>
      </c>
      <c r="G5043" t="str">
        <f>"2123"</f>
        <v>2123</v>
      </c>
      <c r="H5043" t="str">
        <f>"0000"</f>
        <v>0000</v>
      </c>
      <c r="I5043" t="s">
        <v>69</v>
      </c>
      <c r="J5043">
        <v>0</v>
      </c>
      <c r="K5043">
        <v>1</v>
      </c>
      <c r="L5043">
        <v>2</v>
      </c>
      <c r="M5043">
        <v>227</v>
      </c>
      <c r="N5043">
        <v>400</v>
      </c>
      <c r="O5043">
        <v>0</v>
      </c>
      <c r="P5043" t="s">
        <v>80</v>
      </c>
      <c r="Q5043">
        <v>3</v>
      </c>
      <c r="R5043">
        <v>23</v>
      </c>
      <c r="S5043">
        <v>14</v>
      </c>
      <c r="T5043">
        <v>2</v>
      </c>
      <c r="U5043">
        <v>1</v>
      </c>
      <c r="V5043">
        <v>2</v>
      </c>
      <c r="W5043">
        <v>0</v>
      </c>
      <c r="X5043">
        <v>55</v>
      </c>
      <c r="Y5043">
        <v>17</v>
      </c>
      <c r="Z5043">
        <v>127</v>
      </c>
      <c r="AA5043">
        <v>39</v>
      </c>
      <c r="AB5043">
        <v>94</v>
      </c>
      <c r="AD5043">
        <v>3</v>
      </c>
      <c r="AE5043">
        <v>0</v>
      </c>
      <c r="AF5043">
        <v>0</v>
      </c>
      <c r="AG5043">
        <v>0</v>
      </c>
      <c r="AI5043">
        <v>0</v>
      </c>
      <c r="AJ5043">
        <v>20</v>
      </c>
      <c r="AK5043">
        <v>400</v>
      </c>
      <c r="AL5043">
        <v>400</v>
      </c>
      <c r="AM5043">
        <v>583</v>
      </c>
      <c r="AN5043">
        <v>44</v>
      </c>
      <c r="AP5043">
        <v>1</v>
      </c>
      <c r="AR5043" t="s">
        <v>5146</v>
      </c>
      <c r="AS5043" s="1">
        <v>44354.205555555556</v>
      </c>
      <c r="AT5043" s="1">
        <v>44354.208055555559</v>
      </c>
      <c r="AU5043" s="1">
        <v>44354.208749999998</v>
      </c>
      <c r="AV5043" t="s">
        <v>71</v>
      </c>
      <c r="AW5043" t="s">
        <v>72</v>
      </c>
      <c r="AX5043" t="s">
        <v>73</v>
      </c>
    </row>
    <row r="5044" spans="1:50" x14ac:dyDescent="0.3">
      <c r="A5044" t="str">
        <f>"202123C0100"</f>
        <v>202123C0100</v>
      </c>
      <c r="B5044" t="str">
        <f>"202123C01002"</f>
        <v>202123C01002</v>
      </c>
      <c r="C5044" t="str">
        <f t="shared" si="249"/>
        <v>20</v>
      </c>
      <c r="D5044" t="s">
        <v>67</v>
      </c>
      <c r="E5044" t="str">
        <f t="shared" si="250"/>
        <v>022</v>
      </c>
      <c r="F5044" t="s">
        <v>4913</v>
      </c>
      <c r="G5044" t="str">
        <f>"2123"</f>
        <v>2123</v>
      </c>
      <c r="H5044" t="str">
        <f>"0001"</f>
        <v>0001</v>
      </c>
      <c r="I5044" t="s">
        <v>75</v>
      </c>
      <c r="J5044">
        <v>0</v>
      </c>
      <c r="K5044">
        <v>1</v>
      </c>
      <c r="L5044">
        <v>2</v>
      </c>
      <c r="M5044">
        <v>219</v>
      </c>
      <c r="N5044">
        <v>408</v>
      </c>
      <c r="O5044">
        <v>0</v>
      </c>
      <c r="P5044">
        <v>408</v>
      </c>
      <c r="Q5044">
        <v>4</v>
      </c>
      <c r="R5044">
        <v>29</v>
      </c>
      <c r="S5044">
        <v>17</v>
      </c>
      <c r="T5044">
        <v>0</v>
      </c>
      <c r="U5044">
        <v>0</v>
      </c>
      <c r="V5044">
        <v>1</v>
      </c>
      <c r="W5044">
        <v>0</v>
      </c>
      <c r="X5044">
        <v>34</v>
      </c>
      <c r="Y5044">
        <v>29</v>
      </c>
      <c r="Z5044">
        <v>157</v>
      </c>
      <c r="AA5044">
        <v>36</v>
      </c>
      <c r="AB5044">
        <v>68</v>
      </c>
      <c r="AD5044">
        <v>0</v>
      </c>
      <c r="AE5044">
        <v>0</v>
      </c>
      <c r="AF5044">
        <v>0</v>
      </c>
      <c r="AG5044">
        <v>0</v>
      </c>
      <c r="AI5044">
        <v>0</v>
      </c>
      <c r="AJ5044">
        <v>33</v>
      </c>
      <c r="AK5044">
        <v>408</v>
      </c>
      <c r="AL5044">
        <v>408</v>
      </c>
      <c r="AM5044">
        <v>583</v>
      </c>
      <c r="AN5044">
        <v>44</v>
      </c>
      <c r="AP5044">
        <v>1</v>
      </c>
      <c r="AR5044" t="s">
        <v>5147</v>
      </c>
      <c r="AS5044" s="1">
        <v>44354.192361111112</v>
      </c>
      <c r="AT5044" s="1">
        <v>44354.220034722224</v>
      </c>
      <c r="AU5044" s="1">
        <v>44354.220925925925</v>
      </c>
      <c r="AV5044" t="s">
        <v>71</v>
      </c>
      <c r="AW5044" t="s">
        <v>72</v>
      </c>
      <c r="AX5044" t="s">
        <v>73</v>
      </c>
    </row>
    <row r="5045" spans="1:50" x14ac:dyDescent="0.3">
      <c r="A5045" t="str">
        <f>"202124B0000"</f>
        <v>202124B0000</v>
      </c>
      <c r="B5045" t="str">
        <f>"202124B00002"</f>
        <v>202124B00002</v>
      </c>
      <c r="C5045" t="str">
        <f t="shared" si="249"/>
        <v>20</v>
      </c>
      <c r="D5045" t="s">
        <v>67</v>
      </c>
      <c r="E5045" t="str">
        <f t="shared" si="250"/>
        <v>022</v>
      </c>
      <c r="F5045" t="s">
        <v>4913</v>
      </c>
      <c r="G5045" t="str">
        <f>"2124"</f>
        <v>2124</v>
      </c>
      <c r="H5045" t="str">
        <f>"0000"</f>
        <v>0000</v>
      </c>
      <c r="I5045" t="s">
        <v>69</v>
      </c>
      <c r="J5045">
        <v>0</v>
      </c>
      <c r="K5045">
        <v>1</v>
      </c>
      <c r="L5045">
        <v>2</v>
      </c>
      <c r="M5045">
        <v>176</v>
      </c>
      <c r="N5045">
        <v>254</v>
      </c>
      <c r="O5045">
        <v>0</v>
      </c>
      <c r="P5045">
        <v>254</v>
      </c>
      <c r="Q5045">
        <v>1</v>
      </c>
      <c r="R5045">
        <v>13</v>
      </c>
      <c r="S5045">
        <v>10</v>
      </c>
      <c r="T5045">
        <v>0</v>
      </c>
      <c r="U5045">
        <v>4</v>
      </c>
      <c r="V5045">
        <v>2</v>
      </c>
      <c r="W5045">
        <v>0</v>
      </c>
      <c r="X5045">
        <v>21</v>
      </c>
      <c r="Y5045">
        <v>24</v>
      </c>
      <c r="Z5045">
        <v>49</v>
      </c>
      <c r="AA5045">
        <v>16</v>
      </c>
      <c r="AB5045">
        <v>100</v>
      </c>
      <c r="AD5045">
        <v>0</v>
      </c>
      <c r="AE5045">
        <v>0</v>
      </c>
      <c r="AF5045">
        <v>0</v>
      </c>
      <c r="AG5045">
        <v>0</v>
      </c>
      <c r="AI5045">
        <v>0</v>
      </c>
      <c r="AJ5045">
        <v>14</v>
      </c>
      <c r="AK5045">
        <v>254</v>
      </c>
      <c r="AL5045">
        <v>254</v>
      </c>
      <c r="AM5045">
        <v>386</v>
      </c>
      <c r="AN5045">
        <v>44</v>
      </c>
      <c r="AP5045">
        <v>1</v>
      </c>
      <c r="AR5045" t="s">
        <v>5148</v>
      </c>
      <c r="AS5045" s="1">
        <v>44354.205555555556</v>
      </c>
      <c r="AT5045" s="1">
        <v>44354.20888888889</v>
      </c>
      <c r="AU5045" s="1">
        <v>44354.209560185183</v>
      </c>
      <c r="AV5045" t="s">
        <v>71</v>
      </c>
      <c r="AW5045" t="s">
        <v>72</v>
      </c>
      <c r="AX5045" t="s">
        <v>73</v>
      </c>
    </row>
    <row r="5046" spans="1:50" x14ac:dyDescent="0.3">
      <c r="A5046" t="str">
        <f>"202124C0100"</f>
        <v>202124C0100</v>
      </c>
      <c r="B5046" t="str">
        <f>"202124C01002"</f>
        <v>202124C01002</v>
      </c>
      <c r="C5046" t="str">
        <f t="shared" si="249"/>
        <v>20</v>
      </c>
      <c r="D5046" t="s">
        <v>67</v>
      </c>
      <c r="E5046" t="str">
        <f t="shared" si="250"/>
        <v>022</v>
      </c>
      <c r="F5046" t="s">
        <v>4913</v>
      </c>
      <c r="G5046" t="str">
        <f>"2124"</f>
        <v>2124</v>
      </c>
      <c r="H5046" t="str">
        <f>"0001"</f>
        <v>0001</v>
      </c>
      <c r="I5046" t="s">
        <v>75</v>
      </c>
      <c r="J5046">
        <v>0</v>
      </c>
      <c r="K5046">
        <v>1</v>
      </c>
      <c r="L5046">
        <v>2</v>
      </c>
      <c r="M5046">
        <v>162</v>
      </c>
      <c r="N5046">
        <v>267</v>
      </c>
      <c r="O5046">
        <v>0</v>
      </c>
      <c r="P5046">
        <v>267</v>
      </c>
      <c r="Q5046">
        <v>0</v>
      </c>
      <c r="R5046">
        <v>19</v>
      </c>
      <c r="S5046">
        <v>12</v>
      </c>
      <c r="T5046">
        <v>0</v>
      </c>
      <c r="U5046">
        <v>2</v>
      </c>
      <c r="V5046">
        <v>0</v>
      </c>
      <c r="W5046">
        <v>0</v>
      </c>
      <c r="X5046">
        <v>29</v>
      </c>
      <c r="Y5046">
        <v>27</v>
      </c>
      <c r="Z5046">
        <v>48</v>
      </c>
      <c r="AA5046">
        <v>8</v>
      </c>
      <c r="AB5046">
        <v>107</v>
      </c>
      <c r="AD5046">
        <v>0</v>
      </c>
      <c r="AE5046">
        <v>0</v>
      </c>
      <c r="AF5046">
        <v>0</v>
      </c>
      <c r="AG5046">
        <v>0</v>
      </c>
      <c r="AI5046">
        <v>0</v>
      </c>
      <c r="AJ5046">
        <v>15</v>
      </c>
      <c r="AK5046">
        <v>267</v>
      </c>
      <c r="AL5046">
        <v>267</v>
      </c>
      <c r="AM5046">
        <v>385</v>
      </c>
      <c r="AN5046">
        <v>44</v>
      </c>
      <c r="AP5046">
        <v>1</v>
      </c>
      <c r="AR5046" t="s">
        <v>5149</v>
      </c>
      <c r="AS5046" s="1">
        <v>44354.204861111109</v>
      </c>
      <c r="AT5046" s="1">
        <v>44354.21402777778</v>
      </c>
      <c r="AU5046" s="1">
        <v>44354.21466435185</v>
      </c>
      <c r="AV5046" t="s">
        <v>71</v>
      </c>
      <c r="AW5046" t="s">
        <v>72</v>
      </c>
      <c r="AX5046" t="s">
        <v>73</v>
      </c>
    </row>
    <row r="5047" spans="1:50" x14ac:dyDescent="0.3">
      <c r="A5047" t="str">
        <f>"202124E0100"</f>
        <v>202124E0100</v>
      </c>
      <c r="B5047" t="str">
        <f>"202124E01002"</f>
        <v>202124E01002</v>
      </c>
      <c r="C5047" t="str">
        <f t="shared" si="249"/>
        <v>20</v>
      </c>
      <c r="D5047" t="s">
        <v>67</v>
      </c>
      <c r="E5047" t="str">
        <f t="shared" si="250"/>
        <v>022</v>
      </c>
      <c r="F5047" t="s">
        <v>4913</v>
      </c>
      <c r="G5047" t="str">
        <f>"2124"</f>
        <v>2124</v>
      </c>
      <c r="H5047" t="str">
        <f>"0001"</f>
        <v>0001</v>
      </c>
      <c r="I5047" t="s">
        <v>109</v>
      </c>
      <c r="J5047">
        <v>0</v>
      </c>
      <c r="K5047">
        <v>1</v>
      </c>
      <c r="L5047">
        <v>2</v>
      </c>
      <c r="M5047">
        <v>93</v>
      </c>
      <c r="N5047">
        <v>116</v>
      </c>
      <c r="O5047">
        <v>0</v>
      </c>
      <c r="P5047">
        <v>116</v>
      </c>
      <c r="Q5047">
        <v>5</v>
      </c>
      <c r="R5047">
        <v>38</v>
      </c>
      <c r="S5047">
        <v>7</v>
      </c>
      <c r="T5047">
        <v>2</v>
      </c>
      <c r="U5047">
        <v>2</v>
      </c>
      <c r="V5047">
        <v>0</v>
      </c>
      <c r="W5047">
        <v>0</v>
      </c>
      <c r="X5047">
        <v>19</v>
      </c>
      <c r="Y5047">
        <v>5</v>
      </c>
      <c r="Z5047">
        <v>14</v>
      </c>
      <c r="AA5047">
        <v>11</v>
      </c>
      <c r="AB5047">
        <v>4</v>
      </c>
      <c r="AD5047">
        <v>0</v>
      </c>
      <c r="AE5047">
        <v>0</v>
      </c>
      <c r="AF5047">
        <v>0</v>
      </c>
      <c r="AG5047">
        <v>0</v>
      </c>
      <c r="AI5047">
        <v>0</v>
      </c>
      <c r="AJ5047">
        <v>9</v>
      </c>
      <c r="AK5047">
        <v>116</v>
      </c>
      <c r="AL5047">
        <v>116</v>
      </c>
      <c r="AM5047">
        <v>165</v>
      </c>
      <c r="AN5047">
        <v>44</v>
      </c>
      <c r="AP5047">
        <v>1</v>
      </c>
      <c r="AR5047" t="s">
        <v>5150</v>
      </c>
      <c r="AS5047" s="1">
        <v>44354.200694444444</v>
      </c>
      <c r="AT5047" s="1">
        <v>44354.204780092594</v>
      </c>
      <c r="AU5047" s="1">
        <v>44354.20553240741</v>
      </c>
      <c r="AV5047" t="s">
        <v>71</v>
      </c>
      <c r="AW5047" t="s">
        <v>72</v>
      </c>
      <c r="AX5047" t="s">
        <v>73</v>
      </c>
    </row>
    <row r="5048" spans="1:50" x14ac:dyDescent="0.3">
      <c r="A5048" t="str">
        <f>"202124E0200"</f>
        <v>202124E0200</v>
      </c>
      <c r="B5048" t="str">
        <f>"202124E02002"</f>
        <v>202124E02002</v>
      </c>
      <c r="C5048" t="str">
        <f t="shared" si="249"/>
        <v>20</v>
      </c>
      <c r="D5048" t="s">
        <v>67</v>
      </c>
      <c r="E5048" t="str">
        <f t="shared" si="250"/>
        <v>022</v>
      </c>
      <c r="F5048" t="s">
        <v>4913</v>
      </c>
      <c r="G5048" t="str">
        <f>"2124"</f>
        <v>2124</v>
      </c>
      <c r="H5048" t="str">
        <f>"0002"</f>
        <v>0002</v>
      </c>
      <c r="I5048" t="s">
        <v>109</v>
      </c>
      <c r="J5048">
        <v>0</v>
      </c>
      <c r="K5048">
        <v>1</v>
      </c>
      <c r="L5048">
        <v>2</v>
      </c>
      <c r="M5048">
        <v>107</v>
      </c>
      <c r="N5048">
        <v>128</v>
      </c>
      <c r="O5048">
        <v>0</v>
      </c>
      <c r="P5048">
        <v>128</v>
      </c>
      <c r="Q5048">
        <v>3</v>
      </c>
      <c r="R5048">
        <v>9</v>
      </c>
      <c r="S5048">
        <v>3</v>
      </c>
      <c r="T5048">
        <v>0</v>
      </c>
      <c r="U5048">
        <v>0</v>
      </c>
      <c r="V5048">
        <v>0</v>
      </c>
      <c r="W5048">
        <v>1</v>
      </c>
      <c r="X5048">
        <v>37</v>
      </c>
      <c r="Y5048">
        <v>0</v>
      </c>
      <c r="Z5048">
        <v>6</v>
      </c>
      <c r="AA5048">
        <v>11</v>
      </c>
      <c r="AB5048">
        <v>46</v>
      </c>
      <c r="AD5048">
        <v>0</v>
      </c>
      <c r="AE5048">
        <v>0</v>
      </c>
      <c r="AF5048">
        <v>0</v>
      </c>
      <c r="AG5048">
        <v>0</v>
      </c>
      <c r="AI5048">
        <v>0</v>
      </c>
      <c r="AJ5048">
        <v>12</v>
      </c>
      <c r="AK5048">
        <v>128</v>
      </c>
      <c r="AL5048">
        <v>128</v>
      </c>
      <c r="AM5048">
        <v>191</v>
      </c>
      <c r="AN5048">
        <v>44</v>
      </c>
      <c r="AP5048">
        <v>1</v>
      </c>
      <c r="AR5048" t="s">
        <v>5151</v>
      </c>
      <c r="AS5048" s="1">
        <v>44354.200694444444</v>
      </c>
      <c r="AT5048" s="1">
        <v>44354.203541666669</v>
      </c>
      <c r="AU5048" s="1">
        <v>44354.203831018516</v>
      </c>
      <c r="AV5048" t="s">
        <v>71</v>
      </c>
      <c r="AW5048" t="s">
        <v>72</v>
      </c>
      <c r="AX5048" t="s">
        <v>73</v>
      </c>
    </row>
    <row r="5049" spans="1:50" x14ac:dyDescent="0.3">
      <c r="A5049" t="str">
        <f>"202173B0000"</f>
        <v>202173B0000</v>
      </c>
      <c r="B5049" t="str">
        <f>"202173B00002"</f>
        <v>202173B00002</v>
      </c>
      <c r="C5049" t="str">
        <f t="shared" si="249"/>
        <v>20</v>
      </c>
      <c r="D5049" t="s">
        <v>67</v>
      </c>
      <c r="E5049" t="str">
        <f t="shared" si="250"/>
        <v>022</v>
      </c>
      <c r="F5049" t="s">
        <v>4913</v>
      </c>
      <c r="G5049" t="str">
        <f>"2173"</f>
        <v>2173</v>
      </c>
      <c r="H5049" t="str">
        <f>"0000"</f>
        <v>0000</v>
      </c>
      <c r="I5049" t="s">
        <v>69</v>
      </c>
      <c r="J5049">
        <v>0</v>
      </c>
      <c r="K5049">
        <v>1</v>
      </c>
      <c r="L5049">
        <v>2</v>
      </c>
      <c r="M5049" t="s">
        <v>99</v>
      </c>
      <c r="N5049">
        <v>436</v>
      </c>
      <c r="O5049" t="s">
        <v>80</v>
      </c>
      <c r="P5049">
        <v>424</v>
      </c>
      <c r="Q5049">
        <v>5</v>
      </c>
      <c r="R5049">
        <v>112</v>
      </c>
      <c r="S5049">
        <v>99</v>
      </c>
      <c r="T5049">
        <v>60</v>
      </c>
      <c r="U5049">
        <v>2</v>
      </c>
      <c r="V5049" t="s">
        <v>77</v>
      </c>
      <c r="W5049">
        <v>1</v>
      </c>
      <c r="X5049">
        <v>87</v>
      </c>
      <c r="Y5049">
        <v>26</v>
      </c>
      <c r="Z5049">
        <v>27</v>
      </c>
      <c r="AA5049">
        <v>1</v>
      </c>
      <c r="AB5049">
        <v>2</v>
      </c>
      <c r="AD5049" t="s">
        <v>77</v>
      </c>
      <c r="AE5049">
        <v>0</v>
      </c>
      <c r="AF5049">
        <v>2</v>
      </c>
      <c r="AG5049">
        <v>1</v>
      </c>
      <c r="AI5049" t="s">
        <v>77</v>
      </c>
      <c r="AJ5049">
        <v>11</v>
      </c>
      <c r="AK5049">
        <v>424</v>
      </c>
      <c r="AL5049">
        <v>436</v>
      </c>
      <c r="AM5049">
        <v>635</v>
      </c>
      <c r="AN5049">
        <v>44</v>
      </c>
      <c r="AO5049" t="s">
        <v>78</v>
      </c>
      <c r="AP5049">
        <v>1</v>
      </c>
      <c r="AR5049" t="s">
        <v>5152</v>
      </c>
      <c r="AS5049" s="1">
        <v>44354.576388888891</v>
      </c>
      <c r="AT5049" s="1">
        <v>44354.586354166669</v>
      </c>
      <c r="AU5049" s="1">
        <v>44354.588125000002</v>
      </c>
      <c r="AV5049" t="s">
        <v>71</v>
      </c>
      <c r="AW5049" t="s">
        <v>72</v>
      </c>
      <c r="AX5049" t="s">
        <v>73</v>
      </c>
    </row>
    <row r="5050" spans="1:50" x14ac:dyDescent="0.3">
      <c r="A5050" t="str">
        <f>"202173C0100"</f>
        <v>202173C0100</v>
      </c>
      <c r="B5050" t="str">
        <f>"202173C01002"</f>
        <v>202173C01002</v>
      </c>
      <c r="C5050" t="str">
        <f t="shared" si="249"/>
        <v>20</v>
      </c>
      <c r="D5050" t="s">
        <v>67</v>
      </c>
      <c r="E5050" t="str">
        <f t="shared" si="250"/>
        <v>022</v>
      </c>
      <c r="F5050" t="s">
        <v>4913</v>
      </c>
      <c r="G5050" t="str">
        <f>"2173"</f>
        <v>2173</v>
      </c>
      <c r="H5050" t="str">
        <f>"0001"</f>
        <v>0001</v>
      </c>
      <c r="I5050" t="s">
        <v>75</v>
      </c>
      <c r="J5050">
        <v>0</v>
      </c>
      <c r="K5050">
        <v>1</v>
      </c>
      <c r="L5050">
        <v>2</v>
      </c>
      <c r="M5050">
        <v>233</v>
      </c>
      <c r="N5050">
        <v>445</v>
      </c>
      <c r="O5050">
        <v>0</v>
      </c>
      <c r="P5050">
        <v>445</v>
      </c>
      <c r="Q5050">
        <v>13</v>
      </c>
      <c r="R5050">
        <v>112</v>
      </c>
      <c r="S5050">
        <v>128</v>
      </c>
      <c r="T5050">
        <v>44</v>
      </c>
      <c r="U5050" t="s">
        <v>77</v>
      </c>
      <c r="V5050">
        <v>2</v>
      </c>
      <c r="W5050" t="s">
        <v>77</v>
      </c>
      <c r="X5050">
        <v>76</v>
      </c>
      <c r="Y5050">
        <v>16</v>
      </c>
      <c r="Z5050">
        <v>40</v>
      </c>
      <c r="AA5050">
        <v>4</v>
      </c>
      <c r="AB5050" t="s">
        <v>77</v>
      </c>
      <c r="AD5050" t="s">
        <v>77</v>
      </c>
      <c r="AE5050" t="s">
        <v>77</v>
      </c>
      <c r="AF5050" t="s">
        <v>77</v>
      </c>
      <c r="AG5050" t="s">
        <v>77</v>
      </c>
      <c r="AI5050" t="s">
        <v>77</v>
      </c>
      <c r="AJ5050">
        <v>10</v>
      </c>
      <c r="AK5050">
        <v>445</v>
      </c>
      <c r="AL5050">
        <v>445</v>
      </c>
      <c r="AM5050">
        <v>634</v>
      </c>
      <c r="AN5050">
        <v>44</v>
      </c>
      <c r="AO5050" t="s">
        <v>78</v>
      </c>
      <c r="AP5050">
        <v>1</v>
      </c>
      <c r="AR5050" t="s">
        <v>5153</v>
      </c>
      <c r="AS5050" s="1">
        <v>44354.576388888891</v>
      </c>
      <c r="AT5050" s="1">
        <v>44354.578831018516</v>
      </c>
      <c r="AU5050" s="1">
        <v>44354.579583333332</v>
      </c>
      <c r="AV5050" t="s">
        <v>71</v>
      </c>
      <c r="AW5050" t="s">
        <v>72</v>
      </c>
      <c r="AX5050" t="s">
        <v>73</v>
      </c>
    </row>
    <row r="5051" spans="1:50" x14ac:dyDescent="0.3">
      <c r="A5051" t="str">
        <f>"202174B0000"</f>
        <v>202174B0000</v>
      </c>
      <c r="B5051" t="str">
        <f>"202174B00002"</f>
        <v>202174B00002</v>
      </c>
      <c r="C5051" t="str">
        <f t="shared" si="249"/>
        <v>20</v>
      </c>
      <c r="D5051" t="s">
        <v>67</v>
      </c>
      <c r="E5051" t="str">
        <f t="shared" si="250"/>
        <v>022</v>
      </c>
      <c r="F5051" t="s">
        <v>4913</v>
      </c>
      <c r="G5051" t="str">
        <f>"2174"</f>
        <v>2174</v>
      </c>
      <c r="H5051" t="str">
        <f>"0000"</f>
        <v>0000</v>
      </c>
      <c r="I5051" t="s">
        <v>69</v>
      </c>
      <c r="J5051">
        <v>0</v>
      </c>
      <c r="K5051">
        <v>1</v>
      </c>
      <c r="L5051">
        <v>2</v>
      </c>
      <c r="M5051">
        <v>165</v>
      </c>
      <c r="N5051">
        <v>276</v>
      </c>
      <c r="O5051">
        <v>0</v>
      </c>
      <c r="P5051">
        <v>275</v>
      </c>
      <c r="Q5051">
        <v>11</v>
      </c>
      <c r="R5051">
        <v>66</v>
      </c>
      <c r="S5051">
        <v>68</v>
      </c>
      <c r="T5051">
        <v>27</v>
      </c>
      <c r="U5051">
        <v>0</v>
      </c>
      <c r="V5051">
        <v>0</v>
      </c>
      <c r="W5051">
        <v>0</v>
      </c>
      <c r="X5051">
        <v>47</v>
      </c>
      <c r="Y5051">
        <v>16</v>
      </c>
      <c r="Z5051">
        <v>18</v>
      </c>
      <c r="AA5051">
        <v>10</v>
      </c>
      <c r="AB5051">
        <v>1</v>
      </c>
      <c r="AD5051">
        <v>0</v>
      </c>
      <c r="AE5051">
        <v>0</v>
      </c>
      <c r="AF5051">
        <v>0</v>
      </c>
      <c r="AG5051">
        <v>0</v>
      </c>
      <c r="AI5051">
        <v>0</v>
      </c>
      <c r="AJ5051">
        <v>12</v>
      </c>
      <c r="AK5051">
        <v>276</v>
      </c>
      <c r="AL5051">
        <v>276</v>
      </c>
      <c r="AM5051">
        <v>397</v>
      </c>
      <c r="AN5051">
        <v>44</v>
      </c>
      <c r="AP5051">
        <v>1</v>
      </c>
      <c r="AR5051" t="s">
        <v>5154</v>
      </c>
      <c r="AS5051" s="1">
        <v>44354.552083333336</v>
      </c>
      <c r="AT5051" s="1">
        <v>44354.558391203704</v>
      </c>
      <c r="AU5051" s="1">
        <v>44354.559189814812</v>
      </c>
      <c r="AV5051" t="s">
        <v>71</v>
      </c>
      <c r="AW5051" t="s">
        <v>72</v>
      </c>
      <c r="AX5051" t="s">
        <v>73</v>
      </c>
    </row>
    <row r="5052" spans="1:50" x14ac:dyDescent="0.3">
      <c r="A5052" t="str">
        <f>"202174C0100"</f>
        <v>202174C0100</v>
      </c>
      <c r="B5052" t="str">
        <f>"202174C01002"</f>
        <v>202174C01002</v>
      </c>
      <c r="C5052" t="str">
        <f t="shared" si="249"/>
        <v>20</v>
      </c>
      <c r="D5052" t="s">
        <v>67</v>
      </c>
      <c r="E5052" t="str">
        <f t="shared" si="250"/>
        <v>022</v>
      </c>
      <c r="F5052" t="s">
        <v>4913</v>
      </c>
      <c r="G5052" t="str">
        <f>"2174"</f>
        <v>2174</v>
      </c>
      <c r="H5052" t="str">
        <f>"0001"</f>
        <v>0001</v>
      </c>
      <c r="I5052" t="s">
        <v>75</v>
      </c>
      <c r="J5052">
        <v>0</v>
      </c>
      <c r="K5052">
        <v>1</v>
      </c>
      <c r="L5052">
        <v>2</v>
      </c>
      <c r="M5052">
        <v>170</v>
      </c>
      <c r="N5052">
        <v>270</v>
      </c>
      <c r="O5052">
        <v>0</v>
      </c>
      <c r="P5052">
        <v>270</v>
      </c>
      <c r="Q5052">
        <v>11</v>
      </c>
      <c r="R5052">
        <v>68</v>
      </c>
      <c r="S5052">
        <v>65</v>
      </c>
      <c r="T5052">
        <v>25</v>
      </c>
      <c r="U5052">
        <v>2</v>
      </c>
      <c r="V5052">
        <v>1</v>
      </c>
      <c r="W5052" t="s">
        <v>77</v>
      </c>
      <c r="X5052">
        <v>48</v>
      </c>
      <c r="Y5052">
        <v>16</v>
      </c>
      <c r="Z5052">
        <v>8</v>
      </c>
      <c r="AA5052">
        <v>10</v>
      </c>
      <c r="AB5052">
        <v>2</v>
      </c>
      <c r="AD5052" t="s">
        <v>77</v>
      </c>
      <c r="AE5052" t="s">
        <v>77</v>
      </c>
      <c r="AF5052" t="s">
        <v>77</v>
      </c>
      <c r="AG5052" t="s">
        <v>77</v>
      </c>
      <c r="AI5052" t="s">
        <v>77</v>
      </c>
      <c r="AJ5052">
        <v>13</v>
      </c>
      <c r="AK5052" t="s">
        <v>77</v>
      </c>
      <c r="AL5052">
        <v>269</v>
      </c>
      <c r="AM5052">
        <v>396</v>
      </c>
      <c r="AN5052">
        <v>44</v>
      </c>
      <c r="AO5052" t="s">
        <v>78</v>
      </c>
      <c r="AP5052">
        <v>1</v>
      </c>
      <c r="AR5052" t="s">
        <v>5155</v>
      </c>
      <c r="AS5052" s="1">
        <v>44354.552083333336</v>
      </c>
      <c r="AT5052" s="1">
        <v>44354.557442129626</v>
      </c>
      <c r="AU5052" s="1">
        <v>44354.558009259257</v>
      </c>
      <c r="AV5052" t="s">
        <v>71</v>
      </c>
      <c r="AW5052" t="s">
        <v>72</v>
      </c>
      <c r="AX5052" t="s">
        <v>73</v>
      </c>
    </row>
    <row r="5053" spans="1:50" x14ac:dyDescent="0.3">
      <c r="A5053" t="str">
        <f>"202174E0100"</f>
        <v>202174E0100</v>
      </c>
      <c r="B5053" t="str">
        <f>"202174E01002"</f>
        <v>202174E01002</v>
      </c>
      <c r="C5053" t="str">
        <f t="shared" si="249"/>
        <v>20</v>
      </c>
      <c r="D5053" t="s">
        <v>67</v>
      </c>
      <c r="E5053" t="str">
        <f t="shared" si="250"/>
        <v>022</v>
      </c>
      <c r="F5053" t="s">
        <v>4913</v>
      </c>
      <c r="G5053" t="str">
        <f>"2174"</f>
        <v>2174</v>
      </c>
      <c r="H5053" t="str">
        <f>"0001"</f>
        <v>0001</v>
      </c>
      <c r="I5053" t="s">
        <v>109</v>
      </c>
      <c r="J5053">
        <v>0</v>
      </c>
      <c r="K5053">
        <v>1</v>
      </c>
      <c r="L5053">
        <v>2</v>
      </c>
      <c r="M5053">
        <v>118</v>
      </c>
      <c r="N5053">
        <v>270</v>
      </c>
      <c r="O5053">
        <v>0</v>
      </c>
      <c r="P5053">
        <v>270</v>
      </c>
      <c r="Q5053">
        <v>1</v>
      </c>
      <c r="R5053">
        <v>86</v>
      </c>
      <c r="S5053">
        <v>50</v>
      </c>
      <c r="T5053">
        <v>26</v>
      </c>
      <c r="U5053">
        <v>1</v>
      </c>
      <c r="V5053">
        <v>0</v>
      </c>
      <c r="W5053">
        <v>0</v>
      </c>
      <c r="X5053">
        <v>18</v>
      </c>
      <c r="Y5053">
        <v>8</v>
      </c>
      <c r="Z5053">
        <v>19</v>
      </c>
      <c r="AA5053">
        <v>26</v>
      </c>
      <c r="AB5053">
        <v>2</v>
      </c>
      <c r="AD5053" t="s">
        <v>77</v>
      </c>
      <c r="AE5053" t="s">
        <v>77</v>
      </c>
      <c r="AF5053" t="s">
        <v>77</v>
      </c>
      <c r="AG5053" t="s">
        <v>77</v>
      </c>
      <c r="AI5053" t="s">
        <v>77</v>
      </c>
      <c r="AJ5053">
        <v>33</v>
      </c>
      <c r="AK5053">
        <v>270</v>
      </c>
      <c r="AL5053">
        <v>270</v>
      </c>
      <c r="AM5053">
        <v>344</v>
      </c>
      <c r="AN5053">
        <v>44</v>
      </c>
      <c r="AO5053" t="s">
        <v>78</v>
      </c>
      <c r="AP5053">
        <v>1</v>
      </c>
      <c r="AR5053" t="s">
        <v>5156</v>
      </c>
      <c r="AS5053" s="1">
        <v>44354.552083333336</v>
      </c>
      <c r="AT5053" s="1">
        <v>44354.560023148151</v>
      </c>
      <c r="AU5053" s="1">
        <v>44354.560520833336</v>
      </c>
      <c r="AV5053" t="s">
        <v>71</v>
      </c>
      <c r="AW5053" t="s">
        <v>72</v>
      </c>
      <c r="AX5053" t="s">
        <v>73</v>
      </c>
    </row>
    <row r="5054" spans="1:50" x14ac:dyDescent="0.3">
      <c r="A5054" t="str">
        <f>"201170B0000"</f>
        <v>201170B0000</v>
      </c>
      <c r="B5054" t="str">
        <f>"201170B00002"</f>
        <v>201170B00002</v>
      </c>
      <c r="C5054" t="str">
        <f t="shared" si="249"/>
        <v>20</v>
      </c>
      <c r="D5054" t="s">
        <v>67</v>
      </c>
      <c r="E5054" t="str">
        <f t="shared" ref="E5054:E5117" si="252">"023"</f>
        <v>023</v>
      </c>
      <c r="F5054" t="s">
        <v>5157</v>
      </c>
      <c r="G5054" t="str">
        <f>"1170"</f>
        <v>1170</v>
      </c>
      <c r="H5054" t="str">
        <f>"0000"</f>
        <v>0000</v>
      </c>
      <c r="I5054" t="s">
        <v>69</v>
      </c>
      <c r="J5054">
        <v>0</v>
      </c>
      <c r="K5054">
        <v>1</v>
      </c>
      <c r="L5054">
        <v>2</v>
      </c>
      <c r="M5054">
        <v>273</v>
      </c>
      <c r="N5054">
        <v>302</v>
      </c>
      <c r="O5054">
        <v>0</v>
      </c>
      <c r="P5054">
        <v>302</v>
      </c>
      <c r="Q5054">
        <v>2</v>
      </c>
      <c r="R5054">
        <v>89</v>
      </c>
      <c r="S5054">
        <v>4</v>
      </c>
      <c r="T5054">
        <v>1</v>
      </c>
      <c r="U5054">
        <v>2</v>
      </c>
      <c r="V5054">
        <v>2</v>
      </c>
      <c r="W5054">
        <v>2</v>
      </c>
      <c r="X5054">
        <v>166</v>
      </c>
      <c r="Y5054">
        <v>1</v>
      </c>
      <c r="Z5054">
        <v>4</v>
      </c>
      <c r="AA5054">
        <v>11</v>
      </c>
      <c r="AB5054">
        <v>0</v>
      </c>
      <c r="AD5054">
        <v>1</v>
      </c>
      <c r="AE5054">
        <v>1</v>
      </c>
      <c r="AF5054">
        <v>1</v>
      </c>
      <c r="AG5054">
        <v>0</v>
      </c>
      <c r="AI5054">
        <v>0</v>
      </c>
      <c r="AJ5054">
        <v>15</v>
      </c>
      <c r="AK5054">
        <v>302</v>
      </c>
      <c r="AL5054">
        <v>302</v>
      </c>
      <c r="AM5054">
        <v>531</v>
      </c>
      <c r="AN5054">
        <v>44</v>
      </c>
      <c r="AP5054">
        <v>1</v>
      </c>
      <c r="AR5054" t="s">
        <v>5158</v>
      </c>
      <c r="AS5054" s="1">
        <v>44353.958333333336</v>
      </c>
      <c r="AT5054" s="1">
        <v>44353.961770833332</v>
      </c>
      <c r="AU5054" s="1">
        <v>44353.962222222224</v>
      </c>
      <c r="AV5054" t="s">
        <v>71</v>
      </c>
      <c r="AW5054" t="s">
        <v>72</v>
      </c>
      <c r="AX5054" t="s">
        <v>73</v>
      </c>
    </row>
    <row r="5055" spans="1:50" x14ac:dyDescent="0.3">
      <c r="A5055" t="str">
        <f>"201170C0100"</f>
        <v>201170C0100</v>
      </c>
      <c r="B5055" t="str">
        <f>"201170C01002"</f>
        <v>201170C01002</v>
      </c>
      <c r="C5055" t="str">
        <f t="shared" si="249"/>
        <v>20</v>
      </c>
      <c r="D5055" t="s">
        <v>67</v>
      </c>
      <c r="E5055" t="str">
        <f t="shared" si="252"/>
        <v>023</v>
      </c>
      <c r="F5055" t="s">
        <v>5157</v>
      </c>
      <c r="G5055" t="str">
        <f>"1170"</f>
        <v>1170</v>
      </c>
      <c r="H5055" t="str">
        <f>"0001"</f>
        <v>0001</v>
      </c>
      <c r="I5055" t="s">
        <v>75</v>
      </c>
      <c r="J5055">
        <v>0</v>
      </c>
      <c r="K5055">
        <v>1</v>
      </c>
      <c r="L5055">
        <v>2</v>
      </c>
      <c r="M5055">
        <v>299</v>
      </c>
      <c r="N5055">
        <v>276</v>
      </c>
      <c r="O5055">
        <v>0</v>
      </c>
      <c r="P5055">
        <v>276</v>
      </c>
      <c r="Q5055">
        <v>3</v>
      </c>
      <c r="R5055">
        <v>92</v>
      </c>
      <c r="S5055">
        <v>2</v>
      </c>
      <c r="T5055">
        <v>3</v>
      </c>
      <c r="U5055">
        <v>4</v>
      </c>
      <c r="V5055">
        <v>2</v>
      </c>
      <c r="W5055">
        <v>0</v>
      </c>
      <c r="X5055">
        <v>146</v>
      </c>
      <c r="Y5055">
        <v>1</v>
      </c>
      <c r="Z5055">
        <v>3</v>
      </c>
      <c r="AA5055">
        <v>3</v>
      </c>
      <c r="AB5055">
        <v>5</v>
      </c>
      <c r="AD5055">
        <v>2</v>
      </c>
      <c r="AE5055">
        <v>1</v>
      </c>
      <c r="AF5055">
        <v>0</v>
      </c>
      <c r="AG5055">
        <v>1</v>
      </c>
      <c r="AI5055">
        <v>0</v>
      </c>
      <c r="AJ5055">
        <v>8</v>
      </c>
      <c r="AK5055">
        <v>276</v>
      </c>
      <c r="AL5055">
        <v>276</v>
      </c>
      <c r="AM5055">
        <v>531</v>
      </c>
      <c r="AN5055">
        <v>44</v>
      </c>
      <c r="AP5055">
        <v>1</v>
      </c>
      <c r="AR5055" t="s">
        <v>5159</v>
      </c>
      <c r="AS5055" s="1">
        <v>44353.959027777775</v>
      </c>
      <c r="AT5055" s="1">
        <v>44353.961921296293</v>
      </c>
      <c r="AU5055" s="1">
        <v>44353.962696759256</v>
      </c>
      <c r="AV5055" t="s">
        <v>71</v>
      </c>
      <c r="AW5055" t="s">
        <v>72</v>
      </c>
      <c r="AX5055" t="s">
        <v>73</v>
      </c>
    </row>
    <row r="5056" spans="1:50" x14ac:dyDescent="0.3">
      <c r="A5056" t="str">
        <f>"201170C0200"</f>
        <v>201170C0200</v>
      </c>
      <c r="B5056" t="str">
        <f>"201170C02002"</f>
        <v>201170C02002</v>
      </c>
      <c r="C5056" t="str">
        <f t="shared" si="249"/>
        <v>20</v>
      </c>
      <c r="D5056" t="s">
        <v>67</v>
      </c>
      <c r="E5056" t="str">
        <f t="shared" si="252"/>
        <v>023</v>
      </c>
      <c r="F5056" t="s">
        <v>5157</v>
      </c>
      <c r="G5056" t="str">
        <f>"1170"</f>
        <v>1170</v>
      </c>
      <c r="H5056" t="str">
        <f>"0002"</f>
        <v>0002</v>
      </c>
      <c r="I5056" t="s">
        <v>75</v>
      </c>
      <c r="J5056">
        <v>0</v>
      </c>
      <c r="K5056">
        <v>1</v>
      </c>
      <c r="L5056">
        <v>2</v>
      </c>
      <c r="M5056">
        <v>298</v>
      </c>
      <c r="N5056">
        <v>277</v>
      </c>
      <c r="O5056">
        <v>0</v>
      </c>
      <c r="P5056">
        <v>277</v>
      </c>
      <c r="Q5056">
        <v>0</v>
      </c>
      <c r="R5056">
        <v>101</v>
      </c>
      <c r="S5056">
        <v>1</v>
      </c>
      <c r="T5056">
        <v>1</v>
      </c>
      <c r="U5056">
        <v>2</v>
      </c>
      <c r="V5056">
        <v>3</v>
      </c>
      <c r="W5056">
        <v>4</v>
      </c>
      <c r="X5056">
        <v>149</v>
      </c>
      <c r="Y5056">
        <v>0</v>
      </c>
      <c r="Z5056">
        <v>2</v>
      </c>
      <c r="AA5056">
        <v>6</v>
      </c>
      <c r="AB5056">
        <v>0</v>
      </c>
      <c r="AD5056">
        <v>1</v>
      </c>
      <c r="AE5056">
        <v>0</v>
      </c>
      <c r="AF5056">
        <v>0</v>
      </c>
      <c r="AG5056">
        <v>0</v>
      </c>
      <c r="AI5056">
        <v>0</v>
      </c>
      <c r="AJ5056">
        <v>7</v>
      </c>
      <c r="AK5056">
        <v>277</v>
      </c>
      <c r="AL5056">
        <v>277</v>
      </c>
      <c r="AM5056">
        <v>531</v>
      </c>
      <c r="AN5056">
        <v>44</v>
      </c>
      <c r="AP5056">
        <v>1</v>
      </c>
      <c r="AR5056" t="s">
        <v>5160</v>
      </c>
      <c r="AS5056" s="1">
        <v>44353.959722222222</v>
      </c>
      <c r="AT5056" s="1">
        <v>44353.962650462963</v>
      </c>
      <c r="AU5056" s="1">
        <v>44353.963113425925</v>
      </c>
      <c r="AV5056" t="s">
        <v>71</v>
      </c>
      <c r="AW5056" t="s">
        <v>72</v>
      </c>
      <c r="AX5056" t="s">
        <v>73</v>
      </c>
    </row>
    <row r="5057" spans="1:50" x14ac:dyDescent="0.3">
      <c r="A5057" t="str">
        <f>"201170E0100"</f>
        <v>201170E0100</v>
      </c>
      <c r="B5057" t="str">
        <f>"201170E01002"</f>
        <v>201170E01002</v>
      </c>
      <c r="C5057" t="str">
        <f t="shared" si="249"/>
        <v>20</v>
      </c>
      <c r="D5057" t="s">
        <v>67</v>
      </c>
      <c r="E5057" t="str">
        <f t="shared" si="252"/>
        <v>023</v>
      </c>
      <c r="F5057" t="s">
        <v>5157</v>
      </c>
      <c r="G5057" t="str">
        <f>"1170"</f>
        <v>1170</v>
      </c>
      <c r="H5057" t="str">
        <f>"0001"</f>
        <v>0001</v>
      </c>
      <c r="I5057" t="s">
        <v>109</v>
      </c>
      <c r="J5057">
        <v>0</v>
      </c>
      <c r="K5057">
        <v>1</v>
      </c>
      <c r="L5057">
        <v>2</v>
      </c>
      <c r="M5057">
        <v>217</v>
      </c>
      <c r="N5057">
        <v>219</v>
      </c>
      <c r="O5057">
        <v>1</v>
      </c>
      <c r="P5057">
        <v>219</v>
      </c>
      <c r="Q5057">
        <v>3</v>
      </c>
      <c r="R5057">
        <v>102</v>
      </c>
      <c r="S5057">
        <v>2</v>
      </c>
      <c r="T5057">
        <v>3</v>
      </c>
      <c r="U5057">
        <v>1</v>
      </c>
      <c r="V5057">
        <v>2</v>
      </c>
      <c r="W5057">
        <v>4</v>
      </c>
      <c r="X5057">
        <v>75</v>
      </c>
      <c r="Y5057">
        <v>1</v>
      </c>
      <c r="Z5057">
        <v>4</v>
      </c>
      <c r="AA5057">
        <v>2</v>
      </c>
      <c r="AB5057">
        <v>0</v>
      </c>
      <c r="AD5057">
        <v>3</v>
      </c>
      <c r="AE5057">
        <v>1</v>
      </c>
      <c r="AF5057">
        <v>0</v>
      </c>
      <c r="AG5057">
        <v>0</v>
      </c>
      <c r="AI5057">
        <v>0</v>
      </c>
      <c r="AJ5057">
        <v>16</v>
      </c>
      <c r="AK5057">
        <v>219</v>
      </c>
      <c r="AL5057">
        <v>219</v>
      </c>
      <c r="AM5057">
        <v>392</v>
      </c>
      <c r="AN5057">
        <v>44</v>
      </c>
      <c r="AP5057">
        <v>1</v>
      </c>
      <c r="AR5057" t="s">
        <v>5161</v>
      </c>
      <c r="AS5057" s="1">
        <v>44354.220138888886</v>
      </c>
      <c r="AT5057" s="1">
        <v>44354.227002314816</v>
      </c>
      <c r="AU5057" s="1">
        <v>44354.227372685185</v>
      </c>
      <c r="AV5057" t="s">
        <v>71</v>
      </c>
      <c r="AW5057" t="s">
        <v>72</v>
      </c>
      <c r="AX5057" t="s">
        <v>73</v>
      </c>
    </row>
    <row r="5058" spans="1:50" x14ac:dyDescent="0.3">
      <c r="A5058" t="str">
        <f>"201171B0000"</f>
        <v>201171B0000</v>
      </c>
      <c r="B5058" t="str">
        <f>"201171B00002"</f>
        <v>201171B00002</v>
      </c>
      <c r="C5058" t="str">
        <f t="shared" si="249"/>
        <v>20</v>
      </c>
      <c r="D5058" t="s">
        <v>67</v>
      </c>
      <c r="E5058" t="str">
        <f t="shared" si="252"/>
        <v>023</v>
      </c>
      <c r="F5058" t="s">
        <v>5157</v>
      </c>
      <c r="G5058" t="str">
        <f>"1171"</f>
        <v>1171</v>
      </c>
      <c r="H5058" t="str">
        <f>"0000"</f>
        <v>0000</v>
      </c>
      <c r="I5058" t="s">
        <v>69</v>
      </c>
      <c r="J5058">
        <v>0</v>
      </c>
      <c r="K5058">
        <v>1</v>
      </c>
      <c r="L5058">
        <v>2</v>
      </c>
      <c r="M5058">
        <v>371</v>
      </c>
      <c r="N5058">
        <v>322</v>
      </c>
      <c r="O5058">
        <v>0</v>
      </c>
      <c r="P5058">
        <v>322</v>
      </c>
      <c r="Q5058">
        <v>4</v>
      </c>
      <c r="R5058">
        <v>158</v>
      </c>
      <c r="S5058">
        <v>2</v>
      </c>
      <c r="T5058">
        <v>2</v>
      </c>
      <c r="U5058">
        <v>2</v>
      </c>
      <c r="V5058">
        <v>2</v>
      </c>
      <c r="W5058">
        <v>2</v>
      </c>
      <c r="X5058">
        <v>115</v>
      </c>
      <c r="Y5058">
        <v>1</v>
      </c>
      <c r="Z5058">
        <v>4</v>
      </c>
      <c r="AA5058">
        <v>4</v>
      </c>
      <c r="AB5058">
        <v>3</v>
      </c>
      <c r="AD5058">
        <v>3</v>
      </c>
      <c r="AE5058">
        <v>2</v>
      </c>
      <c r="AF5058">
        <v>0</v>
      </c>
      <c r="AG5058">
        <v>2</v>
      </c>
      <c r="AI5058">
        <v>0</v>
      </c>
      <c r="AJ5058">
        <v>16</v>
      </c>
      <c r="AK5058">
        <v>322</v>
      </c>
      <c r="AL5058">
        <v>322</v>
      </c>
      <c r="AM5058">
        <v>649</v>
      </c>
      <c r="AN5058">
        <v>44</v>
      </c>
      <c r="AP5058">
        <v>1</v>
      </c>
      <c r="AR5058" t="s">
        <v>5162</v>
      </c>
      <c r="AS5058" s="1">
        <v>44354.219444444447</v>
      </c>
      <c r="AT5058" s="1">
        <v>44354.226342592592</v>
      </c>
      <c r="AU5058" s="1">
        <v>44354.227453703701</v>
      </c>
      <c r="AV5058" t="s">
        <v>71</v>
      </c>
      <c r="AW5058" t="s">
        <v>72</v>
      </c>
      <c r="AX5058" t="s">
        <v>73</v>
      </c>
    </row>
    <row r="5059" spans="1:50" x14ac:dyDescent="0.3">
      <c r="A5059" t="str">
        <f>"201171E0100"</f>
        <v>201171E0100</v>
      </c>
      <c r="B5059" t="str">
        <f>"201171E01002"</f>
        <v>201171E01002</v>
      </c>
      <c r="C5059" t="str">
        <f t="shared" si="249"/>
        <v>20</v>
      </c>
      <c r="D5059" t="s">
        <v>67</v>
      </c>
      <c r="E5059" t="str">
        <f t="shared" si="252"/>
        <v>023</v>
      </c>
      <c r="F5059" t="s">
        <v>5157</v>
      </c>
      <c r="G5059" t="str">
        <f>"1171"</f>
        <v>1171</v>
      </c>
      <c r="H5059" t="str">
        <f>"0001"</f>
        <v>0001</v>
      </c>
      <c r="I5059" t="s">
        <v>109</v>
      </c>
      <c r="J5059">
        <v>0</v>
      </c>
      <c r="K5059">
        <v>1</v>
      </c>
      <c r="L5059">
        <v>2</v>
      </c>
      <c r="M5059">
        <v>373</v>
      </c>
      <c r="N5059">
        <v>343</v>
      </c>
      <c r="O5059">
        <v>0</v>
      </c>
      <c r="P5059">
        <v>343</v>
      </c>
      <c r="Q5059">
        <v>11</v>
      </c>
      <c r="R5059">
        <v>235</v>
      </c>
      <c r="S5059">
        <v>3</v>
      </c>
      <c r="T5059">
        <v>3</v>
      </c>
      <c r="U5059">
        <v>5</v>
      </c>
      <c r="V5059">
        <v>4</v>
      </c>
      <c r="W5059">
        <v>2</v>
      </c>
      <c r="X5059">
        <v>49</v>
      </c>
      <c r="Y5059">
        <v>18</v>
      </c>
      <c r="Z5059">
        <v>1</v>
      </c>
      <c r="AA5059">
        <v>2</v>
      </c>
      <c r="AB5059">
        <v>1</v>
      </c>
      <c r="AD5059">
        <v>3</v>
      </c>
      <c r="AE5059">
        <v>0</v>
      </c>
      <c r="AF5059">
        <v>0</v>
      </c>
      <c r="AG5059">
        <v>1</v>
      </c>
      <c r="AI5059">
        <v>0</v>
      </c>
      <c r="AJ5059">
        <v>5</v>
      </c>
      <c r="AK5059">
        <v>343</v>
      </c>
      <c r="AL5059">
        <v>343</v>
      </c>
      <c r="AM5059">
        <v>672</v>
      </c>
      <c r="AN5059">
        <v>44</v>
      </c>
      <c r="AP5059">
        <v>1</v>
      </c>
      <c r="AR5059" t="s">
        <v>5163</v>
      </c>
      <c r="AS5059" s="1">
        <v>44354.220138888886</v>
      </c>
      <c r="AT5059" s="1">
        <v>44354.226504629631</v>
      </c>
      <c r="AU5059" s="1">
        <v>44354.227233796293</v>
      </c>
      <c r="AV5059" t="s">
        <v>71</v>
      </c>
      <c r="AW5059" t="s">
        <v>72</v>
      </c>
      <c r="AX5059" t="s">
        <v>73</v>
      </c>
    </row>
    <row r="5060" spans="1:50" x14ac:dyDescent="0.3">
      <c r="A5060" t="str">
        <f>"201215B0000"</f>
        <v>201215B0000</v>
      </c>
      <c r="B5060" t="str">
        <f>"201215B00002"</f>
        <v>201215B00002</v>
      </c>
      <c r="C5060" t="str">
        <f t="shared" si="249"/>
        <v>20</v>
      </c>
      <c r="D5060" t="s">
        <v>67</v>
      </c>
      <c r="E5060" t="str">
        <f t="shared" si="252"/>
        <v>023</v>
      </c>
      <c r="F5060" t="s">
        <v>5157</v>
      </c>
      <c r="G5060" t="str">
        <f>"1215"</f>
        <v>1215</v>
      </c>
      <c r="H5060" t="str">
        <f>"0000"</f>
        <v>0000</v>
      </c>
      <c r="I5060" t="s">
        <v>69</v>
      </c>
      <c r="J5060">
        <v>0</v>
      </c>
      <c r="K5060">
        <v>1</v>
      </c>
      <c r="L5060">
        <v>2</v>
      </c>
      <c r="M5060">
        <v>460</v>
      </c>
      <c r="N5060">
        <v>253</v>
      </c>
      <c r="O5060">
        <v>3</v>
      </c>
      <c r="P5060">
        <v>253</v>
      </c>
      <c r="Q5060">
        <v>8</v>
      </c>
      <c r="R5060">
        <v>51</v>
      </c>
      <c r="S5060">
        <v>8</v>
      </c>
      <c r="T5060">
        <v>6</v>
      </c>
      <c r="U5060">
        <v>9</v>
      </c>
      <c r="V5060">
        <v>3</v>
      </c>
      <c r="W5060">
        <v>3</v>
      </c>
      <c r="X5060">
        <v>136</v>
      </c>
      <c r="Y5060">
        <v>1</v>
      </c>
      <c r="Z5060">
        <v>5</v>
      </c>
      <c r="AA5060">
        <v>4</v>
      </c>
      <c r="AB5060">
        <v>1</v>
      </c>
      <c r="AD5060">
        <v>0</v>
      </c>
      <c r="AE5060">
        <v>0</v>
      </c>
      <c r="AF5060">
        <v>0</v>
      </c>
      <c r="AG5060">
        <v>0</v>
      </c>
      <c r="AI5060">
        <v>0</v>
      </c>
      <c r="AJ5060">
        <v>18</v>
      </c>
      <c r="AK5060">
        <v>253</v>
      </c>
      <c r="AL5060">
        <v>253</v>
      </c>
      <c r="AM5060">
        <v>669</v>
      </c>
      <c r="AN5060">
        <v>44</v>
      </c>
      <c r="AP5060">
        <v>1</v>
      </c>
      <c r="AR5060" t="s">
        <v>5164</v>
      </c>
      <c r="AS5060" s="1">
        <v>44354.101388888892</v>
      </c>
      <c r="AT5060" s="1">
        <v>44354.105821759258</v>
      </c>
      <c r="AU5060" s="1">
        <v>44354.107476851852</v>
      </c>
      <c r="AV5060" t="s">
        <v>71</v>
      </c>
      <c r="AW5060" t="s">
        <v>72</v>
      </c>
      <c r="AX5060" t="s">
        <v>73</v>
      </c>
    </row>
    <row r="5061" spans="1:50" x14ac:dyDescent="0.3">
      <c r="A5061" t="str">
        <f>"201215C0100"</f>
        <v>201215C0100</v>
      </c>
      <c r="B5061" t="str">
        <f>"201215C01002"</f>
        <v>201215C01002</v>
      </c>
      <c r="C5061" t="str">
        <f t="shared" si="249"/>
        <v>20</v>
      </c>
      <c r="D5061" t="s">
        <v>67</v>
      </c>
      <c r="E5061" t="str">
        <f t="shared" si="252"/>
        <v>023</v>
      </c>
      <c r="F5061" t="s">
        <v>5157</v>
      </c>
      <c r="G5061" t="str">
        <f>"1215"</f>
        <v>1215</v>
      </c>
      <c r="H5061" t="str">
        <f>"0001"</f>
        <v>0001</v>
      </c>
      <c r="I5061" t="s">
        <v>75</v>
      </c>
      <c r="J5061">
        <v>0</v>
      </c>
      <c r="K5061">
        <v>1</v>
      </c>
      <c r="L5061">
        <v>2</v>
      </c>
      <c r="M5061">
        <v>494</v>
      </c>
      <c r="N5061">
        <v>218</v>
      </c>
      <c r="O5061">
        <v>1</v>
      </c>
      <c r="P5061" t="s">
        <v>80</v>
      </c>
      <c r="Q5061">
        <v>6</v>
      </c>
      <c r="R5061">
        <v>56</v>
      </c>
      <c r="S5061">
        <v>12</v>
      </c>
      <c r="T5061">
        <v>3</v>
      </c>
      <c r="U5061">
        <v>6</v>
      </c>
      <c r="V5061">
        <v>0</v>
      </c>
      <c r="W5061">
        <v>4</v>
      </c>
      <c r="X5061">
        <v>100</v>
      </c>
      <c r="Y5061">
        <v>0</v>
      </c>
      <c r="Z5061">
        <v>7</v>
      </c>
      <c r="AA5061">
        <v>6</v>
      </c>
      <c r="AB5061">
        <v>0</v>
      </c>
      <c r="AD5061">
        <v>0</v>
      </c>
      <c r="AE5061">
        <v>0</v>
      </c>
      <c r="AF5061">
        <v>0</v>
      </c>
      <c r="AG5061">
        <v>1</v>
      </c>
      <c r="AI5061">
        <v>0</v>
      </c>
      <c r="AJ5061">
        <v>15</v>
      </c>
      <c r="AK5061">
        <v>218</v>
      </c>
      <c r="AL5061">
        <v>216</v>
      </c>
      <c r="AM5061">
        <v>668</v>
      </c>
      <c r="AN5061">
        <v>44</v>
      </c>
      <c r="AP5061">
        <v>1</v>
      </c>
      <c r="AR5061" t="s">
        <v>5165</v>
      </c>
      <c r="AS5061" s="1">
        <v>44354.102777777778</v>
      </c>
      <c r="AT5061" s="1">
        <v>44354.116666666669</v>
      </c>
      <c r="AU5061" s="1">
        <v>44354.117060185185</v>
      </c>
      <c r="AV5061" t="s">
        <v>71</v>
      </c>
      <c r="AW5061" t="s">
        <v>72</v>
      </c>
      <c r="AX5061" t="s">
        <v>73</v>
      </c>
    </row>
    <row r="5062" spans="1:50" x14ac:dyDescent="0.3">
      <c r="A5062" t="str">
        <f>"201215C0200"</f>
        <v>201215C0200</v>
      </c>
      <c r="B5062" t="str">
        <f>"201215C02002"</f>
        <v>201215C02002</v>
      </c>
      <c r="C5062" t="str">
        <f t="shared" si="249"/>
        <v>20</v>
      </c>
      <c r="D5062" t="s">
        <v>67</v>
      </c>
      <c r="E5062" t="str">
        <f t="shared" si="252"/>
        <v>023</v>
      </c>
      <c r="F5062" t="s">
        <v>5157</v>
      </c>
      <c r="G5062" t="str">
        <f>"1215"</f>
        <v>1215</v>
      </c>
      <c r="H5062" t="str">
        <f>"0002"</f>
        <v>0002</v>
      </c>
      <c r="I5062" t="s">
        <v>75</v>
      </c>
      <c r="J5062">
        <v>0</v>
      </c>
      <c r="K5062">
        <v>1</v>
      </c>
      <c r="L5062">
        <v>2</v>
      </c>
      <c r="M5062">
        <v>439</v>
      </c>
      <c r="N5062">
        <v>439</v>
      </c>
      <c r="O5062">
        <v>2</v>
      </c>
      <c r="P5062">
        <v>273</v>
      </c>
      <c r="Q5062">
        <v>6</v>
      </c>
      <c r="R5062">
        <v>71</v>
      </c>
      <c r="S5062">
        <v>9</v>
      </c>
      <c r="T5062">
        <v>8</v>
      </c>
      <c r="U5062">
        <v>7</v>
      </c>
      <c r="V5062">
        <v>4</v>
      </c>
      <c r="W5062">
        <v>6</v>
      </c>
      <c r="X5062">
        <v>108</v>
      </c>
      <c r="Y5062">
        <v>1</v>
      </c>
      <c r="Z5062">
        <v>12</v>
      </c>
      <c r="AA5062">
        <v>10</v>
      </c>
      <c r="AB5062">
        <v>4</v>
      </c>
      <c r="AD5062">
        <v>2</v>
      </c>
      <c r="AE5062">
        <v>0</v>
      </c>
      <c r="AF5062">
        <v>0</v>
      </c>
      <c r="AG5062">
        <v>0</v>
      </c>
      <c r="AI5062">
        <v>3</v>
      </c>
      <c r="AJ5062">
        <v>22</v>
      </c>
      <c r="AK5062">
        <v>273</v>
      </c>
      <c r="AL5062">
        <v>273</v>
      </c>
      <c r="AM5062">
        <v>668</v>
      </c>
      <c r="AN5062">
        <v>44</v>
      </c>
      <c r="AP5062">
        <v>1</v>
      </c>
      <c r="AR5062" t="s">
        <v>5166</v>
      </c>
      <c r="AS5062" s="1">
        <v>44354.334027777775</v>
      </c>
      <c r="AT5062" s="1">
        <v>44354.336909722224</v>
      </c>
      <c r="AU5062" s="1">
        <v>44354.338136574072</v>
      </c>
      <c r="AV5062" t="s">
        <v>71</v>
      </c>
      <c r="AW5062" t="s">
        <v>72</v>
      </c>
      <c r="AX5062" t="s">
        <v>73</v>
      </c>
    </row>
    <row r="5063" spans="1:50" x14ac:dyDescent="0.3">
      <c r="A5063" t="str">
        <f>"201216B0000"</f>
        <v>201216B0000</v>
      </c>
      <c r="B5063" t="str">
        <f>"201216B00002"</f>
        <v>201216B00002</v>
      </c>
      <c r="C5063" t="str">
        <f t="shared" ref="C5063:C5126" si="253">"20"</f>
        <v>20</v>
      </c>
      <c r="D5063" t="s">
        <v>67</v>
      </c>
      <c r="E5063" t="str">
        <f t="shared" si="252"/>
        <v>023</v>
      </c>
      <c r="F5063" t="s">
        <v>5157</v>
      </c>
      <c r="G5063" t="str">
        <f>"1216"</f>
        <v>1216</v>
      </c>
      <c r="H5063" t="str">
        <f>"0000"</f>
        <v>0000</v>
      </c>
      <c r="I5063" t="s">
        <v>69</v>
      </c>
      <c r="J5063">
        <v>0</v>
      </c>
      <c r="K5063">
        <v>1</v>
      </c>
      <c r="L5063">
        <v>2</v>
      </c>
      <c r="M5063">
        <v>320</v>
      </c>
      <c r="N5063">
        <v>260</v>
      </c>
      <c r="O5063">
        <v>0</v>
      </c>
      <c r="P5063">
        <v>260</v>
      </c>
      <c r="Q5063">
        <v>3</v>
      </c>
      <c r="R5063">
        <v>49</v>
      </c>
      <c r="S5063">
        <v>7</v>
      </c>
      <c r="T5063">
        <v>5</v>
      </c>
      <c r="U5063">
        <v>5</v>
      </c>
      <c r="V5063">
        <v>3</v>
      </c>
      <c r="W5063">
        <v>4</v>
      </c>
      <c r="X5063">
        <v>136</v>
      </c>
      <c r="Y5063">
        <v>2</v>
      </c>
      <c r="Z5063">
        <v>6</v>
      </c>
      <c r="AA5063">
        <v>19</v>
      </c>
      <c r="AB5063">
        <v>4</v>
      </c>
      <c r="AD5063">
        <v>0</v>
      </c>
      <c r="AE5063">
        <v>1</v>
      </c>
      <c r="AF5063">
        <v>0</v>
      </c>
      <c r="AG5063">
        <v>0</v>
      </c>
      <c r="AI5063">
        <v>0</v>
      </c>
      <c r="AJ5063">
        <v>16</v>
      </c>
      <c r="AK5063">
        <v>260</v>
      </c>
      <c r="AL5063">
        <v>260</v>
      </c>
      <c r="AM5063">
        <v>536</v>
      </c>
      <c r="AN5063">
        <v>44</v>
      </c>
      <c r="AP5063">
        <v>1</v>
      </c>
      <c r="AR5063" t="s">
        <v>5167</v>
      </c>
      <c r="AS5063" s="1">
        <v>44354.379166666666</v>
      </c>
      <c r="AT5063" s="1">
        <v>44354.652094907404</v>
      </c>
      <c r="AU5063" s="1">
        <v>44354.65289351852</v>
      </c>
      <c r="AV5063" t="s">
        <v>71</v>
      </c>
      <c r="AW5063" t="s">
        <v>72</v>
      </c>
      <c r="AX5063" t="s">
        <v>73</v>
      </c>
    </row>
    <row r="5064" spans="1:50" x14ac:dyDescent="0.3">
      <c r="A5064" t="str">
        <f>"201216C0100"</f>
        <v>201216C0100</v>
      </c>
      <c r="B5064" t="str">
        <f>"201216C01002"</f>
        <v>201216C01002</v>
      </c>
      <c r="C5064" t="str">
        <f t="shared" si="253"/>
        <v>20</v>
      </c>
      <c r="D5064" t="s">
        <v>67</v>
      </c>
      <c r="E5064" t="str">
        <f t="shared" si="252"/>
        <v>023</v>
      </c>
      <c r="F5064" t="s">
        <v>5157</v>
      </c>
      <c r="G5064" t="str">
        <f>"1216"</f>
        <v>1216</v>
      </c>
      <c r="H5064" t="str">
        <f>"0001"</f>
        <v>0001</v>
      </c>
      <c r="I5064" t="s">
        <v>75</v>
      </c>
      <c r="J5064">
        <v>0</v>
      </c>
      <c r="K5064">
        <v>1</v>
      </c>
      <c r="L5064">
        <v>2</v>
      </c>
      <c r="M5064">
        <v>347</v>
      </c>
      <c r="N5064">
        <v>232</v>
      </c>
      <c r="O5064">
        <v>0</v>
      </c>
      <c r="P5064">
        <v>232</v>
      </c>
      <c r="Q5064">
        <v>6</v>
      </c>
      <c r="R5064">
        <v>64</v>
      </c>
      <c r="S5064">
        <v>4</v>
      </c>
      <c r="T5064">
        <v>6</v>
      </c>
      <c r="U5064">
        <v>2</v>
      </c>
      <c r="V5064">
        <v>4</v>
      </c>
      <c r="W5064">
        <v>2</v>
      </c>
      <c r="X5064">
        <v>105</v>
      </c>
      <c r="Y5064">
        <v>0</v>
      </c>
      <c r="Z5064">
        <v>7</v>
      </c>
      <c r="AA5064">
        <v>12</v>
      </c>
      <c r="AB5064">
        <v>4</v>
      </c>
      <c r="AD5064">
        <v>0</v>
      </c>
      <c r="AE5064">
        <v>2</v>
      </c>
      <c r="AF5064">
        <v>0</v>
      </c>
      <c r="AG5064">
        <v>1</v>
      </c>
      <c r="AI5064">
        <v>0</v>
      </c>
      <c r="AJ5064">
        <v>13</v>
      </c>
      <c r="AK5064">
        <v>232</v>
      </c>
      <c r="AL5064">
        <v>232</v>
      </c>
      <c r="AM5064">
        <v>535</v>
      </c>
      <c r="AN5064">
        <v>44</v>
      </c>
      <c r="AP5064">
        <v>1</v>
      </c>
      <c r="AR5064" t="s">
        <v>5168</v>
      </c>
      <c r="AS5064" s="1">
        <v>44354.190972222219</v>
      </c>
      <c r="AT5064" s="1">
        <v>44354.194907407407</v>
      </c>
      <c r="AU5064" s="1">
        <v>44354.195393518516</v>
      </c>
      <c r="AV5064" t="s">
        <v>71</v>
      </c>
      <c r="AW5064" t="s">
        <v>72</v>
      </c>
      <c r="AX5064" t="s">
        <v>73</v>
      </c>
    </row>
    <row r="5065" spans="1:50" x14ac:dyDescent="0.3">
      <c r="A5065" t="str">
        <f>"201363B0000"</f>
        <v>201363B0000</v>
      </c>
      <c r="B5065" t="str">
        <f>"201363B00002"</f>
        <v>201363B00002</v>
      </c>
      <c r="C5065" t="str">
        <f t="shared" si="253"/>
        <v>20</v>
      </c>
      <c r="D5065" t="s">
        <v>67</v>
      </c>
      <c r="E5065" t="str">
        <f t="shared" si="252"/>
        <v>023</v>
      </c>
      <c r="F5065" t="s">
        <v>5157</v>
      </c>
      <c r="G5065" t="str">
        <f>"1363"</f>
        <v>1363</v>
      </c>
      <c r="H5065" t="str">
        <f>"0000"</f>
        <v>0000</v>
      </c>
      <c r="I5065" t="s">
        <v>69</v>
      </c>
      <c r="J5065">
        <v>0</v>
      </c>
      <c r="K5065">
        <v>1</v>
      </c>
      <c r="L5065">
        <v>2</v>
      </c>
      <c r="M5065">
        <v>372</v>
      </c>
      <c r="N5065">
        <v>269</v>
      </c>
      <c r="O5065">
        <v>2</v>
      </c>
      <c r="P5065">
        <v>269</v>
      </c>
      <c r="Q5065">
        <v>1</v>
      </c>
      <c r="R5065">
        <v>29</v>
      </c>
      <c r="S5065">
        <v>10</v>
      </c>
      <c r="T5065">
        <v>1</v>
      </c>
      <c r="U5065">
        <v>5</v>
      </c>
      <c r="V5065">
        <v>2</v>
      </c>
      <c r="W5065">
        <v>3</v>
      </c>
      <c r="X5065">
        <v>174</v>
      </c>
      <c r="Y5065">
        <v>2</v>
      </c>
      <c r="Z5065">
        <v>8</v>
      </c>
      <c r="AA5065">
        <v>10</v>
      </c>
      <c r="AB5065">
        <v>2</v>
      </c>
      <c r="AD5065">
        <v>0</v>
      </c>
      <c r="AE5065">
        <v>0</v>
      </c>
      <c r="AF5065">
        <v>0</v>
      </c>
      <c r="AG5065">
        <v>1</v>
      </c>
      <c r="AI5065">
        <v>0</v>
      </c>
      <c r="AJ5065">
        <v>21</v>
      </c>
      <c r="AK5065">
        <v>269</v>
      </c>
      <c r="AL5065">
        <v>269</v>
      </c>
      <c r="AM5065">
        <v>597</v>
      </c>
      <c r="AN5065">
        <v>44</v>
      </c>
      <c r="AP5065">
        <v>1</v>
      </c>
      <c r="AR5065" t="s">
        <v>5169</v>
      </c>
      <c r="AS5065" s="1">
        <v>44354.180555555555</v>
      </c>
      <c r="AT5065" s="1">
        <v>44354.184155092589</v>
      </c>
      <c r="AU5065" s="1">
        <v>44354.184560185182</v>
      </c>
      <c r="AV5065" t="s">
        <v>71</v>
      </c>
      <c r="AW5065" t="s">
        <v>72</v>
      </c>
      <c r="AX5065" t="s">
        <v>73</v>
      </c>
    </row>
    <row r="5066" spans="1:50" x14ac:dyDescent="0.3">
      <c r="A5066" t="str">
        <f>"201363C0100"</f>
        <v>201363C0100</v>
      </c>
      <c r="B5066" t="str">
        <f>"201363C01002"</f>
        <v>201363C01002</v>
      </c>
      <c r="C5066" t="str">
        <f t="shared" si="253"/>
        <v>20</v>
      </c>
      <c r="D5066" t="s">
        <v>67</v>
      </c>
      <c r="E5066" t="str">
        <f t="shared" si="252"/>
        <v>023</v>
      </c>
      <c r="F5066" t="s">
        <v>5157</v>
      </c>
      <c r="G5066" t="str">
        <f>"1363"</f>
        <v>1363</v>
      </c>
      <c r="H5066" t="str">
        <f>"0001"</f>
        <v>0001</v>
      </c>
      <c r="I5066" t="s">
        <v>75</v>
      </c>
      <c r="J5066">
        <v>0</v>
      </c>
      <c r="K5066">
        <v>1</v>
      </c>
      <c r="L5066">
        <v>2</v>
      </c>
      <c r="M5066">
        <v>350</v>
      </c>
      <c r="N5066">
        <v>289</v>
      </c>
      <c r="O5066">
        <v>0</v>
      </c>
      <c r="P5066">
        <v>289</v>
      </c>
      <c r="Q5066">
        <v>2</v>
      </c>
      <c r="R5066">
        <v>67</v>
      </c>
      <c r="S5066">
        <v>14</v>
      </c>
      <c r="T5066">
        <v>2</v>
      </c>
      <c r="U5066">
        <v>10</v>
      </c>
      <c r="V5066">
        <v>3</v>
      </c>
      <c r="W5066">
        <v>1</v>
      </c>
      <c r="X5066">
        <v>152</v>
      </c>
      <c r="Y5066">
        <v>4</v>
      </c>
      <c r="Z5066">
        <v>3</v>
      </c>
      <c r="AA5066">
        <v>2</v>
      </c>
      <c r="AB5066">
        <v>1</v>
      </c>
      <c r="AD5066" t="s">
        <v>77</v>
      </c>
      <c r="AE5066">
        <v>3</v>
      </c>
      <c r="AF5066" t="s">
        <v>77</v>
      </c>
      <c r="AG5066" t="s">
        <v>77</v>
      </c>
      <c r="AI5066" t="s">
        <v>77</v>
      </c>
      <c r="AJ5066">
        <v>25</v>
      </c>
      <c r="AK5066" t="s">
        <v>77</v>
      </c>
      <c r="AL5066">
        <v>289</v>
      </c>
      <c r="AM5066">
        <v>596</v>
      </c>
      <c r="AN5066">
        <v>44</v>
      </c>
      <c r="AO5066" t="s">
        <v>78</v>
      </c>
      <c r="AP5066">
        <v>1</v>
      </c>
      <c r="AR5066" t="s">
        <v>5170</v>
      </c>
      <c r="AS5066" s="1">
        <v>44354.175000000003</v>
      </c>
      <c r="AT5066" s="1">
        <v>44354.177523148152</v>
      </c>
      <c r="AU5066" s="1">
        <v>44354.178020833337</v>
      </c>
      <c r="AV5066" t="s">
        <v>71</v>
      </c>
      <c r="AW5066" t="s">
        <v>72</v>
      </c>
      <c r="AX5066" t="s">
        <v>73</v>
      </c>
    </row>
    <row r="5067" spans="1:50" x14ac:dyDescent="0.3">
      <c r="A5067" t="str">
        <f>"201363C0200"</f>
        <v>201363C0200</v>
      </c>
      <c r="B5067" t="str">
        <f>"201363C02002"</f>
        <v>201363C02002</v>
      </c>
      <c r="C5067" t="str">
        <f t="shared" si="253"/>
        <v>20</v>
      </c>
      <c r="D5067" t="s">
        <v>67</v>
      </c>
      <c r="E5067" t="str">
        <f t="shared" si="252"/>
        <v>023</v>
      </c>
      <c r="F5067" t="s">
        <v>5157</v>
      </c>
      <c r="G5067" t="str">
        <f>"1363"</f>
        <v>1363</v>
      </c>
      <c r="H5067" t="str">
        <f>"0002"</f>
        <v>0002</v>
      </c>
      <c r="I5067" t="s">
        <v>75</v>
      </c>
      <c r="J5067">
        <v>0</v>
      </c>
      <c r="K5067">
        <v>1</v>
      </c>
      <c r="L5067">
        <v>2</v>
      </c>
      <c r="M5067">
        <v>367</v>
      </c>
      <c r="N5067">
        <v>273</v>
      </c>
      <c r="O5067" t="s">
        <v>99</v>
      </c>
      <c r="P5067">
        <v>273</v>
      </c>
      <c r="Q5067">
        <v>5</v>
      </c>
      <c r="R5067">
        <v>35</v>
      </c>
      <c r="S5067">
        <v>18</v>
      </c>
      <c r="T5067">
        <v>1</v>
      </c>
      <c r="U5067">
        <v>3</v>
      </c>
      <c r="V5067">
        <v>1</v>
      </c>
      <c r="W5067">
        <v>3</v>
      </c>
      <c r="X5067">
        <v>178</v>
      </c>
      <c r="Y5067">
        <v>1</v>
      </c>
      <c r="Z5067">
        <v>6</v>
      </c>
      <c r="AA5067">
        <v>10</v>
      </c>
      <c r="AB5067">
        <v>2</v>
      </c>
      <c r="AD5067">
        <v>0</v>
      </c>
      <c r="AE5067">
        <v>0</v>
      </c>
      <c r="AF5067">
        <v>0</v>
      </c>
      <c r="AG5067">
        <v>0</v>
      </c>
      <c r="AI5067" t="s">
        <v>77</v>
      </c>
      <c r="AJ5067">
        <v>10</v>
      </c>
      <c r="AK5067">
        <v>273</v>
      </c>
      <c r="AL5067">
        <v>273</v>
      </c>
      <c r="AM5067">
        <v>596</v>
      </c>
      <c r="AN5067">
        <v>44</v>
      </c>
      <c r="AO5067" t="s">
        <v>78</v>
      </c>
      <c r="AP5067">
        <v>1</v>
      </c>
      <c r="AR5067" t="s">
        <v>5171</v>
      </c>
      <c r="AS5067" s="1">
        <v>44354.176388888889</v>
      </c>
      <c r="AT5067" s="1">
        <v>44354.179189814815</v>
      </c>
      <c r="AU5067" s="1">
        <v>44354.179710648146</v>
      </c>
      <c r="AV5067" t="s">
        <v>71</v>
      </c>
      <c r="AW5067" t="s">
        <v>72</v>
      </c>
      <c r="AX5067" t="s">
        <v>73</v>
      </c>
    </row>
    <row r="5068" spans="1:50" x14ac:dyDescent="0.3">
      <c r="A5068" t="str">
        <f>"201364B0000"</f>
        <v>201364B0000</v>
      </c>
      <c r="B5068" t="str">
        <f>"201364B00002"</f>
        <v>201364B00002</v>
      </c>
      <c r="C5068" t="str">
        <f t="shared" si="253"/>
        <v>20</v>
      </c>
      <c r="D5068" t="s">
        <v>67</v>
      </c>
      <c r="E5068" t="str">
        <f t="shared" si="252"/>
        <v>023</v>
      </c>
      <c r="F5068" t="s">
        <v>5157</v>
      </c>
      <c r="G5068" t="str">
        <f>"1364"</f>
        <v>1364</v>
      </c>
      <c r="H5068" t="str">
        <f>"0000"</f>
        <v>0000</v>
      </c>
      <c r="I5068" t="s">
        <v>69</v>
      </c>
      <c r="J5068">
        <v>0</v>
      </c>
      <c r="K5068">
        <v>1</v>
      </c>
      <c r="L5068">
        <v>2</v>
      </c>
      <c r="M5068">
        <v>21</v>
      </c>
      <c r="N5068">
        <v>336</v>
      </c>
      <c r="O5068">
        <v>4</v>
      </c>
      <c r="P5068">
        <v>336</v>
      </c>
      <c r="Q5068">
        <v>2</v>
      </c>
      <c r="R5068">
        <v>86</v>
      </c>
      <c r="S5068">
        <v>11</v>
      </c>
      <c r="T5068">
        <v>2</v>
      </c>
      <c r="U5068">
        <v>5</v>
      </c>
      <c r="V5068">
        <v>4</v>
      </c>
      <c r="W5068">
        <v>1</v>
      </c>
      <c r="X5068">
        <v>179</v>
      </c>
      <c r="Y5068">
        <v>5</v>
      </c>
      <c r="Z5068">
        <v>5</v>
      </c>
      <c r="AA5068">
        <v>9</v>
      </c>
      <c r="AB5068">
        <v>6</v>
      </c>
      <c r="AD5068">
        <v>0</v>
      </c>
      <c r="AE5068">
        <v>0</v>
      </c>
      <c r="AF5068">
        <v>0</v>
      </c>
      <c r="AG5068">
        <v>0</v>
      </c>
      <c r="AI5068">
        <v>0</v>
      </c>
      <c r="AJ5068">
        <v>0</v>
      </c>
      <c r="AK5068">
        <v>0</v>
      </c>
      <c r="AL5068">
        <v>315</v>
      </c>
      <c r="AM5068">
        <v>669</v>
      </c>
      <c r="AN5068">
        <v>44</v>
      </c>
      <c r="AP5068">
        <v>1</v>
      </c>
      <c r="AR5068" t="s">
        <v>5172</v>
      </c>
      <c r="AS5068" s="1">
        <v>44354.111805555556</v>
      </c>
      <c r="AT5068" s="1">
        <v>44354.116319444445</v>
      </c>
      <c r="AU5068" s="1">
        <v>44354.116747685184</v>
      </c>
      <c r="AV5068" t="s">
        <v>71</v>
      </c>
      <c r="AW5068" t="s">
        <v>72</v>
      </c>
      <c r="AX5068" t="s">
        <v>73</v>
      </c>
    </row>
    <row r="5069" spans="1:50" x14ac:dyDescent="0.3">
      <c r="A5069" t="str">
        <f>"201364C0100"</f>
        <v>201364C0100</v>
      </c>
      <c r="B5069" t="str">
        <f>"201364C01002"</f>
        <v>201364C01002</v>
      </c>
      <c r="C5069" t="str">
        <f t="shared" si="253"/>
        <v>20</v>
      </c>
      <c r="D5069" t="s">
        <v>67</v>
      </c>
      <c r="E5069" t="str">
        <f t="shared" si="252"/>
        <v>023</v>
      </c>
      <c r="F5069" t="s">
        <v>5157</v>
      </c>
      <c r="G5069" t="str">
        <f>"1364"</f>
        <v>1364</v>
      </c>
      <c r="H5069" t="str">
        <f>"0001"</f>
        <v>0001</v>
      </c>
      <c r="I5069" t="s">
        <v>75</v>
      </c>
      <c r="J5069">
        <v>0</v>
      </c>
      <c r="K5069">
        <v>1</v>
      </c>
      <c r="L5069">
        <v>2</v>
      </c>
      <c r="M5069">
        <v>421</v>
      </c>
      <c r="N5069">
        <v>292</v>
      </c>
      <c r="O5069">
        <v>1</v>
      </c>
      <c r="P5069">
        <v>292</v>
      </c>
      <c r="Q5069">
        <v>2</v>
      </c>
      <c r="R5069">
        <v>66</v>
      </c>
      <c r="S5069">
        <v>13</v>
      </c>
      <c r="T5069">
        <v>2</v>
      </c>
      <c r="U5069">
        <v>1</v>
      </c>
      <c r="V5069">
        <v>4</v>
      </c>
      <c r="W5069">
        <v>2</v>
      </c>
      <c r="X5069">
        <v>177</v>
      </c>
      <c r="Y5069">
        <v>0</v>
      </c>
      <c r="Z5069">
        <v>2</v>
      </c>
      <c r="AA5069">
        <v>7</v>
      </c>
      <c r="AB5069">
        <v>0</v>
      </c>
      <c r="AD5069">
        <v>0</v>
      </c>
      <c r="AE5069">
        <v>0</v>
      </c>
      <c r="AF5069">
        <v>0</v>
      </c>
      <c r="AG5069">
        <v>0</v>
      </c>
      <c r="AI5069">
        <v>0</v>
      </c>
      <c r="AJ5069">
        <v>16</v>
      </c>
      <c r="AK5069">
        <v>292</v>
      </c>
      <c r="AL5069">
        <v>292</v>
      </c>
      <c r="AM5069">
        <v>669</v>
      </c>
      <c r="AN5069">
        <v>44</v>
      </c>
      <c r="AP5069">
        <v>1</v>
      </c>
      <c r="AR5069" t="s">
        <v>5173</v>
      </c>
      <c r="AS5069" s="1">
        <v>44354.111111111109</v>
      </c>
      <c r="AT5069" s="1">
        <v>44354.115972222222</v>
      </c>
      <c r="AU5069" s="1">
        <v>44354.116909722223</v>
      </c>
      <c r="AV5069" t="s">
        <v>71</v>
      </c>
      <c r="AW5069" t="s">
        <v>72</v>
      </c>
      <c r="AX5069" t="s">
        <v>73</v>
      </c>
    </row>
    <row r="5070" spans="1:50" x14ac:dyDescent="0.3">
      <c r="A5070" t="str">
        <f>"201364C0200"</f>
        <v>201364C0200</v>
      </c>
      <c r="B5070" t="str">
        <f>"201364C02002"</f>
        <v>201364C02002</v>
      </c>
      <c r="C5070" t="str">
        <f t="shared" si="253"/>
        <v>20</v>
      </c>
      <c r="D5070" t="s">
        <v>67</v>
      </c>
      <c r="E5070" t="str">
        <f t="shared" si="252"/>
        <v>023</v>
      </c>
      <c r="F5070" t="s">
        <v>5157</v>
      </c>
      <c r="G5070" t="str">
        <f>"1364"</f>
        <v>1364</v>
      </c>
      <c r="H5070" t="str">
        <f>"0002"</f>
        <v>0002</v>
      </c>
      <c r="I5070" t="s">
        <v>75</v>
      </c>
      <c r="J5070">
        <v>0</v>
      </c>
      <c r="K5070">
        <v>1</v>
      </c>
      <c r="L5070">
        <v>2</v>
      </c>
      <c r="M5070">
        <v>438</v>
      </c>
      <c r="N5070">
        <v>275</v>
      </c>
      <c r="O5070">
        <v>1</v>
      </c>
      <c r="P5070">
        <v>275</v>
      </c>
      <c r="Q5070">
        <v>2</v>
      </c>
      <c r="R5070">
        <v>61</v>
      </c>
      <c r="S5070">
        <v>11</v>
      </c>
      <c r="T5070">
        <v>5</v>
      </c>
      <c r="U5070">
        <v>3</v>
      </c>
      <c r="V5070">
        <v>1</v>
      </c>
      <c r="W5070">
        <v>5</v>
      </c>
      <c r="X5070">
        <v>165</v>
      </c>
      <c r="Y5070">
        <v>0</v>
      </c>
      <c r="Z5070">
        <v>0</v>
      </c>
      <c r="AA5070">
        <v>6</v>
      </c>
      <c r="AB5070">
        <v>1</v>
      </c>
      <c r="AD5070">
        <v>1</v>
      </c>
      <c r="AE5070">
        <v>0</v>
      </c>
      <c r="AF5070">
        <v>0</v>
      </c>
      <c r="AG5070">
        <v>0</v>
      </c>
      <c r="AI5070">
        <v>0</v>
      </c>
      <c r="AJ5070">
        <v>14</v>
      </c>
      <c r="AK5070">
        <v>275</v>
      </c>
      <c r="AL5070">
        <v>275</v>
      </c>
      <c r="AM5070">
        <v>669</v>
      </c>
      <c r="AN5070">
        <v>44</v>
      </c>
      <c r="AP5070">
        <v>1</v>
      </c>
      <c r="AR5070" t="s">
        <v>5174</v>
      </c>
      <c r="AS5070" s="1">
        <v>44354.11041666667</v>
      </c>
      <c r="AT5070" s="1">
        <v>44354.123541666668</v>
      </c>
      <c r="AU5070" s="1">
        <v>44354.124039351853</v>
      </c>
      <c r="AV5070" t="s">
        <v>71</v>
      </c>
      <c r="AW5070" t="s">
        <v>72</v>
      </c>
      <c r="AX5070" t="s">
        <v>73</v>
      </c>
    </row>
    <row r="5071" spans="1:50" x14ac:dyDescent="0.3">
      <c r="A5071" t="str">
        <f>"201364C0300"</f>
        <v>201364C0300</v>
      </c>
      <c r="B5071" t="str">
        <f>"201364C03002"</f>
        <v>201364C03002</v>
      </c>
      <c r="C5071" t="str">
        <f t="shared" si="253"/>
        <v>20</v>
      </c>
      <c r="D5071" t="s">
        <v>67</v>
      </c>
      <c r="E5071" t="str">
        <f t="shared" si="252"/>
        <v>023</v>
      </c>
      <c r="F5071" t="s">
        <v>5157</v>
      </c>
      <c r="G5071" t="str">
        <f>"1364"</f>
        <v>1364</v>
      </c>
      <c r="H5071" t="str">
        <f>"0003"</f>
        <v>0003</v>
      </c>
      <c r="I5071" t="s">
        <v>75</v>
      </c>
      <c r="J5071">
        <v>0</v>
      </c>
      <c r="K5071">
        <v>1</v>
      </c>
      <c r="L5071">
        <v>2</v>
      </c>
      <c r="M5071">
        <v>421</v>
      </c>
      <c r="N5071">
        <v>292</v>
      </c>
      <c r="O5071">
        <v>1</v>
      </c>
      <c r="P5071">
        <v>292</v>
      </c>
      <c r="Q5071">
        <v>2</v>
      </c>
      <c r="R5071">
        <v>66</v>
      </c>
      <c r="S5071">
        <v>13</v>
      </c>
      <c r="T5071">
        <v>2</v>
      </c>
      <c r="U5071">
        <v>1</v>
      </c>
      <c r="V5071">
        <v>4</v>
      </c>
      <c r="W5071">
        <v>2</v>
      </c>
      <c r="X5071">
        <v>177</v>
      </c>
      <c r="Y5071">
        <v>0</v>
      </c>
      <c r="Z5071">
        <v>2</v>
      </c>
      <c r="AA5071">
        <v>7</v>
      </c>
      <c r="AB5071">
        <v>0</v>
      </c>
      <c r="AD5071">
        <v>0</v>
      </c>
      <c r="AE5071">
        <v>0</v>
      </c>
      <c r="AF5071">
        <v>0</v>
      </c>
      <c r="AG5071">
        <v>0</v>
      </c>
      <c r="AI5071">
        <v>0</v>
      </c>
      <c r="AJ5071">
        <v>16</v>
      </c>
      <c r="AK5071">
        <v>292</v>
      </c>
      <c r="AL5071">
        <v>292</v>
      </c>
      <c r="AM5071">
        <v>669</v>
      </c>
      <c r="AN5071">
        <v>44</v>
      </c>
      <c r="AP5071">
        <v>1</v>
      </c>
      <c r="AR5071" t="s">
        <v>5175</v>
      </c>
      <c r="AS5071" s="1">
        <v>44354.111111111109</v>
      </c>
      <c r="AT5071" s="1">
        <v>44354.659710648149</v>
      </c>
      <c r="AU5071" s="1">
        <v>44354.660324074073</v>
      </c>
      <c r="AV5071" t="s">
        <v>71</v>
      </c>
      <c r="AW5071" t="s">
        <v>72</v>
      </c>
      <c r="AX5071" t="s">
        <v>73</v>
      </c>
    </row>
    <row r="5072" spans="1:50" x14ac:dyDescent="0.3">
      <c r="A5072" t="str">
        <f>"201498B0000"</f>
        <v>201498B0000</v>
      </c>
      <c r="B5072" t="str">
        <f>"201498B00002"</f>
        <v>201498B00002</v>
      </c>
      <c r="C5072" t="str">
        <f t="shared" si="253"/>
        <v>20</v>
      </c>
      <c r="D5072" t="s">
        <v>67</v>
      </c>
      <c r="E5072" t="str">
        <f t="shared" si="252"/>
        <v>023</v>
      </c>
      <c r="F5072" t="s">
        <v>5157</v>
      </c>
      <c r="G5072" t="str">
        <f>"1498"</f>
        <v>1498</v>
      </c>
      <c r="H5072" t="str">
        <f>"0000"</f>
        <v>0000</v>
      </c>
      <c r="I5072" t="s">
        <v>69</v>
      </c>
      <c r="J5072">
        <v>0</v>
      </c>
      <c r="K5072">
        <v>1</v>
      </c>
      <c r="L5072">
        <v>2</v>
      </c>
      <c r="M5072">
        <v>249</v>
      </c>
      <c r="N5072">
        <v>529</v>
      </c>
      <c r="O5072">
        <v>0</v>
      </c>
      <c r="P5072">
        <v>529</v>
      </c>
      <c r="Q5072">
        <v>19</v>
      </c>
      <c r="R5072">
        <v>201</v>
      </c>
      <c r="S5072">
        <v>2</v>
      </c>
      <c r="T5072">
        <v>1</v>
      </c>
      <c r="U5072">
        <v>4</v>
      </c>
      <c r="V5072">
        <v>2</v>
      </c>
      <c r="W5072">
        <v>3</v>
      </c>
      <c r="X5072">
        <v>268</v>
      </c>
      <c r="Y5072">
        <v>3</v>
      </c>
      <c r="Z5072">
        <v>3</v>
      </c>
      <c r="AA5072">
        <v>9</v>
      </c>
      <c r="AB5072">
        <v>2</v>
      </c>
      <c r="AD5072">
        <v>4</v>
      </c>
      <c r="AE5072">
        <v>3</v>
      </c>
      <c r="AF5072">
        <v>0</v>
      </c>
      <c r="AG5072">
        <v>1</v>
      </c>
      <c r="AI5072">
        <v>0</v>
      </c>
      <c r="AJ5072">
        <v>4</v>
      </c>
      <c r="AK5072">
        <v>529</v>
      </c>
      <c r="AL5072">
        <v>529</v>
      </c>
      <c r="AM5072">
        <v>734</v>
      </c>
      <c r="AN5072">
        <v>44</v>
      </c>
      <c r="AP5072">
        <v>1</v>
      </c>
      <c r="AR5072" t="s">
        <v>5176</v>
      </c>
      <c r="AS5072" s="1">
        <v>44354.006944444445</v>
      </c>
      <c r="AT5072" s="1">
        <v>44354.0158912037</v>
      </c>
      <c r="AU5072" s="1">
        <v>44354.016828703701</v>
      </c>
      <c r="AV5072" t="s">
        <v>71</v>
      </c>
      <c r="AW5072" t="s">
        <v>72</v>
      </c>
      <c r="AX5072" t="s">
        <v>73</v>
      </c>
    </row>
    <row r="5073" spans="1:50" x14ac:dyDescent="0.3">
      <c r="A5073" t="str">
        <f>"201498C0100"</f>
        <v>201498C0100</v>
      </c>
      <c r="B5073" t="str">
        <f>"201498C01002"</f>
        <v>201498C01002</v>
      </c>
      <c r="C5073" t="str">
        <f t="shared" si="253"/>
        <v>20</v>
      </c>
      <c r="D5073" t="s">
        <v>67</v>
      </c>
      <c r="E5073" t="str">
        <f t="shared" si="252"/>
        <v>023</v>
      </c>
      <c r="F5073" t="s">
        <v>5157</v>
      </c>
      <c r="G5073" t="str">
        <f>"1498"</f>
        <v>1498</v>
      </c>
      <c r="H5073" t="str">
        <f>"0001"</f>
        <v>0001</v>
      </c>
      <c r="I5073" t="s">
        <v>75</v>
      </c>
      <c r="J5073">
        <v>0</v>
      </c>
      <c r="K5073">
        <v>1</v>
      </c>
      <c r="L5073">
        <v>2</v>
      </c>
      <c r="M5073">
        <v>248</v>
      </c>
      <c r="N5073">
        <v>530</v>
      </c>
      <c r="O5073">
        <v>2</v>
      </c>
      <c r="P5073">
        <v>530</v>
      </c>
      <c r="Q5073">
        <v>18</v>
      </c>
      <c r="R5073">
        <v>220</v>
      </c>
      <c r="S5073">
        <v>12</v>
      </c>
      <c r="T5073">
        <v>2</v>
      </c>
      <c r="U5073">
        <v>1</v>
      </c>
      <c r="V5073">
        <v>0</v>
      </c>
      <c r="W5073">
        <v>1</v>
      </c>
      <c r="X5073">
        <v>243</v>
      </c>
      <c r="Y5073">
        <v>3</v>
      </c>
      <c r="Z5073">
        <v>2</v>
      </c>
      <c r="AA5073">
        <v>10</v>
      </c>
      <c r="AB5073">
        <v>0</v>
      </c>
      <c r="AD5073">
        <v>5</v>
      </c>
      <c r="AE5073">
        <v>1</v>
      </c>
      <c r="AF5073">
        <v>0</v>
      </c>
      <c r="AG5073">
        <v>0</v>
      </c>
      <c r="AI5073">
        <v>0</v>
      </c>
      <c r="AJ5073">
        <v>12</v>
      </c>
      <c r="AK5073">
        <v>530</v>
      </c>
      <c r="AL5073">
        <v>530</v>
      </c>
      <c r="AM5073">
        <v>734</v>
      </c>
      <c r="AN5073">
        <v>44</v>
      </c>
      <c r="AP5073">
        <v>1</v>
      </c>
      <c r="AR5073" t="s">
        <v>5177</v>
      </c>
      <c r="AS5073" s="1">
        <v>44354.006249999999</v>
      </c>
      <c r="AT5073" s="1">
        <v>44354.014120370368</v>
      </c>
      <c r="AU5073" s="1">
        <v>44354.01489583333</v>
      </c>
      <c r="AV5073" t="s">
        <v>71</v>
      </c>
      <c r="AW5073" t="s">
        <v>72</v>
      </c>
      <c r="AX5073" t="s">
        <v>73</v>
      </c>
    </row>
    <row r="5074" spans="1:50" x14ac:dyDescent="0.3">
      <c r="A5074" t="str">
        <f>"201498C0200"</f>
        <v>201498C0200</v>
      </c>
      <c r="B5074" t="str">
        <f>"201498C02002"</f>
        <v>201498C02002</v>
      </c>
      <c r="C5074" t="str">
        <f t="shared" si="253"/>
        <v>20</v>
      </c>
      <c r="D5074" t="s">
        <v>67</v>
      </c>
      <c r="E5074" t="str">
        <f t="shared" si="252"/>
        <v>023</v>
      </c>
      <c r="F5074" t="s">
        <v>5157</v>
      </c>
      <c r="G5074" t="str">
        <f>"1498"</f>
        <v>1498</v>
      </c>
      <c r="H5074" t="str">
        <f>"0002"</f>
        <v>0002</v>
      </c>
      <c r="I5074" t="s">
        <v>75</v>
      </c>
      <c r="J5074">
        <v>0</v>
      </c>
      <c r="K5074">
        <v>1</v>
      </c>
      <c r="L5074">
        <v>2</v>
      </c>
      <c r="M5074">
        <v>277</v>
      </c>
      <c r="N5074">
        <v>500</v>
      </c>
      <c r="O5074">
        <v>9</v>
      </c>
      <c r="P5074">
        <v>499</v>
      </c>
      <c r="Q5074">
        <v>16</v>
      </c>
      <c r="R5074">
        <v>197</v>
      </c>
      <c r="S5074">
        <v>3</v>
      </c>
      <c r="T5074">
        <v>4</v>
      </c>
      <c r="U5074">
        <v>1</v>
      </c>
      <c r="V5074">
        <v>2</v>
      </c>
      <c r="W5074">
        <v>2</v>
      </c>
      <c r="X5074">
        <v>240</v>
      </c>
      <c r="Y5074">
        <v>1</v>
      </c>
      <c r="Z5074">
        <v>3</v>
      </c>
      <c r="AA5074">
        <v>10</v>
      </c>
      <c r="AB5074">
        <v>0</v>
      </c>
      <c r="AD5074">
        <v>1</v>
      </c>
      <c r="AE5074">
        <v>0</v>
      </c>
      <c r="AF5074">
        <v>0</v>
      </c>
      <c r="AG5074">
        <v>3</v>
      </c>
      <c r="AI5074">
        <v>0</v>
      </c>
      <c r="AJ5074">
        <v>16</v>
      </c>
      <c r="AK5074">
        <v>499</v>
      </c>
      <c r="AL5074">
        <v>499</v>
      </c>
      <c r="AM5074">
        <v>733</v>
      </c>
      <c r="AN5074">
        <v>44</v>
      </c>
      <c r="AP5074">
        <v>1</v>
      </c>
      <c r="AR5074" t="s">
        <v>5178</v>
      </c>
      <c r="AS5074" s="1">
        <v>44354.007638888892</v>
      </c>
      <c r="AT5074" s="1">
        <v>44354.014166666668</v>
      </c>
      <c r="AU5074" s="1">
        <v>44354.014768518522</v>
      </c>
      <c r="AV5074" t="s">
        <v>71</v>
      </c>
      <c r="AW5074" t="s">
        <v>72</v>
      </c>
      <c r="AX5074" t="s">
        <v>73</v>
      </c>
    </row>
    <row r="5075" spans="1:50" x14ac:dyDescent="0.3">
      <c r="A5075" t="str">
        <f>"201498C0300"</f>
        <v>201498C0300</v>
      </c>
      <c r="B5075" t="str">
        <f>"201498C03002"</f>
        <v>201498C03002</v>
      </c>
      <c r="C5075" t="str">
        <f t="shared" si="253"/>
        <v>20</v>
      </c>
      <c r="D5075" t="s">
        <v>67</v>
      </c>
      <c r="E5075" t="str">
        <f t="shared" si="252"/>
        <v>023</v>
      </c>
      <c r="F5075" t="s">
        <v>5157</v>
      </c>
      <c r="G5075" t="str">
        <f>"1498"</f>
        <v>1498</v>
      </c>
      <c r="H5075" t="str">
        <f>"0003"</f>
        <v>0003</v>
      </c>
      <c r="I5075" t="s">
        <v>75</v>
      </c>
      <c r="J5075">
        <v>0</v>
      </c>
      <c r="K5075">
        <v>1</v>
      </c>
      <c r="L5075">
        <v>2</v>
      </c>
      <c r="M5075">
        <v>238</v>
      </c>
      <c r="N5075">
        <v>539</v>
      </c>
      <c r="O5075">
        <v>6</v>
      </c>
      <c r="P5075">
        <v>539</v>
      </c>
      <c r="Q5075">
        <v>17</v>
      </c>
      <c r="R5075">
        <v>205</v>
      </c>
      <c r="S5075">
        <v>5</v>
      </c>
      <c r="T5075">
        <v>0</v>
      </c>
      <c r="U5075">
        <v>3</v>
      </c>
      <c r="V5075">
        <v>2</v>
      </c>
      <c r="W5075">
        <v>8</v>
      </c>
      <c r="X5075">
        <v>258</v>
      </c>
      <c r="Y5075">
        <v>6</v>
      </c>
      <c r="Z5075">
        <v>0</v>
      </c>
      <c r="AA5075">
        <v>18</v>
      </c>
      <c r="AB5075">
        <v>3</v>
      </c>
      <c r="AD5075">
        <v>1</v>
      </c>
      <c r="AE5075">
        <v>2</v>
      </c>
      <c r="AF5075">
        <v>0</v>
      </c>
      <c r="AG5075">
        <v>2</v>
      </c>
      <c r="AI5075">
        <v>0</v>
      </c>
      <c r="AJ5075">
        <v>9</v>
      </c>
      <c r="AK5075">
        <v>539</v>
      </c>
      <c r="AL5075">
        <v>539</v>
      </c>
      <c r="AM5075">
        <v>733</v>
      </c>
      <c r="AN5075">
        <v>44</v>
      </c>
      <c r="AP5075">
        <v>1</v>
      </c>
      <c r="AR5075" t="s">
        <v>5179</v>
      </c>
      <c r="AS5075" s="1">
        <v>44354.01458333333</v>
      </c>
      <c r="AT5075" s="1">
        <v>44354.022916666669</v>
      </c>
      <c r="AU5075" s="1">
        <v>44354.023564814815</v>
      </c>
      <c r="AV5075" t="s">
        <v>71</v>
      </c>
      <c r="AW5075" t="s">
        <v>72</v>
      </c>
      <c r="AX5075" t="s">
        <v>73</v>
      </c>
    </row>
    <row r="5076" spans="1:50" x14ac:dyDescent="0.3">
      <c r="A5076" t="str">
        <f>"201499B0000"</f>
        <v>201499B0000</v>
      </c>
      <c r="B5076" t="str">
        <f>"201499B00002"</f>
        <v>201499B00002</v>
      </c>
      <c r="C5076" t="str">
        <f t="shared" si="253"/>
        <v>20</v>
      </c>
      <c r="D5076" t="s">
        <v>67</v>
      </c>
      <c r="E5076" t="str">
        <f t="shared" si="252"/>
        <v>023</v>
      </c>
      <c r="F5076" t="s">
        <v>5157</v>
      </c>
      <c r="G5076" t="str">
        <f t="shared" ref="G5076:G5081" si="254">"1499"</f>
        <v>1499</v>
      </c>
      <c r="H5076" t="str">
        <f>"0000"</f>
        <v>0000</v>
      </c>
      <c r="I5076" t="s">
        <v>69</v>
      </c>
      <c r="J5076">
        <v>0</v>
      </c>
      <c r="K5076">
        <v>1</v>
      </c>
      <c r="L5076">
        <v>2</v>
      </c>
      <c r="M5076">
        <v>251</v>
      </c>
      <c r="N5076">
        <v>393</v>
      </c>
      <c r="O5076">
        <v>5</v>
      </c>
      <c r="P5076">
        <v>393</v>
      </c>
      <c r="Q5076">
        <v>2</v>
      </c>
      <c r="R5076">
        <v>181</v>
      </c>
      <c r="S5076">
        <v>2</v>
      </c>
      <c r="T5076">
        <v>2</v>
      </c>
      <c r="U5076">
        <v>0</v>
      </c>
      <c r="V5076">
        <v>4</v>
      </c>
      <c r="W5076">
        <v>3</v>
      </c>
      <c r="X5076">
        <v>171</v>
      </c>
      <c r="Y5076">
        <v>2</v>
      </c>
      <c r="Z5076">
        <v>6</v>
      </c>
      <c r="AA5076">
        <v>8</v>
      </c>
      <c r="AB5076">
        <v>0</v>
      </c>
      <c r="AD5076">
        <v>0</v>
      </c>
      <c r="AE5076">
        <v>0</v>
      </c>
      <c r="AF5076">
        <v>0</v>
      </c>
      <c r="AG5076">
        <v>2</v>
      </c>
      <c r="AI5076">
        <v>0</v>
      </c>
      <c r="AJ5076">
        <v>10</v>
      </c>
      <c r="AK5076">
        <v>393</v>
      </c>
      <c r="AL5076">
        <v>393</v>
      </c>
      <c r="AM5076">
        <v>603</v>
      </c>
      <c r="AN5076">
        <v>44</v>
      </c>
      <c r="AP5076">
        <v>1</v>
      </c>
      <c r="AR5076" t="s">
        <v>5180</v>
      </c>
      <c r="AS5076" s="1">
        <v>44354.383333333331</v>
      </c>
      <c r="AT5076" s="1">
        <v>44354.385752314818</v>
      </c>
      <c r="AU5076" s="1">
        <v>44354.386319444442</v>
      </c>
      <c r="AV5076" t="s">
        <v>71</v>
      </c>
      <c r="AW5076" t="s">
        <v>72</v>
      </c>
      <c r="AX5076" t="s">
        <v>73</v>
      </c>
    </row>
    <row r="5077" spans="1:50" x14ac:dyDescent="0.3">
      <c r="A5077" t="str">
        <f>"201499C0100"</f>
        <v>201499C0100</v>
      </c>
      <c r="B5077" t="str">
        <f>"201499C01002"</f>
        <v>201499C01002</v>
      </c>
      <c r="C5077" t="str">
        <f t="shared" si="253"/>
        <v>20</v>
      </c>
      <c r="D5077" t="s">
        <v>67</v>
      </c>
      <c r="E5077" t="str">
        <f t="shared" si="252"/>
        <v>023</v>
      </c>
      <c r="F5077" t="s">
        <v>5157</v>
      </c>
      <c r="G5077" t="str">
        <f t="shared" si="254"/>
        <v>1499</v>
      </c>
      <c r="H5077" t="str">
        <f>"0001"</f>
        <v>0001</v>
      </c>
      <c r="I5077" t="s">
        <v>75</v>
      </c>
      <c r="J5077">
        <v>0</v>
      </c>
      <c r="K5077">
        <v>1</v>
      </c>
      <c r="L5077">
        <v>2</v>
      </c>
      <c r="M5077">
        <v>252</v>
      </c>
      <c r="N5077">
        <v>394</v>
      </c>
      <c r="O5077">
        <v>7</v>
      </c>
      <c r="P5077">
        <v>394</v>
      </c>
      <c r="Q5077">
        <v>7</v>
      </c>
      <c r="R5077">
        <v>154</v>
      </c>
      <c r="S5077">
        <v>3</v>
      </c>
      <c r="T5077">
        <v>5</v>
      </c>
      <c r="U5077">
        <v>0</v>
      </c>
      <c r="V5077">
        <v>3</v>
      </c>
      <c r="W5077">
        <v>5</v>
      </c>
      <c r="X5077">
        <v>184</v>
      </c>
      <c r="Y5077">
        <v>5</v>
      </c>
      <c r="Z5077">
        <v>4</v>
      </c>
      <c r="AA5077">
        <v>12</v>
      </c>
      <c r="AB5077">
        <v>2</v>
      </c>
      <c r="AD5077">
        <v>1</v>
      </c>
      <c r="AE5077">
        <v>0</v>
      </c>
      <c r="AF5077">
        <v>1</v>
      </c>
      <c r="AG5077">
        <v>2</v>
      </c>
      <c r="AI5077">
        <v>0</v>
      </c>
      <c r="AJ5077">
        <v>8</v>
      </c>
      <c r="AK5077">
        <v>394</v>
      </c>
      <c r="AL5077">
        <v>396</v>
      </c>
      <c r="AM5077">
        <v>602</v>
      </c>
      <c r="AN5077">
        <v>44</v>
      </c>
      <c r="AP5077">
        <v>1</v>
      </c>
      <c r="AR5077" t="s">
        <v>5181</v>
      </c>
      <c r="AS5077" s="1">
        <v>44354.383333333331</v>
      </c>
      <c r="AT5077" s="1">
        <v>44354.386608796296</v>
      </c>
      <c r="AU5077" s="1">
        <v>44354.38721064815</v>
      </c>
      <c r="AV5077" t="s">
        <v>71</v>
      </c>
      <c r="AW5077" t="s">
        <v>72</v>
      </c>
      <c r="AX5077" t="s">
        <v>73</v>
      </c>
    </row>
    <row r="5078" spans="1:50" x14ac:dyDescent="0.3">
      <c r="A5078" t="str">
        <f>"201499C0200"</f>
        <v>201499C0200</v>
      </c>
      <c r="B5078" t="str">
        <f>"201499C02002"</f>
        <v>201499C02002</v>
      </c>
      <c r="C5078" t="str">
        <f t="shared" si="253"/>
        <v>20</v>
      </c>
      <c r="D5078" t="s">
        <v>67</v>
      </c>
      <c r="E5078" t="str">
        <f t="shared" si="252"/>
        <v>023</v>
      </c>
      <c r="F5078" t="s">
        <v>5157</v>
      </c>
      <c r="G5078" t="str">
        <f t="shared" si="254"/>
        <v>1499</v>
      </c>
      <c r="H5078" t="str">
        <f>"0002"</f>
        <v>0002</v>
      </c>
      <c r="I5078" t="s">
        <v>75</v>
      </c>
      <c r="J5078">
        <v>0</v>
      </c>
      <c r="K5078">
        <v>1</v>
      </c>
      <c r="L5078">
        <v>2</v>
      </c>
      <c r="M5078">
        <v>253</v>
      </c>
      <c r="N5078">
        <v>393</v>
      </c>
      <c r="O5078">
        <v>11</v>
      </c>
      <c r="P5078">
        <v>393</v>
      </c>
      <c r="Q5078">
        <v>5</v>
      </c>
      <c r="R5078">
        <v>174</v>
      </c>
      <c r="S5078">
        <v>3</v>
      </c>
      <c r="T5078">
        <v>1</v>
      </c>
      <c r="U5078">
        <v>0</v>
      </c>
      <c r="V5078">
        <v>6</v>
      </c>
      <c r="W5078">
        <v>0</v>
      </c>
      <c r="X5078">
        <v>174</v>
      </c>
      <c r="Y5078">
        <v>2</v>
      </c>
      <c r="Z5078">
        <v>3</v>
      </c>
      <c r="AA5078">
        <v>8</v>
      </c>
      <c r="AB5078">
        <v>2</v>
      </c>
      <c r="AD5078">
        <v>2</v>
      </c>
      <c r="AE5078">
        <v>1</v>
      </c>
      <c r="AF5078">
        <v>0</v>
      </c>
      <c r="AG5078">
        <v>1</v>
      </c>
      <c r="AI5078">
        <v>0</v>
      </c>
      <c r="AJ5078">
        <v>11</v>
      </c>
      <c r="AK5078">
        <v>393</v>
      </c>
      <c r="AL5078">
        <v>393</v>
      </c>
      <c r="AM5078">
        <v>602</v>
      </c>
      <c r="AN5078">
        <v>44</v>
      </c>
      <c r="AP5078">
        <v>1</v>
      </c>
      <c r="AR5078" t="s">
        <v>5182</v>
      </c>
      <c r="AS5078" s="1">
        <v>44354.384027777778</v>
      </c>
      <c r="AT5078" s="1">
        <v>44354.386759259258</v>
      </c>
      <c r="AU5078" s="1">
        <v>44354.387337962966</v>
      </c>
      <c r="AV5078" t="s">
        <v>71</v>
      </c>
      <c r="AW5078" t="s">
        <v>72</v>
      </c>
      <c r="AX5078" t="s">
        <v>73</v>
      </c>
    </row>
    <row r="5079" spans="1:50" x14ac:dyDescent="0.3">
      <c r="A5079" t="str">
        <f>"201499E0100"</f>
        <v>201499E0100</v>
      </c>
      <c r="B5079" t="str">
        <f>"201499E01002"</f>
        <v>201499E01002</v>
      </c>
      <c r="C5079" t="str">
        <f t="shared" si="253"/>
        <v>20</v>
      </c>
      <c r="D5079" t="s">
        <v>67</v>
      </c>
      <c r="E5079" t="str">
        <f t="shared" si="252"/>
        <v>023</v>
      </c>
      <c r="F5079" t="s">
        <v>5157</v>
      </c>
      <c r="G5079" t="str">
        <f t="shared" si="254"/>
        <v>1499</v>
      </c>
      <c r="H5079" t="str">
        <f>"0001"</f>
        <v>0001</v>
      </c>
      <c r="I5079" t="s">
        <v>109</v>
      </c>
      <c r="J5079">
        <v>0</v>
      </c>
      <c r="K5079">
        <v>1</v>
      </c>
      <c r="L5079">
        <v>2</v>
      </c>
      <c r="M5079">
        <v>182</v>
      </c>
      <c r="N5079">
        <v>439</v>
      </c>
      <c r="O5079">
        <v>4</v>
      </c>
      <c r="P5079">
        <v>439</v>
      </c>
      <c r="Q5079">
        <v>2</v>
      </c>
      <c r="R5079">
        <v>223</v>
      </c>
      <c r="S5079">
        <v>2</v>
      </c>
      <c r="T5079">
        <v>2</v>
      </c>
      <c r="U5079">
        <v>1</v>
      </c>
      <c r="V5079">
        <v>9</v>
      </c>
      <c r="W5079">
        <v>2</v>
      </c>
      <c r="X5079">
        <v>167</v>
      </c>
      <c r="Y5079">
        <v>2</v>
      </c>
      <c r="Z5079">
        <v>7</v>
      </c>
      <c r="AA5079">
        <v>3</v>
      </c>
      <c r="AB5079">
        <v>0</v>
      </c>
      <c r="AD5079">
        <v>2</v>
      </c>
      <c r="AE5079">
        <v>0</v>
      </c>
      <c r="AF5079">
        <v>0</v>
      </c>
      <c r="AG5079">
        <v>0</v>
      </c>
      <c r="AI5079">
        <v>0</v>
      </c>
      <c r="AJ5079">
        <v>17</v>
      </c>
      <c r="AK5079">
        <v>439</v>
      </c>
      <c r="AL5079">
        <v>439</v>
      </c>
      <c r="AM5079">
        <v>577</v>
      </c>
      <c r="AN5079">
        <v>44</v>
      </c>
      <c r="AP5079">
        <v>1</v>
      </c>
      <c r="AR5079" t="s">
        <v>5183</v>
      </c>
      <c r="AS5079" s="1">
        <v>44354.015277777777</v>
      </c>
      <c r="AT5079" s="1">
        <v>44354.027916666666</v>
      </c>
      <c r="AU5079" s="1">
        <v>44354.02847222222</v>
      </c>
      <c r="AV5079" t="s">
        <v>71</v>
      </c>
      <c r="AW5079" t="s">
        <v>72</v>
      </c>
      <c r="AX5079" t="s">
        <v>73</v>
      </c>
    </row>
    <row r="5080" spans="1:50" x14ac:dyDescent="0.3">
      <c r="A5080" t="str">
        <f>"201499E0200"</f>
        <v>201499E0200</v>
      </c>
      <c r="B5080" t="str">
        <f>"201499E02002"</f>
        <v>201499E02002</v>
      </c>
      <c r="C5080" t="str">
        <f t="shared" si="253"/>
        <v>20</v>
      </c>
      <c r="D5080" t="s">
        <v>67</v>
      </c>
      <c r="E5080" t="str">
        <f t="shared" si="252"/>
        <v>023</v>
      </c>
      <c r="F5080" t="s">
        <v>5157</v>
      </c>
      <c r="G5080" t="str">
        <f t="shared" si="254"/>
        <v>1499</v>
      </c>
      <c r="H5080" t="str">
        <f>"0002"</f>
        <v>0002</v>
      </c>
      <c r="I5080" t="s">
        <v>109</v>
      </c>
      <c r="J5080">
        <v>0</v>
      </c>
      <c r="K5080">
        <v>1</v>
      </c>
      <c r="L5080">
        <v>2</v>
      </c>
      <c r="M5080">
        <v>140</v>
      </c>
      <c r="N5080">
        <v>236</v>
      </c>
      <c r="O5080">
        <v>5</v>
      </c>
      <c r="P5080">
        <v>236</v>
      </c>
      <c r="Q5080">
        <v>3</v>
      </c>
      <c r="R5080">
        <v>129</v>
      </c>
      <c r="S5080">
        <v>1</v>
      </c>
      <c r="T5080">
        <v>4</v>
      </c>
      <c r="U5080">
        <v>0</v>
      </c>
      <c r="V5080">
        <v>9</v>
      </c>
      <c r="W5080">
        <v>0</v>
      </c>
      <c r="X5080">
        <v>84</v>
      </c>
      <c r="Y5080">
        <v>1</v>
      </c>
      <c r="Z5080">
        <v>0</v>
      </c>
      <c r="AA5080">
        <v>3</v>
      </c>
      <c r="AB5080">
        <v>0</v>
      </c>
      <c r="AD5080">
        <v>0</v>
      </c>
      <c r="AE5080">
        <v>0</v>
      </c>
      <c r="AF5080">
        <v>0</v>
      </c>
      <c r="AG5080">
        <v>0</v>
      </c>
      <c r="AI5080">
        <v>0</v>
      </c>
      <c r="AJ5080">
        <v>2</v>
      </c>
      <c r="AK5080">
        <v>236</v>
      </c>
      <c r="AL5080">
        <v>236</v>
      </c>
      <c r="AM5080">
        <v>332</v>
      </c>
      <c r="AN5080">
        <v>44</v>
      </c>
      <c r="AP5080">
        <v>1</v>
      </c>
      <c r="AR5080" t="s">
        <v>5184</v>
      </c>
      <c r="AS5080" s="1">
        <v>44354.015277777777</v>
      </c>
      <c r="AT5080" s="1">
        <v>44354.028217592589</v>
      </c>
      <c r="AU5080" s="1">
        <v>44354.028784722221</v>
      </c>
      <c r="AV5080" t="s">
        <v>71</v>
      </c>
      <c r="AW5080" t="s">
        <v>72</v>
      </c>
      <c r="AX5080" t="s">
        <v>73</v>
      </c>
    </row>
    <row r="5081" spans="1:50" x14ac:dyDescent="0.3">
      <c r="A5081" t="str">
        <f>"201499E0300"</f>
        <v>201499E0300</v>
      </c>
      <c r="B5081" t="str">
        <f>"201499E03002"</f>
        <v>201499E03002</v>
      </c>
      <c r="C5081" t="str">
        <f t="shared" si="253"/>
        <v>20</v>
      </c>
      <c r="D5081" t="s">
        <v>67</v>
      </c>
      <c r="E5081" t="str">
        <f t="shared" si="252"/>
        <v>023</v>
      </c>
      <c r="F5081" t="s">
        <v>5157</v>
      </c>
      <c r="G5081" t="str">
        <f t="shared" si="254"/>
        <v>1499</v>
      </c>
      <c r="H5081" t="str">
        <f>"0003"</f>
        <v>0003</v>
      </c>
      <c r="I5081" t="s">
        <v>109</v>
      </c>
      <c r="J5081">
        <v>0</v>
      </c>
      <c r="K5081">
        <v>1</v>
      </c>
      <c r="L5081">
        <v>2</v>
      </c>
      <c r="M5081">
        <v>146</v>
      </c>
      <c r="N5081">
        <v>192</v>
      </c>
      <c r="O5081">
        <v>4</v>
      </c>
      <c r="P5081">
        <v>192</v>
      </c>
      <c r="Q5081">
        <v>5</v>
      </c>
      <c r="R5081">
        <v>101</v>
      </c>
      <c r="S5081">
        <v>0</v>
      </c>
      <c r="T5081">
        <v>2</v>
      </c>
      <c r="U5081">
        <v>1</v>
      </c>
      <c r="V5081">
        <v>2</v>
      </c>
      <c r="W5081">
        <v>0</v>
      </c>
      <c r="X5081">
        <v>71</v>
      </c>
      <c r="Y5081">
        <v>0</v>
      </c>
      <c r="Z5081">
        <v>0</v>
      </c>
      <c r="AA5081">
        <v>3</v>
      </c>
      <c r="AB5081">
        <v>0</v>
      </c>
      <c r="AD5081">
        <v>1</v>
      </c>
      <c r="AE5081">
        <v>1</v>
      </c>
      <c r="AF5081">
        <v>0</v>
      </c>
      <c r="AG5081">
        <v>0</v>
      </c>
      <c r="AI5081">
        <v>0</v>
      </c>
      <c r="AJ5081">
        <v>5</v>
      </c>
      <c r="AK5081">
        <v>192</v>
      </c>
      <c r="AL5081">
        <v>192</v>
      </c>
      <c r="AM5081">
        <v>294</v>
      </c>
      <c r="AN5081">
        <v>44</v>
      </c>
      <c r="AP5081">
        <v>1</v>
      </c>
      <c r="AR5081" t="s">
        <v>5185</v>
      </c>
      <c r="AS5081" s="1">
        <v>44354.465277777781</v>
      </c>
      <c r="AT5081" s="1">
        <v>44354.468680555554</v>
      </c>
      <c r="AU5081" s="1">
        <v>44354.469351851854</v>
      </c>
      <c r="AV5081" t="s">
        <v>71</v>
      </c>
      <c r="AW5081" t="s">
        <v>72</v>
      </c>
      <c r="AX5081" t="s">
        <v>73</v>
      </c>
    </row>
    <row r="5082" spans="1:50" x14ac:dyDescent="0.3">
      <c r="A5082" t="str">
        <f>"201500B0000"</f>
        <v>201500B0000</v>
      </c>
      <c r="B5082" t="str">
        <f>"201500B00002"</f>
        <v>201500B00002</v>
      </c>
      <c r="C5082" t="str">
        <f t="shared" si="253"/>
        <v>20</v>
      </c>
      <c r="D5082" t="s">
        <v>67</v>
      </c>
      <c r="E5082" t="str">
        <f t="shared" si="252"/>
        <v>023</v>
      </c>
      <c r="F5082" t="s">
        <v>5157</v>
      </c>
      <c r="G5082" t="str">
        <f>"1500"</f>
        <v>1500</v>
      </c>
      <c r="H5082" t="str">
        <f>"0000"</f>
        <v>0000</v>
      </c>
      <c r="I5082" t="s">
        <v>69</v>
      </c>
      <c r="J5082">
        <v>0</v>
      </c>
      <c r="K5082">
        <v>1</v>
      </c>
      <c r="L5082">
        <v>2</v>
      </c>
      <c r="M5082" t="s">
        <v>99</v>
      </c>
      <c r="N5082">
        <v>445</v>
      </c>
      <c r="O5082">
        <v>3</v>
      </c>
      <c r="P5082" t="s">
        <v>80</v>
      </c>
      <c r="Q5082">
        <v>5</v>
      </c>
      <c r="R5082">
        <v>179</v>
      </c>
      <c r="S5082">
        <v>3</v>
      </c>
      <c r="T5082">
        <v>3</v>
      </c>
      <c r="U5082">
        <v>2</v>
      </c>
      <c r="V5082">
        <v>7</v>
      </c>
      <c r="W5082">
        <v>1</v>
      </c>
      <c r="X5082">
        <v>208</v>
      </c>
      <c r="Y5082">
        <v>2</v>
      </c>
      <c r="Z5082">
        <v>7</v>
      </c>
      <c r="AA5082">
        <v>11</v>
      </c>
      <c r="AB5082">
        <v>1</v>
      </c>
      <c r="AD5082">
        <v>3</v>
      </c>
      <c r="AE5082">
        <v>1</v>
      </c>
      <c r="AF5082" t="s">
        <v>77</v>
      </c>
      <c r="AG5082" t="s">
        <v>77</v>
      </c>
      <c r="AI5082" t="s">
        <v>77</v>
      </c>
      <c r="AJ5082">
        <v>12</v>
      </c>
      <c r="AK5082">
        <v>445</v>
      </c>
      <c r="AL5082">
        <v>445</v>
      </c>
      <c r="AM5082">
        <v>749</v>
      </c>
      <c r="AN5082">
        <v>44</v>
      </c>
      <c r="AO5082" t="s">
        <v>78</v>
      </c>
      <c r="AP5082">
        <v>1</v>
      </c>
      <c r="AR5082" t="s">
        <v>5186</v>
      </c>
      <c r="AS5082" s="1">
        <v>44354.032638888886</v>
      </c>
      <c r="AT5082" s="1">
        <v>44354.04210648148</v>
      </c>
      <c r="AU5082" s="1">
        <v>44354.043055555558</v>
      </c>
      <c r="AV5082" t="s">
        <v>71</v>
      </c>
      <c r="AW5082" t="s">
        <v>72</v>
      </c>
      <c r="AX5082" t="s">
        <v>73</v>
      </c>
    </row>
    <row r="5083" spans="1:50" x14ac:dyDescent="0.3">
      <c r="A5083" t="str">
        <f>"201500C0100"</f>
        <v>201500C0100</v>
      </c>
      <c r="B5083" t="str">
        <f>"201500C01002"</f>
        <v>201500C01002</v>
      </c>
      <c r="C5083" t="str">
        <f t="shared" si="253"/>
        <v>20</v>
      </c>
      <c r="D5083" t="s">
        <v>67</v>
      </c>
      <c r="E5083" t="str">
        <f t="shared" si="252"/>
        <v>023</v>
      </c>
      <c r="F5083" t="s">
        <v>5157</v>
      </c>
      <c r="G5083" t="str">
        <f>"1500"</f>
        <v>1500</v>
      </c>
      <c r="H5083" t="str">
        <f>"0001"</f>
        <v>0001</v>
      </c>
      <c r="I5083" t="s">
        <v>75</v>
      </c>
      <c r="J5083">
        <v>0</v>
      </c>
      <c r="K5083">
        <v>1</v>
      </c>
      <c r="L5083">
        <v>2</v>
      </c>
      <c r="M5083">
        <v>339</v>
      </c>
      <c r="N5083">
        <v>454</v>
      </c>
      <c r="O5083">
        <v>5</v>
      </c>
      <c r="P5083">
        <v>454</v>
      </c>
      <c r="Q5083">
        <v>11</v>
      </c>
      <c r="R5083">
        <v>181</v>
      </c>
      <c r="S5083">
        <v>6</v>
      </c>
      <c r="T5083">
        <v>3</v>
      </c>
      <c r="U5083">
        <v>2</v>
      </c>
      <c r="V5083">
        <v>2</v>
      </c>
      <c r="W5083">
        <v>2</v>
      </c>
      <c r="X5083">
        <v>205</v>
      </c>
      <c r="Y5083">
        <v>1</v>
      </c>
      <c r="Z5083">
        <v>7</v>
      </c>
      <c r="AA5083">
        <v>19</v>
      </c>
      <c r="AB5083">
        <v>1</v>
      </c>
      <c r="AD5083">
        <v>1</v>
      </c>
      <c r="AE5083" t="s">
        <v>77</v>
      </c>
      <c r="AF5083" t="s">
        <v>77</v>
      </c>
      <c r="AG5083" t="s">
        <v>77</v>
      </c>
      <c r="AI5083" t="s">
        <v>77</v>
      </c>
      <c r="AJ5083">
        <v>13</v>
      </c>
      <c r="AK5083">
        <v>454</v>
      </c>
      <c r="AL5083">
        <v>454</v>
      </c>
      <c r="AM5083">
        <v>749</v>
      </c>
      <c r="AN5083">
        <v>44</v>
      </c>
      <c r="AO5083" t="s">
        <v>78</v>
      </c>
      <c r="AP5083">
        <v>1</v>
      </c>
      <c r="AR5083" t="s">
        <v>5187</v>
      </c>
      <c r="AS5083" s="1">
        <v>44354.361805555556</v>
      </c>
      <c r="AT5083" s="1">
        <v>44354.365358796298</v>
      </c>
      <c r="AU5083" s="1">
        <v>44354.365752314814</v>
      </c>
      <c r="AV5083" t="s">
        <v>71</v>
      </c>
      <c r="AW5083" t="s">
        <v>72</v>
      </c>
      <c r="AX5083" t="s">
        <v>73</v>
      </c>
    </row>
    <row r="5084" spans="1:50" x14ac:dyDescent="0.3">
      <c r="A5084" t="str">
        <f>"201500C0200"</f>
        <v>201500C0200</v>
      </c>
      <c r="B5084" t="str">
        <f>"201500C02002"</f>
        <v>201500C02002</v>
      </c>
      <c r="C5084" t="str">
        <f t="shared" si="253"/>
        <v>20</v>
      </c>
      <c r="D5084" t="s">
        <v>67</v>
      </c>
      <c r="E5084" t="str">
        <f t="shared" si="252"/>
        <v>023</v>
      </c>
      <c r="F5084" t="s">
        <v>5157</v>
      </c>
      <c r="G5084" t="str">
        <f>"1500"</f>
        <v>1500</v>
      </c>
      <c r="H5084" t="str">
        <f>"0002"</f>
        <v>0002</v>
      </c>
      <c r="I5084" t="s">
        <v>75</v>
      </c>
      <c r="J5084">
        <v>0</v>
      </c>
      <c r="K5084">
        <v>1</v>
      </c>
      <c r="L5084">
        <v>2</v>
      </c>
      <c r="M5084">
        <v>340</v>
      </c>
      <c r="N5084">
        <v>452</v>
      </c>
      <c r="O5084">
        <v>2</v>
      </c>
      <c r="P5084">
        <v>452</v>
      </c>
      <c r="Q5084">
        <v>8</v>
      </c>
      <c r="R5084">
        <v>167</v>
      </c>
      <c r="S5084">
        <v>4</v>
      </c>
      <c r="T5084">
        <v>6</v>
      </c>
      <c r="U5084">
        <v>2</v>
      </c>
      <c r="V5084">
        <v>6</v>
      </c>
      <c r="W5084">
        <v>1</v>
      </c>
      <c r="X5084">
        <v>210</v>
      </c>
      <c r="Y5084">
        <v>0</v>
      </c>
      <c r="Z5084">
        <v>9</v>
      </c>
      <c r="AA5084">
        <v>18</v>
      </c>
      <c r="AB5084">
        <v>4</v>
      </c>
      <c r="AD5084">
        <v>1</v>
      </c>
      <c r="AE5084">
        <v>1</v>
      </c>
      <c r="AF5084">
        <v>0</v>
      </c>
      <c r="AG5084">
        <v>3</v>
      </c>
      <c r="AI5084">
        <v>0</v>
      </c>
      <c r="AJ5084">
        <v>12</v>
      </c>
      <c r="AK5084">
        <v>452</v>
      </c>
      <c r="AL5084">
        <v>452</v>
      </c>
      <c r="AM5084">
        <v>748</v>
      </c>
      <c r="AN5084">
        <v>44</v>
      </c>
      <c r="AP5084">
        <v>1</v>
      </c>
      <c r="AR5084" t="s">
        <v>5188</v>
      </c>
      <c r="AS5084" s="1">
        <v>44354.031944444447</v>
      </c>
      <c r="AT5084" s="1">
        <v>44354.041585648149</v>
      </c>
      <c r="AU5084" s="1">
        <v>44354.042222222219</v>
      </c>
      <c r="AV5084" t="s">
        <v>71</v>
      </c>
      <c r="AW5084" t="s">
        <v>72</v>
      </c>
      <c r="AX5084" t="s">
        <v>73</v>
      </c>
    </row>
    <row r="5085" spans="1:50" x14ac:dyDescent="0.3">
      <c r="A5085" t="str">
        <f>"201501B0000"</f>
        <v>201501B0000</v>
      </c>
      <c r="B5085" t="str">
        <f>"201501B00002"</f>
        <v>201501B00002</v>
      </c>
      <c r="C5085" t="str">
        <f t="shared" si="253"/>
        <v>20</v>
      </c>
      <c r="D5085" t="s">
        <v>67</v>
      </c>
      <c r="E5085" t="str">
        <f t="shared" si="252"/>
        <v>023</v>
      </c>
      <c r="F5085" t="s">
        <v>5157</v>
      </c>
      <c r="G5085" t="str">
        <f>"1501"</f>
        <v>1501</v>
      </c>
      <c r="H5085" t="str">
        <f>"0000"</f>
        <v>0000</v>
      </c>
      <c r="I5085" t="s">
        <v>69</v>
      </c>
      <c r="J5085">
        <v>0</v>
      </c>
      <c r="K5085">
        <v>1</v>
      </c>
      <c r="L5085">
        <v>2</v>
      </c>
      <c r="M5085">
        <v>294</v>
      </c>
      <c r="N5085">
        <v>458</v>
      </c>
      <c r="O5085">
        <v>8</v>
      </c>
      <c r="P5085" t="s">
        <v>80</v>
      </c>
      <c r="Q5085">
        <v>5</v>
      </c>
      <c r="R5085">
        <v>194</v>
      </c>
      <c r="S5085">
        <v>2</v>
      </c>
      <c r="T5085">
        <v>2</v>
      </c>
      <c r="U5085">
        <v>6</v>
      </c>
      <c r="V5085">
        <v>9</v>
      </c>
      <c r="W5085">
        <v>3</v>
      </c>
      <c r="X5085">
        <v>201</v>
      </c>
      <c r="Y5085">
        <v>4</v>
      </c>
      <c r="Z5085">
        <v>7</v>
      </c>
      <c r="AA5085">
        <v>10</v>
      </c>
      <c r="AB5085">
        <v>1</v>
      </c>
      <c r="AD5085" t="s">
        <v>77</v>
      </c>
      <c r="AE5085">
        <v>2</v>
      </c>
      <c r="AF5085" t="s">
        <v>77</v>
      </c>
      <c r="AG5085">
        <v>3</v>
      </c>
      <c r="AI5085" t="s">
        <v>77</v>
      </c>
      <c r="AJ5085">
        <v>9</v>
      </c>
      <c r="AK5085">
        <v>458</v>
      </c>
      <c r="AL5085">
        <v>458</v>
      </c>
      <c r="AM5085">
        <v>708</v>
      </c>
      <c r="AN5085">
        <v>44</v>
      </c>
      <c r="AO5085" t="s">
        <v>78</v>
      </c>
      <c r="AP5085">
        <v>1</v>
      </c>
      <c r="AR5085" t="s">
        <v>5189</v>
      </c>
      <c r="AS5085" s="1">
        <v>44354.033333333333</v>
      </c>
      <c r="AT5085" s="1">
        <v>44354.045324074075</v>
      </c>
      <c r="AU5085" s="1">
        <v>44354.046666666669</v>
      </c>
      <c r="AV5085" t="s">
        <v>71</v>
      </c>
      <c r="AW5085" t="s">
        <v>72</v>
      </c>
      <c r="AX5085" t="s">
        <v>73</v>
      </c>
    </row>
    <row r="5086" spans="1:50" x14ac:dyDescent="0.3">
      <c r="A5086" t="str">
        <f>"201501C0100"</f>
        <v>201501C0100</v>
      </c>
      <c r="B5086" t="str">
        <f>"201501C01002"</f>
        <v>201501C01002</v>
      </c>
      <c r="C5086" t="str">
        <f t="shared" si="253"/>
        <v>20</v>
      </c>
      <c r="D5086" t="s">
        <v>67</v>
      </c>
      <c r="E5086" t="str">
        <f t="shared" si="252"/>
        <v>023</v>
      </c>
      <c r="F5086" t="s">
        <v>5157</v>
      </c>
      <c r="G5086" t="str">
        <f>"1501"</f>
        <v>1501</v>
      </c>
      <c r="H5086" t="str">
        <f>"0001"</f>
        <v>0001</v>
      </c>
      <c r="I5086" t="s">
        <v>75</v>
      </c>
      <c r="J5086">
        <v>0</v>
      </c>
      <c r="K5086">
        <v>1</v>
      </c>
      <c r="L5086">
        <v>2</v>
      </c>
      <c r="M5086">
        <v>303</v>
      </c>
      <c r="N5086">
        <v>449</v>
      </c>
      <c r="O5086">
        <v>5</v>
      </c>
      <c r="P5086">
        <v>449</v>
      </c>
      <c r="Q5086">
        <v>11</v>
      </c>
      <c r="R5086">
        <v>159</v>
      </c>
      <c r="S5086">
        <v>5</v>
      </c>
      <c r="T5086">
        <v>6</v>
      </c>
      <c r="U5086">
        <v>4</v>
      </c>
      <c r="V5086">
        <v>2</v>
      </c>
      <c r="W5086">
        <v>1</v>
      </c>
      <c r="X5086">
        <v>231</v>
      </c>
      <c r="Y5086">
        <v>1</v>
      </c>
      <c r="Z5086">
        <v>7</v>
      </c>
      <c r="AA5086">
        <v>10</v>
      </c>
      <c r="AB5086">
        <v>0</v>
      </c>
      <c r="AD5086">
        <v>3</v>
      </c>
      <c r="AE5086">
        <v>0</v>
      </c>
      <c r="AF5086">
        <v>0</v>
      </c>
      <c r="AG5086">
        <v>0</v>
      </c>
      <c r="AI5086">
        <v>0</v>
      </c>
      <c r="AJ5086">
        <v>9</v>
      </c>
      <c r="AK5086">
        <v>449</v>
      </c>
      <c r="AL5086">
        <v>449</v>
      </c>
      <c r="AM5086">
        <v>708</v>
      </c>
      <c r="AN5086">
        <v>44</v>
      </c>
      <c r="AP5086">
        <v>1</v>
      </c>
      <c r="AR5086" t="s">
        <v>5190</v>
      </c>
      <c r="AS5086" s="1">
        <v>44354.400694444441</v>
      </c>
      <c r="AT5086" s="1">
        <v>44354.403854166667</v>
      </c>
      <c r="AU5086" s="1">
        <v>44354.404629629629</v>
      </c>
      <c r="AV5086" t="s">
        <v>71</v>
      </c>
      <c r="AW5086" t="s">
        <v>72</v>
      </c>
      <c r="AX5086" t="s">
        <v>73</v>
      </c>
    </row>
    <row r="5087" spans="1:50" x14ac:dyDescent="0.3">
      <c r="A5087" t="str">
        <f>"201501E0100"</f>
        <v>201501E0100</v>
      </c>
      <c r="B5087" t="str">
        <f>"201501E01002"</f>
        <v>201501E01002</v>
      </c>
      <c r="C5087" t="str">
        <f t="shared" si="253"/>
        <v>20</v>
      </c>
      <c r="D5087" t="s">
        <v>67</v>
      </c>
      <c r="E5087" t="str">
        <f t="shared" si="252"/>
        <v>023</v>
      </c>
      <c r="F5087" t="s">
        <v>5157</v>
      </c>
      <c r="G5087" t="str">
        <f>"1501"</f>
        <v>1501</v>
      </c>
      <c r="H5087" t="str">
        <f>"0001"</f>
        <v>0001</v>
      </c>
      <c r="I5087" t="s">
        <v>109</v>
      </c>
      <c r="J5087">
        <v>0</v>
      </c>
      <c r="K5087">
        <v>1</v>
      </c>
      <c r="L5087">
        <v>2</v>
      </c>
      <c r="M5087">
        <v>251</v>
      </c>
      <c r="N5087">
        <v>311</v>
      </c>
      <c r="O5087">
        <v>1</v>
      </c>
      <c r="P5087">
        <v>311</v>
      </c>
      <c r="Q5087">
        <v>8</v>
      </c>
      <c r="R5087">
        <v>137</v>
      </c>
      <c r="S5087">
        <v>1</v>
      </c>
      <c r="T5087">
        <v>1</v>
      </c>
      <c r="U5087">
        <v>4</v>
      </c>
      <c r="V5087">
        <v>6</v>
      </c>
      <c r="W5087">
        <v>0</v>
      </c>
      <c r="X5087">
        <v>127</v>
      </c>
      <c r="Y5087">
        <v>4</v>
      </c>
      <c r="Z5087">
        <v>2</v>
      </c>
      <c r="AA5087">
        <v>5</v>
      </c>
      <c r="AB5087">
        <v>0</v>
      </c>
      <c r="AD5087">
        <v>3</v>
      </c>
      <c r="AE5087">
        <v>2</v>
      </c>
      <c r="AF5087">
        <v>0</v>
      </c>
      <c r="AG5087">
        <v>4</v>
      </c>
      <c r="AI5087">
        <v>0</v>
      </c>
      <c r="AJ5087">
        <v>7</v>
      </c>
      <c r="AK5087">
        <v>311</v>
      </c>
      <c r="AL5087">
        <v>311</v>
      </c>
      <c r="AM5087">
        <v>518</v>
      </c>
      <c r="AN5087">
        <v>44</v>
      </c>
      <c r="AP5087">
        <v>1</v>
      </c>
      <c r="AR5087" t="s">
        <v>5191</v>
      </c>
      <c r="AS5087" s="1">
        <v>44354.281944444447</v>
      </c>
      <c r="AT5087" s="1">
        <v>44354.284502314818</v>
      </c>
      <c r="AU5087" s="1">
        <v>44354.285682870373</v>
      </c>
      <c r="AV5087" t="s">
        <v>71</v>
      </c>
      <c r="AW5087" t="s">
        <v>72</v>
      </c>
      <c r="AX5087" t="s">
        <v>73</v>
      </c>
    </row>
    <row r="5088" spans="1:50" x14ac:dyDescent="0.3">
      <c r="A5088" t="str">
        <f>"201502B0000"</f>
        <v>201502B0000</v>
      </c>
      <c r="B5088" t="str">
        <f>"201502B00002"</f>
        <v>201502B00002</v>
      </c>
      <c r="C5088" t="str">
        <f t="shared" si="253"/>
        <v>20</v>
      </c>
      <c r="D5088" t="s">
        <v>67</v>
      </c>
      <c r="E5088" t="str">
        <f t="shared" si="252"/>
        <v>023</v>
      </c>
      <c r="F5088" t="s">
        <v>5157</v>
      </c>
      <c r="G5088" t="str">
        <f>"1502"</f>
        <v>1502</v>
      </c>
      <c r="H5088" t="str">
        <f>"0000"</f>
        <v>0000</v>
      </c>
      <c r="I5088" t="s">
        <v>69</v>
      </c>
      <c r="J5088">
        <v>0</v>
      </c>
      <c r="K5088">
        <v>1</v>
      </c>
      <c r="L5088">
        <v>2</v>
      </c>
      <c r="M5088">
        <v>288</v>
      </c>
      <c r="N5088">
        <v>342</v>
      </c>
      <c r="O5088">
        <v>5</v>
      </c>
      <c r="P5088">
        <v>342</v>
      </c>
      <c r="Q5088">
        <v>7</v>
      </c>
      <c r="R5088">
        <v>129</v>
      </c>
      <c r="S5088">
        <v>3</v>
      </c>
      <c r="T5088">
        <v>3</v>
      </c>
      <c r="U5088">
        <v>3</v>
      </c>
      <c r="V5088">
        <v>4</v>
      </c>
      <c r="W5088">
        <v>3</v>
      </c>
      <c r="X5088">
        <v>169</v>
      </c>
      <c r="Y5088">
        <v>2</v>
      </c>
      <c r="Z5088">
        <v>2</v>
      </c>
      <c r="AA5088">
        <v>8</v>
      </c>
      <c r="AB5088">
        <v>0</v>
      </c>
      <c r="AD5088">
        <v>1</v>
      </c>
      <c r="AE5088">
        <v>2</v>
      </c>
      <c r="AF5088">
        <v>0</v>
      </c>
      <c r="AG5088">
        <v>0</v>
      </c>
      <c r="AI5088">
        <v>0</v>
      </c>
      <c r="AJ5088">
        <v>6</v>
      </c>
      <c r="AK5088">
        <v>342</v>
      </c>
      <c r="AL5088">
        <v>342</v>
      </c>
      <c r="AM5088">
        <v>586</v>
      </c>
      <c r="AN5088">
        <v>44</v>
      </c>
      <c r="AP5088">
        <v>1</v>
      </c>
      <c r="AR5088" t="s">
        <v>5192</v>
      </c>
      <c r="AS5088" s="1">
        <v>44354.081944444442</v>
      </c>
      <c r="AT5088" s="1">
        <v>44354.09238425926</v>
      </c>
      <c r="AU5088" s="1">
        <v>44354.093275462961</v>
      </c>
      <c r="AV5088" t="s">
        <v>71</v>
      </c>
      <c r="AW5088" t="s">
        <v>72</v>
      </c>
      <c r="AX5088" t="s">
        <v>73</v>
      </c>
    </row>
    <row r="5089" spans="1:50" x14ac:dyDescent="0.3">
      <c r="A5089" t="str">
        <f>"201502C0100"</f>
        <v>201502C0100</v>
      </c>
      <c r="B5089" t="str">
        <f>"201502C01002"</f>
        <v>201502C01002</v>
      </c>
      <c r="C5089" t="str">
        <f t="shared" si="253"/>
        <v>20</v>
      </c>
      <c r="D5089" t="s">
        <v>67</v>
      </c>
      <c r="E5089" t="str">
        <f t="shared" si="252"/>
        <v>023</v>
      </c>
      <c r="F5089" t="s">
        <v>5157</v>
      </c>
      <c r="G5089" t="str">
        <f>"1502"</f>
        <v>1502</v>
      </c>
      <c r="H5089" t="str">
        <f>"0001"</f>
        <v>0001</v>
      </c>
      <c r="I5089" t="s">
        <v>75</v>
      </c>
      <c r="J5089">
        <v>0</v>
      </c>
      <c r="K5089">
        <v>1</v>
      </c>
      <c r="L5089">
        <v>2</v>
      </c>
      <c r="M5089">
        <v>296</v>
      </c>
      <c r="N5089">
        <v>334</v>
      </c>
      <c r="O5089">
        <v>9</v>
      </c>
      <c r="P5089">
        <v>334</v>
      </c>
      <c r="Q5089">
        <v>6</v>
      </c>
      <c r="R5089">
        <v>113</v>
      </c>
      <c r="S5089">
        <v>0</v>
      </c>
      <c r="T5089">
        <v>0</v>
      </c>
      <c r="U5089">
        <v>2</v>
      </c>
      <c r="V5089">
        <v>5</v>
      </c>
      <c r="W5089">
        <v>1</v>
      </c>
      <c r="X5089">
        <v>181</v>
      </c>
      <c r="Y5089">
        <v>2</v>
      </c>
      <c r="Z5089">
        <v>3</v>
      </c>
      <c r="AA5089">
        <v>7</v>
      </c>
      <c r="AB5089">
        <v>1</v>
      </c>
      <c r="AD5089">
        <v>1</v>
      </c>
      <c r="AE5089">
        <v>2</v>
      </c>
      <c r="AF5089">
        <v>0</v>
      </c>
      <c r="AG5089">
        <v>0</v>
      </c>
      <c r="AI5089">
        <v>0</v>
      </c>
      <c r="AJ5089">
        <v>10</v>
      </c>
      <c r="AK5089">
        <v>334</v>
      </c>
      <c r="AL5089">
        <v>334</v>
      </c>
      <c r="AM5089">
        <v>586</v>
      </c>
      <c r="AN5089">
        <v>44</v>
      </c>
      <c r="AP5089">
        <v>1</v>
      </c>
      <c r="AR5089" t="s">
        <v>5193</v>
      </c>
      <c r="AS5089" s="1">
        <v>44354.082638888889</v>
      </c>
      <c r="AT5089" s="1">
        <v>44354.092800925922</v>
      </c>
      <c r="AU5089" s="1">
        <v>44354.093333333331</v>
      </c>
      <c r="AV5089" t="s">
        <v>71</v>
      </c>
      <c r="AW5089" t="s">
        <v>72</v>
      </c>
      <c r="AX5089" t="s">
        <v>73</v>
      </c>
    </row>
    <row r="5090" spans="1:50" x14ac:dyDescent="0.3">
      <c r="A5090" t="str">
        <f>"201502C0200"</f>
        <v>201502C0200</v>
      </c>
      <c r="B5090" t="str">
        <f>"201502C02002"</f>
        <v>201502C02002</v>
      </c>
      <c r="C5090" t="str">
        <f t="shared" si="253"/>
        <v>20</v>
      </c>
      <c r="D5090" t="s">
        <v>67</v>
      </c>
      <c r="E5090" t="str">
        <f t="shared" si="252"/>
        <v>023</v>
      </c>
      <c r="F5090" t="s">
        <v>5157</v>
      </c>
      <c r="G5090" t="str">
        <f>"1502"</f>
        <v>1502</v>
      </c>
      <c r="H5090" t="str">
        <f>"0002"</f>
        <v>0002</v>
      </c>
      <c r="I5090" t="s">
        <v>75</v>
      </c>
      <c r="J5090">
        <v>0</v>
      </c>
      <c r="K5090">
        <v>1</v>
      </c>
      <c r="L5090">
        <v>2</v>
      </c>
      <c r="M5090">
        <v>274</v>
      </c>
      <c r="N5090">
        <v>355</v>
      </c>
      <c r="O5090">
        <v>8</v>
      </c>
      <c r="P5090">
        <v>355</v>
      </c>
      <c r="Q5090">
        <v>3</v>
      </c>
      <c r="R5090">
        <v>107</v>
      </c>
      <c r="S5090">
        <v>2</v>
      </c>
      <c r="T5090">
        <v>4</v>
      </c>
      <c r="U5090">
        <v>1</v>
      </c>
      <c r="V5090">
        <v>2</v>
      </c>
      <c r="W5090">
        <v>1</v>
      </c>
      <c r="X5090">
        <v>205</v>
      </c>
      <c r="Y5090">
        <v>1</v>
      </c>
      <c r="Z5090">
        <v>3</v>
      </c>
      <c r="AA5090">
        <v>9</v>
      </c>
      <c r="AB5090">
        <v>2</v>
      </c>
      <c r="AD5090">
        <v>1</v>
      </c>
      <c r="AE5090">
        <v>2</v>
      </c>
      <c r="AF5090">
        <v>0</v>
      </c>
      <c r="AG5090">
        <v>0</v>
      </c>
      <c r="AI5090">
        <v>0</v>
      </c>
      <c r="AJ5090">
        <v>12</v>
      </c>
      <c r="AK5090">
        <v>355</v>
      </c>
      <c r="AL5090">
        <v>355</v>
      </c>
      <c r="AM5090">
        <v>585</v>
      </c>
      <c r="AN5090">
        <v>44</v>
      </c>
      <c r="AP5090">
        <v>1</v>
      </c>
      <c r="AR5090" t="s">
        <v>5194</v>
      </c>
      <c r="AS5090" s="1">
        <v>44354.342361111114</v>
      </c>
      <c r="AT5090" s="1">
        <v>44354.345092592594</v>
      </c>
      <c r="AU5090" s="1">
        <v>44354.345925925925</v>
      </c>
      <c r="AV5090" t="s">
        <v>71</v>
      </c>
      <c r="AW5090" t="s">
        <v>72</v>
      </c>
      <c r="AX5090" t="s">
        <v>73</v>
      </c>
    </row>
    <row r="5091" spans="1:50" x14ac:dyDescent="0.3">
      <c r="A5091" t="str">
        <f>"201503B0000"</f>
        <v>201503B0000</v>
      </c>
      <c r="B5091" t="str">
        <f>"201503B00002"</f>
        <v>201503B00002</v>
      </c>
      <c r="C5091" t="str">
        <f t="shared" si="253"/>
        <v>20</v>
      </c>
      <c r="D5091" t="s">
        <v>67</v>
      </c>
      <c r="E5091" t="str">
        <f t="shared" si="252"/>
        <v>023</v>
      </c>
      <c r="F5091" t="s">
        <v>5157</v>
      </c>
      <c r="G5091" t="str">
        <f t="shared" ref="G5091:G5106" si="255">"1503"</f>
        <v>1503</v>
      </c>
      <c r="H5091" t="str">
        <f>"0000"</f>
        <v>0000</v>
      </c>
      <c r="I5091" t="s">
        <v>69</v>
      </c>
      <c r="J5091">
        <v>0</v>
      </c>
      <c r="K5091">
        <v>1</v>
      </c>
      <c r="L5091">
        <v>2</v>
      </c>
      <c r="AM5091">
        <v>741</v>
      </c>
      <c r="AN5091">
        <v>44</v>
      </c>
      <c r="AO5091" t="s">
        <v>143</v>
      </c>
      <c r="AP5091">
        <v>0</v>
      </c>
      <c r="AR5091" t="s">
        <v>5195</v>
      </c>
      <c r="AS5091" s="1">
        <v>44354.698611111111</v>
      </c>
      <c r="AT5091" s="1">
        <v>44354.700243055559</v>
      </c>
      <c r="AU5091" s="1">
        <v>44354.700243055559</v>
      </c>
      <c r="AV5091" t="s">
        <v>71</v>
      </c>
      <c r="AW5091" t="s">
        <v>72</v>
      </c>
      <c r="AX5091" t="s">
        <v>73</v>
      </c>
    </row>
    <row r="5092" spans="1:50" x14ac:dyDescent="0.3">
      <c r="A5092" t="str">
        <f>"201503C0100"</f>
        <v>201503C0100</v>
      </c>
      <c r="B5092" t="str">
        <f>"201503C01002"</f>
        <v>201503C01002</v>
      </c>
      <c r="C5092" t="str">
        <f t="shared" si="253"/>
        <v>20</v>
      </c>
      <c r="D5092" t="s">
        <v>67</v>
      </c>
      <c r="E5092" t="str">
        <f t="shared" si="252"/>
        <v>023</v>
      </c>
      <c r="F5092" t="s">
        <v>5157</v>
      </c>
      <c r="G5092" t="str">
        <f t="shared" si="255"/>
        <v>1503</v>
      </c>
      <c r="H5092" t="str">
        <f>"0001"</f>
        <v>0001</v>
      </c>
      <c r="I5092" t="s">
        <v>75</v>
      </c>
      <c r="J5092">
        <v>0</v>
      </c>
      <c r="K5092">
        <v>1</v>
      </c>
      <c r="L5092">
        <v>2</v>
      </c>
      <c r="AM5092">
        <v>741</v>
      </c>
      <c r="AN5092">
        <v>44</v>
      </c>
      <c r="AO5092" t="s">
        <v>143</v>
      </c>
      <c r="AP5092">
        <v>0</v>
      </c>
      <c r="AR5092" t="s">
        <v>5196</v>
      </c>
      <c r="AS5092" s="1">
        <v>44354.698611111111</v>
      </c>
      <c r="AT5092" s="1">
        <v>44354.699976851851</v>
      </c>
      <c r="AU5092" s="1">
        <v>44354.699976851851</v>
      </c>
      <c r="AV5092" t="s">
        <v>71</v>
      </c>
      <c r="AW5092" t="s">
        <v>72</v>
      </c>
      <c r="AX5092" t="s">
        <v>73</v>
      </c>
    </row>
    <row r="5093" spans="1:50" x14ac:dyDescent="0.3">
      <c r="A5093" t="str">
        <f>"201503C0200"</f>
        <v>201503C0200</v>
      </c>
      <c r="B5093" t="str">
        <f>"201503C02002"</f>
        <v>201503C02002</v>
      </c>
      <c r="C5093" t="str">
        <f t="shared" si="253"/>
        <v>20</v>
      </c>
      <c r="D5093" t="s">
        <v>67</v>
      </c>
      <c r="E5093" t="str">
        <f t="shared" si="252"/>
        <v>023</v>
      </c>
      <c r="F5093" t="s">
        <v>5157</v>
      </c>
      <c r="G5093" t="str">
        <f t="shared" si="255"/>
        <v>1503</v>
      </c>
      <c r="H5093" t="str">
        <f>"0002"</f>
        <v>0002</v>
      </c>
      <c r="I5093" t="s">
        <v>75</v>
      </c>
      <c r="J5093">
        <v>0</v>
      </c>
      <c r="K5093">
        <v>1</v>
      </c>
      <c r="L5093">
        <v>2</v>
      </c>
      <c r="AM5093">
        <v>741</v>
      </c>
      <c r="AN5093">
        <v>44</v>
      </c>
      <c r="AO5093" t="s">
        <v>143</v>
      </c>
      <c r="AP5093">
        <v>0</v>
      </c>
      <c r="AR5093" t="s">
        <v>5197</v>
      </c>
      <c r="AS5093" s="1">
        <v>44354.697916666664</v>
      </c>
      <c r="AT5093" s="1">
        <v>44354.699340277781</v>
      </c>
      <c r="AU5093" s="1">
        <v>44354.699340277781</v>
      </c>
      <c r="AV5093" t="s">
        <v>71</v>
      </c>
      <c r="AW5093" t="s">
        <v>72</v>
      </c>
      <c r="AX5093" t="s">
        <v>73</v>
      </c>
    </row>
    <row r="5094" spans="1:50" x14ac:dyDescent="0.3">
      <c r="A5094" t="str">
        <f>"201503C0300"</f>
        <v>201503C0300</v>
      </c>
      <c r="B5094" t="str">
        <f>"201503C03002"</f>
        <v>201503C03002</v>
      </c>
      <c r="C5094" t="str">
        <f t="shared" si="253"/>
        <v>20</v>
      </c>
      <c r="D5094" t="s">
        <v>67</v>
      </c>
      <c r="E5094" t="str">
        <f t="shared" si="252"/>
        <v>023</v>
      </c>
      <c r="F5094" t="s">
        <v>5157</v>
      </c>
      <c r="G5094" t="str">
        <f t="shared" si="255"/>
        <v>1503</v>
      </c>
      <c r="H5094" t="str">
        <f>"0003"</f>
        <v>0003</v>
      </c>
      <c r="I5094" t="s">
        <v>75</v>
      </c>
      <c r="J5094">
        <v>0</v>
      </c>
      <c r="K5094">
        <v>1</v>
      </c>
      <c r="L5094">
        <v>2</v>
      </c>
      <c r="AM5094">
        <v>741</v>
      </c>
      <c r="AN5094">
        <v>44</v>
      </c>
      <c r="AO5094" t="s">
        <v>143</v>
      </c>
      <c r="AP5094">
        <v>0</v>
      </c>
      <c r="AR5094" t="s">
        <v>5198</v>
      </c>
      <c r="AS5094" s="1">
        <v>44354.698611111111</v>
      </c>
      <c r="AT5094" s="1">
        <v>44354.699791666666</v>
      </c>
      <c r="AU5094" s="1">
        <v>44354.699791666666</v>
      </c>
      <c r="AV5094" t="s">
        <v>71</v>
      </c>
      <c r="AW5094" t="s">
        <v>72</v>
      </c>
      <c r="AX5094" t="s">
        <v>73</v>
      </c>
    </row>
    <row r="5095" spans="1:50" x14ac:dyDescent="0.3">
      <c r="A5095" t="str">
        <f>"201503E0100"</f>
        <v>201503E0100</v>
      </c>
      <c r="B5095" t="str">
        <f>"201503E01002"</f>
        <v>201503E01002</v>
      </c>
      <c r="C5095" t="str">
        <f t="shared" si="253"/>
        <v>20</v>
      </c>
      <c r="D5095" t="s">
        <v>67</v>
      </c>
      <c r="E5095" t="str">
        <f t="shared" si="252"/>
        <v>023</v>
      </c>
      <c r="F5095" t="s">
        <v>5157</v>
      </c>
      <c r="G5095" t="str">
        <f t="shared" si="255"/>
        <v>1503</v>
      </c>
      <c r="H5095" t="str">
        <f>"0001"</f>
        <v>0001</v>
      </c>
      <c r="I5095" t="s">
        <v>109</v>
      </c>
      <c r="J5095">
        <v>0</v>
      </c>
      <c r="K5095">
        <v>1</v>
      </c>
      <c r="L5095">
        <v>2</v>
      </c>
      <c r="M5095">
        <v>375</v>
      </c>
      <c r="N5095">
        <v>312</v>
      </c>
      <c r="O5095">
        <v>8</v>
      </c>
      <c r="P5095">
        <v>312</v>
      </c>
      <c r="Q5095">
        <v>3</v>
      </c>
      <c r="R5095">
        <v>135</v>
      </c>
      <c r="S5095">
        <v>1</v>
      </c>
      <c r="T5095">
        <v>5</v>
      </c>
      <c r="U5095">
        <v>0</v>
      </c>
      <c r="V5095">
        <v>4</v>
      </c>
      <c r="W5095">
        <v>1</v>
      </c>
      <c r="X5095">
        <v>145</v>
      </c>
      <c r="Y5095">
        <v>2</v>
      </c>
      <c r="Z5095">
        <v>2</v>
      </c>
      <c r="AA5095">
        <v>3</v>
      </c>
      <c r="AB5095">
        <v>0</v>
      </c>
      <c r="AD5095">
        <v>1</v>
      </c>
      <c r="AE5095">
        <v>1</v>
      </c>
      <c r="AF5095">
        <v>0</v>
      </c>
      <c r="AG5095">
        <v>1</v>
      </c>
      <c r="AI5095">
        <v>0</v>
      </c>
      <c r="AJ5095">
        <v>8</v>
      </c>
      <c r="AK5095">
        <v>312</v>
      </c>
      <c r="AL5095">
        <v>312</v>
      </c>
      <c r="AM5095">
        <v>643</v>
      </c>
      <c r="AN5095">
        <v>44</v>
      </c>
      <c r="AP5095">
        <v>1</v>
      </c>
      <c r="AR5095" t="s">
        <v>5199</v>
      </c>
      <c r="AS5095" s="1">
        <v>44353.990277777775</v>
      </c>
      <c r="AT5095" s="1">
        <v>44354.000381944446</v>
      </c>
      <c r="AU5095" s="1">
        <v>44354.001087962963</v>
      </c>
      <c r="AV5095" t="s">
        <v>71</v>
      </c>
      <c r="AW5095" t="s">
        <v>72</v>
      </c>
      <c r="AX5095" t="s">
        <v>73</v>
      </c>
    </row>
    <row r="5096" spans="1:50" x14ac:dyDescent="0.3">
      <c r="A5096" t="str">
        <f>"201503E0101"</f>
        <v>201503E0101</v>
      </c>
      <c r="B5096" t="str">
        <f>"201503E01012"</f>
        <v>201503E01012</v>
      </c>
      <c r="C5096" t="str">
        <f t="shared" si="253"/>
        <v>20</v>
      </c>
      <c r="D5096" t="s">
        <v>67</v>
      </c>
      <c r="E5096" t="str">
        <f t="shared" si="252"/>
        <v>023</v>
      </c>
      <c r="F5096" t="s">
        <v>5157</v>
      </c>
      <c r="G5096" t="str">
        <f t="shared" si="255"/>
        <v>1503</v>
      </c>
      <c r="H5096" t="str">
        <f>"0001"</f>
        <v>0001</v>
      </c>
      <c r="I5096" t="s">
        <v>109</v>
      </c>
      <c r="J5096">
        <v>1</v>
      </c>
      <c r="K5096">
        <v>1</v>
      </c>
      <c r="L5096">
        <v>2</v>
      </c>
      <c r="M5096">
        <v>373</v>
      </c>
      <c r="N5096">
        <v>314</v>
      </c>
      <c r="O5096">
        <v>6</v>
      </c>
      <c r="P5096">
        <v>314</v>
      </c>
      <c r="Q5096">
        <v>4</v>
      </c>
      <c r="R5096">
        <v>122</v>
      </c>
      <c r="S5096">
        <v>3</v>
      </c>
      <c r="T5096">
        <v>3</v>
      </c>
      <c r="U5096">
        <v>1</v>
      </c>
      <c r="V5096">
        <v>3</v>
      </c>
      <c r="W5096">
        <v>2</v>
      </c>
      <c r="X5096">
        <v>157</v>
      </c>
      <c r="Y5096">
        <v>6</v>
      </c>
      <c r="Z5096">
        <v>1</v>
      </c>
      <c r="AA5096">
        <v>2</v>
      </c>
      <c r="AB5096">
        <v>2</v>
      </c>
      <c r="AD5096">
        <v>3</v>
      </c>
      <c r="AE5096">
        <v>0</v>
      </c>
      <c r="AF5096">
        <v>0</v>
      </c>
      <c r="AG5096">
        <v>0</v>
      </c>
      <c r="AI5096">
        <v>0</v>
      </c>
      <c r="AJ5096">
        <v>5</v>
      </c>
      <c r="AK5096">
        <v>314</v>
      </c>
      <c r="AL5096">
        <v>314</v>
      </c>
      <c r="AM5096">
        <v>643</v>
      </c>
      <c r="AN5096">
        <v>44</v>
      </c>
      <c r="AP5096">
        <v>1</v>
      </c>
      <c r="AR5096" t="s">
        <v>5200</v>
      </c>
      <c r="AS5096" s="1">
        <v>44353.989583333336</v>
      </c>
      <c r="AT5096" s="1">
        <v>44353.994432870371</v>
      </c>
      <c r="AU5096" s="1">
        <v>44353.99496527778</v>
      </c>
      <c r="AV5096" t="s">
        <v>71</v>
      </c>
      <c r="AW5096" t="s">
        <v>72</v>
      </c>
      <c r="AX5096" t="s">
        <v>73</v>
      </c>
    </row>
    <row r="5097" spans="1:50" x14ac:dyDescent="0.3">
      <c r="A5097" t="str">
        <f>"201503E0200"</f>
        <v>201503E0200</v>
      </c>
      <c r="B5097" t="str">
        <f>"201503E02002"</f>
        <v>201503E02002</v>
      </c>
      <c r="C5097" t="str">
        <f t="shared" si="253"/>
        <v>20</v>
      </c>
      <c r="D5097" t="s">
        <v>67</v>
      </c>
      <c r="E5097" t="str">
        <f t="shared" si="252"/>
        <v>023</v>
      </c>
      <c r="F5097" t="s">
        <v>5157</v>
      </c>
      <c r="G5097" t="str">
        <f t="shared" si="255"/>
        <v>1503</v>
      </c>
      <c r="H5097" t="str">
        <f>"0002"</f>
        <v>0002</v>
      </c>
      <c r="I5097" t="s">
        <v>109</v>
      </c>
      <c r="J5097">
        <v>0</v>
      </c>
      <c r="K5097">
        <v>1</v>
      </c>
      <c r="L5097">
        <v>2</v>
      </c>
      <c r="M5097">
        <v>425</v>
      </c>
      <c r="N5097">
        <v>366</v>
      </c>
      <c r="O5097">
        <v>7</v>
      </c>
      <c r="P5097">
        <v>366</v>
      </c>
      <c r="Q5097">
        <v>6</v>
      </c>
      <c r="R5097">
        <v>118</v>
      </c>
      <c r="S5097">
        <v>0</v>
      </c>
      <c r="T5097">
        <v>4</v>
      </c>
      <c r="U5097">
        <v>0</v>
      </c>
      <c r="V5097">
        <v>5</v>
      </c>
      <c r="W5097">
        <v>1</v>
      </c>
      <c r="X5097">
        <v>215</v>
      </c>
      <c r="Y5097">
        <v>3</v>
      </c>
      <c r="Z5097">
        <v>0</v>
      </c>
      <c r="AA5097">
        <v>6</v>
      </c>
      <c r="AB5097">
        <v>0</v>
      </c>
      <c r="AD5097">
        <v>0</v>
      </c>
      <c r="AE5097">
        <v>0</v>
      </c>
      <c r="AF5097">
        <v>0</v>
      </c>
      <c r="AG5097">
        <v>0</v>
      </c>
      <c r="AI5097">
        <v>0</v>
      </c>
      <c r="AJ5097">
        <v>8</v>
      </c>
      <c r="AK5097">
        <v>366</v>
      </c>
      <c r="AL5097">
        <v>366</v>
      </c>
      <c r="AM5097">
        <v>462</v>
      </c>
      <c r="AN5097">
        <v>44</v>
      </c>
      <c r="AP5097">
        <v>1</v>
      </c>
      <c r="AR5097" t="s">
        <v>5201</v>
      </c>
      <c r="AS5097" s="1">
        <v>44354.502083333333</v>
      </c>
      <c r="AT5097" s="1">
        <v>44354.674120370371</v>
      </c>
      <c r="AU5097" s="1">
        <v>44354.674571759257</v>
      </c>
      <c r="AV5097" t="s">
        <v>71</v>
      </c>
      <c r="AW5097" t="s">
        <v>72</v>
      </c>
      <c r="AX5097" t="s">
        <v>73</v>
      </c>
    </row>
    <row r="5098" spans="1:50" x14ac:dyDescent="0.3">
      <c r="A5098" t="str">
        <f>"201503E0300"</f>
        <v>201503E0300</v>
      </c>
      <c r="B5098" t="str">
        <f>"201503E03002"</f>
        <v>201503E03002</v>
      </c>
      <c r="C5098" t="str">
        <f t="shared" si="253"/>
        <v>20</v>
      </c>
      <c r="D5098" t="s">
        <v>67</v>
      </c>
      <c r="E5098" t="str">
        <f t="shared" si="252"/>
        <v>023</v>
      </c>
      <c r="F5098" t="s">
        <v>5157</v>
      </c>
      <c r="G5098" t="str">
        <f t="shared" si="255"/>
        <v>1503</v>
      </c>
      <c r="H5098" t="str">
        <f>"0003"</f>
        <v>0003</v>
      </c>
      <c r="I5098" t="s">
        <v>109</v>
      </c>
      <c r="J5098">
        <v>0</v>
      </c>
      <c r="K5098">
        <v>1</v>
      </c>
      <c r="L5098">
        <v>2</v>
      </c>
      <c r="M5098">
        <v>422</v>
      </c>
      <c r="N5098">
        <v>369</v>
      </c>
      <c r="O5098">
        <v>7</v>
      </c>
      <c r="P5098">
        <v>369</v>
      </c>
      <c r="Q5098">
        <v>5</v>
      </c>
      <c r="R5098">
        <v>119</v>
      </c>
      <c r="S5098">
        <v>2</v>
      </c>
      <c r="T5098">
        <v>3</v>
      </c>
      <c r="U5098">
        <v>2</v>
      </c>
      <c r="V5098">
        <v>1</v>
      </c>
      <c r="W5098">
        <v>2</v>
      </c>
      <c r="X5098">
        <v>203</v>
      </c>
      <c r="Y5098">
        <v>7</v>
      </c>
      <c r="Z5098">
        <v>4</v>
      </c>
      <c r="AA5098">
        <v>11</v>
      </c>
      <c r="AB5098">
        <v>2</v>
      </c>
      <c r="AD5098">
        <v>3</v>
      </c>
      <c r="AE5098">
        <v>1</v>
      </c>
      <c r="AF5098">
        <v>0</v>
      </c>
      <c r="AG5098">
        <v>0</v>
      </c>
      <c r="AI5098">
        <v>0</v>
      </c>
      <c r="AJ5098">
        <v>4</v>
      </c>
      <c r="AK5098">
        <v>369</v>
      </c>
      <c r="AL5098">
        <v>369</v>
      </c>
      <c r="AM5098">
        <v>747</v>
      </c>
      <c r="AN5098">
        <v>44</v>
      </c>
      <c r="AP5098">
        <v>1</v>
      </c>
      <c r="AR5098" t="s">
        <v>5202</v>
      </c>
      <c r="AS5098" s="1">
        <v>44354.614583333336</v>
      </c>
      <c r="AT5098" s="1">
        <v>44354.6328587963</v>
      </c>
      <c r="AU5098" s="1">
        <v>44354.633668981478</v>
      </c>
      <c r="AV5098" t="s">
        <v>71</v>
      </c>
      <c r="AW5098" t="s">
        <v>72</v>
      </c>
      <c r="AX5098" t="s">
        <v>73</v>
      </c>
    </row>
    <row r="5099" spans="1:50" x14ac:dyDescent="0.3">
      <c r="A5099" t="str">
        <f>"201503E0301"</f>
        <v>201503E0301</v>
      </c>
      <c r="B5099" t="str">
        <f>"201503E03012"</f>
        <v>201503E03012</v>
      </c>
      <c r="C5099" t="str">
        <f t="shared" si="253"/>
        <v>20</v>
      </c>
      <c r="D5099" t="s">
        <v>67</v>
      </c>
      <c r="E5099" t="str">
        <f t="shared" si="252"/>
        <v>023</v>
      </c>
      <c r="F5099" t="s">
        <v>5157</v>
      </c>
      <c r="G5099" t="str">
        <f t="shared" si="255"/>
        <v>1503</v>
      </c>
      <c r="H5099" t="str">
        <f>"0003"</f>
        <v>0003</v>
      </c>
      <c r="I5099" t="s">
        <v>109</v>
      </c>
      <c r="J5099">
        <v>1</v>
      </c>
      <c r="K5099">
        <v>1</v>
      </c>
      <c r="L5099">
        <v>2</v>
      </c>
      <c r="M5099">
        <v>457</v>
      </c>
      <c r="N5099">
        <v>334</v>
      </c>
      <c r="O5099">
        <v>5</v>
      </c>
      <c r="P5099">
        <v>333</v>
      </c>
      <c r="Q5099">
        <v>5</v>
      </c>
      <c r="R5099">
        <v>107</v>
      </c>
      <c r="S5099">
        <v>3</v>
      </c>
      <c r="T5099">
        <v>2</v>
      </c>
      <c r="U5099">
        <v>4</v>
      </c>
      <c r="V5099">
        <v>5</v>
      </c>
      <c r="W5099">
        <v>0</v>
      </c>
      <c r="X5099">
        <v>195</v>
      </c>
      <c r="Y5099">
        <v>4</v>
      </c>
      <c r="Z5099">
        <v>0</v>
      </c>
      <c r="AA5099">
        <v>4</v>
      </c>
      <c r="AB5099">
        <v>0</v>
      </c>
      <c r="AD5099">
        <v>0</v>
      </c>
      <c r="AE5099">
        <v>0</v>
      </c>
      <c r="AF5099">
        <v>0</v>
      </c>
      <c r="AG5099">
        <v>0</v>
      </c>
      <c r="AI5099">
        <v>0</v>
      </c>
      <c r="AJ5099">
        <v>4</v>
      </c>
      <c r="AK5099">
        <v>333</v>
      </c>
      <c r="AL5099">
        <v>333</v>
      </c>
      <c r="AM5099">
        <v>747</v>
      </c>
      <c r="AN5099">
        <v>44</v>
      </c>
      <c r="AP5099">
        <v>1</v>
      </c>
      <c r="AR5099" t="s">
        <v>5203</v>
      </c>
      <c r="AS5099" s="1">
        <v>44354.464583333334</v>
      </c>
      <c r="AT5099" s="1">
        <v>44354.482916666668</v>
      </c>
      <c r="AU5099" s="1">
        <v>44354.483506944445</v>
      </c>
      <c r="AV5099" t="s">
        <v>71</v>
      </c>
      <c r="AW5099" t="s">
        <v>72</v>
      </c>
      <c r="AX5099" t="s">
        <v>73</v>
      </c>
    </row>
    <row r="5100" spans="1:50" x14ac:dyDescent="0.3">
      <c r="A5100" t="str">
        <f>"201503E0302"</f>
        <v>201503E0302</v>
      </c>
      <c r="B5100" t="str">
        <f>"201503E03022"</f>
        <v>201503E03022</v>
      </c>
      <c r="C5100" t="str">
        <f t="shared" si="253"/>
        <v>20</v>
      </c>
      <c r="D5100" t="s">
        <v>67</v>
      </c>
      <c r="E5100" t="str">
        <f t="shared" si="252"/>
        <v>023</v>
      </c>
      <c r="F5100" t="s">
        <v>5157</v>
      </c>
      <c r="G5100" t="str">
        <f t="shared" si="255"/>
        <v>1503</v>
      </c>
      <c r="H5100" t="str">
        <f>"0003"</f>
        <v>0003</v>
      </c>
      <c r="I5100" t="s">
        <v>109</v>
      </c>
      <c r="J5100">
        <v>2</v>
      </c>
      <c r="K5100">
        <v>1</v>
      </c>
      <c r="L5100">
        <v>2</v>
      </c>
      <c r="M5100">
        <v>425</v>
      </c>
      <c r="N5100">
        <v>366</v>
      </c>
      <c r="O5100">
        <v>7</v>
      </c>
      <c r="P5100">
        <v>366</v>
      </c>
      <c r="Q5100">
        <v>6</v>
      </c>
      <c r="R5100">
        <v>118</v>
      </c>
      <c r="S5100">
        <v>0</v>
      </c>
      <c r="T5100">
        <v>4</v>
      </c>
      <c r="U5100">
        <v>0</v>
      </c>
      <c r="V5100">
        <v>5</v>
      </c>
      <c r="W5100">
        <v>1</v>
      </c>
      <c r="X5100">
        <v>215</v>
      </c>
      <c r="Y5100">
        <v>3</v>
      </c>
      <c r="Z5100">
        <v>0</v>
      </c>
      <c r="AA5100">
        <v>6</v>
      </c>
      <c r="AB5100">
        <v>0</v>
      </c>
      <c r="AD5100">
        <v>0</v>
      </c>
      <c r="AE5100">
        <v>0</v>
      </c>
      <c r="AF5100">
        <v>0</v>
      </c>
      <c r="AG5100">
        <v>0</v>
      </c>
      <c r="AI5100">
        <v>0</v>
      </c>
      <c r="AJ5100">
        <v>8</v>
      </c>
      <c r="AK5100">
        <v>366</v>
      </c>
      <c r="AL5100">
        <v>366</v>
      </c>
      <c r="AM5100">
        <v>746</v>
      </c>
      <c r="AN5100">
        <v>44</v>
      </c>
      <c r="AP5100">
        <v>1</v>
      </c>
      <c r="AR5100" t="s">
        <v>5204</v>
      </c>
      <c r="AS5100" s="1">
        <v>44354.676388888889</v>
      </c>
      <c r="AT5100" s="1">
        <v>44354.679513888892</v>
      </c>
      <c r="AU5100" s="1">
        <v>44354.682037037041</v>
      </c>
      <c r="AV5100" t="s">
        <v>71</v>
      </c>
      <c r="AW5100" t="s">
        <v>72</v>
      </c>
      <c r="AX5100" t="s">
        <v>347</v>
      </c>
    </row>
    <row r="5101" spans="1:50" x14ac:dyDescent="0.3">
      <c r="A5101" t="str">
        <f>"201503E0400"</f>
        <v>201503E0400</v>
      </c>
      <c r="B5101" t="str">
        <f>"201503E04002"</f>
        <v>201503E04002</v>
      </c>
      <c r="C5101" t="str">
        <f t="shared" si="253"/>
        <v>20</v>
      </c>
      <c r="D5101" t="s">
        <v>67</v>
      </c>
      <c r="E5101" t="str">
        <f t="shared" si="252"/>
        <v>023</v>
      </c>
      <c r="F5101" t="s">
        <v>5157</v>
      </c>
      <c r="G5101" t="str">
        <f t="shared" si="255"/>
        <v>1503</v>
      </c>
      <c r="H5101" t="str">
        <f t="shared" ref="H5101:H5106" si="256">"0004"</f>
        <v>0004</v>
      </c>
      <c r="I5101" t="s">
        <v>109</v>
      </c>
      <c r="J5101">
        <v>0</v>
      </c>
      <c r="K5101">
        <v>1</v>
      </c>
      <c r="L5101">
        <v>2</v>
      </c>
      <c r="M5101">
        <v>415</v>
      </c>
      <c r="N5101">
        <v>277</v>
      </c>
      <c r="O5101">
        <v>6</v>
      </c>
      <c r="P5101">
        <v>277</v>
      </c>
      <c r="Q5101">
        <v>10</v>
      </c>
      <c r="R5101">
        <v>99</v>
      </c>
      <c r="S5101">
        <v>5</v>
      </c>
      <c r="T5101">
        <v>5</v>
      </c>
      <c r="U5101">
        <v>0</v>
      </c>
      <c r="V5101">
        <v>4</v>
      </c>
      <c r="W5101">
        <v>0</v>
      </c>
      <c r="X5101">
        <v>126</v>
      </c>
      <c r="Y5101">
        <v>1</v>
      </c>
      <c r="Z5101">
        <v>1</v>
      </c>
      <c r="AA5101">
        <v>6</v>
      </c>
      <c r="AB5101">
        <v>1</v>
      </c>
      <c r="AD5101">
        <v>5</v>
      </c>
      <c r="AE5101">
        <v>0</v>
      </c>
      <c r="AF5101">
        <v>1</v>
      </c>
      <c r="AG5101">
        <v>0</v>
      </c>
      <c r="AI5101" t="s">
        <v>77</v>
      </c>
      <c r="AJ5101">
        <v>13</v>
      </c>
      <c r="AK5101">
        <v>277</v>
      </c>
      <c r="AL5101">
        <v>277</v>
      </c>
      <c r="AM5101">
        <v>648</v>
      </c>
      <c r="AN5101">
        <v>44</v>
      </c>
      <c r="AO5101" t="s">
        <v>78</v>
      </c>
      <c r="AP5101">
        <v>1</v>
      </c>
      <c r="AR5101" t="s">
        <v>5205</v>
      </c>
      <c r="AS5101" s="1">
        <v>44354.40347222222</v>
      </c>
      <c r="AT5101" s="1">
        <v>44354.415532407409</v>
      </c>
      <c r="AU5101" s="1">
        <v>44354.416226851848</v>
      </c>
      <c r="AV5101" t="s">
        <v>71</v>
      </c>
      <c r="AW5101" t="s">
        <v>72</v>
      </c>
      <c r="AX5101" t="s">
        <v>73</v>
      </c>
    </row>
    <row r="5102" spans="1:50" x14ac:dyDescent="0.3">
      <c r="A5102" t="str">
        <f>"201503E0401"</f>
        <v>201503E0401</v>
      </c>
      <c r="B5102" t="str">
        <f>"201503E04012"</f>
        <v>201503E04012</v>
      </c>
      <c r="C5102" t="str">
        <f t="shared" si="253"/>
        <v>20</v>
      </c>
      <c r="D5102" t="s">
        <v>67</v>
      </c>
      <c r="E5102" t="str">
        <f t="shared" si="252"/>
        <v>023</v>
      </c>
      <c r="F5102" t="s">
        <v>5157</v>
      </c>
      <c r="G5102" t="str">
        <f t="shared" si="255"/>
        <v>1503</v>
      </c>
      <c r="H5102" t="str">
        <f t="shared" si="256"/>
        <v>0004</v>
      </c>
      <c r="I5102" t="s">
        <v>109</v>
      </c>
      <c r="J5102">
        <v>1</v>
      </c>
      <c r="K5102">
        <v>1</v>
      </c>
      <c r="L5102">
        <v>2</v>
      </c>
      <c r="M5102">
        <v>415</v>
      </c>
      <c r="N5102">
        <v>278</v>
      </c>
      <c r="O5102">
        <v>8</v>
      </c>
      <c r="P5102">
        <v>278</v>
      </c>
      <c r="Q5102">
        <v>1</v>
      </c>
      <c r="R5102">
        <v>116</v>
      </c>
      <c r="S5102">
        <v>3</v>
      </c>
      <c r="T5102">
        <v>7</v>
      </c>
      <c r="U5102">
        <v>1</v>
      </c>
      <c r="V5102">
        <v>1</v>
      </c>
      <c r="W5102">
        <v>1</v>
      </c>
      <c r="X5102">
        <v>135</v>
      </c>
      <c r="Y5102">
        <v>0</v>
      </c>
      <c r="Z5102">
        <v>1</v>
      </c>
      <c r="AA5102">
        <v>6</v>
      </c>
      <c r="AB5102">
        <v>0</v>
      </c>
      <c r="AD5102">
        <v>1</v>
      </c>
      <c r="AE5102">
        <v>0</v>
      </c>
      <c r="AF5102">
        <v>0</v>
      </c>
      <c r="AG5102">
        <v>0</v>
      </c>
      <c r="AI5102">
        <v>0</v>
      </c>
      <c r="AJ5102">
        <v>5</v>
      </c>
      <c r="AK5102">
        <v>278</v>
      </c>
      <c r="AL5102">
        <v>278</v>
      </c>
      <c r="AM5102">
        <v>648</v>
      </c>
      <c r="AN5102">
        <v>44</v>
      </c>
      <c r="AP5102">
        <v>1</v>
      </c>
      <c r="AR5102" t="s">
        <v>5206</v>
      </c>
      <c r="AS5102" s="1">
        <v>44354.058333333334</v>
      </c>
      <c r="AT5102" s="1">
        <v>44354.068726851852</v>
      </c>
      <c r="AU5102" s="1">
        <v>44354.069108796299</v>
      </c>
      <c r="AV5102" t="s">
        <v>71</v>
      </c>
      <c r="AW5102" t="s">
        <v>72</v>
      </c>
      <c r="AX5102" t="s">
        <v>73</v>
      </c>
    </row>
    <row r="5103" spans="1:50" x14ac:dyDescent="0.3">
      <c r="A5103" t="str">
        <f>"201503E0402"</f>
        <v>201503E0402</v>
      </c>
      <c r="B5103" t="str">
        <f>"201503E04022"</f>
        <v>201503E04022</v>
      </c>
      <c r="C5103" t="str">
        <f t="shared" si="253"/>
        <v>20</v>
      </c>
      <c r="D5103" t="s">
        <v>67</v>
      </c>
      <c r="E5103" t="str">
        <f t="shared" si="252"/>
        <v>023</v>
      </c>
      <c r="F5103" t="s">
        <v>5157</v>
      </c>
      <c r="G5103" t="str">
        <f t="shared" si="255"/>
        <v>1503</v>
      </c>
      <c r="H5103" t="str">
        <f t="shared" si="256"/>
        <v>0004</v>
      </c>
      <c r="I5103" t="s">
        <v>109</v>
      </c>
      <c r="J5103">
        <v>2</v>
      </c>
      <c r="K5103">
        <v>1</v>
      </c>
      <c r="L5103">
        <v>2</v>
      </c>
      <c r="M5103" t="s">
        <v>80</v>
      </c>
      <c r="N5103" t="s">
        <v>80</v>
      </c>
      <c r="O5103" t="s">
        <v>80</v>
      </c>
      <c r="P5103" t="s">
        <v>80</v>
      </c>
      <c r="Q5103">
        <v>2</v>
      </c>
      <c r="R5103">
        <v>104</v>
      </c>
      <c r="S5103">
        <v>1</v>
      </c>
      <c r="T5103">
        <v>2</v>
      </c>
      <c r="U5103">
        <v>1</v>
      </c>
      <c r="V5103">
        <v>2</v>
      </c>
      <c r="W5103">
        <v>2</v>
      </c>
      <c r="X5103">
        <v>138</v>
      </c>
      <c r="Y5103" t="s">
        <v>77</v>
      </c>
      <c r="Z5103">
        <v>1</v>
      </c>
      <c r="AA5103" t="s">
        <v>77</v>
      </c>
      <c r="AB5103" t="s">
        <v>77</v>
      </c>
      <c r="AD5103">
        <v>1</v>
      </c>
      <c r="AE5103" t="s">
        <v>77</v>
      </c>
      <c r="AF5103" t="s">
        <v>77</v>
      </c>
      <c r="AG5103" t="s">
        <v>77</v>
      </c>
      <c r="AI5103" t="s">
        <v>77</v>
      </c>
      <c r="AJ5103">
        <v>3</v>
      </c>
      <c r="AK5103">
        <v>261</v>
      </c>
      <c r="AL5103">
        <v>257</v>
      </c>
      <c r="AM5103">
        <v>647</v>
      </c>
      <c r="AN5103">
        <v>44</v>
      </c>
      <c r="AO5103" t="s">
        <v>78</v>
      </c>
      <c r="AP5103">
        <v>1</v>
      </c>
      <c r="AR5103" t="s">
        <v>5207</v>
      </c>
      <c r="AS5103" s="1">
        <v>44354.679861111108</v>
      </c>
      <c r="AT5103" s="1">
        <v>44354.698634259257</v>
      </c>
      <c r="AU5103" s="1">
        <v>44354.699131944442</v>
      </c>
      <c r="AV5103" t="s">
        <v>71</v>
      </c>
      <c r="AW5103" t="s">
        <v>72</v>
      </c>
      <c r="AX5103" t="s">
        <v>347</v>
      </c>
    </row>
    <row r="5104" spans="1:50" x14ac:dyDescent="0.3">
      <c r="A5104" t="str">
        <f>"201503E0403"</f>
        <v>201503E0403</v>
      </c>
      <c r="B5104" t="str">
        <f>"201503E04032"</f>
        <v>201503E04032</v>
      </c>
      <c r="C5104" t="str">
        <f t="shared" si="253"/>
        <v>20</v>
      </c>
      <c r="D5104" t="s">
        <v>67</v>
      </c>
      <c r="E5104" t="str">
        <f t="shared" si="252"/>
        <v>023</v>
      </c>
      <c r="F5104" t="s">
        <v>5157</v>
      </c>
      <c r="G5104" t="str">
        <f t="shared" si="255"/>
        <v>1503</v>
      </c>
      <c r="H5104" t="str">
        <f t="shared" si="256"/>
        <v>0004</v>
      </c>
      <c r="I5104" t="s">
        <v>109</v>
      </c>
      <c r="J5104">
        <v>3</v>
      </c>
      <c r="K5104">
        <v>1</v>
      </c>
      <c r="L5104">
        <v>2</v>
      </c>
      <c r="M5104">
        <v>390</v>
      </c>
      <c r="N5104">
        <v>301</v>
      </c>
      <c r="O5104">
        <v>8</v>
      </c>
      <c r="P5104">
        <v>301</v>
      </c>
      <c r="Q5104">
        <v>4</v>
      </c>
      <c r="R5104">
        <v>124</v>
      </c>
      <c r="S5104">
        <v>7</v>
      </c>
      <c r="T5104">
        <v>6</v>
      </c>
      <c r="U5104">
        <v>0</v>
      </c>
      <c r="V5104">
        <v>4</v>
      </c>
      <c r="W5104">
        <v>1</v>
      </c>
      <c r="X5104">
        <v>136</v>
      </c>
      <c r="Y5104">
        <v>6</v>
      </c>
      <c r="Z5104">
        <v>0</v>
      </c>
      <c r="AA5104">
        <v>4</v>
      </c>
      <c r="AB5104">
        <v>2</v>
      </c>
      <c r="AD5104" t="s">
        <v>77</v>
      </c>
      <c r="AE5104" t="s">
        <v>77</v>
      </c>
      <c r="AF5104" t="s">
        <v>77</v>
      </c>
      <c r="AG5104" t="s">
        <v>77</v>
      </c>
      <c r="AI5104" t="s">
        <v>77</v>
      </c>
      <c r="AJ5104">
        <v>7</v>
      </c>
      <c r="AK5104">
        <v>301</v>
      </c>
      <c r="AL5104">
        <v>301</v>
      </c>
      <c r="AM5104">
        <v>647</v>
      </c>
      <c r="AN5104">
        <v>44</v>
      </c>
      <c r="AO5104" t="s">
        <v>78</v>
      </c>
      <c r="AP5104">
        <v>1</v>
      </c>
      <c r="AR5104" t="s">
        <v>5208</v>
      </c>
      <c r="AS5104" s="1">
        <v>44354.057638888888</v>
      </c>
      <c r="AT5104" s="1">
        <v>44354.068344907406</v>
      </c>
      <c r="AU5104" s="1">
        <v>44354.069016203706</v>
      </c>
      <c r="AV5104" t="s">
        <v>71</v>
      </c>
      <c r="AW5104" t="s">
        <v>72</v>
      </c>
      <c r="AX5104" t="s">
        <v>73</v>
      </c>
    </row>
    <row r="5105" spans="1:50" x14ac:dyDescent="0.3">
      <c r="A5105" t="str">
        <f>"201503E0404"</f>
        <v>201503E0404</v>
      </c>
      <c r="B5105" t="str">
        <f>"201503E04042"</f>
        <v>201503E04042</v>
      </c>
      <c r="C5105" t="str">
        <f t="shared" si="253"/>
        <v>20</v>
      </c>
      <c r="D5105" t="s">
        <v>67</v>
      </c>
      <c r="E5105" t="str">
        <f t="shared" si="252"/>
        <v>023</v>
      </c>
      <c r="F5105" t="s">
        <v>5157</v>
      </c>
      <c r="G5105" t="str">
        <f t="shared" si="255"/>
        <v>1503</v>
      </c>
      <c r="H5105" t="str">
        <f t="shared" si="256"/>
        <v>0004</v>
      </c>
      <c r="I5105" t="s">
        <v>109</v>
      </c>
      <c r="J5105">
        <v>4</v>
      </c>
      <c r="K5105">
        <v>1</v>
      </c>
      <c r="L5105">
        <v>2</v>
      </c>
      <c r="M5105">
        <v>404</v>
      </c>
      <c r="N5105">
        <v>286</v>
      </c>
      <c r="O5105">
        <v>10</v>
      </c>
      <c r="P5105">
        <v>286</v>
      </c>
      <c r="Q5105">
        <v>3</v>
      </c>
      <c r="R5105">
        <v>106</v>
      </c>
      <c r="S5105">
        <v>2</v>
      </c>
      <c r="T5105">
        <v>4</v>
      </c>
      <c r="U5105">
        <v>2</v>
      </c>
      <c r="V5105">
        <v>1</v>
      </c>
      <c r="W5105">
        <v>1</v>
      </c>
      <c r="X5105">
        <v>148</v>
      </c>
      <c r="Y5105">
        <v>1</v>
      </c>
      <c r="Z5105">
        <v>0</v>
      </c>
      <c r="AA5105">
        <v>5</v>
      </c>
      <c r="AB5105">
        <v>2</v>
      </c>
      <c r="AD5105">
        <v>4</v>
      </c>
      <c r="AE5105">
        <v>1</v>
      </c>
      <c r="AF5105">
        <v>0</v>
      </c>
      <c r="AG5105">
        <v>0</v>
      </c>
      <c r="AI5105">
        <v>0</v>
      </c>
      <c r="AJ5105">
        <v>5</v>
      </c>
      <c r="AK5105">
        <v>286</v>
      </c>
      <c r="AL5105">
        <v>285</v>
      </c>
      <c r="AM5105">
        <v>647</v>
      </c>
      <c r="AN5105">
        <v>44</v>
      </c>
      <c r="AP5105">
        <v>1</v>
      </c>
      <c r="AR5105" t="s">
        <v>5209</v>
      </c>
      <c r="AS5105" s="1">
        <v>44354.354861111111</v>
      </c>
      <c r="AT5105" s="1">
        <v>44354.362442129626</v>
      </c>
      <c r="AU5105" s="1">
        <v>44354.362974537034</v>
      </c>
      <c r="AV5105" t="s">
        <v>71</v>
      </c>
      <c r="AW5105" t="s">
        <v>72</v>
      </c>
      <c r="AX5105" t="s">
        <v>73</v>
      </c>
    </row>
    <row r="5106" spans="1:50" x14ac:dyDescent="0.3">
      <c r="A5106" t="str">
        <f>"201503E0405"</f>
        <v>201503E0405</v>
      </c>
      <c r="B5106" t="str">
        <f>"201503E04052"</f>
        <v>201503E04052</v>
      </c>
      <c r="C5106" t="str">
        <f t="shared" si="253"/>
        <v>20</v>
      </c>
      <c r="D5106" t="s">
        <v>67</v>
      </c>
      <c r="E5106" t="str">
        <f t="shared" si="252"/>
        <v>023</v>
      </c>
      <c r="F5106" t="s">
        <v>5157</v>
      </c>
      <c r="G5106" t="str">
        <f t="shared" si="255"/>
        <v>1503</v>
      </c>
      <c r="H5106" t="str">
        <f t="shared" si="256"/>
        <v>0004</v>
      </c>
      <c r="I5106" t="s">
        <v>109</v>
      </c>
      <c r="J5106">
        <v>5</v>
      </c>
      <c r="K5106">
        <v>1</v>
      </c>
      <c r="L5106">
        <v>2</v>
      </c>
      <c r="M5106">
        <v>404</v>
      </c>
      <c r="N5106">
        <v>286</v>
      </c>
      <c r="O5106">
        <v>10</v>
      </c>
      <c r="P5106">
        <v>286</v>
      </c>
      <c r="Q5106">
        <v>3</v>
      </c>
      <c r="R5106">
        <v>106</v>
      </c>
      <c r="S5106">
        <v>2</v>
      </c>
      <c r="T5106">
        <v>4</v>
      </c>
      <c r="U5106">
        <v>2</v>
      </c>
      <c r="V5106">
        <v>1</v>
      </c>
      <c r="W5106">
        <v>1</v>
      </c>
      <c r="X5106">
        <v>148</v>
      </c>
      <c r="Y5106">
        <v>1</v>
      </c>
      <c r="Z5106">
        <v>0</v>
      </c>
      <c r="AA5106">
        <v>5</v>
      </c>
      <c r="AB5106">
        <v>2</v>
      </c>
      <c r="AD5106">
        <v>4</v>
      </c>
      <c r="AE5106">
        <v>1</v>
      </c>
      <c r="AF5106">
        <v>0</v>
      </c>
      <c r="AG5106">
        <v>0</v>
      </c>
      <c r="AI5106">
        <v>0</v>
      </c>
      <c r="AJ5106">
        <v>5</v>
      </c>
      <c r="AK5106">
        <v>286</v>
      </c>
      <c r="AL5106">
        <v>285</v>
      </c>
      <c r="AM5106">
        <v>647</v>
      </c>
      <c r="AN5106">
        <v>44</v>
      </c>
      <c r="AP5106">
        <v>1</v>
      </c>
      <c r="AR5106" t="s">
        <v>5210</v>
      </c>
      <c r="AS5106" s="1">
        <v>44354.354861111111</v>
      </c>
      <c r="AT5106" s="1">
        <v>44354.684305555558</v>
      </c>
      <c r="AU5106" s="1">
        <v>44354.686539351853</v>
      </c>
      <c r="AV5106" t="s">
        <v>71</v>
      </c>
      <c r="AW5106" t="s">
        <v>72</v>
      </c>
      <c r="AX5106" t="s">
        <v>73</v>
      </c>
    </row>
    <row r="5107" spans="1:50" x14ac:dyDescent="0.3">
      <c r="A5107" t="str">
        <f>"201504B0000"</f>
        <v>201504B0000</v>
      </c>
      <c r="B5107" t="str">
        <f>"201504B00002"</f>
        <v>201504B00002</v>
      </c>
      <c r="C5107" t="str">
        <f t="shared" si="253"/>
        <v>20</v>
      </c>
      <c r="D5107" t="s">
        <v>67</v>
      </c>
      <c r="E5107" t="str">
        <f t="shared" si="252"/>
        <v>023</v>
      </c>
      <c r="F5107" t="s">
        <v>5157</v>
      </c>
      <c r="G5107" t="str">
        <f>"1504"</f>
        <v>1504</v>
      </c>
      <c r="H5107" t="str">
        <f>"0000"</f>
        <v>0000</v>
      </c>
      <c r="I5107" t="s">
        <v>69</v>
      </c>
      <c r="J5107">
        <v>0</v>
      </c>
      <c r="K5107">
        <v>1</v>
      </c>
      <c r="L5107">
        <v>2</v>
      </c>
      <c r="M5107">
        <v>263</v>
      </c>
      <c r="N5107">
        <v>239</v>
      </c>
      <c r="O5107">
        <v>8</v>
      </c>
      <c r="P5107">
        <v>239</v>
      </c>
      <c r="Q5107">
        <v>16</v>
      </c>
      <c r="R5107">
        <v>102</v>
      </c>
      <c r="S5107">
        <v>1</v>
      </c>
      <c r="T5107">
        <v>0</v>
      </c>
      <c r="U5107">
        <v>2</v>
      </c>
      <c r="V5107">
        <v>3</v>
      </c>
      <c r="W5107">
        <v>3</v>
      </c>
      <c r="X5107">
        <v>94</v>
      </c>
      <c r="Y5107">
        <v>1</v>
      </c>
      <c r="Z5107">
        <v>0</v>
      </c>
      <c r="AA5107">
        <v>7</v>
      </c>
      <c r="AB5107">
        <v>0</v>
      </c>
      <c r="AD5107">
        <v>4</v>
      </c>
      <c r="AE5107">
        <v>0</v>
      </c>
      <c r="AF5107">
        <v>0</v>
      </c>
      <c r="AG5107">
        <v>0</v>
      </c>
      <c r="AI5107">
        <v>0</v>
      </c>
      <c r="AJ5107">
        <v>6</v>
      </c>
      <c r="AK5107">
        <v>239</v>
      </c>
      <c r="AL5107">
        <v>239</v>
      </c>
      <c r="AM5107">
        <v>458</v>
      </c>
      <c r="AN5107">
        <v>44</v>
      </c>
      <c r="AP5107">
        <v>1</v>
      </c>
      <c r="AR5107" t="s">
        <v>5211</v>
      </c>
      <c r="AS5107" s="1">
        <v>44354.081250000003</v>
      </c>
      <c r="AT5107" s="1">
        <v>44354.091319444444</v>
      </c>
      <c r="AU5107" s="1">
        <v>44354.09170138889</v>
      </c>
      <c r="AV5107" t="s">
        <v>71</v>
      </c>
      <c r="AW5107" t="s">
        <v>72</v>
      </c>
      <c r="AX5107" t="s">
        <v>73</v>
      </c>
    </row>
    <row r="5108" spans="1:50" x14ac:dyDescent="0.3">
      <c r="A5108" t="str">
        <f>"201504C0100"</f>
        <v>201504C0100</v>
      </c>
      <c r="B5108" t="str">
        <f>"201504C01002"</f>
        <v>201504C01002</v>
      </c>
      <c r="C5108" t="str">
        <f t="shared" si="253"/>
        <v>20</v>
      </c>
      <c r="D5108" t="s">
        <v>67</v>
      </c>
      <c r="E5108" t="str">
        <f t="shared" si="252"/>
        <v>023</v>
      </c>
      <c r="F5108" t="s">
        <v>5157</v>
      </c>
      <c r="G5108" t="str">
        <f>"1504"</f>
        <v>1504</v>
      </c>
      <c r="H5108" t="str">
        <f>"0001"</f>
        <v>0001</v>
      </c>
      <c r="I5108" t="s">
        <v>75</v>
      </c>
      <c r="J5108">
        <v>0</v>
      </c>
      <c r="K5108">
        <v>1</v>
      </c>
      <c r="L5108">
        <v>2</v>
      </c>
      <c r="M5108">
        <v>272</v>
      </c>
      <c r="N5108">
        <v>229</v>
      </c>
      <c r="O5108">
        <v>6</v>
      </c>
      <c r="P5108">
        <v>230</v>
      </c>
      <c r="Q5108">
        <v>16</v>
      </c>
      <c r="R5108">
        <v>93</v>
      </c>
      <c r="S5108">
        <v>0</v>
      </c>
      <c r="T5108">
        <v>2</v>
      </c>
      <c r="U5108">
        <v>2</v>
      </c>
      <c r="V5108">
        <v>5</v>
      </c>
      <c r="W5108">
        <v>0</v>
      </c>
      <c r="X5108">
        <v>99</v>
      </c>
      <c r="Y5108">
        <v>3</v>
      </c>
      <c r="Z5108">
        <v>1</v>
      </c>
      <c r="AA5108">
        <v>3</v>
      </c>
      <c r="AB5108">
        <v>0</v>
      </c>
      <c r="AD5108">
        <v>2</v>
      </c>
      <c r="AE5108">
        <v>0</v>
      </c>
      <c r="AF5108">
        <v>0</v>
      </c>
      <c r="AG5108">
        <v>0</v>
      </c>
      <c r="AI5108">
        <v>1</v>
      </c>
      <c r="AJ5108">
        <v>3</v>
      </c>
      <c r="AK5108">
        <v>230</v>
      </c>
      <c r="AL5108">
        <v>230</v>
      </c>
      <c r="AM5108">
        <v>458</v>
      </c>
      <c r="AN5108">
        <v>44</v>
      </c>
      <c r="AP5108">
        <v>1</v>
      </c>
      <c r="AR5108" t="s">
        <v>5212</v>
      </c>
      <c r="AS5108" s="1">
        <v>44354.080555555556</v>
      </c>
      <c r="AT5108" s="1">
        <v>44354.090185185189</v>
      </c>
      <c r="AU5108" s="1">
        <v>44354.090891203705</v>
      </c>
      <c r="AV5108" t="s">
        <v>71</v>
      </c>
      <c r="AW5108" t="s">
        <v>72</v>
      </c>
      <c r="AX5108" t="s">
        <v>73</v>
      </c>
    </row>
    <row r="5109" spans="1:50" x14ac:dyDescent="0.3">
      <c r="A5109" t="str">
        <f>"201505B0000"</f>
        <v>201505B0000</v>
      </c>
      <c r="B5109" t="str">
        <f>"201505B00002"</f>
        <v>201505B00002</v>
      </c>
      <c r="C5109" t="str">
        <f t="shared" si="253"/>
        <v>20</v>
      </c>
      <c r="D5109" t="s">
        <v>67</v>
      </c>
      <c r="E5109" t="str">
        <f t="shared" si="252"/>
        <v>023</v>
      </c>
      <c r="F5109" t="s">
        <v>5157</v>
      </c>
      <c r="G5109" t="str">
        <f t="shared" ref="G5109:G5114" si="257">"1505"</f>
        <v>1505</v>
      </c>
      <c r="H5109" t="str">
        <f>"0000"</f>
        <v>0000</v>
      </c>
      <c r="I5109" t="s">
        <v>69</v>
      </c>
      <c r="J5109">
        <v>0</v>
      </c>
      <c r="K5109">
        <v>1</v>
      </c>
      <c r="L5109">
        <v>2</v>
      </c>
      <c r="M5109">
        <v>381</v>
      </c>
      <c r="N5109">
        <v>309</v>
      </c>
      <c r="O5109">
        <v>3</v>
      </c>
      <c r="P5109">
        <v>309</v>
      </c>
      <c r="Q5109">
        <v>9</v>
      </c>
      <c r="R5109">
        <v>110</v>
      </c>
      <c r="S5109">
        <v>3</v>
      </c>
      <c r="T5109">
        <v>8</v>
      </c>
      <c r="U5109">
        <v>1</v>
      </c>
      <c r="V5109">
        <v>0</v>
      </c>
      <c r="W5109">
        <v>2</v>
      </c>
      <c r="X5109">
        <v>143</v>
      </c>
      <c r="Y5109">
        <v>12</v>
      </c>
      <c r="Z5109">
        <v>3</v>
      </c>
      <c r="AA5109">
        <v>7</v>
      </c>
      <c r="AB5109">
        <v>2</v>
      </c>
      <c r="AD5109">
        <v>0</v>
      </c>
      <c r="AE5109">
        <v>0</v>
      </c>
      <c r="AF5109">
        <v>0</v>
      </c>
      <c r="AG5109">
        <v>0</v>
      </c>
      <c r="AI5109">
        <v>0</v>
      </c>
      <c r="AJ5109">
        <v>9</v>
      </c>
      <c r="AK5109">
        <v>309</v>
      </c>
      <c r="AL5109">
        <v>309</v>
      </c>
      <c r="AM5109">
        <v>646</v>
      </c>
      <c r="AN5109">
        <v>44</v>
      </c>
      <c r="AP5109">
        <v>1</v>
      </c>
      <c r="AR5109" t="s">
        <v>5213</v>
      </c>
      <c r="AS5109" s="1">
        <v>44354.085416666669</v>
      </c>
      <c r="AT5109" s="1">
        <v>44354.095983796295</v>
      </c>
      <c r="AU5109" s="1">
        <v>44354.09652777778</v>
      </c>
      <c r="AV5109" t="s">
        <v>71</v>
      </c>
      <c r="AW5109" t="s">
        <v>72</v>
      </c>
      <c r="AX5109" t="s">
        <v>73</v>
      </c>
    </row>
    <row r="5110" spans="1:50" x14ac:dyDescent="0.3">
      <c r="A5110" t="str">
        <f>"201505C0100"</f>
        <v>201505C0100</v>
      </c>
      <c r="B5110" t="str">
        <f>"201505C01002"</f>
        <v>201505C01002</v>
      </c>
      <c r="C5110" t="str">
        <f t="shared" si="253"/>
        <v>20</v>
      </c>
      <c r="D5110" t="s">
        <v>67</v>
      </c>
      <c r="E5110" t="str">
        <f t="shared" si="252"/>
        <v>023</v>
      </c>
      <c r="F5110" t="s">
        <v>5157</v>
      </c>
      <c r="G5110" t="str">
        <f t="shared" si="257"/>
        <v>1505</v>
      </c>
      <c r="H5110" t="str">
        <f>"0001"</f>
        <v>0001</v>
      </c>
      <c r="I5110" t="s">
        <v>75</v>
      </c>
      <c r="J5110">
        <v>0</v>
      </c>
      <c r="K5110">
        <v>1</v>
      </c>
      <c r="L5110">
        <v>2</v>
      </c>
      <c r="M5110">
        <v>382</v>
      </c>
      <c r="N5110">
        <v>308</v>
      </c>
      <c r="O5110">
        <v>1</v>
      </c>
      <c r="P5110">
        <v>308</v>
      </c>
      <c r="Q5110">
        <v>6</v>
      </c>
      <c r="R5110">
        <v>120</v>
      </c>
      <c r="S5110">
        <v>0</v>
      </c>
      <c r="T5110">
        <v>5</v>
      </c>
      <c r="U5110">
        <v>3</v>
      </c>
      <c r="V5110">
        <v>6</v>
      </c>
      <c r="W5110">
        <v>0</v>
      </c>
      <c r="X5110">
        <v>145</v>
      </c>
      <c r="Y5110">
        <v>1</v>
      </c>
      <c r="Z5110">
        <v>2</v>
      </c>
      <c r="AA5110">
        <v>5</v>
      </c>
      <c r="AB5110">
        <v>1</v>
      </c>
      <c r="AD5110">
        <v>0</v>
      </c>
      <c r="AE5110">
        <v>1</v>
      </c>
      <c r="AF5110">
        <v>0</v>
      </c>
      <c r="AG5110">
        <v>2</v>
      </c>
      <c r="AI5110">
        <v>0</v>
      </c>
      <c r="AJ5110">
        <v>11</v>
      </c>
      <c r="AK5110">
        <v>308</v>
      </c>
      <c r="AL5110">
        <v>308</v>
      </c>
      <c r="AM5110">
        <v>646</v>
      </c>
      <c r="AN5110">
        <v>44</v>
      </c>
      <c r="AP5110">
        <v>1</v>
      </c>
      <c r="AR5110" t="s">
        <v>5214</v>
      </c>
      <c r="AS5110" s="1">
        <v>44354.084027777775</v>
      </c>
      <c r="AT5110" s="1">
        <v>44354.094351851854</v>
      </c>
      <c r="AU5110" s="1">
        <v>44354.095034722224</v>
      </c>
      <c r="AV5110" t="s">
        <v>71</v>
      </c>
      <c r="AW5110" t="s">
        <v>72</v>
      </c>
      <c r="AX5110" t="s">
        <v>73</v>
      </c>
    </row>
    <row r="5111" spans="1:50" x14ac:dyDescent="0.3">
      <c r="A5111" t="str">
        <f>"201505C0200"</f>
        <v>201505C0200</v>
      </c>
      <c r="B5111" t="str">
        <f>"201505C02002"</f>
        <v>201505C02002</v>
      </c>
      <c r="C5111" t="str">
        <f t="shared" si="253"/>
        <v>20</v>
      </c>
      <c r="D5111" t="s">
        <v>67</v>
      </c>
      <c r="E5111" t="str">
        <f t="shared" si="252"/>
        <v>023</v>
      </c>
      <c r="F5111" t="s">
        <v>5157</v>
      </c>
      <c r="G5111" t="str">
        <f t="shared" si="257"/>
        <v>1505</v>
      </c>
      <c r="H5111" t="str">
        <f>"0002"</f>
        <v>0002</v>
      </c>
      <c r="I5111" t="s">
        <v>75</v>
      </c>
      <c r="J5111">
        <v>0</v>
      </c>
      <c r="K5111">
        <v>1</v>
      </c>
      <c r="L5111">
        <v>2</v>
      </c>
      <c r="M5111">
        <v>370</v>
      </c>
      <c r="N5111">
        <v>320</v>
      </c>
      <c r="O5111">
        <v>7</v>
      </c>
      <c r="P5111">
        <v>320</v>
      </c>
      <c r="Q5111">
        <v>4</v>
      </c>
      <c r="R5111">
        <v>137</v>
      </c>
      <c r="S5111">
        <v>1</v>
      </c>
      <c r="T5111">
        <v>3</v>
      </c>
      <c r="U5111">
        <v>1</v>
      </c>
      <c r="V5111">
        <v>2</v>
      </c>
      <c r="W5111">
        <v>3</v>
      </c>
      <c r="X5111">
        <v>146</v>
      </c>
      <c r="Y5111">
        <v>12</v>
      </c>
      <c r="Z5111">
        <v>1</v>
      </c>
      <c r="AA5111">
        <v>5</v>
      </c>
      <c r="AB5111">
        <v>1</v>
      </c>
      <c r="AD5111">
        <v>1</v>
      </c>
      <c r="AE5111">
        <v>0</v>
      </c>
      <c r="AF5111">
        <v>0</v>
      </c>
      <c r="AG5111">
        <v>1</v>
      </c>
      <c r="AI5111">
        <v>0</v>
      </c>
      <c r="AJ5111">
        <v>2</v>
      </c>
      <c r="AK5111">
        <v>320</v>
      </c>
      <c r="AL5111">
        <v>320</v>
      </c>
      <c r="AM5111">
        <v>646</v>
      </c>
      <c r="AN5111">
        <v>44</v>
      </c>
      <c r="AP5111">
        <v>1</v>
      </c>
      <c r="AR5111" t="s">
        <v>5215</v>
      </c>
      <c r="AS5111" s="1">
        <v>44354.084722222222</v>
      </c>
      <c r="AT5111" s="1">
        <v>44354.095682870371</v>
      </c>
      <c r="AU5111" s="1">
        <v>44354.096203703702</v>
      </c>
      <c r="AV5111" t="s">
        <v>71</v>
      </c>
      <c r="AW5111" t="s">
        <v>72</v>
      </c>
      <c r="AX5111" t="s">
        <v>73</v>
      </c>
    </row>
    <row r="5112" spans="1:50" x14ac:dyDescent="0.3">
      <c r="A5112" t="str">
        <f>"201505C0300"</f>
        <v>201505C0300</v>
      </c>
      <c r="B5112" t="str">
        <f>"201505C03002"</f>
        <v>201505C03002</v>
      </c>
      <c r="C5112" t="str">
        <f t="shared" si="253"/>
        <v>20</v>
      </c>
      <c r="D5112" t="s">
        <v>67</v>
      </c>
      <c r="E5112" t="str">
        <f t="shared" si="252"/>
        <v>023</v>
      </c>
      <c r="F5112" t="s">
        <v>5157</v>
      </c>
      <c r="G5112" t="str">
        <f t="shared" si="257"/>
        <v>1505</v>
      </c>
      <c r="H5112" t="str">
        <f>"0003"</f>
        <v>0003</v>
      </c>
      <c r="I5112" t="s">
        <v>75</v>
      </c>
      <c r="J5112">
        <v>0</v>
      </c>
      <c r="K5112">
        <v>1</v>
      </c>
      <c r="L5112">
        <v>2</v>
      </c>
      <c r="M5112">
        <v>360</v>
      </c>
      <c r="N5112">
        <v>329</v>
      </c>
      <c r="O5112">
        <v>5</v>
      </c>
      <c r="P5112">
        <v>329</v>
      </c>
      <c r="Q5112">
        <v>0</v>
      </c>
      <c r="R5112">
        <v>121</v>
      </c>
      <c r="S5112">
        <v>1</v>
      </c>
      <c r="T5112">
        <v>7</v>
      </c>
      <c r="U5112">
        <v>4</v>
      </c>
      <c r="V5112">
        <v>2</v>
      </c>
      <c r="W5112">
        <v>3</v>
      </c>
      <c r="X5112">
        <v>163</v>
      </c>
      <c r="Y5112">
        <v>12</v>
      </c>
      <c r="Z5112">
        <v>2</v>
      </c>
      <c r="AA5112">
        <v>1</v>
      </c>
      <c r="AB5112">
        <v>1</v>
      </c>
      <c r="AD5112">
        <v>2</v>
      </c>
      <c r="AE5112">
        <v>0</v>
      </c>
      <c r="AF5112">
        <v>0</v>
      </c>
      <c r="AG5112">
        <v>1</v>
      </c>
      <c r="AI5112">
        <v>0</v>
      </c>
      <c r="AJ5112">
        <v>9</v>
      </c>
      <c r="AK5112">
        <v>329</v>
      </c>
      <c r="AL5112">
        <v>329</v>
      </c>
      <c r="AM5112">
        <v>645</v>
      </c>
      <c r="AN5112">
        <v>44</v>
      </c>
      <c r="AP5112">
        <v>1</v>
      </c>
      <c r="AR5112" t="s">
        <v>5216</v>
      </c>
      <c r="AS5112" s="1">
        <v>44354.084722222222</v>
      </c>
      <c r="AT5112" s="1">
        <v>44354.095879629633</v>
      </c>
      <c r="AU5112" s="1">
        <v>44354.096388888887</v>
      </c>
      <c r="AV5112" t="s">
        <v>71</v>
      </c>
      <c r="AW5112" t="s">
        <v>72</v>
      </c>
      <c r="AX5112" t="s">
        <v>73</v>
      </c>
    </row>
    <row r="5113" spans="1:50" x14ac:dyDescent="0.3">
      <c r="A5113" t="str">
        <f>"201505C0400"</f>
        <v>201505C0400</v>
      </c>
      <c r="B5113" t="str">
        <f>"201505C04002"</f>
        <v>201505C04002</v>
      </c>
      <c r="C5113" t="str">
        <f t="shared" si="253"/>
        <v>20</v>
      </c>
      <c r="D5113" t="s">
        <v>67</v>
      </c>
      <c r="E5113" t="str">
        <f t="shared" si="252"/>
        <v>023</v>
      </c>
      <c r="F5113" t="s">
        <v>5157</v>
      </c>
      <c r="G5113" t="str">
        <f t="shared" si="257"/>
        <v>1505</v>
      </c>
      <c r="H5113" t="str">
        <f>"0004"</f>
        <v>0004</v>
      </c>
      <c r="I5113" t="s">
        <v>75</v>
      </c>
      <c r="J5113">
        <v>0</v>
      </c>
      <c r="K5113">
        <v>1</v>
      </c>
      <c r="L5113">
        <v>2</v>
      </c>
      <c r="M5113">
        <v>425</v>
      </c>
      <c r="N5113">
        <v>264</v>
      </c>
      <c r="O5113">
        <v>2</v>
      </c>
      <c r="P5113">
        <v>264</v>
      </c>
      <c r="Q5113">
        <v>1</v>
      </c>
      <c r="R5113">
        <v>104</v>
      </c>
      <c r="S5113">
        <v>0</v>
      </c>
      <c r="T5113">
        <v>5</v>
      </c>
      <c r="U5113">
        <v>1</v>
      </c>
      <c r="V5113">
        <v>4</v>
      </c>
      <c r="W5113">
        <v>4</v>
      </c>
      <c r="X5113">
        <v>120</v>
      </c>
      <c r="Y5113">
        <v>10</v>
      </c>
      <c r="Z5113">
        <v>3</v>
      </c>
      <c r="AA5113">
        <v>4</v>
      </c>
      <c r="AB5113">
        <v>2</v>
      </c>
      <c r="AD5113">
        <v>1</v>
      </c>
      <c r="AE5113">
        <v>1</v>
      </c>
      <c r="AF5113">
        <v>0</v>
      </c>
      <c r="AG5113">
        <v>0</v>
      </c>
      <c r="AI5113">
        <v>0</v>
      </c>
      <c r="AJ5113">
        <v>4</v>
      </c>
      <c r="AK5113">
        <v>264</v>
      </c>
      <c r="AL5113">
        <v>264</v>
      </c>
      <c r="AM5113">
        <v>645</v>
      </c>
      <c r="AN5113">
        <v>44</v>
      </c>
      <c r="AP5113">
        <v>1</v>
      </c>
      <c r="AR5113" t="s">
        <v>5217</v>
      </c>
      <c r="AS5113" s="1">
        <v>44354.084722222222</v>
      </c>
      <c r="AT5113" s="1">
        <v>44354.095266203702</v>
      </c>
      <c r="AU5113" s="1">
        <v>44354.09584490741</v>
      </c>
      <c r="AV5113" t="s">
        <v>71</v>
      </c>
      <c r="AW5113" t="s">
        <v>72</v>
      </c>
      <c r="AX5113" t="s">
        <v>73</v>
      </c>
    </row>
    <row r="5114" spans="1:50" x14ac:dyDescent="0.3">
      <c r="A5114" t="str">
        <f>"201505C0500"</f>
        <v>201505C0500</v>
      </c>
      <c r="B5114" t="str">
        <f>"201505C05002"</f>
        <v>201505C05002</v>
      </c>
      <c r="C5114" t="str">
        <f t="shared" si="253"/>
        <v>20</v>
      </c>
      <c r="D5114" t="s">
        <v>67</v>
      </c>
      <c r="E5114" t="str">
        <f t="shared" si="252"/>
        <v>023</v>
      </c>
      <c r="F5114" t="s">
        <v>5157</v>
      </c>
      <c r="G5114" t="str">
        <f t="shared" si="257"/>
        <v>1505</v>
      </c>
      <c r="H5114" t="str">
        <f>"0005"</f>
        <v>0005</v>
      </c>
      <c r="I5114" t="s">
        <v>75</v>
      </c>
      <c r="J5114">
        <v>0</v>
      </c>
      <c r="K5114">
        <v>1</v>
      </c>
      <c r="L5114">
        <v>2</v>
      </c>
      <c r="M5114">
        <v>383</v>
      </c>
      <c r="N5114">
        <v>305</v>
      </c>
      <c r="O5114">
        <v>3</v>
      </c>
      <c r="P5114">
        <v>305</v>
      </c>
      <c r="Q5114">
        <v>4</v>
      </c>
      <c r="R5114">
        <v>107</v>
      </c>
      <c r="S5114">
        <v>2</v>
      </c>
      <c r="T5114">
        <v>8</v>
      </c>
      <c r="U5114">
        <v>1</v>
      </c>
      <c r="V5114">
        <v>7</v>
      </c>
      <c r="W5114">
        <v>2</v>
      </c>
      <c r="X5114">
        <v>151</v>
      </c>
      <c r="Y5114">
        <v>7</v>
      </c>
      <c r="Z5114">
        <v>1</v>
      </c>
      <c r="AA5114">
        <v>5</v>
      </c>
      <c r="AB5114">
        <v>2</v>
      </c>
      <c r="AD5114">
        <v>0</v>
      </c>
      <c r="AE5114">
        <v>0</v>
      </c>
      <c r="AF5114">
        <v>1</v>
      </c>
      <c r="AG5114">
        <v>1</v>
      </c>
      <c r="AI5114">
        <v>0</v>
      </c>
      <c r="AJ5114">
        <v>6</v>
      </c>
      <c r="AK5114">
        <v>305</v>
      </c>
      <c r="AL5114">
        <v>305</v>
      </c>
      <c r="AM5114">
        <v>645</v>
      </c>
      <c r="AN5114">
        <v>44</v>
      </c>
      <c r="AP5114">
        <v>1</v>
      </c>
      <c r="AR5114" t="s">
        <v>5218</v>
      </c>
      <c r="AS5114" s="1">
        <v>44354.085416666669</v>
      </c>
      <c r="AT5114" s="1">
        <v>44354.095636574071</v>
      </c>
      <c r="AU5114" s="1">
        <v>44354.096574074072</v>
      </c>
      <c r="AV5114" t="s">
        <v>71</v>
      </c>
      <c r="AW5114" t="s">
        <v>72</v>
      </c>
      <c r="AX5114" t="s">
        <v>73</v>
      </c>
    </row>
    <row r="5115" spans="1:50" x14ac:dyDescent="0.3">
      <c r="A5115" t="str">
        <f>"201506B0000"</f>
        <v>201506B0000</v>
      </c>
      <c r="B5115" t="str">
        <f>"201506B00002"</f>
        <v>201506B00002</v>
      </c>
      <c r="C5115" t="str">
        <f t="shared" si="253"/>
        <v>20</v>
      </c>
      <c r="D5115" t="s">
        <v>67</v>
      </c>
      <c r="E5115" t="str">
        <f t="shared" si="252"/>
        <v>023</v>
      </c>
      <c r="F5115" t="s">
        <v>5157</v>
      </c>
      <c r="G5115" t="str">
        <f>"1506"</f>
        <v>1506</v>
      </c>
      <c r="H5115" t="str">
        <f>"0000"</f>
        <v>0000</v>
      </c>
      <c r="I5115" t="s">
        <v>69</v>
      </c>
      <c r="J5115">
        <v>0</v>
      </c>
      <c r="K5115">
        <v>1</v>
      </c>
      <c r="L5115">
        <v>2</v>
      </c>
      <c r="M5115">
        <v>318</v>
      </c>
      <c r="N5115">
        <v>294</v>
      </c>
      <c r="O5115">
        <v>7</v>
      </c>
      <c r="P5115">
        <v>294</v>
      </c>
      <c r="Q5115">
        <v>4</v>
      </c>
      <c r="R5115">
        <v>116</v>
      </c>
      <c r="S5115">
        <v>2</v>
      </c>
      <c r="T5115">
        <v>1</v>
      </c>
      <c r="U5115">
        <v>1</v>
      </c>
      <c r="V5115">
        <v>4</v>
      </c>
      <c r="W5115">
        <v>0</v>
      </c>
      <c r="X5115">
        <v>145</v>
      </c>
      <c r="Y5115">
        <v>1</v>
      </c>
      <c r="Z5115">
        <v>1</v>
      </c>
      <c r="AA5115">
        <v>5</v>
      </c>
      <c r="AB5115">
        <v>1</v>
      </c>
      <c r="AD5115">
        <v>2</v>
      </c>
      <c r="AE5115">
        <v>0</v>
      </c>
      <c r="AF5115">
        <v>2</v>
      </c>
      <c r="AG5115">
        <v>0</v>
      </c>
      <c r="AI5115">
        <v>0</v>
      </c>
      <c r="AJ5115">
        <v>9</v>
      </c>
      <c r="AK5115">
        <v>294</v>
      </c>
      <c r="AL5115">
        <v>294</v>
      </c>
      <c r="AM5115">
        <v>568</v>
      </c>
      <c r="AN5115">
        <v>44</v>
      </c>
      <c r="AP5115">
        <v>1</v>
      </c>
      <c r="AR5115" t="s">
        <v>5219</v>
      </c>
      <c r="AS5115" s="1">
        <v>44354.079861111109</v>
      </c>
      <c r="AT5115" s="1">
        <v>44354.090115740742</v>
      </c>
      <c r="AU5115" s="1">
        <v>44354.091041666667</v>
      </c>
      <c r="AV5115" t="s">
        <v>71</v>
      </c>
      <c r="AW5115" t="s">
        <v>72</v>
      </c>
      <c r="AX5115" t="s">
        <v>73</v>
      </c>
    </row>
    <row r="5116" spans="1:50" x14ac:dyDescent="0.3">
      <c r="A5116" t="str">
        <f>"201506C0100"</f>
        <v>201506C0100</v>
      </c>
      <c r="B5116" t="str">
        <f>"201506C01002"</f>
        <v>201506C01002</v>
      </c>
      <c r="C5116" t="str">
        <f t="shared" si="253"/>
        <v>20</v>
      </c>
      <c r="D5116" t="s">
        <v>67</v>
      </c>
      <c r="E5116" t="str">
        <f t="shared" si="252"/>
        <v>023</v>
      </c>
      <c r="F5116" t="s">
        <v>5157</v>
      </c>
      <c r="G5116" t="str">
        <f>"1506"</f>
        <v>1506</v>
      </c>
      <c r="H5116" t="str">
        <f>"0001"</f>
        <v>0001</v>
      </c>
      <c r="I5116" t="s">
        <v>75</v>
      </c>
      <c r="J5116">
        <v>0</v>
      </c>
      <c r="K5116">
        <v>1</v>
      </c>
      <c r="L5116">
        <v>2</v>
      </c>
      <c r="M5116">
        <v>329</v>
      </c>
      <c r="N5116">
        <v>283</v>
      </c>
      <c r="O5116">
        <v>6</v>
      </c>
      <c r="P5116">
        <v>283</v>
      </c>
      <c r="Q5116">
        <v>5</v>
      </c>
      <c r="R5116">
        <v>119</v>
      </c>
      <c r="S5116">
        <v>3</v>
      </c>
      <c r="T5116">
        <v>0</v>
      </c>
      <c r="U5116">
        <v>0</v>
      </c>
      <c r="V5116">
        <v>6</v>
      </c>
      <c r="W5116">
        <v>2</v>
      </c>
      <c r="X5116">
        <v>137</v>
      </c>
      <c r="Y5116">
        <v>2</v>
      </c>
      <c r="Z5116">
        <v>0</v>
      </c>
      <c r="AA5116">
        <v>2</v>
      </c>
      <c r="AB5116">
        <v>0</v>
      </c>
      <c r="AD5116">
        <v>3</v>
      </c>
      <c r="AE5116">
        <v>1</v>
      </c>
      <c r="AF5116">
        <v>0</v>
      </c>
      <c r="AG5116">
        <v>0</v>
      </c>
      <c r="AI5116">
        <v>0</v>
      </c>
      <c r="AJ5116">
        <v>3</v>
      </c>
      <c r="AK5116">
        <v>283</v>
      </c>
      <c r="AL5116">
        <v>283</v>
      </c>
      <c r="AM5116">
        <v>568</v>
      </c>
      <c r="AN5116">
        <v>44</v>
      </c>
      <c r="AP5116">
        <v>1</v>
      </c>
      <c r="AR5116" t="s">
        <v>5220</v>
      </c>
      <c r="AS5116" s="1">
        <v>44354.081250000003</v>
      </c>
      <c r="AT5116" s="1">
        <v>44354.092129629629</v>
      </c>
      <c r="AU5116" s="1">
        <v>44354.092604166668</v>
      </c>
      <c r="AV5116" t="s">
        <v>71</v>
      </c>
      <c r="AW5116" t="s">
        <v>72</v>
      </c>
      <c r="AX5116" t="s">
        <v>73</v>
      </c>
    </row>
    <row r="5117" spans="1:50" x14ac:dyDescent="0.3">
      <c r="A5117" t="str">
        <f>"201506C0200"</f>
        <v>201506C0200</v>
      </c>
      <c r="B5117" t="str">
        <f>"201506C02002"</f>
        <v>201506C02002</v>
      </c>
      <c r="C5117" t="str">
        <f t="shared" si="253"/>
        <v>20</v>
      </c>
      <c r="D5117" t="s">
        <v>67</v>
      </c>
      <c r="E5117" t="str">
        <f t="shared" si="252"/>
        <v>023</v>
      </c>
      <c r="F5117" t="s">
        <v>5157</v>
      </c>
      <c r="G5117" t="str">
        <f>"1506"</f>
        <v>1506</v>
      </c>
      <c r="H5117" t="str">
        <f>"0002"</f>
        <v>0002</v>
      </c>
      <c r="I5117" t="s">
        <v>75</v>
      </c>
      <c r="J5117">
        <v>0</v>
      </c>
      <c r="K5117">
        <v>1</v>
      </c>
      <c r="L5117">
        <v>2</v>
      </c>
      <c r="M5117">
        <v>326</v>
      </c>
      <c r="N5117">
        <v>286</v>
      </c>
      <c r="O5117">
        <v>6</v>
      </c>
      <c r="P5117">
        <v>286</v>
      </c>
      <c r="Q5117">
        <v>7</v>
      </c>
      <c r="R5117">
        <v>127</v>
      </c>
      <c r="S5117">
        <v>1</v>
      </c>
      <c r="T5117">
        <v>1</v>
      </c>
      <c r="U5117">
        <v>2</v>
      </c>
      <c r="V5117">
        <v>6</v>
      </c>
      <c r="W5117">
        <v>1</v>
      </c>
      <c r="X5117">
        <v>122</v>
      </c>
      <c r="Y5117">
        <v>6</v>
      </c>
      <c r="Z5117">
        <v>0</v>
      </c>
      <c r="AA5117">
        <v>4</v>
      </c>
      <c r="AB5117">
        <v>0</v>
      </c>
      <c r="AD5117">
        <v>2</v>
      </c>
      <c r="AE5117">
        <v>0</v>
      </c>
      <c r="AF5117">
        <v>0</v>
      </c>
      <c r="AG5117">
        <v>0</v>
      </c>
      <c r="AI5117">
        <v>0</v>
      </c>
      <c r="AJ5117">
        <v>7</v>
      </c>
      <c r="AK5117">
        <v>286</v>
      </c>
      <c r="AL5117">
        <v>286</v>
      </c>
      <c r="AM5117">
        <v>568</v>
      </c>
      <c r="AN5117">
        <v>44</v>
      </c>
      <c r="AP5117">
        <v>1</v>
      </c>
      <c r="AR5117" t="s">
        <v>5221</v>
      </c>
      <c r="AS5117" s="1">
        <v>44354.081250000003</v>
      </c>
      <c r="AT5117" s="1">
        <v>44354.091481481482</v>
      </c>
      <c r="AU5117" s="1">
        <v>44354.091956018521</v>
      </c>
      <c r="AV5117" t="s">
        <v>71</v>
      </c>
      <c r="AW5117" t="s">
        <v>72</v>
      </c>
      <c r="AX5117" t="s">
        <v>73</v>
      </c>
    </row>
    <row r="5118" spans="1:50" x14ac:dyDescent="0.3">
      <c r="A5118" t="str">
        <f>"201506C0300"</f>
        <v>201506C0300</v>
      </c>
      <c r="B5118" t="str">
        <f>"201506C03002"</f>
        <v>201506C03002</v>
      </c>
      <c r="C5118" t="str">
        <f t="shared" si="253"/>
        <v>20</v>
      </c>
      <c r="D5118" t="s">
        <v>67</v>
      </c>
      <c r="E5118" t="str">
        <f t="shared" ref="E5118:E5181" si="258">"023"</f>
        <v>023</v>
      </c>
      <c r="F5118" t="s">
        <v>5157</v>
      </c>
      <c r="G5118" t="str">
        <f>"1506"</f>
        <v>1506</v>
      </c>
      <c r="H5118" t="str">
        <f>"0003"</f>
        <v>0003</v>
      </c>
      <c r="I5118" t="s">
        <v>75</v>
      </c>
      <c r="J5118">
        <v>0</v>
      </c>
      <c r="K5118">
        <v>1</v>
      </c>
      <c r="L5118">
        <v>2</v>
      </c>
      <c r="M5118">
        <v>327</v>
      </c>
      <c r="N5118">
        <v>285</v>
      </c>
      <c r="O5118">
        <v>7</v>
      </c>
      <c r="P5118">
        <v>285</v>
      </c>
      <c r="Q5118">
        <v>3</v>
      </c>
      <c r="R5118">
        <v>118</v>
      </c>
      <c r="S5118">
        <v>5</v>
      </c>
      <c r="T5118">
        <v>1</v>
      </c>
      <c r="U5118">
        <v>0</v>
      </c>
      <c r="V5118">
        <v>3</v>
      </c>
      <c r="W5118">
        <v>0</v>
      </c>
      <c r="X5118">
        <v>133</v>
      </c>
      <c r="Y5118">
        <v>4</v>
      </c>
      <c r="Z5118">
        <v>3</v>
      </c>
      <c r="AA5118">
        <v>3</v>
      </c>
      <c r="AB5118">
        <v>0</v>
      </c>
      <c r="AD5118">
        <v>0</v>
      </c>
      <c r="AE5118">
        <v>0</v>
      </c>
      <c r="AF5118">
        <v>0</v>
      </c>
      <c r="AG5118">
        <v>0</v>
      </c>
      <c r="AI5118">
        <v>0</v>
      </c>
      <c r="AJ5118">
        <v>12</v>
      </c>
      <c r="AK5118">
        <v>285</v>
      </c>
      <c r="AL5118">
        <v>285</v>
      </c>
      <c r="AM5118">
        <v>568</v>
      </c>
      <c r="AN5118">
        <v>44</v>
      </c>
      <c r="AP5118">
        <v>1</v>
      </c>
      <c r="AR5118" t="s">
        <v>5222</v>
      </c>
      <c r="AS5118" s="1">
        <v>44354.079861111109</v>
      </c>
      <c r="AT5118" s="1">
        <v>44354.089456018519</v>
      </c>
      <c r="AU5118" s="1">
        <v>44354.089745370373</v>
      </c>
      <c r="AV5118" t="s">
        <v>71</v>
      </c>
      <c r="AW5118" t="s">
        <v>72</v>
      </c>
      <c r="AX5118" t="s">
        <v>73</v>
      </c>
    </row>
    <row r="5119" spans="1:50" x14ac:dyDescent="0.3">
      <c r="A5119" t="str">
        <f>"201506S0100"</f>
        <v>201506S0100</v>
      </c>
      <c r="B5119" t="str">
        <f>"201506S01002EMR"</f>
        <v>201506S01002EMR</v>
      </c>
      <c r="C5119" t="str">
        <f t="shared" si="253"/>
        <v>20</v>
      </c>
      <c r="D5119" t="s">
        <v>67</v>
      </c>
      <c r="E5119" t="str">
        <f t="shared" si="258"/>
        <v>023</v>
      </c>
      <c r="F5119" t="s">
        <v>5157</v>
      </c>
      <c r="G5119" t="str">
        <f>"1506"</f>
        <v>1506</v>
      </c>
      <c r="H5119" t="str">
        <f>"0001"</f>
        <v>0001</v>
      </c>
      <c r="I5119" t="s">
        <v>85</v>
      </c>
      <c r="J5119">
        <v>0</v>
      </c>
      <c r="K5119">
        <v>1</v>
      </c>
      <c r="L5119" t="s">
        <v>86</v>
      </c>
      <c r="AM5119">
        <v>0</v>
      </c>
      <c r="AN5119">
        <v>44</v>
      </c>
      <c r="AO5119" t="s">
        <v>143</v>
      </c>
      <c r="AP5119">
        <v>0</v>
      </c>
      <c r="AR5119" t="s">
        <v>5223</v>
      </c>
      <c r="AS5119" s="1">
        <v>44354.691666666666</v>
      </c>
      <c r="AT5119" s="1">
        <v>44354.69259259259</v>
      </c>
      <c r="AU5119" s="1">
        <v>44354.69259259259</v>
      </c>
      <c r="AV5119" t="s">
        <v>71</v>
      </c>
      <c r="AW5119" t="s">
        <v>72</v>
      </c>
      <c r="AX5119" t="s">
        <v>73</v>
      </c>
    </row>
    <row r="5120" spans="1:50" x14ac:dyDescent="0.3">
      <c r="A5120" t="str">
        <f>"201507B0000"</f>
        <v>201507B0000</v>
      </c>
      <c r="B5120" t="str">
        <f>"201507B00002"</f>
        <v>201507B00002</v>
      </c>
      <c r="C5120" t="str">
        <f t="shared" si="253"/>
        <v>20</v>
      </c>
      <c r="D5120" t="s">
        <v>67</v>
      </c>
      <c r="E5120" t="str">
        <f t="shared" si="258"/>
        <v>023</v>
      </c>
      <c r="F5120" t="s">
        <v>5157</v>
      </c>
      <c r="G5120" t="str">
        <f>"1507"</f>
        <v>1507</v>
      </c>
      <c r="H5120" t="str">
        <f>"0000"</f>
        <v>0000</v>
      </c>
      <c r="I5120" t="s">
        <v>69</v>
      </c>
      <c r="J5120">
        <v>0</v>
      </c>
      <c r="K5120">
        <v>1</v>
      </c>
      <c r="L5120">
        <v>2</v>
      </c>
      <c r="M5120">
        <v>264</v>
      </c>
      <c r="N5120">
        <v>295</v>
      </c>
      <c r="O5120">
        <v>3</v>
      </c>
      <c r="P5120">
        <v>295</v>
      </c>
      <c r="Q5120">
        <v>8</v>
      </c>
      <c r="R5120">
        <v>134</v>
      </c>
      <c r="S5120">
        <v>2</v>
      </c>
      <c r="T5120">
        <v>5</v>
      </c>
      <c r="U5120">
        <v>1</v>
      </c>
      <c r="V5120">
        <v>5</v>
      </c>
      <c r="W5120">
        <v>0</v>
      </c>
      <c r="X5120">
        <v>117</v>
      </c>
      <c r="Y5120">
        <v>3</v>
      </c>
      <c r="Z5120">
        <v>1</v>
      </c>
      <c r="AA5120">
        <v>9</v>
      </c>
      <c r="AB5120">
        <v>1</v>
      </c>
      <c r="AD5120">
        <v>2</v>
      </c>
      <c r="AE5120">
        <v>3</v>
      </c>
      <c r="AF5120">
        <v>0</v>
      </c>
      <c r="AG5120">
        <v>0</v>
      </c>
      <c r="AI5120">
        <v>1</v>
      </c>
      <c r="AJ5120">
        <v>3</v>
      </c>
      <c r="AK5120">
        <v>295</v>
      </c>
      <c r="AL5120">
        <v>295</v>
      </c>
      <c r="AM5120">
        <v>515</v>
      </c>
      <c r="AN5120">
        <v>44</v>
      </c>
      <c r="AP5120">
        <v>1</v>
      </c>
      <c r="AR5120" t="s">
        <v>5224</v>
      </c>
      <c r="AS5120" s="1">
        <v>44354.364583333336</v>
      </c>
      <c r="AT5120" s="1">
        <v>44354.366967592592</v>
      </c>
      <c r="AU5120" s="1">
        <v>44354.3674537037</v>
      </c>
      <c r="AV5120" t="s">
        <v>71</v>
      </c>
      <c r="AW5120" t="s">
        <v>72</v>
      </c>
      <c r="AX5120" t="s">
        <v>73</v>
      </c>
    </row>
    <row r="5121" spans="1:50" x14ac:dyDescent="0.3">
      <c r="A5121" t="str">
        <f>"201507C0100"</f>
        <v>201507C0100</v>
      </c>
      <c r="B5121" t="str">
        <f>"201507C01002"</f>
        <v>201507C01002</v>
      </c>
      <c r="C5121" t="str">
        <f t="shared" si="253"/>
        <v>20</v>
      </c>
      <c r="D5121" t="s">
        <v>67</v>
      </c>
      <c r="E5121" t="str">
        <f t="shared" si="258"/>
        <v>023</v>
      </c>
      <c r="F5121" t="s">
        <v>5157</v>
      </c>
      <c r="G5121" t="str">
        <f>"1507"</f>
        <v>1507</v>
      </c>
      <c r="H5121" t="str">
        <f>"0001"</f>
        <v>0001</v>
      </c>
      <c r="I5121" t="s">
        <v>75</v>
      </c>
      <c r="J5121">
        <v>0</v>
      </c>
      <c r="K5121">
        <v>1</v>
      </c>
      <c r="L5121">
        <v>2</v>
      </c>
      <c r="M5121">
        <v>302</v>
      </c>
      <c r="N5121">
        <v>257</v>
      </c>
      <c r="O5121">
        <v>5</v>
      </c>
      <c r="P5121">
        <v>257</v>
      </c>
      <c r="Q5121">
        <v>8</v>
      </c>
      <c r="R5121">
        <v>100</v>
      </c>
      <c r="S5121">
        <v>1</v>
      </c>
      <c r="T5121">
        <v>2</v>
      </c>
      <c r="U5121">
        <v>1</v>
      </c>
      <c r="V5121">
        <v>2</v>
      </c>
      <c r="W5121">
        <v>4</v>
      </c>
      <c r="X5121">
        <v>125</v>
      </c>
      <c r="Y5121">
        <v>3</v>
      </c>
      <c r="Z5121">
        <v>2</v>
      </c>
      <c r="AA5121">
        <v>3</v>
      </c>
      <c r="AB5121">
        <v>0</v>
      </c>
      <c r="AD5121">
        <v>2</v>
      </c>
      <c r="AE5121">
        <v>0</v>
      </c>
      <c r="AF5121">
        <v>0</v>
      </c>
      <c r="AG5121">
        <v>0</v>
      </c>
      <c r="AI5121">
        <v>0</v>
      </c>
      <c r="AJ5121">
        <v>4</v>
      </c>
      <c r="AK5121">
        <v>257</v>
      </c>
      <c r="AL5121">
        <v>257</v>
      </c>
      <c r="AM5121">
        <v>515</v>
      </c>
      <c r="AN5121">
        <v>44</v>
      </c>
      <c r="AP5121">
        <v>1</v>
      </c>
      <c r="AR5121" t="s">
        <v>5225</v>
      </c>
      <c r="AS5121" s="1">
        <v>44354.008333333331</v>
      </c>
      <c r="AT5121" s="1">
        <v>44354.018761574072</v>
      </c>
      <c r="AU5121" s="1">
        <v>44354.019270833334</v>
      </c>
      <c r="AV5121" t="s">
        <v>71</v>
      </c>
      <c r="AW5121" t="s">
        <v>72</v>
      </c>
      <c r="AX5121" t="s">
        <v>73</v>
      </c>
    </row>
    <row r="5122" spans="1:50" x14ac:dyDescent="0.3">
      <c r="A5122" t="str">
        <f>"201507C0200"</f>
        <v>201507C0200</v>
      </c>
      <c r="B5122" t="str">
        <f>"201507C02002"</f>
        <v>201507C02002</v>
      </c>
      <c r="C5122" t="str">
        <f t="shared" si="253"/>
        <v>20</v>
      </c>
      <c r="D5122" t="s">
        <v>67</v>
      </c>
      <c r="E5122" t="str">
        <f t="shared" si="258"/>
        <v>023</v>
      </c>
      <c r="F5122" t="s">
        <v>5157</v>
      </c>
      <c r="G5122" t="str">
        <f>"1507"</f>
        <v>1507</v>
      </c>
      <c r="H5122" t="str">
        <f>"0002"</f>
        <v>0002</v>
      </c>
      <c r="I5122" t="s">
        <v>75</v>
      </c>
      <c r="J5122">
        <v>0</v>
      </c>
      <c r="K5122">
        <v>1</v>
      </c>
      <c r="L5122">
        <v>2</v>
      </c>
      <c r="M5122">
        <v>287</v>
      </c>
      <c r="N5122">
        <v>272</v>
      </c>
      <c r="O5122">
        <v>3</v>
      </c>
      <c r="P5122">
        <v>272</v>
      </c>
      <c r="Q5122">
        <v>4</v>
      </c>
      <c r="R5122">
        <v>111</v>
      </c>
      <c r="S5122">
        <v>1</v>
      </c>
      <c r="T5122">
        <v>1</v>
      </c>
      <c r="U5122">
        <v>0</v>
      </c>
      <c r="V5122">
        <v>2</v>
      </c>
      <c r="W5122">
        <v>0</v>
      </c>
      <c r="X5122">
        <v>139</v>
      </c>
      <c r="Y5122">
        <v>2</v>
      </c>
      <c r="Z5122">
        <v>1</v>
      </c>
      <c r="AA5122">
        <v>3</v>
      </c>
      <c r="AB5122">
        <v>1</v>
      </c>
      <c r="AD5122">
        <v>0</v>
      </c>
      <c r="AE5122">
        <v>0</v>
      </c>
      <c r="AF5122">
        <v>0</v>
      </c>
      <c r="AG5122">
        <v>1</v>
      </c>
      <c r="AI5122">
        <v>0</v>
      </c>
      <c r="AJ5122">
        <v>6</v>
      </c>
      <c r="AK5122">
        <v>272</v>
      </c>
      <c r="AL5122">
        <v>272</v>
      </c>
      <c r="AM5122">
        <v>515</v>
      </c>
      <c r="AN5122">
        <v>44</v>
      </c>
      <c r="AP5122">
        <v>1</v>
      </c>
      <c r="AR5122" t="s">
        <v>5226</v>
      </c>
      <c r="AS5122" s="1">
        <v>44354.009027777778</v>
      </c>
      <c r="AT5122" s="1">
        <v>44354.019444444442</v>
      </c>
      <c r="AU5122" s="1">
        <v>44354.019826388889</v>
      </c>
      <c r="AV5122" t="s">
        <v>71</v>
      </c>
      <c r="AW5122" t="s">
        <v>72</v>
      </c>
      <c r="AX5122" t="s">
        <v>73</v>
      </c>
    </row>
    <row r="5123" spans="1:50" x14ac:dyDescent="0.3">
      <c r="A5123" t="str">
        <f>"201508B0000"</f>
        <v>201508B0000</v>
      </c>
      <c r="B5123" t="str">
        <f>"201508B00002"</f>
        <v>201508B00002</v>
      </c>
      <c r="C5123" t="str">
        <f t="shared" si="253"/>
        <v>20</v>
      </c>
      <c r="D5123" t="s">
        <v>67</v>
      </c>
      <c r="E5123" t="str">
        <f t="shared" si="258"/>
        <v>023</v>
      </c>
      <c r="F5123" t="s">
        <v>5157</v>
      </c>
      <c r="G5123" t="str">
        <f>"1508"</f>
        <v>1508</v>
      </c>
      <c r="H5123" t="str">
        <f>"0000"</f>
        <v>0000</v>
      </c>
      <c r="I5123" t="s">
        <v>69</v>
      </c>
      <c r="J5123">
        <v>0</v>
      </c>
      <c r="K5123">
        <v>1</v>
      </c>
      <c r="L5123">
        <v>2</v>
      </c>
      <c r="M5123">
        <v>135</v>
      </c>
      <c r="N5123">
        <v>342</v>
      </c>
      <c r="O5123">
        <v>4</v>
      </c>
      <c r="P5123">
        <v>338</v>
      </c>
      <c r="Q5123">
        <v>6</v>
      </c>
      <c r="R5123">
        <v>144</v>
      </c>
      <c r="S5123">
        <v>2</v>
      </c>
      <c r="T5123">
        <v>0</v>
      </c>
      <c r="U5123">
        <v>0</v>
      </c>
      <c r="V5123">
        <v>2</v>
      </c>
      <c r="W5123">
        <v>3</v>
      </c>
      <c r="X5123">
        <v>162</v>
      </c>
      <c r="Y5123">
        <v>0</v>
      </c>
      <c r="Z5123">
        <v>0</v>
      </c>
      <c r="AA5123">
        <v>2</v>
      </c>
      <c r="AB5123">
        <v>0</v>
      </c>
      <c r="AD5123">
        <v>1</v>
      </c>
      <c r="AE5123">
        <v>1</v>
      </c>
      <c r="AF5123">
        <v>0</v>
      </c>
      <c r="AG5123">
        <v>1</v>
      </c>
      <c r="AI5123">
        <v>0</v>
      </c>
      <c r="AJ5123">
        <v>8</v>
      </c>
      <c r="AK5123">
        <v>332</v>
      </c>
      <c r="AL5123">
        <v>332</v>
      </c>
      <c r="AM5123">
        <v>421</v>
      </c>
      <c r="AN5123">
        <v>44</v>
      </c>
      <c r="AP5123">
        <v>1</v>
      </c>
      <c r="AR5123" t="s">
        <v>5227</v>
      </c>
      <c r="AS5123" s="1">
        <v>44354.074305555558</v>
      </c>
      <c r="AT5123" s="1">
        <v>44354.08189814815</v>
      </c>
      <c r="AU5123" s="1">
        <v>44354.08258101852</v>
      </c>
      <c r="AV5123" t="s">
        <v>71</v>
      </c>
      <c r="AW5123" t="s">
        <v>72</v>
      </c>
      <c r="AX5123" t="s">
        <v>73</v>
      </c>
    </row>
    <row r="5124" spans="1:50" x14ac:dyDescent="0.3">
      <c r="A5124" t="str">
        <f>"201508C0100"</f>
        <v>201508C0100</v>
      </c>
      <c r="B5124" t="str">
        <f>"201508C01002"</f>
        <v>201508C01002</v>
      </c>
      <c r="C5124" t="str">
        <f t="shared" si="253"/>
        <v>20</v>
      </c>
      <c r="D5124" t="s">
        <v>67</v>
      </c>
      <c r="E5124" t="str">
        <f t="shared" si="258"/>
        <v>023</v>
      </c>
      <c r="F5124" t="s">
        <v>5157</v>
      </c>
      <c r="G5124" t="str">
        <f>"1508"</f>
        <v>1508</v>
      </c>
      <c r="H5124" t="str">
        <f>"0001"</f>
        <v>0001</v>
      </c>
      <c r="I5124" t="s">
        <v>75</v>
      </c>
      <c r="J5124">
        <v>0</v>
      </c>
      <c r="K5124">
        <v>1</v>
      </c>
      <c r="L5124">
        <v>2</v>
      </c>
      <c r="M5124">
        <v>139</v>
      </c>
      <c r="N5124">
        <v>464</v>
      </c>
      <c r="O5124">
        <v>5</v>
      </c>
      <c r="P5124">
        <v>323</v>
      </c>
      <c r="Q5124">
        <v>4</v>
      </c>
      <c r="R5124">
        <v>145</v>
      </c>
      <c r="S5124">
        <v>1</v>
      </c>
      <c r="T5124">
        <v>7</v>
      </c>
      <c r="U5124">
        <v>0</v>
      </c>
      <c r="V5124">
        <v>3</v>
      </c>
      <c r="W5124">
        <v>2</v>
      </c>
      <c r="X5124">
        <v>146</v>
      </c>
      <c r="Y5124">
        <v>0</v>
      </c>
      <c r="Z5124">
        <v>1</v>
      </c>
      <c r="AA5124">
        <v>7</v>
      </c>
      <c r="AB5124">
        <v>1</v>
      </c>
      <c r="AD5124">
        <v>1</v>
      </c>
      <c r="AE5124">
        <v>1</v>
      </c>
      <c r="AF5124">
        <v>0</v>
      </c>
      <c r="AG5124">
        <v>2</v>
      </c>
      <c r="AI5124" t="s">
        <v>77</v>
      </c>
      <c r="AJ5124">
        <v>2</v>
      </c>
      <c r="AK5124" t="s">
        <v>77</v>
      </c>
      <c r="AL5124">
        <v>323</v>
      </c>
      <c r="AM5124">
        <v>420</v>
      </c>
      <c r="AN5124">
        <v>44</v>
      </c>
      <c r="AO5124" t="s">
        <v>78</v>
      </c>
      <c r="AP5124">
        <v>1</v>
      </c>
      <c r="AR5124" t="s">
        <v>5228</v>
      </c>
      <c r="AS5124" s="1">
        <v>44354.071527777778</v>
      </c>
      <c r="AT5124" s="1">
        <v>44354.079814814817</v>
      </c>
      <c r="AU5124" s="1">
        <v>44354.080335648148</v>
      </c>
      <c r="AV5124" t="s">
        <v>71</v>
      </c>
      <c r="AW5124" t="s">
        <v>72</v>
      </c>
      <c r="AX5124" t="s">
        <v>73</v>
      </c>
    </row>
    <row r="5125" spans="1:50" x14ac:dyDescent="0.3">
      <c r="A5125" t="str">
        <f>"201509B0000"</f>
        <v>201509B0000</v>
      </c>
      <c r="B5125" t="str">
        <f>"201509B00002"</f>
        <v>201509B00002</v>
      </c>
      <c r="C5125" t="str">
        <f t="shared" si="253"/>
        <v>20</v>
      </c>
      <c r="D5125" t="s">
        <v>67</v>
      </c>
      <c r="E5125" t="str">
        <f t="shared" si="258"/>
        <v>023</v>
      </c>
      <c r="F5125" t="s">
        <v>5157</v>
      </c>
      <c r="G5125" t="str">
        <f>"1509"</f>
        <v>1509</v>
      </c>
      <c r="H5125" t="str">
        <f>"0000"</f>
        <v>0000</v>
      </c>
      <c r="I5125" t="s">
        <v>69</v>
      </c>
      <c r="J5125">
        <v>0</v>
      </c>
      <c r="K5125">
        <v>1</v>
      </c>
      <c r="L5125">
        <v>2</v>
      </c>
      <c r="M5125">
        <v>364</v>
      </c>
      <c r="N5125">
        <v>294</v>
      </c>
      <c r="O5125">
        <v>6</v>
      </c>
      <c r="P5125">
        <v>294</v>
      </c>
      <c r="Q5125">
        <v>4</v>
      </c>
      <c r="R5125">
        <v>127</v>
      </c>
      <c r="S5125">
        <v>0</v>
      </c>
      <c r="T5125">
        <v>4</v>
      </c>
      <c r="U5125">
        <v>2</v>
      </c>
      <c r="V5125">
        <v>4</v>
      </c>
      <c r="W5125">
        <v>1</v>
      </c>
      <c r="X5125">
        <v>134</v>
      </c>
      <c r="Y5125">
        <v>0</v>
      </c>
      <c r="Z5125">
        <v>2</v>
      </c>
      <c r="AA5125">
        <v>8</v>
      </c>
      <c r="AB5125">
        <v>0</v>
      </c>
      <c r="AD5125">
        <v>0</v>
      </c>
      <c r="AE5125">
        <v>0</v>
      </c>
      <c r="AF5125">
        <v>0</v>
      </c>
      <c r="AG5125">
        <v>0</v>
      </c>
      <c r="AI5125">
        <v>0</v>
      </c>
      <c r="AJ5125">
        <v>6</v>
      </c>
      <c r="AK5125" t="s">
        <v>99</v>
      </c>
      <c r="AL5125">
        <v>292</v>
      </c>
      <c r="AM5125">
        <v>612</v>
      </c>
      <c r="AN5125">
        <v>44</v>
      </c>
      <c r="AP5125">
        <v>1</v>
      </c>
      <c r="AR5125" t="s">
        <v>5229</v>
      </c>
      <c r="AS5125" s="1">
        <v>44354.46597222222</v>
      </c>
      <c r="AT5125" s="1">
        <v>44354.472418981481</v>
      </c>
      <c r="AU5125" s="1">
        <v>44354.473622685182</v>
      </c>
      <c r="AV5125" t="s">
        <v>71</v>
      </c>
      <c r="AW5125" t="s">
        <v>72</v>
      </c>
      <c r="AX5125" t="s">
        <v>73</v>
      </c>
    </row>
    <row r="5126" spans="1:50" x14ac:dyDescent="0.3">
      <c r="A5126" t="str">
        <f>"201509C0100"</f>
        <v>201509C0100</v>
      </c>
      <c r="B5126" t="str">
        <f>"201509C01002"</f>
        <v>201509C01002</v>
      </c>
      <c r="C5126" t="str">
        <f t="shared" si="253"/>
        <v>20</v>
      </c>
      <c r="D5126" t="s">
        <v>67</v>
      </c>
      <c r="E5126" t="str">
        <f t="shared" si="258"/>
        <v>023</v>
      </c>
      <c r="F5126" t="s">
        <v>5157</v>
      </c>
      <c r="G5126" t="str">
        <f>"1509"</f>
        <v>1509</v>
      </c>
      <c r="H5126" t="str">
        <f>"0001"</f>
        <v>0001</v>
      </c>
      <c r="I5126" t="s">
        <v>75</v>
      </c>
      <c r="J5126">
        <v>0</v>
      </c>
      <c r="K5126">
        <v>1</v>
      </c>
      <c r="L5126">
        <v>2</v>
      </c>
      <c r="M5126">
        <v>347</v>
      </c>
      <c r="N5126">
        <v>308</v>
      </c>
      <c r="O5126">
        <v>8</v>
      </c>
      <c r="P5126">
        <v>308</v>
      </c>
      <c r="Q5126">
        <v>6</v>
      </c>
      <c r="R5126">
        <v>111</v>
      </c>
      <c r="S5126">
        <v>0</v>
      </c>
      <c r="T5126">
        <v>4</v>
      </c>
      <c r="U5126">
        <v>3</v>
      </c>
      <c r="V5126">
        <v>4</v>
      </c>
      <c r="W5126">
        <v>3</v>
      </c>
      <c r="X5126">
        <v>150</v>
      </c>
      <c r="Y5126">
        <v>2</v>
      </c>
      <c r="Z5126">
        <v>3</v>
      </c>
      <c r="AA5126">
        <v>7</v>
      </c>
      <c r="AB5126">
        <v>1</v>
      </c>
      <c r="AD5126">
        <v>1</v>
      </c>
      <c r="AE5126">
        <v>0</v>
      </c>
      <c r="AF5126">
        <v>0</v>
      </c>
      <c r="AG5126">
        <v>0</v>
      </c>
      <c r="AI5126">
        <v>0</v>
      </c>
      <c r="AJ5126">
        <v>13</v>
      </c>
      <c r="AK5126">
        <v>308</v>
      </c>
      <c r="AL5126">
        <v>308</v>
      </c>
      <c r="AM5126">
        <v>611</v>
      </c>
      <c r="AN5126">
        <v>44</v>
      </c>
      <c r="AP5126">
        <v>1</v>
      </c>
      <c r="AR5126" t="s">
        <v>5230</v>
      </c>
      <c r="AS5126" s="1">
        <v>44354.463194444441</v>
      </c>
      <c r="AT5126" s="1">
        <v>44354.465856481482</v>
      </c>
      <c r="AU5126" s="1">
        <v>44354.466307870367</v>
      </c>
      <c r="AV5126" t="s">
        <v>71</v>
      </c>
      <c r="AW5126" t="s">
        <v>72</v>
      </c>
      <c r="AX5126" t="s">
        <v>73</v>
      </c>
    </row>
    <row r="5127" spans="1:50" x14ac:dyDescent="0.3">
      <c r="A5127" t="str">
        <f>"201509C0200"</f>
        <v>201509C0200</v>
      </c>
      <c r="B5127" t="str">
        <f>"201509C02002"</f>
        <v>201509C02002</v>
      </c>
      <c r="C5127" t="str">
        <f t="shared" ref="C5127:C5190" si="259">"20"</f>
        <v>20</v>
      </c>
      <c r="D5127" t="s">
        <v>67</v>
      </c>
      <c r="E5127" t="str">
        <f t="shared" si="258"/>
        <v>023</v>
      </c>
      <c r="F5127" t="s">
        <v>5157</v>
      </c>
      <c r="G5127" t="str">
        <f>"1509"</f>
        <v>1509</v>
      </c>
      <c r="H5127" t="str">
        <f>"0002"</f>
        <v>0002</v>
      </c>
      <c r="I5127" t="s">
        <v>75</v>
      </c>
      <c r="J5127">
        <v>0</v>
      </c>
      <c r="K5127">
        <v>1</v>
      </c>
      <c r="L5127">
        <v>2</v>
      </c>
      <c r="AM5127">
        <v>611</v>
      </c>
      <c r="AN5127">
        <v>44</v>
      </c>
      <c r="AO5127" t="s">
        <v>143</v>
      </c>
      <c r="AP5127">
        <v>0</v>
      </c>
      <c r="AR5127" t="s">
        <v>5231</v>
      </c>
      <c r="AS5127" s="1">
        <v>44354.697916666664</v>
      </c>
      <c r="AT5127" s="1">
        <v>44354.699062500003</v>
      </c>
      <c r="AU5127" s="1">
        <v>44354.699062500003</v>
      </c>
      <c r="AV5127" t="s">
        <v>71</v>
      </c>
      <c r="AW5127" t="s">
        <v>72</v>
      </c>
      <c r="AX5127" t="s">
        <v>73</v>
      </c>
    </row>
    <row r="5128" spans="1:50" x14ac:dyDescent="0.3">
      <c r="A5128" t="str">
        <f>"201509C0300"</f>
        <v>201509C0300</v>
      </c>
      <c r="B5128" t="str">
        <f>"201509C03002"</f>
        <v>201509C03002</v>
      </c>
      <c r="C5128" t="str">
        <f t="shared" si="259"/>
        <v>20</v>
      </c>
      <c r="D5128" t="s">
        <v>67</v>
      </c>
      <c r="E5128" t="str">
        <f t="shared" si="258"/>
        <v>023</v>
      </c>
      <c r="F5128" t="s">
        <v>5157</v>
      </c>
      <c r="G5128" t="str">
        <f>"1509"</f>
        <v>1509</v>
      </c>
      <c r="H5128" t="str">
        <f>"0003"</f>
        <v>0003</v>
      </c>
      <c r="I5128" t="s">
        <v>75</v>
      </c>
      <c r="J5128">
        <v>0</v>
      </c>
      <c r="K5128">
        <v>1</v>
      </c>
      <c r="L5128">
        <v>2</v>
      </c>
      <c r="AM5128">
        <v>611</v>
      </c>
      <c r="AN5128">
        <v>44</v>
      </c>
      <c r="AO5128" t="s">
        <v>143</v>
      </c>
      <c r="AP5128">
        <v>0</v>
      </c>
      <c r="AR5128" t="s">
        <v>5232</v>
      </c>
      <c r="AS5128" s="1">
        <v>44354.697916666664</v>
      </c>
      <c r="AT5128" s="1">
        <v>44354.698900462965</v>
      </c>
      <c r="AU5128" s="1">
        <v>44354.698900462965</v>
      </c>
      <c r="AV5128" t="s">
        <v>71</v>
      </c>
      <c r="AW5128" t="s">
        <v>72</v>
      </c>
      <c r="AX5128" t="s">
        <v>73</v>
      </c>
    </row>
    <row r="5129" spans="1:50" x14ac:dyDescent="0.3">
      <c r="A5129" t="str">
        <f>"201510B0000"</f>
        <v>201510B0000</v>
      </c>
      <c r="B5129" t="str">
        <f>"201510B00002"</f>
        <v>201510B00002</v>
      </c>
      <c r="C5129" t="str">
        <f t="shared" si="259"/>
        <v>20</v>
      </c>
      <c r="D5129" t="s">
        <v>67</v>
      </c>
      <c r="E5129" t="str">
        <f t="shared" si="258"/>
        <v>023</v>
      </c>
      <c r="F5129" t="s">
        <v>5157</v>
      </c>
      <c r="G5129" t="str">
        <f>"1510"</f>
        <v>1510</v>
      </c>
      <c r="H5129" t="str">
        <f>"0000"</f>
        <v>0000</v>
      </c>
      <c r="I5129" t="s">
        <v>69</v>
      </c>
      <c r="J5129">
        <v>0</v>
      </c>
      <c r="K5129">
        <v>1</v>
      </c>
      <c r="L5129">
        <v>2</v>
      </c>
      <c r="M5129">
        <v>393</v>
      </c>
      <c r="N5129">
        <v>399</v>
      </c>
      <c r="O5129">
        <v>5</v>
      </c>
      <c r="P5129">
        <v>399</v>
      </c>
      <c r="Q5129">
        <v>7</v>
      </c>
      <c r="R5129">
        <v>135</v>
      </c>
      <c r="S5129">
        <v>2</v>
      </c>
      <c r="T5129">
        <v>3</v>
      </c>
      <c r="U5129">
        <v>4</v>
      </c>
      <c r="V5129">
        <v>4</v>
      </c>
      <c r="W5129">
        <v>0</v>
      </c>
      <c r="X5129">
        <v>222</v>
      </c>
      <c r="Y5129">
        <v>7</v>
      </c>
      <c r="Z5129">
        <v>1</v>
      </c>
      <c r="AA5129">
        <v>5</v>
      </c>
      <c r="AB5129">
        <v>1</v>
      </c>
      <c r="AD5129">
        <v>2</v>
      </c>
      <c r="AE5129">
        <v>0</v>
      </c>
      <c r="AF5129">
        <v>0</v>
      </c>
      <c r="AG5129">
        <v>0</v>
      </c>
      <c r="AI5129">
        <v>0</v>
      </c>
      <c r="AJ5129">
        <v>6</v>
      </c>
      <c r="AK5129">
        <v>399</v>
      </c>
      <c r="AL5129">
        <v>399</v>
      </c>
      <c r="AM5129">
        <v>748</v>
      </c>
      <c r="AN5129">
        <v>44</v>
      </c>
      <c r="AP5129">
        <v>1</v>
      </c>
      <c r="AR5129" s="2" t="s">
        <v>5233</v>
      </c>
      <c r="AS5129" s="1">
        <v>44354.046527777777</v>
      </c>
      <c r="AT5129" s="1">
        <v>44354.055775462963</v>
      </c>
      <c r="AU5129" s="1">
        <v>44354.056377314817</v>
      </c>
      <c r="AV5129" t="s">
        <v>71</v>
      </c>
      <c r="AW5129" t="s">
        <v>72</v>
      </c>
      <c r="AX5129" t="s">
        <v>73</v>
      </c>
    </row>
    <row r="5130" spans="1:50" x14ac:dyDescent="0.3">
      <c r="A5130" t="str">
        <f>"201510C0100"</f>
        <v>201510C0100</v>
      </c>
      <c r="B5130" t="str">
        <f>"201510C01002"</f>
        <v>201510C01002</v>
      </c>
      <c r="C5130" t="str">
        <f t="shared" si="259"/>
        <v>20</v>
      </c>
      <c r="D5130" t="s">
        <v>67</v>
      </c>
      <c r="E5130" t="str">
        <f t="shared" si="258"/>
        <v>023</v>
      </c>
      <c r="F5130" t="s">
        <v>5157</v>
      </c>
      <c r="G5130" t="str">
        <f>"1510"</f>
        <v>1510</v>
      </c>
      <c r="H5130" t="str">
        <f>"0001"</f>
        <v>0001</v>
      </c>
      <c r="I5130" t="s">
        <v>75</v>
      </c>
      <c r="J5130">
        <v>0</v>
      </c>
      <c r="K5130">
        <v>1</v>
      </c>
      <c r="L5130">
        <v>2</v>
      </c>
      <c r="M5130">
        <v>380</v>
      </c>
      <c r="N5130">
        <v>412</v>
      </c>
      <c r="O5130">
        <v>7</v>
      </c>
      <c r="P5130">
        <v>412</v>
      </c>
      <c r="Q5130">
        <v>8</v>
      </c>
      <c r="R5130">
        <v>145</v>
      </c>
      <c r="S5130">
        <v>2</v>
      </c>
      <c r="T5130">
        <v>4</v>
      </c>
      <c r="U5130">
        <v>1</v>
      </c>
      <c r="V5130">
        <v>4</v>
      </c>
      <c r="W5130">
        <v>2</v>
      </c>
      <c r="X5130">
        <v>230</v>
      </c>
      <c r="Y5130">
        <v>2</v>
      </c>
      <c r="Z5130">
        <v>1</v>
      </c>
      <c r="AA5130">
        <v>1</v>
      </c>
      <c r="AB5130">
        <v>3</v>
      </c>
      <c r="AD5130">
        <v>2</v>
      </c>
      <c r="AE5130">
        <v>2</v>
      </c>
      <c r="AF5130">
        <v>0</v>
      </c>
      <c r="AG5130">
        <v>1</v>
      </c>
      <c r="AI5130">
        <v>0</v>
      </c>
      <c r="AJ5130">
        <v>4</v>
      </c>
      <c r="AK5130">
        <v>412</v>
      </c>
      <c r="AL5130">
        <v>412</v>
      </c>
      <c r="AM5130">
        <v>748</v>
      </c>
      <c r="AN5130">
        <v>44</v>
      </c>
      <c r="AP5130">
        <v>1</v>
      </c>
      <c r="AR5130" t="s">
        <v>5234</v>
      </c>
      <c r="AS5130" s="1">
        <v>44354.047222222223</v>
      </c>
      <c r="AT5130" s="1">
        <v>44354.054340277777</v>
      </c>
      <c r="AU5130" s="1">
        <v>44354.054826388892</v>
      </c>
      <c r="AV5130" t="s">
        <v>71</v>
      </c>
      <c r="AW5130" t="s">
        <v>72</v>
      </c>
      <c r="AX5130" t="s">
        <v>73</v>
      </c>
    </row>
    <row r="5131" spans="1:50" x14ac:dyDescent="0.3">
      <c r="A5131" t="str">
        <f>"201510C0200"</f>
        <v>201510C0200</v>
      </c>
      <c r="B5131" t="str">
        <f>"201510C02002"</f>
        <v>201510C02002</v>
      </c>
      <c r="C5131" t="str">
        <f t="shared" si="259"/>
        <v>20</v>
      </c>
      <c r="D5131" t="s">
        <v>67</v>
      </c>
      <c r="E5131" t="str">
        <f t="shared" si="258"/>
        <v>023</v>
      </c>
      <c r="F5131" t="s">
        <v>5157</v>
      </c>
      <c r="G5131" t="str">
        <f>"1510"</f>
        <v>1510</v>
      </c>
      <c r="H5131" t="str">
        <f>"0002"</f>
        <v>0002</v>
      </c>
      <c r="I5131" t="s">
        <v>75</v>
      </c>
      <c r="J5131">
        <v>0</v>
      </c>
      <c r="K5131">
        <v>1</v>
      </c>
      <c r="L5131">
        <v>2</v>
      </c>
      <c r="M5131" t="s">
        <v>80</v>
      </c>
      <c r="N5131" t="s">
        <v>80</v>
      </c>
      <c r="O5131" t="s">
        <v>80</v>
      </c>
      <c r="P5131" t="s">
        <v>80</v>
      </c>
      <c r="Q5131">
        <v>9</v>
      </c>
      <c r="R5131">
        <v>81</v>
      </c>
      <c r="S5131">
        <v>2</v>
      </c>
      <c r="T5131" t="s">
        <v>99</v>
      </c>
      <c r="U5131">
        <v>1</v>
      </c>
      <c r="V5131" t="s">
        <v>99</v>
      </c>
      <c r="W5131" t="s">
        <v>99</v>
      </c>
      <c r="X5131" t="s">
        <v>77</v>
      </c>
      <c r="Y5131" t="s">
        <v>77</v>
      </c>
      <c r="Z5131" t="s">
        <v>99</v>
      </c>
      <c r="AA5131" t="s">
        <v>99</v>
      </c>
      <c r="AB5131">
        <v>1</v>
      </c>
      <c r="AD5131">
        <v>1</v>
      </c>
      <c r="AE5131" t="s">
        <v>77</v>
      </c>
      <c r="AF5131" t="s">
        <v>77</v>
      </c>
      <c r="AG5131" t="s">
        <v>77</v>
      </c>
      <c r="AI5131" t="s">
        <v>77</v>
      </c>
      <c r="AJ5131" t="s">
        <v>77</v>
      </c>
      <c r="AK5131" t="s">
        <v>77</v>
      </c>
      <c r="AL5131">
        <v>95</v>
      </c>
      <c r="AM5131">
        <v>747</v>
      </c>
      <c r="AN5131">
        <v>44</v>
      </c>
      <c r="AO5131" t="s">
        <v>78</v>
      </c>
      <c r="AP5131">
        <v>1</v>
      </c>
      <c r="AR5131" t="s">
        <v>5235</v>
      </c>
      <c r="AS5131" s="1">
        <v>44354.499305555553</v>
      </c>
      <c r="AT5131" s="1">
        <v>44354.538564814815</v>
      </c>
      <c r="AU5131" s="1">
        <v>44354.54310185185</v>
      </c>
      <c r="AV5131" t="s">
        <v>71</v>
      </c>
      <c r="AW5131" t="s">
        <v>72</v>
      </c>
      <c r="AX5131" t="s">
        <v>73</v>
      </c>
    </row>
    <row r="5132" spans="1:50" x14ac:dyDescent="0.3">
      <c r="A5132" t="str">
        <f>"201510C0300"</f>
        <v>201510C0300</v>
      </c>
      <c r="B5132" t="str">
        <f>"201510C03002"</f>
        <v>201510C03002</v>
      </c>
      <c r="C5132" t="str">
        <f t="shared" si="259"/>
        <v>20</v>
      </c>
      <c r="D5132" t="s">
        <v>67</v>
      </c>
      <c r="E5132" t="str">
        <f t="shared" si="258"/>
        <v>023</v>
      </c>
      <c r="F5132" t="s">
        <v>5157</v>
      </c>
      <c r="G5132" t="str">
        <f>"1510"</f>
        <v>1510</v>
      </c>
      <c r="H5132" t="str">
        <f>"0003"</f>
        <v>0003</v>
      </c>
      <c r="I5132" t="s">
        <v>75</v>
      </c>
      <c r="J5132">
        <v>0</v>
      </c>
      <c r="K5132">
        <v>1</v>
      </c>
      <c r="L5132">
        <v>2</v>
      </c>
      <c r="M5132">
        <v>394</v>
      </c>
      <c r="N5132">
        <v>399</v>
      </c>
      <c r="O5132">
        <v>1</v>
      </c>
      <c r="P5132">
        <v>397</v>
      </c>
      <c r="Q5132">
        <v>12</v>
      </c>
      <c r="R5132">
        <v>149</v>
      </c>
      <c r="S5132">
        <v>2</v>
      </c>
      <c r="T5132">
        <v>6</v>
      </c>
      <c r="U5132">
        <v>3</v>
      </c>
      <c r="V5132">
        <v>8</v>
      </c>
      <c r="W5132">
        <v>0</v>
      </c>
      <c r="X5132">
        <v>199</v>
      </c>
      <c r="Y5132">
        <v>5</v>
      </c>
      <c r="Z5132">
        <v>2</v>
      </c>
      <c r="AA5132">
        <v>1</v>
      </c>
      <c r="AB5132">
        <v>1</v>
      </c>
      <c r="AD5132">
        <v>2</v>
      </c>
      <c r="AE5132">
        <v>1</v>
      </c>
      <c r="AF5132">
        <v>0</v>
      </c>
      <c r="AG5132">
        <v>0</v>
      </c>
      <c r="AI5132">
        <v>1</v>
      </c>
      <c r="AJ5132">
        <v>5</v>
      </c>
      <c r="AK5132">
        <v>397</v>
      </c>
      <c r="AL5132">
        <v>397</v>
      </c>
      <c r="AM5132">
        <v>747</v>
      </c>
      <c r="AN5132">
        <v>44</v>
      </c>
      <c r="AP5132">
        <v>1</v>
      </c>
      <c r="AR5132" s="2" t="s">
        <v>5236</v>
      </c>
      <c r="AS5132" s="1">
        <v>44354.077777777777</v>
      </c>
      <c r="AT5132" s="1">
        <v>44354.086689814816</v>
      </c>
      <c r="AU5132" s="1">
        <v>44354.087256944447</v>
      </c>
      <c r="AV5132" t="s">
        <v>71</v>
      </c>
      <c r="AW5132" t="s">
        <v>72</v>
      </c>
      <c r="AX5132" t="s">
        <v>73</v>
      </c>
    </row>
    <row r="5133" spans="1:50" x14ac:dyDescent="0.3">
      <c r="A5133" t="str">
        <f>"201564B0000"</f>
        <v>201564B0000</v>
      </c>
      <c r="B5133" t="str">
        <f>"201564B00002"</f>
        <v>201564B00002</v>
      </c>
      <c r="C5133" t="str">
        <f t="shared" si="259"/>
        <v>20</v>
      </c>
      <c r="D5133" t="s">
        <v>67</v>
      </c>
      <c r="E5133" t="str">
        <f t="shared" si="258"/>
        <v>023</v>
      </c>
      <c r="F5133" t="s">
        <v>5157</v>
      </c>
      <c r="G5133" t="str">
        <f>"1564"</f>
        <v>1564</v>
      </c>
      <c r="H5133" t="str">
        <f>"0000"</f>
        <v>0000</v>
      </c>
      <c r="I5133" t="s">
        <v>69</v>
      </c>
      <c r="J5133">
        <v>0</v>
      </c>
      <c r="K5133">
        <v>1</v>
      </c>
      <c r="L5133">
        <v>2</v>
      </c>
      <c r="M5133">
        <v>174</v>
      </c>
      <c r="N5133">
        <v>360</v>
      </c>
      <c r="O5133">
        <v>0</v>
      </c>
      <c r="P5133">
        <v>360</v>
      </c>
      <c r="Q5133">
        <v>1</v>
      </c>
      <c r="R5133">
        <v>124</v>
      </c>
      <c r="S5133">
        <v>4</v>
      </c>
      <c r="T5133">
        <v>1</v>
      </c>
      <c r="U5133">
        <v>13</v>
      </c>
      <c r="V5133">
        <v>7</v>
      </c>
      <c r="W5133">
        <v>45</v>
      </c>
      <c r="X5133">
        <v>124</v>
      </c>
      <c r="Y5133">
        <v>29</v>
      </c>
      <c r="Z5133">
        <v>2</v>
      </c>
      <c r="AA5133">
        <v>2</v>
      </c>
      <c r="AB5133">
        <v>2</v>
      </c>
      <c r="AD5133">
        <v>2</v>
      </c>
      <c r="AE5133">
        <v>0</v>
      </c>
      <c r="AF5133">
        <v>0</v>
      </c>
      <c r="AG5133">
        <v>0</v>
      </c>
      <c r="AI5133" t="s">
        <v>77</v>
      </c>
      <c r="AJ5133">
        <v>4</v>
      </c>
      <c r="AK5133">
        <v>360</v>
      </c>
      <c r="AL5133">
        <v>360</v>
      </c>
      <c r="AM5133">
        <v>490</v>
      </c>
      <c r="AN5133">
        <v>44</v>
      </c>
      <c r="AO5133" t="s">
        <v>78</v>
      </c>
      <c r="AP5133">
        <v>1</v>
      </c>
      <c r="AR5133" t="s">
        <v>5237</v>
      </c>
      <c r="AS5133" s="1">
        <v>44354.113194444442</v>
      </c>
      <c r="AT5133" s="1">
        <v>44354.118298611109</v>
      </c>
      <c r="AU5133" s="1">
        <v>44354.118726851855</v>
      </c>
      <c r="AV5133" t="s">
        <v>71</v>
      </c>
      <c r="AW5133" t="s">
        <v>72</v>
      </c>
      <c r="AX5133" t="s">
        <v>73</v>
      </c>
    </row>
    <row r="5134" spans="1:50" x14ac:dyDescent="0.3">
      <c r="A5134" t="str">
        <f>"201564C0100"</f>
        <v>201564C0100</v>
      </c>
      <c r="B5134" t="str">
        <f>"201564C01002"</f>
        <v>201564C01002</v>
      </c>
      <c r="C5134" t="str">
        <f t="shared" si="259"/>
        <v>20</v>
      </c>
      <c r="D5134" t="s">
        <v>67</v>
      </c>
      <c r="E5134" t="str">
        <f t="shared" si="258"/>
        <v>023</v>
      </c>
      <c r="F5134" t="s">
        <v>5157</v>
      </c>
      <c r="G5134" t="str">
        <f>"1564"</f>
        <v>1564</v>
      </c>
      <c r="H5134" t="str">
        <f>"0001"</f>
        <v>0001</v>
      </c>
      <c r="I5134" t="s">
        <v>75</v>
      </c>
      <c r="J5134">
        <v>0</v>
      </c>
      <c r="K5134">
        <v>1</v>
      </c>
      <c r="L5134">
        <v>2</v>
      </c>
      <c r="M5134">
        <v>197</v>
      </c>
      <c r="N5134">
        <v>335</v>
      </c>
      <c r="O5134">
        <v>0</v>
      </c>
      <c r="P5134">
        <v>334</v>
      </c>
      <c r="Q5134">
        <v>4</v>
      </c>
      <c r="R5134">
        <v>129</v>
      </c>
      <c r="S5134">
        <v>2</v>
      </c>
      <c r="T5134">
        <v>1</v>
      </c>
      <c r="U5134">
        <v>13</v>
      </c>
      <c r="V5134">
        <v>4</v>
      </c>
      <c r="W5134">
        <v>46</v>
      </c>
      <c r="X5134">
        <v>101</v>
      </c>
      <c r="Y5134">
        <v>20</v>
      </c>
      <c r="Z5134">
        <v>2</v>
      </c>
      <c r="AA5134">
        <v>0</v>
      </c>
      <c r="AB5134">
        <v>2</v>
      </c>
      <c r="AD5134">
        <v>2</v>
      </c>
      <c r="AE5134">
        <v>1</v>
      </c>
      <c r="AF5134">
        <v>0</v>
      </c>
      <c r="AG5134">
        <v>0</v>
      </c>
      <c r="AI5134">
        <v>0</v>
      </c>
      <c r="AJ5134">
        <v>7</v>
      </c>
      <c r="AK5134">
        <v>334</v>
      </c>
      <c r="AL5134">
        <v>334</v>
      </c>
      <c r="AM5134">
        <v>489</v>
      </c>
      <c r="AN5134">
        <v>44</v>
      </c>
      <c r="AP5134">
        <v>1</v>
      </c>
      <c r="AR5134" t="s">
        <v>5238</v>
      </c>
      <c r="AS5134" s="1">
        <v>44354.112500000003</v>
      </c>
      <c r="AT5134" s="1">
        <v>44354.117199074077</v>
      </c>
      <c r="AU5134" s="1">
        <v>44354.117766203701</v>
      </c>
      <c r="AV5134" t="s">
        <v>71</v>
      </c>
      <c r="AW5134" t="s">
        <v>72</v>
      </c>
      <c r="AX5134" t="s">
        <v>73</v>
      </c>
    </row>
    <row r="5135" spans="1:50" x14ac:dyDescent="0.3">
      <c r="A5135" t="str">
        <f>"201564E0100"</f>
        <v>201564E0100</v>
      </c>
      <c r="B5135" t="str">
        <f>"201564E01002"</f>
        <v>201564E01002</v>
      </c>
      <c r="C5135" t="str">
        <f t="shared" si="259"/>
        <v>20</v>
      </c>
      <c r="D5135" t="s">
        <v>67</v>
      </c>
      <c r="E5135" t="str">
        <f t="shared" si="258"/>
        <v>023</v>
      </c>
      <c r="F5135" t="s">
        <v>5157</v>
      </c>
      <c r="G5135" t="str">
        <f>"1564"</f>
        <v>1564</v>
      </c>
      <c r="H5135" t="str">
        <f>"0001"</f>
        <v>0001</v>
      </c>
      <c r="I5135" t="s">
        <v>109</v>
      </c>
      <c r="J5135">
        <v>0</v>
      </c>
      <c r="K5135">
        <v>1</v>
      </c>
      <c r="L5135">
        <v>2</v>
      </c>
      <c r="M5135">
        <v>92</v>
      </c>
      <c r="N5135">
        <v>151</v>
      </c>
      <c r="O5135">
        <v>0</v>
      </c>
      <c r="P5135">
        <v>151</v>
      </c>
      <c r="Q5135">
        <v>2</v>
      </c>
      <c r="R5135">
        <v>52</v>
      </c>
      <c r="S5135">
        <v>3</v>
      </c>
      <c r="T5135">
        <v>0</v>
      </c>
      <c r="U5135">
        <v>3</v>
      </c>
      <c r="V5135">
        <v>0</v>
      </c>
      <c r="W5135">
        <v>57</v>
      </c>
      <c r="X5135">
        <v>12</v>
      </c>
      <c r="Y5135">
        <v>5</v>
      </c>
      <c r="Z5135">
        <v>1</v>
      </c>
      <c r="AA5135">
        <v>3</v>
      </c>
      <c r="AB5135">
        <v>0</v>
      </c>
      <c r="AD5135">
        <v>4</v>
      </c>
      <c r="AE5135">
        <v>1</v>
      </c>
      <c r="AF5135">
        <v>0</v>
      </c>
      <c r="AG5135">
        <v>0</v>
      </c>
      <c r="AI5135">
        <v>0</v>
      </c>
      <c r="AJ5135">
        <v>8</v>
      </c>
      <c r="AK5135">
        <v>151</v>
      </c>
      <c r="AL5135">
        <v>151</v>
      </c>
      <c r="AM5135">
        <v>199</v>
      </c>
      <c r="AN5135">
        <v>44</v>
      </c>
      <c r="AP5135">
        <v>1</v>
      </c>
      <c r="AR5135" t="s">
        <v>5239</v>
      </c>
      <c r="AS5135" s="1">
        <v>44354.123611111114</v>
      </c>
      <c r="AT5135" s="1">
        <v>44354.127650462964</v>
      </c>
      <c r="AU5135" s="1">
        <v>44354.128287037034</v>
      </c>
      <c r="AV5135" t="s">
        <v>71</v>
      </c>
      <c r="AW5135" t="s">
        <v>72</v>
      </c>
      <c r="AX5135" t="s">
        <v>73</v>
      </c>
    </row>
    <row r="5136" spans="1:50" x14ac:dyDescent="0.3">
      <c r="A5136" t="str">
        <f>"201565B0000"</f>
        <v>201565B0000</v>
      </c>
      <c r="B5136" t="str">
        <f>"201565B00002"</f>
        <v>201565B00002</v>
      </c>
      <c r="C5136" t="str">
        <f t="shared" si="259"/>
        <v>20</v>
      </c>
      <c r="D5136" t="s">
        <v>67</v>
      </c>
      <c r="E5136" t="str">
        <f t="shared" si="258"/>
        <v>023</v>
      </c>
      <c r="F5136" t="s">
        <v>5157</v>
      </c>
      <c r="G5136" t="str">
        <f>"1565"</f>
        <v>1565</v>
      </c>
      <c r="H5136" t="str">
        <f>"0000"</f>
        <v>0000</v>
      </c>
      <c r="I5136" t="s">
        <v>69</v>
      </c>
      <c r="J5136">
        <v>0</v>
      </c>
      <c r="K5136">
        <v>1</v>
      </c>
      <c r="L5136">
        <v>2</v>
      </c>
      <c r="M5136">
        <v>161</v>
      </c>
      <c r="N5136">
        <v>296</v>
      </c>
      <c r="O5136">
        <v>0</v>
      </c>
      <c r="P5136">
        <v>296</v>
      </c>
      <c r="Q5136">
        <v>1</v>
      </c>
      <c r="R5136">
        <v>100</v>
      </c>
      <c r="S5136">
        <v>0</v>
      </c>
      <c r="T5136">
        <v>1</v>
      </c>
      <c r="U5136">
        <v>4</v>
      </c>
      <c r="V5136">
        <v>2</v>
      </c>
      <c r="W5136">
        <v>25</v>
      </c>
      <c r="X5136">
        <v>111</v>
      </c>
      <c r="Y5136">
        <v>26</v>
      </c>
      <c r="Z5136">
        <v>2</v>
      </c>
      <c r="AA5136">
        <v>2</v>
      </c>
      <c r="AB5136">
        <v>2</v>
      </c>
      <c r="AD5136">
        <v>1</v>
      </c>
      <c r="AE5136">
        <v>1</v>
      </c>
      <c r="AF5136">
        <v>0</v>
      </c>
      <c r="AG5136">
        <v>0</v>
      </c>
      <c r="AI5136">
        <v>0</v>
      </c>
      <c r="AJ5136">
        <v>8</v>
      </c>
      <c r="AK5136">
        <v>296</v>
      </c>
      <c r="AL5136">
        <v>286</v>
      </c>
      <c r="AM5136">
        <v>413</v>
      </c>
      <c r="AN5136">
        <v>44</v>
      </c>
      <c r="AP5136">
        <v>1</v>
      </c>
      <c r="AR5136" t="s">
        <v>5240</v>
      </c>
      <c r="AS5136" s="1">
        <v>44354.112500000003</v>
      </c>
      <c r="AT5136" s="1">
        <v>44354.116435185184</v>
      </c>
      <c r="AU5136" s="1">
        <v>44354.116979166669</v>
      </c>
      <c r="AV5136" t="s">
        <v>71</v>
      </c>
      <c r="AW5136" t="s">
        <v>72</v>
      </c>
      <c r="AX5136" t="s">
        <v>73</v>
      </c>
    </row>
    <row r="5137" spans="1:50" x14ac:dyDescent="0.3">
      <c r="A5137" t="str">
        <f>"201565C0100"</f>
        <v>201565C0100</v>
      </c>
      <c r="B5137" t="str">
        <f>"201565C01002"</f>
        <v>201565C01002</v>
      </c>
      <c r="C5137" t="str">
        <f t="shared" si="259"/>
        <v>20</v>
      </c>
      <c r="D5137" t="s">
        <v>67</v>
      </c>
      <c r="E5137" t="str">
        <f t="shared" si="258"/>
        <v>023</v>
      </c>
      <c r="F5137" t="s">
        <v>5157</v>
      </c>
      <c r="G5137" t="str">
        <f>"1565"</f>
        <v>1565</v>
      </c>
      <c r="H5137" t="str">
        <f>"0001"</f>
        <v>0001</v>
      </c>
      <c r="I5137" t="s">
        <v>75</v>
      </c>
      <c r="J5137">
        <v>0</v>
      </c>
      <c r="K5137">
        <v>1</v>
      </c>
      <c r="L5137">
        <v>2</v>
      </c>
      <c r="M5137">
        <v>141</v>
      </c>
      <c r="N5137">
        <v>315</v>
      </c>
      <c r="O5137">
        <v>2</v>
      </c>
      <c r="P5137">
        <v>314</v>
      </c>
      <c r="Q5137">
        <v>2</v>
      </c>
      <c r="R5137">
        <v>141</v>
      </c>
      <c r="S5137">
        <v>1</v>
      </c>
      <c r="T5137">
        <v>1</v>
      </c>
      <c r="U5137">
        <v>9</v>
      </c>
      <c r="V5137">
        <v>3</v>
      </c>
      <c r="W5137">
        <v>29</v>
      </c>
      <c r="X5137">
        <v>90</v>
      </c>
      <c r="Y5137">
        <v>26</v>
      </c>
      <c r="Z5137">
        <v>1</v>
      </c>
      <c r="AA5137">
        <v>2</v>
      </c>
      <c r="AB5137">
        <v>0</v>
      </c>
      <c r="AD5137">
        <v>0</v>
      </c>
      <c r="AE5137">
        <v>0</v>
      </c>
      <c r="AF5137">
        <v>0</v>
      </c>
      <c r="AG5137">
        <v>0</v>
      </c>
      <c r="AI5137">
        <v>0</v>
      </c>
      <c r="AJ5137">
        <v>9</v>
      </c>
      <c r="AK5137">
        <v>314</v>
      </c>
      <c r="AL5137">
        <v>314</v>
      </c>
      <c r="AM5137">
        <v>412</v>
      </c>
      <c r="AN5137">
        <v>44</v>
      </c>
      <c r="AP5137">
        <v>1</v>
      </c>
      <c r="AR5137" t="s">
        <v>5241</v>
      </c>
      <c r="AS5137" s="1">
        <v>44354.111111111109</v>
      </c>
      <c r="AT5137" s="1">
        <v>44354.114675925928</v>
      </c>
      <c r="AU5137" s="1">
        <v>44354.115115740744</v>
      </c>
      <c r="AV5137" t="s">
        <v>71</v>
      </c>
      <c r="AW5137" t="s">
        <v>72</v>
      </c>
      <c r="AX5137" t="s">
        <v>73</v>
      </c>
    </row>
    <row r="5138" spans="1:50" x14ac:dyDescent="0.3">
      <c r="A5138" t="str">
        <f>"201566B0000"</f>
        <v>201566B0000</v>
      </c>
      <c r="B5138" t="str">
        <f>"201566B00002"</f>
        <v>201566B00002</v>
      </c>
      <c r="C5138" t="str">
        <f t="shared" si="259"/>
        <v>20</v>
      </c>
      <c r="D5138" t="s">
        <v>67</v>
      </c>
      <c r="E5138" t="str">
        <f t="shared" si="258"/>
        <v>023</v>
      </c>
      <c r="F5138" t="s">
        <v>5157</v>
      </c>
      <c r="G5138" t="str">
        <f>"1566"</f>
        <v>1566</v>
      </c>
      <c r="H5138" t="str">
        <f>"0000"</f>
        <v>0000</v>
      </c>
      <c r="I5138" t="s">
        <v>69</v>
      </c>
      <c r="J5138">
        <v>0</v>
      </c>
      <c r="K5138">
        <v>1</v>
      </c>
      <c r="L5138">
        <v>2</v>
      </c>
      <c r="M5138">
        <v>279</v>
      </c>
      <c r="N5138">
        <v>411</v>
      </c>
      <c r="O5138">
        <v>0</v>
      </c>
      <c r="P5138">
        <v>411</v>
      </c>
      <c r="Q5138">
        <v>5</v>
      </c>
      <c r="R5138">
        <v>168</v>
      </c>
      <c r="S5138">
        <v>4</v>
      </c>
      <c r="T5138">
        <v>3</v>
      </c>
      <c r="U5138">
        <v>10</v>
      </c>
      <c r="V5138">
        <v>4</v>
      </c>
      <c r="W5138">
        <v>95</v>
      </c>
      <c r="X5138">
        <v>94</v>
      </c>
      <c r="Y5138">
        <v>13</v>
      </c>
      <c r="Z5138">
        <v>2</v>
      </c>
      <c r="AA5138">
        <v>2</v>
      </c>
      <c r="AB5138">
        <v>2</v>
      </c>
      <c r="AD5138">
        <v>1</v>
      </c>
      <c r="AE5138">
        <v>0</v>
      </c>
      <c r="AF5138">
        <v>0</v>
      </c>
      <c r="AG5138">
        <v>0</v>
      </c>
      <c r="AI5138">
        <v>0</v>
      </c>
      <c r="AJ5138">
        <v>8</v>
      </c>
      <c r="AK5138">
        <v>411</v>
      </c>
      <c r="AL5138">
        <v>411</v>
      </c>
      <c r="AM5138">
        <v>646</v>
      </c>
      <c r="AN5138">
        <v>44</v>
      </c>
      <c r="AP5138">
        <v>1</v>
      </c>
      <c r="AR5138" t="s">
        <v>5242</v>
      </c>
      <c r="AS5138" s="1">
        <v>44354.136805555558</v>
      </c>
      <c r="AT5138" s="1">
        <v>44354.139988425923</v>
      </c>
      <c r="AU5138" s="1">
        <v>44354.1403587963</v>
      </c>
      <c r="AV5138" t="s">
        <v>71</v>
      </c>
      <c r="AW5138" t="s">
        <v>72</v>
      </c>
      <c r="AX5138" t="s">
        <v>73</v>
      </c>
    </row>
    <row r="5139" spans="1:50" x14ac:dyDescent="0.3">
      <c r="A5139" t="str">
        <f>"201566C0100"</f>
        <v>201566C0100</v>
      </c>
      <c r="B5139" t="str">
        <f>"201566C01002"</f>
        <v>201566C01002</v>
      </c>
      <c r="C5139" t="str">
        <f t="shared" si="259"/>
        <v>20</v>
      </c>
      <c r="D5139" t="s">
        <v>67</v>
      </c>
      <c r="E5139" t="str">
        <f t="shared" si="258"/>
        <v>023</v>
      </c>
      <c r="F5139" t="s">
        <v>5157</v>
      </c>
      <c r="G5139" t="str">
        <f>"1566"</f>
        <v>1566</v>
      </c>
      <c r="H5139" t="str">
        <f>"0001"</f>
        <v>0001</v>
      </c>
      <c r="I5139" t="s">
        <v>75</v>
      </c>
      <c r="J5139">
        <v>0</v>
      </c>
      <c r="K5139">
        <v>1</v>
      </c>
      <c r="L5139">
        <v>2</v>
      </c>
      <c r="M5139" t="s">
        <v>80</v>
      </c>
      <c r="N5139" t="s">
        <v>80</v>
      </c>
      <c r="O5139" t="s">
        <v>80</v>
      </c>
      <c r="P5139" t="s">
        <v>80</v>
      </c>
      <c r="Q5139">
        <v>4</v>
      </c>
      <c r="R5139">
        <v>173</v>
      </c>
      <c r="S5139">
        <v>3</v>
      </c>
      <c r="T5139">
        <v>4</v>
      </c>
      <c r="U5139">
        <v>22</v>
      </c>
      <c r="V5139">
        <v>3</v>
      </c>
      <c r="W5139">
        <v>111</v>
      </c>
      <c r="X5139">
        <v>78</v>
      </c>
      <c r="Y5139">
        <v>18</v>
      </c>
      <c r="Z5139">
        <v>2</v>
      </c>
      <c r="AA5139">
        <v>2</v>
      </c>
      <c r="AB5139">
        <v>2</v>
      </c>
      <c r="AD5139">
        <v>4</v>
      </c>
      <c r="AE5139">
        <v>0</v>
      </c>
      <c r="AF5139">
        <v>1</v>
      </c>
      <c r="AG5139">
        <v>0</v>
      </c>
      <c r="AI5139">
        <v>0</v>
      </c>
      <c r="AJ5139">
        <v>15</v>
      </c>
      <c r="AK5139">
        <v>422</v>
      </c>
      <c r="AL5139">
        <v>442</v>
      </c>
      <c r="AM5139">
        <v>645</v>
      </c>
      <c r="AN5139">
        <v>44</v>
      </c>
      <c r="AP5139">
        <v>1</v>
      </c>
      <c r="AR5139" t="s">
        <v>5243</v>
      </c>
      <c r="AS5139" s="1">
        <v>44354.405555555553</v>
      </c>
      <c r="AT5139" s="1">
        <v>44354.410231481481</v>
      </c>
      <c r="AU5139" s="1">
        <v>44354.410960648151</v>
      </c>
      <c r="AV5139" t="s">
        <v>71</v>
      </c>
      <c r="AW5139" t="s">
        <v>72</v>
      </c>
      <c r="AX5139" t="s">
        <v>73</v>
      </c>
    </row>
    <row r="5140" spans="1:50" x14ac:dyDescent="0.3">
      <c r="A5140" t="str">
        <f>"201567B0000"</f>
        <v>201567B0000</v>
      </c>
      <c r="B5140" t="str">
        <f>"201567B00002"</f>
        <v>201567B00002</v>
      </c>
      <c r="C5140" t="str">
        <f t="shared" si="259"/>
        <v>20</v>
      </c>
      <c r="D5140" t="s">
        <v>67</v>
      </c>
      <c r="E5140" t="str">
        <f t="shared" si="258"/>
        <v>023</v>
      </c>
      <c r="F5140" t="s">
        <v>5157</v>
      </c>
      <c r="G5140" t="str">
        <f>"1567"</f>
        <v>1567</v>
      </c>
      <c r="H5140" t="str">
        <f>"0000"</f>
        <v>0000</v>
      </c>
      <c r="I5140" t="s">
        <v>69</v>
      </c>
      <c r="J5140">
        <v>0</v>
      </c>
      <c r="K5140">
        <v>1</v>
      </c>
      <c r="L5140">
        <v>2</v>
      </c>
      <c r="M5140">
        <v>242</v>
      </c>
      <c r="N5140">
        <v>355</v>
      </c>
      <c r="O5140">
        <v>1</v>
      </c>
      <c r="P5140">
        <v>35</v>
      </c>
      <c r="Q5140">
        <v>1</v>
      </c>
      <c r="R5140">
        <v>158</v>
      </c>
      <c r="S5140" t="s">
        <v>77</v>
      </c>
      <c r="T5140">
        <v>1</v>
      </c>
      <c r="U5140">
        <v>21</v>
      </c>
      <c r="V5140">
        <v>2</v>
      </c>
      <c r="W5140">
        <v>61</v>
      </c>
      <c r="X5140">
        <v>84</v>
      </c>
      <c r="Y5140">
        <v>13</v>
      </c>
      <c r="Z5140">
        <v>2</v>
      </c>
      <c r="AA5140" t="s">
        <v>77</v>
      </c>
      <c r="AB5140">
        <v>2</v>
      </c>
      <c r="AD5140" t="s">
        <v>77</v>
      </c>
      <c r="AE5140" t="s">
        <v>77</v>
      </c>
      <c r="AF5140" t="s">
        <v>77</v>
      </c>
      <c r="AG5140" t="s">
        <v>77</v>
      </c>
      <c r="AI5140" t="s">
        <v>77</v>
      </c>
      <c r="AJ5140">
        <v>11</v>
      </c>
      <c r="AK5140" t="s">
        <v>77</v>
      </c>
      <c r="AL5140">
        <v>356</v>
      </c>
      <c r="AM5140">
        <v>553</v>
      </c>
      <c r="AN5140">
        <v>44</v>
      </c>
      <c r="AO5140" t="s">
        <v>78</v>
      </c>
      <c r="AP5140">
        <v>1</v>
      </c>
      <c r="AR5140" t="s">
        <v>5244</v>
      </c>
      <c r="AS5140" s="1">
        <v>44354.402777777781</v>
      </c>
      <c r="AT5140" s="1">
        <v>44354.415625000001</v>
      </c>
      <c r="AU5140" s="1">
        <v>44354.45994212963</v>
      </c>
      <c r="AV5140" t="s">
        <v>71</v>
      </c>
      <c r="AW5140" t="s">
        <v>72</v>
      </c>
      <c r="AX5140" t="s">
        <v>73</v>
      </c>
    </row>
    <row r="5141" spans="1:50" x14ac:dyDescent="0.3">
      <c r="A5141" t="str">
        <f>"201567C0100"</f>
        <v>201567C0100</v>
      </c>
      <c r="B5141" t="str">
        <f>"201567C01002"</f>
        <v>201567C01002</v>
      </c>
      <c r="C5141" t="str">
        <f t="shared" si="259"/>
        <v>20</v>
      </c>
      <c r="D5141" t="s">
        <v>67</v>
      </c>
      <c r="E5141" t="str">
        <f t="shared" si="258"/>
        <v>023</v>
      </c>
      <c r="F5141" t="s">
        <v>5157</v>
      </c>
      <c r="G5141" t="str">
        <f>"1567"</f>
        <v>1567</v>
      </c>
      <c r="H5141" t="str">
        <f>"0001"</f>
        <v>0001</v>
      </c>
      <c r="I5141" t="s">
        <v>75</v>
      </c>
      <c r="J5141">
        <v>0</v>
      </c>
      <c r="K5141">
        <v>1</v>
      </c>
      <c r="L5141">
        <v>2</v>
      </c>
      <c r="M5141" t="s">
        <v>80</v>
      </c>
      <c r="N5141" t="s">
        <v>80</v>
      </c>
      <c r="O5141" t="s">
        <v>80</v>
      </c>
      <c r="P5141">
        <v>354</v>
      </c>
      <c r="Q5141">
        <v>1</v>
      </c>
      <c r="R5141">
        <v>130</v>
      </c>
      <c r="S5141">
        <v>4</v>
      </c>
      <c r="T5141">
        <v>2</v>
      </c>
      <c r="U5141">
        <v>30</v>
      </c>
      <c r="V5141">
        <v>4</v>
      </c>
      <c r="W5141">
        <v>56</v>
      </c>
      <c r="X5141">
        <v>102</v>
      </c>
      <c r="Y5141">
        <v>12</v>
      </c>
      <c r="Z5141">
        <v>2</v>
      </c>
      <c r="AA5141">
        <v>2</v>
      </c>
      <c r="AB5141">
        <v>1</v>
      </c>
      <c r="AD5141">
        <v>0</v>
      </c>
      <c r="AE5141">
        <v>0</v>
      </c>
      <c r="AF5141">
        <v>0</v>
      </c>
      <c r="AG5141">
        <v>0</v>
      </c>
      <c r="AI5141">
        <v>0</v>
      </c>
      <c r="AJ5141">
        <v>8</v>
      </c>
      <c r="AK5141">
        <v>354</v>
      </c>
      <c r="AL5141">
        <v>354</v>
      </c>
      <c r="AM5141">
        <v>553</v>
      </c>
      <c r="AN5141">
        <v>44</v>
      </c>
      <c r="AP5141">
        <v>1</v>
      </c>
      <c r="AR5141" t="s">
        <v>5245</v>
      </c>
      <c r="AS5141" s="1">
        <v>44354.404861111114</v>
      </c>
      <c r="AT5141" s="1">
        <v>44354.408634259256</v>
      </c>
      <c r="AU5141" s="1">
        <v>44354.409351851849</v>
      </c>
      <c r="AV5141" t="s">
        <v>71</v>
      </c>
      <c r="AW5141" t="s">
        <v>72</v>
      </c>
      <c r="AX5141" t="s">
        <v>73</v>
      </c>
    </row>
    <row r="5142" spans="1:50" x14ac:dyDescent="0.3">
      <c r="A5142" t="str">
        <f>"201568B0000"</f>
        <v>201568B0000</v>
      </c>
      <c r="B5142" t="str">
        <f>"201568B00002"</f>
        <v>201568B00002</v>
      </c>
      <c r="C5142" t="str">
        <f t="shared" si="259"/>
        <v>20</v>
      </c>
      <c r="D5142" t="s">
        <v>67</v>
      </c>
      <c r="E5142" t="str">
        <f t="shared" si="258"/>
        <v>023</v>
      </c>
      <c r="F5142" t="s">
        <v>5157</v>
      </c>
      <c r="G5142" t="str">
        <f>"1568"</f>
        <v>1568</v>
      </c>
      <c r="H5142" t="str">
        <f>"0000"</f>
        <v>0000</v>
      </c>
      <c r="I5142" t="s">
        <v>69</v>
      </c>
      <c r="J5142">
        <v>0</v>
      </c>
      <c r="K5142">
        <v>1</v>
      </c>
      <c r="L5142">
        <v>2</v>
      </c>
      <c r="M5142">
        <v>238</v>
      </c>
      <c r="N5142">
        <v>382</v>
      </c>
      <c r="O5142">
        <v>1</v>
      </c>
      <c r="P5142">
        <v>382</v>
      </c>
      <c r="Q5142">
        <v>1</v>
      </c>
      <c r="R5142">
        <v>145</v>
      </c>
      <c r="S5142">
        <v>3</v>
      </c>
      <c r="T5142">
        <v>0</v>
      </c>
      <c r="U5142">
        <v>12</v>
      </c>
      <c r="V5142">
        <v>1</v>
      </c>
      <c r="W5142">
        <v>9</v>
      </c>
      <c r="X5142">
        <v>172</v>
      </c>
      <c r="Y5142">
        <v>13</v>
      </c>
      <c r="Z5142">
        <v>1</v>
      </c>
      <c r="AA5142">
        <v>3</v>
      </c>
      <c r="AB5142">
        <v>1</v>
      </c>
      <c r="AD5142">
        <v>4</v>
      </c>
      <c r="AE5142">
        <v>0</v>
      </c>
      <c r="AF5142">
        <v>0</v>
      </c>
      <c r="AG5142">
        <v>0</v>
      </c>
      <c r="AI5142">
        <v>1</v>
      </c>
      <c r="AJ5142">
        <v>6</v>
      </c>
      <c r="AK5142">
        <v>382</v>
      </c>
      <c r="AL5142">
        <v>372</v>
      </c>
      <c r="AM5142">
        <v>576</v>
      </c>
      <c r="AN5142">
        <v>44</v>
      </c>
      <c r="AP5142">
        <v>1</v>
      </c>
      <c r="AR5142" t="s">
        <v>5246</v>
      </c>
      <c r="AS5142" s="1">
        <v>44354.279166666667</v>
      </c>
      <c r="AT5142" s="1">
        <v>44354.282268518517</v>
      </c>
      <c r="AU5142" s="1">
        <v>44354.283043981479</v>
      </c>
      <c r="AV5142" t="s">
        <v>71</v>
      </c>
      <c r="AW5142" t="s">
        <v>72</v>
      </c>
      <c r="AX5142" t="s">
        <v>73</v>
      </c>
    </row>
    <row r="5143" spans="1:50" x14ac:dyDescent="0.3">
      <c r="A5143" t="str">
        <f>"201568C0100"</f>
        <v>201568C0100</v>
      </c>
      <c r="B5143" t="str">
        <f>"201568C01002"</f>
        <v>201568C01002</v>
      </c>
      <c r="C5143" t="str">
        <f t="shared" si="259"/>
        <v>20</v>
      </c>
      <c r="D5143" t="s">
        <v>67</v>
      </c>
      <c r="E5143" t="str">
        <f t="shared" si="258"/>
        <v>023</v>
      </c>
      <c r="F5143" t="s">
        <v>5157</v>
      </c>
      <c r="G5143" t="str">
        <f>"1568"</f>
        <v>1568</v>
      </c>
      <c r="H5143" t="str">
        <f>"0001"</f>
        <v>0001</v>
      </c>
      <c r="I5143" t="s">
        <v>75</v>
      </c>
      <c r="J5143">
        <v>0</v>
      </c>
      <c r="K5143">
        <v>1</v>
      </c>
      <c r="L5143">
        <v>2</v>
      </c>
      <c r="M5143">
        <v>227</v>
      </c>
      <c r="N5143">
        <v>392</v>
      </c>
      <c r="O5143">
        <v>0</v>
      </c>
      <c r="P5143">
        <v>392</v>
      </c>
      <c r="Q5143">
        <v>1</v>
      </c>
      <c r="R5143">
        <v>139</v>
      </c>
      <c r="S5143">
        <v>3</v>
      </c>
      <c r="T5143">
        <v>0</v>
      </c>
      <c r="U5143">
        <v>11</v>
      </c>
      <c r="V5143">
        <v>1</v>
      </c>
      <c r="W5143">
        <v>28</v>
      </c>
      <c r="X5143">
        <v>169</v>
      </c>
      <c r="Y5143">
        <v>14</v>
      </c>
      <c r="Z5143">
        <v>1</v>
      </c>
      <c r="AA5143">
        <v>5</v>
      </c>
      <c r="AB5143">
        <v>4</v>
      </c>
      <c r="AD5143">
        <v>1</v>
      </c>
      <c r="AE5143">
        <v>1</v>
      </c>
      <c r="AF5143">
        <v>0</v>
      </c>
      <c r="AG5143">
        <v>0</v>
      </c>
      <c r="AI5143">
        <v>0</v>
      </c>
      <c r="AJ5143">
        <v>14</v>
      </c>
      <c r="AK5143">
        <v>392</v>
      </c>
      <c r="AL5143">
        <v>392</v>
      </c>
      <c r="AM5143">
        <v>575</v>
      </c>
      <c r="AN5143">
        <v>44</v>
      </c>
      <c r="AP5143">
        <v>1</v>
      </c>
      <c r="AR5143" t="s">
        <v>5247</v>
      </c>
      <c r="AS5143" s="1">
        <v>44354.28125</v>
      </c>
      <c r="AT5143" s="1">
        <v>44354.283750000002</v>
      </c>
      <c r="AU5143" s="1">
        <v>44354.284178240741</v>
      </c>
      <c r="AV5143" t="s">
        <v>71</v>
      </c>
      <c r="AW5143" t="s">
        <v>72</v>
      </c>
      <c r="AX5143" t="s">
        <v>73</v>
      </c>
    </row>
    <row r="5144" spans="1:50" x14ac:dyDescent="0.3">
      <c r="A5144" t="str">
        <f>"201568E0100"</f>
        <v>201568E0100</v>
      </c>
      <c r="B5144" t="str">
        <f>"201568E01002"</f>
        <v>201568E01002</v>
      </c>
      <c r="C5144" t="str">
        <f t="shared" si="259"/>
        <v>20</v>
      </c>
      <c r="D5144" t="s">
        <v>67</v>
      </c>
      <c r="E5144" t="str">
        <f t="shared" si="258"/>
        <v>023</v>
      </c>
      <c r="F5144" t="s">
        <v>5157</v>
      </c>
      <c r="G5144" t="str">
        <f>"1568"</f>
        <v>1568</v>
      </c>
      <c r="H5144" t="str">
        <f>"0001"</f>
        <v>0001</v>
      </c>
      <c r="I5144" t="s">
        <v>109</v>
      </c>
      <c r="J5144">
        <v>0</v>
      </c>
      <c r="K5144">
        <v>1</v>
      </c>
      <c r="L5144">
        <v>2</v>
      </c>
      <c r="M5144">
        <v>224</v>
      </c>
      <c r="N5144">
        <v>224</v>
      </c>
      <c r="O5144">
        <v>0</v>
      </c>
      <c r="P5144" t="s">
        <v>80</v>
      </c>
      <c r="Q5144">
        <v>5</v>
      </c>
      <c r="R5144">
        <v>69</v>
      </c>
      <c r="S5144">
        <v>1</v>
      </c>
      <c r="T5144">
        <v>1</v>
      </c>
      <c r="U5144">
        <v>14</v>
      </c>
      <c r="V5144">
        <v>1</v>
      </c>
      <c r="W5144">
        <v>7</v>
      </c>
      <c r="X5144">
        <v>112</v>
      </c>
      <c r="Y5144">
        <v>6</v>
      </c>
      <c r="Z5144">
        <v>0</v>
      </c>
      <c r="AA5144">
        <v>1</v>
      </c>
      <c r="AB5144">
        <v>1</v>
      </c>
      <c r="AD5144">
        <v>1</v>
      </c>
      <c r="AE5144">
        <v>0</v>
      </c>
      <c r="AF5144">
        <v>0</v>
      </c>
      <c r="AG5144">
        <v>0</v>
      </c>
      <c r="AI5144" t="s">
        <v>77</v>
      </c>
      <c r="AJ5144">
        <v>5</v>
      </c>
      <c r="AK5144">
        <v>224</v>
      </c>
      <c r="AL5144">
        <v>224</v>
      </c>
      <c r="AM5144">
        <v>426</v>
      </c>
      <c r="AN5144">
        <v>44</v>
      </c>
      <c r="AO5144" t="s">
        <v>78</v>
      </c>
      <c r="AP5144">
        <v>1</v>
      </c>
      <c r="AR5144" t="s">
        <v>5248</v>
      </c>
      <c r="AS5144" s="1">
        <v>44354.344444444447</v>
      </c>
      <c r="AT5144" s="1">
        <v>44354.347569444442</v>
      </c>
      <c r="AU5144" s="1">
        <v>44354.348136574074</v>
      </c>
      <c r="AV5144" t="s">
        <v>71</v>
      </c>
      <c r="AW5144" t="s">
        <v>72</v>
      </c>
      <c r="AX5144" t="s">
        <v>73</v>
      </c>
    </row>
    <row r="5145" spans="1:50" x14ac:dyDescent="0.3">
      <c r="A5145" t="str">
        <f>"201568E0101"</f>
        <v>201568E0101</v>
      </c>
      <c r="B5145" t="str">
        <f>"201568E01012"</f>
        <v>201568E01012</v>
      </c>
      <c r="C5145" t="str">
        <f t="shared" si="259"/>
        <v>20</v>
      </c>
      <c r="D5145" t="s">
        <v>67</v>
      </c>
      <c r="E5145" t="str">
        <f t="shared" si="258"/>
        <v>023</v>
      </c>
      <c r="F5145" t="s">
        <v>5157</v>
      </c>
      <c r="G5145" t="str">
        <f>"1568"</f>
        <v>1568</v>
      </c>
      <c r="H5145" t="str">
        <f>"0001"</f>
        <v>0001</v>
      </c>
      <c r="I5145" t="s">
        <v>109</v>
      </c>
      <c r="J5145">
        <v>1</v>
      </c>
      <c r="K5145">
        <v>1</v>
      </c>
      <c r="L5145">
        <v>2</v>
      </c>
      <c r="M5145">
        <v>182</v>
      </c>
      <c r="N5145">
        <v>288</v>
      </c>
      <c r="O5145">
        <v>0</v>
      </c>
      <c r="P5145">
        <v>288</v>
      </c>
      <c r="Q5145">
        <v>4</v>
      </c>
      <c r="R5145">
        <v>130</v>
      </c>
      <c r="S5145">
        <v>2</v>
      </c>
      <c r="T5145">
        <v>0</v>
      </c>
      <c r="U5145">
        <v>7</v>
      </c>
      <c r="V5145">
        <v>0</v>
      </c>
      <c r="W5145">
        <v>8</v>
      </c>
      <c r="X5145">
        <v>112</v>
      </c>
      <c r="Y5145">
        <v>7</v>
      </c>
      <c r="Z5145">
        <v>3</v>
      </c>
      <c r="AA5145">
        <v>1</v>
      </c>
      <c r="AB5145">
        <v>0</v>
      </c>
      <c r="AD5145">
        <v>5</v>
      </c>
      <c r="AE5145">
        <v>0</v>
      </c>
      <c r="AF5145">
        <v>0</v>
      </c>
      <c r="AG5145">
        <v>1</v>
      </c>
      <c r="AI5145">
        <v>0</v>
      </c>
      <c r="AJ5145">
        <v>7</v>
      </c>
      <c r="AK5145">
        <v>288</v>
      </c>
      <c r="AL5145">
        <v>287</v>
      </c>
      <c r="AM5145">
        <v>426</v>
      </c>
      <c r="AN5145">
        <v>44</v>
      </c>
      <c r="AP5145">
        <v>1</v>
      </c>
      <c r="AR5145" t="s">
        <v>5249</v>
      </c>
      <c r="AS5145" s="1">
        <v>44354.344444444447</v>
      </c>
      <c r="AT5145" s="1">
        <v>44354.347650462965</v>
      </c>
      <c r="AU5145" s="1">
        <v>44354.348680555559</v>
      </c>
      <c r="AV5145" t="s">
        <v>71</v>
      </c>
      <c r="AW5145" t="s">
        <v>72</v>
      </c>
      <c r="AX5145" t="s">
        <v>73</v>
      </c>
    </row>
    <row r="5146" spans="1:50" x14ac:dyDescent="0.3">
      <c r="A5146" t="str">
        <f>"201569B0000"</f>
        <v>201569B0000</v>
      </c>
      <c r="B5146" t="str">
        <f>"201569B00002"</f>
        <v>201569B00002</v>
      </c>
      <c r="C5146" t="str">
        <f t="shared" si="259"/>
        <v>20</v>
      </c>
      <c r="D5146" t="s">
        <v>67</v>
      </c>
      <c r="E5146" t="str">
        <f t="shared" si="258"/>
        <v>023</v>
      </c>
      <c r="F5146" t="s">
        <v>5157</v>
      </c>
      <c r="G5146" t="str">
        <f>"1569"</f>
        <v>1569</v>
      </c>
      <c r="H5146" t="str">
        <f>"0000"</f>
        <v>0000</v>
      </c>
      <c r="I5146" t="s">
        <v>69</v>
      </c>
      <c r="J5146">
        <v>0</v>
      </c>
      <c r="K5146">
        <v>1</v>
      </c>
      <c r="L5146">
        <v>2</v>
      </c>
      <c r="M5146">
        <v>323</v>
      </c>
      <c r="N5146" t="s">
        <v>80</v>
      </c>
      <c r="O5146" t="s">
        <v>80</v>
      </c>
      <c r="P5146">
        <v>376</v>
      </c>
      <c r="Q5146">
        <v>1</v>
      </c>
      <c r="R5146">
        <v>113</v>
      </c>
      <c r="S5146">
        <v>10</v>
      </c>
      <c r="T5146">
        <v>0</v>
      </c>
      <c r="U5146">
        <v>26</v>
      </c>
      <c r="V5146">
        <v>4</v>
      </c>
      <c r="W5146">
        <v>10</v>
      </c>
      <c r="X5146">
        <v>167</v>
      </c>
      <c r="Y5146">
        <v>28</v>
      </c>
      <c r="Z5146">
        <v>1</v>
      </c>
      <c r="AA5146">
        <v>6</v>
      </c>
      <c r="AB5146">
        <v>1</v>
      </c>
      <c r="AD5146">
        <v>4</v>
      </c>
      <c r="AE5146">
        <v>0</v>
      </c>
      <c r="AF5146">
        <v>0</v>
      </c>
      <c r="AG5146">
        <v>0</v>
      </c>
      <c r="AI5146" t="s">
        <v>77</v>
      </c>
      <c r="AJ5146">
        <v>5</v>
      </c>
      <c r="AK5146">
        <v>376</v>
      </c>
      <c r="AL5146">
        <v>376</v>
      </c>
      <c r="AM5146">
        <v>655</v>
      </c>
      <c r="AN5146">
        <v>44</v>
      </c>
      <c r="AO5146" t="s">
        <v>78</v>
      </c>
      <c r="AP5146">
        <v>1</v>
      </c>
      <c r="AR5146" t="s">
        <v>5250</v>
      </c>
      <c r="AS5146" s="1">
        <v>44354.227083333331</v>
      </c>
      <c r="AT5146" s="1">
        <v>44354.230763888889</v>
      </c>
      <c r="AU5146" s="1">
        <v>44354.231180555558</v>
      </c>
      <c r="AV5146" t="s">
        <v>71</v>
      </c>
      <c r="AW5146" t="s">
        <v>72</v>
      </c>
      <c r="AX5146" t="s">
        <v>73</v>
      </c>
    </row>
    <row r="5147" spans="1:50" x14ac:dyDescent="0.3">
      <c r="A5147" t="str">
        <f>"201569C0100"</f>
        <v>201569C0100</v>
      </c>
      <c r="B5147" t="str">
        <f>"201569C01002"</f>
        <v>201569C01002</v>
      </c>
      <c r="C5147" t="str">
        <f t="shared" si="259"/>
        <v>20</v>
      </c>
      <c r="D5147" t="s">
        <v>67</v>
      </c>
      <c r="E5147" t="str">
        <f t="shared" si="258"/>
        <v>023</v>
      </c>
      <c r="F5147" t="s">
        <v>5157</v>
      </c>
      <c r="G5147" t="str">
        <f>"1569"</f>
        <v>1569</v>
      </c>
      <c r="H5147" t="str">
        <f>"0001"</f>
        <v>0001</v>
      </c>
      <c r="I5147" t="s">
        <v>75</v>
      </c>
      <c r="J5147">
        <v>0</v>
      </c>
      <c r="K5147">
        <v>1</v>
      </c>
      <c r="L5147">
        <v>2</v>
      </c>
      <c r="M5147">
        <v>322</v>
      </c>
      <c r="N5147">
        <v>377</v>
      </c>
      <c r="O5147">
        <v>6</v>
      </c>
      <c r="P5147">
        <v>377</v>
      </c>
      <c r="Q5147">
        <v>4</v>
      </c>
      <c r="R5147">
        <v>107</v>
      </c>
      <c r="S5147">
        <v>4</v>
      </c>
      <c r="T5147">
        <v>1</v>
      </c>
      <c r="U5147">
        <v>22</v>
      </c>
      <c r="V5147">
        <v>2</v>
      </c>
      <c r="W5147">
        <v>7</v>
      </c>
      <c r="X5147">
        <v>189</v>
      </c>
      <c r="Y5147">
        <v>13</v>
      </c>
      <c r="Z5147">
        <v>1</v>
      </c>
      <c r="AA5147">
        <v>4</v>
      </c>
      <c r="AB5147">
        <v>6</v>
      </c>
      <c r="AD5147">
        <v>2</v>
      </c>
      <c r="AE5147">
        <v>1</v>
      </c>
      <c r="AF5147">
        <v>0</v>
      </c>
      <c r="AG5147">
        <v>0</v>
      </c>
      <c r="AI5147">
        <v>0</v>
      </c>
      <c r="AJ5147">
        <v>14</v>
      </c>
      <c r="AK5147">
        <v>377</v>
      </c>
      <c r="AL5147">
        <v>377</v>
      </c>
      <c r="AM5147">
        <v>655</v>
      </c>
      <c r="AN5147">
        <v>44</v>
      </c>
      <c r="AP5147">
        <v>1</v>
      </c>
      <c r="AR5147" t="s">
        <v>5251</v>
      </c>
      <c r="AS5147" s="1">
        <v>44354.226388888892</v>
      </c>
      <c r="AT5147" s="1">
        <v>44354.715219907404</v>
      </c>
      <c r="AU5147" s="1">
        <v>44354.71670138889</v>
      </c>
      <c r="AV5147" t="s">
        <v>71</v>
      </c>
      <c r="AW5147" t="s">
        <v>72</v>
      </c>
      <c r="AX5147" t="s">
        <v>73</v>
      </c>
    </row>
    <row r="5148" spans="1:50" x14ac:dyDescent="0.3">
      <c r="A5148" t="str">
        <f>"201569C0200"</f>
        <v>201569C0200</v>
      </c>
      <c r="B5148" t="str">
        <f>"201569C02002"</f>
        <v>201569C02002</v>
      </c>
      <c r="C5148" t="str">
        <f t="shared" si="259"/>
        <v>20</v>
      </c>
      <c r="D5148" t="s">
        <v>67</v>
      </c>
      <c r="E5148" t="str">
        <f t="shared" si="258"/>
        <v>023</v>
      </c>
      <c r="F5148" t="s">
        <v>5157</v>
      </c>
      <c r="G5148" t="str">
        <f>"1569"</f>
        <v>1569</v>
      </c>
      <c r="H5148" t="str">
        <f>"0002"</f>
        <v>0002</v>
      </c>
      <c r="I5148" t="s">
        <v>75</v>
      </c>
      <c r="J5148">
        <v>0</v>
      </c>
      <c r="K5148">
        <v>1</v>
      </c>
      <c r="L5148">
        <v>2</v>
      </c>
      <c r="M5148">
        <v>326</v>
      </c>
      <c r="N5148">
        <v>373</v>
      </c>
      <c r="O5148">
        <v>5</v>
      </c>
      <c r="P5148">
        <v>357</v>
      </c>
      <c r="Q5148">
        <v>2</v>
      </c>
      <c r="R5148">
        <v>129</v>
      </c>
      <c r="S5148">
        <v>4</v>
      </c>
      <c r="T5148">
        <v>2</v>
      </c>
      <c r="U5148">
        <v>18</v>
      </c>
      <c r="V5148">
        <v>5</v>
      </c>
      <c r="W5148">
        <v>6</v>
      </c>
      <c r="X5148">
        <v>165</v>
      </c>
      <c r="Y5148">
        <v>12</v>
      </c>
      <c r="Z5148">
        <v>1</v>
      </c>
      <c r="AA5148">
        <v>6</v>
      </c>
      <c r="AB5148">
        <v>1</v>
      </c>
      <c r="AD5148">
        <v>3</v>
      </c>
      <c r="AE5148">
        <v>2</v>
      </c>
      <c r="AF5148">
        <v>0</v>
      </c>
      <c r="AG5148">
        <v>0</v>
      </c>
      <c r="AI5148">
        <v>0</v>
      </c>
      <c r="AJ5148">
        <v>16</v>
      </c>
      <c r="AK5148">
        <v>373</v>
      </c>
      <c r="AL5148">
        <v>372</v>
      </c>
      <c r="AM5148">
        <v>655</v>
      </c>
      <c r="AN5148">
        <v>44</v>
      </c>
      <c r="AP5148">
        <v>1</v>
      </c>
      <c r="AR5148" t="s">
        <v>5252</v>
      </c>
      <c r="AS5148" s="1">
        <v>44354.225694444445</v>
      </c>
      <c r="AT5148" s="1">
        <v>44354.24013888889</v>
      </c>
      <c r="AU5148" s="1">
        <v>44354.240659722222</v>
      </c>
      <c r="AV5148" t="s">
        <v>71</v>
      </c>
      <c r="AW5148" t="s">
        <v>72</v>
      </c>
      <c r="AX5148" t="s">
        <v>73</v>
      </c>
    </row>
    <row r="5149" spans="1:50" x14ac:dyDescent="0.3">
      <c r="A5149" t="str">
        <f>"201570B0000"</f>
        <v>201570B0000</v>
      </c>
      <c r="B5149" t="str">
        <f>"201570B00002"</f>
        <v>201570B00002</v>
      </c>
      <c r="C5149" t="str">
        <f t="shared" si="259"/>
        <v>20</v>
      </c>
      <c r="D5149" t="s">
        <v>67</v>
      </c>
      <c r="E5149" t="str">
        <f t="shared" si="258"/>
        <v>023</v>
      </c>
      <c r="F5149" t="s">
        <v>5157</v>
      </c>
      <c r="G5149" t="str">
        <f>"1570"</f>
        <v>1570</v>
      </c>
      <c r="H5149" t="str">
        <f>"0000"</f>
        <v>0000</v>
      </c>
      <c r="I5149" t="s">
        <v>69</v>
      </c>
      <c r="J5149">
        <v>0</v>
      </c>
      <c r="K5149">
        <v>1</v>
      </c>
      <c r="L5149">
        <v>2</v>
      </c>
      <c r="M5149">
        <v>373</v>
      </c>
      <c r="N5149">
        <v>385</v>
      </c>
      <c r="O5149">
        <v>5</v>
      </c>
      <c r="P5149" t="s">
        <v>80</v>
      </c>
      <c r="Q5149">
        <v>7</v>
      </c>
      <c r="R5149">
        <v>127</v>
      </c>
      <c r="S5149">
        <v>5</v>
      </c>
      <c r="T5149">
        <v>3</v>
      </c>
      <c r="U5149">
        <v>17</v>
      </c>
      <c r="V5149">
        <v>1</v>
      </c>
      <c r="W5149">
        <v>8</v>
      </c>
      <c r="X5149">
        <v>176</v>
      </c>
      <c r="Y5149">
        <v>16</v>
      </c>
      <c r="Z5149">
        <v>0</v>
      </c>
      <c r="AA5149">
        <v>8</v>
      </c>
      <c r="AB5149">
        <v>1</v>
      </c>
      <c r="AD5149">
        <v>1</v>
      </c>
      <c r="AE5149">
        <v>0</v>
      </c>
      <c r="AF5149">
        <v>0</v>
      </c>
      <c r="AG5149">
        <v>2</v>
      </c>
      <c r="AI5149">
        <v>0</v>
      </c>
      <c r="AJ5149">
        <v>13</v>
      </c>
      <c r="AK5149">
        <v>385</v>
      </c>
      <c r="AL5149">
        <v>385</v>
      </c>
      <c r="AM5149">
        <v>714</v>
      </c>
      <c r="AN5149">
        <v>44</v>
      </c>
      <c r="AP5149">
        <v>1</v>
      </c>
      <c r="AR5149" t="s">
        <v>5253</v>
      </c>
      <c r="AS5149" s="1">
        <v>44354.185416666667</v>
      </c>
      <c r="AT5149" s="1">
        <v>44354.188726851855</v>
      </c>
      <c r="AU5149" s="1">
        <v>44354.189687500002</v>
      </c>
      <c r="AV5149" t="s">
        <v>71</v>
      </c>
      <c r="AW5149" t="s">
        <v>72</v>
      </c>
      <c r="AX5149" t="s">
        <v>73</v>
      </c>
    </row>
    <row r="5150" spans="1:50" x14ac:dyDescent="0.3">
      <c r="A5150" t="str">
        <f>"201570C0100"</f>
        <v>201570C0100</v>
      </c>
      <c r="B5150" t="str">
        <f>"201570C01002"</f>
        <v>201570C01002</v>
      </c>
      <c r="C5150" t="str">
        <f t="shared" si="259"/>
        <v>20</v>
      </c>
      <c r="D5150" t="s">
        <v>67</v>
      </c>
      <c r="E5150" t="str">
        <f t="shared" si="258"/>
        <v>023</v>
      </c>
      <c r="F5150" t="s">
        <v>5157</v>
      </c>
      <c r="G5150" t="str">
        <f>"1570"</f>
        <v>1570</v>
      </c>
      <c r="H5150" t="str">
        <f>"0001"</f>
        <v>0001</v>
      </c>
      <c r="I5150" t="s">
        <v>75</v>
      </c>
      <c r="J5150">
        <v>0</v>
      </c>
      <c r="K5150">
        <v>1</v>
      </c>
      <c r="L5150">
        <v>2</v>
      </c>
      <c r="M5150">
        <v>384</v>
      </c>
      <c r="N5150">
        <v>374</v>
      </c>
      <c r="O5150">
        <v>1</v>
      </c>
      <c r="P5150">
        <v>374</v>
      </c>
      <c r="Q5150">
        <v>2</v>
      </c>
      <c r="R5150">
        <v>113</v>
      </c>
      <c r="S5150">
        <v>5</v>
      </c>
      <c r="T5150">
        <v>3</v>
      </c>
      <c r="U5150">
        <v>18</v>
      </c>
      <c r="V5150">
        <v>4</v>
      </c>
      <c r="W5150">
        <v>19</v>
      </c>
      <c r="X5150">
        <v>176</v>
      </c>
      <c r="Y5150">
        <v>8</v>
      </c>
      <c r="Z5150">
        <v>3</v>
      </c>
      <c r="AA5150">
        <v>1</v>
      </c>
      <c r="AB5150">
        <v>5</v>
      </c>
      <c r="AD5150">
        <v>2</v>
      </c>
      <c r="AE5150">
        <v>0</v>
      </c>
      <c r="AF5150">
        <v>0</v>
      </c>
      <c r="AG5150">
        <v>2</v>
      </c>
      <c r="AI5150">
        <v>0</v>
      </c>
      <c r="AJ5150">
        <v>13</v>
      </c>
      <c r="AK5150">
        <v>374</v>
      </c>
      <c r="AL5150">
        <v>374</v>
      </c>
      <c r="AM5150">
        <v>714</v>
      </c>
      <c r="AN5150">
        <v>44</v>
      </c>
      <c r="AP5150">
        <v>1</v>
      </c>
      <c r="AR5150" t="s">
        <v>5254</v>
      </c>
      <c r="AS5150" s="1">
        <v>44354.185416666667</v>
      </c>
      <c r="AT5150" s="1">
        <v>44354.189560185187</v>
      </c>
      <c r="AU5150" s="1">
        <v>44354.190185185187</v>
      </c>
      <c r="AV5150" t="s">
        <v>71</v>
      </c>
      <c r="AW5150" t="s">
        <v>72</v>
      </c>
      <c r="AX5150" t="s">
        <v>73</v>
      </c>
    </row>
    <row r="5151" spans="1:50" x14ac:dyDescent="0.3">
      <c r="A5151" t="str">
        <f>"201570C0200"</f>
        <v>201570C0200</v>
      </c>
      <c r="B5151" t="str">
        <f>"201570C02002"</f>
        <v>201570C02002</v>
      </c>
      <c r="C5151" t="str">
        <f t="shared" si="259"/>
        <v>20</v>
      </c>
      <c r="D5151" t="s">
        <v>67</v>
      </c>
      <c r="E5151" t="str">
        <f t="shared" si="258"/>
        <v>023</v>
      </c>
      <c r="F5151" t="s">
        <v>5157</v>
      </c>
      <c r="G5151" t="str">
        <f>"1570"</f>
        <v>1570</v>
      </c>
      <c r="H5151" t="str">
        <f>"0002"</f>
        <v>0002</v>
      </c>
      <c r="I5151" t="s">
        <v>75</v>
      </c>
      <c r="J5151">
        <v>0</v>
      </c>
      <c r="K5151">
        <v>1</v>
      </c>
      <c r="L5151">
        <v>2</v>
      </c>
      <c r="M5151">
        <v>364</v>
      </c>
      <c r="N5151">
        <v>396</v>
      </c>
      <c r="O5151">
        <v>2</v>
      </c>
      <c r="P5151">
        <v>394</v>
      </c>
      <c r="Q5151">
        <v>7</v>
      </c>
      <c r="R5151">
        <v>123</v>
      </c>
      <c r="S5151">
        <v>3</v>
      </c>
      <c r="T5151">
        <v>4</v>
      </c>
      <c r="U5151">
        <v>17</v>
      </c>
      <c r="V5151">
        <v>4</v>
      </c>
      <c r="W5151">
        <v>24</v>
      </c>
      <c r="X5151">
        <v>170</v>
      </c>
      <c r="Y5151">
        <v>20</v>
      </c>
      <c r="Z5151">
        <v>3</v>
      </c>
      <c r="AA5151">
        <v>3</v>
      </c>
      <c r="AB5151">
        <v>5</v>
      </c>
      <c r="AD5151">
        <v>3</v>
      </c>
      <c r="AE5151" t="s">
        <v>77</v>
      </c>
      <c r="AF5151" t="s">
        <v>77</v>
      </c>
      <c r="AG5151" t="s">
        <v>77</v>
      </c>
      <c r="AI5151">
        <v>1</v>
      </c>
      <c r="AJ5151">
        <v>7</v>
      </c>
      <c r="AK5151">
        <v>394</v>
      </c>
      <c r="AL5151">
        <v>394</v>
      </c>
      <c r="AM5151">
        <v>714</v>
      </c>
      <c r="AN5151">
        <v>44</v>
      </c>
      <c r="AO5151" t="s">
        <v>78</v>
      </c>
      <c r="AP5151">
        <v>1</v>
      </c>
      <c r="AR5151" t="s">
        <v>5255</v>
      </c>
      <c r="AS5151" s="1">
        <v>44354.18472222222</v>
      </c>
      <c r="AT5151" s="1">
        <v>44354.191435185188</v>
      </c>
      <c r="AU5151" s="1">
        <v>44354.191817129627</v>
      </c>
      <c r="AV5151" t="s">
        <v>71</v>
      </c>
      <c r="AW5151" t="s">
        <v>72</v>
      </c>
      <c r="AX5151" t="s">
        <v>73</v>
      </c>
    </row>
    <row r="5152" spans="1:50" x14ac:dyDescent="0.3">
      <c r="A5152" t="str">
        <f>"201570C0300"</f>
        <v>201570C0300</v>
      </c>
      <c r="B5152" t="str">
        <f>"201570C03002"</f>
        <v>201570C03002</v>
      </c>
      <c r="C5152" t="str">
        <f t="shared" si="259"/>
        <v>20</v>
      </c>
      <c r="D5152" t="s">
        <v>67</v>
      </c>
      <c r="E5152" t="str">
        <f t="shared" si="258"/>
        <v>023</v>
      </c>
      <c r="F5152" t="s">
        <v>5157</v>
      </c>
      <c r="G5152" t="str">
        <f>"1570"</f>
        <v>1570</v>
      </c>
      <c r="H5152" t="str">
        <f>"0003"</f>
        <v>0003</v>
      </c>
      <c r="I5152" t="s">
        <v>75</v>
      </c>
      <c r="J5152">
        <v>0</v>
      </c>
      <c r="K5152">
        <v>1</v>
      </c>
      <c r="L5152">
        <v>2</v>
      </c>
      <c r="M5152">
        <v>373</v>
      </c>
      <c r="N5152">
        <v>385</v>
      </c>
      <c r="O5152">
        <v>5</v>
      </c>
      <c r="P5152">
        <v>385</v>
      </c>
      <c r="Q5152">
        <v>6</v>
      </c>
      <c r="R5152">
        <v>120</v>
      </c>
      <c r="S5152">
        <v>7</v>
      </c>
      <c r="T5152">
        <v>3</v>
      </c>
      <c r="U5152">
        <v>19</v>
      </c>
      <c r="V5152">
        <v>4</v>
      </c>
      <c r="W5152">
        <v>17</v>
      </c>
      <c r="X5152">
        <v>181</v>
      </c>
      <c r="Y5152">
        <v>9</v>
      </c>
      <c r="Z5152">
        <v>1</v>
      </c>
      <c r="AA5152">
        <v>4</v>
      </c>
      <c r="AB5152">
        <v>3</v>
      </c>
      <c r="AD5152">
        <v>1</v>
      </c>
      <c r="AE5152">
        <v>2</v>
      </c>
      <c r="AF5152">
        <v>0</v>
      </c>
      <c r="AG5152">
        <v>0</v>
      </c>
      <c r="AI5152">
        <v>0</v>
      </c>
      <c r="AJ5152">
        <v>8</v>
      </c>
      <c r="AK5152">
        <v>385</v>
      </c>
      <c r="AL5152">
        <v>385</v>
      </c>
      <c r="AM5152">
        <v>714</v>
      </c>
      <c r="AN5152">
        <v>44</v>
      </c>
      <c r="AP5152">
        <v>1</v>
      </c>
      <c r="AR5152" t="s">
        <v>5256</v>
      </c>
      <c r="AS5152" s="1">
        <v>44354.185416666667</v>
      </c>
      <c r="AT5152" s="1">
        <v>44354.189050925925</v>
      </c>
      <c r="AU5152" s="1">
        <v>44354.189421296294</v>
      </c>
      <c r="AV5152" t="s">
        <v>71</v>
      </c>
      <c r="AW5152" t="s">
        <v>72</v>
      </c>
      <c r="AX5152" t="s">
        <v>73</v>
      </c>
    </row>
    <row r="5153" spans="1:50" x14ac:dyDescent="0.3">
      <c r="A5153" t="str">
        <f>"201571B0000"</f>
        <v>201571B0000</v>
      </c>
      <c r="B5153" t="str">
        <f>"201571B00002"</f>
        <v>201571B00002</v>
      </c>
      <c r="C5153" t="str">
        <f t="shared" si="259"/>
        <v>20</v>
      </c>
      <c r="D5153" t="s">
        <v>67</v>
      </c>
      <c r="E5153" t="str">
        <f t="shared" si="258"/>
        <v>023</v>
      </c>
      <c r="F5153" t="s">
        <v>5157</v>
      </c>
      <c r="G5153" t="str">
        <f>"1571"</f>
        <v>1571</v>
      </c>
      <c r="H5153" t="str">
        <f>"0000"</f>
        <v>0000</v>
      </c>
      <c r="I5153" t="s">
        <v>69</v>
      </c>
      <c r="J5153">
        <v>0</v>
      </c>
      <c r="K5153">
        <v>1</v>
      </c>
      <c r="L5153">
        <v>2</v>
      </c>
      <c r="M5153">
        <v>245</v>
      </c>
      <c r="N5153">
        <v>333</v>
      </c>
      <c r="O5153">
        <v>3</v>
      </c>
      <c r="P5153">
        <v>333</v>
      </c>
      <c r="Q5153">
        <v>3</v>
      </c>
      <c r="R5153">
        <v>110</v>
      </c>
      <c r="S5153">
        <v>7</v>
      </c>
      <c r="T5153">
        <v>0</v>
      </c>
      <c r="U5153">
        <v>24</v>
      </c>
      <c r="V5153">
        <v>4</v>
      </c>
      <c r="W5153">
        <v>13</v>
      </c>
      <c r="X5153">
        <v>143</v>
      </c>
      <c r="Y5153">
        <v>13</v>
      </c>
      <c r="Z5153">
        <v>2</v>
      </c>
      <c r="AA5153">
        <v>1</v>
      </c>
      <c r="AB5153">
        <v>2</v>
      </c>
      <c r="AD5153">
        <v>1</v>
      </c>
      <c r="AE5153">
        <v>0</v>
      </c>
      <c r="AF5153">
        <v>0</v>
      </c>
      <c r="AG5153">
        <v>0</v>
      </c>
      <c r="AI5153">
        <v>0</v>
      </c>
      <c r="AJ5153">
        <v>10</v>
      </c>
      <c r="AK5153">
        <v>333</v>
      </c>
      <c r="AL5153">
        <v>333</v>
      </c>
      <c r="AM5153">
        <v>534</v>
      </c>
      <c r="AN5153">
        <v>44</v>
      </c>
      <c r="AP5153">
        <v>1</v>
      </c>
      <c r="AR5153" t="s">
        <v>5257</v>
      </c>
      <c r="AS5153" s="1">
        <v>44354.496527777781</v>
      </c>
      <c r="AT5153" s="1">
        <v>44354.498518518521</v>
      </c>
      <c r="AU5153" s="1">
        <v>44354.499120370368</v>
      </c>
      <c r="AV5153" t="s">
        <v>71</v>
      </c>
      <c r="AW5153" t="s">
        <v>72</v>
      </c>
      <c r="AX5153" t="s">
        <v>73</v>
      </c>
    </row>
    <row r="5154" spans="1:50" x14ac:dyDescent="0.3">
      <c r="A5154" t="str">
        <f>"201571C0100"</f>
        <v>201571C0100</v>
      </c>
      <c r="B5154" t="str">
        <f>"201571C01002"</f>
        <v>201571C01002</v>
      </c>
      <c r="C5154" t="str">
        <f t="shared" si="259"/>
        <v>20</v>
      </c>
      <c r="D5154" t="s">
        <v>67</v>
      </c>
      <c r="E5154" t="str">
        <f t="shared" si="258"/>
        <v>023</v>
      </c>
      <c r="F5154" t="s">
        <v>5157</v>
      </c>
      <c r="G5154" t="str">
        <f>"1571"</f>
        <v>1571</v>
      </c>
      <c r="H5154" t="str">
        <f>"0001"</f>
        <v>0001</v>
      </c>
      <c r="I5154" t="s">
        <v>75</v>
      </c>
      <c r="J5154">
        <v>0</v>
      </c>
      <c r="K5154">
        <v>1</v>
      </c>
      <c r="L5154">
        <v>2</v>
      </c>
      <c r="M5154">
        <v>273</v>
      </c>
      <c r="N5154">
        <v>304</v>
      </c>
      <c r="O5154">
        <v>3</v>
      </c>
      <c r="P5154">
        <v>304</v>
      </c>
      <c r="Q5154">
        <v>0</v>
      </c>
      <c r="R5154">
        <v>107</v>
      </c>
      <c r="S5154">
        <v>6</v>
      </c>
      <c r="T5154">
        <v>0</v>
      </c>
      <c r="U5154">
        <v>28</v>
      </c>
      <c r="V5154">
        <v>2</v>
      </c>
      <c r="W5154">
        <v>11</v>
      </c>
      <c r="X5154">
        <v>118</v>
      </c>
      <c r="Y5154">
        <v>6</v>
      </c>
      <c r="Z5154">
        <v>2</v>
      </c>
      <c r="AA5154">
        <v>3</v>
      </c>
      <c r="AB5154">
        <v>8</v>
      </c>
      <c r="AD5154">
        <v>1</v>
      </c>
      <c r="AE5154">
        <v>0</v>
      </c>
      <c r="AF5154">
        <v>0</v>
      </c>
      <c r="AG5154">
        <v>1</v>
      </c>
      <c r="AI5154">
        <v>0</v>
      </c>
      <c r="AJ5154">
        <v>11</v>
      </c>
      <c r="AK5154">
        <v>304</v>
      </c>
      <c r="AL5154">
        <v>304</v>
      </c>
      <c r="AM5154">
        <v>533</v>
      </c>
      <c r="AN5154">
        <v>44</v>
      </c>
      <c r="AP5154">
        <v>1</v>
      </c>
      <c r="AR5154" t="s">
        <v>5258</v>
      </c>
      <c r="AS5154" s="1">
        <v>44354.490277777775</v>
      </c>
      <c r="AT5154" s="1">
        <v>44354.493784722225</v>
      </c>
      <c r="AU5154" s="1">
        <v>44354.494398148148</v>
      </c>
      <c r="AV5154" t="s">
        <v>71</v>
      </c>
      <c r="AW5154" t="s">
        <v>72</v>
      </c>
      <c r="AX5154" t="s">
        <v>73</v>
      </c>
    </row>
    <row r="5155" spans="1:50" x14ac:dyDescent="0.3">
      <c r="A5155" t="str">
        <f>"201572B0000"</f>
        <v>201572B0000</v>
      </c>
      <c r="B5155" t="str">
        <f>"201572B00002"</f>
        <v>201572B00002</v>
      </c>
      <c r="C5155" t="str">
        <f t="shared" si="259"/>
        <v>20</v>
      </c>
      <c r="D5155" t="s">
        <v>67</v>
      </c>
      <c r="E5155" t="str">
        <f t="shared" si="258"/>
        <v>023</v>
      </c>
      <c r="F5155" t="s">
        <v>5157</v>
      </c>
      <c r="G5155" t="str">
        <f>"1572"</f>
        <v>1572</v>
      </c>
      <c r="H5155" t="str">
        <f>"0000"</f>
        <v>0000</v>
      </c>
      <c r="I5155" t="s">
        <v>69</v>
      </c>
      <c r="J5155">
        <v>0</v>
      </c>
      <c r="K5155">
        <v>1</v>
      </c>
      <c r="L5155">
        <v>2</v>
      </c>
      <c r="M5155">
        <v>329</v>
      </c>
      <c r="N5155">
        <v>366</v>
      </c>
      <c r="O5155">
        <v>8</v>
      </c>
      <c r="P5155">
        <v>366</v>
      </c>
      <c r="Q5155">
        <v>5</v>
      </c>
      <c r="R5155">
        <v>108</v>
      </c>
      <c r="S5155">
        <v>3</v>
      </c>
      <c r="T5155">
        <v>2</v>
      </c>
      <c r="U5155">
        <v>27</v>
      </c>
      <c r="V5155">
        <v>3</v>
      </c>
      <c r="W5155">
        <v>12</v>
      </c>
      <c r="X5155">
        <v>167</v>
      </c>
      <c r="Y5155">
        <v>22</v>
      </c>
      <c r="Z5155">
        <v>2</v>
      </c>
      <c r="AA5155">
        <v>2</v>
      </c>
      <c r="AB5155">
        <v>5</v>
      </c>
      <c r="AD5155">
        <v>2</v>
      </c>
      <c r="AE5155">
        <v>0</v>
      </c>
      <c r="AF5155">
        <v>0</v>
      </c>
      <c r="AG5155">
        <v>0</v>
      </c>
      <c r="AI5155">
        <v>0</v>
      </c>
      <c r="AJ5155">
        <v>6</v>
      </c>
      <c r="AK5155">
        <v>366</v>
      </c>
      <c r="AL5155">
        <v>366</v>
      </c>
      <c r="AM5155">
        <v>651</v>
      </c>
      <c r="AN5155">
        <v>44</v>
      </c>
      <c r="AP5155">
        <v>1</v>
      </c>
      <c r="AR5155" t="s">
        <v>5259</v>
      </c>
      <c r="AS5155" s="1">
        <v>44354.371527777781</v>
      </c>
      <c r="AT5155" s="1">
        <v>44354.376805555556</v>
      </c>
      <c r="AU5155" s="1">
        <v>44354.377696759257</v>
      </c>
      <c r="AV5155" t="s">
        <v>71</v>
      </c>
      <c r="AW5155" t="s">
        <v>72</v>
      </c>
      <c r="AX5155" t="s">
        <v>73</v>
      </c>
    </row>
    <row r="5156" spans="1:50" x14ac:dyDescent="0.3">
      <c r="A5156" t="str">
        <f>"201572C0100"</f>
        <v>201572C0100</v>
      </c>
      <c r="B5156" t="str">
        <f>"201572C01002"</f>
        <v>201572C01002</v>
      </c>
      <c r="C5156" t="str">
        <f t="shared" si="259"/>
        <v>20</v>
      </c>
      <c r="D5156" t="s">
        <v>67</v>
      </c>
      <c r="E5156" t="str">
        <f t="shared" si="258"/>
        <v>023</v>
      </c>
      <c r="F5156" t="s">
        <v>5157</v>
      </c>
      <c r="G5156" t="str">
        <f>"1572"</f>
        <v>1572</v>
      </c>
      <c r="H5156" t="str">
        <f>"0001"</f>
        <v>0001</v>
      </c>
      <c r="I5156" t="s">
        <v>75</v>
      </c>
      <c r="J5156">
        <v>0</v>
      </c>
      <c r="K5156">
        <v>1</v>
      </c>
      <c r="L5156">
        <v>2</v>
      </c>
      <c r="M5156">
        <v>345</v>
      </c>
      <c r="N5156">
        <v>349</v>
      </c>
      <c r="O5156">
        <v>7</v>
      </c>
      <c r="P5156">
        <v>349</v>
      </c>
      <c r="Q5156">
        <v>0</v>
      </c>
      <c r="R5156">
        <v>94</v>
      </c>
      <c r="S5156">
        <v>4</v>
      </c>
      <c r="T5156">
        <v>0</v>
      </c>
      <c r="U5156">
        <v>15</v>
      </c>
      <c r="V5156">
        <v>3</v>
      </c>
      <c r="W5156">
        <v>15</v>
      </c>
      <c r="X5156">
        <v>186</v>
      </c>
      <c r="Y5156">
        <v>15</v>
      </c>
      <c r="Z5156">
        <v>1</v>
      </c>
      <c r="AA5156">
        <v>4</v>
      </c>
      <c r="AB5156">
        <v>1</v>
      </c>
      <c r="AD5156">
        <v>0</v>
      </c>
      <c r="AE5156">
        <v>0</v>
      </c>
      <c r="AF5156">
        <v>0</v>
      </c>
      <c r="AG5156">
        <v>1</v>
      </c>
      <c r="AI5156">
        <v>0</v>
      </c>
      <c r="AJ5156">
        <v>10</v>
      </c>
      <c r="AK5156">
        <v>349</v>
      </c>
      <c r="AL5156">
        <v>349</v>
      </c>
      <c r="AM5156">
        <v>650</v>
      </c>
      <c r="AN5156">
        <v>44</v>
      </c>
      <c r="AP5156">
        <v>1</v>
      </c>
      <c r="AR5156" t="s">
        <v>5260</v>
      </c>
      <c r="AS5156" s="1">
        <v>44354.176388888889</v>
      </c>
      <c r="AT5156" s="1">
        <v>44354.179016203707</v>
      </c>
      <c r="AU5156" s="1">
        <v>44354.179490740738</v>
      </c>
      <c r="AV5156" t="s">
        <v>71</v>
      </c>
      <c r="AW5156" t="s">
        <v>72</v>
      </c>
      <c r="AX5156" t="s">
        <v>73</v>
      </c>
    </row>
    <row r="5157" spans="1:50" x14ac:dyDescent="0.3">
      <c r="A5157" t="str">
        <f>"201572C0200"</f>
        <v>201572C0200</v>
      </c>
      <c r="B5157" t="str">
        <f>"201572C02002"</f>
        <v>201572C02002</v>
      </c>
      <c r="C5157" t="str">
        <f t="shared" si="259"/>
        <v>20</v>
      </c>
      <c r="D5157" t="s">
        <v>67</v>
      </c>
      <c r="E5157" t="str">
        <f t="shared" si="258"/>
        <v>023</v>
      </c>
      <c r="F5157" t="s">
        <v>5157</v>
      </c>
      <c r="G5157" t="str">
        <f>"1572"</f>
        <v>1572</v>
      </c>
      <c r="H5157" t="str">
        <f>"0002"</f>
        <v>0002</v>
      </c>
      <c r="I5157" t="s">
        <v>75</v>
      </c>
      <c r="J5157">
        <v>0</v>
      </c>
      <c r="K5157">
        <v>1</v>
      </c>
      <c r="L5157">
        <v>2</v>
      </c>
      <c r="M5157">
        <v>353</v>
      </c>
      <c r="N5157">
        <v>341</v>
      </c>
      <c r="O5157">
        <v>4</v>
      </c>
      <c r="P5157">
        <v>341</v>
      </c>
      <c r="Q5157">
        <v>2</v>
      </c>
      <c r="R5157">
        <v>82</v>
      </c>
      <c r="S5157">
        <v>9</v>
      </c>
      <c r="T5157">
        <v>1</v>
      </c>
      <c r="U5157">
        <v>24</v>
      </c>
      <c r="V5157">
        <v>3</v>
      </c>
      <c r="W5157">
        <v>15</v>
      </c>
      <c r="X5157">
        <v>179</v>
      </c>
      <c r="Y5157">
        <v>11</v>
      </c>
      <c r="Z5157">
        <v>0</v>
      </c>
      <c r="AA5157">
        <v>2</v>
      </c>
      <c r="AB5157">
        <v>2</v>
      </c>
      <c r="AD5157">
        <v>2</v>
      </c>
      <c r="AE5157">
        <v>0</v>
      </c>
      <c r="AF5157">
        <v>0</v>
      </c>
      <c r="AG5157">
        <v>0</v>
      </c>
      <c r="AI5157">
        <v>0</v>
      </c>
      <c r="AJ5157">
        <v>9</v>
      </c>
      <c r="AK5157">
        <v>341</v>
      </c>
      <c r="AL5157">
        <v>341</v>
      </c>
      <c r="AM5157">
        <v>650</v>
      </c>
      <c r="AN5157">
        <v>44</v>
      </c>
      <c r="AP5157">
        <v>1</v>
      </c>
      <c r="AR5157" t="s">
        <v>5261</v>
      </c>
      <c r="AS5157" s="1">
        <v>44354.635416666664</v>
      </c>
      <c r="AT5157" s="1">
        <v>44354.637743055559</v>
      </c>
      <c r="AU5157" s="1">
        <v>44354.638344907406</v>
      </c>
      <c r="AV5157" t="s">
        <v>71</v>
      </c>
      <c r="AW5157" t="s">
        <v>72</v>
      </c>
      <c r="AX5157" t="s">
        <v>347</v>
      </c>
    </row>
    <row r="5158" spans="1:50" x14ac:dyDescent="0.3">
      <c r="A5158" t="str">
        <f>"201573B0000"</f>
        <v>201573B0000</v>
      </c>
      <c r="B5158" t="str">
        <f>"201573B00002"</f>
        <v>201573B00002</v>
      </c>
      <c r="C5158" t="str">
        <f t="shared" si="259"/>
        <v>20</v>
      </c>
      <c r="D5158" t="s">
        <v>67</v>
      </c>
      <c r="E5158" t="str">
        <f t="shared" si="258"/>
        <v>023</v>
      </c>
      <c r="F5158" t="s">
        <v>5157</v>
      </c>
      <c r="G5158" t="str">
        <f>"1573"</f>
        <v>1573</v>
      </c>
      <c r="H5158" t="str">
        <f>"0000"</f>
        <v>0000</v>
      </c>
      <c r="I5158" t="s">
        <v>69</v>
      </c>
      <c r="J5158">
        <v>0</v>
      </c>
      <c r="K5158">
        <v>1</v>
      </c>
      <c r="L5158">
        <v>2</v>
      </c>
      <c r="M5158">
        <v>346</v>
      </c>
      <c r="N5158">
        <v>419</v>
      </c>
      <c r="O5158">
        <v>9</v>
      </c>
      <c r="P5158">
        <v>418</v>
      </c>
      <c r="Q5158">
        <v>6</v>
      </c>
      <c r="R5158">
        <v>140</v>
      </c>
      <c r="S5158">
        <v>10</v>
      </c>
      <c r="T5158">
        <v>1</v>
      </c>
      <c r="U5158">
        <v>28</v>
      </c>
      <c r="V5158">
        <v>6</v>
      </c>
      <c r="W5158">
        <v>12</v>
      </c>
      <c r="X5158">
        <v>192</v>
      </c>
      <c r="Y5158">
        <v>12</v>
      </c>
      <c r="Z5158">
        <v>1</v>
      </c>
      <c r="AA5158">
        <v>2</v>
      </c>
      <c r="AB5158">
        <v>0</v>
      </c>
      <c r="AD5158">
        <v>3</v>
      </c>
      <c r="AE5158">
        <v>0</v>
      </c>
      <c r="AF5158">
        <v>0</v>
      </c>
      <c r="AG5158">
        <v>0</v>
      </c>
      <c r="AI5158">
        <v>0</v>
      </c>
      <c r="AJ5158">
        <v>5</v>
      </c>
      <c r="AK5158">
        <v>418</v>
      </c>
      <c r="AL5158">
        <v>418</v>
      </c>
      <c r="AM5158">
        <v>721</v>
      </c>
      <c r="AN5158">
        <v>44</v>
      </c>
      <c r="AP5158">
        <v>1</v>
      </c>
      <c r="AR5158" t="s">
        <v>5262</v>
      </c>
      <c r="AS5158" s="1">
        <v>44354.145138888889</v>
      </c>
      <c r="AT5158" s="1">
        <v>44354.148495370369</v>
      </c>
      <c r="AU5158" s="1">
        <v>44354.149398148147</v>
      </c>
      <c r="AV5158" t="s">
        <v>71</v>
      </c>
      <c r="AW5158" t="s">
        <v>72</v>
      </c>
      <c r="AX5158" t="s">
        <v>73</v>
      </c>
    </row>
    <row r="5159" spans="1:50" x14ac:dyDescent="0.3">
      <c r="A5159" t="str">
        <f>"201573C0100"</f>
        <v>201573C0100</v>
      </c>
      <c r="B5159" t="str">
        <f>"201573C01002"</f>
        <v>201573C01002</v>
      </c>
      <c r="C5159" t="str">
        <f t="shared" si="259"/>
        <v>20</v>
      </c>
      <c r="D5159" t="s">
        <v>67</v>
      </c>
      <c r="E5159" t="str">
        <f t="shared" si="258"/>
        <v>023</v>
      </c>
      <c r="F5159" t="s">
        <v>5157</v>
      </c>
      <c r="G5159" t="str">
        <f>"1573"</f>
        <v>1573</v>
      </c>
      <c r="H5159" t="str">
        <f>"0001"</f>
        <v>0001</v>
      </c>
      <c r="I5159" t="s">
        <v>75</v>
      </c>
      <c r="J5159">
        <v>0</v>
      </c>
      <c r="K5159">
        <v>1</v>
      </c>
      <c r="L5159">
        <v>2</v>
      </c>
      <c r="M5159">
        <v>378</v>
      </c>
      <c r="N5159">
        <v>387</v>
      </c>
      <c r="O5159">
        <v>7</v>
      </c>
      <c r="P5159">
        <v>388</v>
      </c>
      <c r="Q5159">
        <v>6</v>
      </c>
      <c r="R5159">
        <v>112</v>
      </c>
      <c r="S5159">
        <v>5</v>
      </c>
      <c r="T5159">
        <v>1</v>
      </c>
      <c r="U5159">
        <v>14</v>
      </c>
      <c r="V5159">
        <v>2</v>
      </c>
      <c r="W5159">
        <v>19</v>
      </c>
      <c r="X5159">
        <v>199</v>
      </c>
      <c r="Y5159">
        <v>10</v>
      </c>
      <c r="Z5159">
        <v>1</v>
      </c>
      <c r="AA5159">
        <v>0</v>
      </c>
      <c r="AB5159">
        <v>5</v>
      </c>
      <c r="AD5159">
        <v>6</v>
      </c>
      <c r="AE5159">
        <v>2</v>
      </c>
      <c r="AF5159">
        <v>0</v>
      </c>
      <c r="AG5159">
        <v>0</v>
      </c>
      <c r="AI5159">
        <v>0</v>
      </c>
      <c r="AJ5159">
        <v>6</v>
      </c>
      <c r="AK5159">
        <v>388</v>
      </c>
      <c r="AL5159">
        <v>388</v>
      </c>
      <c r="AM5159">
        <v>721</v>
      </c>
      <c r="AN5159">
        <v>44</v>
      </c>
      <c r="AP5159">
        <v>1</v>
      </c>
      <c r="AR5159" t="s">
        <v>5263</v>
      </c>
      <c r="AS5159" s="1">
        <v>44354.135416666664</v>
      </c>
      <c r="AT5159" s="1">
        <v>44354.138379629629</v>
      </c>
      <c r="AU5159" s="1">
        <v>44354.138796296298</v>
      </c>
      <c r="AV5159" t="s">
        <v>71</v>
      </c>
      <c r="AW5159" t="s">
        <v>72</v>
      </c>
      <c r="AX5159" t="s">
        <v>73</v>
      </c>
    </row>
    <row r="5160" spans="1:50" x14ac:dyDescent="0.3">
      <c r="A5160" t="str">
        <f>"201573C0200"</f>
        <v>201573C0200</v>
      </c>
      <c r="B5160" t="str">
        <f>"201573C02002"</f>
        <v>201573C02002</v>
      </c>
      <c r="C5160" t="str">
        <f t="shared" si="259"/>
        <v>20</v>
      </c>
      <c r="D5160" t="s">
        <v>67</v>
      </c>
      <c r="E5160" t="str">
        <f t="shared" si="258"/>
        <v>023</v>
      </c>
      <c r="F5160" t="s">
        <v>5157</v>
      </c>
      <c r="G5160" t="str">
        <f>"1573"</f>
        <v>1573</v>
      </c>
      <c r="H5160" t="str">
        <f>"0002"</f>
        <v>0002</v>
      </c>
      <c r="I5160" t="s">
        <v>75</v>
      </c>
      <c r="J5160">
        <v>0</v>
      </c>
      <c r="K5160">
        <v>1</v>
      </c>
      <c r="L5160">
        <v>2</v>
      </c>
      <c r="M5160">
        <v>379</v>
      </c>
      <c r="N5160">
        <v>386</v>
      </c>
      <c r="O5160">
        <v>2</v>
      </c>
      <c r="P5160">
        <v>386</v>
      </c>
      <c r="Q5160">
        <v>5</v>
      </c>
      <c r="R5160">
        <v>109</v>
      </c>
      <c r="S5160">
        <v>8</v>
      </c>
      <c r="T5160">
        <v>2</v>
      </c>
      <c r="U5160">
        <v>11</v>
      </c>
      <c r="V5160">
        <v>1</v>
      </c>
      <c r="W5160">
        <v>15</v>
      </c>
      <c r="X5160">
        <v>217</v>
      </c>
      <c r="Y5160">
        <v>7</v>
      </c>
      <c r="Z5160">
        <v>1</v>
      </c>
      <c r="AA5160">
        <v>3</v>
      </c>
      <c r="AB5160">
        <v>1</v>
      </c>
      <c r="AD5160">
        <v>2</v>
      </c>
      <c r="AE5160">
        <v>0</v>
      </c>
      <c r="AF5160">
        <v>0</v>
      </c>
      <c r="AG5160">
        <v>0</v>
      </c>
      <c r="AI5160">
        <v>0</v>
      </c>
      <c r="AJ5160">
        <v>4</v>
      </c>
      <c r="AK5160">
        <v>386</v>
      </c>
      <c r="AL5160">
        <v>386</v>
      </c>
      <c r="AM5160">
        <v>721</v>
      </c>
      <c r="AN5160">
        <v>44</v>
      </c>
      <c r="AP5160">
        <v>1</v>
      </c>
      <c r="AR5160" t="s">
        <v>5264</v>
      </c>
      <c r="AS5160" s="1">
        <v>44354.135416666664</v>
      </c>
      <c r="AT5160" s="1">
        <v>44354.138541666667</v>
      </c>
      <c r="AU5160" s="1">
        <v>44354.139016203706</v>
      </c>
      <c r="AV5160" t="s">
        <v>71</v>
      </c>
      <c r="AW5160" t="s">
        <v>72</v>
      </c>
      <c r="AX5160" t="s">
        <v>73</v>
      </c>
    </row>
    <row r="5161" spans="1:50" x14ac:dyDescent="0.3">
      <c r="A5161" t="str">
        <f>"201574B0000"</f>
        <v>201574B0000</v>
      </c>
      <c r="B5161" t="str">
        <f>"201574B00002"</f>
        <v>201574B00002</v>
      </c>
      <c r="C5161" t="str">
        <f t="shared" si="259"/>
        <v>20</v>
      </c>
      <c r="D5161" t="s">
        <v>67</v>
      </c>
      <c r="E5161" t="str">
        <f t="shared" si="258"/>
        <v>023</v>
      </c>
      <c r="F5161" t="s">
        <v>5157</v>
      </c>
      <c r="G5161" t="str">
        <f>"1574"</f>
        <v>1574</v>
      </c>
      <c r="H5161" t="str">
        <f>"0000"</f>
        <v>0000</v>
      </c>
      <c r="I5161" t="s">
        <v>69</v>
      </c>
      <c r="J5161">
        <v>0</v>
      </c>
      <c r="K5161">
        <v>1</v>
      </c>
      <c r="L5161">
        <v>2</v>
      </c>
      <c r="M5161">
        <v>301</v>
      </c>
      <c r="N5161">
        <v>390</v>
      </c>
      <c r="O5161">
        <v>6</v>
      </c>
      <c r="P5161">
        <v>390</v>
      </c>
      <c r="Q5161">
        <v>2</v>
      </c>
      <c r="R5161">
        <v>118</v>
      </c>
      <c r="S5161">
        <v>9</v>
      </c>
      <c r="T5161">
        <v>2</v>
      </c>
      <c r="U5161">
        <v>17</v>
      </c>
      <c r="V5161">
        <v>6</v>
      </c>
      <c r="W5161">
        <v>6</v>
      </c>
      <c r="X5161">
        <v>204</v>
      </c>
      <c r="Y5161">
        <v>4</v>
      </c>
      <c r="Z5161">
        <v>1</v>
      </c>
      <c r="AA5161">
        <v>5</v>
      </c>
      <c r="AB5161">
        <v>3</v>
      </c>
      <c r="AD5161">
        <v>4</v>
      </c>
      <c r="AE5161">
        <v>0</v>
      </c>
      <c r="AF5161">
        <v>0</v>
      </c>
      <c r="AG5161">
        <v>1</v>
      </c>
      <c r="AI5161">
        <v>0</v>
      </c>
      <c r="AJ5161">
        <v>8</v>
      </c>
      <c r="AK5161">
        <v>390</v>
      </c>
      <c r="AL5161">
        <v>390</v>
      </c>
      <c r="AM5161">
        <v>647</v>
      </c>
      <c r="AN5161">
        <v>44</v>
      </c>
      <c r="AP5161">
        <v>1</v>
      </c>
      <c r="AR5161" t="s">
        <v>5265</v>
      </c>
      <c r="AS5161" s="1">
        <v>44354.18472222222</v>
      </c>
      <c r="AT5161" s="1">
        <v>44354.187094907407</v>
      </c>
      <c r="AU5161" s="1">
        <v>44354.187581018516</v>
      </c>
      <c r="AV5161" t="s">
        <v>71</v>
      </c>
      <c r="AW5161" t="s">
        <v>72</v>
      </c>
      <c r="AX5161" t="s">
        <v>73</v>
      </c>
    </row>
    <row r="5162" spans="1:50" x14ac:dyDescent="0.3">
      <c r="A5162" t="str">
        <f>"201574C0100"</f>
        <v>201574C0100</v>
      </c>
      <c r="B5162" t="str">
        <f>"201574C01002"</f>
        <v>201574C01002</v>
      </c>
      <c r="C5162" t="str">
        <f t="shared" si="259"/>
        <v>20</v>
      </c>
      <c r="D5162" t="s">
        <v>67</v>
      </c>
      <c r="E5162" t="str">
        <f t="shared" si="258"/>
        <v>023</v>
      </c>
      <c r="F5162" t="s">
        <v>5157</v>
      </c>
      <c r="G5162" t="str">
        <f>"1574"</f>
        <v>1574</v>
      </c>
      <c r="H5162" t="str">
        <f>"0001"</f>
        <v>0001</v>
      </c>
      <c r="I5162" t="s">
        <v>75</v>
      </c>
      <c r="J5162">
        <v>0</v>
      </c>
      <c r="K5162">
        <v>1</v>
      </c>
      <c r="L5162">
        <v>2</v>
      </c>
      <c r="M5162">
        <v>342</v>
      </c>
      <c r="N5162">
        <v>348</v>
      </c>
      <c r="O5162">
        <v>0</v>
      </c>
      <c r="P5162">
        <v>348</v>
      </c>
      <c r="Q5162">
        <v>4</v>
      </c>
      <c r="R5162">
        <v>89</v>
      </c>
      <c r="S5162">
        <v>6</v>
      </c>
      <c r="T5162">
        <v>0</v>
      </c>
      <c r="U5162">
        <v>18</v>
      </c>
      <c r="V5162">
        <v>2</v>
      </c>
      <c r="W5162">
        <v>7</v>
      </c>
      <c r="X5162">
        <v>184</v>
      </c>
      <c r="Y5162">
        <v>6</v>
      </c>
      <c r="Z5162">
        <v>5</v>
      </c>
      <c r="AA5162">
        <v>2</v>
      </c>
      <c r="AB5162">
        <v>7</v>
      </c>
      <c r="AD5162">
        <v>5</v>
      </c>
      <c r="AE5162">
        <v>0</v>
      </c>
      <c r="AF5162">
        <v>0</v>
      </c>
      <c r="AG5162">
        <v>0</v>
      </c>
      <c r="AI5162">
        <v>0</v>
      </c>
      <c r="AJ5162">
        <v>13</v>
      </c>
      <c r="AK5162">
        <v>348</v>
      </c>
      <c r="AL5162">
        <v>348</v>
      </c>
      <c r="AM5162">
        <v>646</v>
      </c>
      <c r="AN5162">
        <v>44</v>
      </c>
      <c r="AP5162">
        <v>1</v>
      </c>
      <c r="AR5162" t="s">
        <v>5266</v>
      </c>
      <c r="AS5162" s="1">
        <v>44354.183333333334</v>
      </c>
      <c r="AT5162" s="1">
        <v>44354.186053240737</v>
      </c>
      <c r="AU5162" s="1">
        <v>44354.187349537038</v>
      </c>
      <c r="AV5162" t="s">
        <v>71</v>
      </c>
      <c r="AW5162" t="s">
        <v>72</v>
      </c>
      <c r="AX5162" t="s">
        <v>73</v>
      </c>
    </row>
    <row r="5163" spans="1:50" x14ac:dyDescent="0.3">
      <c r="A5163" t="str">
        <f>"201574C0200"</f>
        <v>201574C0200</v>
      </c>
      <c r="B5163" t="str">
        <f>"201574C02002"</f>
        <v>201574C02002</v>
      </c>
      <c r="C5163" t="str">
        <f t="shared" si="259"/>
        <v>20</v>
      </c>
      <c r="D5163" t="s">
        <v>67</v>
      </c>
      <c r="E5163" t="str">
        <f t="shared" si="258"/>
        <v>023</v>
      </c>
      <c r="F5163" t="s">
        <v>5157</v>
      </c>
      <c r="G5163" t="str">
        <f>"1574"</f>
        <v>1574</v>
      </c>
      <c r="H5163" t="str">
        <f>"0002"</f>
        <v>0002</v>
      </c>
      <c r="I5163" t="s">
        <v>75</v>
      </c>
      <c r="J5163">
        <v>0</v>
      </c>
      <c r="K5163">
        <v>1</v>
      </c>
      <c r="L5163">
        <v>2</v>
      </c>
      <c r="M5163">
        <v>353</v>
      </c>
      <c r="N5163">
        <v>337</v>
      </c>
      <c r="O5163" t="s">
        <v>80</v>
      </c>
      <c r="P5163">
        <v>337</v>
      </c>
      <c r="Q5163">
        <v>5</v>
      </c>
      <c r="R5163">
        <v>98</v>
      </c>
      <c r="S5163">
        <v>6</v>
      </c>
      <c r="T5163">
        <v>0</v>
      </c>
      <c r="U5163">
        <v>10</v>
      </c>
      <c r="V5163">
        <v>4</v>
      </c>
      <c r="W5163">
        <v>9</v>
      </c>
      <c r="X5163">
        <v>178</v>
      </c>
      <c r="Y5163">
        <v>8</v>
      </c>
      <c r="Z5163">
        <v>1</v>
      </c>
      <c r="AA5163">
        <v>5</v>
      </c>
      <c r="AB5163">
        <v>0</v>
      </c>
      <c r="AD5163">
        <v>4</v>
      </c>
      <c r="AE5163">
        <v>0</v>
      </c>
      <c r="AF5163">
        <v>0</v>
      </c>
      <c r="AG5163">
        <v>0</v>
      </c>
      <c r="AI5163">
        <v>0</v>
      </c>
      <c r="AJ5163">
        <v>9</v>
      </c>
      <c r="AK5163">
        <v>337</v>
      </c>
      <c r="AL5163">
        <v>337</v>
      </c>
      <c r="AM5163">
        <v>646</v>
      </c>
      <c r="AN5163">
        <v>44</v>
      </c>
      <c r="AP5163">
        <v>1</v>
      </c>
      <c r="AR5163" t="s">
        <v>5267</v>
      </c>
      <c r="AS5163" s="1">
        <v>44354.184027777781</v>
      </c>
      <c r="AT5163" s="1">
        <v>44354.18644675926</v>
      </c>
      <c r="AU5163" s="1">
        <v>44354.187476851854</v>
      </c>
      <c r="AV5163" t="s">
        <v>71</v>
      </c>
      <c r="AW5163" t="s">
        <v>72</v>
      </c>
      <c r="AX5163" t="s">
        <v>73</v>
      </c>
    </row>
    <row r="5164" spans="1:50" x14ac:dyDescent="0.3">
      <c r="A5164" t="str">
        <f>"201575B0000"</f>
        <v>201575B0000</v>
      </c>
      <c r="B5164" t="str">
        <f>"201575B00002"</f>
        <v>201575B00002</v>
      </c>
      <c r="C5164" t="str">
        <f t="shared" si="259"/>
        <v>20</v>
      </c>
      <c r="D5164" t="s">
        <v>67</v>
      </c>
      <c r="E5164" t="str">
        <f t="shared" si="258"/>
        <v>023</v>
      </c>
      <c r="F5164" t="s">
        <v>5157</v>
      </c>
      <c r="G5164" t="str">
        <f>"1575"</f>
        <v>1575</v>
      </c>
      <c r="H5164" t="str">
        <f>"0000"</f>
        <v>0000</v>
      </c>
      <c r="I5164" t="s">
        <v>69</v>
      </c>
      <c r="J5164">
        <v>0</v>
      </c>
      <c r="K5164">
        <v>1</v>
      </c>
      <c r="L5164">
        <v>2</v>
      </c>
      <c r="M5164">
        <v>335</v>
      </c>
      <c r="N5164">
        <v>438</v>
      </c>
      <c r="O5164">
        <v>1</v>
      </c>
      <c r="P5164">
        <v>438</v>
      </c>
      <c r="Q5164">
        <v>5</v>
      </c>
      <c r="R5164">
        <v>124</v>
      </c>
      <c r="S5164">
        <v>5</v>
      </c>
      <c r="T5164">
        <v>1</v>
      </c>
      <c r="U5164">
        <v>21</v>
      </c>
      <c r="V5164">
        <v>1</v>
      </c>
      <c r="W5164">
        <v>39</v>
      </c>
      <c r="X5164">
        <v>210</v>
      </c>
      <c r="Y5164">
        <v>7</v>
      </c>
      <c r="Z5164">
        <v>3</v>
      </c>
      <c r="AA5164">
        <v>2</v>
      </c>
      <c r="AB5164">
        <v>3</v>
      </c>
      <c r="AD5164">
        <v>4</v>
      </c>
      <c r="AE5164">
        <v>1</v>
      </c>
      <c r="AF5164">
        <v>0</v>
      </c>
      <c r="AG5164">
        <v>1</v>
      </c>
      <c r="AI5164">
        <v>0</v>
      </c>
      <c r="AJ5164">
        <v>11</v>
      </c>
      <c r="AK5164">
        <v>438</v>
      </c>
      <c r="AL5164">
        <v>438</v>
      </c>
      <c r="AM5164">
        <v>729</v>
      </c>
      <c r="AN5164">
        <v>44</v>
      </c>
      <c r="AP5164">
        <v>1</v>
      </c>
      <c r="AR5164" t="s">
        <v>5268</v>
      </c>
      <c r="AS5164" s="1">
        <v>44354.12222222222</v>
      </c>
      <c r="AT5164" s="1">
        <v>44354.125648148147</v>
      </c>
      <c r="AU5164" s="1">
        <v>44354.126539351855</v>
      </c>
      <c r="AV5164" t="s">
        <v>71</v>
      </c>
      <c r="AW5164" t="s">
        <v>72</v>
      </c>
      <c r="AX5164" t="s">
        <v>73</v>
      </c>
    </row>
    <row r="5165" spans="1:50" x14ac:dyDescent="0.3">
      <c r="A5165" t="str">
        <f>"201575C0100"</f>
        <v>201575C0100</v>
      </c>
      <c r="B5165" t="str">
        <f>"201575C01002"</f>
        <v>201575C01002</v>
      </c>
      <c r="C5165" t="str">
        <f t="shared" si="259"/>
        <v>20</v>
      </c>
      <c r="D5165" t="s">
        <v>67</v>
      </c>
      <c r="E5165" t="str">
        <f t="shared" si="258"/>
        <v>023</v>
      </c>
      <c r="F5165" t="s">
        <v>5157</v>
      </c>
      <c r="G5165" t="str">
        <f>"1575"</f>
        <v>1575</v>
      </c>
      <c r="H5165" t="str">
        <f>"0001"</f>
        <v>0001</v>
      </c>
      <c r="I5165" t="s">
        <v>75</v>
      </c>
      <c r="J5165">
        <v>0</v>
      </c>
      <c r="K5165">
        <v>1</v>
      </c>
      <c r="L5165">
        <v>2</v>
      </c>
      <c r="M5165">
        <v>366</v>
      </c>
      <c r="N5165">
        <v>407</v>
      </c>
      <c r="O5165">
        <v>1</v>
      </c>
      <c r="P5165">
        <v>407</v>
      </c>
      <c r="Q5165">
        <v>2</v>
      </c>
      <c r="R5165">
        <v>140</v>
      </c>
      <c r="S5165">
        <v>1</v>
      </c>
      <c r="T5165">
        <v>0</v>
      </c>
      <c r="U5165">
        <v>24</v>
      </c>
      <c r="V5165">
        <v>2</v>
      </c>
      <c r="W5165">
        <v>19</v>
      </c>
      <c r="X5165">
        <v>190</v>
      </c>
      <c r="Y5165">
        <v>10</v>
      </c>
      <c r="Z5165">
        <v>3</v>
      </c>
      <c r="AA5165">
        <v>3</v>
      </c>
      <c r="AB5165">
        <v>2</v>
      </c>
      <c r="AD5165">
        <v>2</v>
      </c>
      <c r="AE5165">
        <v>1</v>
      </c>
      <c r="AF5165">
        <v>0</v>
      </c>
      <c r="AG5165">
        <v>1</v>
      </c>
      <c r="AI5165">
        <v>0</v>
      </c>
      <c r="AJ5165">
        <v>7</v>
      </c>
      <c r="AK5165">
        <v>407</v>
      </c>
      <c r="AL5165">
        <v>407</v>
      </c>
      <c r="AM5165">
        <v>729</v>
      </c>
      <c r="AN5165">
        <v>44</v>
      </c>
      <c r="AP5165">
        <v>1</v>
      </c>
      <c r="AR5165" t="s">
        <v>5269</v>
      </c>
      <c r="AS5165" s="1">
        <v>44354.121527777781</v>
      </c>
      <c r="AT5165" s="1">
        <v>44354.125613425924</v>
      </c>
      <c r="AU5165" s="1">
        <v>44354.126076388886</v>
      </c>
      <c r="AV5165" t="s">
        <v>71</v>
      </c>
      <c r="AW5165" t="s">
        <v>72</v>
      </c>
      <c r="AX5165" t="s">
        <v>73</v>
      </c>
    </row>
    <row r="5166" spans="1:50" x14ac:dyDescent="0.3">
      <c r="A5166" t="str">
        <f>"201575C0200"</f>
        <v>201575C0200</v>
      </c>
      <c r="B5166" t="str">
        <f>"201575C02002"</f>
        <v>201575C02002</v>
      </c>
      <c r="C5166" t="str">
        <f t="shared" si="259"/>
        <v>20</v>
      </c>
      <c r="D5166" t="s">
        <v>67</v>
      </c>
      <c r="E5166" t="str">
        <f t="shared" si="258"/>
        <v>023</v>
      </c>
      <c r="F5166" t="s">
        <v>5157</v>
      </c>
      <c r="G5166" t="str">
        <f>"1575"</f>
        <v>1575</v>
      </c>
      <c r="H5166" t="str">
        <f>"0002"</f>
        <v>0002</v>
      </c>
      <c r="I5166" t="s">
        <v>75</v>
      </c>
      <c r="J5166">
        <v>0</v>
      </c>
      <c r="K5166">
        <v>1</v>
      </c>
      <c r="L5166">
        <v>2</v>
      </c>
      <c r="M5166">
        <v>404</v>
      </c>
      <c r="N5166">
        <v>367</v>
      </c>
      <c r="O5166">
        <v>7</v>
      </c>
      <c r="P5166">
        <v>368</v>
      </c>
      <c r="Q5166">
        <v>0</v>
      </c>
      <c r="R5166">
        <v>129</v>
      </c>
      <c r="S5166">
        <v>7</v>
      </c>
      <c r="T5166">
        <v>3</v>
      </c>
      <c r="U5166">
        <v>15</v>
      </c>
      <c r="V5166">
        <v>2</v>
      </c>
      <c r="W5166">
        <v>32</v>
      </c>
      <c r="X5166">
        <v>150</v>
      </c>
      <c r="Y5166">
        <v>6</v>
      </c>
      <c r="Z5166">
        <v>2</v>
      </c>
      <c r="AA5166">
        <v>4</v>
      </c>
      <c r="AB5166">
        <v>6</v>
      </c>
      <c r="AD5166">
        <v>4</v>
      </c>
      <c r="AE5166">
        <v>0</v>
      </c>
      <c r="AF5166">
        <v>0</v>
      </c>
      <c r="AG5166">
        <v>0</v>
      </c>
      <c r="AI5166">
        <v>0</v>
      </c>
      <c r="AJ5166">
        <v>8</v>
      </c>
      <c r="AK5166">
        <v>368</v>
      </c>
      <c r="AL5166">
        <v>368</v>
      </c>
      <c r="AM5166">
        <v>728</v>
      </c>
      <c r="AN5166">
        <v>44</v>
      </c>
      <c r="AP5166">
        <v>1</v>
      </c>
      <c r="AR5166" t="s">
        <v>5270</v>
      </c>
      <c r="AS5166" s="1">
        <v>44354.122916666667</v>
      </c>
      <c r="AT5166" s="1">
        <v>44354.126585648148</v>
      </c>
      <c r="AU5166" s="1">
        <v>44354.127245370371</v>
      </c>
      <c r="AV5166" t="s">
        <v>71</v>
      </c>
      <c r="AW5166" t="s">
        <v>72</v>
      </c>
      <c r="AX5166" t="s">
        <v>73</v>
      </c>
    </row>
    <row r="5167" spans="1:50" x14ac:dyDescent="0.3">
      <c r="A5167" t="str">
        <f>"201576B0000"</f>
        <v>201576B0000</v>
      </c>
      <c r="B5167" t="str">
        <f>"201576B00002"</f>
        <v>201576B00002</v>
      </c>
      <c r="C5167" t="str">
        <f t="shared" si="259"/>
        <v>20</v>
      </c>
      <c r="D5167" t="s">
        <v>67</v>
      </c>
      <c r="E5167" t="str">
        <f t="shared" si="258"/>
        <v>023</v>
      </c>
      <c r="F5167" t="s">
        <v>5157</v>
      </c>
      <c r="G5167" t="str">
        <f>"1576"</f>
        <v>1576</v>
      </c>
      <c r="H5167" t="str">
        <f>"0000"</f>
        <v>0000</v>
      </c>
      <c r="I5167" t="s">
        <v>69</v>
      </c>
      <c r="J5167">
        <v>0</v>
      </c>
      <c r="K5167">
        <v>1</v>
      </c>
      <c r="L5167">
        <v>2</v>
      </c>
      <c r="M5167">
        <v>340</v>
      </c>
      <c r="N5167">
        <v>348</v>
      </c>
      <c r="O5167">
        <v>0</v>
      </c>
      <c r="P5167">
        <v>348</v>
      </c>
      <c r="Q5167">
        <v>4</v>
      </c>
      <c r="R5167">
        <v>111</v>
      </c>
      <c r="S5167">
        <v>3</v>
      </c>
      <c r="T5167">
        <v>2</v>
      </c>
      <c r="U5167">
        <v>16</v>
      </c>
      <c r="V5167">
        <v>2</v>
      </c>
      <c r="W5167">
        <v>24</v>
      </c>
      <c r="X5167">
        <v>161</v>
      </c>
      <c r="Y5167">
        <v>3</v>
      </c>
      <c r="Z5167">
        <v>3</v>
      </c>
      <c r="AA5167">
        <v>3</v>
      </c>
      <c r="AB5167">
        <v>2</v>
      </c>
      <c r="AD5167">
        <v>0</v>
      </c>
      <c r="AE5167">
        <v>0</v>
      </c>
      <c r="AF5167">
        <v>0</v>
      </c>
      <c r="AG5167">
        <v>0</v>
      </c>
      <c r="AI5167">
        <v>0</v>
      </c>
      <c r="AJ5167">
        <v>14</v>
      </c>
      <c r="AK5167">
        <v>348</v>
      </c>
      <c r="AL5167">
        <v>348</v>
      </c>
      <c r="AM5167">
        <v>644</v>
      </c>
      <c r="AN5167">
        <v>44</v>
      </c>
      <c r="AP5167">
        <v>1</v>
      </c>
      <c r="AR5167" t="s">
        <v>5271</v>
      </c>
      <c r="AS5167" s="1">
        <v>44354.336111111108</v>
      </c>
      <c r="AT5167" s="1">
        <v>44354.338935185187</v>
      </c>
      <c r="AU5167" s="1">
        <v>44354.339236111111</v>
      </c>
      <c r="AV5167" t="s">
        <v>71</v>
      </c>
      <c r="AW5167" t="s">
        <v>72</v>
      </c>
      <c r="AX5167" t="s">
        <v>73</v>
      </c>
    </row>
    <row r="5168" spans="1:50" x14ac:dyDescent="0.3">
      <c r="A5168" t="str">
        <f>"201576C0100"</f>
        <v>201576C0100</v>
      </c>
      <c r="B5168" t="str">
        <f>"201576C01002"</f>
        <v>201576C01002</v>
      </c>
      <c r="C5168" t="str">
        <f t="shared" si="259"/>
        <v>20</v>
      </c>
      <c r="D5168" t="s">
        <v>67</v>
      </c>
      <c r="E5168" t="str">
        <f t="shared" si="258"/>
        <v>023</v>
      </c>
      <c r="F5168" t="s">
        <v>5157</v>
      </c>
      <c r="G5168" t="str">
        <f>"1576"</f>
        <v>1576</v>
      </c>
      <c r="H5168" t="str">
        <f>"0001"</f>
        <v>0001</v>
      </c>
      <c r="I5168" t="s">
        <v>75</v>
      </c>
      <c r="J5168">
        <v>0</v>
      </c>
      <c r="K5168">
        <v>1</v>
      </c>
      <c r="L5168">
        <v>2</v>
      </c>
      <c r="M5168">
        <v>319</v>
      </c>
      <c r="N5168">
        <v>369</v>
      </c>
      <c r="O5168">
        <v>7</v>
      </c>
      <c r="P5168">
        <v>369</v>
      </c>
      <c r="Q5168">
        <v>3</v>
      </c>
      <c r="R5168">
        <v>135</v>
      </c>
      <c r="S5168">
        <v>7</v>
      </c>
      <c r="T5168">
        <v>1</v>
      </c>
      <c r="U5168">
        <v>28</v>
      </c>
      <c r="V5168">
        <v>3</v>
      </c>
      <c r="W5168">
        <v>22</v>
      </c>
      <c r="X5168">
        <v>149</v>
      </c>
      <c r="Y5168">
        <v>6</v>
      </c>
      <c r="Z5168">
        <v>1</v>
      </c>
      <c r="AA5168">
        <v>1</v>
      </c>
      <c r="AB5168">
        <v>1</v>
      </c>
      <c r="AD5168">
        <v>3</v>
      </c>
      <c r="AE5168">
        <v>0</v>
      </c>
      <c r="AF5168">
        <v>0</v>
      </c>
      <c r="AG5168">
        <v>0</v>
      </c>
      <c r="AI5168">
        <v>0</v>
      </c>
      <c r="AJ5168">
        <v>9</v>
      </c>
      <c r="AK5168">
        <v>369</v>
      </c>
      <c r="AL5168">
        <v>369</v>
      </c>
      <c r="AM5168">
        <v>644</v>
      </c>
      <c r="AN5168">
        <v>44</v>
      </c>
      <c r="AP5168">
        <v>1</v>
      </c>
      <c r="AR5168" t="s">
        <v>5272</v>
      </c>
      <c r="AS5168" s="1">
        <v>44354.092361111114</v>
      </c>
      <c r="AT5168" s="1">
        <v>44354.098229166666</v>
      </c>
      <c r="AU5168" s="1">
        <v>44354.10261574074</v>
      </c>
      <c r="AV5168" t="s">
        <v>71</v>
      </c>
      <c r="AW5168" t="s">
        <v>72</v>
      </c>
      <c r="AX5168" t="s">
        <v>73</v>
      </c>
    </row>
    <row r="5169" spans="1:50" x14ac:dyDescent="0.3">
      <c r="A5169" t="str">
        <f>"201576C0200"</f>
        <v>201576C0200</v>
      </c>
      <c r="B5169" t="str">
        <f>"201576C02002"</f>
        <v>201576C02002</v>
      </c>
      <c r="C5169" t="str">
        <f t="shared" si="259"/>
        <v>20</v>
      </c>
      <c r="D5169" t="s">
        <v>67</v>
      </c>
      <c r="E5169" t="str">
        <f t="shared" si="258"/>
        <v>023</v>
      </c>
      <c r="F5169" t="s">
        <v>5157</v>
      </c>
      <c r="G5169" t="str">
        <f>"1576"</f>
        <v>1576</v>
      </c>
      <c r="H5169" t="str">
        <f>"0002"</f>
        <v>0002</v>
      </c>
      <c r="I5169" t="s">
        <v>75</v>
      </c>
      <c r="J5169">
        <v>0</v>
      </c>
      <c r="K5169">
        <v>1</v>
      </c>
      <c r="L5169">
        <v>2</v>
      </c>
      <c r="M5169">
        <v>329</v>
      </c>
      <c r="N5169">
        <v>358</v>
      </c>
      <c r="O5169">
        <v>0</v>
      </c>
      <c r="P5169">
        <v>0</v>
      </c>
      <c r="Q5169">
        <v>4</v>
      </c>
      <c r="R5169">
        <v>144</v>
      </c>
      <c r="S5169">
        <v>3</v>
      </c>
      <c r="T5169">
        <v>0</v>
      </c>
      <c r="U5169">
        <v>27</v>
      </c>
      <c r="V5169">
        <v>2</v>
      </c>
      <c r="W5169">
        <v>14</v>
      </c>
      <c r="X5169">
        <v>134</v>
      </c>
      <c r="Y5169">
        <v>5</v>
      </c>
      <c r="Z5169">
        <v>4</v>
      </c>
      <c r="AA5169">
        <v>0</v>
      </c>
      <c r="AB5169">
        <v>9</v>
      </c>
      <c r="AD5169">
        <v>1</v>
      </c>
      <c r="AE5169">
        <v>0</v>
      </c>
      <c r="AF5169">
        <v>0</v>
      </c>
      <c r="AG5169">
        <v>0</v>
      </c>
      <c r="AI5169">
        <v>0</v>
      </c>
      <c r="AJ5169">
        <v>10</v>
      </c>
      <c r="AK5169">
        <v>357</v>
      </c>
      <c r="AL5169">
        <v>357</v>
      </c>
      <c r="AM5169">
        <v>643</v>
      </c>
      <c r="AN5169">
        <v>44</v>
      </c>
      <c r="AP5169">
        <v>1</v>
      </c>
      <c r="AR5169" t="s">
        <v>5273</v>
      </c>
      <c r="AS5169" s="1">
        <v>44354.337500000001</v>
      </c>
      <c r="AT5169" s="1">
        <v>44354.342870370368</v>
      </c>
      <c r="AU5169" s="1">
        <v>44354.343356481484</v>
      </c>
      <c r="AV5169" t="s">
        <v>71</v>
      </c>
      <c r="AW5169" t="s">
        <v>72</v>
      </c>
      <c r="AX5169" t="s">
        <v>73</v>
      </c>
    </row>
    <row r="5170" spans="1:50" x14ac:dyDescent="0.3">
      <c r="A5170" t="str">
        <f>"201576C0300"</f>
        <v>201576C0300</v>
      </c>
      <c r="B5170" t="str">
        <f>"201576C03002"</f>
        <v>201576C03002</v>
      </c>
      <c r="C5170" t="str">
        <f t="shared" si="259"/>
        <v>20</v>
      </c>
      <c r="D5170" t="s">
        <v>67</v>
      </c>
      <c r="E5170" t="str">
        <f t="shared" si="258"/>
        <v>023</v>
      </c>
      <c r="F5170" t="s">
        <v>5157</v>
      </c>
      <c r="G5170" t="str">
        <f>"1576"</f>
        <v>1576</v>
      </c>
      <c r="H5170" t="str">
        <f>"0003"</f>
        <v>0003</v>
      </c>
      <c r="I5170" t="s">
        <v>75</v>
      </c>
      <c r="J5170">
        <v>0</v>
      </c>
      <c r="K5170">
        <v>1</v>
      </c>
      <c r="L5170">
        <v>2</v>
      </c>
      <c r="M5170">
        <v>324</v>
      </c>
      <c r="N5170">
        <v>363</v>
      </c>
      <c r="O5170">
        <v>0</v>
      </c>
      <c r="P5170">
        <v>363</v>
      </c>
      <c r="Q5170">
        <v>2</v>
      </c>
      <c r="R5170">
        <v>138</v>
      </c>
      <c r="S5170">
        <v>2</v>
      </c>
      <c r="T5170">
        <v>3</v>
      </c>
      <c r="U5170">
        <v>18</v>
      </c>
      <c r="V5170">
        <v>2</v>
      </c>
      <c r="W5170">
        <v>23</v>
      </c>
      <c r="X5170">
        <v>147</v>
      </c>
      <c r="Y5170">
        <v>4</v>
      </c>
      <c r="Z5170">
        <v>2</v>
      </c>
      <c r="AA5170">
        <v>4</v>
      </c>
      <c r="AB5170">
        <v>1</v>
      </c>
      <c r="AD5170">
        <v>0</v>
      </c>
      <c r="AE5170">
        <v>0</v>
      </c>
      <c r="AF5170">
        <v>0</v>
      </c>
      <c r="AG5170">
        <v>0</v>
      </c>
      <c r="AI5170">
        <v>0</v>
      </c>
      <c r="AJ5170">
        <v>17</v>
      </c>
      <c r="AK5170">
        <v>363</v>
      </c>
      <c r="AL5170">
        <v>363</v>
      </c>
      <c r="AM5170">
        <v>643</v>
      </c>
      <c r="AN5170">
        <v>44</v>
      </c>
      <c r="AP5170">
        <v>1</v>
      </c>
      <c r="AR5170" t="s">
        <v>5274</v>
      </c>
      <c r="AS5170" s="1">
        <v>44354.106249999997</v>
      </c>
      <c r="AT5170" s="1">
        <v>44354.111111111109</v>
      </c>
      <c r="AU5170" s="1">
        <v>44354.111631944441</v>
      </c>
      <c r="AV5170" t="s">
        <v>71</v>
      </c>
      <c r="AW5170" t="s">
        <v>72</v>
      </c>
      <c r="AX5170" t="s">
        <v>73</v>
      </c>
    </row>
    <row r="5171" spans="1:50" x14ac:dyDescent="0.3">
      <c r="A5171" t="str">
        <f>"201576C0400"</f>
        <v>201576C0400</v>
      </c>
      <c r="B5171" t="str">
        <f>"201576C04002"</f>
        <v>201576C04002</v>
      </c>
      <c r="C5171" t="str">
        <f t="shared" si="259"/>
        <v>20</v>
      </c>
      <c r="D5171" t="s">
        <v>67</v>
      </c>
      <c r="E5171" t="str">
        <f t="shared" si="258"/>
        <v>023</v>
      </c>
      <c r="F5171" t="s">
        <v>5157</v>
      </c>
      <c r="G5171" t="str">
        <f>"1576"</f>
        <v>1576</v>
      </c>
      <c r="H5171" t="str">
        <f>"0004"</f>
        <v>0004</v>
      </c>
      <c r="I5171" t="s">
        <v>75</v>
      </c>
      <c r="J5171">
        <v>0</v>
      </c>
      <c r="K5171">
        <v>1</v>
      </c>
      <c r="L5171">
        <v>2</v>
      </c>
      <c r="M5171">
        <v>344</v>
      </c>
      <c r="N5171">
        <v>343</v>
      </c>
      <c r="O5171">
        <v>6</v>
      </c>
      <c r="P5171">
        <v>343</v>
      </c>
      <c r="Q5171">
        <v>2</v>
      </c>
      <c r="R5171">
        <v>120</v>
      </c>
      <c r="S5171">
        <v>4</v>
      </c>
      <c r="T5171">
        <v>2</v>
      </c>
      <c r="U5171">
        <v>25</v>
      </c>
      <c r="V5171">
        <v>3</v>
      </c>
      <c r="W5171">
        <v>0</v>
      </c>
      <c r="X5171">
        <v>134</v>
      </c>
      <c r="Y5171">
        <v>9</v>
      </c>
      <c r="Z5171">
        <v>2</v>
      </c>
      <c r="AA5171">
        <v>1</v>
      </c>
      <c r="AB5171">
        <v>0</v>
      </c>
      <c r="AD5171">
        <v>0</v>
      </c>
      <c r="AE5171">
        <v>0</v>
      </c>
      <c r="AF5171">
        <v>0</v>
      </c>
      <c r="AG5171">
        <v>0</v>
      </c>
      <c r="AI5171">
        <v>32</v>
      </c>
      <c r="AJ5171">
        <v>9</v>
      </c>
      <c r="AK5171">
        <v>343</v>
      </c>
      <c r="AL5171">
        <v>343</v>
      </c>
      <c r="AM5171">
        <v>643</v>
      </c>
      <c r="AN5171">
        <v>44</v>
      </c>
      <c r="AP5171">
        <v>1</v>
      </c>
      <c r="AR5171" t="s">
        <v>5275</v>
      </c>
      <c r="AS5171" s="1">
        <v>44354.105555555558</v>
      </c>
      <c r="AT5171" s="1">
        <v>44354.109849537039</v>
      </c>
      <c r="AU5171" s="1">
        <v>44354.110775462963</v>
      </c>
      <c r="AV5171" t="s">
        <v>71</v>
      </c>
      <c r="AW5171" t="s">
        <v>72</v>
      </c>
      <c r="AX5171" t="s">
        <v>73</v>
      </c>
    </row>
    <row r="5172" spans="1:50" x14ac:dyDescent="0.3">
      <c r="A5172" t="str">
        <f>"201577B0000"</f>
        <v>201577B0000</v>
      </c>
      <c r="B5172" t="str">
        <f>"201577B00002"</f>
        <v>201577B00002</v>
      </c>
      <c r="C5172" t="str">
        <f t="shared" si="259"/>
        <v>20</v>
      </c>
      <c r="D5172" t="s">
        <v>67</v>
      </c>
      <c r="E5172" t="str">
        <f t="shared" si="258"/>
        <v>023</v>
      </c>
      <c r="F5172" t="s">
        <v>5157</v>
      </c>
      <c r="G5172" t="str">
        <f>"1577"</f>
        <v>1577</v>
      </c>
      <c r="H5172" t="str">
        <f>"0000"</f>
        <v>0000</v>
      </c>
      <c r="I5172" t="s">
        <v>69</v>
      </c>
      <c r="J5172">
        <v>0</v>
      </c>
      <c r="K5172">
        <v>1</v>
      </c>
      <c r="L5172">
        <v>2</v>
      </c>
      <c r="M5172">
        <v>339</v>
      </c>
      <c r="N5172">
        <v>406</v>
      </c>
      <c r="O5172">
        <v>1</v>
      </c>
      <c r="P5172">
        <v>406</v>
      </c>
      <c r="Q5172">
        <v>5</v>
      </c>
      <c r="R5172">
        <v>103</v>
      </c>
      <c r="S5172">
        <v>1</v>
      </c>
      <c r="T5172">
        <v>5</v>
      </c>
      <c r="U5172">
        <v>30</v>
      </c>
      <c r="V5172">
        <v>1</v>
      </c>
      <c r="W5172">
        <v>73</v>
      </c>
      <c r="X5172">
        <v>150</v>
      </c>
      <c r="Y5172">
        <v>16</v>
      </c>
      <c r="Z5172">
        <v>2</v>
      </c>
      <c r="AA5172">
        <v>1</v>
      </c>
      <c r="AB5172">
        <v>3</v>
      </c>
      <c r="AD5172">
        <v>3</v>
      </c>
      <c r="AE5172">
        <v>0</v>
      </c>
      <c r="AF5172">
        <v>0</v>
      </c>
      <c r="AG5172">
        <v>1</v>
      </c>
      <c r="AI5172">
        <v>0</v>
      </c>
      <c r="AJ5172">
        <v>12</v>
      </c>
      <c r="AK5172">
        <v>406</v>
      </c>
      <c r="AL5172">
        <v>406</v>
      </c>
      <c r="AM5172">
        <v>701</v>
      </c>
      <c r="AN5172">
        <v>44</v>
      </c>
      <c r="AP5172">
        <v>1</v>
      </c>
      <c r="AR5172" t="s">
        <v>5276</v>
      </c>
      <c r="AS5172" s="1">
        <v>44354.179861111108</v>
      </c>
      <c r="AT5172" s="1">
        <v>44354.183645833335</v>
      </c>
      <c r="AU5172" s="1">
        <v>44354.184652777774</v>
      </c>
      <c r="AV5172" t="s">
        <v>71</v>
      </c>
      <c r="AW5172" t="s">
        <v>72</v>
      </c>
      <c r="AX5172" t="s">
        <v>73</v>
      </c>
    </row>
    <row r="5173" spans="1:50" x14ac:dyDescent="0.3">
      <c r="A5173" t="str">
        <f>"201577C0100"</f>
        <v>201577C0100</v>
      </c>
      <c r="B5173" t="str">
        <f>"201577C01002"</f>
        <v>201577C01002</v>
      </c>
      <c r="C5173" t="str">
        <f t="shared" si="259"/>
        <v>20</v>
      </c>
      <c r="D5173" t="s">
        <v>67</v>
      </c>
      <c r="E5173" t="str">
        <f t="shared" si="258"/>
        <v>023</v>
      </c>
      <c r="F5173" t="s">
        <v>5157</v>
      </c>
      <c r="G5173" t="str">
        <f>"1577"</f>
        <v>1577</v>
      </c>
      <c r="H5173" t="str">
        <f>"0001"</f>
        <v>0001</v>
      </c>
      <c r="I5173" t="s">
        <v>75</v>
      </c>
      <c r="J5173">
        <v>0</v>
      </c>
      <c r="K5173">
        <v>1</v>
      </c>
      <c r="L5173">
        <v>2</v>
      </c>
      <c r="M5173">
        <v>362</v>
      </c>
      <c r="N5173">
        <v>382</v>
      </c>
      <c r="O5173">
        <v>1</v>
      </c>
      <c r="P5173">
        <v>382</v>
      </c>
      <c r="Q5173">
        <v>3</v>
      </c>
      <c r="R5173">
        <v>101</v>
      </c>
      <c r="S5173">
        <v>1</v>
      </c>
      <c r="T5173">
        <v>3</v>
      </c>
      <c r="U5173">
        <v>47</v>
      </c>
      <c r="V5173">
        <v>1</v>
      </c>
      <c r="W5173">
        <v>55</v>
      </c>
      <c r="X5173">
        <v>137</v>
      </c>
      <c r="Y5173">
        <v>8</v>
      </c>
      <c r="Z5173">
        <v>0</v>
      </c>
      <c r="AA5173">
        <v>2</v>
      </c>
      <c r="AB5173">
        <v>7</v>
      </c>
      <c r="AD5173">
        <v>3</v>
      </c>
      <c r="AE5173">
        <v>0</v>
      </c>
      <c r="AF5173">
        <v>0</v>
      </c>
      <c r="AG5173">
        <v>0</v>
      </c>
      <c r="AI5173">
        <v>0</v>
      </c>
      <c r="AJ5173">
        <v>14</v>
      </c>
      <c r="AK5173">
        <v>382</v>
      </c>
      <c r="AL5173">
        <v>382</v>
      </c>
      <c r="AM5173">
        <v>700</v>
      </c>
      <c r="AN5173">
        <v>44</v>
      </c>
      <c r="AP5173">
        <v>1</v>
      </c>
      <c r="AR5173" t="s">
        <v>5277</v>
      </c>
      <c r="AS5173" s="1">
        <v>44354.179861111108</v>
      </c>
      <c r="AT5173" s="1">
        <v>44354.182858796295</v>
      </c>
      <c r="AU5173" s="1">
        <v>44354.183333333334</v>
      </c>
      <c r="AV5173" t="s">
        <v>71</v>
      </c>
      <c r="AW5173" t="s">
        <v>72</v>
      </c>
      <c r="AX5173" t="s">
        <v>73</v>
      </c>
    </row>
    <row r="5174" spans="1:50" x14ac:dyDescent="0.3">
      <c r="A5174" t="str">
        <f>"201578B0000"</f>
        <v>201578B0000</v>
      </c>
      <c r="B5174" t="str">
        <f>"201578B00002"</f>
        <v>201578B00002</v>
      </c>
      <c r="C5174" t="str">
        <f t="shared" si="259"/>
        <v>20</v>
      </c>
      <c r="D5174" t="s">
        <v>67</v>
      </c>
      <c r="E5174" t="str">
        <f t="shared" si="258"/>
        <v>023</v>
      </c>
      <c r="F5174" t="s">
        <v>5157</v>
      </c>
      <c r="G5174" t="str">
        <f>"1578"</f>
        <v>1578</v>
      </c>
      <c r="H5174" t="str">
        <f>"0000"</f>
        <v>0000</v>
      </c>
      <c r="I5174" t="s">
        <v>69</v>
      </c>
      <c r="J5174">
        <v>0</v>
      </c>
      <c r="K5174">
        <v>1</v>
      </c>
      <c r="L5174">
        <v>2</v>
      </c>
      <c r="M5174">
        <v>267</v>
      </c>
      <c r="N5174">
        <v>317</v>
      </c>
      <c r="O5174">
        <v>3</v>
      </c>
      <c r="P5174">
        <v>317</v>
      </c>
      <c r="Q5174">
        <v>1</v>
      </c>
      <c r="R5174">
        <v>85</v>
      </c>
      <c r="S5174">
        <v>3</v>
      </c>
      <c r="T5174">
        <v>5</v>
      </c>
      <c r="U5174">
        <v>22</v>
      </c>
      <c r="V5174">
        <v>1</v>
      </c>
      <c r="W5174">
        <v>42</v>
      </c>
      <c r="X5174">
        <v>124</v>
      </c>
      <c r="Y5174">
        <v>13</v>
      </c>
      <c r="Z5174">
        <v>1</v>
      </c>
      <c r="AA5174">
        <v>1</v>
      </c>
      <c r="AB5174">
        <v>3</v>
      </c>
      <c r="AD5174">
        <v>3</v>
      </c>
      <c r="AE5174">
        <v>0</v>
      </c>
      <c r="AF5174">
        <v>0</v>
      </c>
      <c r="AG5174">
        <v>0</v>
      </c>
      <c r="AI5174">
        <v>0</v>
      </c>
      <c r="AJ5174">
        <v>13</v>
      </c>
      <c r="AK5174">
        <v>317</v>
      </c>
      <c r="AL5174">
        <v>317</v>
      </c>
      <c r="AM5174">
        <v>540</v>
      </c>
      <c r="AN5174">
        <v>44</v>
      </c>
      <c r="AP5174">
        <v>1</v>
      </c>
      <c r="AR5174" t="s">
        <v>5278</v>
      </c>
      <c r="AS5174" s="1">
        <v>44354.180555555555</v>
      </c>
      <c r="AT5174" s="1">
        <v>44354.183368055557</v>
      </c>
      <c r="AU5174" s="1">
        <v>44354.184270833335</v>
      </c>
      <c r="AV5174" t="s">
        <v>71</v>
      </c>
      <c r="AW5174" t="s">
        <v>72</v>
      </c>
      <c r="AX5174" t="s">
        <v>73</v>
      </c>
    </row>
    <row r="5175" spans="1:50" x14ac:dyDescent="0.3">
      <c r="A5175" t="str">
        <f>"201578C0100"</f>
        <v>201578C0100</v>
      </c>
      <c r="B5175" t="str">
        <f>"201578C01002"</f>
        <v>201578C01002</v>
      </c>
      <c r="C5175" t="str">
        <f t="shared" si="259"/>
        <v>20</v>
      </c>
      <c r="D5175" t="s">
        <v>67</v>
      </c>
      <c r="E5175" t="str">
        <f t="shared" si="258"/>
        <v>023</v>
      </c>
      <c r="F5175" t="s">
        <v>5157</v>
      </c>
      <c r="G5175" t="str">
        <f>"1578"</f>
        <v>1578</v>
      </c>
      <c r="H5175" t="str">
        <f>"0001"</f>
        <v>0001</v>
      </c>
      <c r="I5175" t="s">
        <v>75</v>
      </c>
      <c r="J5175">
        <v>0</v>
      </c>
      <c r="K5175">
        <v>1</v>
      </c>
      <c r="L5175">
        <v>2</v>
      </c>
      <c r="M5175">
        <v>270</v>
      </c>
      <c r="N5175">
        <v>313</v>
      </c>
      <c r="O5175">
        <v>2</v>
      </c>
      <c r="P5175">
        <v>313</v>
      </c>
      <c r="Q5175">
        <v>1</v>
      </c>
      <c r="R5175">
        <v>88</v>
      </c>
      <c r="S5175">
        <v>4</v>
      </c>
      <c r="T5175">
        <v>5</v>
      </c>
      <c r="U5175">
        <v>25</v>
      </c>
      <c r="V5175">
        <v>1</v>
      </c>
      <c r="W5175">
        <v>47</v>
      </c>
      <c r="X5175">
        <v>120</v>
      </c>
      <c r="Y5175">
        <v>11</v>
      </c>
      <c r="Z5175">
        <v>0</v>
      </c>
      <c r="AA5175">
        <v>1</v>
      </c>
      <c r="AB5175">
        <v>2</v>
      </c>
      <c r="AD5175">
        <v>3</v>
      </c>
      <c r="AE5175">
        <v>1</v>
      </c>
      <c r="AF5175">
        <v>0</v>
      </c>
      <c r="AG5175">
        <v>0</v>
      </c>
      <c r="AI5175">
        <v>0</v>
      </c>
      <c r="AJ5175">
        <v>4</v>
      </c>
      <c r="AK5175">
        <v>313</v>
      </c>
      <c r="AL5175">
        <v>313</v>
      </c>
      <c r="AM5175">
        <v>539</v>
      </c>
      <c r="AN5175">
        <v>44</v>
      </c>
      <c r="AP5175">
        <v>1</v>
      </c>
      <c r="AR5175" t="s">
        <v>5279</v>
      </c>
      <c r="AS5175" s="1">
        <v>44354.179166666669</v>
      </c>
      <c r="AT5175" s="1">
        <v>44354.181979166664</v>
      </c>
      <c r="AU5175" s="1">
        <v>44354.18246527778</v>
      </c>
      <c r="AV5175" t="s">
        <v>71</v>
      </c>
      <c r="AW5175" t="s">
        <v>72</v>
      </c>
      <c r="AX5175" t="s">
        <v>73</v>
      </c>
    </row>
    <row r="5176" spans="1:50" x14ac:dyDescent="0.3">
      <c r="A5176" t="str">
        <f>"201578E0100"</f>
        <v>201578E0100</v>
      </c>
      <c r="B5176" t="str">
        <f>"201578E01002"</f>
        <v>201578E01002</v>
      </c>
      <c r="C5176" t="str">
        <f t="shared" si="259"/>
        <v>20</v>
      </c>
      <c r="D5176" t="s">
        <v>67</v>
      </c>
      <c r="E5176" t="str">
        <f t="shared" si="258"/>
        <v>023</v>
      </c>
      <c r="F5176" t="s">
        <v>5157</v>
      </c>
      <c r="G5176" t="str">
        <f>"1578"</f>
        <v>1578</v>
      </c>
      <c r="H5176" t="str">
        <f>"0001"</f>
        <v>0001</v>
      </c>
      <c r="I5176" t="s">
        <v>109</v>
      </c>
      <c r="J5176">
        <v>0</v>
      </c>
      <c r="K5176">
        <v>1</v>
      </c>
      <c r="L5176">
        <v>2</v>
      </c>
      <c r="M5176">
        <v>225</v>
      </c>
      <c r="N5176">
        <v>266</v>
      </c>
      <c r="O5176">
        <v>5</v>
      </c>
      <c r="P5176">
        <v>266</v>
      </c>
      <c r="Q5176">
        <v>2</v>
      </c>
      <c r="R5176">
        <v>79</v>
      </c>
      <c r="S5176">
        <v>5</v>
      </c>
      <c r="T5176">
        <v>1</v>
      </c>
      <c r="U5176">
        <v>20</v>
      </c>
      <c r="V5176">
        <v>1</v>
      </c>
      <c r="W5176">
        <v>58</v>
      </c>
      <c r="X5176">
        <v>82</v>
      </c>
      <c r="Y5176">
        <v>4</v>
      </c>
      <c r="Z5176">
        <v>2</v>
      </c>
      <c r="AA5176">
        <v>0</v>
      </c>
      <c r="AB5176">
        <v>1</v>
      </c>
      <c r="AD5176">
        <v>2</v>
      </c>
      <c r="AE5176">
        <v>1</v>
      </c>
      <c r="AF5176">
        <v>0</v>
      </c>
      <c r="AG5176">
        <v>0</v>
      </c>
      <c r="AI5176">
        <v>0</v>
      </c>
      <c r="AJ5176">
        <v>8</v>
      </c>
      <c r="AK5176">
        <v>266</v>
      </c>
      <c r="AL5176">
        <v>266</v>
      </c>
      <c r="AM5176">
        <v>447</v>
      </c>
      <c r="AN5176">
        <v>44</v>
      </c>
      <c r="AP5176">
        <v>1</v>
      </c>
      <c r="AR5176" t="s">
        <v>5280</v>
      </c>
      <c r="AS5176" s="1">
        <v>44354.144444444442</v>
      </c>
      <c r="AT5176" s="1">
        <v>44354.146701388891</v>
      </c>
      <c r="AU5176" s="1">
        <v>44354.147210648145</v>
      </c>
      <c r="AV5176" t="s">
        <v>71</v>
      </c>
      <c r="AW5176" t="s">
        <v>72</v>
      </c>
      <c r="AX5176" t="s">
        <v>73</v>
      </c>
    </row>
    <row r="5177" spans="1:50" x14ac:dyDescent="0.3">
      <c r="A5177" t="str">
        <f>"201578E0200"</f>
        <v>201578E0200</v>
      </c>
      <c r="B5177" t="str">
        <f>"201578E02002"</f>
        <v>201578E02002</v>
      </c>
      <c r="C5177" t="str">
        <f t="shared" si="259"/>
        <v>20</v>
      </c>
      <c r="D5177" t="s">
        <v>67</v>
      </c>
      <c r="E5177" t="str">
        <f t="shared" si="258"/>
        <v>023</v>
      </c>
      <c r="F5177" t="s">
        <v>5157</v>
      </c>
      <c r="G5177" t="str">
        <f>"1578"</f>
        <v>1578</v>
      </c>
      <c r="H5177" t="str">
        <f>"0002"</f>
        <v>0002</v>
      </c>
      <c r="I5177" t="s">
        <v>109</v>
      </c>
      <c r="J5177">
        <v>0</v>
      </c>
      <c r="K5177">
        <v>1</v>
      </c>
      <c r="L5177">
        <v>2</v>
      </c>
      <c r="AM5177">
        <v>623</v>
      </c>
      <c r="AN5177">
        <v>44</v>
      </c>
      <c r="AO5177" t="s">
        <v>143</v>
      </c>
      <c r="AP5177">
        <v>0</v>
      </c>
      <c r="AR5177" t="s">
        <v>5281</v>
      </c>
      <c r="AS5177" s="1">
        <v>44354.7</v>
      </c>
      <c r="AT5177" s="1">
        <v>44354.700995370367</v>
      </c>
      <c r="AU5177" s="1">
        <v>44354.700995370367</v>
      </c>
      <c r="AV5177" t="s">
        <v>71</v>
      </c>
      <c r="AW5177" t="s">
        <v>72</v>
      </c>
      <c r="AX5177" t="s">
        <v>73</v>
      </c>
    </row>
    <row r="5178" spans="1:50" x14ac:dyDescent="0.3">
      <c r="A5178" t="str">
        <f>"201579B0000"</f>
        <v>201579B0000</v>
      </c>
      <c r="B5178" t="str">
        <f>"201579B00002"</f>
        <v>201579B00002</v>
      </c>
      <c r="C5178" t="str">
        <f t="shared" si="259"/>
        <v>20</v>
      </c>
      <c r="D5178" t="s">
        <v>67</v>
      </c>
      <c r="E5178" t="str">
        <f t="shared" si="258"/>
        <v>023</v>
      </c>
      <c r="F5178" t="s">
        <v>5157</v>
      </c>
      <c r="G5178" t="str">
        <f>"1579"</f>
        <v>1579</v>
      </c>
      <c r="H5178" t="str">
        <f>"0000"</f>
        <v>0000</v>
      </c>
      <c r="I5178" t="s">
        <v>69</v>
      </c>
      <c r="J5178">
        <v>0</v>
      </c>
      <c r="K5178">
        <v>1</v>
      </c>
      <c r="L5178">
        <v>2</v>
      </c>
      <c r="M5178">
        <v>358</v>
      </c>
      <c r="N5178">
        <v>404</v>
      </c>
      <c r="O5178">
        <v>404</v>
      </c>
      <c r="P5178">
        <v>404</v>
      </c>
      <c r="Q5178">
        <v>4</v>
      </c>
      <c r="R5178">
        <v>145</v>
      </c>
      <c r="S5178">
        <v>3</v>
      </c>
      <c r="T5178">
        <v>2</v>
      </c>
      <c r="U5178">
        <v>27</v>
      </c>
      <c r="V5178">
        <v>12</v>
      </c>
      <c r="W5178">
        <v>51</v>
      </c>
      <c r="X5178">
        <v>101</v>
      </c>
      <c r="Y5178">
        <v>29</v>
      </c>
      <c r="Z5178">
        <v>7</v>
      </c>
      <c r="AA5178">
        <v>2</v>
      </c>
      <c r="AB5178">
        <v>1</v>
      </c>
      <c r="AD5178">
        <v>4</v>
      </c>
      <c r="AE5178" t="s">
        <v>77</v>
      </c>
      <c r="AF5178" t="s">
        <v>77</v>
      </c>
      <c r="AG5178" t="s">
        <v>77</v>
      </c>
      <c r="AI5178" t="s">
        <v>77</v>
      </c>
      <c r="AJ5178">
        <v>16</v>
      </c>
      <c r="AK5178">
        <v>404</v>
      </c>
      <c r="AL5178">
        <v>404</v>
      </c>
      <c r="AM5178">
        <v>718</v>
      </c>
      <c r="AN5178">
        <v>44</v>
      </c>
      <c r="AO5178" t="s">
        <v>78</v>
      </c>
      <c r="AP5178">
        <v>1</v>
      </c>
      <c r="AR5178" t="s">
        <v>5282</v>
      </c>
      <c r="AS5178" s="1">
        <v>44354.11041666667</v>
      </c>
      <c r="AT5178" s="1">
        <v>44354.11445601852</v>
      </c>
      <c r="AU5178" s="1">
        <v>44354.116712962961</v>
      </c>
      <c r="AV5178" t="s">
        <v>71</v>
      </c>
      <c r="AW5178" t="s">
        <v>72</v>
      </c>
      <c r="AX5178" t="s">
        <v>73</v>
      </c>
    </row>
    <row r="5179" spans="1:50" x14ac:dyDescent="0.3">
      <c r="A5179" t="str">
        <f>"201579E0100"</f>
        <v>201579E0100</v>
      </c>
      <c r="B5179" t="str">
        <f>"201579E01002"</f>
        <v>201579E01002</v>
      </c>
      <c r="C5179" t="str">
        <f t="shared" si="259"/>
        <v>20</v>
      </c>
      <c r="D5179" t="s">
        <v>67</v>
      </c>
      <c r="E5179" t="str">
        <f t="shared" si="258"/>
        <v>023</v>
      </c>
      <c r="F5179" t="s">
        <v>5157</v>
      </c>
      <c r="G5179" t="str">
        <f>"1579"</f>
        <v>1579</v>
      </c>
      <c r="H5179" t="str">
        <f>"0001"</f>
        <v>0001</v>
      </c>
      <c r="I5179" t="s">
        <v>109</v>
      </c>
      <c r="J5179">
        <v>0</v>
      </c>
      <c r="K5179">
        <v>1</v>
      </c>
      <c r="L5179">
        <v>2</v>
      </c>
      <c r="M5179">
        <v>142</v>
      </c>
      <c r="N5179">
        <v>172</v>
      </c>
      <c r="O5179" t="s">
        <v>99</v>
      </c>
      <c r="P5179">
        <v>172</v>
      </c>
      <c r="Q5179">
        <v>1</v>
      </c>
      <c r="R5179">
        <v>41</v>
      </c>
      <c r="S5179">
        <v>3</v>
      </c>
      <c r="T5179">
        <v>1</v>
      </c>
      <c r="U5179">
        <v>10</v>
      </c>
      <c r="V5179">
        <v>1</v>
      </c>
      <c r="W5179">
        <v>50</v>
      </c>
      <c r="X5179">
        <v>47</v>
      </c>
      <c r="Y5179">
        <v>6</v>
      </c>
      <c r="Z5179">
        <v>0</v>
      </c>
      <c r="AA5179">
        <v>0</v>
      </c>
      <c r="AB5179">
        <v>1</v>
      </c>
      <c r="AD5179">
        <v>2</v>
      </c>
      <c r="AE5179" t="s">
        <v>77</v>
      </c>
      <c r="AF5179" t="s">
        <v>77</v>
      </c>
      <c r="AG5179" t="s">
        <v>77</v>
      </c>
      <c r="AI5179" t="s">
        <v>77</v>
      </c>
      <c r="AJ5179">
        <v>9</v>
      </c>
      <c r="AK5179">
        <v>172</v>
      </c>
      <c r="AL5179">
        <v>172</v>
      </c>
      <c r="AM5179">
        <v>270</v>
      </c>
      <c r="AN5179">
        <v>44</v>
      </c>
      <c r="AO5179" t="s">
        <v>78</v>
      </c>
      <c r="AP5179">
        <v>1</v>
      </c>
      <c r="AR5179" t="s">
        <v>5283</v>
      </c>
      <c r="AS5179" s="1">
        <v>44354.331944444442</v>
      </c>
      <c r="AT5179" s="1">
        <v>44354.335405092592</v>
      </c>
      <c r="AU5179" s="1">
        <v>44354.335856481484</v>
      </c>
      <c r="AV5179" t="s">
        <v>71</v>
      </c>
      <c r="AW5179" t="s">
        <v>72</v>
      </c>
      <c r="AX5179" t="s">
        <v>73</v>
      </c>
    </row>
    <row r="5180" spans="1:50" x14ac:dyDescent="0.3">
      <c r="A5180" t="str">
        <f>"201579E0200"</f>
        <v>201579E0200</v>
      </c>
      <c r="B5180" t="str">
        <f>"201579E02002"</f>
        <v>201579E02002</v>
      </c>
      <c r="C5180" t="str">
        <f t="shared" si="259"/>
        <v>20</v>
      </c>
      <c r="D5180" t="s">
        <v>67</v>
      </c>
      <c r="E5180" t="str">
        <f t="shared" si="258"/>
        <v>023</v>
      </c>
      <c r="F5180" t="s">
        <v>5157</v>
      </c>
      <c r="G5180" t="str">
        <f>"1579"</f>
        <v>1579</v>
      </c>
      <c r="H5180" t="str">
        <f>"0002"</f>
        <v>0002</v>
      </c>
      <c r="I5180" t="s">
        <v>109</v>
      </c>
      <c r="J5180">
        <v>0</v>
      </c>
      <c r="K5180">
        <v>1</v>
      </c>
      <c r="L5180">
        <v>2</v>
      </c>
      <c r="M5180">
        <v>144</v>
      </c>
      <c r="N5180">
        <v>314</v>
      </c>
      <c r="O5180">
        <v>0</v>
      </c>
      <c r="P5180">
        <v>314</v>
      </c>
      <c r="Q5180">
        <v>0</v>
      </c>
      <c r="R5180">
        <v>170</v>
      </c>
      <c r="S5180">
        <v>0</v>
      </c>
      <c r="T5180">
        <v>0</v>
      </c>
      <c r="U5180">
        <v>1</v>
      </c>
      <c r="V5180">
        <v>3</v>
      </c>
      <c r="W5180">
        <v>34</v>
      </c>
      <c r="X5180">
        <v>84</v>
      </c>
      <c r="Y5180">
        <v>2</v>
      </c>
      <c r="Z5180">
        <v>2</v>
      </c>
      <c r="AA5180">
        <v>9</v>
      </c>
      <c r="AB5180">
        <v>3</v>
      </c>
      <c r="AD5180">
        <v>0</v>
      </c>
      <c r="AE5180">
        <v>0</v>
      </c>
      <c r="AF5180">
        <v>0</v>
      </c>
      <c r="AG5180">
        <v>0</v>
      </c>
      <c r="AI5180">
        <v>0</v>
      </c>
      <c r="AJ5180">
        <v>6</v>
      </c>
      <c r="AK5180">
        <v>314</v>
      </c>
      <c r="AL5180">
        <v>314</v>
      </c>
      <c r="AM5180">
        <v>414</v>
      </c>
      <c r="AN5180">
        <v>44</v>
      </c>
      <c r="AP5180">
        <v>1</v>
      </c>
      <c r="AR5180" t="s">
        <v>5284</v>
      </c>
      <c r="AS5180" s="1">
        <v>44354.104166666664</v>
      </c>
      <c r="AT5180" s="1">
        <v>44354.108888888892</v>
      </c>
      <c r="AU5180" s="1">
        <v>44354.109351851854</v>
      </c>
      <c r="AV5180" t="s">
        <v>71</v>
      </c>
      <c r="AW5180" t="s">
        <v>72</v>
      </c>
      <c r="AX5180" t="s">
        <v>73</v>
      </c>
    </row>
    <row r="5181" spans="1:50" x14ac:dyDescent="0.3">
      <c r="A5181" t="str">
        <f>"201580B0000"</f>
        <v>201580B0000</v>
      </c>
      <c r="B5181" t="str">
        <f>"201580B00002"</f>
        <v>201580B00002</v>
      </c>
      <c r="C5181" t="str">
        <f t="shared" si="259"/>
        <v>20</v>
      </c>
      <c r="D5181" t="s">
        <v>67</v>
      </c>
      <c r="E5181" t="str">
        <f t="shared" si="258"/>
        <v>023</v>
      </c>
      <c r="F5181" t="s">
        <v>5157</v>
      </c>
      <c r="G5181" t="str">
        <f>"1580"</f>
        <v>1580</v>
      </c>
      <c r="H5181" t="str">
        <f>"0000"</f>
        <v>0000</v>
      </c>
      <c r="I5181" t="s">
        <v>69</v>
      </c>
      <c r="J5181">
        <v>0</v>
      </c>
      <c r="K5181">
        <v>1</v>
      </c>
      <c r="L5181">
        <v>2</v>
      </c>
      <c r="M5181">
        <v>275</v>
      </c>
      <c r="N5181">
        <v>246</v>
      </c>
      <c r="O5181">
        <v>0</v>
      </c>
      <c r="P5181">
        <v>246</v>
      </c>
      <c r="Q5181">
        <v>0</v>
      </c>
      <c r="R5181">
        <v>130</v>
      </c>
      <c r="S5181">
        <v>2</v>
      </c>
      <c r="T5181">
        <v>4</v>
      </c>
      <c r="U5181">
        <v>21</v>
      </c>
      <c r="V5181">
        <v>1</v>
      </c>
      <c r="W5181">
        <v>15</v>
      </c>
      <c r="X5181">
        <v>52</v>
      </c>
      <c r="Y5181">
        <v>2</v>
      </c>
      <c r="Z5181">
        <v>2</v>
      </c>
      <c r="AA5181">
        <v>1</v>
      </c>
      <c r="AB5181">
        <v>1</v>
      </c>
      <c r="AD5181">
        <v>2</v>
      </c>
      <c r="AE5181">
        <v>0</v>
      </c>
      <c r="AF5181">
        <v>0</v>
      </c>
      <c r="AG5181">
        <v>2</v>
      </c>
      <c r="AI5181">
        <v>0</v>
      </c>
      <c r="AJ5181">
        <v>11</v>
      </c>
      <c r="AK5181">
        <v>246</v>
      </c>
      <c r="AL5181">
        <v>246</v>
      </c>
      <c r="AM5181">
        <v>477</v>
      </c>
      <c r="AN5181">
        <v>44</v>
      </c>
      <c r="AP5181">
        <v>1</v>
      </c>
      <c r="AR5181" t="s">
        <v>5285</v>
      </c>
      <c r="AS5181" s="1">
        <v>44354.133333333331</v>
      </c>
      <c r="AT5181" s="1">
        <v>44354.135810185187</v>
      </c>
      <c r="AU5181" s="1">
        <v>44354.136620370373</v>
      </c>
      <c r="AV5181" t="s">
        <v>71</v>
      </c>
      <c r="AW5181" t="s">
        <v>72</v>
      </c>
      <c r="AX5181" t="s">
        <v>73</v>
      </c>
    </row>
    <row r="5182" spans="1:50" x14ac:dyDescent="0.3">
      <c r="A5182" t="str">
        <f>"201580C0100"</f>
        <v>201580C0100</v>
      </c>
      <c r="B5182" t="str">
        <f>"201580C01002"</f>
        <v>201580C01002</v>
      </c>
      <c r="C5182" t="str">
        <f t="shared" si="259"/>
        <v>20</v>
      </c>
      <c r="D5182" t="s">
        <v>67</v>
      </c>
      <c r="E5182" t="str">
        <f t="shared" ref="E5182:E5245" si="260">"023"</f>
        <v>023</v>
      </c>
      <c r="F5182" t="s">
        <v>5157</v>
      </c>
      <c r="G5182" t="str">
        <f>"1580"</f>
        <v>1580</v>
      </c>
      <c r="H5182" t="str">
        <f>"0001"</f>
        <v>0001</v>
      </c>
      <c r="I5182" t="s">
        <v>75</v>
      </c>
      <c r="J5182">
        <v>0</v>
      </c>
      <c r="K5182">
        <v>1</v>
      </c>
      <c r="L5182">
        <v>2</v>
      </c>
      <c r="M5182">
        <v>265</v>
      </c>
      <c r="N5182">
        <v>255</v>
      </c>
      <c r="O5182" t="s">
        <v>80</v>
      </c>
      <c r="P5182">
        <v>255</v>
      </c>
      <c r="Q5182">
        <v>6</v>
      </c>
      <c r="R5182">
        <v>142</v>
      </c>
      <c r="S5182">
        <v>1</v>
      </c>
      <c r="T5182">
        <v>0</v>
      </c>
      <c r="U5182">
        <v>25</v>
      </c>
      <c r="V5182">
        <v>1</v>
      </c>
      <c r="W5182">
        <v>5</v>
      </c>
      <c r="X5182">
        <v>43</v>
      </c>
      <c r="Y5182">
        <v>10</v>
      </c>
      <c r="Z5182">
        <v>2</v>
      </c>
      <c r="AA5182">
        <v>0</v>
      </c>
      <c r="AB5182">
        <v>3</v>
      </c>
      <c r="AD5182">
        <v>3</v>
      </c>
      <c r="AE5182">
        <v>0</v>
      </c>
      <c r="AF5182">
        <v>0</v>
      </c>
      <c r="AG5182">
        <v>0</v>
      </c>
      <c r="AI5182">
        <v>0</v>
      </c>
      <c r="AJ5182">
        <v>14</v>
      </c>
      <c r="AK5182">
        <v>255</v>
      </c>
      <c r="AL5182">
        <v>255</v>
      </c>
      <c r="AM5182">
        <v>476</v>
      </c>
      <c r="AN5182">
        <v>44</v>
      </c>
      <c r="AP5182">
        <v>1</v>
      </c>
      <c r="AR5182" t="s">
        <v>5286</v>
      </c>
      <c r="AS5182" s="1">
        <v>44354.134722222225</v>
      </c>
      <c r="AT5182" s="1">
        <v>44354.137766203705</v>
      </c>
      <c r="AU5182" s="1">
        <v>44354.138402777775</v>
      </c>
      <c r="AV5182" t="s">
        <v>71</v>
      </c>
      <c r="AW5182" t="s">
        <v>72</v>
      </c>
      <c r="AX5182" t="s">
        <v>73</v>
      </c>
    </row>
    <row r="5183" spans="1:50" x14ac:dyDescent="0.3">
      <c r="A5183" t="str">
        <f>"201580E0100"</f>
        <v>201580E0100</v>
      </c>
      <c r="B5183" t="str">
        <f>"201580E01002"</f>
        <v>201580E01002</v>
      </c>
      <c r="C5183" t="str">
        <f t="shared" si="259"/>
        <v>20</v>
      </c>
      <c r="D5183" t="s">
        <v>67</v>
      </c>
      <c r="E5183" t="str">
        <f t="shared" si="260"/>
        <v>023</v>
      </c>
      <c r="F5183" t="s">
        <v>5157</v>
      </c>
      <c r="G5183" t="str">
        <f>"1580"</f>
        <v>1580</v>
      </c>
      <c r="H5183" t="str">
        <f>"0001"</f>
        <v>0001</v>
      </c>
      <c r="I5183" t="s">
        <v>109</v>
      </c>
      <c r="J5183">
        <v>0</v>
      </c>
      <c r="K5183">
        <v>1</v>
      </c>
      <c r="L5183">
        <v>2</v>
      </c>
      <c r="M5183">
        <v>242</v>
      </c>
      <c r="N5183">
        <v>325</v>
      </c>
      <c r="O5183">
        <v>2</v>
      </c>
      <c r="P5183">
        <v>325</v>
      </c>
      <c r="Q5183">
        <v>2</v>
      </c>
      <c r="R5183">
        <v>91</v>
      </c>
      <c r="S5183">
        <v>2</v>
      </c>
      <c r="T5183">
        <v>1</v>
      </c>
      <c r="U5183">
        <v>21</v>
      </c>
      <c r="V5183">
        <v>2</v>
      </c>
      <c r="W5183">
        <v>60</v>
      </c>
      <c r="X5183">
        <v>113</v>
      </c>
      <c r="Y5183">
        <v>12</v>
      </c>
      <c r="Z5183">
        <v>4</v>
      </c>
      <c r="AA5183">
        <v>3</v>
      </c>
      <c r="AB5183">
        <v>1</v>
      </c>
      <c r="AD5183">
        <v>6</v>
      </c>
      <c r="AE5183">
        <v>0</v>
      </c>
      <c r="AF5183">
        <v>0</v>
      </c>
      <c r="AG5183">
        <v>0</v>
      </c>
      <c r="AI5183">
        <v>0</v>
      </c>
      <c r="AJ5183">
        <v>7</v>
      </c>
      <c r="AK5183">
        <v>325</v>
      </c>
      <c r="AL5183">
        <v>325</v>
      </c>
      <c r="AM5183">
        <v>523</v>
      </c>
      <c r="AN5183">
        <v>44</v>
      </c>
      <c r="AP5183">
        <v>1</v>
      </c>
      <c r="AR5183" s="2" t="s">
        <v>5287</v>
      </c>
      <c r="AS5183" s="1">
        <v>44354.113888888889</v>
      </c>
      <c r="AT5183" s="1">
        <v>44354.117812500001</v>
      </c>
      <c r="AU5183" s="1">
        <v>44354.118807870371</v>
      </c>
      <c r="AV5183" t="s">
        <v>71</v>
      </c>
      <c r="AW5183" t="s">
        <v>72</v>
      </c>
      <c r="AX5183" t="s">
        <v>73</v>
      </c>
    </row>
    <row r="5184" spans="1:50" x14ac:dyDescent="0.3">
      <c r="A5184" t="str">
        <f>"201581B0000"</f>
        <v>201581B0000</v>
      </c>
      <c r="B5184" t="str">
        <f>"201581B00002"</f>
        <v>201581B00002</v>
      </c>
      <c r="C5184" t="str">
        <f t="shared" si="259"/>
        <v>20</v>
      </c>
      <c r="D5184" t="s">
        <v>67</v>
      </c>
      <c r="E5184" t="str">
        <f t="shared" si="260"/>
        <v>023</v>
      </c>
      <c r="F5184" t="s">
        <v>5157</v>
      </c>
      <c r="G5184" t="str">
        <f>"1581"</f>
        <v>1581</v>
      </c>
      <c r="H5184" t="str">
        <f>"0000"</f>
        <v>0000</v>
      </c>
      <c r="I5184" t="s">
        <v>69</v>
      </c>
      <c r="J5184">
        <v>0</v>
      </c>
      <c r="K5184">
        <v>1</v>
      </c>
      <c r="L5184">
        <v>2</v>
      </c>
      <c r="M5184">
        <v>402</v>
      </c>
      <c r="N5184">
        <v>364</v>
      </c>
      <c r="O5184">
        <v>1</v>
      </c>
      <c r="P5184">
        <v>364</v>
      </c>
      <c r="Q5184">
        <v>4</v>
      </c>
      <c r="R5184">
        <v>164</v>
      </c>
      <c r="S5184">
        <v>15</v>
      </c>
      <c r="T5184">
        <v>6</v>
      </c>
      <c r="U5184">
        <v>14</v>
      </c>
      <c r="V5184">
        <v>16</v>
      </c>
      <c r="W5184">
        <v>20</v>
      </c>
      <c r="X5184">
        <v>94</v>
      </c>
      <c r="Y5184">
        <v>6</v>
      </c>
      <c r="Z5184">
        <v>3</v>
      </c>
      <c r="AA5184">
        <v>2</v>
      </c>
      <c r="AB5184">
        <v>2</v>
      </c>
      <c r="AD5184">
        <v>2</v>
      </c>
      <c r="AE5184">
        <v>0</v>
      </c>
      <c r="AF5184">
        <v>0</v>
      </c>
      <c r="AG5184">
        <v>0</v>
      </c>
      <c r="AI5184">
        <v>0</v>
      </c>
      <c r="AJ5184">
        <v>16</v>
      </c>
      <c r="AK5184">
        <v>364</v>
      </c>
      <c r="AL5184">
        <v>364</v>
      </c>
      <c r="AM5184">
        <v>722</v>
      </c>
      <c r="AN5184">
        <v>44</v>
      </c>
      <c r="AP5184">
        <v>1</v>
      </c>
      <c r="AR5184" t="s">
        <v>5288</v>
      </c>
      <c r="AS5184" s="1">
        <v>44354.227083333331</v>
      </c>
      <c r="AT5184" s="1">
        <v>44354.230694444443</v>
      </c>
      <c r="AU5184" s="1">
        <v>44354.231226851851</v>
      </c>
      <c r="AV5184" t="s">
        <v>71</v>
      </c>
      <c r="AW5184" t="s">
        <v>72</v>
      </c>
      <c r="AX5184" t="s">
        <v>73</v>
      </c>
    </row>
    <row r="5185" spans="1:50" x14ac:dyDescent="0.3">
      <c r="A5185" t="str">
        <f>"201581C0100"</f>
        <v>201581C0100</v>
      </c>
      <c r="B5185" t="str">
        <f>"201581C01002"</f>
        <v>201581C01002</v>
      </c>
      <c r="C5185" t="str">
        <f t="shared" si="259"/>
        <v>20</v>
      </c>
      <c r="D5185" t="s">
        <v>67</v>
      </c>
      <c r="E5185" t="str">
        <f t="shared" si="260"/>
        <v>023</v>
      </c>
      <c r="F5185" t="s">
        <v>5157</v>
      </c>
      <c r="G5185" t="str">
        <f>"1581"</f>
        <v>1581</v>
      </c>
      <c r="H5185" t="str">
        <f>"0001"</f>
        <v>0001</v>
      </c>
      <c r="I5185" t="s">
        <v>75</v>
      </c>
      <c r="J5185">
        <v>0</v>
      </c>
      <c r="K5185">
        <v>1</v>
      </c>
      <c r="L5185">
        <v>2</v>
      </c>
      <c r="M5185">
        <v>413</v>
      </c>
      <c r="N5185">
        <v>352</v>
      </c>
      <c r="O5185">
        <v>6</v>
      </c>
      <c r="P5185" t="s">
        <v>80</v>
      </c>
      <c r="Q5185">
        <v>2</v>
      </c>
      <c r="R5185">
        <v>156</v>
      </c>
      <c r="S5185">
        <v>18</v>
      </c>
      <c r="T5185">
        <v>3</v>
      </c>
      <c r="U5185">
        <v>9</v>
      </c>
      <c r="V5185">
        <v>13</v>
      </c>
      <c r="W5185">
        <v>35</v>
      </c>
      <c r="X5185">
        <v>89</v>
      </c>
      <c r="Y5185">
        <v>3</v>
      </c>
      <c r="Z5185">
        <v>6</v>
      </c>
      <c r="AA5185">
        <v>1</v>
      </c>
      <c r="AB5185">
        <v>3</v>
      </c>
      <c r="AD5185">
        <v>1</v>
      </c>
      <c r="AE5185">
        <v>0</v>
      </c>
      <c r="AF5185">
        <v>0</v>
      </c>
      <c r="AG5185">
        <v>0</v>
      </c>
      <c r="AI5185">
        <v>0</v>
      </c>
      <c r="AJ5185">
        <v>13</v>
      </c>
      <c r="AK5185">
        <v>352</v>
      </c>
      <c r="AL5185">
        <v>352</v>
      </c>
      <c r="AM5185">
        <v>721</v>
      </c>
      <c r="AN5185">
        <v>44</v>
      </c>
      <c r="AP5185">
        <v>1</v>
      </c>
      <c r="AR5185" t="s">
        <v>5289</v>
      </c>
      <c r="AS5185" s="1">
        <v>44354.225694444445</v>
      </c>
      <c r="AT5185" s="1">
        <v>44354.229398148149</v>
      </c>
      <c r="AU5185" s="1">
        <v>44354.229930555557</v>
      </c>
      <c r="AV5185" t="s">
        <v>71</v>
      </c>
      <c r="AW5185" t="s">
        <v>72</v>
      </c>
      <c r="AX5185" t="s">
        <v>73</v>
      </c>
    </row>
    <row r="5186" spans="1:50" x14ac:dyDescent="0.3">
      <c r="A5186" t="str">
        <f>"201582B0000"</f>
        <v>201582B0000</v>
      </c>
      <c r="B5186" t="str">
        <f>"201582B00002"</f>
        <v>201582B00002</v>
      </c>
      <c r="C5186" t="str">
        <f t="shared" si="259"/>
        <v>20</v>
      </c>
      <c r="D5186" t="s">
        <v>67</v>
      </c>
      <c r="E5186" t="str">
        <f t="shared" si="260"/>
        <v>023</v>
      </c>
      <c r="F5186" t="s">
        <v>5157</v>
      </c>
      <c r="G5186" t="str">
        <f>"1582"</f>
        <v>1582</v>
      </c>
      <c r="H5186" t="str">
        <f>"0000"</f>
        <v>0000</v>
      </c>
      <c r="I5186" t="s">
        <v>69</v>
      </c>
      <c r="J5186">
        <v>0</v>
      </c>
      <c r="K5186">
        <v>1</v>
      </c>
      <c r="L5186">
        <v>2</v>
      </c>
      <c r="M5186">
        <v>239</v>
      </c>
      <c r="N5186">
        <v>249</v>
      </c>
      <c r="O5186">
        <v>0</v>
      </c>
      <c r="P5186">
        <v>249</v>
      </c>
      <c r="Q5186">
        <v>2</v>
      </c>
      <c r="R5186">
        <v>114</v>
      </c>
      <c r="S5186">
        <v>3</v>
      </c>
      <c r="T5186">
        <v>4</v>
      </c>
      <c r="U5186">
        <v>32</v>
      </c>
      <c r="V5186">
        <v>2</v>
      </c>
      <c r="W5186">
        <v>19</v>
      </c>
      <c r="X5186">
        <v>46</v>
      </c>
      <c r="Y5186">
        <v>8</v>
      </c>
      <c r="Z5186">
        <v>3</v>
      </c>
      <c r="AA5186">
        <v>2</v>
      </c>
      <c r="AB5186">
        <v>1</v>
      </c>
      <c r="AD5186">
        <v>3</v>
      </c>
      <c r="AE5186">
        <v>0</v>
      </c>
      <c r="AF5186">
        <v>0</v>
      </c>
      <c r="AG5186">
        <v>1</v>
      </c>
      <c r="AI5186">
        <v>0</v>
      </c>
      <c r="AJ5186">
        <v>0</v>
      </c>
      <c r="AK5186">
        <v>249</v>
      </c>
      <c r="AL5186">
        <v>240</v>
      </c>
      <c r="AM5186">
        <v>444</v>
      </c>
      <c r="AN5186">
        <v>44</v>
      </c>
      <c r="AP5186">
        <v>1</v>
      </c>
      <c r="AR5186" t="s">
        <v>5290</v>
      </c>
      <c r="AS5186" s="1">
        <v>44354.157638888886</v>
      </c>
      <c r="AT5186" s="1">
        <v>44354.16265046296</v>
      </c>
      <c r="AU5186" s="1">
        <v>44354.16337962963</v>
      </c>
      <c r="AV5186" t="s">
        <v>71</v>
      </c>
      <c r="AW5186" t="s">
        <v>72</v>
      </c>
      <c r="AX5186" t="s">
        <v>73</v>
      </c>
    </row>
    <row r="5187" spans="1:50" x14ac:dyDescent="0.3">
      <c r="A5187" t="str">
        <f>"201582C0100"</f>
        <v>201582C0100</v>
      </c>
      <c r="B5187" t="str">
        <f>"201582C01002"</f>
        <v>201582C01002</v>
      </c>
      <c r="C5187" t="str">
        <f t="shared" si="259"/>
        <v>20</v>
      </c>
      <c r="D5187" t="s">
        <v>67</v>
      </c>
      <c r="E5187" t="str">
        <f t="shared" si="260"/>
        <v>023</v>
      </c>
      <c r="F5187" t="s">
        <v>5157</v>
      </c>
      <c r="G5187" t="str">
        <f>"1582"</f>
        <v>1582</v>
      </c>
      <c r="H5187" t="str">
        <f>"0001"</f>
        <v>0001</v>
      </c>
      <c r="I5187" t="s">
        <v>75</v>
      </c>
      <c r="J5187">
        <v>0</v>
      </c>
      <c r="K5187">
        <v>1</v>
      </c>
      <c r="L5187">
        <v>2</v>
      </c>
      <c r="M5187">
        <v>231</v>
      </c>
      <c r="N5187">
        <v>257</v>
      </c>
      <c r="O5187">
        <v>0</v>
      </c>
      <c r="P5187">
        <v>257</v>
      </c>
      <c r="Q5187">
        <v>0</v>
      </c>
      <c r="R5187">
        <v>127</v>
      </c>
      <c r="S5187">
        <v>4</v>
      </c>
      <c r="T5187">
        <v>2</v>
      </c>
      <c r="U5187">
        <v>19</v>
      </c>
      <c r="V5187">
        <v>2</v>
      </c>
      <c r="W5187">
        <v>20</v>
      </c>
      <c r="X5187">
        <v>45</v>
      </c>
      <c r="Y5187">
        <v>7</v>
      </c>
      <c r="Z5187">
        <v>3</v>
      </c>
      <c r="AA5187">
        <v>3</v>
      </c>
      <c r="AB5187">
        <v>1</v>
      </c>
      <c r="AD5187">
        <v>5</v>
      </c>
      <c r="AE5187">
        <v>0</v>
      </c>
      <c r="AF5187">
        <v>0</v>
      </c>
      <c r="AG5187">
        <v>0</v>
      </c>
      <c r="AI5187">
        <v>0</v>
      </c>
      <c r="AJ5187">
        <v>19</v>
      </c>
      <c r="AK5187">
        <v>257</v>
      </c>
      <c r="AL5187">
        <v>257</v>
      </c>
      <c r="AM5187">
        <v>444</v>
      </c>
      <c r="AN5187">
        <v>44</v>
      </c>
      <c r="AP5187">
        <v>1</v>
      </c>
      <c r="AR5187" t="s">
        <v>5291</v>
      </c>
      <c r="AS5187" s="1">
        <v>44354.15</v>
      </c>
      <c r="AT5187" s="1">
        <v>44354.154502314814</v>
      </c>
      <c r="AU5187" s="1">
        <v>44354.155462962961</v>
      </c>
      <c r="AV5187" t="s">
        <v>71</v>
      </c>
      <c r="AW5187" t="s">
        <v>72</v>
      </c>
      <c r="AX5187" t="s">
        <v>73</v>
      </c>
    </row>
    <row r="5188" spans="1:50" x14ac:dyDescent="0.3">
      <c r="A5188" t="str">
        <f>"201583B0000"</f>
        <v>201583B0000</v>
      </c>
      <c r="B5188" t="str">
        <f>"201583B00002"</f>
        <v>201583B00002</v>
      </c>
      <c r="C5188" t="str">
        <f t="shared" si="259"/>
        <v>20</v>
      </c>
      <c r="D5188" t="s">
        <v>67</v>
      </c>
      <c r="E5188" t="str">
        <f t="shared" si="260"/>
        <v>023</v>
      </c>
      <c r="F5188" t="s">
        <v>5157</v>
      </c>
      <c r="G5188" t="str">
        <f>"1583"</f>
        <v>1583</v>
      </c>
      <c r="H5188" t="str">
        <f>"0000"</f>
        <v>0000</v>
      </c>
      <c r="I5188" t="s">
        <v>69</v>
      </c>
      <c r="J5188">
        <v>0</v>
      </c>
      <c r="K5188">
        <v>1</v>
      </c>
      <c r="L5188">
        <v>2</v>
      </c>
      <c r="M5188">
        <v>261</v>
      </c>
      <c r="N5188">
        <v>333</v>
      </c>
      <c r="O5188">
        <v>0</v>
      </c>
      <c r="P5188">
        <v>333</v>
      </c>
      <c r="Q5188">
        <v>0</v>
      </c>
      <c r="R5188">
        <v>91</v>
      </c>
      <c r="S5188">
        <v>5</v>
      </c>
      <c r="T5188">
        <v>0</v>
      </c>
      <c r="U5188">
        <v>11</v>
      </c>
      <c r="V5188">
        <v>6</v>
      </c>
      <c r="W5188">
        <v>39</v>
      </c>
      <c r="X5188">
        <v>113</v>
      </c>
      <c r="Y5188">
        <v>37</v>
      </c>
      <c r="Z5188">
        <v>3</v>
      </c>
      <c r="AA5188">
        <v>4</v>
      </c>
      <c r="AB5188">
        <v>2</v>
      </c>
      <c r="AD5188">
        <v>0</v>
      </c>
      <c r="AE5188">
        <v>0</v>
      </c>
      <c r="AF5188">
        <v>0</v>
      </c>
      <c r="AG5188">
        <v>0</v>
      </c>
      <c r="AI5188">
        <v>0</v>
      </c>
      <c r="AJ5188">
        <v>22</v>
      </c>
      <c r="AK5188">
        <v>333</v>
      </c>
      <c r="AL5188">
        <v>333</v>
      </c>
      <c r="AM5188">
        <v>550</v>
      </c>
      <c r="AN5188">
        <v>44</v>
      </c>
      <c r="AP5188">
        <v>1</v>
      </c>
      <c r="AR5188" t="s">
        <v>5292</v>
      </c>
      <c r="AS5188" s="1">
        <v>44354.149305555555</v>
      </c>
      <c r="AT5188" s="1">
        <v>44354.152442129627</v>
      </c>
      <c r="AU5188" s="1">
        <v>44354.152916666666</v>
      </c>
      <c r="AV5188" t="s">
        <v>71</v>
      </c>
      <c r="AW5188" t="s">
        <v>72</v>
      </c>
      <c r="AX5188" t="s">
        <v>73</v>
      </c>
    </row>
    <row r="5189" spans="1:50" x14ac:dyDescent="0.3">
      <c r="A5189" t="str">
        <f>"201583C0100"</f>
        <v>201583C0100</v>
      </c>
      <c r="B5189" t="str">
        <f>"201583C01002"</f>
        <v>201583C01002</v>
      </c>
      <c r="C5189" t="str">
        <f t="shared" si="259"/>
        <v>20</v>
      </c>
      <c r="D5189" t="s">
        <v>67</v>
      </c>
      <c r="E5189" t="str">
        <f t="shared" si="260"/>
        <v>023</v>
      </c>
      <c r="F5189" t="s">
        <v>5157</v>
      </c>
      <c r="G5189" t="str">
        <f>"1583"</f>
        <v>1583</v>
      </c>
      <c r="H5189" t="str">
        <f>"0001"</f>
        <v>0001</v>
      </c>
      <c r="I5189" t="s">
        <v>75</v>
      </c>
      <c r="J5189">
        <v>0</v>
      </c>
      <c r="K5189">
        <v>1</v>
      </c>
      <c r="L5189">
        <v>2</v>
      </c>
      <c r="M5189">
        <v>240</v>
      </c>
      <c r="N5189">
        <v>353</v>
      </c>
      <c r="O5189">
        <v>0</v>
      </c>
      <c r="P5189" t="s">
        <v>80</v>
      </c>
      <c r="Q5189">
        <v>1</v>
      </c>
      <c r="R5189">
        <v>103</v>
      </c>
      <c r="S5189">
        <v>1</v>
      </c>
      <c r="T5189">
        <v>3</v>
      </c>
      <c r="U5189">
        <v>14</v>
      </c>
      <c r="V5189">
        <v>8</v>
      </c>
      <c r="W5189">
        <v>36</v>
      </c>
      <c r="X5189">
        <v>137</v>
      </c>
      <c r="Y5189">
        <v>26</v>
      </c>
      <c r="Z5189">
        <v>3</v>
      </c>
      <c r="AA5189">
        <v>3</v>
      </c>
      <c r="AB5189">
        <v>3</v>
      </c>
      <c r="AD5189">
        <v>1</v>
      </c>
      <c r="AE5189">
        <v>0</v>
      </c>
      <c r="AF5189">
        <v>0</v>
      </c>
      <c r="AG5189">
        <v>0</v>
      </c>
      <c r="AI5189">
        <v>0</v>
      </c>
      <c r="AJ5189">
        <v>14</v>
      </c>
      <c r="AK5189">
        <v>353</v>
      </c>
      <c r="AL5189">
        <v>353</v>
      </c>
      <c r="AM5189">
        <v>549</v>
      </c>
      <c r="AN5189">
        <v>44</v>
      </c>
      <c r="AP5189">
        <v>1</v>
      </c>
      <c r="AR5189" t="s">
        <v>5293</v>
      </c>
      <c r="AS5189" s="1">
        <v>44354.148611111108</v>
      </c>
      <c r="AT5189" s="1">
        <v>44354.151412037034</v>
      </c>
      <c r="AU5189" s="1">
        <v>44354.152349537035</v>
      </c>
      <c r="AV5189" t="s">
        <v>71</v>
      </c>
      <c r="AW5189" t="s">
        <v>72</v>
      </c>
      <c r="AX5189" t="s">
        <v>73</v>
      </c>
    </row>
    <row r="5190" spans="1:50" x14ac:dyDescent="0.3">
      <c r="A5190" t="str">
        <f>"201583E0100"</f>
        <v>201583E0100</v>
      </c>
      <c r="B5190" t="str">
        <f>"201583E01002"</f>
        <v>201583E01002</v>
      </c>
      <c r="C5190" t="str">
        <f t="shared" si="259"/>
        <v>20</v>
      </c>
      <c r="D5190" t="s">
        <v>67</v>
      </c>
      <c r="E5190" t="str">
        <f t="shared" si="260"/>
        <v>023</v>
      </c>
      <c r="F5190" t="s">
        <v>5157</v>
      </c>
      <c r="G5190" t="str">
        <f>"1583"</f>
        <v>1583</v>
      </c>
      <c r="H5190" t="str">
        <f>"0001"</f>
        <v>0001</v>
      </c>
      <c r="I5190" t="s">
        <v>109</v>
      </c>
      <c r="J5190">
        <v>0</v>
      </c>
      <c r="K5190">
        <v>1</v>
      </c>
      <c r="L5190">
        <v>2</v>
      </c>
      <c r="M5190">
        <v>170</v>
      </c>
      <c r="N5190">
        <v>205</v>
      </c>
      <c r="O5190">
        <v>0</v>
      </c>
      <c r="P5190">
        <v>205</v>
      </c>
      <c r="Q5190">
        <v>0</v>
      </c>
      <c r="R5190">
        <v>66</v>
      </c>
      <c r="S5190">
        <v>2</v>
      </c>
      <c r="T5190">
        <v>0</v>
      </c>
      <c r="U5190">
        <v>8</v>
      </c>
      <c r="V5190">
        <v>2</v>
      </c>
      <c r="W5190">
        <v>25</v>
      </c>
      <c r="X5190">
        <v>93</v>
      </c>
      <c r="Y5190">
        <v>0</v>
      </c>
      <c r="Z5190">
        <v>0</v>
      </c>
      <c r="AA5190">
        <v>0</v>
      </c>
      <c r="AB5190">
        <v>0</v>
      </c>
      <c r="AD5190">
        <v>0</v>
      </c>
      <c r="AE5190">
        <v>1</v>
      </c>
      <c r="AF5190">
        <v>0</v>
      </c>
      <c r="AG5190">
        <v>0</v>
      </c>
      <c r="AI5190">
        <v>0</v>
      </c>
      <c r="AJ5190">
        <v>8</v>
      </c>
      <c r="AK5190">
        <v>205</v>
      </c>
      <c r="AL5190">
        <v>205</v>
      </c>
      <c r="AM5190">
        <v>331</v>
      </c>
      <c r="AN5190">
        <v>44</v>
      </c>
      <c r="AP5190">
        <v>1</v>
      </c>
      <c r="AR5190" t="s">
        <v>5294</v>
      </c>
      <c r="AS5190" s="1">
        <v>44354.143055555556</v>
      </c>
      <c r="AT5190" s="1">
        <v>44354.145694444444</v>
      </c>
      <c r="AU5190" s="1">
        <v>44354.146053240744</v>
      </c>
      <c r="AV5190" t="s">
        <v>71</v>
      </c>
      <c r="AW5190" t="s">
        <v>72</v>
      </c>
      <c r="AX5190" t="s">
        <v>73</v>
      </c>
    </row>
    <row r="5191" spans="1:50" x14ac:dyDescent="0.3">
      <c r="A5191" t="str">
        <f>"201584B0000"</f>
        <v>201584B0000</v>
      </c>
      <c r="B5191" t="str">
        <f>"201584B00002"</f>
        <v>201584B00002</v>
      </c>
      <c r="C5191" t="str">
        <f t="shared" ref="C5191:C5254" si="261">"20"</f>
        <v>20</v>
      </c>
      <c r="D5191" t="s">
        <v>67</v>
      </c>
      <c r="E5191" t="str">
        <f t="shared" si="260"/>
        <v>023</v>
      </c>
      <c r="F5191" t="s">
        <v>5157</v>
      </c>
      <c r="G5191" t="str">
        <f>"1584"</f>
        <v>1584</v>
      </c>
      <c r="H5191" t="str">
        <f>"0000"</f>
        <v>0000</v>
      </c>
      <c r="I5191" t="s">
        <v>69</v>
      </c>
      <c r="J5191">
        <v>0</v>
      </c>
      <c r="K5191">
        <v>1</v>
      </c>
      <c r="L5191">
        <v>2</v>
      </c>
      <c r="M5191">
        <v>345</v>
      </c>
      <c r="N5191">
        <v>337</v>
      </c>
      <c r="O5191">
        <v>12</v>
      </c>
      <c r="P5191">
        <v>337</v>
      </c>
      <c r="Q5191">
        <v>8</v>
      </c>
      <c r="R5191">
        <v>129</v>
      </c>
      <c r="S5191">
        <v>15</v>
      </c>
      <c r="T5191">
        <v>2</v>
      </c>
      <c r="U5191">
        <v>14</v>
      </c>
      <c r="V5191">
        <v>1</v>
      </c>
      <c r="W5191">
        <v>13</v>
      </c>
      <c r="X5191">
        <v>123</v>
      </c>
      <c r="Y5191">
        <v>7</v>
      </c>
      <c r="Z5191">
        <v>2</v>
      </c>
      <c r="AA5191">
        <v>0</v>
      </c>
      <c r="AB5191">
        <v>4</v>
      </c>
      <c r="AD5191">
        <v>4</v>
      </c>
      <c r="AE5191">
        <v>0</v>
      </c>
      <c r="AF5191">
        <v>0</v>
      </c>
      <c r="AG5191">
        <v>2</v>
      </c>
      <c r="AI5191">
        <v>0</v>
      </c>
      <c r="AJ5191">
        <v>13</v>
      </c>
      <c r="AK5191">
        <v>337</v>
      </c>
      <c r="AL5191">
        <v>337</v>
      </c>
      <c r="AM5191">
        <v>638</v>
      </c>
      <c r="AN5191">
        <v>44</v>
      </c>
      <c r="AP5191">
        <v>1</v>
      </c>
      <c r="AR5191" t="s">
        <v>5295</v>
      </c>
      <c r="AS5191" s="1">
        <v>44354.094444444447</v>
      </c>
      <c r="AT5191" s="1">
        <v>44354.099745370368</v>
      </c>
      <c r="AU5191" s="1">
        <v>44354.100185185183</v>
      </c>
      <c r="AV5191" t="s">
        <v>71</v>
      </c>
      <c r="AW5191" t="s">
        <v>72</v>
      </c>
      <c r="AX5191" t="s">
        <v>73</v>
      </c>
    </row>
    <row r="5192" spans="1:50" x14ac:dyDescent="0.3">
      <c r="A5192" t="str">
        <f>"201584E0100"</f>
        <v>201584E0100</v>
      </c>
      <c r="B5192" t="str">
        <f>"201584E01002"</f>
        <v>201584E01002</v>
      </c>
      <c r="C5192" t="str">
        <f t="shared" si="261"/>
        <v>20</v>
      </c>
      <c r="D5192" t="s">
        <v>67</v>
      </c>
      <c r="E5192" t="str">
        <f t="shared" si="260"/>
        <v>023</v>
      </c>
      <c r="F5192" t="s">
        <v>5157</v>
      </c>
      <c r="G5192" t="str">
        <f>"1584"</f>
        <v>1584</v>
      </c>
      <c r="H5192" t="str">
        <f>"0001"</f>
        <v>0001</v>
      </c>
      <c r="I5192" t="s">
        <v>109</v>
      </c>
      <c r="J5192">
        <v>0</v>
      </c>
      <c r="K5192">
        <v>1</v>
      </c>
      <c r="L5192">
        <v>2</v>
      </c>
      <c r="M5192">
        <v>183</v>
      </c>
      <c r="N5192">
        <v>198</v>
      </c>
      <c r="O5192">
        <v>8</v>
      </c>
      <c r="P5192">
        <v>198</v>
      </c>
      <c r="Q5192">
        <v>2</v>
      </c>
      <c r="R5192">
        <v>95</v>
      </c>
      <c r="S5192">
        <v>0</v>
      </c>
      <c r="T5192">
        <v>1</v>
      </c>
      <c r="U5192">
        <v>9</v>
      </c>
      <c r="V5192">
        <v>10</v>
      </c>
      <c r="W5192">
        <v>9</v>
      </c>
      <c r="X5192">
        <v>60</v>
      </c>
      <c r="Y5192">
        <v>1</v>
      </c>
      <c r="Z5192">
        <v>0</v>
      </c>
      <c r="AA5192">
        <v>0</v>
      </c>
      <c r="AB5192">
        <v>3</v>
      </c>
      <c r="AD5192">
        <v>2</v>
      </c>
      <c r="AE5192">
        <v>0</v>
      </c>
      <c r="AF5192">
        <v>0</v>
      </c>
      <c r="AG5192">
        <v>0</v>
      </c>
      <c r="AI5192">
        <v>0</v>
      </c>
      <c r="AJ5192">
        <v>6</v>
      </c>
      <c r="AK5192">
        <v>198</v>
      </c>
      <c r="AL5192">
        <v>198</v>
      </c>
      <c r="AM5192">
        <v>337</v>
      </c>
      <c r="AN5192">
        <v>44</v>
      </c>
      <c r="AP5192">
        <v>1</v>
      </c>
      <c r="AR5192" s="2" t="s">
        <v>5296</v>
      </c>
      <c r="AS5192" s="1">
        <v>44354.093055555553</v>
      </c>
      <c r="AT5192" s="1">
        <v>44354.099039351851</v>
      </c>
      <c r="AU5192" s="1">
        <v>44354.099733796298</v>
      </c>
      <c r="AV5192" t="s">
        <v>71</v>
      </c>
      <c r="AW5192" t="s">
        <v>72</v>
      </c>
      <c r="AX5192" t="s">
        <v>73</v>
      </c>
    </row>
    <row r="5193" spans="1:50" x14ac:dyDescent="0.3">
      <c r="A5193" t="str">
        <f>"201584E0200"</f>
        <v>201584E0200</v>
      </c>
      <c r="B5193" t="str">
        <f>"201584E02002"</f>
        <v>201584E02002</v>
      </c>
      <c r="C5193" t="str">
        <f t="shared" si="261"/>
        <v>20</v>
      </c>
      <c r="D5193" t="s">
        <v>67</v>
      </c>
      <c r="E5193" t="str">
        <f t="shared" si="260"/>
        <v>023</v>
      </c>
      <c r="F5193" t="s">
        <v>5157</v>
      </c>
      <c r="G5193" t="str">
        <f>"1584"</f>
        <v>1584</v>
      </c>
      <c r="H5193" t="str">
        <f>"0002"</f>
        <v>0002</v>
      </c>
      <c r="I5193" t="s">
        <v>109</v>
      </c>
      <c r="J5193">
        <v>0</v>
      </c>
      <c r="K5193">
        <v>1</v>
      </c>
      <c r="L5193">
        <v>2</v>
      </c>
      <c r="M5193">
        <v>145</v>
      </c>
      <c r="N5193">
        <v>184</v>
      </c>
      <c r="O5193">
        <v>3</v>
      </c>
      <c r="P5193">
        <v>184</v>
      </c>
      <c r="Q5193">
        <v>0</v>
      </c>
      <c r="R5193">
        <v>38</v>
      </c>
      <c r="S5193">
        <v>2</v>
      </c>
      <c r="T5193">
        <v>0</v>
      </c>
      <c r="U5193">
        <v>16</v>
      </c>
      <c r="V5193">
        <v>4</v>
      </c>
      <c r="W5193">
        <v>39</v>
      </c>
      <c r="X5193">
        <v>82</v>
      </c>
      <c r="Y5193">
        <v>0</v>
      </c>
      <c r="Z5193">
        <v>0</v>
      </c>
      <c r="AA5193">
        <v>1</v>
      </c>
      <c r="AB5193">
        <v>0</v>
      </c>
      <c r="AD5193">
        <v>0</v>
      </c>
      <c r="AE5193">
        <v>0</v>
      </c>
      <c r="AF5193">
        <v>0</v>
      </c>
      <c r="AG5193">
        <v>0</v>
      </c>
      <c r="AI5193">
        <v>0</v>
      </c>
      <c r="AJ5193">
        <v>2</v>
      </c>
      <c r="AK5193">
        <v>184</v>
      </c>
      <c r="AL5193">
        <v>184</v>
      </c>
      <c r="AM5193">
        <v>285</v>
      </c>
      <c r="AN5193">
        <v>44</v>
      </c>
      <c r="AP5193">
        <v>1</v>
      </c>
      <c r="AR5193" t="s">
        <v>5297</v>
      </c>
      <c r="AS5193" s="1">
        <v>44354.093055555553</v>
      </c>
      <c r="AT5193" s="1">
        <v>44354.09920138889</v>
      </c>
      <c r="AU5193" s="1">
        <v>44354.099861111114</v>
      </c>
      <c r="AV5193" t="s">
        <v>71</v>
      </c>
      <c r="AW5193" t="s">
        <v>72</v>
      </c>
      <c r="AX5193" t="s">
        <v>73</v>
      </c>
    </row>
    <row r="5194" spans="1:50" x14ac:dyDescent="0.3">
      <c r="A5194" t="str">
        <f>"201658B0000"</f>
        <v>201658B0000</v>
      </c>
      <c r="B5194" t="str">
        <f>"201658B00002"</f>
        <v>201658B00002</v>
      </c>
      <c r="C5194" t="str">
        <f t="shared" si="261"/>
        <v>20</v>
      </c>
      <c r="D5194" t="s">
        <v>67</v>
      </c>
      <c r="E5194" t="str">
        <f t="shared" si="260"/>
        <v>023</v>
      </c>
      <c r="F5194" t="s">
        <v>5157</v>
      </c>
      <c r="G5194" t="str">
        <f>"1658"</f>
        <v>1658</v>
      </c>
      <c r="H5194" t="str">
        <f>"0000"</f>
        <v>0000</v>
      </c>
      <c r="I5194" t="s">
        <v>69</v>
      </c>
      <c r="J5194">
        <v>0</v>
      </c>
      <c r="K5194">
        <v>1</v>
      </c>
      <c r="L5194">
        <v>2</v>
      </c>
      <c r="M5194">
        <v>192</v>
      </c>
      <c r="N5194">
        <v>451</v>
      </c>
      <c r="O5194">
        <v>10</v>
      </c>
      <c r="P5194">
        <v>451</v>
      </c>
      <c r="Q5194">
        <v>26</v>
      </c>
      <c r="R5194">
        <v>152</v>
      </c>
      <c r="S5194">
        <v>19</v>
      </c>
      <c r="T5194">
        <v>3</v>
      </c>
      <c r="U5194">
        <v>39</v>
      </c>
      <c r="V5194">
        <v>1</v>
      </c>
      <c r="W5194">
        <v>3</v>
      </c>
      <c r="X5194">
        <v>184</v>
      </c>
      <c r="Y5194">
        <v>1</v>
      </c>
      <c r="Z5194">
        <v>5</v>
      </c>
      <c r="AA5194">
        <v>2</v>
      </c>
      <c r="AB5194">
        <v>5</v>
      </c>
      <c r="AD5194" t="s">
        <v>77</v>
      </c>
      <c r="AE5194">
        <v>1</v>
      </c>
      <c r="AF5194">
        <v>2</v>
      </c>
      <c r="AG5194" t="s">
        <v>77</v>
      </c>
      <c r="AI5194" t="s">
        <v>77</v>
      </c>
      <c r="AJ5194">
        <v>8</v>
      </c>
      <c r="AK5194">
        <v>451</v>
      </c>
      <c r="AL5194">
        <v>451</v>
      </c>
      <c r="AM5194">
        <v>598</v>
      </c>
      <c r="AN5194">
        <v>46</v>
      </c>
      <c r="AO5194" t="s">
        <v>78</v>
      </c>
      <c r="AP5194">
        <v>1</v>
      </c>
      <c r="AR5194" t="s">
        <v>5298</v>
      </c>
      <c r="AS5194" s="1">
        <v>44354.179166666669</v>
      </c>
      <c r="AT5194" s="1">
        <v>44354.181458333333</v>
      </c>
      <c r="AU5194" s="1">
        <v>44354.182291666664</v>
      </c>
      <c r="AV5194" t="s">
        <v>71</v>
      </c>
      <c r="AW5194" t="s">
        <v>72</v>
      </c>
      <c r="AX5194" t="s">
        <v>73</v>
      </c>
    </row>
    <row r="5195" spans="1:50" x14ac:dyDescent="0.3">
      <c r="A5195" t="str">
        <f>"201658C0100"</f>
        <v>201658C0100</v>
      </c>
      <c r="B5195" t="str">
        <f>"201658C01002"</f>
        <v>201658C01002</v>
      </c>
      <c r="C5195" t="str">
        <f t="shared" si="261"/>
        <v>20</v>
      </c>
      <c r="D5195" t="s">
        <v>67</v>
      </c>
      <c r="E5195" t="str">
        <f t="shared" si="260"/>
        <v>023</v>
      </c>
      <c r="F5195" t="s">
        <v>5157</v>
      </c>
      <c r="G5195" t="str">
        <f>"1658"</f>
        <v>1658</v>
      </c>
      <c r="H5195" t="str">
        <f>"0001"</f>
        <v>0001</v>
      </c>
      <c r="I5195" t="s">
        <v>75</v>
      </c>
      <c r="J5195">
        <v>0</v>
      </c>
      <c r="K5195">
        <v>1</v>
      </c>
      <c r="L5195">
        <v>2</v>
      </c>
      <c r="M5195">
        <v>196</v>
      </c>
      <c r="N5195">
        <v>448</v>
      </c>
      <c r="O5195">
        <v>5</v>
      </c>
      <c r="P5195">
        <v>448</v>
      </c>
      <c r="Q5195">
        <v>20</v>
      </c>
      <c r="R5195">
        <v>172</v>
      </c>
      <c r="S5195">
        <v>9</v>
      </c>
      <c r="T5195">
        <v>1</v>
      </c>
      <c r="U5195">
        <v>44</v>
      </c>
      <c r="V5195">
        <v>4</v>
      </c>
      <c r="W5195">
        <v>5</v>
      </c>
      <c r="X5195">
        <v>147</v>
      </c>
      <c r="Y5195">
        <v>0</v>
      </c>
      <c r="Z5195">
        <v>6</v>
      </c>
      <c r="AA5195">
        <v>3</v>
      </c>
      <c r="AB5195">
        <v>6</v>
      </c>
      <c r="AD5195">
        <v>4</v>
      </c>
      <c r="AE5195">
        <v>0</v>
      </c>
      <c r="AF5195">
        <v>2</v>
      </c>
      <c r="AG5195">
        <v>0</v>
      </c>
      <c r="AI5195">
        <v>0</v>
      </c>
      <c r="AJ5195">
        <v>25</v>
      </c>
      <c r="AK5195">
        <v>448</v>
      </c>
      <c r="AL5195">
        <v>448</v>
      </c>
      <c r="AM5195">
        <v>598</v>
      </c>
      <c r="AN5195">
        <v>46</v>
      </c>
      <c r="AP5195">
        <v>1</v>
      </c>
      <c r="AR5195" t="s">
        <v>5299</v>
      </c>
      <c r="AS5195" s="1">
        <v>44354.178472222222</v>
      </c>
      <c r="AT5195" s="1">
        <v>44354.181712962964</v>
      </c>
      <c r="AU5195" s="1">
        <v>44354.182060185187</v>
      </c>
      <c r="AV5195" t="s">
        <v>71</v>
      </c>
      <c r="AW5195" t="s">
        <v>72</v>
      </c>
      <c r="AX5195" t="s">
        <v>73</v>
      </c>
    </row>
    <row r="5196" spans="1:50" x14ac:dyDescent="0.3">
      <c r="A5196" t="str">
        <f>"201658C0200"</f>
        <v>201658C0200</v>
      </c>
      <c r="B5196" t="str">
        <f>"201658C02002"</f>
        <v>201658C02002</v>
      </c>
      <c r="C5196" t="str">
        <f t="shared" si="261"/>
        <v>20</v>
      </c>
      <c r="D5196" t="s">
        <v>67</v>
      </c>
      <c r="E5196" t="str">
        <f t="shared" si="260"/>
        <v>023</v>
      </c>
      <c r="F5196" t="s">
        <v>5157</v>
      </c>
      <c r="G5196" t="str">
        <f>"1658"</f>
        <v>1658</v>
      </c>
      <c r="H5196" t="str">
        <f>"0002"</f>
        <v>0002</v>
      </c>
      <c r="I5196" t="s">
        <v>75</v>
      </c>
      <c r="J5196">
        <v>0</v>
      </c>
      <c r="K5196">
        <v>1</v>
      </c>
      <c r="L5196">
        <v>2</v>
      </c>
      <c r="M5196">
        <v>226</v>
      </c>
      <c r="N5196">
        <v>418</v>
      </c>
      <c r="O5196">
        <v>9</v>
      </c>
      <c r="P5196">
        <v>418</v>
      </c>
      <c r="Q5196">
        <v>25</v>
      </c>
      <c r="R5196">
        <v>142</v>
      </c>
      <c r="S5196">
        <v>13</v>
      </c>
      <c r="T5196">
        <v>0</v>
      </c>
      <c r="U5196">
        <v>49</v>
      </c>
      <c r="V5196">
        <v>4</v>
      </c>
      <c r="W5196">
        <v>7</v>
      </c>
      <c r="X5196">
        <v>148</v>
      </c>
      <c r="Y5196">
        <v>0</v>
      </c>
      <c r="Z5196">
        <v>4</v>
      </c>
      <c r="AA5196">
        <v>3</v>
      </c>
      <c r="AB5196">
        <v>7</v>
      </c>
      <c r="AD5196">
        <v>0</v>
      </c>
      <c r="AE5196">
        <v>0</v>
      </c>
      <c r="AF5196">
        <v>0</v>
      </c>
      <c r="AG5196">
        <v>0</v>
      </c>
      <c r="AI5196">
        <v>0</v>
      </c>
      <c r="AJ5196">
        <v>16</v>
      </c>
      <c r="AK5196">
        <v>418</v>
      </c>
      <c r="AL5196">
        <v>418</v>
      </c>
      <c r="AM5196">
        <v>598</v>
      </c>
      <c r="AN5196">
        <v>46</v>
      </c>
      <c r="AP5196">
        <v>1</v>
      </c>
      <c r="AR5196" t="s">
        <v>5300</v>
      </c>
      <c r="AS5196" s="1">
        <v>44354.37222222222</v>
      </c>
      <c r="AT5196" s="1">
        <v>44354.377268518518</v>
      </c>
      <c r="AU5196" s="1">
        <v>44354.377951388888</v>
      </c>
      <c r="AV5196" t="s">
        <v>71</v>
      </c>
      <c r="AW5196" t="s">
        <v>72</v>
      </c>
      <c r="AX5196" t="s">
        <v>73</v>
      </c>
    </row>
    <row r="5197" spans="1:50" x14ac:dyDescent="0.3">
      <c r="A5197" t="str">
        <f>"201658C0300"</f>
        <v>201658C0300</v>
      </c>
      <c r="B5197" t="str">
        <f>"201658C03002"</f>
        <v>201658C03002</v>
      </c>
      <c r="C5197" t="str">
        <f t="shared" si="261"/>
        <v>20</v>
      </c>
      <c r="D5197" t="s">
        <v>67</v>
      </c>
      <c r="E5197" t="str">
        <f t="shared" si="260"/>
        <v>023</v>
      </c>
      <c r="F5197" t="s">
        <v>5157</v>
      </c>
      <c r="G5197" t="str">
        <f>"1658"</f>
        <v>1658</v>
      </c>
      <c r="H5197" t="str">
        <f>"0003"</f>
        <v>0003</v>
      </c>
      <c r="I5197" t="s">
        <v>75</v>
      </c>
      <c r="J5197">
        <v>0</v>
      </c>
      <c r="K5197">
        <v>1</v>
      </c>
      <c r="L5197">
        <v>2</v>
      </c>
      <c r="M5197">
        <v>190</v>
      </c>
      <c r="N5197">
        <v>454</v>
      </c>
      <c r="O5197">
        <v>11</v>
      </c>
      <c r="P5197">
        <v>454</v>
      </c>
      <c r="Q5197">
        <v>37</v>
      </c>
      <c r="R5197">
        <v>158</v>
      </c>
      <c r="S5197">
        <v>14</v>
      </c>
      <c r="T5197">
        <v>5</v>
      </c>
      <c r="U5197">
        <v>53</v>
      </c>
      <c r="V5197">
        <v>1</v>
      </c>
      <c r="W5197">
        <v>2</v>
      </c>
      <c r="X5197">
        <v>144</v>
      </c>
      <c r="Y5197">
        <v>1</v>
      </c>
      <c r="Z5197">
        <v>4</v>
      </c>
      <c r="AA5197">
        <v>4</v>
      </c>
      <c r="AB5197">
        <v>8</v>
      </c>
      <c r="AD5197">
        <v>1</v>
      </c>
      <c r="AE5197">
        <v>0</v>
      </c>
      <c r="AF5197">
        <v>5</v>
      </c>
      <c r="AG5197">
        <v>1</v>
      </c>
      <c r="AI5197">
        <v>0</v>
      </c>
      <c r="AJ5197">
        <v>16</v>
      </c>
      <c r="AK5197">
        <v>454</v>
      </c>
      <c r="AL5197">
        <v>454</v>
      </c>
      <c r="AM5197">
        <v>598</v>
      </c>
      <c r="AN5197">
        <v>46</v>
      </c>
      <c r="AP5197">
        <v>1</v>
      </c>
      <c r="AR5197" t="s">
        <v>5301</v>
      </c>
      <c r="AS5197" s="1">
        <v>44354.177777777775</v>
      </c>
      <c r="AT5197" s="1">
        <v>44354.180324074077</v>
      </c>
      <c r="AU5197" s="1">
        <v>44354.181331018517</v>
      </c>
      <c r="AV5197" t="s">
        <v>71</v>
      </c>
      <c r="AW5197" t="s">
        <v>72</v>
      </c>
      <c r="AX5197" t="s">
        <v>73</v>
      </c>
    </row>
    <row r="5198" spans="1:50" x14ac:dyDescent="0.3">
      <c r="A5198" t="str">
        <f>"201658S0100"</f>
        <v>201658S0100</v>
      </c>
      <c r="B5198" t="str">
        <f>"201658S01002EMR"</f>
        <v>201658S01002EMR</v>
      </c>
      <c r="C5198" t="str">
        <f t="shared" si="261"/>
        <v>20</v>
      </c>
      <c r="D5198" t="s">
        <v>67</v>
      </c>
      <c r="E5198" t="str">
        <f t="shared" si="260"/>
        <v>023</v>
      </c>
      <c r="F5198" t="s">
        <v>5157</v>
      </c>
      <c r="G5198" t="str">
        <f>"1658"</f>
        <v>1658</v>
      </c>
      <c r="H5198" t="str">
        <f>"0001"</f>
        <v>0001</v>
      </c>
      <c r="I5198" t="s">
        <v>85</v>
      </c>
      <c r="J5198">
        <v>0</v>
      </c>
      <c r="K5198">
        <v>1</v>
      </c>
      <c r="L5198" t="s">
        <v>86</v>
      </c>
      <c r="M5198">
        <v>693</v>
      </c>
      <c r="N5198">
        <v>161</v>
      </c>
      <c r="O5198">
        <v>0</v>
      </c>
      <c r="P5198">
        <v>146</v>
      </c>
      <c r="Q5198">
        <v>6</v>
      </c>
      <c r="R5198">
        <v>35</v>
      </c>
      <c r="S5198">
        <v>0</v>
      </c>
      <c r="T5198">
        <v>1</v>
      </c>
      <c r="U5198">
        <v>4</v>
      </c>
      <c r="V5198">
        <v>0</v>
      </c>
      <c r="W5198">
        <v>2</v>
      </c>
      <c r="X5198">
        <v>86</v>
      </c>
      <c r="Y5198">
        <v>0</v>
      </c>
      <c r="Z5198">
        <v>2</v>
      </c>
      <c r="AA5198">
        <v>1</v>
      </c>
      <c r="AB5198">
        <v>1</v>
      </c>
      <c r="AD5198">
        <v>0</v>
      </c>
      <c r="AE5198">
        <v>0</v>
      </c>
      <c r="AF5198">
        <v>0</v>
      </c>
      <c r="AG5198">
        <v>0</v>
      </c>
      <c r="AI5198">
        <v>0</v>
      </c>
      <c r="AJ5198">
        <v>8</v>
      </c>
      <c r="AK5198">
        <v>146</v>
      </c>
      <c r="AL5198">
        <v>146</v>
      </c>
      <c r="AM5198">
        <v>0</v>
      </c>
      <c r="AN5198">
        <v>46</v>
      </c>
      <c r="AP5198">
        <v>1</v>
      </c>
      <c r="AR5198" s="2" t="s">
        <v>5302</v>
      </c>
      <c r="AS5198" s="1">
        <v>44354.688194444447</v>
      </c>
      <c r="AT5198" s="1">
        <v>44354.690104166664</v>
      </c>
      <c r="AU5198" s="1">
        <v>44354.690844907411</v>
      </c>
      <c r="AV5198" t="s">
        <v>71</v>
      </c>
      <c r="AW5198" t="s">
        <v>72</v>
      </c>
      <c r="AX5198" t="s">
        <v>347</v>
      </c>
    </row>
    <row r="5199" spans="1:50" x14ac:dyDescent="0.3">
      <c r="A5199" t="str">
        <f>"201659B0000"</f>
        <v>201659B0000</v>
      </c>
      <c r="B5199" t="str">
        <f>"201659B00002"</f>
        <v>201659B00002</v>
      </c>
      <c r="C5199" t="str">
        <f t="shared" si="261"/>
        <v>20</v>
      </c>
      <c r="D5199" t="s">
        <v>67</v>
      </c>
      <c r="E5199" t="str">
        <f t="shared" si="260"/>
        <v>023</v>
      </c>
      <c r="F5199" t="s">
        <v>5157</v>
      </c>
      <c r="G5199" t="str">
        <f t="shared" ref="G5199:G5204" si="262">"1659"</f>
        <v>1659</v>
      </c>
      <c r="H5199" t="str">
        <f>"0000"</f>
        <v>0000</v>
      </c>
      <c r="I5199" t="s">
        <v>69</v>
      </c>
      <c r="J5199">
        <v>0</v>
      </c>
      <c r="K5199">
        <v>1</v>
      </c>
      <c r="L5199">
        <v>2</v>
      </c>
      <c r="M5199">
        <v>236</v>
      </c>
      <c r="N5199">
        <v>533</v>
      </c>
      <c r="O5199">
        <v>9</v>
      </c>
      <c r="P5199">
        <v>533</v>
      </c>
      <c r="Q5199">
        <v>17</v>
      </c>
      <c r="R5199">
        <v>189</v>
      </c>
      <c r="S5199">
        <v>19</v>
      </c>
      <c r="T5199">
        <v>2</v>
      </c>
      <c r="U5199">
        <v>50</v>
      </c>
      <c r="V5199">
        <v>2</v>
      </c>
      <c r="W5199">
        <v>4</v>
      </c>
      <c r="X5199">
        <v>211</v>
      </c>
      <c r="Y5199">
        <v>2</v>
      </c>
      <c r="Z5199">
        <v>4</v>
      </c>
      <c r="AA5199">
        <v>2</v>
      </c>
      <c r="AB5199">
        <v>11</v>
      </c>
      <c r="AD5199">
        <v>1</v>
      </c>
      <c r="AE5199">
        <v>1</v>
      </c>
      <c r="AF5199">
        <v>6</v>
      </c>
      <c r="AG5199">
        <v>0</v>
      </c>
      <c r="AI5199">
        <v>0</v>
      </c>
      <c r="AJ5199">
        <v>12</v>
      </c>
      <c r="AK5199">
        <v>533</v>
      </c>
      <c r="AL5199">
        <v>533</v>
      </c>
      <c r="AM5199">
        <v>723</v>
      </c>
      <c r="AN5199">
        <v>46</v>
      </c>
      <c r="AP5199">
        <v>1</v>
      </c>
      <c r="AR5199" t="s">
        <v>5303</v>
      </c>
      <c r="AS5199" s="1">
        <v>44354.123611111114</v>
      </c>
      <c r="AT5199" s="1">
        <v>44354.127928240741</v>
      </c>
      <c r="AU5199" s="1">
        <v>44354.128217592595</v>
      </c>
      <c r="AV5199" t="s">
        <v>71</v>
      </c>
      <c r="AW5199" t="s">
        <v>72</v>
      </c>
      <c r="AX5199" t="s">
        <v>73</v>
      </c>
    </row>
    <row r="5200" spans="1:50" x14ac:dyDescent="0.3">
      <c r="A5200" t="str">
        <f>"201659C0100"</f>
        <v>201659C0100</v>
      </c>
      <c r="B5200" t="str">
        <f>"201659C01002"</f>
        <v>201659C01002</v>
      </c>
      <c r="C5200" t="str">
        <f t="shared" si="261"/>
        <v>20</v>
      </c>
      <c r="D5200" t="s">
        <v>67</v>
      </c>
      <c r="E5200" t="str">
        <f t="shared" si="260"/>
        <v>023</v>
      </c>
      <c r="F5200" t="s">
        <v>5157</v>
      </c>
      <c r="G5200" t="str">
        <f t="shared" si="262"/>
        <v>1659</v>
      </c>
      <c r="H5200" t="str">
        <f>"0001"</f>
        <v>0001</v>
      </c>
      <c r="I5200" t="s">
        <v>75</v>
      </c>
      <c r="J5200">
        <v>0</v>
      </c>
      <c r="K5200">
        <v>1</v>
      </c>
      <c r="L5200">
        <v>2</v>
      </c>
      <c r="M5200">
        <v>250</v>
      </c>
      <c r="N5200">
        <v>519</v>
      </c>
      <c r="O5200">
        <v>6</v>
      </c>
      <c r="P5200">
        <v>519</v>
      </c>
      <c r="Q5200">
        <v>39</v>
      </c>
      <c r="R5200">
        <v>205</v>
      </c>
      <c r="S5200">
        <v>18</v>
      </c>
      <c r="T5200">
        <v>4</v>
      </c>
      <c r="U5200">
        <v>44</v>
      </c>
      <c r="V5200">
        <v>2</v>
      </c>
      <c r="W5200">
        <v>1</v>
      </c>
      <c r="X5200">
        <v>164</v>
      </c>
      <c r="Y5200">
        <v>1</v>
      </c>
      <c r="Z5200">
        <v>4</v>
      </c>
      <c r="AA5200">
        <v>8</v>
      </c>
      <c r="AB5200">
        <v>5</v>
      </c>
      <c r="AD5200">
        <v>0</v>
      </c>
      <c r="AE5200">
        <v>0</v>
      </c>
      <c r="AF5200">
        <v>5</v>
      </c>
      <c r="AG5200">
        <v>0</v>
      </c>
      <c r="AI5200">
        <v>0</v>
      </c>
      <c r="AJ5200">
        <v>19</v>
      </c>
      <c r="AK5200">
        <v>519</v>
      </c>
      <c r="AL5200">
        <v>519</v>
      </c>
      <c r="AM5200">
        <v>723</v>
      </c>
      <c r="AN5200">
        <v>46</v>
      </c>
      <c r="AP5200">
        <v>1</v>
      </c>
      <c r="AR5200" t="s">
        <v>5304</v>
      </c>
      <c r="AS5200" s="1">
        <v>44354.12222222222</v>
      </c>
      <c r="AT5200" s="1">
        <v>44354.130115740743</v>
      </c>
      <c r="AU5200" s="1">
        <v>44354.130555555559</v>
      </c>
      <c r="AV5200" t="s">
        <v>71</v>
      </c>
      <c r="AW5200" t="s">
        <v>72</v>
      </c>
      <c r="AX5200" t="s">
        <v>73</v>
      </c>
    </row>
    <row r="5201" spans="1:50" x14ac:dyDescent="0.3">
      <c r="A5201" t="str">
        <f>"201659C0200"</f>
        <v>201659C0200</v>
      </c>
      <c r="B5201" t="str">
        <f>"201659C02002"</f>
        <v>201659C02002</v>
      </c>
      <c r="C5201" t="str">
        <f t="shared" si="261"/>
        <v>20</v>
      </c>
      <c r="D5201" t="s">
        <v>67</v>
      </c>
      <c r="E5201" t="str">
        <f t="shared" si="260"/>
        <v>023</v>
      </c>
      <c r="F5201" t="s">
        <v>5157</v>
      </c>
      <c r="G5201" t="str">
        <f t="shared" si="262"/>
        <v>1659</v>
      </c>
      <c r="H5201" t="str">
        <f>"0002"</f>
        <v>0002</v>
      </c>
      <c r="I5201" t="s">
        <v>75</v>
      </c>
      <c r="J5201">
        <v>0</v>
      </c>
      <c r="K5201">
        <v>1</v>
      </c>
      <c r="L5201">
        <v>2</v>
      </c>
      <c r="M5201">
        <v>238</v>
      </c>
      <c r="N5201">
        <v>530</v>
      </c>
      <c r="O5201">
        <v>6</v>
      </c>
      <c r="P5201">
        <v>530</v>
      </c>
      <c r="Q5201">
        <v>40</v>
      </c>
      <c r="R5201">
        <v>249</v>
      </c>
      <c r="S5201">
        <v>15</v>
      </c>
      <c r="T5201">
        <v>3</v>
      </c>
      <c r="U5201">
        <v>48</v>
      </c>
      <c r="V5201">
        <v>2</v>
      </c>
      <c r="W5201">
        <v>6</v>
      </c>
      <c r="X5201">
        <v>121</v>
      </c>
      <c r="Y5201">
        <v>3</v>
      </c>
      <c r="Z5201">
        <v>2</v>
      </c>
      <c r="AA5201">
        <v>7</v>
      </c>
      <c r="AB5201">
        <v>13</v>
      </c>
      <c r="AD5201">
        <v>1</v>
      </c>
      <c r="AE5201">
        <v>1</v>
      </c>
      <c r="AF5201">
        <v>4</v>
      </c>
      <c r="AG5201">
        <v>0</v>
      </c>
      <c r="AI5201">
        <v>0</v>
      </c>
      <c r="AJ5201">
        <v>15</v>
      </c>
      <c r="AK5201">
        <v>530</v>
      </c>
      <c r="AL5201">
        <v>530</v>
      </c>
      <c r="AM5201">
        <v>722</v>
      </c>
      <c r="AN5201">
        <v>46</v>
      </c>
      <c r="AP5201">
        <v>1</v>
      </c>
      <c r="AR5201" t="s">
        <v>5305</v>
      </c>
      <c r="AS5201" s="1">
        <v>44354.123611111114</v>
      </c>
      <c r="AT5201" s="1">
        <v>44354.128275462965</v>
      </c>
      <c r="AU5201" s="1">
        <v>44354.128784722219</v>
      </c>
      <c r="AV5201" t="s">
        <v>71</v>
      </c>
      <c r="AW5201" t="s">
        <v>72</v>
      </c>
      <c r="AX5201" t="s">
        <v>73</v>
      </c>
    </row>
    <row r="5202" spans="1:50" x14ac:dyDescent="0.3">
      <c r="A5202" t="str">
        <f>"201659E0100"</f>
        <v>201659E0100</v>
      </c>
      <c r="B5202" t="str">
        <f>"201659E01002"</f>
        <v>201659E01002</v>
      </c>
      <c r="C5202" t="str">
        <f t="shared" si="261"/>
        <v>20</v>
      </c>
      <c r="D5202" t="s">
        <v>67</v>
      </c>
      <c r="E5202" t="str">
        <f t="shared" si="260"/>
        <v>023</v>
      </c>
      <c r="F5202" t="s">
        <v>5157</v>
      </c>
      <c r="G5202" t="str">
        <f t="shared" si="262"/>
        <v>1659</v>
      </c>
      <c r="H5202" t="str">
        <f>"0001"</f>
        <v>0001</v>
      </c>
      <c r="I5202" t="s">
        <v>109</v>
      </c>
      <c r="J5202">
        <v>0</v>
      </c>
      <c r="K5202">
        <v>1</v>
      </c>
      <c r="L5202">
        <v>2</v>
      </c>
      <c r="M5202">
        <v>233</v>
      </c>
      <c r="N5202">
        <v>498</v>
      </c>
      <c r="O5202">
        <v>8</v>
      </c>
      <c r="P5202">
        <v>498</v>
      </c>
      <c r="Q5202">
        <v>36</v>
      </c>
      <c r="R5202">
        <v>179</v>
      </c>
      <c r="S5202">
        <v>7</v>
      </c>
      <c r="T5202">
        <v>1</v>
      </c>
      <c r="U5202">
        <v>51</v>
      </c>
      <c r="V5202">
        <v>2</v>
      </c>
      <c r="W5202">
        <v>2</v>
      </c>
      <c r="X5202">
        <v>161</v>
      </c>
      <c r="Y5202">
        <v>2</v>
      </c>
      <c r="Z5202">
        <v>3</v>
      </c>
      <c r="AA5202">
        <v>1</v>
      </c>
      <c r="AB5202">
        <v>26</v>
      </c>
      <c r="AD5202">
        <v>1</v>
      </c>
      <c r="AE5202">
        <v>1</v>
      </c>
      <c r="AF5202">
        <v>4</v>
      </c>
      <c r="AG5202">
        <v>0</v>
      </c>
      <c r="AI5202">
        <v>0</v>
      </c>
      <c r="AJ5202">
        <v>21</v>
      </c>
      <c r="AK5202">
        <v>498</v>
      </c>
      <c r="AL5202">
        <v>498</v>
      </c>
      <c r="AM5202">
        <v>685</v>
      </c>
      <c r="AN5202">
        <v>46</v>
      </c>
      <c r="AP5202">
        <v>1</v>
      </c>
      <c r="AR5202" t="s">
        <v>5306</v>
      </c>
      <c r="AS5202" s="1">
        <v>44354.151388888888</v>
      </c>
      <c r="AT5202" s="1">
        <v>44354.155312499999</v>
      </c>
      <c r="AU5202" s="1">
        <v>44354.156006944446</v>
      </c>
      <c r="AV5202" t="s">
        <v>71</v>
      </c>
      <c r="AW5202" t="s">
        <v>72</v>
      </c>
      <c r="AX5202" t="s">
        <v>73</v>
      </c>
    </row>
    <row r="5203" spans="1:50" x14ac:dyDescent="0.3">
      <c r="A5203" t="str">
        <f>"201659E0101"</f>
        <v>201659E0101</v>
      </c>
      <c r="B5203" t="str">
        <f>"201659E01012"</f>
        <v>201659E01012</v>
      </c>
      <c r="C5203" t="str">
        <f t="shared" si="261"/>
        <v>20</v>
      </c>
      <c r="D5203" t="s">
        <v>67</v>
      </c>
      <c r="E5203" t="str">
        <f t="shared" si="260"/>
        <v>023</v>
      </c>
      <c r="F5203" t="s">
        <v>5157</v>
      </c>
      <c r="G5203" t="str">
        <f t="shared" si="262"/>
        <v>1659</v>
      </c>
      <c r="H5203" t="str">
        <f>"0001"</f>
        <v>0001</v>
      </c>
      <c r="I5203" t="s">
        <v>109</v>
      </c>
      <c r="J5203">
        <v>1</v>
      </c>
      <c r="K5203">
        <v>1</v>
      </c>
      <c r="L5203">
        <v>2</v>
      </c>
      <c r="M5203">
        <v>241</v>
      </c>
      <c r="N5203">
        <v>488</v>
      </c>
      <c r="O5203">
        <v>12</v>
      </c>
      <c r="P5203">
        <v>488</v>
      </c>
      <c r="Q5203">
        <v>33</v>
      </c>
      <c r="R5203">
        <v>203</v>
      </c>
      <c r="S5203">
        <v>8</v>
      </c>
      <c r="T5203">
        <v>0</v>
      </c>
      <c r="U5203">
        <v>34</v>
      </c>
      <c r="V5203">
        <v>2</v>
      </c>
      <c r="W5203">
        <v>2</v>
      </c>
      <c r="X5203">
        <v>169</v>
      </c>
      <c r="Y5203">
        <v>1</v>
      </c>
      <c r="Z5203">
        <v>4</v>
      </c>
      <c r="AA5203">
        <v>2</v>
      </c>
      <c r="AB5203">
        <v>11</v>
      </c>
      <c r="AD5203">
        <v>0</v>
      </c>
      <c r="AE5203">
        <v>2</v>
      </c>
      <c r="AF5203">
        <v>1</v>
      </c>
      <c r="AG5203">
        <v>0</v>
      </c>
      <c r="AI5203">
        <v>0</v>
      </c>
      <c r="AJ5203">
        <v>16</v>
      </c>
      <c r="AK5203">
        <v>488</v>
      </c>
      <c r="AL5203">
        <v>488</v>
      </c>
      <c r="AM5203">
        <v>684</v>
      </c>
      <c r="AN5203">
        <v>46</v>
      </c>
      <c r="AP5203">
        <v>1</v>
      </c>
      <c r="AR5203" t="s">
        <v>5307</v>
      </c>
      <c r="AS5203" s="1">
        <v>44354.371527777781</v>
      </c>
      <c r="AT5203" s="1">
        <v>44354.37699074074</v>
      </c>
      <c r="AU5203" s="1">
        <v>44354.378958333335</v>
      </c>
      <c r="AV5203" t="s">
        <v>71</v>
      </c>
      <c r="AW5203" t="s">
        <v>72</v>
      </c>
      <c r="AX5203" t="s">
        <v>73</v>
      </c>
    </row>
    <row r="5204" spans="1:50" x14ac:dyDescent="0.3">
      <c r="A5204" t="str">
        <f>"201659E0102"</f>
        <v>201659E0102</v>
      </c>
      <c r="B5204" t="str">
        <f>"201659E01022"</f>
        <v>201659E01022</v>
      </c>
      <c r="C5204" t="str">
        <f t="shared" si="261"/>
        <v>20</v>
      </c>
      <c r="D5204" t="s">
        <v>67</v>
      </c>
      <c r="E5204" t="str">
        <f t="shared" si="260"/>
        <v>023</v>
      </c>
      <c r="F5204" t="s">
        <v>5157</v>
      </c>
      <c r="G5204" t="str">
        <f t="shared" si="262"/>
        <v>1659</v>
      </c>
      <c r="H5204" t="str">
        <f>"0001"</f>
        <v>0001</v>
      </c>
      <c r="I5204" t="s">
        <v>109</v>
      </c>
      <c r="J5204">
        <v>2</v>
      </c>
      <c r="K5204">
        <v>1</v>
      </c>
      <c r="L5204">
        <v>2</v>
      </c>
      <c r="M5204">
        <v>250</v>
      </c>
      <c r="N5204">
        <v>480</v>
      </c>
      <c r="O5204">
        <v>9</v>
      </c>
      <c r="P5204">
        <v>480</v>
      </c>
      <c r="Q5204">
        <v>24</v>
      </c>
      <c r="R5204">
        <v>184</v>
      </c>
      <c r="S5204">
        <v>15</v>
      </c>
      <c r="T5204">
        <v>1</v>
      </c>
      <c r="U5204">
        <v>31</v>
      </c>
      <c r="V5204">
        <v>1</v>
      </c>
      <c r="W5204">
        <v>5</v>
      </c>
      <c r="X5204">
        <v>180</v>
      </c>
      <c r="Y5204">
        <v>2</v>
      </c>
      <c r="Z5204">
        <v>5</v>
      </c>
      <c r="AA5204">
        <v>6</v>
      </c>
      <c r="AB5204">
        <v>11</v>
      </c>
      <c r="AD5204">
        <v>1</v>
      </c>
      <c r="AE5204">
        <v>0</v>
      </c>
      <c r="AF5204">
        <v>0</v>
      </c>
      <c r="AG5204">
        <v>0</v>
      </c>
      <c r="AI5204">
        <v>0</v>
      </c>
      <c r="AJ5204">
        <v>14</v>
      </c>
      <c r="AK5204">
        <v>480</v>
      </c>
      <c r="AL5204">
        <v>480</v>
      </c>
      <c r="AM5204">
        <v>684</v>
      </c>
      <c r="AN5204">
        <v>46</v>
      </c>
      <c r="AP5204">
        <v>1</v>
      </c>
      <c r="AR5204" s="2" t="s">
        <v>5308</v>
      </c>
      <c r="AS5204" s="1">
        <v>44354.493055555555</v>
      </c>
      <c r="AT5204" s="1">
        <v>44354.496863425928</v>
      </c>
      <c r="AU5204" s="1">
        <v>44354.49759259259</v>
      </c>
      <c r="AV5204" t="s">
        <v>71</v>
      </c>
      <c r="AW5204" t="s">
        <v>72</v>
      </c>
      <c r="AX5204" t="s">
        <v>73</v>
      </c>
    </row>
    <row r="5205" spans="1:50" x14ac:dyDescent="0.3">
      <c r="A5205" t="str">
        <f>"201660B0000"</f>
        <v>201660B0000</v>
      </c>
      <c r="B5205" t="str">
        <f>"201660B00002"</f>
        <v>201660B00002</v>
      </c>
      <c r="C5205" t="str">
        <f t="shared" si="261"/>
        <v>20</v>
      </c>
      <c r="D5205" t="s">
        <v>67</v>
      </c>
      <c r="E5205" t="str">
        <f t="shared" si="260"/>
        <v>023</v>
      </c>
      <c r="F5205" t="s">
        <v>5157</v>
      </c>
      <c r="G5205" t="str">
        <f>"1660"</f>
        <v>1660</v>
      </c>
      <c r="H5205" t="str">
        <f>"0000"</f>
        <v>0000</v>
      </c>
      <c r="I5205" t="s">
        <v>69</v>
      </c>
      <c r="J5205">
        <v>0</v>
      </c>
      <c r="K5205">
        <v>1</v>
      </c>
      <c r="L5205">
        <v>2</v>
      </c>
      <c r="M5205">
        <v>255</v>
      </c>
      <c r="N5205">
        <v>613</v>
      </c>
      <c r="O5205">
        <v>5</v>
      </c>
      <c r="P5205">
        <v>356</v>
      </c>
      <c r="Q5205">
        <v>60</v>
      </c>
      <c r="R5205">
        <v>69</v>
      </c>
      <c r="S5205">
        <v>87</v>
      </c>
      <c r="T5205">
        <v>2</v>
      </c>
      <c r="U5205">
        <v>26</v>
      </c>
      <c r="V5205">
        <v>2</v>
      </c>
      <c r="W5205">
        <v>1</v>
      </c>
      <c r="X5205">
        <v>80</v>
      </c>
      <c r="Y5205">
        <v>1</v>
      </c>
      <c r="Z5205">
        <v>3</v>
      </c>
      <c r="AA5205">
        <v>2</v>
      </c>
      <c r="AB5205">
        <v>1</v>
      </c>
      <c r="AD5205">
        <v>2</v>
      </c>
      <c r="AE5205">
        <v>5</v>
      </c>
      <c r="AF5205">
        <v>3</v>
      </c>
      <c r="AG5205">
        <v>2</v>
      </c>
      <c r="AI5205" t="s">
        <v>77</v>
      </c>
      <c r="AJ5205">
        <v>12</v>
      </c>
      <c r="AK5205" t="s">
        <v>99</v>
      </c>
      <c r="AL5205">
        <v>358</v>
      </c>
      <c r="AM5205">
        <v>567</v>
      </c>
      <c r="AN5205">
        <v>46</v>
      </c>
      <c r="AO5205" t="s">
        <v>78</v>
      </c>
      <c r="AP5205">
        <v>1</v>
      </c>
      <c r="AR5205" t="s">
        <v>5309</v>
      </c>
      <c r="AS5205" s="1">
        <v>44354.374305555553</v>
      </c>
      <c r="AT5205" s="1">
        <v>44354.390775462962</v>
      </c>
      <c r="AU5205" s="1">
        <v>44354.458553240744</v>
      </c>
      <c r="AV5205" t="s">
        <v>71</v>
      </c>
      <c r="AW5205" t="s">
        <v>72</v>
      </c>
      <c r="AX5205" t="s">
        <v>73</v>
      </c>
    </row>
    <row r="5206" spans="1:50" x14ac:dyDescent="0.3">
      <c r="A5206" t="str">
        <f>"201660C0100"</f>
        <v>201660C0100</v>
      </c>
      <c r="B5206" t="str">
        <f>"201660C01002"</f>
        <v>201660C01002</v>
      </c>
      <c r="C5206" t="str">
        <f t="shared" si="261"/>
        <v>20</v>
      </c>
      <c r="D5206" t="s">
        <v>67</v>
      </c>
      <c r="E5206" t="str">
        <f t="shared" si="260"/>
        <v>023</v>
      </c>
      <c r="F5206" t="s">
        <v>5157</v>
      </c>
      <c r="G5206" t="str">
        <f>"1660"</f>
        <v>1660</v>
      </c>
      <c r="H5206" t="str">
        <f>"0001"</f>
        <v>0001</v>
      </c>
      <c r="I5206" t="s">
        <v>75</v>
      </c>
      <c r="J5206">
        <v>0</v>
      </c>
      <c r="K5206">
        <v>1</v>
      </c>
      <c r="L5206">
        <v>2</v>
      </c>
      <c r="M5206">
        <v>253</v>
      </c>
      <c r="N5206">
        <v>359</v>
      </c>
      <c r="O5206">
        <v>11</v>
      </c>
      <c r="P5206">
        <v>0</v>
      </c>
      <c r="Q5206">
        <v>66</v>
      </c>
      <c r="R5206">
        <v>74</v>
      </c>
      <c r="S5206">
        <v>83</v>
      </c>
      <c r="T5206">
        <v>1</v>
      </c>
      <c r="U5206">
        <v>2</v>
      </c>
      <c r="V5206">
        <v>1</v>
      </c>
      <c r="W5206">
        <v>1</v>
      </c>
      <c r="X5206">
        <v>59</v>
      </c>
      <c r="Y5206">
        <v>0</v>
      </c>
      <c r="Z5206">
        <v>6</v>
      </c>
      <c r="AA5206">
        <v>7</v>
      </c>
      <c r="AB5206">
        <v>0</v>
      </c>
      <c r="AD5206">
        <v>1</v>
      </c>
      <c r="AE5206">
        <v>3</v>
      </c>
      <c r="AF5206">
        <v>8</v>
      </c>
      <c r="AG5206">
        <v>4</v>
      </c>
      <c r="AI5206">
        <v>0</v>
      </c>
      <c r="AJ5206">
        <v>16</v>
      </c>
      <c r="AK5206">
        <v>359</v>
      </c>
      <c r="AL5206">
        <v>332</v>
      </c>
      <c r="AM5206">
        <v>566</v>
      </c>
      <c r="AN5206">
        <v>46</v>
      </c>
      <c r="AP5206">
        <v>1</v>
      </c>
      <c r="AR5206" s="2" t="s">
        <v>5310</v>
      </c>
      <c r="AS5206" s="1">
        <v>44354.372916666667</v>
      </c>
      <c r="AT5206" s="1">
        <v>44354.377743055556</v>
      </c>
      <c r="AU5206" s="1">
        <v>44354.378541666665</v>
      </c>
      <c r="AV5206" t="s">
        <v>71</v>
      </c>
      <c r="AW5206" t="s">
        <v>72</v>
      </c>
      <c r="AX5206" t="s">
        <v>73</v>
      </c>
    </row>
    <row r="5207" spans="1:50" x14ac:dyDescent="0.3">
      <c r="A5207" t="str">
        <f>"201660E0100"</f>
        <v>201660E0100</v>
      </c>
      <c r="B5207" t="str">
        <f>"201660E01002"</f>
        <v>201660E01002</v>
      </c>
      <c r="C5207" t="str">
        <f t="shared" si="261"/>
        <v>20</v>
      </c>
      <c r="D5207" t="s">
        <v>67</v>
      </c>
      <c r="E5207" t="str">
        <f t="shared" si="260"/>
        <v>023</v>
      </c>
      <c r="F5207" t="s">
        <v>5157</v>
      </c>
      <c r="G5207" t="str">
        <f>"1660"</f>
        <v>1660</v>
      </c>
      <c r="H5207" t="str">
        <f>"0001"</f>
        <v>0001</v>
      </c>
      <c r="I5207" t="s">
        <v>109</v>
      </c>
      <c r="J5207">
        <v>0</v>
      </c>
      <c r="K5207">
        <v>1</v>
      </c>
      <c r="L5207">
        <v>2</v>
      </c>
      <c r="M5207">
        <v>190</v>
      </c>
      <c r="N5207">
        <v>271</v>
      </c>
      <c r="O5207">
        <v>12</v>
      </c>
      <c r="P5207">
        <v>271</v>
      </c>
      <c r="Q5207">
        <v>12</v>
      </c>
      <c r="R5207">
        <v>101</v>
      </c>
      <c r="S5207">
        <v>11</v>
      </c>
      <c r="T5207">
        <v>0</v>
      </c>
      <c r="U5207">
        <v>30</v>
      </c>
      <c r="V5207">
        <v>2</v>
      </c>
      <c r="W5207">
        <v>1</v>
      </c>
      <c r="X5207">
        <v>99</v>
      </c>
      <c r="Y5207">
        <v>3</v>
      </c>
      <c r="Z5207">
        <v>2</v>
      </c>
      <c r="AA5207">
        <v>1</v>
      </c>
      <c r="AB5207">
        <v>1</v>
      </c>
      <c r="AD5207">
        <v>0</v>
      </c>
      <c r="AE5207">
        <v>1</v>
      </c>
      <c r="AF5207">
        <v>0</v>
      </c>
      <c r="AG5207">
        <v>0</v>
      </c>
      <c r="AI5207">
        <v>0</v>
      </c>
      <c r="AJ5207">
        <v>7</v>
      </c>
      <c r="AK5207">
        <v>271</v>
      </c>
      <c r="AL5207">
        <v>271</v>
      </c>
      <c r="AM5207">
        <v>415</v>
      </c>
      <c r="AN5207">
        <v>46</v>
      </c>
      <c r="AP5207">
        <v>1</v>
      </c>
      <c r="AR5207" t="s">
        <v>5311</v>
      </c>
      <c r="AS5207" s="1">
        <v>44354.21875</v>
      </c>
      <c r="AT5207" s="1">
        <v>44354.225335648145</v>
      </c>
      <c r="AU5207" s="1">
        <v>44354.225717592592</v>
      </c>
      <c r="AV5207" t="s">
        <v>71</v>
      </c>
      <c r="AW5207" t="s">
        <v>72</v>
      </c>
      <c r="AX5207" t="s">
        <v>73</v>
      </c>
    </row>
    <row r="5208" spans="1:50" x14ac:dyDescent="0.3">
      <c r="A5208" t="str">
        <f>"201661B0000"</f>
        <v>201661B0000</v>
      </c>
      <c r="B5208" t="str">
        <f>"201661B00002"</f>
        <v>201661B00002</v>
      </c>
      <c r="C5208" t="str">
        <f t="shared" si="261"/>
        <v>20</v>
      </c>
      <c r="D5208" t="s">
        <v>67</v>
      </c>
      <c r="E5208" t="str">
        <f t="shared" si="260"/>
        <v>023</v>
      </c>
      <c r="F5208" t="s">
        <v>5157</v>
      </c>
      <c r="G5208" t="str">
        <f>"1661"</f>
        <v>1661</v>
      </c>
      <c r="H5208" t="str">
        <f>"0000"</f>
        <v>0000</v>
      </c>
      <c r="I5208" t="s">
        <v>69</v>
      </c>
      <c r="J5208">
        <v>0</v>
      </c>
      <c r="K5208">
        <v>1</v>
      </c>
      <c r="L5208">
        <v>2</v>
      </c>
      <c r="M5208">
        <v>192</v>
      </c>
      <c r="N5208">
        <v>442</v>
      </c>
      <c r="O5208">
        <v>14</v>
      </c>
      <c r="P5208">
        <v>442</v>
      </c>
      <c r="Q5208">
        <v>15</v>
      </c>
      <c r="R5208">
        <v>148</v>
      </c>
      <c r="S5208">
        <v>25</v>
      </c>
      <c r="T5208">
        <v>2</v>
      </c>
      <c r="U5208">
        <v>46</v>
      </c>
      <c r="V5208">
        <v>5</v>
      </c>
      <c r="W5208">
        <v>3</v>
      </c>
      <c r="X5208">
        <v>147</v>
      </c>
      <c r="Y5208">
        <v>1</v>
      </c>
      <c r="Z5208">
        <v>4</v>
      </c>
      <c r="AA5208">
        <v>5</v>
      </c>
      <c r="AB5208">
        <v>5</v>
      </c>
      <c r="AD5208">
        <v>3</v>
      </c>
      <c r="AE5208">
        <v>1</v>
      </c>
      <c r="AF5208">
        <v>2</v>
      </c>
      <c r="AG5208">
        <v>0</v>
      </c>
      <c r="AI5208">
        <v>0</v>
      </c>
      <c r="AJ5208">
        <v>30</v>
      </c>
      <c r="AK5208">
        <v>442</v>
      </c>
      <c r="AL5208">
        <v>442</v>
      </c>
      <c r="AM5208">
        <v>589</v>
      </c>
      <c r="AN5208">
        <v>46</v>
      </c>
      <c r="AP5208">
        <v>1</v>
      </c>
      <c r="AR5208" t="s">
        <v>5312</v>
      </c>
      <c r="AS5208" s="1">
        <v>44354.156944444447</v>
      </c>
      <c r="AT5208" s="1">
        <v>44354.163206018522</v>
      </c>
      <c r="AU5208" s="1">
        <v>44354.164027777777</v>
      </c>
      <c r="AV5208" t="s">
        <v>71</v>
      </c>
      <c r="AW5208" t="s">
        <v>72</v>
      </c>
      <c r="AX5208" t="s">
        <v>73</v>
      </c>
    </row>
    <row r="5209" spans="1:50" x14ac:dyDescent="0.3">
      <c r="A5209" t="str">
        <f>"201661C0100"</f>
        <v>201661C0100</v>
      </c>
      <c r="B5209" t="str">
        <f>"201661C01002"</f>
        <v>201661C01002</v>
      </c>
      <c r="C5209" t="str">
        <f t="shared" si="261"/>
        <v>20</v>
      </c>
      <c r="D5209" t="s">
        <v>67</v>
      </c>
      <c r="E5209" t="str">
        <f t="shared" si="260"/>
        <v>023</v>
      </c>
      <c r="F5209" t="s">
        <v>5157</v>
      </c>
      <c r="G5209" t="str">
        <f>"1661"</f>
        <v>1661</v>
      </c>
      <c r="H5209" t="str">
        <f>"0001"</f>
        <v>0001</v>
      </c>
      <c r="I5209" t="s">
        <v>75</v>
      </c>
      <c r="J5209">
        <v>0</v>
      </c>
      <c r="K5209">
        <v>1</v>
      </c>
      <c r="L5209">
        <v>2</v>
      </c>
      <c r="M5209">
        <v>219</v>
      </c>
      <c r="N5209">
        <v>415</v>
      </c>
      <c r="O5209">
        <v>2</v>
      </c>
      <c r="P5209">
        <v>415</v>
      </c>
      <c r="Q5209">
        <v>18</v>
      </c>
      <c r="R5209">
        <v>148</v>
      </c>
      <c r="S5209">
        <v>17</v>
      </c>
      <c r="T5209">
        <v>1</v>
      </c>
      <c r="U5209">
        <v>43</v>
      </c>
      <c r="V5209">
        <v>2</v>
      </c>
      <c r="W5209">
        <v>9</v>
      </c>
      <c r="X5209">
        <v>143</v>
      </c>
      <c r="Y5209">
        <v>0</v>
      </c>
      <c r="Z5209">
        <v>5</v>
      </c>
      <c r="AA5209">
        <v>8</v>
      </c>
      <c r="AB5209">
        <v>3</v>
      </c>
      <c r="AD5209">
        <v>0</v>
      </c>
      <c r="AE5209">
        <v>0</v>
      </c>
      <c r="AF5209">
        <v>0</v>
      </c>
      <c r="AG5209">
        <v>1</v>
      </c>
      <c r="AI5209">
        <v>0</v>
      </c>
      <c r="AJ5209">
        <v>17</v>
      </c>
      <c r="AK5209">
        <v>415</v>
      </c>
      <c r="AL5209">
        <v>415</v>
      </c>
      <c r="AM5209">
        <v>588</v>
      </c>
      <c r="AN5209">
        <v>46</v>
      </c>
      <c r="AP5209">
        <v>1</v>
      </c>
      <c r="AR5209" t="s">
        <v>5313</v>
      </c>
      <c r="AS5209" s="1">
        <v>44354.156944444447</v>
      </c>
      <c r="AT5209" s="1">
        <v>44354.160578703704</v>
      </c>
      <c r="AU5209" s="1">
        <v>44354.161215277774</v>
      </c>
      <c r="AV5209" t="s">
        <v>71</v>
      </c>
      <c r="AW5209" t="s">
        <v>72</v>
      </c>
      <c r="AX5209" t="s">
        <v>73</v>
      </c>
    </row>
    <row r="5210" spans="1:50" x14ac:dyDescent="0.3">
      <c r="A5210" t="str">
        <f>"201662B0000"</f>
        <v>201662B0000</v>
      </c>
      <c r="B5210" t="str">
        <f>"201662B00002"</f>
        <v>201662B00002</v>
      </c>
      <c r="C5210" t="str">
        <f t="shared" si="261"/>
        <v>20</v>
      </c>
      <c r="D5210" t="s">
        <v>67</v>
      </c>
      <c r="E5210" t="str">
        <f t="shared" si="260"/>
        <v>023</v>
      </c>
      <c r="F5210" t="s">
        <v>5157</v>
      </c>
      <c r="G5210" t="str">
        <f>"1662"</f>
        <v>1662</v>
      </c>
      <c r="H5210" t="str">
        <f>"0000"</f>
        <v>0000</v>
      </c>
      <c r="I5210" t="s">
        <v>69</v>
      </c>
      <c r="J5210">
        <v>0</v>
      </c>
      <c r="K5210">
        <v>1</v>
      </c>
      <c r="L5210">
        <v>2</v>
      </c>
      <c r="M5210">
        <v>242</v>
      </c>
      <c r="N5210">
        <v>399</v>
      </c>
      <c r="O5210">
        <v>12</v>
      </c>
      <c r="P5210">
        <v>399</v>
      </c>
      <c r="Q5210">
        <v>30</v>
      </c>
      <c r="R5210">
        <v>66</v>
      </c>
      <c r="S5210">
        <v>80</v>
      </c>
      <c r="T5210">
        <v>2</v>
      </c>
      <c r="U5210">
        <v>96</v>
      </c>
      <c r="V5210">
        <v>3</v>
      </c>
      <c r="W5210">
        <v>2</v>
      </c>
      <c r="X5210">
        <v>89</v>
      </c>
      <c r="Y5210">
        <v>0</v>
      </c>
      <c r="Z5210">
        <v>3</v>
      </c>
      <c r="AA5210">
        <v>6</v>
      </c>
      <c r="AB5210">
        <v>9</v>
      </c>
      <c r="AD5210">
        <v>2</v>
      </c>
      <c r="AE5210">
        <v>0</v>
      </c>
      <c r="AF5210">
        <v>0</v>
      </c>
      <c r="AG5210">
        <v>0</v>
      </c>
      <c r="AI5210">
        <v>0</v>
      </c>
      <c r="AJ5210">
        <v>11</v>
      </c>
      <c r="AK5210">
        <v>399</v>
      </c>
      <c r="AL5210">
        <v>399</v>
      </c>
      <c r="AM5210">
        <v>595</v>
      </c>
      <c r="AN5210">
        <v>46</v>
      </c>
      <c r="AP5210">
        <v>1</v>
      </c>
      <c r="AR5210" t="s">
        <v>5314</v>
      </c>
      <c r="AS5210" s="1">
        <v>44354.217361111114</v>
      </c>
      <c r="AT5210" s="1">
        <v>44354.223668981482</v>
      </c>
      <c r="AU5210" s="1">
        <v>44354.22420138889</v>
      </c>
      <c r="AV5210" t="s">
        <v>71</v>
      </c>
      <c r="AW5210" t="s">
        <v>72</v>
      </c>
      <c r="AX5210" t="s">
        <v>73</v>
      </c>
    </row>
    <row r="5211" spans="1:50" x14ac:dyDescent="0.3">
      <c r="A5211" t="str">
        <f>"201662C0100"</f>
        <v>201662C0100</v>
      </c>
      <c r="B5211" t="str">
        <f>"201662C01002"</f>
        <v>201662C01002</v>
      </c>
      <c r="C5211" t="str">
        <f t="shared" si="261"/>
        <v>20</v>
      </c>
      <c r="D5211" t="s">
        <v>67</v>
      </c>
      <c r="E5211" t="str">
        <f t="shared" si="260"/>
        <v>023</v>
      </c>
      <c r="F5211" t="s">
        <v>5157</v>
      </c>
      <c r="G5211" t="str">
        <f>"1662"</f>
        <v>1662</v>
      </c>
      <c r="H5211" t="str">
        <f>"0001"</f>
        <v>0001</v>
      </c>
      <c r="I5211" t="s">
        <v>75</v>
      </c>
      <c r="J5211">
        <v>0</v>
      </c>
      <c r="K5211">
        <v>1</v>
      </c>
      <c r="L5211">
        <v>2</v>
      </c>
      <c r="M5211">
        <v>241</v>
      </c>
      <c r="N5211">
        <v>400</v>
      </c>
      <c r="O5211">
        <v>7</v>
      </c>
      <c r="P5211">
        <v>400</v>
      </c>
      <c r="Q5211">
        <v>30</v>
      </c>
      <c r="R5211">
        <v>71</v>
      </c>
      <c r="S5211">
        <v>90</v>
      </c>
      <c r="T5211">
        <v>3</v>
      </c>
      <c r="U5211">
        <v>106</v>
      </c>
      <c r="V5211">
        <v>0</v>
      </c>
      <c r="W5211">
        <v>1</v>
      </c>
      <c r="X5211">
        <v>71</v>
      </c>
      <c r="Y5211">
        <v>0</v>
      </c>
      <c r="Z5211">
        <v>2</v>
      </c>
      <c r="AA5211">
        <v>8</v>
      </c>
      <c r="AB5211">
        <v>4</v>
      </c>
      <c r="AD5211">
        <v>0</v>
      </c>
      <c r="AE5211">
        <v>0</v>
      </c>
      <c r="AF5211">
        <v>4</v>
      </c>
      <c r="AG5211">
        <v>0</v>
      </c>
      <c r="AI5211">
        <v>0</v>
      </c>
      <c r="AJ5211">
        <v>10</v>
      </c>
      <c r="AK5211">
        <v>400</v>
      </c>
      <c r="AL5211">
        <v>400</v>
      </c>
      <c r="AM5211">
        <v>595</v>
      </c>
      <c r="AN5211">
        <v>46</v>
      </c>
      <c r="AP5211">
        <v>1</v>
      </c>
      <c r="AR5211" t="s">
        <v>5315</v>
      </c>
      <c r="AS5211" s="1">
        <v>44354.218055555553</v>
      </c>
      <c r="AT5211" s="1">
        <v>44354.224826388891</v>
      </c>
      <c r="AU5211" s="1">
        <v>44354.225555555553</v>
      </c>
      <c r="AV5211" t="s">
        <v>71</v>
      </c>
      <c r="AW5211" t="s">
        <v>72</v>
      </c>
      <c r="AX5211" t="s">
        <v>73</v>
      </c>
    </row>
    <row r="5212" spans="1:50" x14ac:dyDescent="0.3">
      <c r="A5212" t="str">
        <f>"201662E0100"</f>
        <v>201662E0100</v>
      </c>
      <c r="B5212" t="str">
        <f>"201662E01002"</f>
        <v>201662E01002</v>
      </c>
      <c r="C5212" t="str">
        <f t="shared" si="261"/>
        <v>20</v>
      </c>
      <c r="D5212" t="s">
        <v>67</v>
      </c>
      <c r="E5212" t="str">
        <f t="shared" si="260"/>
        <v>023</v>
      </c>
      <c r="F5212" t="s">
        <v>5157</v>
      </c>
      <c r="G5212" t="str">
        <f>"1662"</f>
        <v>1662</v>
      </c>
      <c r="H5212" t="str">
        <f>"0001"</f>
        <v>0001</v>
      </c>
      <c r="I5212" t="s">
        <v>109</v>
      </c>
      <c r="J5212">
        <v>0</v>
      </c>
      <c r="K5212">
        <v>1</v>
      </c>
      <c r="L5212">
        <v>2</v>
      </c>
      <c r="M5212">
        <v>134</v>
      </c>
      <c r="N5212">
        <v>174</v>
      </c>
      <c r="O5212">
        <v>11</v>
      </c>
      <c r="P5212">
        <v>174</v>
      </c>
      <c r="Q5212">
        <v>7</v>
      </c>
      <c r="R5212">
        <v>53</v>
      </c>
      <c r="S5212">
        <v>13</v>
      </c>
      <c r="T5212">
        <v>3</v>
      </c>
      <c r="U5212">
        <v>36</v>
      </c>
      <c r="V5212">
        <v>3</v>
      </c>
      <c r="W5212">
        <v>1</v>
      </c>
      <c r="X5212">
        <v>40</v>
      </c>
      <c r="Y5212">
        <v>4</v>
      </c>
      <c r="Z5212">
        <v>5</v>
      </c>
      <c r="AA5212">
        <v>1</v>
      </c>
      <c r="AB5212">
        <v>1</v>
      </c>
      <c r="AD5212">
        <v>1</v>
      </c>
      <c r="AE5212">
        <v>1</v>
      </c>
      <c r="AF5212">
        <v>0</v>
      </c>
      <c r="AG5212">
        <v>0</v>
      </c>
      <c r="AI5212">
        <v>0</v>
      </c>
      <c r="AJ5212">
        <v>5</v>
      </c>
      <c r="AK5212">
        <v>174</v>
      </c>
      <c r="AL5212">
        <v>174</v>
      </c>
      <c r="AM5212">
        <v>262</v>
      </c>
      <c r="AN5212">
        <v>46</v>
      </c>
      <c r="AP5212">
        <v>1</v>
      </c>
      <c r="AR5212" t="s">
        <v>5316</v>
      </c>
      <c r="AS5212" s="1">
        <v>44354.219444444447</v>
      </c>
      <c r="AT5212" s="1">
        <v>44354.225717592592</v>
      </c>
      <c r="AU5212" s="1">
        <v>44354.226215277777</v>
      </c>
      <c r="AV5212" t="s">
        <v>71</v>
      </c>
      <c r="AW5212" t="s">
        <v>72</v>
      </c>
      <c r="AX5212" t="s">
        <v>73</v>
      </c>
    </row>
    <row r="5213" spans="1:50" x14ac:dyDescent="0.3">
      <c r="A5213" t="str">
        <f>"201663B0000"</f>
        <v>201663B0000</v>
      </c>
      <c r="B5213" t="str">
        <f>"201663B00002"</f>
        <v>201663B00002</v>
      </c>
      <c r="C5213" t="str">
        <f t="shared" si="261"/>
        <v>20</v>
      </c>
      <c r="D5213" t="s">
        <v>67</v>
      </c>
      <c r="E5213" t="str">
        <f t="shared" si="260"/>
        <v>023</v>
      </c>
      <c r="F5213" t="s">
        <v>5157</v>
      </c>
      <c r="G5213" t="str">
        <f>"1663"</f>
        <v>1663</v>
      </c>
      <c r="H5213" t="str">
        <f>"0000"</f>
        <v>0000</v>
      </c>
      <c r="I5213" t="s">
        <v>69</v>
      </c>
      <c r="J5213">
        <v>0</v>
      </c>
      <c r="K5213">
        <v>1</v>
      </c>
      <c r="L5213">
        <v>2</v>
      </c>
      <c r="M5213">
        <v>233</v>
      </c>
      <c r="N5213">
        <v>427</v>
      </c>
      <c r="O5213">
        <v>5</v>
      </c>
      <c r="P5213">
        <v>427</v>
      </c>
      <c r="Q5213">
        <v>41</v>
      </c>
      <c r="R5213">
        <v>214</v>
      </c>
      <c r="S5213">
        <v>14</v>
      </c>
      <c r="T5213">
        <v>2</v>
      </c>
      <c r="U5213">
        <v>19</v>
      </c>
      <c r="V5213">
        <v>8</v>
      </c>
      <c r="W5213">
        <v>1</v>
      </c>
      <c r="X5213">
        <v>96</v>
      </c>
      <c r="Y5213">
        <v>4</v>
      </c>
      <c r="Z5213">
        <v>2</v>
      </c>
      <c r="AA5213">
        <v>8</v>
      </c>
      <c r="AB5213">
        <v>7</v>
      </c>
      <c r="AD5213">
        <v>0</v>
      </c>
      <c r="AE5213">
        <v>0</v>
      </c>
      <c r="AF5213">
        <v>1</v>
      </c>
      <c r="AG5213">
        <v>1</v>
      </c>
      <c r="AI5213">
        <v>0</v>
      </c>
      <c r="AJ5213">
        <v>9</v>
      </c>
      <c r="AK5213">
        <v>427</v>
      </c>
      <c r="AL5213">
        <v>427</v>
      </c>
      <c r="AM5213">
        <v>614</v>
      </c>
      <c r="AN5213">
        <v>46</v>
      </c>
      <c r="AP5213">
        <v>1</v>
      </c>
      <c r="AR5213" t="s">
        <v>5317</v>
      </c>
      <c r="AS5213" s="1">
        <v>44354.384722222225</v>
      </c>
      <c r="AT5213" s="1">
        <v>44354.388402777775</v>
      </c>
      <c r="AU5213" s="1">
        <v>44354.388831018521</v>
      </c>
      <c r="AV5213" t="s">
        <v>71</v>
      </c>
      <c r="AW5213" t="s">
        <v>72</v>
      </c>
      <c r="AX5213" t="s">
        <v>73</v>
      </c>
    </row>
    <row r="5214" spans="1:50" x14ac:dyDescent="0.3">
      <c r="A5214" t="str">
        <f>"201663E0100"</f>
        <v>201663E0100</v>
      </c>
      <c r="B5214" t="str">
        <f>"201663E01002"</f>
        <v>201663E01002</v>
      </c>
      <c r="C5214" t="str">
        <f t="shared" si="261"/>
        <v>20</v>
      </c>
      <c r="D5214" t="s">
        <v>67</v>
      </c>
      <c r="E5214" t="str">
        <f t="shared" si="260"/>
        <v>023</v>
      </c>
      <c r="F5214" t="s">
        <v>5157</v>
      </c>
      <c r="G5214" t="str">
        <f>"1663"</f>
        <v>1663</v>
      </c>
      <c r="H5214" t="str">
        <f>"0001"</f>
        <v>0001</v>
      </c>
      <c r="I5214" t="s">
        <v>109</v>
      </c>
      <c r="J5214">
        <v>0</v>
      </c>
      <c r="K5214">
        <v>1</v>
      </c>
      <c r="L5214">
        <v>2</v>
      </c>
      <c r="M5214">
        <v>64</v>
      </c>
      <c r="N5214">
        <v>88</v>
      </c>
      <c r="O5214">
        <v>9</v>
      </c>
      <c r="P5214">
        <v>88</v>
      </c>
      <c r="Q5214">
        <v>1</v>
      </c>
      <c r="R5214">
        <v>42</v>
      </c>
      <c r="S5214">
        <v>2</v>
      </c>
      <c r="T5214">
        <v>0</v>
      </c>
      <c r="U5214">
        <v>0</v>
      </c>
      <c r="V5214">
        <v>1</v>
      </c>
      <c r="W5214">
        <v>0</v>
      </c>
      <c r="X5214">
        <v>32</v>
      </c>
      <c r="Y5214">
        <v>1</v>
      </c>
      <c r="Z5214">
        <v>1</v>
      </c>
      <c r="AA5214">
        <v>0</v>
      </c>
      <c r="AB5214">
        <v>2</v>
      </c>
      <c r="AD5214">
        <v>1</v>
      </c>
      <c r="AE5214">
        <v>0</v>
      </c>
      <c r="AF5214">
        <v>0</v>
      </c>
      <c r="AG5214">
        <v>0</v>
      </c>
      <c r="AI5214">
        <v>0</v>
      </c>
      <c r="AJ5214">
        <v>5</v>
      </c>
      <c r="AK5214">
        <v>88</v>
      </c>
      <c r="AL5214">
        <v>88</v>
      </c>
      <c r="AM5214">
        <v>106</v>
      </c>
      <c r="AN5214">
        <v>46</v>
      </c>
      <c r="AP5214">
        <v>1</v>
      </c>
      <c r="AR5214" t="s">
        <v>5318</v>
      </c>
      <c r="AS5214" s="1">
        <v>44354.09375</v>
      </c>
      <c r="AT5214" s="1">
        <v>44354.100046296298</v>
      </c>
      <c r="AU5214" s="1">
        <v>44354.100405092591</v>
      </c>
      <c r="AV5214" t="s">
        <v>71</v>
      </c>
      <c r="AW5214" t="s">
        <v>72</v>
      </c>
      <c r="AX5214" t="s">
        <v>73</v>
      </c>
    </row>
    <row r="5215" spans="1:50" x14ac:dyDescent="0.3">
      <c r="A5215" t="str">
        <f>"201663E0200"</f>
        <v>201663E0200</v>
      </c>
      <c r="B5215" t="str">
        <f>"201663E02002"</f>
        <v>201663E02002</v>
      </c>
      <c r="C5215" t="str">
        <f t="shared" si="261"/>
        <v>20</v>
      </c>
      <c r="D5215" t="s">
        <v>67</v>
      </c>
      <c r="E5215" t="str">
        <f t="shared" si="260"/>
        <v>023</v>
      </c>
      <c r="F5215" t="s">
        <v>5157</v>
      </c>
      <c r="G5215" t="str">
        <f>"1663"</f>
        <v>1663</v>
      </c>
      <c r="H5215" t="str">
        <f>"0002"</f>
        <v>0002</v>
      </c>
      <c r="I5215" t="s">
        <v>109</v>
      </c>
      <c r="J5215">
        <v>0</v>
      </c>
      <c r="K5215">
        <v>1</v>
      </c>
      <c r="L5215">
        <v>2</v>
      </c>
      <c r="M5215">
        <v>73</v>
      </c>
      <c r="N5215">
        <v>104</v>
      </c>
      <c r="O5215">
        <v>13</v>
      </c>
      <c r="P5215">
        <v>104</v>
      </c>
      <c r="Q5215">
        <v>2</v>
      </c>
      <c r="R5215">
        <v>37</v>
      </c>
      <c r="S5215">
        <v>1</v>
      </c>
      <c r="T5215">
        <v>0</v>
      </c>
      <c r="U5215">
        <v>3</v>
      </c>
      <c r="V5215">
        <v>0</v>
      </c>
      <c r="W5215">
        <v>2</v>
      </c>
      <c r="X5215">
        <v>51</v>
      </c>
      <c r="Y5215">
        <v>0</v>
      </c>
      <c r="Z5215">
        <v>2</v>
      </c>
      <c r="AA5215">
        <v>2</v>
      </c>
      <c r="AB5215">
        <v>2</v>
      </c>
      <c r="AD5215">
        <v>0</v>
      </c>
      <c r="AE5215">
        <v>0</v>
      </c>
      <c r="AF5215">
        <v>0</v>
      </c>
      <c r="AG5215">
        <v>0</v>
      </c>
      <c r="AI5215">
        <v>0</v>
      </c>
      <c r="AJ5215">
        <v>2</v>
      </c>
      <c r="AK5215">
        <v>104</v>
      </c>
      <c r="AL5215">
        <v>104</v>
      </c>
      <c r="AM5215">
        <v>131</v>
      </c>
      <c r="AN5215">
        <v>46</v>
      </c>
      <c r="AP5215">
        <v>1</v>
      </c>
      <c r="AR5215" t="s">
        <v>5319</v>
      </c>
      <c r="AS5215" s="1">
        <v>44354.030555555553</v>
      </c>
      <c r="AT5215" s="1">
        <v>44354.03943287037</v>
      </c>
      <c r="AU5215" s="1">
        <v>44354.040578703702</v>
      </c>
      <c r="AV5215" t="s">
        <v>71</v>
      </c>
      <c r="AW5215" t="s">
        <v>72</v>
      </c>
      <c r="AX5215" t="s">
        <v>73</v>
      </c>
    </row>
    <row r="5216" spans="1:50" x14ac:dyDescent="0.3">
      <c r="A5216" t="str">
        <f>"201663E0300"</f>
        <v>201663E0300</v>
      </c>
      <c r="B5216" t="str">
        <f>"201663E03002"</f>
        <v>201663E03002</v>
      </c>
      <c r="C5216" t="str">
        <f t="shared" si="261"/>
        <v>20</v>
      </c>
      <c r="D5216" t="s">
        <v>67</v>
      </c>
      <c r="E5216" t="str">
        <f t="shared" si="260"/>
        <v>023</v>
      </c>
      <c r="F5216" t="s">
        <v>5157</v>
      </c>
      <c r="G5216" t="str">
        <f>"1663"</f>
        <v>1663</v>
      </c>
      <c r="H5216" t="str">
        <f>"0003"</f>
        <v>0003</v>
      </c>
      <c r="I5216" t="s">
        <v>109</v>
      </c>
      <c r="J5216">
        <v>0</v>
      </c>
      <c r="K5216">
        <v>1</v>
      </c>
      <c r="L5216">
        <v>2</v>
      </c>
      <c r="M5216">
        <v>95</v>
      </c>
      <c r="N5216">
        <v>148</v>
      </c>
      <c r="O5216">
        <v>11</v>
      </c>
      <c r="P5216">
        <v>148</v>
      </c>
      <c r="Q5216">
        <v>19</v>
      </c>
      <c r="R5216">
        <v>43</v>
      </c>
      <c r="S5216">
        <v>7</v>
      </c>
      <c r="T5216">
        <v>0</v>
      </c>
      <c r="U5216">
        <v>9</v>
      </c>
      <c r="V5216">
        <v>1</v>
      </c>
      <c r="W5216">
        <v>1</v>
      </c>
      <c r="X5216">
        <v>55</v>
      </c>
      <c r="Y5216">
        <v>1</v>
      </c>
      <c r="Z5216">
        <v>1</v>
      </c>
      <c r="AA5216">
        <v>0</v>
      </c>
      <c r="AB5216">
        <v>4</v>
      </c>
      <c r="AD5216">
        <v>1</v>
      </c>
      <c r="AE5216">
        <v>0</v>
      </c>
      <c r="AF5216">
        <v>2</v>
      </c>
      <c r="AG5216">
        <v>0</v>
      </c>
      <c r="AI5216">
        <v>0</v>
      </c>
      <c r="AJ5216">
        <v>4</v>
      </c>
      <c r="AK5216">
        <v>148</v>
      </c>
      <c r="AL5216">
        <v>148</v>
      </c>
      <c r="AM5216">
        <v>197</v>
      </c>
      <c r="AN5216">
        <v>46</v>
      </c>
      <c r="AP5216">
        <v>1</v>
      </c>
      <c r="AR5216" t="s">
        <v>5320</v>
      </c>
      <c r="AS5216" s="1">
        <v>44354.384027777778</v>
      </c>
      <c r="AT5216" s="1">
        <v>44354.387650462966</v>
      </c>
      <c r="AU5216" s="1">
        <v>44354.38795138889</v>
      </c>
      <c r="AV5216" t="s">
        <v>71</v>
      </c>
      <c r="AW5216" t="s">
        <v>72</v>
      </c>
      <c r="AX5216" t="s">
        <v>73</v>
      </c>
    </row>
    <row r="5217" spans="1:50" x14ac:dyDescent="0.3">
      <c r="A5217" t="str">
        <f>"201664B0000"</f>
        <v>201664B0000</v>
      </c>
      <c r="B5217" t="str">
        <f>"201664B00002"</f>
        <v>201664B00002</v>
      </c>
      <c r="C5217" t="str">
        <f t="shared" si="261"/>
        <v>20</v>
      </c>
      <c r="D5217" t="s">
        <v>67</v>
      </c>
      <c r="E5217" t="str">
        <f t="shared" si="260"/>
        <v>023</v>
      </c>
      <c r="F5217" t="s">
        <v>5157</v>
      </c>
      <c r="G5217" t="str">
        <f>"1664"</f>
        <v>1664</v>
      </c>
      <c r="H5217" t="str">
        <f>"0000"</f>
        <v>0000</v>
      </c>
      <c r="I5217" t="s">
        <v>69</v>
      </c>
      <c r="J5217">
        <v>0</v>
      </c>
      <c r="K5217">
        <v>1</v>
      </c>
      <c r="L5217">
        <v>2</v>
      </c>
      <c r="M5217">
        <v>209</v>
      </c>
      <c r="N5217">
        <v>409</v>
      </c>
      <c r="O5217">
        <v>9</v>
      </c>
      <c r="P5217">
        <v>409</v>
      </c>
      <c r="Q5217">
        <v>19</v>
      </c>
      <c r="R5217">
        <v>205</v>
      </c>
      <c r="S5217">
        <v>9</v>
      </c>
      <c r="T5217">
        <v>4</v>
      </c>
      <c r="U5217">
        <v>16</v>
      </c>
      <c r="V5217">
        <v>8</v>
      </c>
      <c r="W5217">
        <v>3</v>
      </c>
      <c r="X5217">
        <v>94</v>
      </c>
      <c r="Y5217">
        <v>2</v>
      </c>
      <c r="Z5217">
        <v>10</v>
      </c>
      <c r="AA5217">
        <v>6</v>
      </c>
      <c r="AB5217">
        <v>9</v>
      </c>
      <c r="AD5217">
        <v>0</v>
      </c>
      <c r="AE5217">
        <v>3</v>
      </c>
      <c r="AF5217">
        <v>4</v>
      </c>
      <c r="AG5217">
        <v>1</v>
      </c>
      <c r="AI5217">
        <v>0</v>
      </c>
      <c r="AJ5217">
        <v>16</v>
      </c>
      <c r="AK5217">
        <v>409</v>
      </c>
      <c r="AL5217">
        <v>409</v>
      </c>
      <c r="AM5217">
        <v>572</v>
      </c>
      <c r="AN5217">
        <v>46</v>
      </c>
      <c r="AP5217">
        <v>1</v>
      </c>
      <c r="AR5217" t="s">
        <v>5321</v>
      </c>
      <c r="AS5217" s="1">
        <v>44354.384027777778</v>
      </c>
      <c r="AT5217" s="1">
        <v>44354.38962962963</v>
      </c>
      <c r="AU5217" s="1">
        <v>44354.390567129631</v>
      </c>
      <c r="AV5217" t="s">
        <v>71</v>
      </c>
      <c r="AW5217" t="s">
        <v>72</v>
      </c>
      <c r="AX5217" t="s">
        <v>73</v>
      </c>
    </row>
    <row r="5218" spans="1:50" x14ac:dyDescent="0.3">
      <c r="A5218" t="str">
        <f>"201664E0100"</f>
        <v>201664E0100</v>
      </c>
      <c r="B5218" t="str">
        <f>"201664E01002"</f>
        <v>201664E01002</v>
      </c>
      <c r="C5218" t="str">
        <f t="shared" si="261"/>
        <v>20</v>
      </c>
      <c r="D5218" t="s">
        <v>67</v>
      </c>
      <c r="E5218" t="str">
        <f t="shared" si="260"/>
        <v>023</v>
      </c>
      <c r="F5218" t="s">
        <v>5157</v>
      </c>
      <c r="G5218" t="str">
        <f>"1664"</f>
        <v>1664</v>
      </c>
      <c r="H5218" t="str">
        <f>"0001"</f>
        <v>0001</v>
      </c>
      <c r="I5218" t="s">
        <v>109</v>
      </c>
      <c r="J5218">
        <v>0</v>
      </c>
      <c r="K5218">
        <v>1</v>
      </c>
      <c r="L5218">
        <v>2</v>
      </c>
      <c r="M5218">
        <v>93</v>
      </c>
      <c r="N5218">
        <v>122</v>
      </c>
      <c r="O5218">
        <v>12</v>
      </c>
      <c r="P5218">
        <v>122</v>
      </c>
      <c r="Q5218">
        <v>7</v>
      </c>
      <c r="R5218">
        <v>51</v>
      </c>
      <c r="S5218">
        <v>9</v>
      </c>
      <c r="T5218">
        <v>0</v>
      </c>
      <c r="U5218">
        <v>10</v>
      </c>
      <c r="V5218">
        <v>0</v>
      </c>
      <c r="W5218">
        <v>5</v>
      </c>
      <c r="X5218">
        <v>28</v>
      </c>
      <c r="Y5218">
        <v>1</v>
      </c>
      <c r="Z5218">
        <v>0</v>
      </c>
      <c r="AA5218">
        <v>3</v>
      </c>
      <c r="AB5218">
        <v>4</v>
      </c>
      <c r="AD5218">
        <v>0</v>
      </c>
      <c r="AE5218">
        <v>0</v>
      </c>
      <c r="AF5218">
        <v>0</v>
      </c>
      <c r="AG5218">
        <v>0</v>
      </c>
      <c r="AI5218">
        <v>0</v>
      </c>
      <c r="AJ5218">
        <v>4</v>
      </c>
      <c r="AK5218">
        <v>122</v>
      </c>
      <c r="AL5218">
        <v>122</v>
      </c>
      <c r="AM5218">
        <v>169</v>
      </c>
      <c r="AN5218">
        <v>46</v>
      </c>
      <c r="AP5218">
        <v>1</v>
      </c>
      <c r="AR5218" t="s">
        <v>5322</v>
      </c>
      <c r="AS5218" s="1">
        <v>44354.15625</v>
      </c>
      <c r="AT5218" s="1">
        <v>44354.159988425927</v>
      </c>
      <c r="AU5218" s="1">
        <v>44354.160717592589</v>
      </c>
      <c r="AV5218" t="s">
        <v>71</v>
      </c>
      <c r="AW5218" t="s">
        <v>72</v>
      </c>
      <c r="AX5218" t="s">
        <v>73</v>
      </c>
    </row>
    <row r="5219" spans="1:50" x14ac:dyDescent="0.3">
      <c r="A5219" t="str">
        <f>"201908B0000"</f>
        <v>201908B0000</v>
      </c>
      <c r="B5219" t="str">
        <f>"201908B00002"</f>
        <v>201908B00002</v>
      </c>
      <c r="C5219" t="str">
        <f t="shared" si="261"/>
        <v>20</v>
      </c>
      <c r="D5219" t="s">
        <v>67</v>
      </c>
      <c r="E5219" t="str">
        <f t="shared" si="260"/>
        <v>023</v>
      </c>
      <c r="F5219" t="s">
        <v>5157</v>
      </c>
      <c r="G5219" t="str">
        <f>"1908"</f>
        <v>1908</v>
      </c>
      <c r="H5219" t="str">
        <f>"0000"</f>
        <v>0000</v>
      </c>
      <c r="I5219" t="s">
        <v>69</v>
      </c>
      <c r="J5219">
        <v>0</v>
      </c>
      <c r="K5219">
        <v>1</v>
      </c>
      <c r="L5219">
        <v>2</v>
      </c>
      <c r="M5219">
        <v>347</v>
      </c>
      <c r="N5219">
        <v>261</v>
      </c>
      <c r="O5219">
        <v>0</v>
      </c>
      <c r="P5219">
        <v>261</v>
      </c>
      <c r="Q5219">
        <v>8</v>
      </c>
      <c r="R5219">
        <v>93</v>
      </c>
      <c r="S5219">
        <v>7</v>
      </c>
      <c r="T5219">
        <v>5</v>
      </c>
      <c r="U5219">
        <v>7</v>
      </c>
      <c r="V5219">
        <v>1</v>
      </c>
      <c r="W5219">
        <v>5</v>
      </c>
      <c r="X5219">
        <v>97</v>
      </c>
      <c r="Y5219">
        <v>2</v>
      </c>
      <c r="Z5219">
        <v>6</v>
      </c>
      <c r="AA5219">
        <v>20</v>
      </c>
      <c r="AB5219">
        <v>5</v>
      </c>
      <c r="AD5219">
        <v>0</v>
      </c>
      <c r="AE5219">
        <v>0</v>
      </c>
      <c r="AF5219">
        <v>0</v>
      </c>
      <c r="AG5219">
        <v>0</v>
      </c>
      <c r="AI5219">
        <v>0</v>
      </c>
      <c r="AJ5219">
        <v>5</v>
      </c>
      <c r="AK5219">
        <v>261</v>
      </c>
      <c r="AL5219">
        <v>261</v>
      </c>
      <c r="AM5219">
        <v>564</v>
      </c>
      <c r="AN5219">
        <v>44</v>
      </c>
      <c r="AP5219">
        <v>1</v>
      </c>
      <c r="AR5219" t="s">
        <v>5323</v>
      </c>
      <c r="AS5219" s="1">
        <v>44354.021527777775</v>
      </c>
      <c r="AT5219" s="1">
        <v>44354.035578703704</v>
      </c>
      <c r="AU5219" s="1">
        <v>44354.036412037036</v>
      </c>
      <c r="AV5219" t="s">
        <v>71</v>
      </c>
      <c r="AW5219" t="s">
        <v>72</v>
      </c>
      <c r="AX5219" t="s">
        <v>73</v>
      </c>
    </row>
    <row r="5220" spans="1:50" x14ac:dyDescent="0.3">
      <c r="A5220" t="str">
        <f>"201908C0100"</f>
        <v>201908C0100</v>
      </c>
      <c r="B5220" t="str">
        <f>"201908C01002"</f>
        <v>201908C01002</v>
      </c>
      <c r="C5220" t="str">
        <f t="shared" si="261"/>
        <v>20</v>
      </c>
      <c r="D5220" t="s">
        <v>67</v>
      </c>
      <c r="E5220" t="str">
        <f t="shared" si="260"/>
        <v>023</v>
      </c>
      <c r="F5220" t="s">
        <v>5157</v>
      </c>
      <c r="G5220" t="str">
        <f>"1908"</f>
        <v>1908</v>
      </c>
      <c r="H5220" t="str">
        <f>"0001"</f>
        <v>0001</v>
      </c>
      <c r="I5220" t="s">
        <v>75</v>
      </c>
      <c r="J5220">
        <v>0</v>
      </c>
      <c r="K5220">
        <v>1</v>
      </c>
      <c r="L5220">
        <v>2</v>
      </c>
      <c r="M5220">
        <v>378</v>
      </c>
      <c r="N5220">
        <v>230</v>
      </c>
      <c r="O5220">
        <v>0</v>
      </c>
      <c r="P5220">
        <v>230</v>
      </c>
      <c r="Q5220">
        <v>5</v>
      </c>
      <c r="R5220">
        <v>61</v>
      </c>
      <c r="S5220">
        <v>2</v>
      </c>
      <c r="T5220">
        <v>5</v>
      </c>
      <c r="U5220">
        <v>3</v>
      </c>
      <c r="V5220">
        <v>7</v>
      </c>
      <c r="W5220">
        <v>4</v>
      </c>
      <c r="X5220">
        <v>108</v>
      </c>
      <c r="Y5220">
        <v>4</v>
      </c>
      <c r="Z5220">
        <v>6</v>
      </c>
      <c r="AA5220">
        <v>18</v>
      </c>
      <c r="AB5220">
        <v>1</v>
      </c>
      <c r="AD5220">
        <v>0</v>
      </c>
      <c r="AE5220">
        <v>0</v>
      </c>
      <c r="AF5220">
        <v>0</v>
      </c>
      <c r="AG5220">
        <v>0</v>
      </c>
      <c r="AI5220">
        <v>0</v>
      </c>
      <c r="AJ5220">
        <v>6</v>
      </c>
      <c r="AK5220">
        <v>230</v>
      </c>
      <c r="AL5220">
        <v>230</v>
      </c>
      <c r="AM5220">
        <v>564</v>
      </c>
      <c r="AN5220">
        <v>44</v>
      </c>
      <c r="AP5220">
        <v>1</v>
      </c>
      <c r="AR5220" t="s">
        <v>5324</v>
      </c>
      <c r="AS5220" s="1">
        <v>44354.021527777775</v>
      </c>
      <c r="AT5220" s="1">
        <v>44354.037152777775</v>
      </c>
      <c r="AU5220" s="1">
        <v>44354.037627314814</v>
      </c>
      <c r="AV5220" t="s">
        <v>71</v>
      </c>
      <c r="AW5220" t="s">
        <v>72</v>
      </c>
      <c r="AX5220" t="s">
        <v>73</v>
      </c>
    </row>
    <row r="5221" spans="1:50" x14ac:dyDescent="0.3">
      <c r="A5221" t="str">
        <f>"201908E0100"</f>
        <v>201908E0100</v>
      </c>
      <c r="B5221" t="str">
        <f>"201908E01002"</f>
        <v>201908E01002</v>
      </c>
      <c r="C5221" t="str">
        <f t="shared" si="261"/>
        <v>20</v>
      </c>
      <c r="D5221" t="s">
        <v>67</v>
      </c>
      <c r="E5221" t="str">
        <f t="shared" si="260"/>
        <v>023</v>
      </c>
      <c r="F5221" t="s">
        <v>5157</v>
      </c>
      <c r="G5221" t="str">
        <f>"1908"</f>
        <v>1908</v>
      </c>
      <c r="H5221" t="str">
        <f>"0001"</f>
        <v>0001</v>
      </c>
      <c r="I5221" t="s">
        <v>109</v>
      </c>
      <c r="J5221">
        <v>0</v>
      </c>
      <c r="K5221">
        <v>1</v>
      </c>
      <c r="L5221">
        <v>2</v>
      </c>
      <c r="M5221">
        <v>323</v>
      </c>
      <c r="N5221">
        <v>328</v>
      </c>
      <c r="O5221">
        <v>3</v>
      </c>
      <c r="P5221" t="s">
        <v>80</v>
      </c>
      <c r="Q5221">
        <v>2</v>
      </c>
      <c r="R5221">
        <v>174</v>
      </c>
      <c r="S5221">
        <v>3</v>
      </c>
      <c r="T5221">
        <v>9</v>
      </c>
      <c r="U5221">
        <v>4</v>
      </c>
      <c r="V5221">
        <v>1</v>
      </c>
      <c r="W5221">
        <v>3</v>
      </c>
      <c r="X5221">
        <v>82</v>
      </c>
      <c r="Y5221">
        <v>10</v>
      </c>
      <c r="Z5221">
        <v>8</v>
      </c>
      <c r="AA5221">
        <v>8</v>
      </c>
      <c r="AB5221">
        <v>0</v>
      </c>
      <c r="AD5221">
        <v>1</v>
      </c>
      <c r="AE5221">
        <v>1</v>
      </c>
      <c r="AF5221">
        <v>0</v>
      </c>
      <c r="AG5221">
        <v>2</v>
      </c>
      <c r="AI5221">
        <v>0</v>
      </c>
      <c r="AJ5221">
        <v>20</v>
      </c>
      <c r="AK5221">
        <v>328</v>
      </c>
      <c r="AL5221">
        <v>328</v>
      </c>
      <c r="AM5221">
        <v>707</v>
      </c>
      <c r="AN5221">
        <v>44</v>
      </c>
      <c r="AP5221">
        <v>1</v>
      </c>
      <c r="AR5221" t="s">
        <v>5325</v>
      </c>
      <c r="AS5221" s="1">
        <v>44354.020833333336</v>
      </c>
      <c r="AT5221" s="1">
        <v>44354.035034722219</v>
      </c>
      <c r="AU5221" s="1">
        <v>44354.035925925928</v>
      </c>
      <c r="AV5221" t="s">
        <v>71</v>
      </c>
      <c r="AW5221" t="s">
        <v>72</v>
      </c>
      <c r="AX5221" t="s">
        <v>73</v>
      </c>
    </row>
    <row r="5222" spans="1:50" x14ac:dyDescent="0.3">
      <c r="A5222" t="str">
        <f>"202128B0000"</f>
        <v>202128B0000</v>
      </c>
      <c r="B5222" t="str">
        <f>"202128B00002"</f>
        <v>202128B00002</v>
      </c>
      <c r="C5222" t="str">
        <f t="shared" si="261"/>
        <v>20</v>
      </c>
      <c r="D5222" t="s">
        <v>67</v>
      </c>
      <c r="E5222" t="str">
        <f t="shared" si="260"/>
        <v>023</v>
      </c>
      <c r="F5222" t="s">
        <v>5157</v>
      </c>
      <c r="G5222" t="str">
        <f>"2128"</f>
        <v>2128</v>
      </c>
      <c r="H5222" t="str">
        <f>"0000"</f>
        <v>0000</v>
      </c>
      <c r="I5222" t="s">
        <v>69</v>
      </c>
      <c r="J5222">
        <v>0</v>
      </c>
      <c r="K5222">
        <v>1</v>
      </c>
      <c r="L5222">
        <v>2</v>
      </c>
      <c r="M5222">
        <v>174</v>
      </c>
      <c r="N5222">
        <v>481</v>
      </c>
      <c r="O5222">
        <v>0</v>
      </c>
      <c r="P5222" t="s">
        <v>80</v>
      </c>
      <c r="Q5222">
        <v>29</v>
      </c>
      <c r="R5222">
        <v>149</v>
      </c>
      <c r="S5222">
        <v>6</v>
      </c>
      <c r="T5222">
        <v>16</v>
      </c>
      <c r="U5222">
        <v>48</v>
      </c>
      <c r="V5222">
        <v>1</v>
      </c>
      <c r="W5222">
        <v>9</v>
      </c>
      <c r="X5222">
        <v>123</v>
      </c>
      <c r="Y5222">
        <v>62</v>
      </c>
      <c r="Z5222">
        <v>3</v>
      </c>
      <c r="AA5222">
        <v>1</v>
      </c>
      <c r="AB5222">
        <v>5</v>
      </c>
      <c r="AD5222">
        <v>3</v>
      </c>
      <c r="AE5222">
        <v>1</v>
      </c>
      <c r="AF5222">
        <v>0</v>
      </c>
      <c r="AG5222">
        <v>0</v>
      </c>
      <c r="AI5222">
        <v>0</v>
      </c>
      <c r="AJ5222">
        <v>25</v>
      </c>
      <c r="AK5222">
        <v>481</v>
      </c>
      <c r="AL5222">
        <v>481</v>
      </c>
      <c r="AM5222">
        <v>611</v>
      </c>
      <c r="AN5222">
        <v>44</v>
      </c>
      <c r="AP5222">
        <v>1</v>
      </c>
      <c r="AR5222" t="s">
        <v>5326</v>
      </c>
      <c r="AS5222" s="1">
        <v>44354.378472222219</v>
      </c>
      <c r="AT5222" s="1">
        <v>44354.381435185183</v>
      </c>
      <c r="AU5222" s="1">
        <v>44354.383229166669</v>
      </c>
      <c r="AV5222" t="s">
        <v>71</v>
      </c>
      <c r="AW5222" t="s">
        <v>72</v>
      </c>
      <c r="AX5222" t="s">
        <v>73</v>
      </c>
    </row>
    <row r="5223" spans="1:50" x14ac:dyDescent="0.3">
      <c r="A5223" t="str">
        <f>"202128C0100"</f>
        <v>202128C0100</v>
      </c>
      <c r="B5223" t="str">
        <f>"202128C01002"</f>
        <v>202128C01002</v>
      </c>
      <c r="C5223" t="str">
        <f t="shared" si="261"/>
        <v>20</v>
      </c>
      <c r="D5223" t="s">
        <v>67</v>
      </c>
      <c r="E5223" t="str">
        <f t="shared" si="260"/>
        <v>023</v>
      </c>
      <c r="F5223" t="s">
        <v>5157</v>
      </c>
      <c r="G5223" t="str">
        <f>"2128"</f>
        <v>2128</v>
      </c>
      <c r="H5223" t="str">
        <f>"0001"</f>
        <v>0001</v>
      </c>
      <c r="I5223" t="s">
        <v>75</v>
      </c>
      <c r="J5223">
        <v>0</v>
      </c>
      <c r="K5223">
        <v>1</v>
      </c>
      <c r="L5223">
        <v>2</v>
      </c>
      <c r="M5223">
        <v>172</v>
      </c>
      <c r="N5223">
        <v>483</v>
      </c>
      <c r="O5223">
        <v>0</v>
      </c>
      <c r="P5223">
        <v>483</v>
      </c>
      <c r="Q5223">
        <v>26</v>
      </c>
      <c r="R5223">
        <v>161</v>
      </c>
      <c r="S5223">
        <v>3</v>
      </c>
      <c r="T5223">
        <v>18</v>
      </c>
      <c r="U5223">
        <v>38</v>
      </c>
      <c r="V5223">
        <v>1</v>
      </c>
      <c r="W5223">
        <v>10</v>
      </c>
      <c r="X5223">
        <v>117</v>
      </c>
      <c r="Y5223">
        <v>76</v>
      </c>
      <c r="Z5223">
        <v>3</v>
      </c>
      <c r="AA5223">
        <v>1</v>
      </c>
      <c r="AB5223">
        <v>2</v>
      </c>
      <c r="AD5223">
        <v>2</v>
      </c>
      <c r="AE5223">
        <v>0</v>
      </c>
      <c r="AF5223">
        <v>0</v>
      </c>
      <c r="AG5223">
        <v>0</v>
      </c>
      <c r="AI5223">
        <v>0</v>
      </c>
      <c r="AJ5223">
        <v>25</v>
      </c>
      <c r="AK5223">
        <v>483</v>
      </c>
      <c r="AL5223">
        <v>483</v>
      </c>
      <c r="AM5223">
        <v>611</v>
      </c>
      <c r="AN5223">
        <v>44</v>
      </c>
      <c r="AP5223">
        <v>1</v>
      </c>
      <c r="AR5223" t="s">
        <v>5327</v>
      </c>
      <c r="AS5223" s="1">
        <v>44354.378472222219</v>
      </c>
      <c r="AT5223" s="1">
        <v>44354.380787037036</v>
      </c>
      <c r="AU5223" s="1">
        <v>44354.381597222222</v>
      </c>
      <c r="AV5223" t="s">
        <v>71</v>
      </c>
      <c r="AW5223" t="s">
        <v>72</v>
      </c>
      <c r="AX5223" t="s">
        <v>73</v>
      </c>
    </row>
    <row r="5224" spans="1:50" x14ac:dyDescent="0.3">
      <c r="A5224" t="str">
        <f>"202129B0000"</f>
        <v>202129B0000</v>
      </c>
      <c r="B5224" t="str">
        <f>"202129B00002"</f>
        <v>202129B00002</v>
      </c>
      <c r="C5224" t="str">
        <f t="shared" si="261"/>
        <v>20</v>
      </c>
      <c r="D5224" t="s">
        <v>67</v>
      </c>
      <c r="E5224" t="str">
        <f t="shared" si="260"/>
        <v>023</v>
      </c>
      <c r="F5224" t="s">
        <v>5157</v>
      </c>
      <c r="G5224" t="str">
        <f>"2129"</f>
        <v>2129</v>
      </c>
      <c r="H5224" t="str">
        <f>"0000"</f>
        <v>0000</v>
      </c>
      <c r="I5224" t="s">
        <v>69</v>
      </c>
      <c r="J5224">
        <v>0</v>
      </c>
      <c r="K5224">
        <v>1</v>
      </c>
      <c r="L5224">
        <v>2</v>
      </c>
      <c r="M5224">
        <v>141</v>
      </c>
      <c r="N5224">
        <v>299</v>
      </c>
      <c r="O5224">
        <v>0</v>
      </c>
      <c r="P5224">
        <v>299</v>
      </c>
      <c r="Q5224">
        <v>7</v>
      </c>
      <c r="R5224">
        <v>70</v>
      </c>
      <c r="S5224">
        <v>6</v>
      </c>
      <c r="T5224">
        <v>39</v>
      </c>
      <c r="U5224">
        <v>4</v>
      </c>
      <c r="V5224">
        <v>1</v>
      </c>
      <c r="W5224">
        <v>1</v>
      </c>
      <c r="X5224">
        <v>156</v>
      </c>
      <c r="Y5224">
        <v>3</v>
      </c>
      <c r="Z5224">
        <v>0</v>
      </c>
      <c r="AA5224">
        <v>3</v>
      </c>
      <c r="AB5224">
        <v>0</v>
      </c>
      <c r="AD5224">
        <v>0</v>
      </c>
      <c r="AE5224">
        <v>0</v>
      </c>
      <c r="AF5224">
        <v>0</v>
      </c>
      <c r="AG5224">
        <v>0</v>
      </c>
      <c r="AI5224">
        <v>0</v>
      </c>
      <c r="AJ5224">
        <v>9</v>
      </c>
      <c r="AK5224">
        <v>299</v>
      </c>
      <c r="AL5224">
        <v>299</v>
      </c>
      <c r="AM5224">
        <v>396</v>
      </c>
      <c r="AN5224">
        <v>44</v>
      </c>
      <c r="AP5224">
        <v>1</v>
      </c>
      <c r="AR5224" t="s">
        <v>5328</v>
      </c>
      <c r="AS5224" s="1">
        <v>44354.369444444441</v>
      </c>
      <c r="AT5224" s="1">
        <v>44354.3750462963</v>
      </c>
      <c r="AU5224" s="1">
        <v>44354.375636574077</v>
      </c>
      <c r="AV5224" t="s">
        <v>71</v>
      </c>
      <c r="AW5224" t="s">
        <v>72</v>
      </c>
      <c r="AX5224" t="s">
        <v>73</v>
      </c>
    </row>
    <row r="5225" spans="1:50" x14ac:dyDescent="0.3">
      <c r="A5225" t="str">
        <f>"202129C0100"</f>
        <v>202129C0100</v>
      </c>
      <c r="B5225" t="str">
        <f>"202129C01002"</f>
        <v>202129C01002</v>
      </c>
      <c r="C5225" t="str">
        <f t="shared" si="261"/>
        <v>20</v>
      </c>
      <c r="D5225" t="s">
        <v>67</v>
      </c>
      <c r="E5225" t="str">
        <f t="shared" si="260"/>
        <v>023</v>
      </c>
      <c r="F5225" t="s">
        <v>5157</v>
      </c>
      <c r="G5225" t="str">
        <f>"2129"</f>
        <v>2129</v>
      </c>
      <c r="H5225" t="str">
        <f>"0001"</f>
        <v>0001</v>
      </c>
      <c r="I5225" t="s">
        <v>75</v>
      </c>
      <c r="J5225">
        <v>0</v>
      </c>
      <c r="K5225">
        <v>1</v>
      </c>
      <c r="L5225">
        <v>2</v>
      </c>
      <c r="M5225">
        <v>150</v>
      </c>
      <c r="N5225">
        <v>289</v>
      </c>
      <c r="O5225">
        <v>1</v>
      </c>
      <c r="P5225">
        <v>289</v>
      </c>
      <c r="Q5225">
        <v>14</v>
      </c>
      <c r="R5225">
        <v>61</v>
      </c>
      <c r="S5225">
        <v>6</v>
      </c>
      <c r="T5225">
        <v>34</v>
      </c>
      <c r="U5225">
        <v>4</v>
      </c>
      <c r="V5225">
        <v>2</v>
      </c>
      <c r="W5225">
        <v>1</v>
      </c>
      <c r="X5225">
        <v>147</v>
      </c>
      <c r="Y5225">
        <v>5</v>
      </c>
      <c r="Z5225">
        <v>3</v>
      </c>
      <c r="AA5225">
        <v>1</v>
      </c>
      <c r="AB5225">
        <v>0</v>
      </c>
      <c r="AD5225">
        <v>0</v>
      </c>
      <c r="AE5225">
        <v>0</v>
      </c>
      <c r="AF5225">
        <v>0</v>
      </c>
      <c r="AG5225">
        <v>0</v>
      </c>
      <c r="AI5225">
        <v>0</v>
      </c>
      <c r="AJ5225">
        <v>11</v>
      </c>
      <c r="AK5225">
        <v>289</v>
      </c>
      <c r="AL5225">
        <v>289</v>
      </c>
      <c r="AM5225">
        <v>395</v>
      </c>
      <c r="AN5225">
        <v>44</v>
      </c>
      <c r="AP5225">
        <v>1</v>
      </c>
      <c r="AR5225" t="s">
        <v>5329</v>
      </c>
      <c r="AS5225" s="1">
        <v>44354.368750000001</v>
      </c>
      <c r="AT5225" s="1">
        <v>44354.375254629631</v>
      </c>
      <c r="AU5225" s="1">
        <v>44354.375578703701</v>
      </c>
      <c r="AV5225" t="s">
        <v>71</v>
      </c>
      <c r="AW5225" t="s">
        <v>72</v>
      </c>
      <c r="AX5225" t="s">
        <v>73</v>
      </c>
    </row>
    <row r="5226" spans="1:50" x14ac:dyDescent="0.3">
      <c r="A5226" t="str">
        <f>"202129E0100"</f>
        <v>202129E0100</v>
      </c>
      <c r="B5226" t="str">
        <f>"202129E01002"</f>
        <v>202129E01002</v>
      </c>
      <c r="C5226" t="str">
        <f t="shared" si="261"/>
        <v>20</v>
      </c>
      <c r="D5226" t="s">
        <v>67</v>
      </c>
      <c r="E5226" t="str">
        <f t="shared" si="260"/>
        <v>023</v>
      </c>
      <c r="F5226" t="s">
        <v>5157</v>
      </c>
      <c r="G5226" t="str">
        <f>"2129"</f>
        <v>2129</v>
      </c>
      <c r="H5226" t="str">
        <f>"0001"</f>
        <v>0001</v>
      </c>
      <c r="I5226" t="s">
        <v>109</v>
      </c>
      <c r="J5226">
        <v>0</v>
      </c>
      <c r="K5226">
        <v>1</v>
      </c>
      <c r="L5226">
        <v>2</v>
      </c>
      <c r="M5226">
        <v>195</v>
      </c>
      <c r="N5226">
        <v>330</v>
      </c>
      <c r="O5226">
        <v>2</v>
      </c>
      <c r="P5226">
        <v>330</v>
      </c>
      <c r="Q5226">
        <v>19</v>
      </c>
      <c r="R5226">
        <v>121</v>
      </c>
      <c r="S5226">
        <v>1</v>
      </c>
      <c r="T5226">
        <v>26</v>
      </c>
      <c r="U5226">
        <v>13</v>
      </c>
      <c r="V5226">
        <v>0</v>
      </c>
      <c r="W5226">
        <v>0</v>
      </c>
      <c r="X5226">
        <v>131</v>
      </c>
      <c r="Y5226">
        <v>3</v>
      </c>
      <c r="Z5226">
        <v>5</v>
      </c>
      <c r="AA5226">
        <v>2</v>
      </c>
      <c r="AB5226">
        <v>0</v>
      </c>
      <c r="AD5226">
        <v>2</v>
      </c>
      <c r="AE5226">
        <v>1</v>
      </c>
      <c r="AF5226">
        <v>0</v>
      </c>
      <c r="AG5226">
        <v>1</v>
      </c>
      <c r="AI5226">
        <v>0</v>
      </c>
      <c r="AJ5226">
        <v>5</v>
      </c>
      <c r="AK5226">
        <v>330</v>
      </c>
      <c r="AL5226">
        <v>330</v>
      </c>
      <c r="AM5226">
        <v>481</v>
      </c>
      <c r="AN5226">
        <v>44</v>
      </c>
      <c r="AP5226">
        <v>1</v>
      </c>
      <c r="AR5226" t="s">
        <v>5330</v>
      </c>
      <c r="AS5226" s="1">
        <v>44354.370138888888</v>
      </c>
      <c r="AT5226" s="1">
        <v>44354.375902777778</v>
      </c>
      <c r="AU5226" s="1">
        <v>44354.376712962963</v>
      </c>
      <c r="AV5226" t="s">
        <v>71</v>
      </c>
      <c r="AW5226" t="s">
        <v>72</v>
      </c>
      <c r="AX5226" t="s">
        <v>73</v>
      </c>
    </row>
    <row r="5227" spans="1:50" x14ac:dyDescent="0.3">
      <c r="A5227" t="str">
        <f>"202130B0000"</f>
        <v>202130B0000</v>
      </c>
      <c r="B5227" t="str">
        <f>"202130B00002"</f>
        <v>202130B00002</v>
      </c>
      <c r="C5227" t="str">
        <f t="shared" si="261"/>
        <v>20</v>
      </c>
      <c r="D5227" t="s">
        <v>67</v>
      </c>
      <c r="E5227" t="str">
        <f t="shared" si="260"/>
        <v>023</v>
      </c>
      <c r="F5227" t="s">
        <v>5157</v>
      </c>
      <c r="G5227" t="str">
        <f>"2130"</f>
        <v>2130</v>
      </c>
      <c r="H5227" t="str">
        <f>"0000"</f>
        <v>0000</v>
      </c>
      <c r="I5227" t="s">
        <v>69</v>
      </c>
      <c r="J5227">
        <v>0</v>
      </c>
      <c r="K5227">
        <v>1</v>
      </c>
      <c r="L5227">
        <v>2</v>
      </c>
      <c r="M5227">
        <v>125</v>
      </c>
      <c r="N5227">
        <v>260</v>
      </c>
      <c r="O5227">
        <v>2</v>
      </c>
      <c r="P5227">
        <v>260</v>
      </c>
      <c r="Q5227">
        <v>3</v>
      </c>
      <c r="R5227">
        <v>96</v>
      </c>
      <c r="S5227">
        <v>3</v>
      </c>
      <c r="T5227">
        <v>12</v>
      </c>
      <c r="U5227">
        <v>17</v>
      </c>
      <c r="V5227">
        <v>0</v>
      </c>
      <c r="W5227">
        <v>1</v>
      </c>
      <c r="X5227">
        <v>81</v>
      </c>
      <c r="Y5227">
        <v>31</v>
      </c>
      <c r="Z5227">
        <v>3</v>
      </c>
      <c r="AA5227">
        <v>1</v>
      </c>
      <c r="AB5227">
        <v>1</v>
      </c>
      <c r="AD5227">
        <v>0</v>
      </c>
      <c r="AE5227">
        <v>1</v>
      </c>
      <c r="AF5227">
        <v>0</v>
      </c>
      <c r="AG5227">
        <v>0</v>
      </c>
      <c r="AI5227">
        <v>0</v>
      </c>
      <c r="AJ5227">
        <v>10</v>
      </c>
      <c r="AK5227">
        <v>260</v>
      </c>
      <c r="AL5227">
        <v>260</v>
      </c>
      <c r="AM5227">
        <v>341</v>
      </c>
      <c r="AN5227">
        <v>44</v>
      </c>
      <c r="AP5227">
        <v>1</v>
      </c>
      <c r="AR5227" t="s">
        <v>5331</v>
      </c>
      <c r="AS5227" s="1">
        <v>44354.379861111112</v>
      </c>
      <c r="AT5227" s="1">
        <v>44354.382627314815</v>
      </c>
      <c r="AU5227" s="1">
        <v>44354.383090277777</v>
      </c>
      <c r="AV5227" t="s">
        <v>71</v>
      </c>
      <c r="AW5227" t="s">
        <v>72</v>
      </c>
      <c r="AX5227" t="s">
        <v>73</v>
      </c>
    </row>
    <row r="5228" spans="1:50" x14ac:dyDescent="0.3">
      <c r="A5228" t="str">
        <f>"202130E0100"</f>
        <v>202130E0100</v>
      </c>
      <c r="B5228" t="str">
        <f>"202130E01002"</f>
        <v>202130E01002</v>
      </c>
      <c r="C5228" t="str">
        <f t="shared" si="261"/>
        <v>20</v>
      </c>
      <c r="D5228" t="s">
        <v>67</v>
      </c>
      <c r="E5228" t="str">
        <f t="shared" si="260"/>
        <v>023</v>
      </c>
      <c r="F5228" t="s">
        <v>5157</v>
      </c>
      <c r="G5228" t="str">
        <f>"2130"</f>
        <v>2130</v>
      </c>
      <c r="H5228" t="str">
        <f>"0001"</f>
        <v>0001</v>
      </c>
      <c r="I5228" t="s">
        <v>109</v>
      </c>
      <c r="J5228">
        <v>0</v>
      </c>
      <c r="K5228">
        <v>1</v>
      </c>
      <c r="L5228">
        <v>2</v>
      </c>
      <c r="M5228">
        <v>158</v>
      </c>
      <c r="N5228">
        <v>285</v>
      </c>
      <c r="O5228">
        <v>1</v>
      </c>
      <c r="P5228" t="s">
        <v>80</v>
      </c>
      <c r="Q5228">
        <v>12</v>
      </c>
      <c r="R5228">
        <v>129</v>
      </c>
      <c r="S5228">
        <v>8</v>
      </c>
      <c r="T5228">
        <v>5</v>
      </c>
      <c r="U5228">
        <v>4</v>
      </c>
      <c r="V5228">
        <v>0</v>
      </c>
      <c r="W5228">
        <v>1</v>
      </c>
      <c r="X5228">
        <v>106</v>
      </c>
      <c r="Y5228">
        <v>8</v>
      </c>
      <c r="Z5228">
        <v>0</v>
      </c>
      <c r="AA5228">
        <v>1</v>
      </c>
      <c r="AB5228">
        <v>0</v>
      </c>
      <c r="AD5228">
        <v>6</v>
      </c>
      <c r="AE5228">
        <v>1</v>
      </c>
      <c r="AF5228">
        <v>0</v>
      </c>
      <c r="AG5228">
        <v>0</v>
      </c>
      <c r="AI5228">
        <v>0</v>
      </c>
      <c r="AJ5228">
        <v>4</v>
      </c>
      <c r="AK5228">
        <v>285</v>
      </c>
      <c r="AL5228">
        <v>285</v>
      </c>
      <c r="AM5228">
        <v>399</v>
      </c>
      <c r="AN5228">
        <v>44</v>
      </c>
      <c r="AP5228">
        <v>1</v>
      </c>
      <c r="AR5228" t="s">
        <v>5332</v>
      </c>
      <c r="AS5228" s="1">
        <v>44354.379166666666</v>
      </c>
      <c r="AT5228" s="1">
        <v>44354.382962962962</v>
      </c>
      <c r="AU5228" s="1">
        <v>44354.383553240739</v>
      </c>
      <c r="AV5228" t="s">
        <v>71</v>
      </c>
      <c r="AW5228" t="s">
        <v>72</v>
      </c>
      <c r="AX5228" t="s">
        <v>73</v>
      </c>
    </row>
    <row r="5229" spans="1:50" x14ac:dyDescent="0.3">
      <c r="A5229" t="str">
        <f>"202130E0200"</f>
        <v>202130E0200</v>
      </c>
      <c r="B5229" t="str">
        <f>"202130E02002"</f>
        <v>202130E02002</v>
      </c>
      <c r="C5229" t="str">
        <f t="shared" si="261"/>
        <v>20</v>
      </c>
      <c r="D5229" t="s">
        <v>67</v>
      </c>
      <c r="E5229" t="str">
        <f t="shared" si="260"/>
        <v>023</v>
      </c>
      <c r="F5229" t="s">
        <v>5157</v>
      </c>
      <c r="G5229" t="str">
        <f>"2130"</f>
        <v>2130</v>
      </c>
      <c r="H5229" t="str">
        <f>"0002"</f>
        <v>0002</v>
      </c>
      <c r="I5229" t="s">
        <v>109</v>
      </c>
      <c r="J5229">
        <v>0</v>
      </c>
      <c r="K5229">
        <v>1</v>
      </c>
      <c r="L5229">
        <v>2</v>
      </c>
      <c r="M5229">
        <v>114</v>
      </c>
      <c r="N5229">
        <v>147</v>
      </c>
      <c r="O5229">
        <v>3</v>
      </c>
      <c r="P5229">
        <v>147</v>
      </c>
      <c r="Q5229">
        <v>9</v>
      </c>
      <c r="R5229">
        <v>65</v>
      </c>
      <c r="S5229">
        <v>4</v>
      </c>
      <c r="T5229">
        <v>8</v>
      </c>
      <c r="U5229">
        <v>15</v>
      </c>
      <c r="V5229">
        <v>1</v>
      </c>
      <c r="W5229">
        <v>2</v>
      </c>
      <c r="X5229">
        <v>38</v>
      </c>
      <c r="Y5229">
        <v>1</v>
      </c>
      <c r="Z5229">
        <v>1</v>
      </c>
      <c r="AA5229">
        <v>0</v>
      </c>
      <c r="AB5229">
        <v>0</v>
      </c>
      <c r="AD5229">
        <v>1</v>
      </c>
      <c r="AE5229">
        <v>0</v>
      </c>
      <c r="AF5229">
        <v>0</v>
      </c>
      <c r="AG5229">
        <v>0</v>
      </c>
      <c r="AI5229">
        <v>0</v>
      </c>
      <c r="AJ5229">
        <v>2</v>
      </c>
      <c r="AK5229">
        <v>147</v>
      </c>
      <c r="AL5229">
        <v>147</v>
      </c>
      <c r="AM5229">
        <v>217</v>
      </c>
      <c r="AN5229">
        <v>44</v>
      </c>
      <c r="AP5229">
        <v>1</v>
      </c>
      <c r="AR5229" t="s">
        <v>5333</v>
      </c>
      <c r="AS5229" s="1">
        <v>44354.379861111112</v>
      </c>
      <c r="AT5229" s="1">
        <v>44354.383321759262</v>
      </c>
      <c r="AU5229" s="1">
        <v>44354.384039351855</v>
      </c>
      <c r="AV5229" t="s">
        <v>71</v>
      </c>
      <c r="AW5229" t="s">
        <v>72</v>
      </c>
      <c r="AX5229" t="s">
        <v>73</v>
      </c>
    </row>
    <row r="5230" spans="1:50" x14ac:dyDescent="0.3">
      <c r="A5230" t="str">
        <f>"202150B0000"</f>
        <v>202150B0000</v>
      </c>
      <c r="B5230" t="str">
        <f>"202150B00002"</f>
        <v>202150B00002</v>
      </c>
      <c r="C5230" t="str">
        <f t="shared" si="261"/>
        <v>20</v>
      </c>
      <c r="D5230" t="s">
        <v>67</v>
      </c>
      <c r="E5230" t="str">
        <f t="shared" si="260"/>
        <v>023</v>
      </c>
      <c r="F5230" t="s">
        <v>5157</v>
      </c>
      <c r="G5230" t="str">
        <f>"2150"</f>
        <v>2150</v>
      </c>
      <c r="H5230" t="str">
        <f>"0000"</f>
        <v>0000</v>
      </c>
      <c r="I5230" t="s">
        <v>69</v>
      </c>
      <c r="J5230">
        <v>0</v>
      </c>
      <c r="K5230">
        <v>1</v>
      </c>
      <c r="L5230">
        <v>2</v>
      </c>
      <c r="M5230">
        <v>473</v>
      </c>
      <c r="N5230">
        <v>307</v>
      </c>
      <c r="O5230">
        <v>1</v>
      </c>
      <c r="P5230">
        <v>307</v>
      </c>
      <c r="Q5230">
        <v>14</v>
      </c>
      <c r="R5230">
        <v>75</v>
      </c>
      <c r="S5230">
        <v>43</v>
      </c>
      <c r="T5230">
        <v>6</v>
      </c>
      <c r="U5230">
        <v>8</v>
      </c>
      <c r="V5230">
        <v>5</v>
      </c>
      <c r="W5230">
        <v>5</v>
      </c>
      <c r="X5230">
        <v>111</v>
      </c>
      <c r="Y5230">
        <v>4</v>
      </c>
      <c r="Z5230">
        <v>7</v>
      </c>
      <c r="AA5230">
        <v>11</v>
      </c>
      <c r="AB5230">
        <v>10</v>
      </c>
      <c r="AD5230">
        <v>0</v>
      </c>
      <c r="AE5230">
        <v>0</v>
      </c>
      <c r="AF5230">
        <v>0</v>
      </c>
      <c r="AG5230">
        <v>0</v>
      </c>
      <c r="AI5230">
        <v>0</v>
      </c>
      <c r="AJ5230">
        <v>0</v>
      </c>
      <c r="AK5230">
        <v>0</v>
      </c>
      <c r="AL5230">
        <v>299</v>
      </c>
      <c r="AM5230">
        <v>736</v>
      </c>
      <c r="AN5230">
        <v>44</v>
      </c>
      <c r="AP5230">
        <v>1</v>
      </c>
      <c r="AR5230" t="s">
        <v>5334</v>
      </c>
      <c r="AS5230" s="1">
        <v>44354.404166666667</v>
      </c>
      <c r="AT5230" s="1">
        <v>44354.40766203704</v>
      </c>
      <c r="AU5230" s="1">
        <v>44354.409317129626</v>
      </c>
      <c r="AV5230" t="s">
        <v>71</v>
      </c>
      <c r="AW5230" t="s">
        <v>72</v>
      </c>
      <c r="AX5230" t="s">
        <v>73</v>
      </c>
    </row>
    <row r="5231" spans="1:50" x14ac:dyDescent="0.3">
      <c r="A5231" t="str">
        <f>"202150C0100"</f>
        <v>202150C0100</v>
      </c>
      <c r="B5231" t="str">
        <f>"202150C01002"</f>
        <v>202150C01002</v>
      </c>
      <c r="C5231" t="str">
        <f t="shared" si="261"/>
        <v>20</v>
      </c>
      <c r="D5231" t="s">
        <v>67</v>
      </c>
      <c r="E5231" t="str">
        <f t="shared" si="260"/>
        <v>023</v>
      </c>
      <c r="F5231" t="s">
        <v>5157</v>
      </c>
      <c r="G5231" t="str">
        <f>"2150"</f>
        <v>2150</v>
      </c>
      <c r="H5231" t="str">
        <f>"0001"</f>
        <v>0001</v>
      </c>
      <c r="I5231" t="s">
        <v>75</v>
      </c>
      <c r="J5231">
        <v>0</v>
      </c>
      <c r="K5231">
        <v>1</v>
      </c>
      <c r="L5231">
        <v>2</v>
      </c>
      <c r="M5231">
        <v>461</v>
      </c>
      <c r="N5231">
        <v>318</v>
      </c>
      <c r="O5231">
        <v>0</v>
      </c>
      <c r="P5231">
        <v>325</v>
      </c>
      <c r="Q5231">
        <v>17</v>
      </c>
      <c r="R5231">
        <v>70</v>
      </c>
      <c r="S5231">
        <v>60</v>
      </c>
      <c r="T5231">
        <v>0</v>
      </c>
      <c r="U5231">
        <v>12</v>
      </c>
      <c r="V5231">
        <v>2</v>
      </c>
      <c r="W5231">
        <v>14</v>
      </c>
      <c r="X5231">
        <v>111</v>
      </c>
      <c r="Y5231">
        <v>0</v>
      </c>
      <c r="Z5231">
        <v>0</v>
      </c>
      <c r="AA5231">
        <v>10</v>
      </c>
      <c r="AB5231">
        <v>4</v>
      </c>
      <c r="AD5231">
        <v>0</v>
      </c>
      <c r="AE5231">
        <v>0</v>
      </c>
      <c r="AF5231">
        <v>1</v>
      </c>
      <c r="AG5231">
        <v>0</v>
      </c>
      <c r="AI5231" t="s">
        <v>77</v>
      </c>
      <c r="AJ5231">
        <v>17</v>
      </c>
      <c r="AK5231">
        <v>325</v>
      </c>
      <c r="AL5231">
        <v>318</v>
      </c>
      <c r="AM5231">
        <v>735</v>
      </c>
      <c r="AN5231">
        <v>44</v>
      </c>
      <c r="AO5231" t="s">
        <v>78</v>
      </c>
      <c r="AP5231">
        <v>1</v>
      </c>
      <c r="AR5231" t="s">
        <v>5335</v>
      </c>
      <c r="AS5231" s="1">
        <v>44354.104861111111</v>
      </c>
      <c r="AT5231" s="1">
        <v>44354.108773148146</v>
      </c>
      <c r="AU5231" s="1">
        <v>44354.1096412037</v>
      </c>
      <c r="AV5231" t="s">
        <v>71</v>
      </c>
      <c r="AW5231" t="s">
        <v>72</v>
      </c>
      <c r="AX5231" t="s">
        <v>73</v>
      </c>
    </row>
    <row r="5232" spans="1:50" x14ac:dyDescent="0.3">
      <c r="A5232" t="str">
        <f>"202150C0200"</f>
        <v>202150C0200</v>
      </c>
      <c r="B5232" t="str">
        <f>"202150C02002"</f>
        <v>202150C02002</v>
      </c>
      <c r="C5232" t="str">
        <f t="shared" si="261"/>
        <v>20</v>
      </c>
      <c r="D5232" t="s">
        <v>67</v>
      </c>
      <c r="E5232" t="str">
        <f t="shared" si="260"/>
        <v>023</v>
      </c>
      <c r="F5232" t="s">
        <v>5157</v>
      </c>
      <c r="G5232" t="str">
        <f>"2150"</f>
        <v>2150</v>
      </c>
      <c r="H5232" t="str">
        <f>"0002"</f>
        <v>0002</v>
      </c>
      <c r="I5232" t="s">
        <v>75</v>
      </c>
      <c r="J5232">
        <v>0</v>
      </c>
      <c r="K5232">
        <v>1</v>
      </c>
      <c r="L5232">
        <v>2</v>
      </c>
      <c r="M5232">
        <v>464</v>
      </c>
      <c r="N5232">
        <v>315</v>
      </c>
      <c r="O5232">
        <v>0</v>
      </c>
      <c r="P5232">
        <v>315</v>
      </c>
      <c r="Q5232">
        <v>12</v>
      </c>
      <c r="R5232">
        <v>96</v>
      </c>
      <c r="S5232">
        <v>35</v>
      </c>
      <c r="T5232">
        <v>10</v>
      </c>
      <c r="U5232">
        <v>10</v>
      </c>
      <c r="V5232">
        <v>0</v>
      </c>
      <c r="W5232">
        <v>10</v>
      </c>
      <c r="X5232">
        <v>109</v>
      </c>
      <c r="Y5232">
        <v>1</v>
      </c>
      <c r="Z5232">
        <v>3</v>
      </c>
      <c r="AA5232">
        <v>11</v>
      </c>
      <c r="AB5232">
        <v>2</v>
      </c>
      <c r="AD5232">
        <v>0</v>
      </c>
      <c r="AE5232">
        <v>0</v>
      </c>
      <c r="AF5232">
        <v>0</v>
      </c>
      <c r="AG5232">
        <v>0</v>
      </c>
      <c r="AI5232">
        <v>0</v>
      </c>
      <c r="AJ5232">
        <v>16</v>
      </c>
      <c r="AK5232">
        <v>315</v>
      </c>
      <c r="AL5232">
        <v>315</v>
      </c>
      <c r="AM5232">
        <v>735</v>
      </c>
      <c r="AN5232">
        <v>44</v>
      </c>
      <c r="AP5232">
        <v>1</v>
      </c>
      <c r="AR5232" t="s">
        <v>5336</v>
      </c>
      <c r="AS5232" s="1">
        <v>44354.105555555558</v>
      </c>
      <c r="AT5232" s="1">
        <v>44354.110138888886</v>
      </c>
      <c r="AU5232" s="1">
        <v>44354.110810185186</v>
      </c>
      <c r="AV5232" t="s">
        <v>71</v>
      </c>
      <c r="AW5232" t="s">
        <v>72</v>
      </c>
      <c r="AX5232" t="s">
        <v>73</v>
      </c>
    </row>
    <row r="5233" spans="1:50" x14ac:dyDescent="0.3">
      <c r="A5233" t="str">
        <f>"202150C0300"</f>
        <v>202150C0300</v>
      </c>
      <c r="B5233" t="str">
        <f>"202150C03002"</f>
        <v>202150C03002</v>
      </c>
      <c r="C5233" t="str">
        <f t="shared" si="261"/>
        <v>20</v>
      </c>
      <c r="D5233" t="s">
        <v>67</v>
      </c>
      <c r="E5233" t="str">
        <f t="shared" si="260"/>
        <v>023</v>
      </c>
      <c r="F5233" t="s">
        <v>5157</v>
      </c>
      <c r="G5233" t="str">
        <f>"2150"</f>
        <v>2150</v>
      </c>
      <c r="H5233" t="str">
        <f>"0003"</f>
        <v>0003</v>
      </c>
      <c r="I5233" t="s">
        <v>75</v>
      </c>
      <c r="J5233">
        <v>0</v>
      </c>
      <c r="K5233">
        <v>1</v>
      </c>
      <c r="L5233">
        <v>2</v>
      </c>
      <c r="M5233">
        <v>474</v>
      </c>
      <c r="N5233">
        <v>305</v>
      </c>
      <c r="O5233">
        <v>0</v>
      </c>
      <c r="P5233">
        <v>305</v>
      </c>
      <c r="Q5233">
        <v>5</v>
      </c>
      <c r="R5233">
        <v>42</v>
      </c>
      <c r="S5233">
        <v>21</v>
      </c>
      <c r="T5233">
        <v>4</v>
      </c>
      <c r="U5233">
        <v>22</v>
      </c>
      <c r="V5233">
        <v>5</v>
      </c>
      <c r="W5233">
        <v>23</v>
      </c>
      <c r="X5233">
        <v>127</v>
      </c>
      <c r="Y5233">
        <v>5</v>
      </c>
      <c r="Z5233">
        <v>5</v>
      </c>
      <c r="AA5233">
        <v>15</v>
      </c>
      <c r="AB5233">
        <v>1</v>
      </c>
      <c r="AD5233">
        <v>0</v>
      </c>
      <c r="AE5233">
        <v>0</v>
      </c>
      <c r="AF5233">
        <v>0</v>
      </c>
      <c r="AG5233">
        <v>0</v>
      </c>
      <c r="AI5233" t="s">
        <v>77</v>
      </c>
      <c r="AJ5233">
        <v>30</v>
      </c>
      <c r="AK5233">
        <v>305</v>
      </c>
      <c r="AL5233">
        <v>305</v>
      </c>
      <c r="AM5233">
        <v>735</v>
      </c>
      <c r="AN5233">
        <v>44</v>
      </c>
      <c r="AO5233" t="s">
        <v>78</v>
      </c>
      <c r="AP5233">
        <v>1</v>
      </c>
      <c r="AR5233" t="s">
        <v>5337</v>
      </c>
      <c r="AS5233" s="1">
        <v>44354.103472222225</v>
      </c>
      <c r="AT5233" s="1">
        <v>44354.108090277776</v>
      </c>
      <c r="AU5233" s="1">
        <v>44354.108668981484</v>
      </c>
      <c r="AV5233" t="s">
        <v>71</v>
      </c>
      <c r="AW5233" t="s">
        <v>72</v>
      </c>
      <c r="AX5233" t="s">
        <v>73</v>
      </c>
    </row>
    <row r="5234" spans="1:50" x14ac:dyDescent="0.3">
      <c r="A5234" t="str">
        <f>"202265B0000"</f>
        <v>202265B0000</v>
      </c>
      <c r="B5234" t="str">
        <f>"202265B00002"</f>
        <v>202265B00002</v>
      </c>
      <c r="C5234" t="str">
        <f t="shared" si="261"/>
        <v>20</v>
      </c>
      <c r="D5234" t="s">
        <v>67</v>
      </c>
      <c r="E5234" t="str">
        <f t="shared" si="260"/>
        <v>023</v>
      </c>
      <c r="F5234" t="s">
        <v>5157</v>
      </c>
      <c r="G5234" t="str">
        <f>"2265"</f>
        <v>2265</v>
      </c>
      <c r="H5234" t="str">
        <f>"0000"</f>
        <v>0000</v>
      </c>
      <c r="I5234" t="s">
        <v>69</v>
      </c>
      <c r="J5234">
        <v>0</v>
      </c>
      <c r="K5234">
        <v>1</v>
      </c>
      <c r="L5234">
        <v>2</v>
      </c>
      <c r="M5234">
        <v>239</v>
      </c>
      <c r="N5234">
        <v>379</v>
      </c>
      <c r="O5234">
        <v>0</v>
      </c>
      <c r="P5234">
        <v>379</v>
      </c>
      <c r="Q5234">
        <v>0</v>
      </c>
      <c r="R5234">
        <v>194</v>
      </c>
      <c r="S5234">
        <v>7</v>
      </c>
      <c r="T5234">
        <v>1</v>
      </c>
      <c r="U5234">
        <v>2</v>
      </c>
      <c r="V5234">
        <v>2</v>
      </c>
      <c r="W5234">
        <v>3</v>
      </c>
      <c r="X5234">
        <v>150</v>
      </c>
      <c r="Y5234">
        <v>2</v>
      </c>
      <c r="Z5234">
        <v>1</v>
      </c>
      <c r="AA5234">
        <v>4</v>
      </c>
      <c r="AB5234">
        <v>0</v>
      </c>
      <c r="AD5234">
        <v>3</v>
      </c>
      <c r="AE5234">
        <v>0</v>
      </c>
      <c r="AF5234">
        <v>0</v>
      </c>
      <c r="AG5234">
        <v>0</v>
      </c>
      <c r="AI5234">
        <v>0</v>
      </c>
      <c r="AJ5234">
        <v>10</v>
      </c>
      <c r="AK5234">
        <v>379</v>
      </c>
      <c r="AL5234">
        <v>379</v>
      </c>
      <c r="AM5234">
        <v>574</v>
      </c>
      <c r="AN5234">
        <v>44</v>
      </c>
      <c r="AP5234">
        <v>1</v>
      </c>
      <c r="AR5234" t="s">
        <v>5338</v>
      </c>
      <c r="AS5234" s="1">
        <v>44354.005555555559</v>
      </c>
      <c r="AT5234" s="1">
        <v>44354.011701388888</v>
      </c>
      <c r="AU5234" s="1">
        <v>44354.012337962966</v>
      </c>
      <c r="AV5234" t="s">
        <v>71</v>
      </c>
      <c r="AW5234" t="s">
        <v>72</v>
      </c>
      <c r="AX5234" t="s">
        <v>73</v>
      </c>
    </row>
    <row r="5235" spans="1:50" x14ac:dyDescent="0.3">
      <c r="A5235" t="str">
        <f>"202265C0100"</f>
        <v>202265C0100</v>
      </c>
      <c r="B5235" t="str">
        <f>"202265C01002"</f>
        <v>202265C01002</v>
      </c>
      <c r="C5235" t="str">
        <f t="shared" si="261"/>
        <v>20</v>
      </c>
      <c r="D5235" t="s">
        <v>67</v>
      </c>
      <c r="E5235" t="str">
        <f t="shared" si="260"/>
        <v>023</v>
      </c>
      <c r="F5235" t="s">
        <v>5157</v>
      </c>
      <c r="G5235" t="str">
        <f>"2265"</f>
        <v>2265</v>
      </c>
      <c r="H5235" t="str">
        <f>"0001"</f>
        <v>0001</v>
      </c>
      <c r="I5235" t="s">
        <v>75</v>
      </c>
      <c r="J5235">
        <v>0</v>
      </c>
      <c r="K5235">
        <v>1</v>
      </c>
      <c r="L5235">
        <v>2</v>
      </c>
      <c r="M5235">
        <v>208</v>
      </c>
      <c r="N5235">
        <v>409</v>
      </c>
      <c r="O5235">
        <v>0</v>
      </c>
      <c r="P5235">
        <v>409</v>
      </c>
      <c r="Q5235">
        <v>1</v>
      </c>
      <c r="R5235">
        <v>160</v>
      </c>
      <c r="S5235">
        <v>6</v>
      </c>
      <c r="T5235">
        <v>2</v>
      </c>
      <c r="U5235">
        <v>2</v>
      </c>
      <c r="V5235">
        <v>1</v>
      </c>
      <c r="W5235">
        <v>3</v>
      </c>
      <c r="X5235">
        <v>215</v>
      </c>
      <c r="Y5235">
        <v>0</v>
      </c>
      <c r="Z5235">
        <v>2</v>
      </c>
      <c r="AA5235">
        <v>4</v>
      </c>
      <c r="AB5235">
        <v>2</v>
      </c>
      <c r="AD5235">
        <v>0</v>
      </c>
      <c r="AE5235">
        <v>1</v>
      </c>
      <c r="AF5235">
        <v>0</v>
      </c>
      <c r="AG5235">
        <v>1</v>
      </c>
      <c r="AI5235">
        <v>0</v>
      </c>
      <c r="AJ5235">
        <v>9</v>
      </c>
      <c r="AK5235">
        <v>409</v>
      </c>
      <c r="AL5235">
        <v>409</v>
      </c>
      <c r="AM5235">
        <v>573</v>
      </c>
      <c r="AN5235">
        <v>44</v>
      </c>
      <c r="AP5235">
        <v>1</v>
      </c>
      <c r="AR5235" t="s">
        <v>5339</v>
      </c>
      <c r="AS5235" s="1">
        <v>44354.013888888891</v>
      </c>
      <c r="AT5235" s="1">
        <v>44354.712488425925</v>
      </c>
      <c r="AU5235" s="1">
        <v>44354.713263888887</v>
      </c>
      <c r="AV5235" t="s">
        <v>71</v>
      </c>
      <c r="AW5235" t="s">
        <v>72</v>
      </c>
      <c r="AX5235" t="s">
        <v>73</v>
      </c>
    </row>
    <row r="5236" spans="1:50" x14ac:dyDescent="0.3">
      <c r="A5236" t="str">
        <f>"202265C0200"</f>
        <v>202265C0200</v>
      </c>
      <c r="B5236" t="str">
        <f>"202265C02002"</f>
        <v>202265C02002</v>
      </c>
      <c r="C5236" t="str">
        <f t="shared" si="261"/>
        <v>20</v>
      </c>
      <c r="D5236" t="s">
        <v>67</v>
      </c>
      <c r="E5236" t="str">
        <f t="shared" si="260"/>
        <v>023</v>
      </c>
      <c r="F5236" t="s">
        <v>5157</v>
      </c>
      <c r="G5236" t="str">
        <f>"2265"</f>
        <v>2265</v>
      </c>
      <c r="H5236" t="str">
        <f>"0002"</f>
        <v>0002</v>
      </c>
      <c r="I5236" t="s">
        <v>75</v>
      </c>
      <c r="J5236">
        <v>0</v>
      </c>
      <c r="K5236">
        <v>1</v>
      </c>
      <c r="L5236">
        <v>2</v>
      </c>
      <c r="M5236">
        <v>228</v>
      </c>
      <c r="N5236">
        <v>389</v>
      </c>
      <c r="O5236">
        <v>0</v>
      </c>
      <c r="P5236">
        <v>389</v>
      </c>
      <c r="Q5236">
        <v>1</v>
      </c>
      <c r="R5236">
        <v>182</v>
      </c>
      <c r="S5236">
        <v>4</v>
      </c>
      <c r="T5236">
        <v>0</v>
      </c>
      <c r="U5236">
        <v>1</v>
      </c>
      <c r="V5236">
        <v>1</v>
      </c>
      <c r="W5236">
        <v>4</v>
      </c>
      <c r="X5236">
        <v>178</v>
      </c>
      <c r="Y5236">
        <v>0</v>
      </c>
      <c r="Z5236">
        <v>1</v>
      </c>
      <c r="AA5236">
        <v>3</v>
      </c>
      <c r="AB5236">
        <v>2</v>
      </c>
      <c r="AD5236">
        <v>2</v>
      </c>
      <c r="AE5236">
        <v>0</v>
      </c>
      <c r="AF5236">
        <v>0</v>
      </c>
      <c r="AG5236">
        <v>0</v>
      </c>
      <c r="AI5236">
        <v>0</v>
      </c>
      <c r="AJ5236">
        <v>10</v>
      </c>
      <c r="AK5236">
        <v>389</v>
      </c>
      <c r="AL5236">
        <v>389</v>
      </c>
      <c r="AM5236">
        <v>573</v>
      </c>
      <c r="AN5236">
        <v>44</v>
      </c>
      <c r="AP5236">
        <v>1</v>
      </c>
      <c r="AR5236" t="s">
        <v>5340</v>
      </c>
      <c r="AS5236" s="1">
        <v>44354.01458333333</v>
      </c>
      <c r="AT5236" s="1">
        <v>44354.035520833335</v>
      </c>
      <c r="AU5236" s="1">
        <v>44354.050787037035</v>
      </c>
      <c r="AV5236" t="s">
        <v>71</v>
      </c>
      <c r="AW5236" t="s">
        <v>72</v>
      </c>
      <c r="AX5236" t="s">
        <v>73</v>
      </c>
    </row>
    <row r="5237" spans="1:50" x14ac:dyDescent="0.3">
      <c r="A5237" t="str">
        <f>"202265C0300"</f>
        <v>202265C0300</v>
      </c>
      <c r="B5237" t="str">
        <f>"202265C03002"</f>
        <v>202265C03002</v>
      </c>
      <c r="C5237" t="str">
        <f t="shared" si="261"/>
        <v>20</v>
      </c>
      <c r="D5237" t="s">
        <v>67</v>
      </c>
      <c r="E5237" t="str">
        <f t="shared" si="260"/>
        <v>023</v>
      </c>
      <c r="F5237" t="s">
        <v>5157</v>
      </c>
      <c r="G5237" t="str">
        <f>"2265"</f>
        <v>2265</v>
      </c>
      <c r="H5237" t="str">
        <f>"0003"</f>
        <v>0003</v>
      </c>
      <c r="I5237" t="s">
        <v>75</v>
      </c>
      <c r="J5237">
        <v>0</v>
      </c>
      <c r="K5237">
        <v>1</v>
      </c>
      <c r="L5237">
        <v>2</v>
      </c>
      <c r="M5237">
        <v>233</v>
      </c>
      <c r="N5237">
        <v>384</v>
      </c>
      <c r="O5237">
        <v>1</v>
      </c>
      <c r="P5237">
        <v>384</v>
      </c>
      <c r="Q5237">
        <v>0</v>
      </c>
      <c r="R5237">
        <v>171</v>
      </c>
      <c r="S5237">
        <v>4</v>
      </c>
      <c r="T5237">
        <v>2</v>
      </c>
      <c r="U5237">
        <v>0</v>
      </c>
      <c r="V5237">
        <v>2</v>
      </c>
      <c r="W5237">
        <v>2</v>
      </c>
      <c r="X5237">
        <v>175</v>
      </c>
      <c r="Y5237">
        <v>0</v>
      </c>
      <c r="Z5237">
        <v>2</v>
      </c>
      <c r="AA5237">
        <v>7</v>
      </c>
      <c r="AB5237">
        <v>4</v>
      </c>
      <c r="AD5237">
        <v>2</v>
      </c>
      <c r="AE5237">
        <v>3</v>
      </c>
      <c r="AF5237">
        <v>0</v>
      </c>
      <c r="AG5237">
        <v>1</v>
      </c>
      <c r="AI5237">
        <v>0</v>
      </c>
      <c r="AJ5237">
        <v>9</v>
      </c>
      <c r="AK5237">
        <v>384</v>
      </c>
      <c r="AL5237">
        <v>384</v>
      </c>
      <c r="AM5237">
        <v>573</v>
      </c>
      <c r="AN5237">
        <v>44</v>
      </c>
      <c r="AP5237">
        <v>1</v>
      </c>
      <c r="AR5237" t="s">
        <v>5341</v>
      </c>
      <c r="AS5237" s="1">
        <v>44354.015277777777</v>
      </c>
      <c r="AT5237" s="1">
        <v>44354.036134259259</v>
      </c>
      <c r="AU5237" s="1">
        <v>44354.051215277781</v>
      </c>
      <c r="AV5237" t="s">
        <v>71</v>
      </c>
      <c r="AW5237" t="s">
        <v>72</v>
      </c>
      <c r="AX5237" t="s">
        <v>73</v>
      </c>
    </row>
    <row r="5238" spans="1:50" x14ac:dyDescent="0.3">
      <c r="A5238" t="str">
        <f>"202266B0000"</f>
        <v>202266B0000</v>
      </c>
      <c r="B5238" t="str">
        <f>"202266B00002"</f>
        <v>202266B00002</v>
      </c>
      <c r="C5238" t="str">
        <f t="shared" si="261"/>
        <v>20</v>
      </c>
      <c r="D5238" t="s">
        <v>67</v>
      </c>
      <c r="E5238" t="str">
        <f t="shared" si="260"/>
        <v>023</v>
      </c>
      <c r="F5238" t="s">
        <v>5157</v>
      </c>
      <c r="G5238" t="str">
        <f>"2266"</f>
        <v>2266</v>
      </c>
      <c r="H5238" t="str">
        <f>"0000"</f>
        <v>0000</v>
      </c>
      <c r="I5238" t="s">
        <v>69</v>
      </c>
      <c r="J5238">
        <v>0</v>
      </c>
      <c r="K5238">
        <v>1</v>
      </c>
      <c r="L5238">
        <v>2</v>
      </c>
      <c r="M5238">
        <v>291</v>
      </c>
      <c r="N5238">
        <v>492</v>
      </c>
      <c r="O5238">
        <v>0</v>
      </c>
      <c r="P5238">
        <v>492</v>
      </c>
      <c r="Q5238">
        <v>1</v>
      </c>
      <c r="R5238">
        <v>204</v>
      </c>
      <c r="S5238">
        <v>13</v>
      </c>
      <c r="T5238">
        <v>1</v>
      </c>
      <c r="U5238">
        <v>0</v>
      </c>
      <c r="V5238">
        <v>2</v>
      </c>
      <c r="W5238">
        <v>0</v>
      </c>
      <c r="X5238">
        <v>244</v>
      </c>
      <c r="Y5238">
        <v>5</v>
      </c>
      <c r="Z5238">
        <v>5</v>
      </c>
      <c r="AA5238">
        <v>5</v>
      </c>
      <c r="AB5238">
        <v>0</v>
      </c>
      <c r="AD5238">
        <v>3</v>
      </c>
      <c r="AE5238">
        <v>0</v>
      </c>
      <c r="AF5238">
        <v>0</v>
      </c>
      <c r="AG5238">
        <v>0</v>
      </c>
      <c r="AI5238">
        <v>1</v>
      </c>
      <c r="AJ5238">
        <v>8</v>
      </c>
      <c r="AK5238">
        <v>492</v>
      </c>
      <c r="AL5238">
        <v>492</v>
      </c>
      <c r="AM5238">
        <v>739</v>
      </c>
      <c r="AN5238">
        <v>44</v>
      </c>
      <c r="AP5238">
        <v>1</v>
      </c>
      <c r="AR5238" t="s">
        <v>5342</v>
      </c>
      <c r="AS5238" s="1">
        <v>44354.007638888892</v>
      </c>
      <c r="AT5238" s="1">
        <v>44354.0155787037</v>
      </c>
      <c r="AU5238" s="1">
        <v>44354.016377314816</v>
      </c>
      <c r="AV5238" t="s">
        <v>71</v>
      </c>
      <c r="AW5238" t="s">
        <v>72</v>
      </c>
      <c r="AX5238" t="s">
        <v>73</v>
      </c>
    </row>
    <row r="5239" spans="1:50" x14ac:dyDescent="0.3">
      <c r="A5239" t="str">
        <f>"202266C0100"</f>
        <v>202266C0100</v>
      </c>
      <c r="B5239" t="str">
        <f>"202266C01002"</f>
        <v>202266C01002</v>
      </c>
      <c r="C5239" t="str">
        <f t="shared" si="261"/>
        <v>20</v>
      </c>
      <c r="D5239" t="s">
        <v>67</v>
      </c>
      <c r="E5239" t="str">
        <f t="shared" si="260"/>
        <v>023</v>
      </c>
      <c r="F5239" t="s">
        <v>5157</v>
      </c>
      <c r="G5239" t="str">
        <f>"2266"</f>
        <v>2266</v>
      </c>
      <c r="H5239" t="str">
        <f>"0001"</f>
        <v>0001</v>
      </c>
      <c r="I5239" t="s">
        <v>75</v>
      </c>
      <c r="J5239">
        <v>0</v>
      </c>
      <c r="K5239">
        <v>1</v>
      </c>
      <c r="L5239">
        <v>2</v>
      </c>
      <c r="M5239">
        <v>286</v>
      </c>
      <c r="N5239">
        <v>497</v>
      </c>
      <c r="O5239">
        <v>2</v>
      </c>
      <c r="P5239">
        <v>497</v>
      </c>
      <c r="Q5239">
        <v>0</v>
      </c>
      <c r="R5239">
        <v>243</v>
      </c>
      <c r="S5239">
        <v>11</v>
      </c>
      <c r="T5239">
        <v>2</v>
      </c>
      <c r="U5239">
        <v>2</v>
      </c>
      <c r="V5239">
        <v>0</v>
      </c>
      <c r="W5239">
        <v>3</v>
      </c>
      <c r="X5239">
        <v>214</v>
      </c>
      <c r="Y5239">
        <v>1</v>
      </c>
      <c r="Z5239">
        <v>2</v>
      </c>
      <c r="AA5239">
        <v>2</v>
      </c>
      <c r="AB5239">
        <v>0</v>
      </c>
      <c r="AD5239">
        <v>2</v>
      </c>
      <c r="AE5239">
        <v>0</v>
      </c>
      <c r="AF5239">
        <v>0</v>
      </c>
      <c r="AG5239">
        <v>3</v>
      </c>
      <c r="AI5239">
        <v>0</v>
      </c>
      <c r="AJ5239">
        <v>12</v>
      </c>
      <c r="AK5239">
        <v>497</v>
      </c>
      <c r="AL5239">
        <v>497</v>
      </c>
      <c r="AM5239">
        <v>739</v>
      </c>
      <c r="AN5239">
        <v>44</v>
      </c>
      <c r="AP5239">
        <v>1</v>
      </c>
      <c r="AR5239" t="s">
        <v>5343</v>
      </c>
      <c r="AS5239" s="1">
        <v>44354.008333333331</v>
      </c>
      <c r="AT5239" s="1">
        <v>44354.018240740741</v>
      </c>
      <c r="AU5239" s="1">
        <v>44354.018912037034</v>
      </c>
      <c r="AV5239" t="s">
        <v>71</v>
      </c>
      <c r="AW5239" t="s">
        <v>72</v>
      </c>
      <c r="AX5239" t="s">
        <v>73</v>
      </c>
    </row>
    <row r="5240" spans="1:50" x14ac:dyDescent="0.3">
      <c r="A5240" t="str">
        <f>"202267B0000"</f>
        <v>202267B0000</v>
      </c>
      <c r="B5240" t="str">
        <f>"202267B00002"</f>
        <v>202267B00002</v>
      </c>
      <c r="C5240" t="str">
        <f t="shared" si="261"/>
        <v>20</v>
      </c>
      <c r="D5240" t="s">
        <v>67</v>
      </c>
      <c r="E5240" t="str">
        <f t="shared" si="260"/>
        <v>023</v>
      </c>
      <c r="F5240" t="s">
        <v>5157</v>
      </c>
      <c r="G5240" t="str">
        <f>"2267"</f>
        <v>2267</v>
      </c>
      <c r="H5240" t="str">
        <f>"0000"</f>
        <v>0000</v>
      </c>
      <c r="I5240" t="s">
        <v>69</v>
      </c>
      <c r="J5240">
        <v>0</v>
      </c>
      <c r="K5240">
        <v>1</v>
      </c>
      <c r="L5240">
        <v>2</v>
      </c>
      <c r="M5240">
        <v>234</v>
      </c>
      <c r="N5240">
        <v>361</v>
      </c>
      <c r="O5240">
        <v>3</v>
      </c>
      <c r="P5240">
        <v>361</v>
      </c>
      <c r="Q5240">
        <v>3</v>
      </c>
      <c r="R5240">
        <v>158</v>
      </c>
      <c r="S5240">
        <v>6</v>
      </c>
      <c r="T5240">
        <v>1</v>
      </c>
      <c r="U5240">
        <v>1</v>
      </c>
      <c r="V5240">
        <v>0</v>
      </c>
      <c r="W5240">
        <v>1</v>
      </c>
      <c r="X5240">
        <v>175</v>
      </c>
      <c r="Y5240">
        <v>0</v>
      </c>
      <c r="Z5240">
        <v>2</v>
      </c>
      <c r="AA5240">
        <v>2</v>
      </c>
      <c r="AB5240">
        <v>2</v>
      </c>
      <c r="AD5240">
        <v>3</v>
      </c>
      <c r="AE5240">
        <v>0</v>
      </c>
      <c r="AF5240">
        <v>0</v>
      </c>
      <c r="AG5240">
        <v>0</v>
      </c>
      <c r="AI5240">
        <v>0</v>
      </c>
      <c r="AJ5240">
        <v>7</v>
      </c>
      <c r="AK5240">
        <v>361</v>
      </c>
      <c r="AL5240">
        <v>361</v>
      </c>
      <c r="AM5240">
        <v>551</v>
      </c>
      <c r="AN5240">
        <v>44</v>
      </c>
      <c r="AP5240">
        <v>1</v>
      </c>
      <c r="AR5240" t="s">
        <v>5344</v>
      </c>
      <c r="AS5240" s="1">
        <v>44354.007638888892</v>
      </c>
      <c r="AT5240" s="1">
        <v>44354.016759259262</v>
      </c>
      <c r="AU5240" s="1">
        <v>44354.017557870371</v>
      </c>
      <c r="AV5240" t="s">
        <v>71</v>
      </c>
      <c r="AW5240" t="s">
        <v>72</v>
      </c>
      <c r="AX5240" t="s">
        <v>73</v>
      </c>
    </row>
    <row r="5241" spans="1:50" x14ac:dyDescent="0.3">
      <c r="A5241" t="str">
        <f>"202267C0100"</f>
        <v>202267C0100</v>
      </c>
      <c r="B5241" t="str">
        <f>"202267C01002"</f>
        <v>202267C01002</v>
      </c>
      <c r="C5241" t="str">
        <f t="shared" si="261"/>
        <v>20</v>
      </c>
      <c r="D5241" t="s">
        <v>67</v>
      </c>
      <c r="E5241" t="str">
        <f t="shared" si="260"/>
        <v>023</v>
      </c>
      <c r="F5241" t="s">
        <v>5157</v>
      </c>
      <c r="G5241" t="str">
        <f>"2267"</f>
        <v>2267</v>
      </c>
      <c r="H5241" t="str">
        <f>"0001"</f>
        <v>0001</v>
      </c>
      <c r="I5241" t="s">
        <v>75</v>
      </c>
      <c r="J5241">
        <v>0</v>
      </c>
      <c r="K5241">
        <v>1</v>
      </c>
      <c r="L5241">
        <v>2</v>
      </c>
      <c r="M5241">
        <v>206</v>
      </c>
      <c r="N5241">
        <v>389</v>
      </c>
      <c r="O5241">
        <v>4</v>
      </c>
      <c r="P5241">
        <v>389</v>
      </c>
      <c r="Q5241">
        <v>0</v>
      </c>
      <c r="R5241">
        <v>142</v>
      </c>
      <c r="S5241">
        <v>11</v>
      </c>
      <c r="T5241">
        <v>0</v>
      </c>
      <c r="U5241">
        <v>2</v>
      </c>
      <c r="V5241">
        <v>0</v>
      </c>
      <c r="W5241">
        <v>3</v>
      </c>
      <c r="X5241">
        <v>209</v>
      </c>
      <c r="Y5241">
        <v>6</v>
      </c>
      <c r="Z5241">
        <v>1</v>
      </c>
      <c r="AA5241">
        <v>5</v>
      </c>
      <c r="AB5241">
        <v>3</v>
      </c>
      <c r="AD5241">
        <v>1</v>
      </c>
      <c r="AE5241">
        <v>0</v>
      </c>
      <c r="AF5241">
        <v>0</v>
      </c>
      <c r="AG5241">
        <v>1</v>
      </c>
      <c r="AI5241">
        <v>0</v>
      </c>
      <c r="AJ5241">
        <v>5</v>
      </c>
      <c r="AK5241">
        <v>389</v>
      </c>
      <c r="AL5241">
        <v>389</v>
      </c>
      <c r="AM5241">
        <v>551</v>
      </c>
      <c r="AN5241">
        <v>44</v>
      </c>
      <c r="AP5241">
        <v>1</v>
      </c>
      <c r="AR5241" t="s">
        <v>5345</v>
      </c>
      <c r="AS5241" s="1">
        <v>44354.006944444445</v>
      </c>
      <c r="AT5241" s="1">
        <v>44354.013136574074</v>
      </c>
      <c r="AU5241" s="1">
        <v>44354.013796296298</v>
      </c>
      <c r="AV5241" t="s">
        <v>71</v>
      </c>
      <c r="AW5241" t="s">
        <v>72</v>
      </c>
      <c r="AX5241" t="s">
        <v>73</v>
      </c>
    </row>
    <row r="5242" spans="1:50" x14ac:dyDescent="0.3">
      <c r="A5242" t="str">
        <f>"202268B0000"</f>
        <v>202268B0000</v>
      </c>
      <c r="B5242" t="str">
        <f>"202268B00002"</f>
        <v>202268B00002</v>
      </c>
      <c r="C5242" t="str">
        <f t="shared" si="261"/>
        <v>20</v>
      </c>
      <c r="D5242" t="s">
        <v>67</v>
      </c>
      <c r="E5242" t="str">
        <f t="shared" si="260"/>
        <v>023</v>
      </c>
      <c r="F5242" t="s">
        <v>5157</v>
      </c>
      <c r="G5242" t="str">
        <f>"2268"</f>
        <v>2268</v>
      </c>
      <c r="H5242" t="str">
        <f>"0000"</f>
        <v>0000</v>
      </c>
      <c r="I5242" t="s">
        <v>69</v>
      </c>
      <c r="J5242">
        <v>0</v>
      </c>
      <c r="K5242">
        <v>1</v>
      </c>
      <c r="L5242">
        <v>2</v>
      </c>
      <c r="M5242">
        <v>336</v>
      </c>
      <c r="N5242">
        <v>273</v>
      </c>
      <c r="O5242">
        <v>1</v>
      </c>
      <c r="P5242">
        <v>273</v>
      </c>
      <c r="Q5242">
        <v>3</v>
      </c>
      <c r="R5242">
        <v>148</v>
      </c>
      <c r="S5242">
        <v>9</v>
      </c>
      <c r="T5242">
        <v>1</v>
      </c>
      <c r="U5242">
        <v>2</v>
      </c>
      <c r="V5242">
        <v>2</v>
      </c>
      <c r="W5242">
        <v>4</v>
      </c>
      <c r="X5242">
        <v>68</v>
      </c>
      <c r="Y5242">
        <v>0</v>
      </c>
      <c r="Z5242">
        <v>3</v>
      </c>
      <c r="AA5242">
        <v>9</v>
      </c>
      <c r="AB5242">
        <v>0</v>
      </c>
      <c r="AD5242">
        <v>0</v>
      </c>
      <c r="AE5242">
        <v>0</v>
      </c>
      <c r="AF5242">
        <v>0</v>
      </c>
      <c r="AG5242">
        <v>0</v>
      </c>
      <c r="AI5242">
        <v>0</v>
      </c>
      <c r="AJ5242">
        <v>14</v>
      </c>
      <c r="AK5242">
        <v>273</v>
      </c>
      <c r="AL5242">
        <v>263</v>
      </c>
      <c r="AM5242">
        <v>565</v>
      </c>
      <c r="AN5242">
        <v>44</v>
      </c>
      <c r="AP5242">
        <v>1</v>
      </c>
      <c r="AR5242" s="2" t="s">
        <v>5346</v>
      </c>
      <c r="AS5242" s="1">
        <v>44354.01666666667</v>
      </c>
      <c r="AT5242" s="1">
        <v>44354.029444444444</v>
      </c>
      <c r="AU5242" s="1">
        <v>44354.029953703706</v>
      </c>
      <c r="AV5242" t="s">
        <v>71</v>
      </c>
      <c r="AW5242" t="s">
        <v>72</v>
      </c>
      <c r="AX5242" t="s">
        <v>73</v>
      </c>
    </row>
    <row r="5243" spans="1:50" x14ac:dyDescent="0.3">
      <c r="A5243" t="str">
        <f>"202268C0100"</f>
        <v>202268C0100</v>
      </c>
      <c r="B5243" t="str">
        <f>"202268C01002"</f>
        <v>202268C01002</v>
      </c>
      <c r="C5243" t="str">
        <f t="shared" si="261"/>
        <v>20</v>
      </c>
      <c r="D5243" t="s">
        <v>67</v>
      </c>
      <c r="E5243" t="str">
        <f t="shared" si="260"/>
        <v>023</v>
      </c>
      <c r="F5243" t="s">
        <v>5157</v>
      </c>
      <c r="G5243" t="str">
        <f>"2268"</f>
        <v>2268</v>
      </c>
      <c r="H5243" t="str">
        <f>"0001"</f>
        <v>0001</v>
      </c>
      <c r="I5243" t="s">
        <v>75</v>
      </c>
      <c r="J5243">
        <v>0</v>
      </c>
      <c r="K5243">
        <v>1</v>
      </c>
      <c r="L5243">
        <v>2</v>
      </c>
      <c r="M5243">
        <v>356</v>
      </c>
      <c r="N5243">
        <v>253</v>
      </c>
      <c r="O5243">
        <v>1</v>
      </c>
      <c r="P5243">
        <v>0</v>
      </c>
      <c r="Q5243">
        <v>1</v>
      </c>
      <c r="R5243">
        <v>166</v>
      </c>
      <c r="S5243">
        <v>9</v>
      </c>
      <c r="T5243">
        <v>8</v>
      </c>
      <c r="U5243">
        <v>2</v>
      </c>
      <c r="V5243">
        <v>4</v>
      </c>
      <c r="W5243">
        <v>0</v>
      </c>
      <c r="X5243">
        <v>36</v>
      </c>
      <c r="Y5243">
        <v>0</v>
      </c>
      <c r="Z5243">
        <v>3</v>
      </c>
      <c r="AA5243">
        <v>6</v>
      </c>
      <c r="AB5243">
        <v>1</v>
      </c>
      <c r="AD5243">
        <v>0</v>
      </c>
      <c r="AE5243">
        <v>0</v>
      </c>
      <c r="AF5243">
        <v>0</v>
      </c>
      <c r="AG5243">
        <v>0</v>
      </c>
      <c r="AI5243">
        <v>0</v>
      </c>
      <c r="AJ5243">
        <v>17</v>
      </c>
      <c r="AK5243">
        <v>253</v>
      </c>
      <c r="AL5243">
        <v>253</v>
      </c>
      <c r="AM5243">
        <v>565</v>
      </c>
      <c r="AN5243">
        <v>44</v>
      </c>
      <c r="AP5243">
        <v>1</v>
      </c>
      <c r="AR5243" t="s">
        <v>5347</v>
      </c>
      <c r="AS5243" s="1">
        <v>44354.01666666667</v>
      </c>
      <c r="AT5243" s="1">
        <v>44354.03</v>
      </c>
      <c r="AU5243" s="1">
        <v>44354.030439814815</v>
      </c>
      <c r="AV5243" t="s">
        <v>71</v>
      </c>
      <c r="AW5243" t="s">
        <v>72</v>
      </c>
      <c r="AX5243" t="s">
        <v>73</v>
      </c>
    </row>
    <row r="5244" spans="1:50" x14ac:dyDescent="0.3">
      <c r="A5244" t="str">
        <f>"202268C0200"</f>
        <v>202268C0200</v>
      </c>
      <c r="B5244" t="str">
        <f>"202268C02002"</f>
        <v>202268C02002</v>
      </c>
      <c r="C5244" t="str">
        <f t="shared" si="261"/>
        <v>20</v>
      </c>
      <c r="D5244" t="s">
        <v>67</v>
      </c>
      <c r="E5244" t="str">
        <f t="shared" si="260"/>
        <v>023</v>
      </c>
      <c r="F5244" t="s">
        <v>5157</v>
      </c>
      <c r="G5244" t="str">
        <f>"2268"</f>
        <v>2268</v>
      </c>
      <c r="H5244" t="str">
        <f>"0002"</f>
        <v>0002</v>
      </c>
      <c r="I5244" t="s">
        <v>75</v>
      </c>
      <c r="J5244">
        <v>0</v>
      </c>
      <c r="K5244">
        <v>1</v>
      </c>
      <c r="L5244">
        <v>2</v>
      </c>
      <c r="M5244">
        <v>343</v>
      </c>
      <c r="N5244">
        <v>609</v>
      </c>
      <c r="O5244">
        <v>0</v>
      </c>
      <c r="P5244">
        <v>609</v>
      </c>
      <c r="Q5244">
        <v>1</v>
      </c>
      <c r="R5244">
        <v>148</v>
      </c>
      <c r="S5244">
        <v>2</v>
      </c>
      <c r="T5244">
        <v>8</v>
      </c>
      <c r="U5244">
        <v>2</v>
      </c>
      <c r="V5244">
        <v>8</v>
      </c>
      <c r="W5244">
        <v>7</v>
      </c>
      <c r="X5244">
        <v>3</v>
      </c>
      <c r="Y5244">
        <v>3</v>
      </c>
      <c r="Z5244">
        <v>62</v>
      </c>
      <c r="AA5244">
        <v>2</v>
      </c>
      <c r="AB5244">
        <v>6</v>
      </c>
      <c r="AD5244">
        <v>13</v>
      </c>
      <c r="AE5244">
        <v>0</v>
      </c>
      <c r="AF5244">
        <v>1</v>
      </c>
      <c r="AG5244">
        <v>1</v>
      </c>
      <c r="AI5244">
        <v>1</v>
      </c>
      <c r="AJ5244">
        <v>11</v>
      </c>
      <c r="AK5244">
        <v>267</v>
      </c>
      <c r="AL5244">
        <v>279</v>
      </c>
      <c r="AM5244">
        <v>565</v>
      </c>
      <c r="AN5244">
        <v>44</v>
      </c>
      <c r="AP5244">
        <v>1</v>
      </c>
      <c r="AR5244" t="s">
        <v>5348</v>
      </c>
      <c r="AS5244" s="1">
        <v>44354.36041666667</v>
      </c>
      <c r="AT5244" s="1">
        <v>44354.36513888889</v>
      </c>
      <c r="AU5244" s="1">
        <v>44354.365868055553</v>
      </c>
      <c r="AV5244" t="s">
        <v>71</v>
      </c>
      <c r="AW5244" t="s">
        <v>72</v>
      </c>
      <c r="AX5244" t="s">
        <v>73</v>
      </c>
    </row>
    <row r="5245" spans="1:50" x14ac:dyDescent="0.3">
      <c r="A5245" t="str">
        <f>"202268E0100"</f>
        <v>202268E0100</v>
      </c>
      <c r="B5245" t="str">
        <f>"202268E01002"</f>
        <v>202268E01002</v>
      </c>
      <c r="C5245" t="str">
        <f t="shared" si="261"/>
        <v>20</v>
      </c>
      <c r="D5245" t="s">
        <v>67</v>
      </c>
      <c r="E5245" t="str">
        <f t="shared" si="260"/>
        <v>023</v>
      </c>
      <c r="F5245" t="s">
        <v>5157</v>
      </c>
      <c r="G5245" t="str">
        <f>"2268"</f>
        <v>2268</v>
      </c>
      <c r="H5245" t="str">
        <f>"0001"</f>
        <v>0001</v>
      </c>
      <c r="I5245" t="s">
        <v>109</v>
      </c>
      <c r="J5245">
        <v>0</v>
      </c>
      <c r="K5245">
        <v>1</v>
      </c>
      <c r="L5245">
        <v>2</v>
      </c>
      <c r="M5245">
        <v>115</v>
      </c>
      <c r="N5245">
        <v>86</v>
      </c>
      <c r="O5245">
        <v>0</v>
      </c>
      <c r="P5245">
        <v>86</v>
      </c>
      <c r="Q5245">
        <v>1</v>
      </c>
      <c r="R5245">
        <v>51</v>
      </c>
      <c r="S5245">
        <v>1</v>
      </c>
      <c r="T5245">
        <v>1</v>
      </c>
      <c r="U5245">
        <v>0</v>
      </c>
      <c r="V5245">
        <v>0</v>
      </c>
      <c r="W5245">
        <v>0</v>
      </c>
      <c r="X5245">
        <v>22</v>
      </c>
      <c r="Y5245">
        <v>0</v>
      </c>
      <c r="Z5245">
        <v>3</v>
      </c>
      <c r="AA5245">
        <v>2</v>
      </c>
      <c r="AB5245">
        <v>0</v>
      </c>
      <c r="AD5245">
        <v>3</v>
      </c>
      <c r="AE5245">
        <v>0</v>
      </c>
      <c r="AF5245">
        <v>0</v>
      </c>
      <c r="AG5245">
        <v>0</v>
      </c>
      <c r="AI5245">
        <v>0</v>
      </c>
      <c r="AJ5245">
        <v>2</v>
      </c>
      <c r="AK5245">
        <v>86</v>
      </c>
      <c r="AL5245">
        <v>86</v>
      </c>
      <c r="AM5245">
        <v>157</v>
      </c>
      <c r="AN5245">
        <v>44</v>
      </c>
      <c r="AP5245">
        <v>1</v>
      </c>
      <c r="AR5245" t="s">
        <v>5349</v>
      </c>
      <c r="AS5245" s="1">
        <v>44354.024305555555</v>
      </c>
      <c r="AT5245" s="1">
        <v>44354.037604166668</v>
      </c>
      <c r="AU5245" s="1">
        <v>44354.038738425923</v>
      </c>
      <c r="AV5245" t="s">
        <v>71</v>
      </c>
      <c r="AW5245" t="s">
        <v>72</v>
      </c>
      <c r="AX5245" t="s">
        <v>73</v>
      </c>
    </row>
    <row r="5246" spans="1:50" x14ac:dyDescent="0.3">
      <c r="A5246" t="str">
        <f>"202268E0200"</f>
        <v>202268E0200</v>
      </c>
      <c r="B5246" t="str">
        <f>"202268E02002"</f>
        <v>202268E02002</v>
      </c>
      <c r="C5246" t="str">
        <f t="shared" si="261"/>
        <v>20</v>
      </c>
      <c r="D5246" t="s">
        <v>67</v>
      </c>
      <c r="E5246" t="str">
        <f t="shared" ref="E5246:E5265" si="263">"023"</f>
        <v>023</v>
      </c>
      <c r="F5246" t="s">
        <v>5157</v>
      </c>
      <c r="G5246" t="str">
        <f>"2268"</f>
        <v>2268</v>
      </c>
      <c r="H5246" t="str">
        <f>"0002"</f>
        <v>0002</v>
      </c>
      <c r="I5246" t="s">
        <v>109</v>
      </c>
      <c r="J5246">
        <v>0</v>
      </c>
      <c r="K5246">
        <v>1</v>
      </c>
      <c r="L5246">
        <v>2</v>
      </c>
      <c r="M5246">
        <v>135</v>
      </c>
      <c r="N5246">
        <v>175</v>
      </c>
      <c r="O5246">
        <v>4</v>
      </c>
      <c r="P5246">
        <v>176</v>
      </c>
      <c r="Q5246">
        <v>1</v>
      </c>
      <c r="R5246">
        <v>135</v>
      </c>
      <c r="S5246">
        <v>2</v>
      </c>
      <c r="T5246">
        <v>5</v>
      </c>
      <c r="U5246">
        <v>2</v>
      </c>
      <c r="V5246">
        <v>1</v>
      </c>
      <c r="W5246">
        <v>1</v>
      </c>
      <c r="X5246">
        <v>13</v>
      </c>
      <c r="Y5246">
        <v>0</v>
      </c>
      <c r="Z5246">
        <v>2</v>
      </c>
      <c r="AA5246">
        <v>1</v>
      </c>
      <c r="AB5246">
        <v>2</v>
      </c>
      <c r="AD5246">
        <v>0</v>
      </c>
      <c r="AE5246">
        <v>0</v>
      </c>
      <c r="AF5246">
        <v>0</v>
      </c>
      <c r="AG5246">
        <v>2</v>
      </c>
      <c r="AI5246">
        <v>0</v>
      </c>
      <c r="AJ5246">
        <v>9</v>
      </c>
      <c r="AK5246">
        <v>176</v>
      </c>
      <c r="AL5246">
        <v>176</v>
      </c>
      <c r="AM5246">
        <v>267</v>
      </c>
      <c r="AN5246">
        <v>44</v>
      </c>
      <c r="AP5246">
        <v>1</v>
      </c>
      <c r="AR5246" t="s">
        <v>5350</v>
      </c>
      <c r="AS5246" s="1">
        <v>44354.017361111109</v>
      </c>
      <c r="AT5246" s="1">
        <v>44354.031122685185</v>
      </c>
      <c r="AU5246" s="1">
        <v>44354.031423611108</v>
      </c>
      <c r="AV5246" t="s">
        <v>71</v>
      </c>
      <c r="AW5246" t="s">
        <v>72</v>
      </c>
      <c r="AX5246" t="s">
        <v>73</v>
      </c>
    </row>
    <row r="5247" spans="1:50" x14ac:dyDescent="0.3">
      <c r="A5247" t="str">
        <f>"202269B0000"</f>
        <v>202269B0000</v>
      </c>
      <c r="B5247" t="str">
        <f>"202269B00002"</f>
        <v>202269B00002</v>
      </c>
      <c r="C5247" t="str">
        <f t="shared" si="261"/>
        <v>20</v>
      </c>
      <c r="D5247" t="s">
        <v>67</v>
      </c>
      <c r="E5247" t="str">
        <f t="shared" si="263"/>
        <v>023</v>
      </c>
      <c r="F5247" t="s">
        <v>5157</v>
      </c>
      <c r="G5247" t="str">
        <f>"2269"</f>
        <v>2269</v>
      </c>
      <c r="H5247" t="str">
        <f>"0000"</f>
        <v>0000</v>
      </c>
      <c r="I5247" t="s">
        <v>69</v>
      </c>
      <c r="J5247">
        <v>0</v>
      </c>
      <c r="K5247">
        <v>1</v>
      </c>
      <c r="L5247">
        <v>2</v>
      </c>
      <c r="M5247">
        <v>282</v>
      </c>
      <c r="N5247">
        <v>277</v>
      </c>
      <c r="O5247">
        <v>0</v>
      </c>
      <c r="P5247">
        <v>277</v>
      </c>
      <c r="Q5247">
        <v>2</v>
      </c>
      <c r="R5247">
        <v>127</v>
      </c>
      <c r="S5247">
        <v>3</v>
      </c>
      <c r="T5247">
        <v>1</v>
      </c>
      <c r="U5247">
        <v>5</v>
      </c>
      <c r="V5247">
        <v>0</v>
      </c>
      <c r="W5247">
        <v>4</v>
      </c>
      <c r="X5247">
        <v>100</v>
      </c>
      <c r="Y5247">
        <v>0</v>
      </c>
      <c r="Z5247">
        <v>6</v>
      </c>
      <c r="AA5247">
        <v>15</v>
      </c>
      <c r="AB5247">
        <v>3</v>
      </c>
      <c r="AD5247">
        <v>1</v>
      </c>
      <c r="AE5247">
        <v>0</v>
      </c>
      <c r="AF5247">
        <v>0</v>
      </c>
      <c r="AG5247">
        <v>0</v>
      </c>
      <c r="AI5247">
        <v>0</v>
      </c>
      <c r="AJ5247">
        <v>10</v>
      </c>
      <c r="AK5247">
        <v>277</v>
      </c>
      <c r="AL5247">
        <v>277</v>
      </c>
      <c r="AM5247">
        <v>515</v>
      </c>
      <c r="AN5247">
        <v>44</v>
      </c>
      <c r="AP5247">
        <v>1</v>
      </c>
      <c r="AR5247" t="s">
        <v>5351</v>
      </c>
      <c r="AS5247" s="1">
        <v>44354.043055555558</v>
      </c>
      <c r="AT5247" s="1">
        <v>44354.051886574074</v>
      </c>
      <c r="AU5247" s="1">
        <v>44354.052662037036</v>
      </c>
      <c r="AV5247" t="s">
        <v>71</v>
      </c>
      <c r="AW5247" t="s">
        <v>72</v>
      </c>
      <c r="AX5247" t="s">
        <v>73</v>
      </c>
    </row>
    <row r="5248" spans="1:50" x14ac:dyDescent="0.3">
      <c r="A5248" t="str">
        <f>"202269C0100"</f>
        <v>202269C0100</v>
      </c>
      <c r="B5248" t="str">
        <f>"202269C01002"</f>
        <v>202269C01002</v>
      </c>
      <c r="C5248" t="str">
        <f t="shared" si="261"/>
        <v>20</v>
      </c>
      <c r="D5248" t="s">
        <v>67</v>
      </c>
      <c r="E5248" t="str">
        <f t="shared" si="263"/>
        <v>023</v>
      </c>
      <c r="F5248" t="s">
        <v>5157</v>
      </c>
      <c r="G5248" t="str">
        <f>"2269"</f>
        <v>2269</v>
      </c>
      <c r="H5248" t="str">
        <f>"0001"</f>
        <v>0001</v>
      </c>
      <c r="I5248" t="s">
        <v>75</v>
      </c>
      <c r="J5248">
        <v>0</v>
      </c>
      <c r="K5248">
        <v>1</v>
      </c>
      <c r="L5248">
        <v>2</v>
      </c>
      <c r="M5248">
        <v>284</v>
      </c>
      <c r="N5248">
        <v>275</v>
      </c>
      <c r="O5248">
        <v>0</v>
      </c>
      <c r="P5248">
        <v>275</v>
      </c>
      <c r="Q5248">
        <v>2</v>
      </c>
      <c r="R5248">
        <v>118</v>
      </c>
      <c r="S5248">
        <v>7</v>
      </c>
      <c r="T5248">
        <v>1</v>
      </c>
      <c r="U5248">
        <v>8</v>
      </c>
      <c r="V5248">
        <v>0</v>
      </c>
      <c r="W5248" t="s">
        <v>99</v>
      </c>
      <c r="X5248">
        <v>104</v>
      </c>
      <c r="Y5248">
        <v>1</v>
      </c>
      <c r="Z5248">
        <v>10</v>
      </c>
      <c r="AA5248">
        <v>8</v>
      </c>
      <c r="AB5248">
        <v>0</v>
      </c>
      <c r="AD5248">
        <v>0</v>
      </c>
      <c r="AE5248">
        <v>1</v>
      </c>
      <c r="AF5248">
        <v>0</v>
      </c>
      <c r="AG5248">
        <v>0</v>
      </c>
      <c r="AI5248">
        <v>0</v>
      </c>
      <c r="AJ5248">
        <v>13</v>
      </c>
      <c r="AK5248">
        <v>275</v>
      </c>
      <c r="AL5248">
        <v>273</v>
      </c>
      <c r="AM5248">
        <v>515</v>
      </c>
      <c r="AN5248">
        <v>44</v>
      </c>
      <c r="AO5248" t="s">
        <v>78</v>
      </c>
      <c r="AP5248">
        <v>1</v>
      </c>
      <c r="AR5248" t="s">
        <v>5352</v>
      </c>
      <c r="AS5248" s="1">
        <v>44354.042361111111</v>
      </c>
      <c r="AT5248" s="1">
        <v>44354.051377314812</v>
      </c>
      <c r="AU5248" s="1">
        <v>44354.052187499998</v>
      </c>
      <c r="AV5248" t="s">
        <v>71</v>
      </c>
      <c r="AW5248" t="s">
        <v>72</v>
      </c>
      <c r="AX5248" t="s">
        <v>73</v>
      </c>
    </row>
    <row r="5249" spans="1:50" x14ac:dyDescent="0.3">
      <c r="A5249" t="str">
        <f>"202269C0200"</f>
        <v>202269C0200</v>
      </c>
      <c r="B5249" t="str">
        <f>"202269C02002"</f>
        <v>202269C02002</v>
      </c>
      <c r="C5249" t="str">
        <f t="shared" si="261"/>
        <v>20</v>
      </c>
      <c r="D5249" t="s">
        <v>67</v>
      </c>
      <c r="E5249" t="str">
        <f t="shared" si="263"/>
        <v>023</v>
      </c>
      <c r="F5249" t="s">
        <v>5157</v>
      </c>
      <c r="G5249" t="str">
        <f>"2269"</f>
        <v>2269</v>
      </c>
      <c r="H5249" t="str">
        <f>"0002"</f>
        <v>0002</v>
      </c>
      <c r="I5249" t="s">
        <v>75</v>
      </c>
      <c r="J5249">
        <v>0</v>
      </c>
      <c r="K5249">
        <v>1</v>
      </c>
      <c r="L5249">
        <v>2</v>
      </c>
      <c r="M5249">
        <v>270</v>
      </c>
      <c r="N5249">
        <v>288</v>
      </c>
      <c r="O5249">
        <v>0</v>
      </c>
      <c r="P5249">
        <v>288</v>
      </c>
      <c r="Q5249">
        <v>2</v>
      </c>
      <c r="R5249">
        <v>164</v>
      </c>
      <c r="S5249">
        <v>3</v>
      </c>
      <c r="T5249">
        <v>1</v>
      </c>
      <c r="U5249">
        <v>3</v>
      </c>
      <c r="V5249">
        <v>0</v>
      </c>
      <c r="W5249">
        <v>2</v>
      </c>
      <c r="X5249">
        <v>77</v>
      </c>
      <c r="Y5249">
        <v>0</v>
      </c>
      <c r="Z5249">
        <v>8</v>
      </c>
      <c r="AA5249">
        <v>15</v>
      </c>
      <c r="AB5249">
        <v>0</v>
      </c>
      <c r="AD5249">
        <v>4</v>
      </c>
      <c r="AE5249">
        <v>0</v>
      </c>
      <c r="AF5249">
        <v>0</v>
      </c>
      <c r="AG5249">
        <v>0</v>
      </c>
      <c r="AI5249">
        <v>0</v>
      </c>
      <c r="AJ5249">
        <v>9</v>
      </c>
      <c r="AK5249">
        <v>288</v>
      </c>
      <c r="AL5249">
        <v>288</v>
      </c>
      <c r="AM5249">
        <v>514</v>
      </c>
      <c r="AN5249">
        <v>44</v>
      </c>
      <c r="AP5249">
        <v>1</v>
      </c>
      <c r="AR5249" t="s">
        <v>5353</v>
      </c>
      <c r="AS5249" s="1">
        <v>44354.042361111111</v>
      </c>
      <c r="AT5249" s="1">
        <v>44354.051712962966</v>
      </c>
      <c r="AU5249" s="1">
        <v>44354.05232638889</v>
      </c>
      <c r="AV5249" t="s">
        <v>71</v>
      </c>
      <c r="AW5249" t="s">
        <v>72</v>
      </c>
      <c r="AX5249" t="s">
        <v>73</v>
      </c>
    </row>
    <row r="5250" spans="1:50" x14ac:dyDescent="0.3">
      <c r="A5250" t="str">
        <f>"202269E0100"</f>
        <v>202269E0100</v>
      </c>
      <c r="B5250" t="str">
        <f>"202269E01002"</f>
        <v>202269E01002</v>
      </c>
      <c r="C5250" t="str">
        <f t="shared" si="261"/>
        <v>20</v>
      </c>
      <c r="D5250" t="s">
        <v>67</v>
      </c>
      <c r="E5250" t="str">
        <f t="shared" si="263"/>
        <v>023</v>
      </c>
      <c r="F5250" t="s">
        <v>5157</v>
      </c>
      <c r="G5250" t="str">
        <f>"2269"</f>
        <v>2269</v>
      </c>
      <c r="H5250" t="str">
        <f>"0001"</f>
        <v>0001</v>
      </c>
      <c r="I5250" t="s">
        <v>109</v>
      </c>
      <c r="J5250">
        <v>0</v>
      </c>
      <c r="K5250">
        <v>1</v>
      </c>
      <c r="L5250">
        <v>2</v>
      </c>
      <c r="M5250">
        <v>285</v>
      </c>
      <c r="N5250">
        <v>255</v>
      </c>
      <c r="O5250">
        <v>3</v>
      </c>
      <c r="P5250">
        <v>255</v>
      </c>
      <c r="Q5250">
        <v>2</v>
      </c>
      <c r="R5250">
        <v>85</v>
      </c>
      <c r="S5250">
        <v>4</v>
      </c>
      <c r="T5250">
        <v>2</v>
      </c>
      <c r="U5250">
        <v>5</v>
      </c>
      <c r="V5250">
        <v>1</v>
      </c>
      <c r="W5250">
        <v>5</v>
      </c>
      <c r="X5250">
        <v>124</v>
      </c>
      <c r="Y5250">
        <v>3</v>
      </c>
      <c r="Z5250">
        <v>1</v>
      </c>
      <c r="AA5250">
        <v>14</v>
      </c>
      <c r="AB5250">
        <v>1</v>
      </c>
      <c r="AD5250">
        <v>0</v>
      </c>
      <c r="AE5250">
        <v>0</v>
      </c>
      <c r="AF5250">
        <v>0</v>
      </c>
      <c r="AG5250">
        <v>1</v>
      </c>
      <c r="AI5250">
        <v>0</v>
      </c>
      <c r="AJ5250">
        <v>7</v>
      </c>
      <c r="AK5250">
        <v>255</v>
      </c>
      <c r="AL5250">
        <v>255</v>
      </c>
      <c r="AM5250">
        <v>496</v>
      </c>
      <c r="AN5250">
        <v>44</v>
      </c>
      <c r="AP5250">
        <v>1</v>
      </c>
      <c r="AR5250" t="s">
        <v>5354</v>
      </c>
      <c r="AS5250" s="1">
        <v>44354.041666666664</v>
      </c>
      <c r="AT5250" s="1">
        <v>44354.05091435185</v>
      </c>
      <c r="AU5250" s="1">
        <v>44354.051527777781</v>
      </c>
      <c r="AV5250" t="s">
        <v>71</v>
      </c>
      <c r="AW5250" t="s">
        <v>72</v>
      </c>
      <c r="AX5250" t="s">
        <v>73</v>
      </c>
    </row>
    <row r="5251" spans="1:50" x14ac:dyDescent="0.3">
      <c r="A5251" t="str">
        <f>"202269E0200"</f>
        <v>202269E0200</v>
      </c>
      <c r="B5251" t="str">
        <f>"202269E02002"</f>
        <v>202269E02002</v>
      </c>
      <c r="C5251" t="str">
        <f t="shared" si="261"/>
        <v>20</v>
      </c>
      <c r="D5251" t="s">
        <v>67</v>
      </c>
      <c r="E5251" t="str">
        <f t="shared" si="263"/>
        <v>023</v>
      </c>
      <c r="F5251" t="s">
        <v>5157</v>
      </c>
      <c r="G5251" t="str">
        <f>"2269"</f>
        <v>2269</v>
      </c>
      <c r="H5251" t="str">
        <f>"0002"</f>
        <v>0002</v>
      </c>
      <c r="I5251" t="s">
        <v>109</v>
      </c>
      <c r="J5251">
        <v>0</v>
      </c>
      <c r="K5251">
        <v>1</v>
      </c>
      <c r="L5251">
        <v>2</v>
      </c>
      <c r="M5251">
        <v>274</v>
      </c>
      <c r="N5251">
        <v>252</v>
      </c>
      <c r="O5251">
        <v>1</v>
      </c>
      <c r="P5251">
        <v>252</v>
      </c>
      <c r="Q5251">
        <v>1</v>
      </c>
      <c r="R5251">
        <v>108</v>
      </c>
      <c r="S5251">
        <v>5</v>
      </c>
      <c r="T5251">
        <v>6</v>
      </c>
      <c r="U5251">
        <v>3</v>
      </c>
      <c r="V5251">
        <v>0</v>
      </c>
      <c r="W5251">
        <v>1</v>
      </c>
      <c r="X5251">
        <v>90</v>
      </c>
      <c r="Y5251">
        <v>2</v>
      </c>
      <c r="Z5251">
        <v>12</v>
      </c>
      <c r="AA5251">
        <v>12</v>
      </c>
      <c r="AB5251">
        <v>1</v>
      </c>
      <c r="AD5251">
        <v>1</v>
      </c>
      <c r="AE5251">
        <v>1</v>
      </c>
      <c r="AF5251">
        <v>0</v>
      </c>
      <c r="AG5251">
        <v>0</v>
      </c>
      <c r="AI5251">
        <v>8</v>
      </c>
      <c r="AJ5251">
        <v>1</v>
      </c>
      <c r="AK5251">
        <v>252</v>
      </c>
      <c r="AL5251">
        <v>252</v>
      </c>
      <c r="AM5251">
        <v>482</v>
      </c>
      <c r="AN5251">
        <v>44</v>
      </c>
      <c r="AP5251">
        <v>1</v>
      </c>
      <c r="AR5251" t="s">
        <v>5355</v>
      </c>
      <c r="AS5251" s="1">
        <v>44354.043055555558</v>
      </c>
      <c r="AT5251" s="1">
        <v>44354.052129629628</v>
      </c>
      <c r="AU5251" s="1">
        <v>44354.052627314813</v>
      </c>
      <c r="AV5251" t="s">
        <v>71</v>
      </c>
      <c r="AW5251" t="s">
        <v>72</v>
      </c>
      <c r="AX5251" t="s">
        <v>73</v>
      </c>
    </row>
    <row r="5252" spans="1:50" x14ac:dyDescent="0.3">
      <c r="A5252" t="str">
        <f>"202270B0000"</f>
        <v>202270B0000</v>
      </c>
      <c r="B5252" t="str">
        <f>"202270B00002"</f>
        <v>202270B00002</v>
      </c>
      <c r="C5252" t="str">
        <f t="shared" si="261"/>
        <v>20</v>
      </c>
      <c r="D5252" t="s">
        <v>67</v>
      </c>
      <c r="E5252" t="str">
        <f t="shared" si="263"/>
        <v>023</v>
      </c>
      <c r="F5252" t="s">
        <v>5157</v>
      </c>
      <c r="G5252" t="str">
        <f>"2270"</f>
        <v>2270</v>
      </c>
      <c r="H5252" t="str">
        <f>"0000"</f>
        <v>0000</v>
      </c>
      <c r="I5252" t="s">
        <v>69</v>
      </c>
      <c r="J5252">
        <v>0</v>
      </c>
      <c r="K5252">
        <v>1</v>
      </c>
      <c r="L5252">
        <v>2</v>
      </c>
      <c r="M5252">
        <v>256</v>
      </c>
      <c r="N5252">
        <v>366</v>
      </c>
      <c r="O5252">
        <v>2</v>
      </c>
      <c r="P5252">
        <v>366</v>
      </c>
      <c r="Q5252">
        <v>1</v>
      </c>
      <c r="R5252">
        <v>179</v>
      </c>
      <c r="S5252">
        <v>4</v>
      </c>
      <c r="T5252">
        <v>0</v>
      </c>
      <c r="U5252">
        <v>1</v>
      </c>
      <c r="V5252">
        <v>3</v>
      </c>
      <c r="W5252">
        <v>1</v>
      </c>
      <c r="X5252">
        <v>159</v>
      </c>
      <c r="Y5252">
        <v>1</v>
      </c>
      <c r="Z5252">
        <v>4</v>
      </c>
      <c r="AA5252">
        <v>3</v>
      </c>
      <c r="AB5252">
        <v>0</v>
      </c>
      <c r="AD5252">
        <v>1</v>
      </c>
      <c r="AE5252">
        <v>0</v>
      </c>
      <c r="AF5252">
        <v>0</v>
      </c>
      <c r="AG5252">
        <v>0</v>
      </c>
      <c r="AI5252">
        <v>0</v>
      </c>
      <c r="AJ5252">
        <v>9</v>
      </c>
      <c r="AK5252">
        <v>366</v>
      </c>
      <c r="AL5252">
        <v>366</v>
      </c>
      <c r="AM5252">
        <v>578</v>
      </c>
      <c r="AN5252">
        <v>44</v>
      </c>
      <c r="AP5252">
        <v>1</v>
      </c>
      <c r="AR5252" t="s">
        <v>5356</v>
      </c>
      <c r="AS5252" s="1">
        <v>44354.03125</v>
      </c>
      <c r="AT5252" s="1">
        <v>44354.040370370371</v>
      </c>
      <c r="AU5252" s="1">
        <v>44354.04115740741</v>
      </c>
      <c r="AV5252" t="s">
        <v>71</v>
      </c>
      <c r="AW5252" t="s">
        <v>72</v>
      </c>
      <c r="AX5252" t="s">
        <v>73</v>
      </c>
    </row>
    <row r="5253" spans="1:50" x14ac:dyDescent="0.3">
      <c r="A5253" t="str">
        <f>"202270C0100"</f>
        <v>202270C0100</v>
      </c>
      <c r="B5253" t="str">
        <f>"202270C01002"</f>
        <v>202270C01002</v>
      </c>
      <c r="C5253" t="str">
        <f t="shared" si="261"/>
        <v>20</v>
      </c>
      <c r="D5253" t="s">
        <v>67</v>
      </c>
      <c r="E5253" t="str">
        <f t="shared" si="263"/>
        <v>023</v>
      </c>
      <c r="F5253" t="s">
        <v>5157</v>
      </c>
      <c r="G5253" t="str">
        <f>"2270"</f>
        <v>2270</v>
      </c>
      <c r="H5253" t="str">
        <f>"0001"</f>
        <v>0001</v>
      </c>
      <c r="I5253" t="s">
        <v>75</v>
      </c>
      <c r="J5253">
        <v>0</v>
      </c>
      <c r="K5253">
        <v>1</v>
      </c>
      <c r="L5253">
        <v>2</v>
      </c>
      <c r="M5253">
        <v>250</v>
      </c>
      <c r="N5253">
        <v>372</v>
      </c>
      <c r="O5253">
        <v>0</v>
      </c>
      <c r="P5253">
        <v>372</v>
      </c>
      <c r="Q5253">
        <v>2</v>
      </c>
      <c r="R5253">
        <v>185</v>
      </c>
      <c r="S5253">
        <v>3</v>
      </c>
      <c r="T5253">
        <v>4</v>
      </c>
      <c r="U5253">
        <v>3</v>
      </c>
      <c r="V5253">
        <v>1</v>
      </c>
      <c r="W5253">
        <v>2</v>
      </c>
      <c r="X5253">
        <v>152</v>
      </c>
      <c r="Y5253">
        <v>0</v>
      </c>
      <c r="Z5253">
        <v>4</v>
      </c>
      <c r="AA5253">
        <v>4</v>
      </c>
      <c r="AB5253">
        <v>2</v>
      </c>
      <c r="AD5253">
        <v>3</v>
      </c>
      <c r="AE5253">
        <v>0</v>
      </c>
      <c r="AF5253">
        <v>0</v>
      </c>
      <c r="AG5253">
        <v>1</v>
      </c>
      <c r="AI5253">
        <v>0</v>
      </c>
      <c r="AJ5253">
        <v>6</v>
      </c>
      <c r="AK5253">
        <v>372</v>
      </c>
      <c r="AL5253">
        <v>372</v>
      </c>
      <c r="AM5253">
        <v>578</v>
      </c>
      <c r="AN5253">
        <v>44</v>
      </c>
      <c r="AP5253">
        <v>1</v>
      </c>
      <c r="AR5253" t="s">
        <v>5357</v>
      </c>
      <c r="AS5253" s="1">
        <v>44354.03125</v>
      </c>
      <c r="AT5253" s="1">
        <v>44354.041446759256</v>
      </c>
      <c r="AU5253" s="1">
        <v>44354.042199074072</v>
      </c>
      <c r="AV5253" t="s">
        <v>71</v>
      </c>
      <c r="AW5253" t="s">
        <v>72</v>
      </c>
      <c r="AX5253" t="s">
        <v>73</v>
      </c>
    </row>
    <row r="5254" spans="1:50" x14ac:dyDescent="0.3">
      <c r="A5254" t="str">
        <f>"202270E0100"</f>
        <v>202270E0100</v>
      </c>
      <c r="B5254" t="str">
        <f>"202270E01002"</f>
        <v>202270E01002</v>
      </c>
      <c r="C5254" t="str">
        <f t="shared" si="261"/>
        <v>20</v>
      </c>
      <c r="D5254" t="s">
        <v>67</v>
      </c>
      <c r="E5254" t="str">
        <f t="shared" si="263"/>
        <v>023</v>
      </c>
      <c r="F5254" t="s">
        <v>5157</v>
      </c>
      <c r="G5254" t="str">
        <f>"2270"</f>
        <v>2270</v>
      </c>
      <c r="H5254" t="str">
        <f>"0001"</f>
        <v>0001</v>
      </c>
      <c r="I5254" t="s">
        <v>109</v>
      </c>
      <c r="J5254">
        <v>0</v>
      </c>
      <c r="K5254">
        <v>1</v>
      </c>
      <c r="L5254">
        <v>2</v>
      </c>
      <c r="M5254">
        <v>201</v>
      </c>
      <c r="N5254">
        <v>293</v>
      </c>
      <c r="O5254">
        <v>0</v>
      </c>
      <c r="P5254">
        <v>293</v>
      </c>
      <c r="Q5254">
        <v>2</v>
      </c>
      <c r="R5254">
        <v>141</v>
      </c>
      <c r="S5254">
        <v>2</v>
      </c>
      <c r="T5254">
        <v>1</v>
      </c>
      <c r="U5254">
        <v>1</v>
      </c>
      <c r="V5254">
        <v>0</v>
      </c>
      <c r="W5254">
        <v>1</v>
      </c>
      <c r="X5254">
        <v>123</v>
      </c>
      <c r="Y5254">
        <v>1</v>
      </c>
      <c r="Z5254">
        <v>9</v>
      </c>
      <c r="AA5254">
        <v>6</v>
      </c>
      <c r="AB5254">
        <v>1</v>
      </c>
      <c r="AD5254">
        <v>4</v>
      </c>
      <c r="AE5254" t="s">
        <v>77</v>
      </c>
      <c r="AF5254" t="s">
        <v>77</v>
      </c>
      <c r="AG5254" t="s">
        <v>77</v>
      </c>
      <c r="AI5254" t="s">
        <v>77</v>
      </c>
      <c r="AJ5254">
        <v>1</v>
      </c>
      <c r="AK5254">
        <v>293</v>
      </c>
      <c r="AL5254">
        <v>293</v>
      </c>
      <c r="AM5254">
        <v>450</v>
      </c>
      <c r="AN5254">
        <v>44</v>
      </c>
      <c r="AO5254" t="s">
        <v>78</v>
      </c>
      <c r="AP5254">
        <v>1</v>
      </c>
      <c r="AR5254" t="s">
        <v>5358</v>
      </c>
      <c r="AS5254" s="1">
        <v>44354.074305555558</v>
      </c>
      <c r="AT5254" s="1">
        <v>44354.083599537036</v>
      </c>
      <c r="AU5254" s="1">
        <v>44354.084976851853</v>
      </c>
      <c r="AV5254" t="s">
        <v>71</v>
      </c>
      <c r="AW5254" t="s">
        <v>72</v>
      </c>
      <c r="AX5254" t="s">
        <v>73</v>
      </c>
    </row>
    <row r="5255" spans="1:50" x14ac:dyDescent="0.3">
      <c r="A5255" t="str">
        <f>"202271B0000"</f>
        <v>202271B0000</v>
      </c>
      <c r="B5255" t="str">
        <f>"202271B00002"</f>
        <v>202271B00002</v>
      </c>
      <c r="C5255" t="str">
        <f t="shared" ref="C5255:C5318" si="264">"20"</f>
        <v>20</v>
      </c>
      <c r="D5255" t="s">
        <v>67</v>
      </c>
      <c r="E5255" t="str">
        <f t="shared" si="263"/>
        <v>023</v>
      </c>
      <c r="F5255" t="s">
        <v>5157</v>
      </c>
      <c r="G5255" t="str">
        <f>"2271"</f>
        <v>2271</v>
      </c>
      <c r="H5255" t="str">
        <f>"0000"</f>
        <v>0000</v>
      </c>
      <c r="I5255" t="s">
        <v>69</v>
      </c>
      <c r="J5255">
        <v>0</v>
      </c>
      <c r="K5255">
        <v>1</v>
      </c>
      <c r="L5255">
        <v>2</v>
      </c>
      <c r="M5255">
        <v>237</v>
      </c>
      <c r="N5255">
        <v>442</v>
      </c>
      <c r="O5255">
        <v>0</v>
      </c>
      <c r="P5255">
        <v>442</v>
      </c>
      <c r="Q5255">
        <v>2</v>
      </c>
      <c r="R5255">
        <v>209</v>
      </c>
      <c r="S5255">
        <v>2</v>
      </c>
      <c r="T5255">
        <v>1</v>
      </c>
      <c r="U5255">
        <v>4</v>
      </c>
      <c r="V5255">
        <v>5</v>
      </c>
      <c r="W5255">
        <v>2</v>
      </c>
      <c r="X5255">
        <v>190</v>
      </c>
      <c r="Y5255">
        <v>1</v>
      </c>
      <c r="Z5255">
        <v>6</v>
      </c>
      <c r="AA5255">
        <v>9</v>
      </c>
      <c r="AB5255">
        <v>0</v>
      </c>
      <c r="AD5255">
        <v>1</v>
      </c>
      <c r="AE5255">
        <v>0</v>
      </c>
      <c r="AF5255">
        <v>1</v>
      </c>
      <c r="AG5255">
        <v>0</v>
      </c>
      <c r="AI5255">
        <v>0</v>
      </c>
      <c r="AJ5255">
        <v>9</v>
      </c>
      <c r="AK5255">
        <v>442</v>
      </c>
      <c r="AL5255">
        <v>442</v>
      </c>
      <c r="AM5255">
        <v>635</v>
      </c>
      <c r="AN5255">
        <v>44</v>
      </c>
      <c r="AP5255">
        <v>1</v>
      </c>
      <c r="AR5255" t="s">
        <v>5359</v>
      </c>
      <c r="AS5255" s="1">
        <v>44353.997916666667</v>
      </c>
      <c r="AT5255" s="1">
        <v>44354.011550925927</v>
      </c>
      <c r="AU5255" s="1">
        <v>44354.012546296297</v>
      </c>
      <c r="AV5255" t="s">
        <v>71</v>
      </c>
      <c r="AW5255" t="s">
        <v>72</v>
      </c>
      <c r="AX5255" t="s">
        <v>73</v>
      </c>
    </row>
    <row r="5256" spans="1:50" x14ac:dyDescent="0.3">
      <c r="A5256" t="str">
        <f>"202271C0100"</f>
        <v>202271C0100</v>
      </c>
      <c r="B5256" t="str">
        <f>"202271C01002"</f>
        <v>202271C01002</v>
      </c>
      <c r="C5256" t="str">
        <f t="shared" si="264"/>
        <v>20</v>
      </c>
      <c r="D5256" t="s">
        <v>67</v>
      </c>
      <c r="E5256" t="str">
        <f t="shared" si="263"/>
        <v>023</v>
      </c>
      <c r="F5256" t="s">
        <v>5157</v>
      </c>
      <c r="G5256" t="str">
        <f>"2271"</f>
        <v>2271</v>
      </c>
      <c r="H5256" t="str">
        <f>"0001"</f>
        <v>0001</v>
      </c>
      <c r="I5256" t="s">
        <v>75</v>
      </c>
      <c r="J5256">
        <v>0</v>
      </c>
      <c r="K5256">
        <v>1</v>
      </c>
      <c r="L5256">
        <v>2</v>
      </c>
      <c r="M5256">
        <v>224</v>
      </c>
      <c r="N5256">
        <v>678</v>
      </c>
      <c r="O5256">
        <v>0</v>
      </c>
      <c r="P5256">
        <v>454</v>
      </c>
      <c r="Q5256">
        <v>0</v>
      </c>
      <c r="R5256">
        <v>198</v>
      </c>
      <c r="S5256">
        <v>3</v>
      </c>
      <c r="T5256">
        <v>0</v>
      </c>
      <c r="U5256">
        <v>1</v>
      </c>
      <c r="V5256">
        <v>1</v>
      </c>
      <c r="W5256">
        <v>4</v>
      </c>
      <c r="X5256">
        <v>224</v>
      </c>
      <c r="Y5256">
        <v>2</v>
      </c>
      <c r="Z5256">
        <v>4</v>
      </c>
      <c r="AA5256">
        <v>6</v>
      </c>
      <c r="AB5256">
        <v>2</v>
      </c>
      <c r="AD5256">
        <v>1</v>
      </c>
      <c r="AE5256">
        <v>0</v>
      </c>
      <c r="AF5256">
        <v>0</v>
      </c>
      <c r="AG5256">
        <v>0</v>
      </c>
      <c r="AI5256">
        <v>0</v>
      </c>
      <c r="AJ5256">
        <v>8</v>
      </c>
      <c r="AK5256">
        <v>454</v>
      </c>
      <c r="AL5256">
        <v>454</v>
      </c>
      <c r="AM5256">
        <v>634</v>
      </c>
      <c r="AN5256">
        <v>44</v>
      </c>
      <c r="AP5256">
        <v>1</v>
      </c>
      <c r="AR5256" t="s">
        <v>5360</v>
      </c>
      <c r="AS5256" s="1">
        <v>44353.99722222222</v>
      </c>
      <c r="AT5256" s="1">
        <v>44354.71775462963</v>
      </c>
      <c r="AU5256" s="1">
        <v>44354.718587962961</v>
      </c>
      <c r="AV5256" t="s">
        <v>71</v>
      </c>
      <c r="AW5256" t="s">
        <v>72</v>
      </c>
      <c r="AX5256" t="s">
        <v>73</v>
      </c>
    </row>
    <row r="5257" spans="1:50" x14ac:dyDescent="0.3">
      <c r="A5257" t="str">
        <f>"202271C0200"</f>
        <v>202271C0200</v>
      </c>
      <c r="B5257" t="str">
        <f>"202271C02002"</f>
        <v>202271C02002</v>
      </c>
      <c r="C5257" t="str">
        <f t="shared" si="264"/>
        <v>20</v>
      </c>
      <c r="D5257" t="s">
        <v>67</v>
      </c>
      <c r="E5257" t="str">
        <f t="shared" si="263"/>
        <v>023</v>
      </c>
      <c r="F5257" t="s">
        <v>5157</v>
      </c>
      <c r="G5257" t="str">
        <f>"2271"</f>
        <v>2271</v>
      </c>
      <c r="H5257" t="str">
        <f>"0002"</f>
        <v>0002</v>
      </c>
      <c r="I5257" t="s">
        <v>75</v>
      </c>
      <c r="J5257">
        <v>0</v>
      </c>
      <c r="K5257">
        <v>1</v>
      </c>
      <c r="L5257">
        <v>2</v>
      </c>
      <c r="M5257">
        <v>217</v>
      </c>
      <c r="N5257">
        <v>461</v>
      </c>
      <c r="O5257">
        <v>0</v>
      </c>
      <c r="P5257">
        <v>461</v>
      </c>
      <c r="Q5257">
        <v>0</v>
      </c>
      <c r="R5257">
        <v>222</v>
      </c>
      <c r="S5257">
        <v>2</v>
      </c>
      <c r="T5257">
        <v>1</v>
      </c>
      <c r="U5257">
        <v>0</v>
      </c>
      <c r="V5257">
        <v>2</v>
      </c>
      <c r="W5257">
        <v>3</v>
      </c>
      <c r="X5257">
        <v>208</v>
      </c>
      <c r="Y5257">
        <v>1</v>
      </c>
      <c r="Z5257">
        <v>0</v>
      </c>
      <c r="AA5257">
        <v>13</v>
      </c>
      <c r="AB5257">
        <v>0</v>
      </c>
      <c r="AD5257">
        <v>0</v>
      </c>
      <c r="AE5257">
        <v>0</v>
      </c>
      <c r="AF5257">
        <v>0</v>
      </c>
      <c r="AG5257">
        <v>0</v>
      </c>
      <c r="AI5257">
        <v>0</v>
      </c>
      <c r="AJ5257">
        <v>9</v>
      </c>
      <c r="AK5257">
        <v>461</v>
      </c>
      <c r="AL5257">
        <v>461</v>
      </c>
      <c r="AM5257">
        <v>634</v>
      </c>
      <c r="AN5257">
        <v>44</v>
      </c>
      <c r="AP5257">
        <v>1</v>
      </c>
      <c r="AR5257" t="s">
        <v>5361</v>
      </c>
      <c r="AS5257" s="1">
        <v>44353.997916666667</v>
      </c>
      <c r="AT5257" s="1">
        <v>44354.011631944442</v>
      </c>
      <c r="AU5257" s="1">
        <v>44354.012511574074</v>
      </c>
      <c r="AV5257" t="s">
        <v>71</v>
      </c>
      <c r="AW5257" t="s">
        <v>72</v>
      </c>
      <c r="AX5257" t="s">
        <v>73</v>
      </c>
    </row>
    <row r="5258" spans="1:50" x14ac:dyDescent="0.3">
      <c r="A5258" t="str">
        <f>"202318B0000"</f>
        <v>202318B0000</v>
      </c>
      <c r="B5258" t="str">
        <f>"202318B00002"</f>
        <v>202318B00002</v>
      </c>
      <c r="C5258" t="str">
        <f t="shared" si="264"/>
        <v>20</v>
      </c>
      <c r="D5258" t="s">
        <v>67</v>
      </c>
      <c r="E5258" t="str">
        <f t="shared" si="263"/>
        <v>023</v>
      </c>
      <c r="F5258" t="s">
        <v>5157</v>
      </c>
      <c r="G5258" t="str">
        <f>"2318"</f>
        <v>2318</v>
      </c>
      <c r="H5258" t="str">
        <f>"0000"</f>
        <v>0000</v>
      </c>
      <c r="I5258" t="s">
        <v>69</v>
      </c>
      <c r="J5258">
        <v>0</v>
      </c>
      <c r="K5258">
        <v>1</v>
      </c>
      <c r="L5258">
        <v>2</v>
      </c>
      <c r="M5258">
        <v>276</v>
      </c>
      <c r="N5258">
        <v>314</v>
      </c>
      <c r="O5258">
        <v>0</v>
      </c>
      <c r="P5258" t="s">
        <v>80</v>
      </c>
      <c r="Q5258">
        <v>3</v>
      </c>
      <c r="R5258">
        <v>138</v>
      </c>
      <c r="S5258">
        <v>16</v>
      </c>
      <c r="T5258">
        <v>4</v>
      </c>
      <c r="U5258">
        <v>3</v>
      </c>
      <c r="V5258">
        <v>4</v>
      </c>
      <c r="W5258">
        <v>12</v>
      </c>
      <c r="X5258">
        <v>111</v>
      </c>
      <c r="Y5258">
        <v>2</v>
      </c>
      <c r="Z5258">
        <v>2</v>
      </c>
      <c r="AA5258">
        <v>2</v>
      </c>
      <c r="AB5258">
        <v>0</v>
      </c>
      <c r="AD5258">
        <v>1</v>
      </c>
      <c r="AE5258">
        <v>1</v>
      </c>
      <c r="AF5258">
        <v>0</v>
      </c>
      <c r="AG5258">
        <v>0</v>
      </c>
      <c r="AI5258">
        <v>0</v>
      </c>
      <c r="AJ5258">
        <v>15</v>
      </c>
      <c r="AK5258">
        <v>314</v>
      </c>
      <c r="AL5258">
        <v>314</v>
      </c>
      <c r="AM5258">
        <v>546</v>
      </c>
      <c r="AN5258">
        <v>44</v>
      </c>
      <c r="AP5258">
        <v>1</v>
      </c>
      <c r="AR5258" t="s">
        <v>5362</v>
      </c>
      <c r="AS5258" s="1">
        <v>44354.084027777775</v>
      </c>
      <c r="AT5258" s="1">
        <v>44354.094027777777</v>
      </c>
      <c r="AU5258" s="1">
        <v>44354.094456018516</v>
      </c>
      <c r="AV5258" t="s">
        <v>71</v>
      </c>
      <c r="AW5258" t="s">
        <v>72</v>
      </c>
      <c r="AX5258" t="s">
        <v>73</v>
      </c>
    </row>
    <row r="5259" spans="1:50" x14ac:dyDescent="0.3">
      <c r="A5259" t="str">
        <f>"202318C0100"</f>
        <v>202318C0100</v>
      </c>
      <c r="B5259" t="str">
        <f>"202318C01002"</f>
        <v>202318C01002</v>
      </c>
      <c r="C5259" t="str">
        <f t="shared" si="264"/>
        <v>20</v>
      </c>
      <c r="D5259" t="s">
        <v>67</v>
      </c>
      <c r="E5259" t="str">
        <f t="shared" si="263"/>
        <v>023</v>
      </c>
      <c r="F5259" t="s">
        <v>5157</v>
      </c>
      <c r="G5259" t="str">
        <f>"2318"</f>
        <v>2318</v>
      </c>
      <c r="H5259" t="str">
        <f>"0001"</f>
        <v>0001</v>
      </c>
      <c r="I5259" t="s">
        <v>75</v>
      </c>
      <c r="J5259">
        <v>0</v>
      </c>
      <c r="K5259">
        <v>1</v>
      </c>
      <c r="L5259">
        <v>2</v>
      </c>
      <c r="M5259">
        <v>285</v>
      </c>
      <c r="N5259">
        <v>305</v>
      </c>
      <c r="O5259">
        <v>0</v>
      </c>
      <c r="P5259">
        <v>305</v>
      </c>
      <c r="Q5259">
        <v>5</v>
      </c>
      <c r="R5259">
        <v>127</v>
      </c>
      <c r="S5259">
        <v>29</v>
      </c>
      <c r="T5259">
        <v>4</v>
      </c>
      <c r="U5259">
        <v>5</v>
      </c>
      <c r="V5259">
        <v>2</v>
      </c>
      <c r="W5259">
        <v>7</v>
      </c>
      <c r="X5259">
        <v>101</v>
      </c>
      <c r="Y5259">
        <v>3</v>
      </c>
      <c r="Z5259">
        <v>3</v>
      </c>
      <c r="AA5259">
        <v>2</v>
      </c>
      <c r="AB5259">
        <v>0</v>
      </c>
      <c r="AD5259">
        <v>2</v>
      </c>
      <c r="AE5259">
        <v>0</v>
      </c>
      <c r="AF5259">
        <v>0</v>
      </c>
      <c r="AG5259">
        <v>0</v>
      </c>
      <c r="AI5259">
        <v>0</v>
      </c>
      <c r="AJ5259">
        <v>15</v>
      </c>
      <c r="AK5259">
        <v>305</v>
      </c>
      <c r="AL5259">
        <v>305</v>
      </c>
      <c r="AM5259">
        <v>546</v>
      </c>
      <c r="AN5259">
        <v>44</v>
      </c>
      <c r="AP5259">
        <v>1</v>
      </c>
      <c r="AR5259" t="s">
        <v>5363</v>
      </c>
      <c r="AS5259" s="1">
        <v>44354.086805555555</v>
      </c>
      <c r="AT5259" s="1">
        <v>44354.096180555556</v>
      </c>
      <c r="AU5259" s="1">
        <v>44354.096898148149</v>
      </c>
      <c r="AV5259" t="s">
        <v>71</v>
      </c>
      <c r="AW5259" t="s">
        <v>72</v>
      </c>
      <c r="AX5259" t="s">
        <v>73</v>
      </c>
    </row>
    <row r="5260" spans="1:50" x14ac:dyDescent="0.3">
      <c r="A5260" t="str">
        <f>"202318E0100"</f>
        <v>202318E0100</v>
      </c>
      <c r="B5260" t="str">
        <f>"202318E01002"</f>
        <v>202318E01002</v>
      </c>
      <c r="C5260" t="str">
        <f t="shared" si="264"/>
        <v>20</v>
      </c>
      <c r="D5260" t="s">
        <v>67</v>
      </c>
      <c r="E5260" t="str">
        <f t="shared" si="263"/>
        <v>023</v>
      </c>
      <c r="F5260" t="s">
        <v>5157</v>
      </c>
      <c r="G5260" t="str">
        <f>"2318"</f>
        <v>2318</v>
      </c>
      <c r="H5260" t="str">
        <f>"0001"</f>
        <v>0001</v>
      </c>
      <c r="I5260" t="s">
        <v>109</v>
      </c>
      <c r="J5260">
        <v>0</v>
      </c>
      <c r="K5260">
        <v>1</v>
      </c>
      <c r="L5260">
        <v>2</v>
      </c>
      <c r="M5260">
        <v>246</v>
      </c>
      <c r="N5260">
        <v>182</v>
      </c>
      <c r="O5260">
        <v>7</v>
      </c>
      <c r="P5260">
        <v>182</v>
      </c>
      <c r="Q5260">
        <v>1</v>
      </c>
      <c r="R5260">
        <v>53</v>
      </c>
      <c r="S5260">
        <v>4</v>
      </c>
      <c r="T5260">
        <v>4</v>
      </c>
      <c r="U5260">
        <v>10</v>
      </c>
      <c r="V5260">
        <v>4</v>
      </c>
      <c r="W5260">
        <v>22</v>
      </c>
      <c r="X5260">
        <v>43</v>
      </c>
      <c r="Y5260">
        <v>25</v>
      </c>
      <c r="Z5260">
        <v>2</v>
      </c>
      <c r="AA5260">
        <v>1</v>
      </c>
      <c r="AB5260">
        <v>2</v>
      </c>
      <c r="AD5260">
        <v>0</v>
      </c>
      <c r="AE5260">
        <v>2</v>
      </c>
      <c r="AF5260">
        <v>0</v>
      </c>
      <c r="AG5260">
        <v>0</v>
      </c>
      <c r="AI5260">
        <v>0</v>
      </c>
      <c r="AJ5260">
        <v>9</v>
      </c>
      <c r="AK5260">
        <v>182</v>
      </c>
      <c r="AL5260">
        <v>182</v>
      </c>
      <c r="AM5260">
        <v>384</v>
      </c>
      <c r="AN5260">
        <v>44</v>
      </c>
      <c r="AP5260">
        <v>1</v>
      </c>
      <c r="AR5260" t="s">
        <v>5364</v>
      </c>
      <c r="AS5260" s="1">
        <v>44354.404166666667</v>
      </c>
      <c r="AT5260" s="1">
        <v>44354.407280092593</v>
      </c>
      <c r="AU5260" s="1">
        <v>44354.408229166664</v>
      </c>
      <c r="AV5260" t="s">
        <v>71</v>
      </c>
      <c r="AW5260" t="s">
        <v>72</v>
      </c>
      <c r="AX5260" t="s">
        <v>73</v>
      </c>
    </row>
    <row r="5261" spans="1:50" x14ac:dyDescent="0.3">
      <c r="A5261" t="str">
        <f>"202319B0000"</f>
        <v>202319B0000</v>
      </c>
      <c r="B5261" t="str">
        <f>"202319B00002"</f>
        <v>202319B00002</v>
      </c>
      <c r="C5261" t="str">
        <f t="shared" si="264"/>
        <v>20</v>
      </c>
      <c r="D5261" t="s">
        <v>67</v>
      </c>
      <c r="E5261" t="str">
        <f t="shared" si="263"/>
        <v>023</v>
      </c>
      <c r="F5261" t="s">
        <v>5157</v>
      </c>
      <c r="G5261" t="str">
        <f>"2319"</f>
        <v>2319</v>
      </c>
      <c r="H5261" t="str">
        <f>"0000"</f>
        <v>0000</v>
      </c>
      <c r="I5261" t="s">
        <v>69</v>
      </c>
      <c r="J5261">
        <v>0</v>
      </c>
      <c r="K5261">
        <v>1</v>
      </c>
      <c r="L5261">
        <v>2</v>
      </c>
      <c r="M5261">
        <v>226</v>
      </c>
      <c r="N5261">
        <v>0</v>
      </c>
      <c r="O5261">
        <v>0</v>
      </c>
      <c r="P5261">
        <v>227</v>
      </c>
      <c r="Q5261">
        <v>4</v>
      </c>
      <c r="R5261">
        <v>56</v>
      </c>
      <c r="S5261">
        <v>31</v>
      </c>
      <c r="T5261">
        <v>1</v>
      </c>
      <c r="U5261">
        <v>2</v>
      </c>
      <c r="V5261">
        <v>3</v>
      </c>
      <c r="W5261">
        <v>7</v>
      </c>
      <c r="X5261">
        <v>95</v>
      </c>
      <c r="Y5261">
        <v>2</v>
      </c>
      <c r="Z5261">
        <v>5</v>
      </c>
      <c r="AA5261">
        <v>2</v>
      </c>
      <c r="AB5261">
        <v>3</v>
      </c>
      <c r="AD5261">
        <v>0</v>
      </c>
      <c r="AE5261">
        <v>0</v>
      </c>
      <c r="AF5261">
        <v>0</v>
      </c>
      <c r="AG5261">
        <v>1</v>
      </c>
      <c r="AI5261">
        <v>0</v>
      </c>
      <c r="AJ5261">
        <v>15</v>
      </c>
      <c r="AK5261">
        <v>227</v>
      </c>
      <c r="AL5261">
        <v>227</v>
      </c>
      <c r="AM5261">
        <v>409</v>
      </c>
      <c r="AN5261">
        <v>44</v>
      </c>
      <c r="AP5261">
        <v>1</v>
      </c>
      <c r="AR5261" t="s">
        <v>5365</v>
      </c>
      <c r="AS5261" s="1">
        <v>44354.087500000001</v>
      </c>
      <c r="AT5261" s="1">
        <v>44354.09679398148</v>
      </c>
      <c r="AU5261" s="1">
        <v>44354.097511574073</v>
      </c>
      <c r="AV5261" t="s">
        <v>71</v>
      </c>
      <c r="AW5261" t="s">
        <v>72</v>
      </c>
      <c r="AX5261" t="s">
        <v>73</v>
      </c>
    </row>
    <row r="5262" spans="1:50" x14ac:dyDescent="0.3">
      <c r="A5262" t="str">
        <f>"202319C0100"</f>
        <v>202319C0100</v>
      </c>
      <c r="B5262" t="str">
        <f>"202319C01002"</f>
        <v>202319C01002</v>
      </c>
      <c r="C5262" t="str">
        <f t="shared" si="264"/>
        <v>20</v>
      </c>
      <c r="D5262" t="s">
        <v>67</v>
      </c>
      <c r="E5262" t="str">
        <f t="shared" si="263"/>
        <v>023</v>
      </c>
      <c r="F5262" t="s">
        <v>5157</v>
      </c>
      <c r="G5262" t="str">
        <f>"2319"</f>
        <v>2319</v>
      </c>
      <c r="H5262" t="str">
        <f>"0001"</f>
        <v>0001</v>
      </c>
      <c r="I5262" t="s">
        <v>75</v>
      </c>
      <c r="J5262">
        <v>0</v>
      </c>
      <c r="K5262">
        <v>1</v>
      </c>
      <c r="L5262">
        <v>2</v>
      </c>
      <c r="M5262">
        <v>218</v>
      </c>
      <c r="N5262">
        <v>235</v>
      </c>
      <c r="O5262">
        <v>0</v>
      </c>
      <c r="P5262">
        <v>235</v>
      </c>
      <c r="Q5262">
        <v>8</v>
      </c>
      <c r="R5262">
        <v>92</v>
      </c>
      <c r="S5262">
        <v>20</v>
      </c>
      <c r="T5262">
        <v>1</v>
      </c>
      <c r="U5262">
        <v>0</v>
      </c>
      <c r="V5262">
        <v>3</v>
      </c>
      <c r="W5262">
        <v>15</v>
      </c>
      <c r="X5262">
        <v>76</v>
      </c>
      <c r="Y5262">
        <v>4</v>
      </c>
      <c r="Z5262">
        <v>0</v>
      </c>
      <c r="AA5262">
        <v>3</v>
      </c>
      <c r="AB5262">
        <v>3</v>
      </c>
      <c r="AD5262">
        <v>0</v>
      </c>
      <c r="AE5262">
        <v>0</v>
      </c>
      <c r="AF5262">
        <v>0</v>
      </c>
      <c r="AG5262">
        <v>0</v>
      </c>
      <c r="AI5262">
        <v>0</v>
      </c>
      <c r="AJ5262">
        <v>10</v>
      </c>
      <c r="AK5262">
        <v>235</v>
      </c>
      <c r="AL5262">
        <v>235</v>
      </c>
      <c r="AM5262">
        <v>409</v>
      </c>
      <c r="AN5262">
        <v>44</v>
      </c>
      <c r="AP5262">
        <v>1</v>
      </c>
      <c r="AR5262" t="s">
        <v>5366</v>
      </c>
      <c r="AS5262" s="1">
        <v>44354.088194444441</v>
      </c>
      <c r="AT5262" s="1">
        <v>44354.097314814811</v>
      </c>
      <c r="AU5262" s="1">
        <v>44354.097997685189</v>
      </c>
      <c r="AV5262" t="s">
        <v>71</v>
      </c>
      <c r="AW5262" t="s">
        <v>72</v>
      </c>
      <c r="AX5262" t="s">
        <v>73</v>
      </c>
    </row>
    <row r="5263" spans="1:50" x14ac:dyDescent="0.3">
      <c r="A5263" t="str">
        <f>"202320B0000"</f>
        <v>202320B0000</v>
      </c>
      <c r="B5263" t="str">
        <f>"202320B00002"</f>
        <v>202320B00002</v>
      </c>
      <c r="C5263" t="str">
        <f t="shared" si="264"/>
        <v>20</v>
      </c>
      <c r="D5263" t="s">
        <v>67</v>
      </c>
      <c r="E5263" t="str">
        <f t="shared" si="263"/>
        <v>023</v>
      </c>
      <c r="F5263" t="s">
        <v>5157</v>
      </c>
      <c r="G5263" t="str">
        <f>"2320"</f>
        <v>2320</v>
      </c>
      <c r="H5263" t="str">
        <f>"0000"</f>
        <v>0000</v>
      </c>
      <c r="I5263" t="s">
        <v>69</v>
      </c>
      <c r="J5263">
        <v>0</v>
      </c>
      <c r="K5263">
        <v>1</v>
      </c>
      <c r="L5263">
        <v>2</v>
      </c>
      <c r="M5263">
        <v>415</v>
      </c>
      <c r="N5263">
        <v>222</v>
      </c>
      <c r="O5263" t="s">
        <v>80</v>
      </c>
      <c r="P5263">
        <v>222</v>
      </c>
      <c r="Q5263">
        <v>1</v>
      </c>
      <c r="R5263">
        <v>80</v>
      </c>
      <c r="S5263">
        <v>3</v>
      </c>
      <c r="T5263">
        <v>0</v>
      </c>
      <c r="U5263">
        <v>3</v>
      </c>
      <c r="V5263">
        <v>1</v>
      </c>
      <c r="W5263">
        <v>12</v>
      </c>
      <c r="X5263">
        <v>81</v>
      </c>
      <c r="Y5263">
        <v>0</v>
      </c>
      <c r="Z5263">
        <v>5</v>
      </c>
      <c r="AA5263">
        <v>1</v>
      </c>
      <c r="AB5263">
        <v>0</v>
      </c>
      <c r="AD5263">
        <v>0</v>
      </c>
      <c r="AE5263">
        <v>0</v>
      </c>
      <c r="AF5263">
        <v>0</v>
      </c>
      <c r="AG5263">
        <v>0</v>
      </c>
      <c r="AI5263">
        <v>0</v>
      </c>
      <c r="AJ5263">
        <v>35</v>
      </c>
      <c r="AK5263">
        <v>222</v>
      </c>
      <c r="AL5263">
        <v>222</v>
      </c>
      <c r="AM5263">
        <v>593</v>
      </c>
      <c r="AN5263">
        <v>44</v>
      </c>
      <c r="AP5263">
        <v>1</v>
      </c>
      <c r="AR5263" t="s">
        <v>5367</v>
      </c>
      <c r="AS5263" s="1">
        <v>44354.101388888892</v>
      </c>
      <c r="AT5263" s="1">
        <v>44354.105555555558</v>
      </c>
      <c r="AU5263" s="1">
        <v>44354.106215277781</v>
      </c>
      <c r="AV5263" t="s">
        <v>71</v>
      </c>
      <c r="AW5263" t="s">
        <v>72</v>
      </c>
      <c r="AX5263" t="s">
        <v>73</v>
      </c>
    </row>
    <row r="5264" spans="1:50" x14ac:dyDescent="0.3">
      <c r="A5264" t="str">
        <f>"202320C0100"</f>
        <v>202320C0100</v>
      </c>
      <c r="B5264" t="str">
        <f>"202320C01002"</f>
        <v>202320C01002</v>
      </c>
      <c r="C5264" t="str">
        <f t="shared" si="264"/>
        <v>20</v>
      </c>
      <c r="D5264" t="s">
        <v>67</v>
      </c>
      <c r="E5264" t="str">
        <f t="shared" si="263"/>
        <v>023</v>
      </c>
      <c r="F5264" t="s">
        <v>5157</v>
      </c>
      <c r="G5264" t="str">
        <f>"2320"</f>
        <v>2320</v>
      </c>
      <c r="H5264" t="str">
        <f>"0001"</f>
        <v>0001</v>
      </c>
      <c r="I5264" t="s">
        <v>75</v>
      </c>
      <c r="J5264">
        <v>0</v>
      </c>
      <c r="K5264">
        <v>1</v>
      </c>
      <c r="L5264">
        <v>2</v>
      </c>
      <c r="M5264">
        <v>426</v>
      </c>
      <c r="N5264">
        <v>211</v>
      </c>
      <c r="O5264">
        <v>0</v>
      </c>
      <c r="P5264">
        <v>211</v>
      </c>
      <c r="Q5264">
        <v>1</v>
      </c>
      <c r="R5264">
        <v>89</v>
      </c>
      <c r="S5264">
        <v>6</v>
      </c>
      <c r="T5264">
        <v>2</v>
      </c>
      <c r="U5264">
        <v>5</v>
      </c>
      <c r="V5264">
        <v>1</v>
      </c>
      <c r="W5264">
        <v>11</v>
      </c>
      <c r="X5264">
        <v>65</v>
      </c>
      <c r="Y5264">
        <v>1</v>
      </c>
      <c r="Z5264">
        <v>4</v>
      </c>
      <c r="AA5264">
        <v>2</v>
      </c>
      <c r="AB5264">
        <v>0</v>
      </c>
      <c r="AD5264">
        <v>0</v>
      </c>
      <c r="AE5264">
        <v>0</v>
      </c>
      <c r="AF5264">
        <v>0</v>
      </c>
      <c r="AG5264">
        <v>0</v>
      </c>
      <c r="AI5264">
        <v>0</v>
      </c>
      <c r="AJ5264">
        <v>24</v>
      </c>
      <c r="AK5264">
        <v>211</v>
      </c>
      <c r="AL5264">
        <v>211</v>
      </c>
      <c r="AM5264">
        <v>593</v>
      </c>
      <c r="AN5264">
        <v>44</v>
      </c>
      <c r="AP5264">
        <v>1</v>
      </c>
      <c r="AR5264" t="s">
        <v>5368</v>
      </c>
      <c r="AS5264" s="1">
        <v>44354.100694444445</v>
      </c>
      <c r="AT5264" s="1">
        <v>44354.103472222225</v>
      </c>
      <c r="AU5264" s="1">
        <v>44354.103900462964</v>
      </c>
      <c r="AV5264" t="s">
        <v>71</v>
      </c>
      <c r="AW5264" t="s">
        <v>72</v>
      </c>
      <c r="AX5264" t="s">
        <v>73</v>
      </c>
    </row>
    <row r="5265" spans="1:50" x14ac:dyDescent="0.3">
      <c r="A5265" t="str">
        <f>"202320C0200"</f>
        <v>202320C0200</v>
      </c>
      <c r="B5265" t="str">
        <f>"202320C02002"</f>
        <v>202320C02002</v>
      </c>
      <c r="C5265" t="str">
        <f t="shared" si="264"/>
        <v>20</v>
      </c>
      <c r="D5265" t="s">
        <v>67</v>
      </c>
      <c r="E5265" t="str">
        <f t="shared" si="263"/>
        <v>023</v>
      </c>
      <c r="F5265" t="s">
        <v>5157</v>
      </c>
      <c r="G5265" t="str">
        <f>"2320"</f>
        <v>2320</v>
      </c>
      <c r="H5265" t="str">
        <f>"0002"</f>
        <v>0002</v>
      </c>
      <c r="I5265" t="s">
        <v>75</v>
      </c>
      <c r="J5265">
        <v>0</v>
      </c>
      <c r="K5265">
        <v>1</v>
      </c>
      <c r="L5265">
        <v>2</v>
      </c>
      <c r="M5265">
        <v>411</v>
      </c>
      <c r="N5265">
        <v>225</v>
      </c>
      <c r="O5265">
        <v>2</v>
      </c>
      <c r="P5265" t="s">
        <v>80</v>
      </c>
      <c r="Q5265">
        <v>1</v>
      </c>
      <c r="R5265">
        <v>74</v>
      </c>
      <c r="S5265">
        <v>4</v>
      </c>
      <c r="T5265">
        <v>8</v>
      </c>
      <c r="U5265">
        <v>7</v>
      </c>
      <c r="V5265">
        <v>5</v>
      </c>
      <c r="W5265">
        <v>8</v>
      </c>
      <c r="X5265">
        <v>92</v>
      </c>
      <c r="Y5265">
        <v>0</v>
      </c>
      <c r="Z5265">
        <v>3</v>
      </c>
      <c r="AA5265">
        <v>3</v>
      </c>
      <c r="AB5265">
        <v>2</v>
      </c>
      <c r="AD5265">
        <v>1</v>
      </c>
      <c r="AE5265">
        <v>1</v>
      </c>
      <c r="AF5265">
        <v>0</v>
      </c>
      <c r="AG5265">
        <v>0</v>
      </c>
      <c r="AI5265">
        <v>0</v>
      </c>
      <c r="AJ5265">
        <v>16</v>
      </c>
      <c r="AK5265">
        <v>225</v>
      </c>
      <c r="AL5265">
        <v>225</v>
      </c>
      <c r="AM5265">
        <v>592</v>
      </c>
      <c r="AN5265">
        <v>44</v>
      </c>
      <c r="AP5265">
        <v>1</v>
      </c>
      <c r="AR5265" t="s">
        <v>5369</v>
      </c>
      <c r="AS5265" s="1">
        <v>44354.102083333331</v>
      </c>
      <c r="AT5265" s="1">
        <v>44354.107499999998</v>
      </c>
      <c r="AU5265" s="1">
        <v>44354.108067129629</v>
      </c>
      <c r="AV5265" t="s">
        <v>71</v>
      </c>
      <c r="AW5265" t="s">
        <v>72</v>
      </c>
      <c r="AX5265" t="s">
        <v>73</v>
      </c>
    </row>
    <row r="5266" spans="1:50" x14ac:dyDescent="0.3">
      <c r="A5266" t="str">
        <f>"200090B0000"</f>
        <v>200090B0000</v>
      </c>
      <c r="B5266" t="str">
        <f>"200090B00002"</f>
        <v>200090B00002</v>
      </c>
      <c r="C5266" t="str">
        <f t="shared" si="264"/>
        <v>20</v>
      </c>
      <c r="D5266" t="s">
        <v>67</v>
      </c>
      <c r="E5266" t="str">
        <f t="shared" ref="E5266:E5329" si="265">"024"</f>
        <v>024</v>
      </c>
      <c r="F5266" t="s">
        <v>5370</v>
      </c>
      <c r="G5266" t="str">
        <f>"0090"</f>
        <v>0090</v>
      </c>
      <c r="H5266" t="str">
        <f>"0000"</f>
        <v>0000</v>
      </c>
      <c r="I5266" t="s">
        <v>69</v>
      </c>
      <c r="J5266">
        <v>0</v>
      </c>
      <c r="K5266">
        <v>1</v>
      </c>
      <c r="L5266">
        <v>2</v>
      </c>
      <c r="M5266">
        <v>473</v>
      </c>
      <c r="N5266">
        <v>222</v>
      </c>
      <c r="O5266">
        <v>1</v>
      </c>
      <c r="P5266">
        <v>222</v>
      </c>
      <c r="Q5266">
        <v>7</v>
      </c>
      <c r="R5266">
        <v>55</v>
      </c>
      <c r="S5266">
        <v>1</v>
      </c>
      <c r="T5266">
        <v>3</v>
      </c>
      <c r="U5266">
        <v>11</v>
      </c>
      <c r="V5266">
        <v>3</v>
      </c>
      <c r="W5266">
        <v>2</v>
      </c>
      <c r="X5266">
        <v>115</v>
      </c>
      <c r="Y5266">
        <v>1</v>
      </c>
      <c r="Z5266">
        <v>4</v>
      </c>
      <c r="AA5266">
        <v>10</v>
      </c>
      <c r="AB5266">
        <v>0</v>
      </c>
      <c r="AD5266">
        <v>1</v>
      </c>
      <c r="AE5266">
        <v>1</v>
      </c>
      <c r="AF5266">
        <v>0</v>
      </c>
      <c r="AG5266">
        <v>0</v>
      </c>
      <c r="AI5266">
        <v>0</v>
      </c>
      <c r="AJ5266">
        <v>8</v>
      </c>
      <c r="AK5266">
        <v>222</v>
      </c>
      <c r="AL5266">
        <v>222</v>
      </c>
      <c r="AM5266">
        <v>651</v>
      </c>
      <c r="AN5266">
        <v>44</v>
      </c>
      <c r="AP5266">
        <v>1</v>
      </c>
      <c r="AR5266" t="s">
        <v>5371</v>
      </c>
      <c r="AS5266" s="1">
        <v>44354.36041666667</v>
      </c>
      <c r="AT5266" s="1">
        <v>44354.36204861111</v>
      </c>
      <c r="AU5266" s="1">
        <v>44354.363379629627</v>
      </c>
      <c r="AV5266" t="s">
        <v>71</v>
      </c>
      <c r="AW5266" t="s">
        <v>72</v>
      </c>
      <c r="AX5266" t="s">
        <v>73</v>
      </c>
    </row>
    <row r="5267" spans="1:50" x14ac:dyDescent="0.3">
      <c r="A5267" t="str">
        <f>"200090C0100"</f>
        <v>200090C0100</v>
      </c>
      <c r="B5267" t="str">
        <f>"200090C01002"</f>
        <v>200090C01002</v>
      </c>
      <c r="C5267" t="str">
        <f t="shared" si="264"/>
        <v>20</v>
      </c>
      <c r="D5267" t="s">
        <v>67</v>
      </c>
      <c r="E5267" t="str">
        <f t="shared" si="265"/>
        <v>024</v>
      </c>
      <c r="F5267" t="s">
        <v>5370</v>
      </c>
      <c r="G5267" t="str">
        <f>"0090"</f>
        <v>0090</v>
      </c>
      <c r="H5267" t="str">
        <f>"0001"</f>
        <v>0001</v>
      </c>
      <c r="I5267" t="s">
        <v>75</v>
      </c>
      <c r="J5267">
        <v>0</v>
      </c>
      <c r="K5267">
        <v>1</v>
      </c>
      <c r="L5267">
        <v>2</v>
      </c>
      <c r="M5267">
        <v>428</v>
      </c>
      <c r="N5267">
        <v>267</v>
      </c>
      <c r="O5267">
        <v>3</v>
      </c>
      <c r="P5267">
        <v>267</v>
      </c>
      <c r="Q5267">
        <v>2</v>
      </c>
      <c r="R5267">
        <v>51</v>
      </c>
      <c r="S5267">
        <v>4</v>
      </c>
      <c r="T5267">
        <v>2</v>
      </c>
      <c r="U5267">
        <v>13</v>
      </c>
      <c r="V5267">
        <v>1</v>
      </c>
      <c r="W5267">
        <v>5</v>
      </c>
      <c r="X5267">
        <v>153</v>
      </c>
      <c r="Y5267">
        <v>13</v>
      </c>
      <c r="Z5267">
        <v>4</v>
      </c>
      <c r="AA5267">
        <v>6</v>
      </c>
      <c r="AB5267">
        <v>4</v>
      </c>
      <c r="AD5267">
        <v>0</v>
      </c>
      <c r="AE5267">
        <v>0</v>
      </c>
      <c r="AF5267">
        <v>0</v>
      </c>
      <c r="AG5267">
        <v>1</v>
      </c>
      <c r="AI5267">
        <v>0</v>
      </c>
      <c r="AJ5267">
        <v>8</v>
      </c>
      <c r="AK5267">
        <v>267</v>
      </c>
      <c r="AL5267">
        <v>267</v>
      </c>
      <c r="AM5267">
        <v>651</v>
      </c>
      <c r="AN5267">
        <v>44</v>
      </c>
      <c r="AP5267">
        <v>1</v>
      </c>
      <c r="AR5267" t="s">
        <v>5372</v>
      </c>
      <c r="AS5267" s="1">
        <v>44354.353472222225</v>
      </c>
      <c r="AT5267" s="1">
        <v>44354.355173611111</v>
      </c>
      <c r="AU5267" s="1">
        <v>44354.355763888889</v>
      </c>
      <c r="AV5267" t="s">
        <v>71</v>
      </c>
      <c r="AW5267" t="s">
        <v>72</v>
      </c>
      <c r="AX5267" t="s">
        <v>73</v>
      </c>
    </row>
    <row r="5268" spans="1:50" x14ac:dyDescent="0.3">
      <c r="A5268" t="str">
        <f>"200090C0200"</f>
        <v>200090C0200</v>
      </c>
      <c r="B5268" t="str">
        <f>"200090C02002"</f>
        <v>200090C02002</v>
      </c>
      <c r="C5268" t="str">
        <f t="shared" si="264"/>
        <v>20</v>
      </c>
      <c r="D5268" t="s">
        <v>67</v>
      </c>
      <c r="E5268" t="str">
        <f t="shared" si="265"/>
        <v>024</v>
      </c>
      <c r="F5268" t="s">
        <v>5370</v>
      </c>
      <c r="G5268" t="str">
        <f>"0090"</f>
        <v>0090</v>
      </c>
      <c r="H5268" t="str">
        <f>"0002"</f>
        <v>0002</v>
      </c>
      <c r="I5268" t="s">
        <v>75</v>
      </c>
      <c r="J5268">
        <v>0</v>
      </c>
      <c r="K5268">
        <v>1</v>
      </c>
      <c r="L5268">
        <v>2</v>
      </c>
      <c r="M5268">
        <v>454</v>
      </c>
      <c r="N5268">
        <v>240</v>
      </c>
      <c r="O5268">
        <v>1</v>
      </c>
      <c r="P5268">
        <v>239</v>
      </c>
      <c r="Q5268">
        <v>7</v>
      </c>
      <c r="R5268">
        <v>49</v>
      </c>
      <c r="S5268">
        <v>6</v>
      </c>
      <c r="T5268">
        <v>2</v>
      </c>
      <c r="U5268">
        <v>6</v>
      </c>
      <c r="V5268">
        <v>0</v>
      </c>
      <c r="W5268">
        <v>1</v>
      </c>
      <c r="X5268">
        <v>137</v>
      </c>
      <c r="Y5268">
        <v>4</v>
      </c>
      <c r="Z5268">
        <v>8</v>
      </c>
      <c r="AA5268">
        <v>7</v>
      </c>
      <c r="AB5268">
        <v>4</v>
      </c>
      <c r="AD5268">
        <v>0</v>
      </c>
      <c r="AE5268">
        <v>0</v>
      </c>
      <c r="AF5268">
        <v>0</v>
      </c>
      <c r="AG5268">
        <v>0</v>
      </c>
      <c r="AI5268">
        <v>0</v>
      </c>
      <c r="AJ5268">
        <v>8</v>
      </c>
      <c r="AK5268">
        <v>239</v>
      </c>
      <c r="AL5268">
        <v>239</v>
      </c>
      <c r="AM5268">
        <v>650</v>
      </c>
      <c r="AN5268">
        <v>44</v>
      </c>
      <c r="AP5268">
        <v>1</v>
      </c>
      <c r="AR5268" t="s">
        <v>5373</v>
      </c>
      <c r="AS5268" s="1">
        <v>44354.361805555556</v>
      </c>
      <c r="AT5268" s="1">
        <v>44354.364930555559</v>
      </c>
      <c r="AU5268" s="1">
        <v>44354.366087962961</v>
      </c>
      <c r="AV5268" t="s">
        <v>71</v>
      </c>
      <c r="AW5268" t="s">
        <v>72</v>
      </c>
      <c r="AX5268" t="s">
        <v>73</v>
      </c>
    </row>
    <row r="5269" spans="1:50" x14ac:dyDescent="0.3">
      <c r="A5269" t="str">
        <f>"200091B0000"</f>
        <v>200091B0000</v>
      </c>
      <c r="B5269" t="str">
        <f>"200091B00002"</f>
        <v>200091B00002</v>
      </c>
      <c r="C5269" t="str">
        <f t="shared" si="264"/>
        <v>20</v>
      </c>
      <c r="D5269" t="s">
        <v>67</v>
      </c>
      <c r="E5269" t="str">
        <f t="shared" si="265"/>
        <v>024</v>
      </c>
      <c r="F5269" t="s">
        <v>5370</v>
      </c>
      <c r="G5269" t="str">
        <f>"0091"</f>
        <v>0091</v>
      </c>
      <c r="H5269" t="str">
        <f>"0000"</f>
        <v>0000</v>
      </c>
      <c r="I5269" t="s">
        <v>69</v>
      </c>
      <c r="J5269">
        <v>0</v>
      </c>
      <c r="K5269">
        <v>1</v>
      </c>
      <c r="L5269">
        <v>2</v>
      </c>
      <c r="M5269">
        <v>376</v>
      </c>
      <c r="N5269">
        <v>281</v>
      </c>
      <c r="O5269">
        <v>4</v>
      </c>
      <c r="P5269">
        <v>281</v>
      </c>
      <c r="Q5269">
        <v>10</v>
      </c>
      <c r="R5269">
        <v>69</v>
      </c>
      <c r="S5269">
        <v>4</v>
      </c>
      <c r="T5269">
        <v>3</v>
      </c>
      <c r="U5269">
        <v>7</v>
      </c>
      <c r="V5269">
        <v>1</v>
      </c>
      <c r="W5269">
        <v>3</v>
      </c>
      <c r="X5269">
        <v>141</v>
      </c>
      <c r="Y5269">
        <v>11</v>
      </c>
      <c r="Z5269">
        <v>5</v>
      </c>
      <c r="AA5269">
        <v>12</v>
      </c>
      <c r="AB5269">
        <v>3</v>
      </c>
      <c r="AD5269">
        <v>1</v>
      </c>
      <c r="AE5269">
        <v>0</v>
      </c>
      <c r="AF5269">
        <v>0</v>
      </c>
      <c r="AG5269">
        <v>0</v>
      </c>
      <c r="AI5269">
        <v>0</v>
      </c>
      <c r="AJ5269">
        <v>11</v>
      </c>
      <c r="AK5269">
        <v>281</v>
      </c>
      <c r="AL5269">
        <v>281</v>
      </c>
      <c r="AM5269">
        <v>613</v>
      </c>
      <c r="AN5269">
        <v>44</v>
      </c>
      <c r="AP5269">
        <v>1</v>
      </c>
      <c r="AR5269" t="s">
        <v>5374</v>
      </c>
      <c r="AS5269" s="1">
        <v>44354.352777777778</v>
      </c>
      <c r="AT5269" s="1">
        <v>44354.353981481479</v>
      </c>
      <c r="AU5269" s="1">
        <v>44354.354629629626</v>
      </c>
      <c r="AV5269" t="s">
        <v>71</v>
      </c>
      <c r="AW5269" t="s">
        <v>72</v>
      </c>
      <c r="AX5269" t="s">
        <v>73</v>
      </c>
    </row>
    <row r="5270" spans="1:50" x14ac:dyDescent="0.3">
      <c r="A5270" t="str">
        <f>"200091C0100"</f>
        <v>200091C0100</v>
      </c>
      <c r="B5270" t="str">
        <f>"200091C01002"</f>
        <v>200091C01002</v>
      </c>
      <c r="C5270" t="str">
        <f t="shared" si="264"/>
        <v>20</v>
      </c>
      <c r="D5270" t="s">
        <v>67</v>
      </c>
      <c r="E5270" t="str">
        <f t="shared" si="265"/>
        <v>024</v>
      </c>
      <c r="F5270" t="s">
        <v>5370</v>
      </c>
      <c r="G5270" t="str">
        <f>"0091"</f>
        <v>0091</v>
      </c>
      <c r="H5270" t="str">
        <f>"0001"</f>
        <v>0001</v>
      </c>
      <c r="I5270" t="s">
        <v>75</v>
      </c>
      <c r="J5270">
        <v>0</v>
      </c>
      <c r="K5270">
        <v>1</v>
      </c>
      <c r="L5270">
        <v>2</v>
      </c>
      <c r="M5270">
        <v>415</v>
      </c>
      <c r="N5270">
        <v>242</v>
      </c>
      <c r="O5270">
        <v>4</v>
      </c>
      <c r="P5270">
        <v>242</v>
      </c>
      <c r="Q5270">
        <v>4</v>
      </c>
      <c r="R5270">
        <v>43</v>
      </c>
      <c r="S5270">
        <v>6</v>
      </c>
      <c r="T5270">
        <v>3</v>
      </c>
      <c r="U5270">
        <v>10</v>
      </c>
      <c r="V5270">
        <v>2</v>
      </c>
      <c r="W5270">
        <v>4</v>
      </c>
      <c r="X5270">
        <v>139</v>
      </c>
      <c r="Y5270">
        <v>5</v>
      </c>
      <c r="Z5270">
        <v>5</v>
      </c>
      <c r="AA5270">
        <v>5</v>
      </c>
      <c r="AB5270">
        <v>6</v>
      </c>
      <c r="AD5270">
        <v>0</v>
      </c>
      <c r="AE5270">
        <v>0</v>
      </c>
      <c r="AF5270">
        <v>0</v>
      </c>
      <c r="AG5270">
        <v>0</v>
      </c>
      <c r="AI5270">
        <v>0</v>
      </c>
      <c r="AJ5270">
        <v>10</v>
      </c>
      <c r="AK5270">
        <v>242</v>
      </c>
      <c r="AL5270">
        <v>242</v>
      </c>
      <c r="AM5270">
        <v>613</v>
      </c>
      <c r="AN5270">
        <v>44</v>
      </c>
      <c r="AP5270">
        <v>1</v>
      </c>
      <c r="AR5270" t="s">
        <v>5375</v>
      </c>
      <c r="AS5270" s="1">
        <v>44354.351388888892</v>
      </c>
      <c r="AT5270" s="1">
        <v>44354.353634259256</v>
      </c>
      <c r="AU5270" s="1">
        <v>44354.354131944441</v>
      </c>
      <c r="AV5270" t="s">
        <v>71</v>
      </c>
      <c r="AW5270" t="s">
        <v>72</v>
      </c>
      <c r="AX5270" t="s">
        <v>73</v>
      </c>
    </row>
    <row r="5271" spans="1:50" x14ac:dyDescent="0.3">
      <c r="A5271" t="str">
        <f>"200091E0100"</f>
        <v>200091E0100</v>
      </c>
      <c r="B5271" t="str">
        <f>"200091E01002"</f>
        <v>200091E01002</v>
      </c>
      <c r="C5271" t="str">
        <f t="shared" si="264"/>
        <v>20</v>
      </c>
      <c r="D5271" t="s">
        <v>67</v>
      </c>
      <c r="E5271" t="str">
        <f t="shared" si="265"/>
        <v>024</v>
      </c>
      <c r="F5271" t="s">
        <v>5370</v>
      </c>
      <c r="G5271" t="str">
        <f>"0091"</f>
        <v>0091</v>
      </c>
      <c r="H5271" t="str">
        <f>"0001"</f>
        <v>0001</v>
      </c>
      <c r="I5271" t="s">
        <v>109</v>
      </c>
      <c r="J5271">
        <v>0</v>
      </c>
      <c r="K5271">
        <v>1</v>
      </c>
      <c r="L5271">
        <v>2</v>
      </c>
      <c r="M5271">
        <v>254</v>
      </c>
      <c r="N5271">
        <v>230</v>
      </c>
      <c r="O5271">
        <v>7</v>
      </c>
      <c r="P5271">
        <v>230</v>
      </c>
      <c r="Q5271">
        <v>4</v>
      </c>
      <c r="R5271">
        <v>78</v>
      </c>
      <c r="S5271">
        <v>4</v>
      </c>
      <c r="T5271">
        <v>6</v>
      </c>
      <c r="U5271">
        <v>8</v>
      </c>
      <c r="V5271">
        <v>3</v>
      </c>
      <c r="W5271">
        <v>3</v>
      </c>
      <c r="X5271">
        <v>77</v>
      </c>
      <c r="Y5271">
        <v>21</v>
      </c>
      <c r="Z5271">
        <v>7</v>
      </c>
      <c r="AA5271">
        <v>5</v>
      </c>
      <c r="AB5271">
        <v>3</v>
      </c>
      <c r="AD5271">
        <v>2</v>
      </c>
      <c r="AE5271">
        <v>0</v>
      </c>
      <c r="AF5271">
        <v>0</v>
      </c>
      <c r="AG5271">
        <v>1</v>
      </c>
      <c r="AI5271">
        <v>0</v>
      </c>
      <c r="AJ5271">
        <v>8</v>
      </c>
      <c r="AK5271">
        <v>230</v>
      </c>
      <c r="AL5271">
        <v>230</v>
      </c>
      <c r="AM5271">
        <v>440</v>
      </c>
      <c r="AN5271">
        <v>44</v>
      </c>
      <c r="AP5271">
        <v>1</v>
      </c>
      <c r="AR5271" t="s">
        <v>5376</v>
      </c>
      <c r="AS5271" s="1">
        <v>44354.345833333333</v>
      </c>
      <c r="AT5271" s="1">
        <v>44354.347372685188</v>
      </c>
      <c r="AU5271" s="1">
        <v>44354.348252314812</v>
      </c>
      <c r="AV5271" t="s">
        <v>71</v>
      </c>
      <c r="AW5271" t="s">
        <v>72</v>
      </c>
      <c r="AX5271" t="s">
        <v>73</v>
      </c>
    </row>
    <row r="5272" spans="1:50" x14ac:dyDescent="0.3">
      <c r="A5272" t="str">
        <f>"200092B0000"</f>
        <v>200092B0000</v>
      </c>
      <c r="B5272" t="str">
        <f>"200092B00002"</f>
        <v>200092B00002</v>
      </c>
      <c r="C5272" t="str">
        <f t="shared" si="264"/>
        <v>20</v>
      </c>
      <c r="D5272" t="s">
        <v>67</v>
      </c>
      <c r="E5272" t="str">
        <f t="shared" si="265"/>
        <v>024</v>
      </c>
      <c r="F5272" t="s">
        <v>5370</v>
      </c>
      <c r="G5272" t="str">
        <f>"0092"</f>
        <v>0092</v>
      </c>
      <c r="H5272" t="str">
        <f>"0000"</f>
        <v>0000</v>
      </c>
      <c r="I5272" t="s">
        <v>69</v>
      </c>
      <c r="J5272">
        <v>0</v>
      </c>
      <c r="K5272">
        <v>1</v>
      </c>
      <c r="L5272">
        <v>2</v>
      </c>
      <c r="M5272">
        <v>91</v>
      </c>
      <c r="N5272">
        <v>54</v>
      </c>
      <c r="O5272">
        <v>0</v>
      </c>
      <c r="P5272">
        <v>54</v>
      </c>
      <c r="Q5272">
        <v>3</v>
      </c>
      <c r="R5272">
        <v>6</v>
      </c>
      <c r="S5272">
        <v>0</v>
      </c>
      <c r="T5272">
        <v>0</v>
      </c>
      <c r="U5272">
        <v>0</v>
      </c>
      <c r="V5272">
        <v>1</v>
      </c>
      <c r="W5272">
        <v>1</v>
      </c>
      <c r="X5272">
        <v>29</v>
      </c>
      <c r="Y5272">
        <v>7</v>
      </c>
      <c r="Z5272">
        <v>3</v>
      </c>
      <c r="AA5272">
        <v>2</v>
      </c>
      <c r="AB5272">
        <v>1</v>
      </c>
      <c r="AD5272">
        <v>0</v>
      </c>
      <c r="AE5272">
        <v>0</v>
      </c>
      <c r="AF5272">
        <v>0</v>
      </c>
      <c r="AG5272">
        <v>0</v>
      </c>
      <c r="AI5272">
        <v>0</v>
      </c>
      <c r="AJ5272">
        <v>1</v>
      </c>
      <c r="AK5272">
        <v>54</v>
      </c>
      <c r="AL5272">
        <v>54</v>
      </c>
      <c r="AM5272">
        <v>101</v>
      </c>
      <c r="AN5272">
        <v>44</v>
      </c>
      <c r="AP5272">
        <v>1</v>
      </c>
      <c r="AR5272" t="s">
        <v>5377</v>
      </c>
      <c r="AS5272" s="1">
        <v>44354.37777777778</v>
      </c>
      <c r="AT5272" s="1">
        <v>44354.379120370373</v>
      </c>
      <c r="AU5272" s="1">
        <v>44354.38045138889</v>
      </c>
      <c r="AV5272" t="s">
        <v>71</v>
      </c>
      <c r="AW5272" t="s">
        <v>72</v>
      </c>
      <c r="AX5272" t="s">
        <v>73</v>
      </c>
    </row>
    <row r="5273" spans="1:50" x14ac:dyDescent="0.3">
      <c r="A5273" t="str">
        <f>"200093B0000"</f>
        <v>200093B0000</v>
      </c>
      <c r="B5273" t="str">
        <f>"200093B00002"</f>
        <v>200093B00002</v>
      </c>
      <c r="C5273" t="str">
        <f t="shared" si="264"/>
        <v>20</v>
      </c>
      <c r="D5273" t="s">
        <v>67</v>
      </c>
      <c r="E5273" t="str">
        <f t="shared" si="265"/>
        <v>024</v>
      </c>
      <c r="F5273" t="s">
        <v>5370</v>
      </c>
      <c r="G5273" t="str">
        <f>"0093"</f>
        <v>0093</v>
      </c>
      <c r="H5273" t="str">
        <f>"0000"</f>
        <v>0000</v>
      </c>
      <c r="I5273" t="s">
        <v>69</v>
      </c>
      <c r="J5273">
        <v>0</v>
      </c>
      <c r="K5273">
        <v>1</v>
      </c>
      <c r="L5273">
        <v>2</v>
      </c>
      <c r="M5273">
        <v>368</v>
      </c>
      <c r="N5273">
        <v>290</v>
      </c>
      <c r="O5273" t="s">
        <v>80</v>
      </c>
      <c r="P5273">
        <v>290</v>
      </c>
      <c r="Q5273">
        <v>10</v>
      </c>
      <c r="R5273">
        <v>59</v>
      </c>
      <c r="S5273">
        <v>6</v>
      </c>
      <c r="T5273">
        <v>4</v>
      </c>
      <c r="U5273">
        <v>2</v>
      </c>
      <c r="V5273">
        <v>10</v>
      </c>
      <c r="W5273">
        <v>3</v>
      </c>
      <c r="X5273">
        <v>138</v>
      </c>
      <c r="Y5273">
        <v>15</v>
      </c>
      <c r="Z5273">
        <v>9</v>
      </c>
      <c r="AA5273">
        <v>9</v>
      </c>
      <c r="AB5273">
        <v>5</v>
      </c>
      <c r="AD5273">
        <v>1</v>
      </c>
      <c r="AE5273">
        <v>1</v>
      </c>
      <c r="AF5273" t="s">
        <v>77</v>
      </c>
      <c r="AG5273" t="s">
        <v>77</v>
      </c>
      <c r="AI5273" t="s">
        <v>77</v>
      </c>
      <c r="AJ5273">
        <v>18</v>
      </c>
      <c r="AK5273">
        <v>290</v>
      </c>
      <c r="AL5273">
        <v>290</v>
      </c>
      <c r="AM5273">
        <v>614</v>
      </c>
      <c r="AN5273">
        <v>44</v>
      </c>
      <c r="AO5273" t="s">
        <v>78</v>
      </c>
      <c r="AP5273">
        <v>1</v>
      </c>
      <c r="AR5273" s="2" t="s">
        <v>5378</v>
      </c>
      <c r="AS5273" s="1">
        <v>44354.378472222219</v>
      </c>
      <c r="AT5273" s="1">
        <v>44354.380324074074</v>
      </c>
      <c r="AU5273" s="1">
        <v>44354.380914351852</v>
      </c>
      <c r="AV5273" t="s">
        <v>71</v>
      </c>
      <c r="AW5273" t="s">
        <v>72</v>
      </c>
      <c r="AX5273" t="s">
        <v>73</v>
      </c>
    </row>
    <row r="5274" spans="1:50" x14ac:dyDescent="0.3">
      <c r="A5274" t="str">
        <f>"200094B0000"</f>
        <v>200094B0000</v>
      </c>
      <c r="B5274" t="str">
        <f>"200094B00002"</f>
        <v>200094B00002</v>
      </c>
      <c r="C5274" t="str">
        <f t="shared" si="264"/>
        <v>20</v>
      </c>
      <c r="D5274" t="s">
        <v>67</v>
      </c>
      <c r="E5274" t="str">
        <f t="shared" si="265"/>
        <v>024</v>
      </c>
      <c r="F5274" t="s">
        <v>5370</v>
      </c>
      <c r="G5274" t="str">
        <f>"0094"</f>
        <v>0094</v>
      </c>
      <c r="H5274" t="str">
        <f>"0000"</f>
        <v>0000</v>
      </c>
      <c r="I5274" t="s">
        <v>69</v>
      </c>
      <c r="J5274">
        <v>0</v>
      </c>
      <c r="K5274">
        <v>1</v>
      </c>
      <c r="L5274">
        <v>2</v>
      </c>
      <c r="M5274">
        <v>175</v>
      </c>
      <c r="N5274">
        <v>136</v>
      </c>
      <c r="O5274" t="s">
        <v>80</v>
      </c>
      <c r="P5274">
        <v>136</v>
      </c>
      <c r="Q5274">
        <v>3</v>
      </c>
      <c r="R5274">
        <v>13</v>
      </c>
      <c r="S5274">
        <v>3</v>
      </c>
      <c r="T5274">
        <v>0</v>
      </c>
      <c r="U5274">
        <v>0</v>
      </c>
      <c r="V5274">
        <v>2</v>
      </c>
      <c r="W5274">
        <v>1</v>
      </c>
      <c r="X5274">
        <v>98</v>
      </c>
      <c r="Y5274">
        <v>3</v>
      </c>
      <c r="Z5274">
        <v>8</v>
      </c>
      <c r="AA5274">
        <v>3</v>
      </c>
      <c r="AB5274">
        <v>0</v>
      </c>
      <c r="AD5274">
        <v>0</v>
      </c>
      <c r="AE5274">
        <v>0</v>
      </c>
      <c r="AF5274">
        <v>0</v>
      </c>
      <c r="AG5274">
        <v>0</v>
      </c>
      <c r="AI5274">
        <v>0</v>
      </c>
      <c r="AJ5274">
        <v>2</v>
      </c>
      <c r="AK5274">
        <v>136</v>
      </c>
      <c r="AL5274">
        <v>136</v>
      </c>
      <c r="AM5274">
        <v>267</v>
      </c>
      <c r="AN5274">
        <v>44</v>
      </c>
      <c r="AP5274">
        <v>1</v>
      </c>
      <c r="AR5274" t="s">
        <v>5379</v>
      </c>
      <c r="AS5274" s="1">
        <v>44354.375694444447</v>
      </c>
      <c r="AT5274" s="1">
        <v>44354.377430555556</v>
      </c>
      <c r="AU5274" s="1">
        <v>44354.378263888888</v>
      </c>
      <c r="AV5274" t="s">
        <v>71</v>
      </c>
      <c r="AW5274" t="s">
        <v>72</v>
      </c>
      <c r="AX5274" t="s">
        <v>73</v>
      </c>
    </row>
    <row r="5275" spans="1:50" x14ac:dyDescent="0.3">
      <c r="A5275" t="str">
        <f>"200095B0000"</f>
        <v>200095B0000</v>
      </c>
      <c r="B5275" t="str">
        <f>"200095B00002"</f>
        <v>200095B00002</v>
      </c>
      <c r="C5275" t="str">
        <f t="shared" si="264"/>
        <v>20</v>
      </c>
      <c r="D5275" t="s">
        <v>67</v>
      </c>
      <c r="E5275" t="str">
        <f t="shared" si="265"/>
        <v>024</v>
      </c>
      <c r="F5275" t="s">
        <v>5370</v>
      </c>
      <c r="G5275" t="str">
        <f>"0095"</f>
        <v>0095</v>
      </c>
      <c r="H5275" t="str">
        <f>"0000"</f>
        <v>0000</v>
      </c>
      <c r="I5275" t="s">
        <v>69</v>
      </c>
      <c r="J5275">
        <v>0</v>
      </c>
      <c r="K5275">
        <v>1</v>
      </c>
      <c r="L5275">
        <v>2</v>
      </c>
      <c r="M5275">
        <v>362</v>
      </c>
      <c r="N5275">
        <v>255</v>
      </c>
      <c r="O5275">
        <v>4</v>
      </c>
      <c r="P5275">
        <v>255</v>
      </c>
      <c r="Q5275">
        <v>3</v>
      </c>
      <c r="R5275">
        <v>58</v>
      </c>
      <c r="S5275">
        <v>7</v>
      </c>
      <c r="T5275">
        <v>6</v>
      </c>
      <c r="U5275">
        <v>3</v>
      </c>
      <c r="V5275">
        <v>2</v>
      </c>
      <c r="W5275">
        <v>2</v>
      </c>
      <c r="X5275">
        <v>123</v>
      </c>
      <c r="Y5275">
        <v>12</v>
      </c>
      <c r="Z5275">
        <v>7</v>
      </c>
      <c r="AA5275">
        <v>14</v>
      </c>
      <c r="AB5275">
        <v>3</v>
      </c>
      <c r="AD5275">
        <v>0</v>
      </c>
      <c r="AE5275">
        <v>2</v>
      </c>
      <c r="AF5275">
        <v>0</v>
      </c>
      <c r="AG5275">
        <v>0</v>
      </c>
      <c r="AI5275">
        <v>0</v>
      </c>
      <c r="AJ5275">
        <v>13</v>
      </c>
      <c r="AK5275">
        <v>255</v>
      </c>
      <c r="AL5275">
        <v>255</v>
      </c>
      <c r="AM5275">
        <v>573</v>
      </c>
      <c r="AN5275">
        <v>44</v>
      </c>
      <c r="AP5275">
        <v>1</v>
      </c>
      <c r="AR5275" t="s">
        <v>5380</v>
      </c>
      <c r="AS5275" s="1">
        <v>44354.35833333333</v>
      </c>
      <c r="AT5275" s="1">
        <v>44354.359953703701</v>
      </c>
      <c r="AU5275" s="1">
        <v>44354.360833333332</v>
      </c>
      <c r="AV5275" t="s">
        <v>71</v>
      </c>
      <c r="AW5275" t="s">
        <v>72</v>
      </c>
      <c r="AX5275" t="s">
        <v>73</v>
      </c>
    </row>
    <row r="5276" spans="1:50" x14ac:dyDescent="0.3">
      <c r="A5276" t="str">
        <f>"200095E0100"</f>
        <v>200095E0100</v>
      </c>
      <c r="B5276" t="str">
        <f>"200095E01002"</f>
        <v>200095E01002</v>
      </c>
      <c r="C5276" t="str">
        <f t="shared" si="264"/>
        <v>20</v>
      </c>
      <c r="D5276" t="s">
        <v>67</v>
      </c>
      <c r="E5276" t="str">
        <f t="shared" si="265"/>
        <v>024</v>
      </c>
      <c r="F5276" t="s">
        <v>5370</v>
      </c>
      <c r="G5276" t="str">
        <f>"0095"</f>
        <v>0095</v>
      </c>
      <c r="H5276" t="str">
        <f>"0001"</f>
        <v>0001</v>
      </c>
      <c r="I5276" t="s">
        <v>109</v>
      </c>
      <c r="J5276">
        <v>0</v>
      </c>
      <c r="K5276">
        <v>1</v>
      </c>
      <c r="L5276">
        <v>2</v>
      </c>
      <c r="M5276">
        <v>434</v>
      </c>
      <c r="N5276">
        <v>278</v>
      </c>
      <c r="O5276">
        <v>1</v>
      </c>
      <c r="P5276">
        <v>278</v>
      </c>
      <c r="Q5276">
        <v>34</v>
      </c>
      <c r="R5276">
        <v>141</v>
      </c>
      <c r="S5276">
        <v>7</v>
      </c>
      <c r="T5276">
        <v>11</v>
      </c>
      <c r="U5276">
        <v>1</v>
      </c>
      <c r="V5276">
        <v>1</v>
      </c>
      <c r="W5276">
        <v>1</v>
      </c>
      <c r="X5276">
        <v>50</v>
      </c>
      <c r="Y5276">
        <v>5</v>
      </c>
      <c r="Z5276">
        <v>2</v>
      </c>
      <c r="AA5276">
        <v>8</v>
      </c>
      <c r="AB5276">
        <v>2</v>
      </c>
      <c r="AD5276" t="s">
        <v>77</v>
      </c>
      <c r="AE5276" t="s">
        <v>77</v>
      </c>
      <c r="AF5276" t="s">
        <v>77</v>
      </c>
      <c r="AG5276" t="s">
        <v>77</v>
      </c>
      <c r="AI5276" t="s">
        <v>77</v>
      </c>
      <c r="AJ5276" t="s">
        <v>77</v>
      </c>
      <c r="AK5276" t="s">
        <v>77</v>
      </c>
      <c r="AL5276">
        <v>263</v>
      </c>
      <c r="AM5276">
        <v>668</v>
      </c>
      <c r="AN5276">
        <v>44</v>
      </c>
      <c r="AO5276" t="s">
        <v>78</v>
      </c>
      <c r="AP5276">
        <v>1</v>
      </c>
      <c r="AR5276" t="s">
        <v>5381</v>
      </c>
      <c r="AS5276" s="1">
        <v>44354.359027777777</v>
      </c>
      <c r="AT5276" s="1">
        <v>44354.360659722224</v>
      </c>
      <c r="AU5276" s="1">
        <v>44354.360972222225</v>
      </c>
      <c r="AV5276" t="s">
        <v>71</v>
      </c>
      <c r="AW5276" t="s">
        <v>72</v>
      </c>
      <c r="AX5276" t="s">
        <v>73</v>
      </c>
    </row>
    <row r="5277" spans="1:50" x14ac:dyDescent="0.3">
      <c r="A5277" t="str">
        <f>"200095E0200"</f>
        <v>200095E0200</v>
      </c>
      <c r="B5277" t="str">
        <f>"200095E02002"</f>
        <v>200095E02002</v>
      </c>
      <c r="C5277" t="str">
        <f t="shared" si="264"/>
        <v>20</v>
      </c>
      <c r="D5277" t="s">
        <v>67</v>
      </c>
      <c r="E5277" t="str">
        <f t="shared" si="265"/>
        <v>024</v>
      </c>
      <c r="F5277" t="s">
        <v>5370</v>
      </c>
      <c r="G5277" t="str">
        <f>"0095"</f>
        <v>0095</v>
      </c>
      <c r="H5277" t="str">
        <f>"0002"</f>
        <v>0002</v>
      </c>
      <c r="I5277" t="s">
        <v>109</v>
      </c>
      <c r="J5277">
        <v>0</v>
      </c>
      <c r="K5277">
        <v>1</v>
      </c>
      <c r="L5277">
        <v>2</v>
      </c>
      <c r="M5277">
        <v>133</v>
      </c>
      <c r="N5277">
        <v>103</v>
      </c>
      <c r="O5277">
        <v>3</v>
      </c>
      <c r="P5277">
        <v>103</v>
      </c>
      <c r="Q5277">
        <v>2</v>
      </c>
      <c r="R5277">
        <v>33</v>
      </c>
      <c r="S5277">
        <v>2</v>
      </c>
      <c r="T5277">
        <v>2</v>
      </c>
      <c r="U5277">
        <v>1</v>
      </c>
      <c r="V5277">
        <v>2</v>
      </c>
      <c r="W5277">
        <v>1</v>
      </c>
      <c r="X5277">
        <v>4</v>
      </c>
      <c r="Y5277">
        <v>49</v>
      </c>
      <c r="Z5277">
        <v>0</v>
      </c>
      <c r="AA5277">
        <v>3</v>
      </c>
      <c r="AB5277">
        <v>1</v>
      </c>
      <c r="AD5277">
        <v>0</v>
      </c>
      <c r="AE5277">
        <v>0</v>
      </c>
      <c r="AF5277">
        <v>0</v>
      </c>
      <c r="AG5277">
        <v>0</v>
      </c>
      <c r="AI5277">
        <v>0</v>
      </c>
      <c r="AJ5277">
        <v>3</v>
      </c>
      <c r="AK5277">
        <v>103</v>
      </c>
      <c r="AL5277">
        <v>103</v>
      </c>
      <c r="AM5277">
        <v>192</v>
      </c>
      <c r="AN5277">
        <v>44</v>
      </c>
      <c r="AP5277">
        <v>1</v>
      </c>
      <c r="AR5277" t="s">
        <v>5382</v>
      </c>
      <c r="AS5277" s="1">
        <v>44354.356249999997</v>
      </c>
      <c r="AT5277" s="1">
        <v>44354.357685185183</v>
      </c>
      <c r="AU5277" s="1">
        <v>44354.358437499999</v>
      </c>
      <c r="AV5277" t="s">
        <v>71</v>
      </c>
      <c r="AW5277" t="s">
        <v>72</v>
      </c>
      <c r="AX5277" t="s">
        <v>73</v>
      </c>
    </row>
    <row r="5278" spans="1:50" x14ac:dyDescent="0.3">
      <c r="A5278" t="str">
        <f>"200096B0000"</f>
        <v>200096B0000</v>
      </c>
      <c r="B5278" t="str">
        <f>"200096B00002"</f>
        <v>200096B00002</v>
      </c>
      <c r="C5278" t="str">
        <f t="shared" si="264"/>
        <v>20</v>
      </c>
      <c r="D5278" t="s">
        <v>67</v>
      </c>
      <c r="E5278" t="str">
        <f t="shared" si="265"/>
        <v>024</v>
      </c>
      <c r="F5278" t="s">
        <v>5370</v>
      </c>
      <c r="G5278" t="str">
        <f>"0096"</f>
        <v>0096</v>
      </c>
      <c r="H5278" t="str">
        <f>"0000"</f>
        <v>0000</v>
      </c>
      <c r="I5278" t="s">
        <v>69</v>
      </c>
      <c r="J5278">
        <v>0</v>
      </c>
      <c r="K5278">
        <v>1</v>
      </c>
      <c r="L5278">
        <v>2</v>
      </c>
      <c r="M5278">
        <v>362</v>
      </c>
      <c r="N5278">
        <v>155</v>
      </c>
      <c r="O5278">
        <v>0</v>
      </c>
      <c r="P5278">
        <v>155</v>
      </c>
      <c r="Q5278">
        <v>3</v>
      </c>
      <c r="R5278">
        <v>73</v>
      </c>
      <c r="S5278">
        <v>2</v>
      </c>
      <c r="T5278">
        <v>12</v>
      </c>
      <c r="U5278">
        <v>2</v>
      </c>
      <c r="V5278">
        <v>1</v>
      </c>
      <c r="W5278">
        <v>1</v>
      </c>
      <c r="X5278">
        <v>28</v>
      </c>
      <c r="Y5278">
        <v>21</v>
      </c>
      <c r="Z5278">
        <v>0</v>
      </c>
      <c r="AA5278">
        <v>2</v>
      </c>
      <c r="AB5278">
        <v>3</v>
      </c>
      <c r="AD5278">
        <v>2</v>
      </c>
      <c r="AE5278">
        <v>0</v>
      </c>
      <c r="AF5278">
        <v>0</v>
      </c>
      <c r="AG5278">
        <v>0</v>
      </c>
      <c r="AI5278">
        <v>0</v>
      </c>
      <c r="AJ5278">
        <v>5</v>
      </c>
      <c r="AK5278">
        <v>155</v>
      </c>
      <c r="AL5278">
        <v>155</v>
      </c>
      <c r="AM5278">
        <v>473</v>
      </c>
      <c r="AN5278">
        <v>44</v>
      </c>
      <c r="AP5278">
        <v>1</v>
      </c>
      <c r="AR5278" t="s">
        <v>5383</v>
      </c>
      <c r="AS5278" s="1">
        <v>44354.399305555555</v>
      </c>
      <c r="AT5278" s="1">
        <v>44354.401944444442</v>
      </c>
      <c r="AU5278" s="1">
        <v>44354.402673611112</v>
      </c>
      <c r="AV5278" t="s">
        <v>71</v>
      </c>
      <c r="AW5278" t="s">
        <v>72</v>
      </c>
      <c r="AX5278" t="s">
        <v>73</v>
      </c>
    </row>
    <row r="5279" spans="1:50" x14ac:dyDescent="0.3">
      <c r="A5279" t="str">
        <f>"200096E0100"</f>
        <v>200096E0100</v>
      </c>
      <c r="B5279" t="str">
        <f>"200096E01002"</f>
        <v>200096E01002</v>
      </c>
      <c r="C5279" t="str">
        <f t="shared" si="264"/>
        <v>20</v>
      </c>
      <c r="D5279" t="s">
        <v>67</v>
      </c>
      <c r="E5279" t="str">
        <f t="shared" si="265"/>
        <v>024</v>
      </c>
      <c r="F5279" t="s">
        <v>5370</v>
      </c>
      <c r="G5279" t="str">
        <f>"0096"</f>
        <v>0096</v>
      </c>
      <c r="H5279" t="str">
        <f>"0001"</f>
        <v>0001</v>
      </c>
      <c r="I5279" t="s">
        <v>109</v>
      </c>
      <c r="J5279">
        <v>0</v>
      </c>
      <c r="K5279">
        <v>1</v>
      </c>
      <c r="L5279">
        <v>2</v>
      </c>
      <c r="M5279">
        <v>240</v>
      </c>
      <c r="N5279">
        <v>203</v>
      </c>
      <c r="O5279">
        <v>0</v>
      </c>
      <c r="P5279">
        <v>203</v>
      </c>
      <c r="Q5279">
        <v>4</v>
      </c>
      <c r="R5279">
        <v>80</v>
      </c>
      <c r="S5279">
        <v>5</v>
      </c>
      <c r="T5279">
        <v>3</v>
      </c>
      <c r="U5279">
        <v>6</v>
      </c>
      <c r="V5279">
        <v>5</v>
      </c>
      <c r="W5279">
        <v>3</v>
      </c>
      <c r="X5279">
        <v>65</v>
      </c>
      <c r="Y5279">
        <v>1</v>
      </c>
      <c r="Z5279">
        <v>9</v>
      </c>
      <c r="AA5279">
        <v>9</v>
      </c>
      <c r="AB5279">
        <v>2</v>
      </c>
      <c r="AD5279">
        <v>0</v>
      </c>
      <c r="AE5279">
        <v>0</v>
      </c>
      <c r="AF5279">
        <v>0</v>
      </c>
      <c r="AG5279">
        <v>0</v>
      </c>
      <c r="AI5279">
        <v>1</v>
      </c>
      <c r="AJ5279">
        <v>10</v>
      </c>
      <c r="AK5279">
        <v>203</v>
      </c>
      <c r="AL5279">
        <v>203</v>
      </c>
      <c r="AM5279">
        <v>399</v>
      </c>
      <c r="AN5279">
        <v>44</v>
      </c>
      <c r="AP5279">
        <v>1</v>
      </c>
      <c r="AR5279" t="s">
        <v>5384</v>
      </c>
      <c r="AS5279" s="1">
        <v>44354.402083333334</v>
      </c>
      <c r="AT5279" s="1">
        <v>44354.406238425923</v>
      </c>
      <c r="AU5279" s="1">
        <v>44354.407581018517</v>
      </c>
      <c r="AV5279" t="s">
        <v>71</v>
      </c>
      <c r="AW5279" t="s">
        <v>72</v>
      </c>
      <c r="AX5279" t="s">
        <v>73</v>
      </c>
    </row>
    <row r="5280" spans="1:50" x14ac:dyDescent="0.3">
      <c r="A5280" t="str">
        <f>"200096E0101"</f>
        <v>200096E0101</v>
      </c>
      <c r="B5280" t="str">
        <f>"200096E01012"</f>
        <v>200096E01012</v>
      </c>
      <c r="C5280" t="str">
        <f t="shared" si="264"/>
        <v>20</v>
      </c>
      <c r="D5280" t="s">
        <v>67</v>
      </c>
      <c r="E5280" t="str">
        <f t="shared" si="265"/>
        <v>024</v>
      </c>
      <c r="F5280" t="s">
        <v>5370</v>
      </c>
      <c r="G5280" t="str">
        <f>"0096"</f>
        <v>0096</v>
      </c>
      <c r="H5280" t="str">
        <f>"0001"</f>
        <v>0001</v>
      </c>
      <c r="I5280" t="s">
        <v>109</v>
      </c>
      <c r="J5280">
        <v>1</v>
      </c>
      <c r="K5280">
        <v>1</v>
      </c>
      <c r="L5280">
        <v>2</v>
      </c>
      <c r="M5280">
        <v>236</v>
      </c>
      <c r="N5280">
        <v>206</v>
      </c>
      <c r="O5280">
        <v>2</v>
      </c>
      <c r="P5280">
        <v>206</v>
      </c>
      <c r="Q5280">
        <v>5</v>
      </c>
      <c r="R5280">
        <v>98</v>
      </c>
      <c r="S5280">
        <v>4</v>
      </c>
      <c r="T5280">
        <v>5</v>
      </c>
      <c r="U5280">
        <v>3</v>
      </c>
      <c r="V5280">
        <v>3</v>
      </c>
      <c r="W5280">
        <v>8</v>
      </c>
      <c r="X5280">
        <v>64</v>
      </c>
      <c r="Y5280">
        <v>5</v>
      </c>
      <c r="Z5280">
        <v>1</v>
      </c>
      <c r="AA5280">
        <v>0</v>
      </c>
      <c r="AB5280">
        <v>2</v>
      </c>
      <c r="AD5280">
        <v>1</v>
      </c>
      <c r="AE5280">
        <v>0</v>
      </c>
      <c r="AF5280">
        <v>0</v>
      </c>
      <c r="AG5280">
        <v>0</v>
      </c>
      <c r="AI5280">
        <v>0</v>
      </c>
      <c r="AJ5280">
        <v>7</v>
      </c>
      <c r="AK5280">
        <v>206</v>
      </c>
      <c r="AL5280">
        <v>206</v>
      </c>
      <c r="AM5280">
        <v>398</v>
      </c>
      <c r="AN5280">
        <v>44</v>
      </c>
      <c r="AP5280">
        <v>1</v>
      </c>
      <c r="AR5280" t="s">
        <v>5385</v>
      </c>
      <c r="AS5280" s="1">
        <v>44354.397916666669</v>
      </c>
      <c r="AT5280" s="1">
        <v>44354.399895833332</v>
      </c>
      <c r="AU5280" s="1">
        <v>44354.40042824074</v>
      </c>
      <c r="AV5280" t="s">
        <v>71</v>
      </c>
      <c r="AW5280" t="s">
        <v>72</v>
      </c>
      <c r="AX5280" t="s">
        <v>73</v>
      </c>
    </row>
    <row r="5281" spans="1:50" x14ac:dyDescent="0.3">
      <c r="A5281" t="str">
        <f>"200432B0000"</f>
        <v>200432B0000</v>
      </c>
      <c r="B5281" t="str">
        <f>"200432B00002"</f>
        <v>200432B00002</v>
      </c>
      <c r="C5281" t="str">
        <f t="shared" si="264"/>
        <v>20</v>
      </c>
      <c r="D5281" t="s">
        <v>67</v>
      </c>
      <c r="E5281" t="str">
        <f t="shared" si="265"/>
        <v>024</v>
      </c>
      <c r="F5281" t="s">
        <v>5370</v>
      </c>
      <c r="G5281" t="str">
        <f>"0432"</f>
        <v>0432</v>
      </c>
      <c r="H5281" t="str">
        <f>"0000"</f>
        <v>0000</v>
      </c>
      <c r="I5281" t="s">
        <v>69</v>
      </c>
      <c r="J5281">
        <v>0</v>
      </c>
      <c r="K5281">
        <v>1</v>
      </c>
      <c r="L5281">
        <v>2</v>
      </c>
      <c r="M5281">
        <v>302</v>
      </c>
      <c r="N5281">
        <v>377</v>
      </c>
      <c r="O5281">
        <v>2</v>
      </c>
      <c r="P5281">
        <v>377</v>
      </c>
      <c r="Q5281">
        <v>3</v>
      </c>
      <c r="R5281">
        <v>51</v>
      </c>
      <c r="S5281">
        <v>2</v>
      </c>
      <c r="T5281">
        <v>2</v>
      </c>
      <c r="U5281">
        <v>43</v>
      </c>
      <c r="V5281">
        <v>5</v>
      </c>
      <c r="W5281">
        <v>28</v>
      </c>
      <c r="X5281">
        <v>154</v>
      </c>
      <c r="Y5281">
        <v>63</v>
      </c>
      <c r="Z5281">
        <v>0</v>
      </c>
      <c r="AA5281">
        <v>1</v>
      </c>
      <c r="AB5281">
        <v>12</v>
      </c>
      <c r="AD5281">
        <v>0</v>
      </c>
      <c r="AE5281">
        <v>1</v>
      </c>
      <c r="AF5281">
        <v>0</v>
      </c>
      <c r="AG5281">
        <v>0</v>
      </c>
      <c r="AI5281">
        <v>1</v>
      </c>
      <c r="AJ5281">
        <v>11</v>
      </c>
      <c r="AK5281">
        <v>377</v>
      </c>
      <c r="AL5281">
        <v>377</v>
      </c>
      <c r="AM5281">
        <v>631</v>
      </c>
      <c r="AN5281">
        <v>48</v>
      </c>
      <c r="AP5281">
        <v>1</v>
      </c>
      <c r="AR5281" t="s">
        <v>5386</v>
      </c>
      <c r="AS5281" s="1">
        <v>44354.179861111108</v>
      </c>
      <c r="AT5281" s="1">
        <v>44354.181828703702</v>
      </c>
      <c r="AU5281" s="1">
        <v>44354.182430555556</v>
      </c>
      <c r="AV5281" t="s">
        <v>71</v>
      </c>
      <c r="AW5281" t="s">
        <v>72</v>
      </c>
      <c r="AX5281" t="s">
        <v>73</v>
      </c>
    </row>
    <row r="5282" spans="1:50" x14ac:dyDescent="0.3">
      <c r="A5282" t="str">
        <f>"200432C0100"</f>
        <v>200432C0100</v>
      </c>
      <c r="B5282" t="str">
        <f>"200432C01002"</f>
        <v>200432C01002</v>
      </c>
      <c r="C5282" t="str">
        <f t="shared" si="264"/>
        <v>20</v>
      </c>
      <c r="D5282" t="s">
        <v>67</v>
      </c>
      <c r="E5282" t="str">
        <f t="shared" si="265"/>
        <v>024</v>
      </c>
      <c r="F5282" t="s">
        <v>5370</v>
      </c>
      <c r="G5282" t="str">
        <f>"0432"</f>
        <v>0432</v>
      </c>
      <c r="H5282" t="str">
        <f>"0001"</f>
        <v>0001</v>
      </c>
      <c r="I5282" t="s">
        <v>75</v>
      </c>
      <c r="J5282">
        <v>0</v>
      </c>
      <c r="K5282">
        <v>1</v>
      </c>
      <c r="L5282">
        <v>2</v>
      </c>
      <c r="M5282">
        <v>307</v>
      </c>
      <c r="N5282">
        <v>371</v>
      </c>
      <c r="O5282">
        <v>6</v>
      </c>
      <c r="P5282">
        <v>371</v>
      </c>
      <c r="Q5282">
        <v>6</v>
      </c>
      <c r="R5282">
        <v>74</v>
      </c>
      <c r="S5282">
        <v>3</v>
      </c>
      <c r="T5282">
        <v>3</v>
      </c>
      <c r="U5282">
        <v>57</v>
      </c>
      <c r="V5282">
        <v>2</v>
      </c>
      <c r="W5282">
        <v>24</v>
      </c>
      <c r="X5282">
        <v>125</v>
      </c>
      <c r="Y5282">
        <v>49</v>
      </c>
      <c r="Z5282">
        <v>3</v>
      </c>
      <c r="AA5282">
        <v>0</v>
      </c>
      <c r="AB5282">
        <v>10</v>
      </c>
      <c r="AD5282">
        <v>1</v>
      </c>
      <c r="AE5282">
        <v>0</v>
      </c>
      <c r="AF5282">
        <v>0</v>
      </c>
      <c r="AG5282">
        <v>0</v>
      </c>
      <c r="AI5282">
        <v>0</v>
      </c>
      <c r="AJ5282">
        <v>14</v>
      </c>
      <c r="AK5282">
        <v>371</v>
      </c>
      <c r="AL5282">
        <v>371</v>
      </c>
      <c r="AM5282">
        <v>630</v>
      </c>
      <c r="AN5282">
        <v>48</v>
      </c>
      <c r="AP5282">
        <v>1</v>
      </c>
      <c r="AR5282" t="s">
        <v>5387</v>
      </c>
      <c r="AS5282" s="1">
        <v>44354.161805555559</v>
      </c>
      <c r="AT5282" s="1">
        <v>44354.163391203707</v>
      </c>
      <c r="AU5282" s="1">
        <v>44354.163784722223</v>
      </c>
      <c r="AV5282" t="s">
        <v>71</v>
      </c>
      <c r="AW5282" t="s">
        <v>72</v>
      </c>
      <c r="AX5282" t="s">
        <v>73</v>
      </c>
    </row>
    <row r="5283" spans="1:50" x14ac:dyDescent="0.3">
      <c r="A5283" t="str">
        <f>"200432C0200"</f>
        <v>200432C0200</v>
      </c>
      <c r="B5283" t="str">
        <f>"200432C02002"</f>
        <v>200432C02002</v>
      </c>
      <c r="C5283" t="str">
        <f t="shared" si="264"/>
        <v>20</v>
      </c>
      <c r="D5283" t="s">
        <v>67</v>
      </c>
      <c r="E5283" t="str">
        <f t="shared" si="265"/>
        <v>024</v>
      </c>
      <c r="F5283" t="s">
        <v>5370</v>
      </c>
      <c r="G5283" t="str">
        <f>"0432"</f>
        <v>0432</v>
      </c>
      <c r="H5283" t="str">
        <f>"0002"</f>
        <v>0002</v>
      </c>
      <c r="I5283" t="s">
        <v>75</v>
      </c>
      <c r="J5283">
        <v>0</v>
      </c>
      <c r="K5283">
        <v>1</v>
      </c>
      <c r="L5283">
        <v>2</v>
      </c>
      <c r="M5283">
        <v>301</v>
      </c>
      <c r="N5283">
        <v>376</v>
      </c>
      <c r="O5283">
        <v>8</v>
      </c>
      <c r="P5283">
        <v>376</v>
      </c>
      <c r="Q5283">
        <v>6</v>
      </c>
      <c r="R5283">
        <v>66</v>
      </c>
      <c r="S5283">
        <v>1</v>
      </c>
      <c r="T5283">
        <v>4</v>
      </c>
      <c r="U5283">
        <v>51</v>
      </c>
      <c r="V5283">
        <v>2</v>
      </c>
      <c r="W5283">
        <v>32</v>
      </c>
      <c r="X5283">
        <v>119</v>
      </c>
      <c r="Y5283">
        <v>68</v>
      </c>
      <c r="Z5283">
        <v>0</v>
      </c>
      <c r="AA5283">
        <v>1</v>
      </c>
      <c r="AB5283">
        <v>12</v>
      </c>
      <c r="AD5283">
        <v>0</v>
      </c>
      <c r="AE5283">
        <v>0</v>
      </c>
      <c r="AF5283">
        <v>0</v>
      </c>
      <c r="AG5283">
        <v>0</v>
      </c>
      <c r="AI5283">
        <v>0</v>
      </c>
      <c r="AJ5283">
        <v>15</v>
      </c>
      <c r="AK5283">
        <v>376</v>
      </c>
      <c r="AL5283">
        <v>377</v>
      </c>
      <c r="AM5283">
        <v>630</v>
      </c>
      <c r="AN5283">
        <v>48</v>
      </c>
      <c r="AP5283">
        <v>1</v>
      </c>
      <c r="AR5283" t="s">
        <v>5388</v>
      </c>
      <c r="AS5283" s="1">
        <v>44354.165277777778</v>
      </c>
      <c r="AT5283" s="1">
        <v>44354.167291666665</v>
      </c>
      <c r="AU5283" s="1">
        <v>44354.167893518519</v>
      </c>
      <c r="AV5283" t="s">
        <v>71</v>
      </c>
      <c r="AW5283" t="s">
        <v>72</v>
      </c>
      <c r="AX5283" t="s">
        <v>73</v>
      </c>
    </row>
    <row r="5284" spans="1:50" x14ac:dyDescent="0.3">
      <c r="A5284" t="str">
        <f>"200432E0100"</f>
        <v>200432E0100</v>
      </c>
      <c r="B5284" t="str">
        <f>"200432E01002"</f>
        <v>200432E01002</v>
      </c>
      <c r="C5284" t="str">
        <f t="shared" si="264"/>
        <v>20</v>
      </c>
      <c r="D5284" t="s">
        <v>67</v>
      </c>
      <c r="E5284" t="str">
        <f t="shared" si="265"/>
        <v>024</v>
      </c>
      <c r="F5284" t="s">
        <v>5370</v>
      </c>
      <c r="G5284" t="str">
        <f>"0432"</f>
        <v>0432</v>
      </c>
      <c r="H5284" t="str">
        <f>"0001"</f>
        <v>0001</v>
      </c>
      <c r="I5284" t="s">
        <v>109</v>
      </c>
      <c r="J5284">
        <v>0</v>
      </c>
      <c r="K5284">
        <v>1</v>
      </c>
      <c r="L5284">
        <v>2</v>
      </c>
      <c r="M5284">
        <v>170</v>
      </c>
      <c r="N5284">
        <v>113</v>
      </c>
      <c r="O5284">
        <v>8</v>
      </c>
      <c r="P5284">
        <v>113</v>
      </c>
      <c r="Q5284">
        <v>1</v>
      </c>
      <c r="R5284">
        <v>6</v>
      </c>
      <c r="S5284">
        <v>3</v>
      </c>
      <c r="T5284">
        <v>1</v>
      </c>
      <c r="U5284">
        <v>2</v>
      </c>
      <c r="V5284">
        <v>1</v>
      </c>
      <c r="W5284">
        <v>30</v>
      </c>
      <c r="X5284">
        <v>22</v>
      </c>
      <c r="Y5284">
        <v>37</v>
      </c>
      <c r="Z5284">
        <v>5</v>
      </c>
      <c r="AA5284">
        <v>1</v>
      </c>
      <c r="AB5284">
        <v>0</v>
      </c>
      <c r="AD5284">
        <v>0</v>
      </c>
      <c r="AE5284">
        <v>0</v>
      </c>
      <c r="AF5284">
        <v>0</v>
      </c>
      <c r="AG5284">
        <v>0</v>
      </c>
      <c r="AI5284">
        <v>0</v>
      </c>
      <c r="AJ5284">
        <v>4</v>
      </c>
      <c r="AK5284">
        <v>113</v>
      </c>
      <c r="AL5284">
        <v>113</v>
      </c>
      <c r="AM5284">
        <v>235</v>
      </c>
      <c r="AN5284">
        <v>48</v>
      </c>
      <c r="AP5284">
        <v>1</v>
      </c>
      <c r="AR5284" t="s">
        <v>5389</v>
      </c>
      <c r="AS5284" s="1">
        <v>44353.987500000003</v>
      </c>
      <c r="AT5284" s="1">
        <v>44353.989386574074</v>
      </c>
      <c r="AU5284" s="1">
        <v>44353.989930555559</v>
      </c>
      <c r="AV5284" t="s">
        <v>71</v>
      </c>
      <c r="AW5284" t="s">
        <v>72</v>
      </c>
      <c r="AX5284" t="s">
        <v>73</v>
      </c>
    </row>
    <row r="5285" spans="1:50" x14ac:dyDescent="0.3">
      <c r="A5285" t="str">
        <f>"200432S0100"</f>
        <v>200432S0100</v>
      </c>
      <c r="B5285" t="str">
        <f>"200432S01002EMR"</f>
        <v>200432S01002EMR</v>
      </c>
      <c r="C5285" t="str">
        <f t="shared" si="264"/>
        <v>20</v>
      </c>
      <c r="D5285" t="s">
        <v>67</v>
      </c>
      <c r="E5285" t="str">
        <f t="shared" si="265"/>
        <v>024</v>
      </c>
      <c r="F5285" t="s">
        <v>5370</v>
      </c>
      <c r="G5285" t="str">
        <f>"0432"</f>
        <v>0432</v>
      </c>
      <c r="H5285" t="str">
        <f>"0001"</f>
        <v>0001</v>
      </c>
      <c r="I5285" t="s">
        <v>85</v>
      </c>
      <c r="J5285">
        <v>0</v>
      </c>
      <c r="K5285">
        <v>1</v>
      </c>
      <c r="L5285" t="s">
        <v>86</v>
      </c>
      <c r="M5285">
        <v>648</v>
      </c>
      <c r="N5285">
        <v>251</v>
      </c>
      <c r="O5285">
        <v>0</v>
      </c>
      <c r="P5285">
        <v>251</v>
      </c>
      <c r="Q5285">
        <v>4</v>
      </c>
      <c r="R5285">
        <v>56</v>
      </c>
      <c r="S5285">
        <v>3</v>
      </c>
      <c r="T5285">
        <v>5</v>
      </c>
      <c r="U5285">
        <v>10</v>
      </c>
      <c r="V5285">
        <v>1</v>
      </c>
      <c r="W5285">
        <v>75</v>
      </c>
      <c r="X5285">
        <v>51</v>
      </c>
      <c r="Y5285">
        <v>30</v>
      </c>
      <c r="Z5285">
        <v>1</v>
      </c>
      <c r="AA5285">
        <v>1</v>
      </c>
      <c r="AB5285">
        <v>0</v>
      </c>
      <c r="AD5285">
        <v>1</v>
      </c>
      <c r="AE5285">
        <v>0</v>
      </c>
      <c r="AF5285">
        <v>0</v>
      </c>
      <c r="AG5285">
        <v>0</v>
      </c>
      <c r="AI5285">
        <v>0</v>
      </c>
      <c r="AJ5285">
        <v>13</v>
      </c>
      <c r="AK5285">
        <v>251</v>
      </c>
      <c r="AL5285">
        <v>251</v>
      </c>
      <c r="AM5285">
        <v>0</v>
      </c>
      <c r="AN5285">
        <v>48</v>
      </c>
      <c r="AP5285">
        <v>1</v>
      </c>
      <c r="AR5285" t="s">
        <v>5390</v>
      </c>
      <c r="AS5285" s="1">
        <v>44354.688888888886</v>
      </c>
      <c r="AT5285" s="1">
        <v>44354.691041666665</v>
      </c>
      <c r="AU5285" s="1">
        <v>44354.691574074073</v>
      </c>
      <c r="AV5285" t="s">
        <v>71</v>
      </c>
      <c r="AW5285" t="s">
        <v>72</v>
      </c>
      <c r="AX5285" t="s">
        <v>73</v>
      </c>
    </row>
    <row r="5286" spans="1:50" x14ac:dyDescent="0.3">
      <c r="A5286" t="str">
        <f>"200433B0000"</f>
        <v>200433B0000</v>
      </c>
      <c r="B5286" t="str">
        <f>"200433B00002"</f>
        <v>200433B00002</v>
      </c>
      <c r="C5286" t="str">
        <f t="shared" si="264"/>
        <v>20</v>
      </c>
      <c r="D5286" t="s">
        <v>67</v>
      </c>
      <c r="E5286" t="str">
        <f t="shared" si="265"/>
        <v>024</v>
      </c>
      <c r="F5286" t="s">
        <v>5370</v>
      </c>
      <c r="G5286" t="str">
        <f t="shared" ref="G5286:G5291" si="266">"0433"</f>
        <v>0433</v>
      </c>
      <c r="H5286" t="str">
        <f>"0000"</f>
        <v>0000</v>
      </c>
      <c r="I5286" t="s">
        <v>69</v>
      </c>
      <c r="J5286">
        <v>0</v>
      </c>
      <c r="K5286">
        <v>1</v>
      </c>
      <c r="L5286">
        <v>2</v>
      </c>
      <c r="M5286">
        <v>361</v>
      </c>
      <c r="N5286">
        <v>362</v>
      </c>
      <c r="O5286">
        <v>7</v>
      </c>
      <c r="P5286" t="s">
        <v>80</v>
      </c>
      <c r="Q5286">
        <v>3</v>
      </c>
      <c r="R5286">
        <v>45</v>
      </c>
      <c r="S5286">
        <v>3</v>
      </c>
      <c r="T5286">
        <v>2</v>
      </c>
      <c r="U5286">
        <v>31</v>
      </c>
      <c r="V5286">
        <v>4</v>
      </c>
      <c r="W5286">
        <v>28</v>
      </c>
      <c r="X5286">
        <v>140</v>
      </c>
      <c r="Y5286">
        <v>78</v>
      </c>
      <c r="Z5286">
        <v>0</v>
      </c>
      <c r="AA5286">
        <v>3</v>
      </c>
      <c r="AB5286">
        <v>17</v>
      </c>
      <c r="AD5286">
        <v>1</v>
      </c>
      <c r="AE5286">
        <v>0</v>
      </c>
      <c r="AF5286">
        <v>0</v>
      </c>
      <c r="AG5286">
        <v>0</v>
      </c>
      <c r="AI5286">
        <v>0</v>
      </c>
      <c r="AJ5286">
        <v>6</v>
      </c>
      <c r="AK5286">
        <v>361</v>
      </c>
      <c r="AL5286">
        <v>361</v>
      </c>
      <c r="AM5286">
        <v>677</v>
      </c>
      <c r="AN5286">
        <v>48</v>
      </c>
      <c r="AP5286">
        <v>1</v>
      </c>
      <c r="AR5286" t="s">
        <v>5391</v>
      </c>
      <c r="AS5286" s="1">
        <v>44354.132638888892</v>
      </c>
      <c r="AT5286" s="1">
        <v>44354.133900462963</v>
      </c>
      <c r="AU5286" s="1">
        <v>44354.135231481479</v>
      </c>
      <c r="AV5286" t="s">
        <v>71</v>
      </c>
      <c r="AW5286" t="s">
        <v>72</v>
      </c>
      <c r="AX5286" t="s">
        <v>73</v>
      </c>
    </row>
    <row r="5287" spans="1:50" x14ac:dyDescent="0.3">
      <c r="A5287" t="str">
        <f>"200433C0100"</f>
        <v>200433C0100</v>
      </c>
      <c r="B5287" t="str">
        <f>"200433C01002"</f>
        <v>200433C01002</v>
      </c>
      <c r="C5287" t="str">
        <f t="shared" si="264"/>
        <v>20</v>
      </c>
      <c r="D5287" t="s">
        <v>67</v>
      </c>
      <c r="E5287" t="str">
        <f t="shared" si="265"/>
        <v>024</v>
      </c>
      <c r="F5287" t="s">
        <v>5370</v>
      </c>
      <c r="G5287" t="str">
        <f t="shared" si="266"/>
        <v>0433</v>
      </c>
      <c r="H5287" t="str">
        <f>"0001"</f>
        <v>0001</v>
      </c>
      <c r="I5287" t="s">
        <v>75</v>
      </c>
      <c r="J5287">
        <v>0</v>
      </c>
      <c r="K5287">
        <v>1</v>
      </c>
      <c r="L5287">
        <v>2</v>
      </c>
      <c r="M5287">
        <v>355</v>
      </c>
      <c r="N5287">
        <v>370</v>
      </c>
      <c r="O5287">
        <v>5</v>
      </c>
      <c r="P5287">
        <v>367</v>
      </c>
      <c r="Q5287">
        <v>7</v>
      </c>
      <c r="R5287">
        <v>41</v>
      </c>
      <c r="S5287">
        <v>3</v>
      </c>
      <c r="T5287">
        <v>0</v>
      </c>
      <c r="U5287">
        <v>34</v>
      </c>
      <c r="V5287">
        <v>8</v>
      </c>
      <c r="W5287">
        <v>32</v>
      </c>
      <c r="X5287">
        <v>130</v>
      </c>
      <c r="Y5287">
        <v>85</v>
      </c>
      <c r="Z5287">
        <v>2</v>
      </c>
      <c r="AA5287">
        <v>1</v>
      </c>
      <c r="AB5287">
        <v>10</v>
      </c>
      <c r="AD5287">
        <v>0</v>
      </c>
      <c r="AE5287">
        <v>0</v>
      </c>
      <c r="AF5287">
        <v>0</v>
      </c>
      <c r="AG5287">
        <v>0</v>
      </c>
      <c r="AI5287">
        <v>0</v>
      </c>
      <c r="AJ5287">
        <v>14</v>
      </c>
      <c r="AK5287">
        <v>367</v>
      </c>
      <c r="AL5287">
        <v>367</v>
      </c>
      <c r="AM5287">
        <v>677</v>
      </c>
      <c r="AN5287">
        <v>48</v>
      </c>
      <c r="AP5287">
        <v>1</v>
      </c>
      <c r="AR5287" t="s">
        <v>5392</v>
      </c>
      <c r="AS5287" s="1">
        <v>44354.129861111112</v>
      </c>
      <c r="AT5287" s="1">
        <v>44354.13140046296</v>
      </c>
      <c r="AU5287" s="1">
        <v>44354.132094907407</v>
      </c>
      <c r="AV5287" t="s">
        <v>71</v>
      </c>
      <c r="AW5287" t="s">
        <v>72</v>
      </c>
      <c r="AX5287" t="s">
        <v>73</v>
      </c>
    </row>
    <row r="5288" spans="1:50" x14ac:dyDescent="0.3">
      <c r="A5288" t="str">
        <f>"200433C0200"</f>
        <v>200433C0200</v>
      </c>
      <c r="B5288" t="str">
        <f>"200433C02002"</f>
        <v>200433C02002</v>
      </c>
      <c r="C5288" t="str">
        <f t="shared" si="264"/>
        <v>20</v>
      </c>
      <c r="D5288" t="s">
        <v>67</v>
      </c>
      <c r="E5288" t="str">
        <f t="shared" si="265"/>
        <v>024</v>
      </c>
      <c r="F5288" t="s">
        <v>5370</v>
      </c>
      <c r="G5288" t="str">
        <f t="shared" si="266"/>
        <v>0433</v>
      </c>
      <c r="H5288" t="str">
        <f>"0002"</f>
        <v>0002</v>
      </c>
      <c r="I5288" t="s">
        <v>75</v>
      </c>
      <c r="J5288">
        <v>0</v>
      </c>
      <c r="K5288">
        <v>1</v>
      </c>
      <c r="L5288">
        <v>2</v>
      </c>
      <c r="M5288">
        <v>326</v>
      </c>
      <c r="N5288">
        <v>398</v>
      </c>
      <c r="O5288">
        <v>9</v>
      </c>
      <c r="P5288">
        <v>398</v>
      </c>
      <c r="Q5288">
        <v>7</v>
      </c>
      <c r="R5288">
        <v>40</v>
      </c>
      <c r="S5288">
        <v>0</v>
      </c>
      <c r="T5288">
        <v>6</v>
      </c>
      <c r="U5288">
        <v>43</v>
      </c>
      <c r="V5288">
        <v>1</v>
      </c>
      <c r="W5288">
        <v>40</v>
      </c>
      <c r="X5288">
        <v>130</v>
      </c>
      <c r="Y5288">
        <v>107</v>
      </c>
      <c r="Z5288">
        <v>1</v>
      </c>
      <c r="AA5288">
        <v>2</v>
      </c>
      <c r="AB5288">
        <v>10</v>
      </c>
      <c r="AD5288">
        <v>0</v>
      </c>
      <c r="AE5288">
        <v>0</v>
      </c>
      <c r="AF5288">
        <v>0</v>
      </c>
      <c r="AG5288">
        <v>0</v>
      </c>
      <c r="AI5288">
        <v>0</v>
      </c>
      <c r="AJ5288">
        <v>13</v>
      </c>
      <c r="AK5288">
        <v>398</v>
      </c>
      <c r="AL5288">
        <v>400</v>
      </c>
      <c r="AM5288">
        <v>676</v>
      </c>
      <c r="AN5288">
        <v>48</v>
      </c>
      <c r="AP5288">
        <v>1</v>
      </c>
      <c r="AR5288" t="s">
        <v>5393</v>
      </c>
      <c r="AS5288" s="1">
        <v>44354.129861111112</v>
      </c>
      <c r="AT5288" s="1">
        <v>44354.131215277775</v>
      </c>
      <c r="AU5288" s="1">
        <v>44354.131944444445</v>
      </c>
      <c r="AV5288" t="s">
        <v>71</v>
      </c>
      <c r="AW5288" t="s">
        <v>72</v>
      </c>
      <c r="AX5288" t="s">
        <v>73</v>
      </c>
    </row>
    <row r="5289" spans="1:50" x14ac:dyDescent="0.3">
      <c r="A5289" t="str">
        <f>"200433C0300"</f>
        <v>200433C0300</v>
      </c>
      <c r="B5289" t="str">
        <f>"200433C03002"</f>
        <v>200433C03002</v>
      </c>
      <c r="C5289" t="str">
        <f t="shared" si="264"/>
        <v>20</v>
      </c>
      <c r="D5289" t="s">
        <v>67</v>
      </c>
      <c r="E5289" t="str">
        <f t="shared" si="265"/>
        <v>024</v>
      </c>
      <c r="F5289" t="s">
        <v>5370</v>
      </c>
      <c r="G5289" t="str">
        <f t="shared" si="266"/>
        <v>0433</v>
      </c>
      <c r="H5289" t="str">
        <f>"0003"</f>
        <v>0003</v>
      </c>
      <c r="I5289" t="s">
        <v>75</v>
      </c>
      <c r="J5289">
        <v>0</v>
      </c>
      <c r="K5289">
        <v>1</v>
      </c>
      <c r="L5289">
        <v>2</v>
      </c>
      <c r="AM5289">
        <v>676</v>
      </c>
      <c r="AN5289">
        <v>48</v>
      </c>
      <c r="AO5289" t="s">
        <v>143</v>
      </c>
      <c r="AP5289">
        <v>0</v>
      </c>
      <c r="AR5289" t="s">
        <v>5394</v>
      </c>
      <c r="AS5289" s="1">
        <v>44354.633333333331</v>
      </c>
      <c r="AT5289" s="1">
        <v>44354.644942129627</v>
      </c>
      <c r="AU5289" s="1">
        <v>44354.644942129627</v>
      </c>
      <c r="AV5289" t="s">
        <v>71</v>
      </c>
      <c r="AW5289" t="s">
        <v>72</v>
      </c>
      <c r="AX5289" t="s">
        <v>73</v>
      </c>
    </row>
    <row r="5290" spans="1:50" x14ac:dyDescent="0.3">
      <c r="A5290" t="str">
        <f>"200433C0400"</f>
        <v>200433C0400</v>
      </c>
      <c r="B5290" t="str">
        <f>"200433C04002"</f>
        <v>200433C04002</v>
      </c>
      <c r="C5290" t="str">
        <f t="shared" si="264"/>
        <v>20</v>
      </c>
      <c r="D5290" t="s">
        <v>67</v>
      </c>
      <c r="E5290" t="str">
        <f t="shared" si="265"/>
        <v>024</v>
      </c>
      <c r="F5290" t="s">
        <v>5370</v>
      </c>
      <c r="G5290" t="str">
        <f t="shared" si="266"/>
        <v>0433</v>
      </c>
      <c r="H5290" t="str">
        <f>"0004"</f>
        <v>0004</v>
      </c>
      <c r="I5290" t="s">
        <v>75</v>
      </c>
      <c r="J5290">
        <v>0</v>
      </c>
      <c r="K5290">
        <v>1</v>
      </c>
      <c r="L5290">
        <v>2</v>
      </c>
      <c r="M5290">
        <v>325</v>
      </c>
      <c r="N5290">
        <v>399</v>
      </c>
      <c r="O5290">
        <v>9</v>
      </c>
      <c r="P5290">
        <v>3</v>
      </c>
      <c r="Q5290">
        <v>6</v>
      </c>
      <c r="R5290">
        <v>38</v>
      </c>
      <c r="S5290">
        <v>7</v>
      </c>
      <c r="T5290">
        <v>7</v>
      </c>
      <c r="U5290">
        <v>31</v>
      </c>
      <c r="V5290">
        <v>2</v>
      </c>
      <c r="W5290">
        <v>42</v>
      </c>
      <c r="X5290">
        <v>159</v>
      </c>
      <c r="Y5290">
        <v>72</v>
      </c>
      <c r="Z5290">
        <v>4</v>
      </c>
      <c r="AA5290">
        <v>4</v>
      </c>
      <c r="AB5290">
        <v>9</v>
      </c>
      <c r="AD5290">
        <v>1</v>
      </c>
      <c r="AE5290">
        <v>0</v>
      </c>
      <c r="AF5290">
        <v>0</v>
      </c>
      <c r="AG5290">
        <v>0</v>
      </c>
      <c r="AI5290">
        <v>0</v>
      </c>
      <c r="AJ5290">
        <v>19</v>
      </c>
      <c r="AK5290">
        <v>401</v>
      </c>
      <c r="AL5290">
        <v>401</v>
      </c>
      <c r="AM5290">
        <v>676</v>
      </c>
      <c r="AN5290">
        <v>48</v>
      </c>
      <c r="AP5290">
        <v>1</v>
      </c>
      <c r="AR5290" t="s">
        <v>5395</v>
      </c>
      <c r="AS5290" s="1">
        <v>44354.127083333333</v>
      </c>
      <c r="AT5290" s="1">
        <v>44354.129062499997</v>
      </c>
      <c r="AU5290" s="1">
        <v>44354.130011574074</v>
      </c>
      <c r="AV5290" t="s">
        <v>71</v>
      </c>
      <c r="AW5290" t="s">
        <v>72</v>
      </c>
      <c r="AX5290" t="s">
        <v>73</v>
      </c>
    </row>
    <row r="5291" spans="1:50" x14ac:dyDescent="0.3">
      <c r="A5291" t="str">
        <f>"200433C0500"</f>
        <v>200433C0500</v>
      </c>
      <c r="B5291" t="str">
        <f>"200433C05002"</f>
        <v>200433C05002</v>
      </c>
      <c r="C5291" t="str">
        <f t="shared" si="264"/>
        <v>20</v>
      </c>
      <c r="D5291" t="s">
        <v>67</v>
      </c>
      <c r="E5291" t="str">
        <f t="shared" si="265"/>
        <v>024</v>
      </c>
      <c r="F5291" t="s">
        <v>5370</v>
      </c>
      <c r="G5291" t="str">
        <f t="shared" si="266"/>
        <v>0433</v>
      </c>
      <c r="H5291" t="str">
        <f>"0005"</f>
        <v>0005</v>
      </c>
      <c r="I5291" t="s">
        <v>75</v>
      </c>
      <c r="J5291">
        <v>0</v>
      </c>
      <c r="K5291">
        <v>1</v>
      </c>
      <c r="L5291">
        <v>2</v>
      </c>
      <c r="M5291">
        <v>351</v>
      </c>
      <c r="N5291">
        <v>385</v>
      </c>
      <c r="O5291">
        <v>8</v>
      </c>
      <c r="P5291">
        <v>377</v>
      </c>
      <c r="Q5291">
        <v>8</v>
      </c>
      <c r="R5291">
        <v>55</v>
      </c>
      <c r="S5291">
        <v>1</v>
      </c>
      <c r="T5291">
        <v>3</v>
      </c>
      <c r="U5291">
        <v>33</v>
      </c>
      <c r="V5291">
        <v>4</v>
      </c>
      <c r="W5291">
        <v>34</v>
      </c>
      <c r="X5291">
        <v>118</v>
      </c>
      <c r="Y5291">
        <v>86</v>
      </c>
      <c r="Z5291">
        <v>1</v>
      </c>
      <c r="AA5291">
        <v>0</v>
      </c>
      <c r="AB5291">
        <v>14</v>
      </c>
      <c r="AD5291">
        <v>1</v>
      </c>
      <c r="AE5291">
        <v>0</v>
      </c>
      <c r="AF5291">
        <v>0</v>
      </c>
      <c r="AG5291">
        <v>0</v>
      </c>
      <c r="AI5291">
        <v>0</v>
      </c>
      <c r="AJ5291">
        <v>19</v>
      </c>
      <c r="AK5291">
        <v>377</v>
      </c>
      <c r="AL5291">
        <v>377</v>
      </c>
      <c r="AM5291">
        <v>676</v>
      </c>
      <c r="AN5291">
        <v>48</v>
      </c>
      <c r="AP5291">
        <v>1</v>
      </c>
      <c r="AR5291" t="s">
        <v>5396</v>
      </c>
      <c r="AS5291" s="1">
        <v>44354.137499999997</v>
      </c>
      <c r="AT5291" s="1">
        <v>44354.139513888891</v>
      </c>
      <c r="AU5291" s="1">
        <v>44354.140243055554</v>
      </c>
      <c r="AV5291" t="s">
        <v>71</v>
      </c>
      <c r="AW5291" t="s">
        <v>72</v>
      </c>
      <c r="AX5291" t="s">
        <v>73</v>
      </c>
    </row>
    <row r="5292" spans="1:50" x14ac:dyDescent="0.3">
      <c r="A5292" t="str">
        <f>"200434B0000"</f>
        <v>200434B0000</v>
      </c>
      <c r="B5292" t="str">
        <f>"200434B00002"</f>
        <v>200434B00002</v>
      </c>
      <c r="C5292" t="str">
        <f t="shared" si="264"/>
        <v>20</v>
      </c>
      <c r="D5292" t="s">
        <v>67</v>
      </c>
      <c r="E5292" t="str">
        <f t="shared" si="265"/>
        <v>024</v>
      </c>
      <c r="F5292" t="s">
        <v>5370</v>
      </c>
      <c r="G5292" t="str">
        <f>"0434"</f>
        <v>0434</v>
      </c>
      <c r="H5292" t="str">
        <f>"0000"</f>
        <v>0000</v>
      </c>
      <c r="I5292" t="s">
        <v>69</v>
      </c>
      <c r="J5292">
        <v>0</v>
      </c>
      <c r="K5292">
        <v>1</v>
      </c>
      <c r="L5292">
        <v>2</v>
      </c>
      <c r="M5292">
        <v>240</v>
      </c>
      <c r="N5292">
        <v>343</v>
      </c>
      <c r="O5292">
        <v>8</v>
      </c>
      <c r="P5292">
        <v>334</v>
      </c>
      <c r="Q5292">
        <v>5</v>
      </c>
      <c r="R5292">
        <v>28</v>
      </c>
      <c r="S5292" t="s">
        <v>77</v>
      </c>
      <c r="T5292">
        <v>6</v>
      </c>
      <c r="U5292">
        <v>35</v>
      </c>
      <c r="V5292">
        <v>5</v>
      </c>
      <c r="W5292">
        <v>37</v>
      </c>
      <c r="X5292">
        <v>121</v>
      </c>
      <c r="Y5292">
        <v>73</v>
      </c>
      <c r="Z5292">
        <v>3</v>
      </c>
      <c r="AA5292">
        <v>2</v>
      </c>
      <c r="AB5292">
        <v>18</v>
      </c>
      <c r="AD5292">
        <v>33</v>
      </c>
      <c r="AE5292" t="s">
        <v>77</v>
      </c>
      <c r="AF5292" t="s">
        <v>77</v>
      </c>
      <c r="AG5292" t="s">
        <v>77</v>
      </c>
      <c r="AI5292" t="s">
        <v>77</v>
      </c>
      <c r="AJ5292">
        <v>10</v>
      </c>
      <c r="AK5292">
        <v>334</v>
      </c>
      <c r="AL5292">
        <v>376</v>
      </c>
      <c r="AM5292">
        <v>535</v>
      </c>
      <c r="AN5292">
        <v>48</v>
      </c>
      <c r="AO5292" t="s">
        <v>78</v>
      </c>
      <c r="AP5292">
        <v>1</v>
      </c>
      <c r="AR5292" t="s">
        <v>5397</v>
      </c>
      <c r="AS5292" s="1">
        <v>44354.212500000001</v>
      </c>
      <c r="AT5292" s="1">
        <v>44354.243541666663</v>
      </c>
      <c r="AU5292" s="1">
        <v>44354.283530092594</v>
      </c>
      <c r="AV5292" t="s">
        <v>71</v>
      </c>
      <c r="AW5292" t="s">
        <v>72</v>
      </c>
      <c r="AX5292" t="s">
        <v>73</v>
      </c>
    </row>
    <row r="5293" spans="1:50" x14ac:dyDescent="0.3">
      <c r="A5293" t="str">
        <f>"200434C0100"</f>
        <v>200434C0100</v>
      </c>
      <c r="B5293" t="str">
        <f>"200434C01002"</f>
        <v>200434C01002</v>
      </c>
      <c r="C5293" t="str">
        <f t="shared" si="264"/>
        <v>20</v>
      </c>
      <c r="D5293" t="s">
        <v>67</v>
      </c>
      <c r="E5293" t="str">
        <f t="shared" si="265"/>
        <v>024</v>
      </c>
      <c r="F5293" t="s">
        <v>5370</v>
      </c>
      <c r="G5293" t="str">
        <f>"0434"</f>
        <v>0434</v>
      </c>
      <c r="H5293" t="str">
        <f>"0001"</f>
        <v>0001</v>
      </c>
      <c r="I5293" t="s">
        <v>75</v>
      </c>
      <c r="J5293">
        <v>0</v>
      </c>
      <c r="K5293">
        <v>1</v>
      </c>
      <c r="L5293">
        <v>2</v>
      </c>
      <c r="M5293">
        <v>268</v>
      </c>
      <c r="N5293">
        <v>315</v>
      </c>
      <c r="O5293">
        <v>7</v>
      </c>
      <c r="P5293">
        <v>315</v>
      </c>
      <c r="Q5293">
        <v>6</v>
      </c>
      <c r="R5293">
        <v>38</v>
      </c>
      <c r="S5293">
        <v>3</v>
      </c>
      <c r="T5293">
        <v>1</v>
      </c>
      <c r="U5293">
        <v>42</v>
      </c>
      <c r="V5293">
        <v>4</v>
      </c>
      <c r="W5293">
        <v>19</v>
      </c>
      <c r="X5293">
        <v>124</v>
      </c>
      <c r="Y5293">
        <v>49</v>
      </c>
      <c r="Z5293">
        <v>2</v>
      </c>
      <c r="AA5293">
        <v>2</v>
      </c>
      <c r="AB5293">
        <v>9</v>
      </c>
      <c r="AD5293">
        <v>1</v>
      </c>
      <c r="AE5293">
        <v>0</v>
      </c>
      <c r="AF5293">
        <v>0</v>
      </c>
      <c r="AG5293">
        <v>1</v>
      </c>
      <c r="AI5293">
        <v>0</v>
      </c>
      <c r="AJ5293">
        <v>14</v>
      </c>
      <c r="AK5293">
        <v>315</v>
      </c>
      <c r="AL5293">
        <v>315</v>
      </c>
      <c r="AM5293">
        <v>535</v>
      </c>
      <c r="AN5293">
        <v>48</v>
      </c>
      <c r="AP5293">
        <v>1</v>
      </c>
      <c r="AR5293" t="s">
        <v>5398</v>
      </c>
      <c r="AS5293" s="1">
        <v>44354.212500000001</v>
      </c>
      <c r="AT5293" s="1">
        <v>44354.214305555557</v>
      </c>
      <c r="AU5293" s="1">
        <v>44354.214826388888</v>
      </c>
      <c r="AV5293" t="s">
        <v>71</v>
      </c>
      <c r="AW5293" t="s">
        <v>72</v>
      </c>
      <c r="AX5293" t="s">
        <v>73</v>
      </c>
    </row>
    <row r="5294" spans="1:50" x14ac:dyDescent="0.3">
      <c r="A5294" t="str">
        <f>"200434C0200"</f>
        <v>200434C0200</v>
      </c>
      <c r="B5294" t="str">
        <f>"200434C02002"</f>
        <v>200434C02002</v>
      </c>
      <c r="C5294" t="str">
        <f t="shared" si="264"/>
        <v>20</v>
      </c>
      <c r="D5294" t="s">
        <v>67</v>
      </c>
      <c r="E5294" t="str">
        <f t="shared" si="265"/>
        <v>024</v>
      </c>
      <c r="F5294" t="s">
        <v>5370</v>
      </c>
      <c r="G5294" t="str">
        <f>"0434"</f>
        <v>0434</v>
      </c>
      <c r="H5294" t="str">
        <f>"0002"</f>
        <v>0002</v>
      </c>
      <c r="I5294" t="s">
        <v>75</v>
      </c>
      <c r="J5294">
        <v>0</v>
      </c>
      <c r="K5294">
        <v>1</v>
      </c>
      <c r="L5294">
        <v>2</v>
      </c>
      <c r="M5294">
        <v>220</v>
      </c>
      <c r="N5294">
        <v>362</v>
      </c>
      <c r="O5294">
        <v>6</v>
      </c>
      <c r="P5294">
        <v>362</v>
      </c>
      <c r="Q5294">
        <v>5</v>
      </c>
      <c r="R5294">
        <v>56</v>
      </c>
      <c r="S5294">
        <v>2</v>
      </c>
      <c r="T5294">
        <v>0</v>
      </c>
      <c r="U5294">
        <v>45</v>
      </c>
      <c r="V5294">
        <v>4</v>
      </c>
      <c r="W5294">
        <v>18</v>
      </c>
      <c r="X5294">
        <v>139</v>
      </c>
      <c r="Y5294">
        <v>63</v>
      </c>
      <c r="Z5294">
        <v>4</v>
      </c>
      <c r="AA5294">
        <v>5</v>
      </c>
      <c r="AB5294">
        <v>8</v>
      </c>
      <c r="AD5294">
        <v>0</v>
      </c>
      <c r="AE5294">
        <v>0</v>
      </c>
      <c r="AF5294">
        <v>0</v>
      </c>
      <c r="AG5294">
        <v>1</v>
      </c>
      <c r="AI5294">
        <v>0</v>
      </c>
      <c r="AJ5294">
        <v>12</v>
      </c>
      <c r="AK5294">
        <v>362</v>
      </c>
      <c r="AL5294">
        <v>362</v>
      </c>
      <c r="AM5294">
        <v>534</v>
      </c>
      <c r="AN5294">
        <v>48</v>
      </c>
      <c r="AP5294">
        <v>1</v>
      </c>
      <c r="AR5294" t="s">
        <v>5399</v>
      </c>
      <c r="AS5294" s="1">
        <v>44354.06527777778</v>
      </c>
      <c r="AT5294" s="1">
        <v>44354.070162037038</v>
      </c>
      <c r="AU5294" s="1">
        <v>44354.070949074077</v>
      </c>
      <c r="AV5294" t="s">
        <v>71</v>
      </c>
      <c r="AW5294" t="s">
        <v>72</v>
      </c>
      <c r="AX5294" t="s">
        <v>73</v>
      </c>
    </row>
    <row r="5295" spans="1:50" x14ac:dyDescent="0.3">
      <c r="A5295" t="str">
        <f>"200434E0100"</f>
        <v>200434E0100</v>
      </c>
      <c r="B5295" t="str">
        <f>"200434E01002"</f>
        <v>200434E01002</v>
      </c>
      <c r="C5295" t="str">
        <f t="shared" si="264"/>
        <v>20</v>
      </c>
      <c r="D5295" t="s">
        <v>67</v>
      </c>
      <c r="E5295" t="str">
        <f t="shared" si="265"/>
        <v>024</v>
      </c>
      <c r="F5295" t="s">
        <v>5370</v>
      </c>
      <c r="G5295" t="str">
        <f>"0434"</f>
        <v>0434</v>
      </c>
      <c r="H5295" t="str">
        <f>"0001"</f>
        <v>0001</v>
      </c>
      <c r="I5295" t="s">
        <v>109</v>
      </c>
      <c r="J5295">
        <v>0</v>
      </c>
      <c r="K5295">
        <v>1</v>
      </c>
      <c r="L5295">
        <v>2</v>
      </c>
      <c r="M5295">
        <v>157</v>
      </c>
      <c r="N5295">
        <v>198</v>
      </c>
      <c r="O5295">
        <v>3</v>
      </c>
      <c r="P5295">
        <v>198</v>
      </c>
      <c r="Q5295">
        <v>3</v>
      </c>
      <c r="R5295">
        <v>27</v>
      </c>
      <c r="S5295">
        <v>1</v>
      </c>
      <c r="T5295">
        <v>6</v>
      </c>
      <c r="U5295">
        <v>5</v>
      </c>
      <c r="V5295">
        <v>2</v>
      </c>
      <c r="W5295">
        <v>45</v>
      </c>
      <c r="X5295">
        <v>49</v>
      </c>
      <c r="Y5295">
        <v>50</v>
      </c>
      <c r="Z5295">
        <v>0</v>
      </c>
      <c r="AA5295">
        <v>0</v>
      </c>
      <c r="AB5295">
        <v>1</v>
      </c>
      <c r="AD5295">
        <v>0</v>
      </c>
      <c r="AE5295">
        <v>0</v>
      </c>
      <c r="AF5295">
        <v>0</v>
      </c>
      <c r="AG5295">
        <v>0</v>
      </c>
      <c r="AI5295">
        <v>0</v>
      </c>
      <c r="AJ5295">
        <v>9</v>
      </c>
      <c r="AK5295">
        <v>198</v>
      </c>
      <c r="AL5295">
        <v>198</v>
      </c>
      <c r="AM5295">
        <v>307</v>
      </c>
      <c r="AN5295">
        <v>48</v>
      </c>
      <c r="AP5295">
        <v>1</v>
      </c>
      <c r="AR5295" t="s">
        <v>5400</v>
      </c>
      <c r="AS5295" s="1">
        <v>44353.947916666664</v>
      </c>
      <c r="AT5295" s="1">
        <v>44353.950243055559</v>
      </c>
      <c r="AU5295" s="1">
        <v>44353.950914351852</v>
      </c>
      <c r="AV5295" t="s">
        <v>71</v>
      </c>
      <c r="AW5295" t="s">
        <v>72</v>
      </c>
      <c r="AX5295" t="s">
        <v>73</v>
      </c>
    </row>
    <row r="5296" spans="1:50" x14ac:dyDescent="0.3">
      <c r="A5296" t="str">
        <f>"200435B0000"</f>
        <v>200435B0000</v>
      </c>
      <c r="B5296" t="str">
        <f>"200435B00002"</f>
        <v>200435B00002</v>
      </c>
      <c r="C5296" t="str">
        <f t="shared" si="264"/>
        <v>20</v>
      </c>
      <c r="D5296" t="s">
        <v>67</v>
      </c>
      <c r="E5296" t="str">
        <f t="shared" si="265"/>
        <v>024</v>
      </c>
      <c r="F5296" t="s">
        <v>5370</v>
      </c>
      <c r="G5296" t="str">
        <f>"0435"</f>
        <v>0435</v>
      </c>
      <c r="H5296" t="str">
        <f>"0000"</f>
        <v>0000</v>
      </c>
      <c r="I5296" t="s">
        <v>69</v>
      </c>
      <c r="J5296">
        <v>0</v>
      </c>
      <c r="K5296">
        <v>1</v>
      </c>
      <c r="L5296">
        <v>2</v>
      </c>
      <c r="M5296">
        <v>256</v>
      </c>
      <c r="N5296">
        <v>298</v>
      </c>
      <c r="O5296">
        <v>6</v>
      </c>
      <c r="P5296">
        <v>298</v>
      </c>
      <c r="Q5296">
        <v>6</v>
      </c>
      <c r="R5296">
        <v>23</v>
      </c>
      <c r="S5296">
        <v>4</v>
      </c>
      <c r="T5296">
        <v>2</v>
      </c>
      <c r="U5296">
        <v>43</v>
      </c>
      <c r="V5296">
        <v>1</v>
      </c>
      <c r="W5296">
        <v>21</v>
      </c>
      <c r="X5296">
        <v>118</v>
      </c>
      <c r="Y5296">
        <v>56</v>
      </c>
      <c r="Z5296">
        <v>1</v>
      </c>
      <c r="AA5296">
        <v>2</v>
      </c>
      <c r="AB5296">
        <v>7</v>
      </c>
      <c r="AD5296">
        <v>0</v>
      </c>
      <c r="AE5296">
        <v>0</v>
      </c>
      <c r="AF5296">
        <v>0</v>
      </c>
      <c r="AG5296">
        <v>1</v>
      </c>
      <c r="AI5296">
        <v>0</v>
      </c>
      <c r="AJ5296">
        <v>13</v>
      </c>
      <c r="AK5296">
        <v>298</v>
      </c>
      <c r="AL5296">
        <v>298</v>
      </c>
      <c r="AM5296">
        <v>506</v>
      </c>
      <c r="AN5296">
        <v>48</v>
      </c>
      <c r="AP5296">
        <v>1</v>
      </c>
      <c r="AR5296" t="s">
        <v>5401</v>
      </c>
      <c r="AS5296" s="1">
        <v>44354.051388888889</v>
      </c>
      <c r="AT5296" s="1">
        <v>44354.057245370372</v>
      </c>
      <c r="AU5296" s="1">
        <v>44354.057812500003</v>
      </c>
      <c r="AV5296" t="s">
        <v>71</v>
      </c>
      <c r="AW5296" t="s">
        <v>72</v>
      </c>
      <c r="AX5296" t="s">
        <v>73</v>
      </c>
    </row>
    <row r="5297" spans="1:50" x14ac:dyDescent="0.3">
      <c r="A5297" t="str">
        <f>"200435C0100"</f>
        <v>200435C0100</v>
      </c>
      <c r="B5297" t="str">
        <f>"200435C01002"</f>
        <v>200435C01002</v>
      </c>
      <c r="C5297" t="str">
        <f t="shared" si="264"/>
        <v>20</v>
      </c>
      <c r="D5297" t="s">
        <v>67</v>
      </c>
      <c r="E5297" t="str">
        <f t="shared" si="265"/>
        <v>024</v>
      </c>
      <c r="F5297" t="s">
        <v>5370</v>
      </c>
      <c r="G5297" t="str">
        <f>"0435"</f>
        <v>0435</v>
      </c>
      <c r="H5297" t="str">
        <f>"0001"</f>
        <v>0001</v>
      </c>
      <c r="I5297" t="s">
        <v>75</v>
      </c>
      <c r="J5297">
        <v>0</v>
      </c>
      <c r="K5297">
        <v>1</v>
      </c>
      <c r="L5297">
        <v>2</v>
      </c>
      <c r="M5297">
        <v>249</v>
      </c>
      <c r="N5297">
        <v>305</v>
      </c>
      <c r="O5297">
        <v>10</v>
      </c>
      <c r="P5297">
        <v>305</v>
      </c>
      <c r="Q5297">
        <v>7</v>
      </c>
      <c r="R5297">
        <v>33</v>
      </c>
      <c r="S5297">
        <v>1</v>
      </c>
      <c r="T5297">
        <v>4</v>
      </c>
      <c r="U5297">
        <v>27</v>
      </c>
      <c r="V5297">
        <v>2</v>
      </c>
      <c r="W5297">
        <v>17</v>
      </c>
      <c r="X5297">
        <v>130</v>
      </c>
      <c r="Y5297">
        <v>53</v>
      </c>
      <c r="Z5297">
        <v>0</v>
      </c>
      <c r="AA5297">
        <v>1</v>
      </c>
      <c r="AB5297">
        <v>17</v>
      </c>
      <c r="AD5297">
        <v>0</v>
      </c>
      <c r="AE5297">
        <v>0</v>
      </c>
      <c r="AF5297">
        <v>0</v>
      </c>
      <c r="AG5297">
        <v>0</v>
      </c>
      <c r="AI5297">
        <v>0</v>
      </c>
      <c r="AJ5297">
        <v>13</v>
      </c>
      <c r="AK5297">
        <v>305</v>
      </c>
      <c r="AL5297">
        <v>305</v>
      </c>
      <c r="AM5297">
        <v>506</v>
      </c>
      <c r="AN5297">
        <v>48</v>
      </c>
      <c r="AP5297">
        <v>1</v>
      </c>
      <c r="AR5297" t="s">
        <v>5402</v>
      </c>
      <c r="AS5297" s="1">
        <v>44354.050694444442</v>
      </c>
      <c r="AT5297" s="1">
        <v>44354.055717592593</v>
      </c>
      <c r="AU5297" s="1">
        <v>44354.056400462963</v>
      </c>
      <c r="AV5297" t="s">
        <v>71</v>
      </c>
      <c r="AW5297" t="s">
        <v>72</v>
      </c>
      <c r="AX5297" t="s">
        <v>73</v>
      </c>
    </row>
    <row r="5298" spans="1:50" x14ac:dyDescent="0.3">
      <c r="A5298" t="str">
        <f>"200435C0200"</f>
        <v>200435C0200</v>
      </c>
      <c r="B5298" t="str">
        <f>"200435C02002"</f>
        <v>200435C02002</v>
      </c>
      <c r="C5298" t="str">
        <f t="shared" si="264"/>
        <v>20</v>
      </c>
      <c r="D5298" t="s">
        <v>67</v>
      </c>
      <c r="E5298" t="str">
        <f t="shared" si="265"/>
        <v>024</v>
      </c>
      <c r="F5298" t="s">
        <v>5370</v>
      </c>
      <c r="G5298" t="str">
        <f>"0435"</f>
        <v>0435</v>
      </c>
      <c r="H5298" t="str">
        <f>"0002"</f>
        <v>0002</v>
      </c>
      <c r="I5298" t="s">
        <v>75</v>
      </c>
      <c r="J5298">
        <v>0</v>
      </c>
      <c r="K5298">
        <v>1</v>
      </c>
      <c r="L5298">
        <v>2</v>
      </c>
      <c r="M5298">
        <v>227</v>
      </c>
      <c r="N5298">
        <v>327</v>
      </c>
      <c r="O5298">
        <v>7</v>
      </c>
      <c r="P5298">
        <v>327</v>
      </c>
      <c r="Q5298">
        <v>2</v>
      </c>
      <c r="R5298">
        <v>54</v>
      </c>
      <c r="S5298">
        <v>4</v>
      </c>
      <c r="T5298">
        <v>5</v>
      </c>
      <c r="U5298">
        <v>26</v>
      </c>
      <c r="V5298">
        <v>3</v>
      </c>
      <c r="W5298">
        <v>31</v>
      </c>
      <c r="X5298">
        <v>100</v>
      </c>
      <c r="Y5298">
        <v>69</v>
      </c>
      <c r="Z5298">
        <v>5</v>
      </c>
      <c r="AA5298">
        <v>1</v>
      </c>
      <c r="AB5298">
        <v>12</v>
      </c>
      <c r="AD5298">
        <v>1</v>
      </c>
      <c r="AE5298">
        <v>0</v>
      </c>
      <c r="AF5298">
        <v>0</v>
      </c>
      <c r="AG5298">
        <v>0</v>
      </c>
      <c r="AI5298">
        <v>0</v>
      </c>
      <c r="AJ5298">
        <v>14</v>
      </c>
      <c r="AK5298">
        <v>327</v>
      </c>
      <c r="AL5298">
        <v>327</v>
      </c>
      <c r="AM5298">
        <v>506</v>
      </c>
      <c r="AN5298">
        <v>48</v>
      </c>
      <c r="AP5298">
        <v>1</v>
      </c>
      <c r="AR5298" t="s">
        <v>5403</v>
      </c>
      <c r="AS5298" s="1">
        <v>44354.040972222225</v>
      </c>
      <c r="AT5298" s="1">
        <v>44354.049687500003</v>
      </c>
      <c r="AU5298" s="1">
        <v>44354.05027777778</v>
      </c>
      <c r="AV5298" t="s">
        <v>71</v>
      </c>
      <c r="AW5298" t="s">
        <v>72</v>
      </c>
      <c r="AX5298" t="s">
        <v>73</v>
      </c>
    </row>
    <row r="5299" spans="1:50" x14ac:dyDescent="0.3">
      <c r="A5299" t="str">
        <f>"200436B0000"</f>
        <v>200436B0000</v>
      </c>
      <c r="B5299" t="str">
        <f>"200436B00002"</f>
        <v>200436B00002</v>
      </c>
      <c r="C5299" t="str">
        <f t="shared" si="264"/>
        <v>20</v>
      </c>
      <c r="D5299" t="s">
        <v>67</v>
      </c>
      <c r="E5299" t="str">
        <f t="shared" si="265"/>
        <v>024</v>
      </c>
      <c r="F5299" t="s">
        <v>5370</v>
      </c>
      <c r="G5299" t="str">
        <f>"0436"</f>
        <v>0436</v>
      </c>
      <c r="H5299" t="str">
        <f>"0000"</f>
        <v>0000</v>
      </c>
      <c r="I5299" t="s">
        <v>69</v>
      </c>
      <c r="J5299">
        <v>0</v>
      </c>
      <c r="K5299">
        <v>1</v>
      </c>
      <c r="L5299">
        <v>2</v>
      </c>
      <c r="M5299">
        <v>259</v>
      </c>
      <c r="N5299">
        <v>322</v>
      </c>
      <c r="O5299">
        <v>7</v>
      </c>
      <c r="P5299">
        <v>322</v>
      </c>
      <c r="Q5299">
        <v>7</v>
      </c>
      <c r="R5299">
        <v>35</v>
      </c>
      <c r="S5299">
        <v>3</v>
      </c>
      <c r="T5299">
        <v>5</v>
      </c>
      <c r="U5299">
        <v>37</v>
      </c>
      <c r="V5299">
        <v>2</v>
      </c>
      <c r="W5299">
        <v>29</v>
      </c>
      <c r="X5299">
        <v>126</v>
      </c>
      <c r="Y5299">
        <v>58</v>
      </c>
      <c r="Z5299">
        <v>2</v>
      </c>
      <c r="AA5299">
        <v>0</v>
      </c>
      <c r="AB5299">
        <v>6</v>
      </c>
      <c r="AD5299">
        <v>0</v>
      </c>
      <c r="AE5299">
        <v>0</v>
      </c>
      <c r="AF5299">
        <v>0</v>
      </c>
      <c r="AG5299">
        <v>1</v>
      </c>
      <c r="AI5299">
        <v>0</v>
      </c>
      <c r="AJ5299">
        <v>11</v>
      </c>
      <c r="AK5299">
        <v>322</v>
      </c>
      <c r="AL5299">
        <v>322</v>
      </c>
      <c r="AM5299">
        <v>533</v>
      </c>
      <c r="AN5299">
        <v>48</v>
      </c>
      <c r="AP5299">
        <v>1</v>
      </c>
      <c r="AR5299" t="s">
        <v>5404</v>
      </c>
      <c r="AS5299" s="1">
        <v>44354.020833333336</v>
      </c>
      <c r="AT5299" s="1">
        <v>44354.029027777775</v>
      </c>
      <c r="AU5299" s="1">
        <v>44354.029687499999</v>
      </c>
      <c r="AV5299" t="s">
        <v>71</v>
      </c>
      <c r="AW5299" t="s">
        <v>72</v>
      </c>
      <c r="AX5299" t="s">
        <v>73</v>
      </c>
    </row>
    <row r="5300" spans="1:50" x14ac:dyDescent="0.3">
      <c r="A5300" t="str">
        <f>"200436C0100"</f>
        <v>200436C0100</v>
      </c>
      <c r="B5300" t="str">
        <f>"200436C01002"</f>
        <v>200436C01002</v>
      </c>
      <c r="C5300" t="str">
        <f t="shared" si="264"/>
        <v>20</v>
      </c>
      <c r="D5300" t="s">
        <v>67</v>
      </c>
      <c r="E5300" t="str">
        <f t="shared" si="265"/>
        <v>024</v>
      </c>
      <c r="F5300" t="s">
        <v>5370</v>
      </c>
      <c r="G5300" t="str">
        <f>"0436"</f>
        <v>0436</v>
      </c>
      <c r="H5300" t="str">
        <f>"0001"</f>
        <v>0001</v>
      </c>
      <c r="I5300" t="s">
        <v>75</v>
      </c>
      <c r="J5300">
        <v>0</v>
      </c>
      <c r="K5300">
        <v>1</v>
      </c>
      <c r="L5300">
        <v>2</v>
      </c>
      <c r="M5300">
        <v>263</v>
      </c>
      <c r="N5300">
        <v>318</v>
      </c>
      <c r="O5300">
        <v>6</v>
      </c>
      <c r="P5300">
        <v>318</v>
      </c>
      <c r="Q5300">
        <v>3</v>
      </c>
      <c r="R5300">
        <v>35</v>
      </c>
      <c r="S5300">
        <v>4</v>
      </c>
      <c r="T5300">
        <v>3</v>
      </c>
      <c r="U5300">
        <v>34</v>
      </c>
      <c r="V5300">
        <v>2</v>
      </c>
      <c r="W5300">
        <v>23</v>
      </c>
      <c r="X5300">
        <v>121</v>
      </c>
      <c r="Y5300">
        <v>63</v>
      </c>
      <c r="Z5300">
        <v>3</v>
      </c>
      <c r="AA5300">
        <v>4</v>
      </c>
      <c r="AB5300">
        <v>10</v>
      </c>
      <c r="AD5300">
        <v>0</v>
      </c>
      <c r="AE5300">
        <v>0</v>
      </c>
      <c r="AF5300">
        <v>0</v>
      </c>
      <c r="AG5300">
        <v>0</v>
      </c>
      <c r="AI5300">
        <v>0</v>
      </c>
      <c r="AJ5300">
        <v>13</v>
      </c>
      <c r="AK5300">
        <v>318</v>
      </c>
      <c r="AL5300">
        <v>318</v>
      </c>
      <c r="AM5300">
        <v>533</v>
      </c>
      <c r="AN5300">
        <v>48</v>
      </c>
      <c r="AP5300">
        <v>1</v>
      </c>
      <c r="AR5300" t="s">
        <v>5405</v>
      </c>
      <c r="AS5300" s="1">
        <v>44354.022916666669</v>
      </c>
      <c r="AT5300" s="1">
        <v>44354.030011574076</v>
      </c>
      <c r="AU5300" s="1">
        <v>44354.030868055554</v>
      </c>
      <c r="AV5300" t="s">
        <v>71</v>
      </c>
      <c r="AW5300" t="s">
        <v>72</v>
      </c>
      <c r="AX5300" t="s">
        <v>73</v>
      </c>
    </row>
    <row r="5301" spans="1:50" x14ac:dyDescent="0.3">
      <c r="A5301" t="str">
        <f>"200436C0200"</f>
        <v>200436C0200</v>
      </c>
      <c r="B5301" t="str">
        <f>"200436C02002"</f>
        <v>200436C02002</v>
      </c>
      <c r="C5301" t="str">
        <f t="shared" si="264"/>
        <v>20</v>
      </c>
      <c r="D5301" t="s">
        <v>67</v>
      </c>
      <c r="E5301" t="str">
        <f t="shared" si="265"/>
        <v>024</v>
      </c>
      <c r="F5301" t="s">
        <v>5370</v>
      </c>
      <c r="G5301" t="str">
        <f>"0436"</f>
        <v>0436</v>
      </c>
      <c r="H5301" t="str">
        <f>"0002"</f>
        <v>0002</v>
      </c>
      <c r="I5301" t="s">
        <v>75</v>
      </c>
      <c r="J5301">
        <v>0</v>
      </c>
      <c r="K5301">
        <v>1</v>
      </c>
      <c r="L5301">
        <v>2</v>
      </c>
      <c r="M5301">
        <v>257</v>
      </c>
      <c r="N5301">
        <v>323</v>
      </c>
      <c r="O5301">
        <v>4</v>
      </c>
      <c r="P5301">
        <v>323</v>
      </c>
      <c r="Q5301">
        <v>4</v>
      </c>
      <c r="R5301">
        <v>27</v>
      </c>
      <c r="S5301">
        <v>3</v>
      </c>
      <c r="T5301">
        <v>4</v>
      </c>
      <c r="U5301">
        <v>36</v>
      </c>
      <c r="V5301">
        <v>4</v>
      </c>
      <c r="W5301">
        <v>36</v>
      </c>
      <c r="X5301">
        <v>138</v>
      </c>
      <c r="Y5301">
        <v>52</v>
      </c>
      <c r="Z5301">
        <v>0</v>
      </c>
      <c r="AA5301">
        <v>3</v>
      </c>
      <c r="AB5301">
        <v>6</v>
      </c>
      <c r="AD5301">
        <v>0</v>
      </c>
      <c r="AE5301">
        <v>0</v>
      </c>
      <c r="AF5301">
        <v>0</v>
      </c>
      <c r="AG5301">
        <v>0</v>
      </c>
      <c r="AI5301">
        <v>0</v>
      </c>
      <c r="AJ5301">
        <v>10</v>
      </c>
      <c r="AK5301">
        <v>323</v>
      </c>
      <c r="AL5301">
        <v>323</v>
      </c>
      <c r="AM5301">
        <v>532</v>
      </c>
      <c r="AN5301">
        <v>48</v>
      </c>
      <c r="AP5301">
        <v>1</v>
      </c>
      <c r="AR5301" t="s">
        <v>5406</v>
      </c>
      <c r="AS5301" s="1">
        <v>44354.026388888888</v>
      </c>
      <c r="AT5301" s="1">
        <v>44354.032708333332</v>
      </c>
      <c r="AU5301" s="1">
        <v>44354.03329861111</v>
      </c>
      <c r="AV5301" t="s">
        <v>71</v>
      </c>
      <c r="AW5301" t="s">
        <v>72</v>
      </c>
      <c r="AX5301" t="s">
        <v>73</v>
      </c>
    </row>
    <row r="5302" spans="1:50" x14ac:dyDescent="0.3">
      <c r="A5302" t="str">
        <f>"200437B0000"</f>
        <v>200437B0000</v>
      </c>
      <c r="B5302" t="str">
        <f>"200437B00002"</f>
        <v>200437B00002</v>
      </c>
      <c r="C5302" t="str">
        <f t="shared" si="264"/>
        <v>20</v>
      </c>
      <c r="D5302" t="s">
        <v>67</v>
      </c>
      <c r="E5302" t="str">
        <f t="shared" si="265"/>
        <v>024</v>
      </c>
      <c r="F5302" t="s">
        <v>5370</v>
      </c>
      <c r="G5302" t="str">
        <f>"0437"</f>
        <v>0437</v>
      </c>
      <c r="H5302" t="str">
        <f>"0000"</f>
        <v>0000</v>
      </c>
      <c r="I5302" t="s">
        <v>69</v>
      </c>
      <c r="J5302">
        <v>0</v>
      </c>
      <c r="K5302">
        <v>1</v>
      </c>
      <c r="L5302">
        <v>2</v>
      </c>
      <c r="M5302">
        <v>290</v>
      </c>
      <c r="N5302">
        <v>387</v>
      </c>
      <c r="O5302">
        <v>6</v>
      </c>
      <c r="P5302">
        <v>387</v>
      </c>
      <c r="Q5302">
        <v>8</v>
      </c>
      <c r="R5302">
        <v>39</v>
      </c>
      <c r="S5302">
        <v>5</v>
      </c>
      <c r="T5302">
        <v>2</v>
      </c>
      <c r="U5302">
        <v>20</v>
      </c>
      <c r="V5302">
        <v>6</v>
      </c>
      <c r="W5302">
        <v>46</v>
      </c>
      <c r="X5302">
        <v>175</v>
      </c>
      <c r="Y5302">
        <v>63</v>
      </c>
      <c r="Z5302">
        <v>2</v>
      </c>
      <c r="AA5302">
        <v>3</v>
      </c>
      <c r="AB5302">
        <v>9</v>
      </c>
      <c r="AD5302">
        <v>0</v>
      </c>
      <c r="AE5302">
        <v>0</v>
      </c>
      <c r="AF5302">
        <v>0</v>
      </c>
      <c r="AG5302">
        <v>0</v>
      </c>
      <c r="AI5302">
        <v>0</v>
      </c>
      <c r="AJ5302">
        <v>9</v>
      </c>
      <c r="AK5302">
        <v>387</v>
      </c>
      <c r="AL5302">
        <v>387</v>
      </c>
      <c r="AM5302">
        <v>629</v>
      </c>
      <c r="AN5302">
        <v>48</v>
      </c>
      <c r="AP5302">
        <v>1</v>
      </c>
      <c r="AR5302" t="s">
        <v>5407</v>
      </c>
      <c r="AS5302" s="1">
        <v>44354.101388888892</v>
      </c>
      <c r="AT5302" s="1">
        <v>44354.10292824074</v>
      </c>
      <c r="AU5302" s="1">
        <v>44354.103333333333</v>
      </c>
      <c r="AV5302" t="s">
        <v>71</v>
      </c>
      <c r="AW5302" t="s">
        <v>72</v>
      </c>
      <c r="AX5302" t="s">
        <v>73</v>
      </c>
    </row>
    <row r="5303" spans="1:50" x14ac:dyDescent="0.3">
      <c r="A5303" t="str">
        <f>"200437C0100"</f>
        <v>200437C0100</v>
      </c>
      <c r="B5303" t="str">
        <f>"200437C01002"</f>
        <v>200437C01002</v>
      </c>
      <c r="C5303" t="str">
        <f t="shared" si="264"/>
        <v>20</v>
      </c>
      <c r="D5303" t="s">
        <v>67</v>
      </c>
      <c r="E5303" t="str">
        <f t="shared" si="265"/>
        <v>024</v>
      </c>
      <c r="F5303" t="s">
        <v>5370</v>
      </c>
      <c r="G5303" t="str">
        <f>"0437"</f>
        <v>0437</v>
      </c>
      <c r="H5303" t="str">
        <f>"0001"</f>
        <v>0001</v>
      </c>
      <c r="I5303" t="s">
        <v>75</v>
      </c>
      <c r="J5303">
        <v>0</v>
      </c>
      <c r="K5303">
        <v>1</v>
      </c>
      <c r="L5303">
        <v>2</v>
      </c>
      <c r="M5303">
        <v>324</v>
      </c>
      <c r="N5303">
        <v>352</v>
      </c>
      <c r="O5303">
        <v>9</v>
      </c>
      <c r="P5303">
        <v>352</v>
      </c>
      <c r="Q5303">
        <v>7</v>
      </c>
      <c r="R5303">
        <v>41</v>
      </c>
      <c r="S5303">
        <v>2</v>
      </c>
      <c r="T5303">
        <v>4</v>
      </c>
      <c r="U5303">
        <v>23</v>
      </c>
      <c r="V5303">
        <v>5</v>
      </c>
      <c r="W5303">
        <v>37</v>
      </c>
      <c r="X5303">
        <v>142</v>
      </c>
      <c r="Y5303">
        <v>58</v>
      </c>
      <c r="Z5303">
        <v>0</v>
      </c>
      <c r="AA5303">
        <v>2</v>
      </c>
      <c r="AB5303">
        <v>13</v>
      </c>
      <c r="AD5303">
        <v>2</v>
      </c>
      <c r="AE5303">
        <v>0</v>
      </c>
      <c r="AF5303">
        <v>0</v>
      </c>
      <c r="AG5303">
        <v>0</v>
      </c>
      <c r="AI5303">
        <v>0</v>
      </c>
      <c r="AJ5303">
        <v>16</v>
      </c>
      <c r="AK5303">
        <v>352</v>
      </c>
      <c r="AL5303">
        <v>352</v>
      </c>
      <c r="AM5303">
        <v>628</v>
      </c>
      <c r="AN5303">
        <v>48</v>
      </c>
      <c r="AP5303">
        <v>1</v>
      </c>
      <c r="AR5303" t="s">
        <v>5408</v>
      </c>
      <c r="AS5303" s="1">
        <v>44354.100694444445</v>
      </c>
      <c r="AT5303" s="1">
        <v>44354.102442129632</v>
      </c>
      <c r="AU5303" s="1">
        <v>44354.103113425925</v>
      </c>
      <c r="AV5303" t="s">
        <v>71</v>
      </c>
      <c r="AW5303" t="s">
        <v>72</v>
      </c>
      <c r="AX5303" t="s">
        <v>73</v>
      </c>
    </row>
    <row r="5304" spans="1:50" x14ac:dyDescent="0.3">
      <c r="A5304" t="str">
        <f>"200437C0200"</f>
        <v>200437C0200</v>
      </c>
      <c r="B5304" t="str">
        <f>"200437C02002"</f>
        <v>200437C02002</v>
      </c>
      <c r="C5304" t="str">
        <f t="shared" si="264"/>
        <v>20</v>
      </c>
      <c r="D5304" t="s">
        <v>67</v>
      </c>
      <c r="E5304" t="str">
        <f t="shared" si="265"/>
        <v>024</v>
      </c>
      <c r="F5304" t="s">
        <v>5370</v>
      </c>
      <c r="G5304" t="str">
        <f>"0437"</f>
        <v>0437</v>
      </c>
      <c r="H5304" t="str">
        <f>"0002"</f>
        <v>0002</v>
      </c>
      <c r="I5304" t="s">
        <v>75</v>
      </c>
      <c r="J5304">
        <v>0</v>
      </c>
      <c r="K5304">
        <v>1</v>
      </c>
      <c r="L5304">
        <v>2</v>
      </c>
      <c r="M5304">
        <v>306</v>
      </c>
      <c r="N5304">
        <v>370</v>
      </c>
      <c r="O5304">
        <v>3</v>
      </c>
      <c r="P5304">
        <v>370</v>
      </c>
      <c r="Q5304">
        <v>8</v>
      </c>
      <c r="R5304">
        <v>49</v>
      </c>
      <c r="S5304">
        <v>2</v>
      </c>
      <c r="T5304">
        <v>3</v>
      </c>
      <c r="U5304">
        <v>28</v>
      </c>
      <c r="V5304">
        <v>3</v>
      </c>
      <c r="W5304">
        <v>45</v>
      </c>
      <c r="X5304">
        <v>144</v>
      </c>
      <c r="Y5304">
        <v>60</v>
      </c>
      <c r="Z5304">
        <v>0</v>
      </c>
      <c r="AA5304">
        <v>1</v>
      </c>
      <c r="AB5304">
        <v>12</v>
      </c>
      <c r="AD5304">
        <v>0</v>
      </c>
      <c r="AE5304">
        <v>1</v>
      </c>
      <c r="AF5304">
        <v>0</v>
      </c>
      <c r="AG5304">
        <v>0</v>
      </c>
      <c r="AI5304">
        <v>0</v>
      </c>
      <c r="AJ5304">
        <v>14</v>
      </c>
      <c r="AK5304">
        <v>370</v>
      </c>
      <c r="AL5304">
        <v>370</v>
      </c>
      <c r="AM5304">
        <v>628</v>
      </c>
      <c r="AN5304">
        <v>48</v>
      </c>
      <c r="AP5304">
        <v>1</v>
      </c>
      <c r="AR5304" t="s">
        <v>5409</v>
      </c>
      <c r="AS5304" s="1">
        <v>44354.099305555559</v>
      </c>
      <c r="AT5304" s="1">
        <v>44354.100798611114</v>
      </c>
      <c r="AU5304" s="1">
        <v>44354.101354166669</v>
      </c>
      <c r="AV5304" t="s">
        <v>71</v>
      </c>
      <c r="AW5304" t="s">
        <v>72</v>
      </c>
      <c r="AX5304" t="s">
        <v>73</v>
      </c>
    </row>
    <row r="5305" spans="1:50" x14ac:dyDescent="0.3">
      <c r="A5305" t="str">
        <f>"200438B0000"</f>
        <v>200438B0000</v>
      </c>
      <c r="B5305" t="str">
        <f>"200438B00002"</f>
        <v>200438B00002</v>
      </c>
      <c r="C5305" t="str">
        <f t="shared" si="264"/>
        <v>20</v>
      </c>
      <c r="D5305" t="s">
        <v>67</v>
      </c>
      <c r="E5305" t="str">
        <f t="shared" si="265"/>
        <v>024</v>
      </c>
      <c r="F5305" t="s">
        <v>5370</v>
      </c>
      <c r="G5305" t="str">
        <f>"0438"</f>
        <v>0438</v>
      </c>
      <c r="H5305" t="str">
        <f>"0000"</f>
        <v>0000</v>
      </c>
      <c r="I5305" t="s">
        <v>69</v>
      </c>
      <c r="J5305">
        <v>0</v>
      </c>
      <c r="K5305">
        <v>1</v>
      </c>
      <c r="L5305">
        <v>2</v>
      </c>
      <c r="M5305">
        <v>335</v>
      </c>
      <c r="N5305">
        <v>355</v>
      </c>
      <c r="O5305">
        <v>7</v>
      </c>
      <c r="P5305">
        <v>355</v>
      </c>
      <c r="Q5305">
        <v>4</v>
      </c>
      <c r="R5305">
        <v>48</v>
      </c>
      <c r="S5305">
        <v>2</v>
      </c>
      <c r="T5305">
        <v>9</v>
      </c>
      <c r="U5305">
        <v>16</v>
      </c>
      <c r="V5305">
        <v>5</v>
      </c>
      <c r="W5305">
        <v>43</v>
      </c>
      <c r="X5305">
        <v>110</v>
      </c>
      <c r="Y5305">
        <v>73</v>
      </c>
      <c r="Z5305">
        <v>2</v>
      </c>
      <c r="AA5305">
        <v>8</v>
      </c>
      <c r="AB5305">
        <v>16</v>
      </c>
      <c r="AD5305">
        <v>0</v>
      </c>
      <c r="AE5305">
        <v>0</v>
      </c>
      <c r="AF5305">
        <v>0</v>
      </c>
      <c r="AG5305">
        <v>0</v>
      </c>
      <c r="AI5305">
        <v>0</v>
      </c>
      <c r="AJ5305">
        <v>19</v>
      </c>
      <c r="AK5305">
        <v>355</v>
      </c>
      <c r="AL5305">
        <v>355</v>
      </c>
      <c r="AM5305">
        <v>642</v>
      </c>
      <c r="AN5305">
        <v>48</v>
      </c>
      <c r="AP5305">
        <v>1</v>
      </c>
      <c r="AR5305" t="s">
        <v>5410</v>
      </c>
      <c r="AS5305" s="1">
        <v>44354.149305555555</v>
      </c>
      <c r="AT5305" s="1">
        <v>44354.151435185187</v>
      </c>
      <c r="AU5305" s="1">
        <v>44354.152129629627</v>
      </c>
      <c r="AV5305" t="s">
        <v>71</v>
      </c>
      <c r="AW5305" t="s">
        <v>72</v>
      </c>
      <c r="AX5305" t="s">
        <v>73</v>
      </c>
    </row>
    <row r="5306" spans="1:50" x14ac:dyDescent="0.3">
      <c r="A5306" t="str">
        <f>"200438C0100"</f>
        <v>200438C0100</v>
      </c>
      <c r="B5306" t="str">
        <f>"200438C01002"</f>
        <v>200438C01002</v>
      </c>
      <c r="C5306" t="str">
        <f t="shared" si="264"/>
        <v>20</v>
      </c>
      <c r="D5306" t="s">
        <v>67</v>
      </c>
      <c r="E5306" t="str">
        <f t="shared" si="265"/>
        <v>024</v>
      </c>
      <c r="F5306" t="s">
        <v>5370</v>
      </c>
      <c r="G5306" t="str">
        <f>"0438"</f>
        <v>0438</v>
      </c>
      <c r="H5306" t="str">
        <f>"0001"</f>
        <v>0001</v>
      </c>
      <c r="I5306" t="s">
        <v>75</v>
      </c>
      <c r="J5306">
        <v>0</v>
      </c>
      <c r="K5306">
        <v>1</v>
      </c>
      <c r="L5306">
        <v>2</v>
      </c>
      <c r="AM5306">
        <v>642</v>
      </c>
      <c r="AN5306">
        <v>48</v>
      </c>
      <c r="AO5306" t="s">
        <v>143</v>
      </c>
      <c r="AP5306">
        <v>0</v>
      </c>
      <c r="AR5306" t="s">
        <v>5411</v>
      </c>
      <c r="AS5306" s="1">
        <v>44354.634027777778</v>
      </c>
      <c r="AT5306" s="1">
        <v>44354.645150462966</v>
      </c>
      <c r="AU5306" s="1">
        <v>44354.645150462966</v>
      </c>
      <c r="AV5306" t="s">
        <v>71</v>
      </c>
      <c r="AW5306" t="s">
        <v>72</v>
      </c>
      <c r="AX5306" t="s">
        <v>73</v>
      </c>
    </row>
    <row r="5307" spans="1:50" x14ac:dyDescent="0.3">
      <c r="A5307" t="str">
        <f>"200438C0200"</f>
        <v>200438C0200</v>
      </c>
      <c r="B5307" t="str">
        <f>"200438C02002"</f>
        <v>200438C02002</v>
      </c>
      <c r="C5307" t="str">
        <f t="shared" si="264"/>
        <v>20</v>
      </c>
      <c r="D5307" t="s">
        <v>67</v>
      </c>
      <c r="E5307" t="str">
        <f t="shared" si="265"/>
        <v>024</v>
      </c>
      <c r="F5307" t="s">
        <v>5370</v>
      </c>
      <c r="G5307" t="str">
        <f>"0438"</f>
        <v>0438</v>
      </c>
      <c r="H5307" t="str">
        <f>"0002"</f>
        <v>0002</v>
      </c>
      <c r="I5307" t="s">
        <v>75</v>
      </c>
      <c r="J5307">
        <v>0</v>
      </c>
      <c r="K5307">
        <v>1</v>
      </c>
      <c r="L5307">
        <v>2</v>
      </c>
      <c r="M5307">
        <v>354</v>
      </c>
      <c r="N5307">
        <v>334</v>
      </c>
      <c r="O5307">
        <v>6</v>
      </c>
      <c r="P5307">
        <v>334</v>
      </c>
      <c r="Q5307">
        <v>8</v>
      </c>
      <c r="R5307">
        <v>46</v>
      </c>
      <c r="S5307">
        <v>3</v>
      </c>
      <c r="T5307">
        <v>2</v>
      </c>
      <c r="U5307">
        <v>24</v>
      </c>
      <c r="V5307">
        <v>2</v>
      </c>
      <c r="W5307">
        <v>31</v>
      </c>
      <c r="X5307">
        <v>130</v>
      </c>
      <c r="Y5307">
        <v>69</v>
      </c>
      <c r="Z5307">
        <v>2</v>
      </c>
      <c r="AA5307">
        <v>1</v>
      </c>
      <c r="AB5307">
        <v>6</v>
      </c>
      <c r="AD5307">
        <v>0</v>
      </c>
      <c r="AE5307">
        <v>0</v>
      </c>
      <c r="AF5307">
        <v>0</v>
      </c>
      <c r="AG5307">
        <v>0</v>
      </c>
      <c r="AI5307">
        <v>0</v>
      </c>
      <c r="AJ5307">
        <v>10</v>
      </c>
      <c r="AK5307">
        <v>334</v>
      </c>
      <c r="AL5307">
        <v>334</v>
      </c>
      <c r="AM5307">
        <v>642</v>
      </c>
      <c r="AN5307">
        <v>48</v>
      </c>
      <c r="AP5307">
        <v>1</v>
      </c>
      <c r="AR5307" t="s">
        <v>5412</v>
      </c>
      <c r="AS5307" s="1">
        <v>44354.159722222219</v>
      </c>
      <c r="AT5307" s="1">
        <v>44354.161168981482</v>
      </c>
      <c r="AU5307" s="1">
        <v>44354.161597222221</v>
      </c>
      <c r="AV5307" t="s">
        <v>71</v>
      </c>
      <c r="AW5307" t="s">
        <v>72</v>
      </c>
      <c r="AX5307" t="s">
        <v>73</v>
      </c>
    </row>
    <row r="5308" spans="1:50" x14ac:dyDescent="0.3">
      <c r="A5308" t="str">
        <f>"200438C0300"</f>
        <v>200438C0300</v>
      </c>
      <c r="B5308" t="str">
        <f>"200438C03002"</f>
        <v>200438C03002</v>
      </c>
      <c r="C5308" t="str">
        <f t="shared" si="264"/>
        <v>20</v>
      </c>
      <c r="D5308" t="s">
        <v>67</v>
      </c>
      <c r="E5308" t="str">
        <f t="shared" si="265"/>
        <v>024</v>
      </c>
      <c r="F5308" t="s">
        <v>5370</v>
      </c>
      <c r="G5308" t="str">
        <f>"0438"</f>
        <v>0438</v>
      </c>
      <c r="H5308" t="str">
        <f>"0003"</f>
        <v>0003</v>
      </c>
      <c r="I5308" t="s">
        <v>75</v>
      </c>
      <c r="J5308">
        <v>0</v>
      </c>
      <c r="K5308">
        <v>1</v>
      </c>
      <c r="L5308">
        <v>2</v>
      </c>
      <c r="M5308">
        <v>321</v>
      </c>
      <c r="N5308">
        <v>368</v>
      </c>
      <c r="O5308">
        <v>8</v>
      </c>
      <c r="P5308">
        <v>368</v>
      </c>
      <c r="Q5308">
        <v>5</v>
      </c>
      <c r="R5308">
        <v>44</v>
      </c>
      <c r="S5308">
        <v>1</v>
      </c>
      <c r="T5308">
        <v>4</v>
      </c>
      <c r="U5308">
        <v>38</v>
      </c>
      <c r="V5308">
        <v>1</v>
      </c>
      <c r="W5308">
        <v>45</v>
      </c>
      <c r="X5308">
        <v>126</v>
      </c>
      <c r="Y5308">
        <v>70</v>
      </c>
      <c r="Z5308">
        <v>4</v>
      </c>
      <c r="AA5308">
        <v>3</v>
      </c>
      <c r="AB5308">
        <v>9</v>
      </c>
      <c r="AD5308">
        <v>0</v>
      </c>
      <c r="AE5308">
        <v>0</v>
      </c>
      <c r="AF5308">
        <v>0</v>
      </c>
      <c r="AG5308">
        <v>0</v>
      </c>
      <c r="AI5308">
        <v>0</v>
      </c>
      <c r="AJ5308">
        <v>18</v>
      </c>
      <c r="AK5308">
        <v>368</v>
      </c>
      <c r="AL5308">
        <v>368</v>
      </c>
      <c r="AM5308">
        <v>641</v>
      </c>
      <c r="AN5308">
        <v>48</v>
      </c>
      <c r="AP5308">
        <v>1</v>
      </c>
      <c r="AR5308" t="s">
        <v>5413</v>
      </c>
      <c r="AS5308" s="1">
        <v>44354.155555555553</v>
      </c>
      <c r="AT5308" s="1">
        <v>44354.157916666663</v>
      </c>
      <c r="AU5308" s="1">
        <v>44354.158541666664</v>
      </c>
      <c r="AV5308" t="s">
        <v>71</v>
      </c>
      <c r="AW5308" t="s">
        <v>72</v>
      </c>
      <c r="AX5308" t="s">
        <v>73</v>
      </c>
    </row>
    <row r="5309" spans="1:50" x14ac:dyDescent="0.3">
      <c r="A5309" t="str">
        <f>"200438C0400"</f>
        <v>200438C0400</v>
      </c>
      <c r="B5309" t="str">
        <f>"200438C04002"</f>
        <v>200438C04002</v>
      </c>
      <c r="C5309" t="str">
        <f t="shared" si="264"/>
        <v>20</v>
      </c>
      <c r="D5309" t="s">
        <v>67</v>
      </c>
      <c r="E5309" t="str">
        <f t="shared" si="265"/>
        <v>024</v>
      </c>
      <c r="F5309" t="s">
        <v>5370</v>
      </c>
      <c r="G5309" t="str">
        <f>"0438"</f>
        <v>0438</v>
      </c>
      <c r="H5309" t="str">
        <f>"0004"</f>
        <v>0004</v>
      </c>
      <c r="I5309" t="s">
        <v>75</v>
      </c>
      <c r="J5309">
        <v>0</v>
      </c>
      <c r="K5309">
        <v>1</v>
      </c>
      <c r="L5309">
        <v>2</v>
      </c>
      <c r="M5309">
        <v>331</v>
      </c>
      <c r="N5309">
        <v>358</v>
      </c>
      <c r="O5309">
        <v>7</v>
      </c>
      <c r="P5309" t="s">
        <v>80</v>
      </c>
      <c r="Q5309">
        <v>7</v>
      </c>
      <c r="R5309">
        <v>52</v>
      </c>
      <c r="S5309">
        <v>0</v>
      </c>
      <c r="T5309">
        <v>1</v>
      </c>
      <c r="U5309">
        <v>26</v>
      </c>
      <c r="V5309">
        <v>3</v>
      </c>
      <c r="W5309">
        <v>41</v>
      </c>
      <c r="X5309">
        <v>127</v>
      </c>
      <c r="Y5309">
        <v>71</v>
      </c>
      <c r="Z5309">
        <v>3</v>
      </c>
      <c r="AA5309">
        <v>4</v>
      </c>
      <c r="AB5309">
        <v>10</v>
      </c>
      <c r="AD5309">
        <v>0</v>
      </c>
      <c r="AE5309">
        <v>0</v>
      </c>
      <c r="AF5309">
        <v>0</v>
      </c>
      <c r="AG5309">
        <v>0</v>
      </c>
      <c r="AI5309">
        <v>0</v>
      </c>
      <c r="AJ5309">
        <v>13</v>
      </c>
      <c r="AK5309">
        <v>358</v>
      </c>
      <c r="AL5309">
        <v>358</v>
      </c>
      <c r="AM5309">
        <v>641</v>
      </c>
      <c r="AN5309">
        <v>48</v>
      </c>
      <c r="AP5309">
        <v>1</v>
      </c>
      <c r="AR5309" t="s">
        <v>5414</v>
      </c>
      <c r="AS5309" s="1">
        <v>44354.156944444447</v>
      </c>
      <c r="AT5309" s="1">
        <v>44354.164699074077</v>
      </c>
      <c r="AU5309" s="1">
        <v>44354.165347222224</v>
      </c>
      <c r="AV5309" t="s">
        <v>71</v>
      </c>
      <c r="AW5309" t="s">
        <v>72</v>
      </c>
      <c r="AX5309" t="s">
        <v>73</v>
      </c>
    </row>
    <row r="5310" spans="1:50" x14ac:dyDescent="0.3">
      <c r="A5310" t="str">
        <f>"200439B0000"</f>
        <v>200439B0000</v>
      </c>
      <c r="B5310" t="str">
        <f>"200439B00002"</f>
        <v>200439B00002</v>
      </c>
      <c r="C5310" t="str">
        <f t="shared" si="264"/>
        <v>20</v>
      </c>
      <c r="D5310" t="s">
        <v>67</v>
      </c>
      <c r="E5310" t="str">
        <f t="shared" si="265"/>
        <v>024</v>
      </c>
      <c r="F5310" t="s">
        <v>5370</v>
      </c>
      <c r="G5310" t="str">
        <f>"0439"</f>
        <v>0439</v>
      </c>
      <c r="H5310" t="str">
        <f>"0000"</f>
        <v>0000</v>
      </c>
      <c r="I5310" t="s">
        <v>69</v>
      </c>
      <c r="J5310">
        <v>0</v>
      </c>
      <c r="K5310">
        <v>1</v>
      </c>
      <c r="L5310">
        <v>2</v>
      </c>
      <c r="M5310">
        <v>331</v>
      </c>
      <c r="N5310">
        <v>441</v>
      </c>
      <c r="O5310">
        <v>2</v>
      </c>
      <c r="P5310">
        <v>441</v>
      </c>
      <c r="Q5310">
        <v>7</v>
      </c>
      <c r="R5310">
        <v>58</v>
      </c>
      <c r="S5310">
        <v>3</v>
      </c>
      <c r="T5310">
        <v>3</v>
      </c>
      <c r="U5310">
        <v>46</v>
      </c>
      <c r="V5310">
        <v>2</v>
      </c>
      <c r="W5310">
        <v>32</v>
      </c>
      <c r="X5310">
        <v>193</v>
      </c>
      <c r="Y5310">
        <v>63</v>
      </c>
      <c r="Z5310">
        <v>1</v>
      </c>
      <c r="AA5310">
        <v>2</v>
      </c>
      <c r="AB5310">
        <v>7</v>
      </c>
      <c r="AD5310">
        <v>1</v>
      </c>
      <c r="AE5310">
        <v>0</v>
      </c>
      <c r="AF5310">
        <v>0</v>
      </c>
      <c r="AG5310">
        <v>0</v>
      </c>
      <c r="AI5310">
        <v>0</v>
      </c>
      <c r="AJ5310">
        <v>21</v>
      </c>
      <c r="AK5310">
        <v>439</v>
      </c>
      <c r="AL5310">
        <v>439</v>
      </c>
      <c r="AM5310">
        <v>724</v>
      </c>
      <c r="AN5310">
        <v>48</v>
      </c>
      <c r="AP5310">
        <v>1</v>
      </c>
      <c r="AR5310" t="s">
        <v>5415</v>
      </c>
      <c r="AS5310" s="1">
        <v>44354.144444444442</v>
      </c>
      <c r="AT5310" s="1">
        <v>44354.146180555559</v>
      </c>
      <c r="AU5310" s="1">
        <v>44354.146956018521</v>
      </c>
      <c r="AV5310" t="s">
        <v>71</v>
      </c>
      <c r="AW5310" t="s">
        <v>72</v>
      </c>
      <c r="AX5310" t="s">
        <v>73</v>
      </c>
    </row>
    <row r="5311" spans="1:50" x14ac:dyDescent="0.3">
      <c r="A5311" t="str">
        <f>"200439C0100"</f>
        <v>200439C0100</v>
      </c>
      <c r="B5311" t="str">
        <f>"200439C01002"</f>
        <v>200439C01002</v>
      </c>
      <c r="C5311" t="str">
        <f t="shared" si="264"/>
        <v>20</v>
      </c>
      <c r="D5311" t="s">
        <v>67</v>
      </c>
      <c r="E5311" t="str">
        <f t="shared" si="265"/>
        <v>024</v>
      </c>
      <c r="F5311" t="s">
        <v>5370</v>
      </c>
      <c r="G5311" t="str">
        <f>"0439"</f>
        <v>0439</v>
      </c>
      <c r="H5311" t="str">
        <f>"0001"</f>
        <v>0001</v>
      </c>
      <c r="I5311" t="s">
        <v>75</v>
      </c>
      <c r="J5311">
        <v>0</v>
      </c>
      <c r="K5311">
        <v>1</v>
      </c>
      <c r="L5311">
        <v>2</v>
      </c>
      <c r="M5311">
        <v>346</v>
      </c>
      <c r="N5311">
        <v>425</v>
      </c>
      <c r="O5311">
        <v>4</v>
      </c>
      <c r="P5311">
        <v>425</v>
      </c>
      <c r="Q5311">
        <v>11</v>
      </c>
      <c r="R5311">
        <v>50</v>
      </c>
      <c r="S5311">
        <v>5</v>
      </c>
      <c r="T5311">
        <v>2</v>
      </c>
      <c r="U5311">
        <v>47</v>
      </c>
      <c r="V5311">
        <v>2</v>
      </c>
      <c r="W5311">
        <v>23</v>
      </c>
      <c r="X5311">
        <v>193</v>
      </c>
      <c r="Y5311">
        <v>54</v>
      </c>
      <c r="Z5311">
        <v>3</v>
      </c>
      <c r="AA5311">
        <v>1</v>
      </c>
      <c r="AB5311">
        <v>18</v>
      </c>
      <c r="AD5311">
        <v>0</v>
      </c>
      <c r="AE5311">
        <v>0</v>
      </c>
      <c r="AF5311">
        <v>0</v>
      </c>
      <c r="AG5311">
        <v>0</v>
      </c>
      <c r="AI5311">
        <v>0</v>
      </c>
      <c r="AJ5311">
        <v>16</v>
      </c>
      <c r="AK5311">
        <v>425</v>
      </c>
      <c r="AL5311">
        <v>425</v>
      </c>
      <c r="AM5311">
        <v>723</v>
      </c>
      <c r="AN5311">
        <v>48</v>
      </c>
      <c r="AP5311">
        <v>1</v>
      </c>
      <c r="AR5311" t="s">
        <v>5416</v>
      </c>
      <c r="AS5311" s="1">
        <v>44354.147916666669</v>
      </c>
      <c r="AT5311" s="1">
        <v>44354.15047453704</v>
      </c>
      <c r="AU5311" s="1">
        <v>44354.151087962964</v>
      </c>
      <c r="AV5311" t="s">
        <v>71</v>
      </c>
      <c r="AW5311" t="s">
        <v>72</v>
      </c>
      <c r="AX5311" t="s">
        <v>73</v>
      </c>
    </row>
    <row r="5312" spans="1:50" x14ac:dyDescent="0.3">
      <c r="A5312" t="str">
        <f>"200440B0000"</f>
        <v>200440B0000</v>
      </c>
      <c r="B5312" t="str">
        <f>"200440B00002"</f>
        <v>200440B00002</v>
      </c>
      <c r="C5312" t="str">
        <f t="shared" si="264"/>
        <v>20</v>
      </c>
      <c r="D5312" t="s">
        <v>67</v>
      </c>
      <c r="E5312" t="str">
        <f t="shared" si="265"/>
        <v>024</v>
      </c>
      <c r="F5312" t="s">
        <v>5370</v>
      </c>
      <c r="G5312" t="str">
        <f>"0440"</f>
        <v>0440</v>
      </c>
      <c r="H5312" t="str">
        <f>"0000"</f>
        <v>0000</v>
      </c>
      <c r="I5312" t="s">
        <v>69</v>
      </c>
      <c r="J5312">
        <v>0</v>
      </c>
      <c r="K5312">
        <v>1</v>
      </c>
      <c r="L5312">
        <v>2</v>
      </c>
      <c r="M5312">
        <v>323</v>
      </c>
      <c r="N5312">
        <v>331</v>
      </c>
      <c r="O5312">
        <v>9</v>
      </c>
      <c r="P5312">
        <v>331</v>
      </c>
      <c r="Q5312">
        <v>10</v>
      </c>
      <c r="R5312">
        <v>42</v>
      </c>
      <c r="S5312">
        <v>1</v>
      </c>
      <c r="T5312">
        <v>3</v>
      </c>
      <c r="U5312">
        <v>35</v>
      </c>
      <c r="V5312">
        <v>4</v>
      </c>
      <c r="W5312">
        <v>39</v>
      </c>
      <c r="X5312">
        <v>93</v>
      </c>
      <c r="Y5312">
        <v>72</v>
      </c>
      <c r="Z5312">
        <v>2</v>
      </c>
      <c r="AA5312">
        <v>0</v>
      </c>
      <c r="AB5312">
        <v>11</v>
      </c>
      <c r="AD5312">
        <v>0</v>
      </c>
      <c r="AE5312">
        <v>0</v>
      </c>
      <c r="AF5312">
        <v>0</v>
      </c>
      <c r="AG5312">
        <v>0</v>
      </c>
      <c r="AI5312">
        <v>0</v>
      </c>
      <c r="AJ5312">
        <v>19</v>
      </c>
      <c r="AK5312">
        <v>331</v>
      </c>
      <c r="AL5312">
        <v>331</v>
      </c>
      <c r="AM5312">
        <v>606</v>
      </c>
      <c r="AN5312">
        <v>48</v>
      </c>
      <c r="AP5312">
        <v>1</v>
      </c>
      <c r="AR5312" t="s">
        <v>5417</v>
      </c>
      <c r="AS5312" s="1">
        <v>44353.978472222225</v>
      </c>
      <c r="AT5312" s="1">
        <v>44353.98027777778</v>
      </c>
      <c r="AU5312" s="1">
        <v>44353.980937499997</v>
      </c>
      <c r="AV5312" t="s">
        <v>71</v>
      </c>
      <c r="AW5312" t="s">
        <v>72</v>
      </c>
      <c r="AX5312" t="s">
        <v>73</v>
      </c>
    </row>
    <row r="5313" spans="1:50" x14ac:dyDescent="0.3">
      <c r="A5313" t="str">
        <f>"200440C0100"</f>
        <v>200440C0100</v>
      </c>
      <c r="B5313" t="str">
        <f>"200440C01002"</f>
        <v>200440C01002</v>
      </c>
      <c r="C5313" t="str">
        <f t="shared" si="264"/>
        <v>20</v>
      </c>
      <c r="D5313" t="s">
        <v>67</v>
      </c>
      <c r="E5313" t="str">
        <f t="shared" si="265"/>
        <v>024</v>
      </c>
      <c r="F5313" t="s">
        <v>5370</v>
      </c>
      <c r="G5313" t="str">
        <f>"0440"</f>
        <v>0440</v>
      </c>
      <c r="H5313" t="str">
        <f>"0001"</f>
        <v>0001</v>
      </c>
      <c r="I5313" t="s">
        <v>75</v>
      </c>
      <c r="J5313">
        <v>0</v>
      </c>
      <c r="K5313">
        <v>1</v>
      </c>
      <c r="L5313">
        <v>2</v>
      </c>
      <c r="M5313">
        <v>320</v>
      </c>
      <c r="N5313">
        <v>334</v>
      </c>
      <c r="O5313">
        <v>0</v>
      </c>
      <c r="P5313">
        <v>334</v>
      </c>
      <c r="Q5313">
        <v>5</v>
      </c>
      <c r="R5313">
        <v>54</v>
      </c>
      <c r="S5313">
        <v>3</v>
      </c>
      <c r="T5313">
        <v>4</v>
      </c>
      <c r="U5313">
        <v>33</v>
      </c>
      <c r="V5313">
        <v>4</v>
      </c>
      <c r="W5313">
        <v>42</v>
      </c>
      <c r="X5313">
        <v>108</v>
      </c>
      <c r="Y5313">
        <v>49</v>
      </c>
      <c r="Z5313">
        <v>3</v>
      </c>
      <c r="AA5313">
        <v>3</v>
      </c>
      <c r="AB5313">
        <v>5</v>
      </c>
      <c r="AD5313">
        <v>0</v>
      </c>
      <c r="AE5313">
        <v>0</v>
      </c>
      <c r="AF5313">
        <v>0</v>
      </c>
      <c r="AG5313">
        <v>0</v>
      </c>
      <c r="AI5313">
        <v>0</v>
      </c>
      <c r="AJ5313">
        <v>20</v>
      </c>
      <c r="AK5313">
        <v>334</v>
      </c>
      <c r="AL5313">
        <v>333</v>
      </c>
      <c r="AM5313">
        <v>606</v>
      </c>
      <c r="AN5313">
        <v>48</v>
      </c>
      <c r="AP5313">
        <v>1</v>
      </c>
      <c r="AR5313" t="s">
        <v>5418</v>
      </c>
      <c r="AS5313" s="1">
        <v>44353.984027777777</v>
      </c>
      <c r="AT5313" s="1">
        <v>44353.986331018517</v>
      </c>
      <c r="AU5313" s="1">
        <v>44353.98704861111</v>
      </c>
      <c r="AV5313" t="s">
        <v>71</v>
      </c>
      <c r="AW5313" t="s">
        <v>72</v>
      </c>
      <c r="AX5313" t="s">
        <v>73</v>
      </c>
    </row>
    <row r="5314" spans="1:50" x14ac:dyDescent="0.3">
      <c r="A5314" t="str">
        <f>"200440C0200"</f>
        <v>200440C0200</v>
      </c>
      <c r="B5314" t="str">
        <f>"200440C02002"</f>
        <v>200440C02002</v>
      </c>
      <c r="C5314" t="str">
        <f t="shared" si="264"/>
        <v>20</v>
      </c>
      <c r="D5314" t="s">
        <v>67</v>
      </c>
      <c r="E5314" t="str">
        <f t="shared" si="265"/>
        <v>024</v>
      </c>
      <c r="F5314" t="s">
        <v>5370</v>
      </c>
      <c r="G5314" t="str">
        <f>"0440"</f>
        <v>0440</v>
      </c>
      <c r="H5314" t="str">
        <f>"0002"</f>
        <v>0002</v>
      </c>
      <c r="I5314" t="s">
        <v>75</v>
      </c>
      <c r="J5314">
        <v>0</v>
      </c>
      <c r="K5314">
        <v>1</v>
      </c>
      <c r="L5314">
        <v>2</v>
      </c>
      <c r="M5314">
        <v>320</v>
      </c>
      <c r="N5314">
        <v>333</v>
      </c>
      <c r="O5314">
        <v>6</v>
      </c>
      <c r="P5314">
        <v>333</v>
      </c>
      <c r="Q5314">
        <v>7</v>
      </c>
      <c r="R5314">
        <v>36</v>
      </c>
      <c r="S5314">
        <v>4</v>
      </c>
      <c r="T5314">
        <v>5</v>
      </c>
      <c r="U5314">
        <v>44</v>
      </c>
      <c r="V5314">
        <v>1</v>
      </c>
      <c r="W5314">
        <v>41</v>
      </c>
      <c r="X5314">
        <v>103</v>
      </c>
      <c r="Y5314">
        <v>64</v>
      </c>
      <c r="Z5314">
        <v>4</v>
      </c>
      <c r="AA5314">
        <v>0</v>
      </c>
      <c r="AB5314">
        <v>8</v>
      </c>
      <c r="AD5314">
        <v>1</v>
      </c>
      <c r="AE5314">
        <v>0</v>
      </c>
      <c r="AF5314">
        <v>0</v>
      </c>
      <c r="AG5314">
        <v>0</v>
      </c>
      <c r="AI5314">
        <v>0</v>
      </c>
      <c r="AJ5314">
        <v>15</v>
      </c>
      <c r="AK5314">
        <v>333</v>
      </c>
      <c r="AL5314">
        <v>333</v>
      </c>
      <c r="AM5314">
        <v>605</v>
      </c>
      <c r="AN5314">
        <v>48</v>
      </c>
      <c r="AP5314">
        <v>1</v>
      </c>
      <c r="AR5314" t="s">
        <v>5419</v>
      </c>
      <c r="AS5314" s="1">
        <v>44353.976388888892</v>
      </c>
      <c r="AT5314" s="1">
        <v>44353.978020833332</v>
      </c>
      <c r="AU5314" s="1">
        <v>44353.978726851848</v>
      </c>
      <c r="AV5314" t="s">
        <v>71</v>
      </c>
      <c r="AW5314" t="s">
        <v>72</v>
      </c>
      <c r="AX5314" t="s">
        <v>73</v>
      </c>
    </row>
    <row r="5315" spans="1:50" x14ac:dyDescent="0.3">
      <c r="A5315" t="str">
        <f>"200440C0300"</f>
        <v>200440C0300</v>
      </c>
      <c r="B5315" t="str">
        <f>"200440C03002"</f>
        <v>200440C03002</v>
      </c>
      <c r="C5315" t="str">
        <f t="shared" si="264"/>
        <v>20</v>
      </c>
      <c r="D5315" t="s">
        <v>67</v>
      </c>
      <c r="E5315" t="str">
        <f t="shared" si="265"/>
        <v>024</v>
      </c>
      <c r="F5315" t="s">
        <v>5370</v>
      </c>
      <c r="G5315" t="str">
        <f>"0440"</f>
        <v>0440</v>
      </c>
      <c r="H5315" t="str">
        <f>"0003"</f>
        <v>0003</v>
      </c>
      <c r="I5315" t="s">
        <v>75</v>
      </c>
      <c r="J5315">
        <v>0</v>
      </c>
      <c r="K5315">
        <v>1</v>
      </c>
      <c r="L5315">
        <v>2</v>
      </c>
      <c r="M5315">
        <v>334</v>
      </c>
      <c r="N5315">
        <v>319</v>
      </c>
      <c r="O5315">
        <v>10</v>
      </c>
      <c r="P5315" t="s">
        <v>80</v>
      </c>
      <c r="Q5315">
        <v>9</v>
      </c>
      <c r="R5315">
        <v>50</v>
      </c>
      <c r="S5315">
        <v>1</v>
      </c>
      <c r="T5315">
        <v>0</v>
      </c>
      <c r="U5315">
        <v>18</v>
      </c>
      <c r="V5315">
        <v>0</v>
      </c>
      <c r="W5315">
        <v>30</v>
      </c>
      <c r="X5315">
        <v>111</v>
      </c>
      <c r="Y5315">
        <v>62</v>
      </c>
      <c r="Z5315">
        <v>0</v>
      </c>
      <c r="AA5315">
        <v>3</v>
      </c>
      <c r="AB5315">
        <v>17</v>
      </c>
      <c r="AD5315">
        <v>1</v>
      </c>
      <c r="AE5315">
        <v>0</v>
      </c>
      <c r="AF5315">
        <v>0</v>
      </c>
      <c r="AG5315">
        <v>0</v>
      </c>
      <c r="AI5315">
        <v>0</v>
      </c>
      <c r="AJ5315">
        <v>17</v>
      </c>
      <c r="AK5315">
        <v>319</v>
      </c>
      <c r="AL5315">
        <v>319</v>
      </c>
      <c r="AM5315">
        <v>605</v>
      </c>
      <c r="AN5315">
        <v>48</v>
      </c>
      <c r="AP5315">
        <v>1</v>
      </c>
      <c r="AR5315" t="s">
        <v>5420</v>
      </c>
      <c r="AS5315" s="1">
        <v>44354.165972222225</v>
      </c>
      <c r="AT5315" s="1">
        <v>44354.167766203704</v>
      </c>
      <c r="AU5315" s="1">
        <v>44354.168530092589</v>
      </c>
      <c r="AV5315" t="s">
        <v>71</v>
      </c>
      <c r="AW5315" t="s">
        <v>72</v>
      </c>
      <c r="AX5315" t="s">
        <v>73</v>
      </c>
    </row>
    <row r="5316" spans="1:50" x14ac:dyDescent="0.3">
      <c r="A5316" t="str">
        <f>"200440S0100"</f>
        <v>200440S0100</v>
      </c>
      <c r="B5316" t="str">
        <f>"200440S01002EMR"</f>
        <v>200440S01002EMR</v>
      </c>
      <c r="C5316" t="str">
        <f t="shared" si="264"/>
        <v>20</v>
      </c>
      <c r="D5316" t="s">
        <v>67</v>
      </c>
      <c r="E5316" t="str">
        <f t="shared" si="265"/>
        <v>024</v>
      </c>
      <c r="F5316" t="s">
        <v>5370</v>
      </c>
      <c r="G5316" t="str">
        <f>"0440"</f>
        <v>0440</v>
      </c>
      <c r="H5316" t="str">
        <f>"0001"</f>
        <v>0001</v>
      </c>
      <c r="I5316" t="s">
        <v>85</v>
      </c>
      <c r="J5316">
        <v>0</v>
      </c>
      <c r="K5316">
        <v>1</v>
      </c>
      <c r="L5316" t="s">
        <v>86</v>
      </c>
      <c r="M5316">
        <v>428</v>
      </c>
      <c r="N5316">
        <v>373</v>
      </c>
      <c r="O5316">
        <v>0</v>
      </c>
      <c r="P5316">
        <v>373</v>
      </c>
      <c r="Q5316">
        <v>2</v>
      </c>
      <c r="R5316">
        <v>63</v>
      </c>
      <c r="S5316">
        <v>1</v>
      </c>
      <c r="T5316">
        <v>6</v>
      </c>
      <c r="U5316">
        <v>13</v>
      </c>
      <c r="V5316">
        <v>2</v>
      </c>
      <c r="W5316">
        <v>58</v>
      </c>
      <c r="X5316">
        <v>135</v>
      </c>
      <c r="Y5316">
        <v>56</v>
      </c>
      <c r="Z5316">
        <v>2</v>
      </c>
      <c r="AA5316">
        <v>5</v>
      </c>
      <c r="AB5316">
        <v>6</v>
      </c>
      <c r="AD5316">
        <v>0</v>
      </c>
      <c r="AE5316">
        <v>1</v>
      </c>
      <c r="AF5316">
        <v>0</v>
      </c>
      <c r="AG5316">
        <v>1</v>
      </c>
      <c r="AI5316">
        <v>0</v>
      </c>
      <c r="AJ5316">
        <v>22</v>
      </c>
      <c r="AK5316">
        <v>373</v>
      </c>
      <c r="AL5316">
        <v>373</v>
      </c>
      <c r="AM5316">
        <v>0</v>
      </c>
      <c r="AN5316">
        <v>48</v>
      </c>
      <c r="AP5316">
        <v>1</v>
      </c>
      <c r="AR5316" t="s">
        <v>5421</v>
      </c>
      <c r="AS5316" s="1">
        <v>44354.689583333333</v>
      </c>
      <c r="AT5316" s="1">
        <v>44354.691516203704</v>
      </c>
      <c r="AU5316" s="1">
        <v>44354.692025462966</v>
      </c>
      <c r="AV5316" t="s">
        <v>71</v>
      </c>
      <c r="AW5316" t="s">
        <v>72</v>
      </c>
      <c r="AX5316" t="s">
        <v>73</v>
      </c>
    </row>
    <row r="5317" spans="1:50" x14ac:dyDescent="0.3">
      <c r="A5317" t="str">
        <f>"200441B0000"</f>
        <v>200441B0000</v>
      </c>
      <c r="B5317" t="str">
        <f>"200441B00002"</f>
        <v>200441B00002</v>
      </c>
      <c r="C5317" t="str">
        <f t="shared" si="264"/>
        <v>20</v>
      </c>
      <c r="D5317" t="s">
        <v>67</v>
      </c>
      <c r="E5317" t="str">
        <f t="shared" si="265"/>
        <v>024</v>
      </c>
      <c r="F5317" t="s">
        <v>5370</v>
      </c>
      <c r="G5317" t="str">
        <f>"0441"</f>
        <v>0441</v>
      </c>
      <c r="H5317" t="str">
        <f>"0000"</f>
        <v>0000</v>
      </c>
      <c r="I5317" t="s">
        <v>69</v>
      </c>
      <c r="J5317">
        <v>0</v>
      </c>
      <c r="K5317">
        <v>1</v>
      </c>
      <c r="L5317">
        <v>2</v>
      </c>
      <c r="M5317">
        <v>373</v>
      </c>
      <c r="N5317">
        <v>399</v>
      </c>
      <c r="O5317">
        <v>5</v>
      </c>
      <c r="P5317">
        <v>398</v>
      </c>
      <c r="Q5317">
        <v>7</v>
      </c>
      <c r="R5317">
        <v>47</v>
      </c>
      <c r="S5317">
        <v>3</v>
      </c>
      <c r="T5317">
        <v>4</v>
      </c>
      <c r="U5317">
        <v>24</v>
      </c>
      <c r="V5317">
        <v>2</v>
      </c>
      <c r="W5317">
        <v>37</v>
      </c>
      <c r="X5317">
        <v>159</v>
      </c>
      <c r="Y5317">
        <v>81</v>
      </c>
      <c r="Z5317">
        <v>5</v>
      </c>
      <c r="AA5317">
        <v>0</v>
      </c>
      <c r="AB5317">
        <v>11</v>
      </c>
      <c r="AD5317">
        <v>0</v>
      </c>
      <c r="AE5317">
        <v>0</v>
      </c>
      <c r="AF5317">
        <v>0</v>
      </c>
      <c r="AG5317">
        <v>0</v>
      </c>
      <c r="AI5317">
        <v>0</v>
      </c>
      <c r="AJ5317">
        <v>18</v>
      </c>
      <c r="AK5317">
        <v>398</v>
      </c>
      <c r="AL5317">
        <v>398</v>
      </c>
      <c r="AM5317">
        <v>724</v>
      </c>
      <c r="AN5317">
        <v>48</v>
      </c>
      <c r="AP5317">
        <v>1</v>
      </c>
      <c r="AR5317" t="s">
        <v>5422</v>
      </c>
      <c r="AS5317" s="1">
        <v>44354.289583333331</v>
      </c>
      <c r="AT5317" s="1">
        <v>44354.291331018518</v>
      </c>
      <c r="AU5317" s="1">
        <v>44354.292013888888</v>
      </c>
      <c r="AV5317" t="s">
        <v>71</v>
      </c>
      <c r="AW5317" t="s">
        <v>72</v>
      </c>
      <c r="AX5317" t="s">
        <v>73</v>
      </c>
    </row>
    <row r="5318" spans="1:50" x14ac:dyDescent="0.3">
      <c r="A5318" t="str">
        <f>"200441C0100"</f>
        <v>200441C0100</v>
      </c>
      <c r="B5318" t="str">
        <f>"200441C01002"</f>
        <v>200441C01002</v>
      </c>
      <c r="C5318" t="str">
        <f t="shared" si="264"/>
        <v>20</v>
      </c>
      <c r="D5318" t="s">
        <v>67</v>
      </c>
      <c r="E5318" t="str">
        <f t="shared" si="265"/>
        <v>024</v>
      </c>
      <c r="F5318" t="s">
        <v>5370</v>
      </c>
      <c r="G5318" t="str">
        <f>"0441"</f>
        <v>0441</v>
      </c>
      <c r="H5318" t="str">
        <f>"0001"</f>
        <v>0001</v>
      </c>
      <c r="I5318" t="s">
        <v>75</v>
      </c>
      <c r="J5318">
        <v>0</v>
      </c>
      <c r="K5318">
        <v>1</v>
      </c>
      <c r="L5318">
        <v>2</v>
      </c>
      <c r="M5318">
        <v>355</v>
      </c>
      <c r="N5318">
        <v>416</v>
      </c>
      <c r="O5318">
        <v>4</v>
      </c>
      <c r="P5318">
        <v>417</v>
      </c>
      <c r="Q5318">
        <v>9</v>
      </c>
      <c r="R5318">
        <v>58</v>
      </c>
      <c r="S5318">
        <v>5</v>
      </c>
      <c r="T5318">
        <v>2</v>
      </c>
      <c r="U5318">
        <v>37</v>
      </c>
      <c r="V5318">
        <v>4</v>
      </c>
      <c r="W5318">
        <v>48</v>
      </c>
      <c r="X5318">
        <v>136</v>
      </c>
      <c r="Y5318">
        <v>86</v>
      </c>
      <c r="Z5318">
        <v>4</v>
      </c>
      <c r="AA5318">
        <v>1</v>
      </c>
      <c r="AB5318">
        <v>10</v>
      </c>
      <c r="AD5318">
        <v>0</v>
      </c>
      <c r="AE5318">
        <v>1</v>
      </c>
      <c r="AF5318">
        <v>0</v>
      </c>
      <c r="AG5318">
        <v>0</v>
      </c>
      <c r="AI5318">
        <v>0</v>
      </c>
      <c r="AJ5318">
        <v>16</v>
      </c>
      <c r="AK5318">
        <v>417</v>
      </c>
      <c r="AL5318">
        <v>417</v>
      </c>
      <c r="AM5318">
        <v>724</v>
      </c>
      <c r="AN5318">
        <v>48</v>
      </c>
      <c r="AP5318">
        <v>1</v>
      </c>
      <c r="AR5318" t="s">
        <v>5423</v>
      </c>
      <c r="AS5318" s="1">
        <v>44354.29583333333</v>
      </c>
      <c r="AT5318" s="1">
        <v>44354.298252314817</v>
      </c>
      <c r="AU5318" s="1">
        <v>44354.299085648148</v>
      </c>
      <c r="AV5318" t="s">
        <v>71</v>
      </c>
      <c r="AW5318" t="s">
        <v>72</v>
      </c>
      <c r="AX5318" t="s">
        <v>73</v>
      </c>
    </row>
    <row r="5319" spans="1:50" x14ac:dyDescent="0.3">
      <c r="A5319" t="str">
        <f>"200441C0200"</f>
        <v>200441C0200</v>
      </c>
      <c r="B5319" t="str">
        <f>"200441C02002"</f>
        <v>200441C02002</v>
      </c>
      <c r="C5319" t="str">
        <f t="shared" ref="C5319:C5382" si="267">"20"</f>
        <v>20</v>
      </c>
      <c r="D5319" t="s">
        <v>67</v>
      </c>
      <c r="E5319" t="str">
        <f t="shared" si="265"/>
        <v>024</v>
      </c>
      <c r="F5319" t="s">
        <v>5370</v>
      </c>
      <c r="G5319" t="str">
        <f>"0441"</f>
        <v>0441</v>
      </c>
      <c r="H5319" t="str">
        <f>"0002"</f>
        <v>0002</v>
      </c>
      <c r="I5319" t="s">
        <v>75</v>
      </c>
      <c r="J5319">
        <v>0</v>
      </c>
      <c r="K5319">
        <v>1</v>
      </c>
      <c r="L5319">
        <v>2</v>
      </c>
      <c r="M5319">
        <v>374</v>
      </c>
      <c r="N5319">
        <v>398</v>
      </c>
      <c r="O5319">
        <v>0</v>
      </c>
      <c r="P5319" t="s">
        <v>80</v>
      </c>
      <c r="Q5319">
        <v>11</v>
      </c>
      <c r="R5319">
        <v>43</v>
      </c>
      <c r="S5319">
        <v>6</v>
      </c>
      <c r="T5319">
        <v>3</v>
      </c>
      <c r="U5319">
        <v>30</v>
      </c>
      <c r="V5319">
        <v>4</v>
      </c>
      <c r="W5319">
        <v>49</v>
      </c>
      <c r="X5319">
        <v>140</v>
      </c>
      <c r="Y5319">
        <v>83</v>
      </c>
      <c r="Z5319">
        <v>1</v>
      </c>
      <c r="AA5319">
        <v>1</v>
      </c>
      <c r="AB5319">
        <v>12</v>
      </c>
      <c r="AD5319" t="s">
        <v>77</v>
      </c>
      <c r="AE5319" t="s">
        <v>77</v>
      </c>
      <c r="AF5319" t="s">
        <v>77</v>
      </c>
      <c r="AG5319" t="s">
        <v>77</v>
      </c>
      <c r="AI5319" t="s">
        <v>77</v>
      </c>
      <c r="AJ5319">
        <v>15</v>
      </c>
      <c r="AK5319">
        <v>398</v>
      </c>
      <c r="AL5319">
        <v>398</v>
      </c>
      <c r="AM5319">
        <v>724</v>
      </c>
      <c r="AN5319">
        <v>48</v>
      </c>
      <c r="AO5319" t="s">
        <v>78</v>
      </c>
      <c r="AP5319">
        <v>1</v>
      </c>
      <c r="AR5319" t="s">
        <v>5424</v>
      </c>
      <c r="AS5319" s="1">
        <v>44354.293055555558</v>
      </c>
      <c r="AT5319" s="1">
        <v>44354.294641203705</v>
      </c>
      <c r="AU5319" s="1">
        <v>44354.295439814814</v>
      </c>
      <c r="AV5319" t="s">
        <v>71</v>
      </c>
      <c r="AW5319" t="s">
        <v>72</v>
      </c>
      <c r="AX5319" t="s">
        <v>73</v>
      </c>
    </row>
    <row r="5320" spans="1:50" x14ac:dyDescent="0.3">
      <c r="A5320" t="str">
        <f>"200441C0300"</f>
        <v>200441C0300</v>
      </c>
      <c r="B5320" t="str">
        <f>"200441C03002"</f>
        <v>200441C03002</v>
      </c>
      <c r="C5320" t="str">
        <f t="shared" si="267"/>
        <v>20</v>
      </c>
      <c r="D5320" t="s">
        <v>67</v>
      </c>
      <c r="E5320" t="str">
        <f t="shared" si="265"/>
        <v>024</v>
      </c>
      <c r="F5320" t="s">
        <v>5370</v>
      </c>
      <c r="G5320" t="str">
        <f>"0441"</f>
        <v>0441</v>
      </c>
      <c r="H5320" t="str">
        <f>"0003"</f>
        <v>0003</v>
      </c>
      <c r="I5320" t="s">
        <v>75</v>
      </c>
      <c r="J5320">
        <v>0</v>
      </c>
      <c r="K5320">
        <v>1</v>
      </c>
      <c r="L5320">
        <v>2</v>
      </c>
      <c r="M5320">
        <v>377</v>
      </c>
      <c r="N5320">
        <v>395</v>
      </c>
      <c r="O5320">
        <v>2</v>
      </c>
      <c r="P5320" t="s">
        <v>80</v>
      </c>
      <c r="Q5320">
        <v>8</v>
      </c>
      <c r="R5320">
        <v>53</v>
      </c>
      <c r="S5320">
        <v>7</v>
      </c>
      <c r="T5320">
        <v>4</v>
      </c>
      <c r="U5320">
        <v>19</v>
      </c>
      <c r="V5320">
        <v>1</v>
      </c>
      <c r="W5320">
        <v>46</v>
      </c>
      <c r="X5320">
        <v>134</v>
      </c>
      <c r="Y5320">
        <v>85</v>
      </c>
      <c r="Z5320">
        <v>4</v>
      </c>
      <c r="AA5320">
        <v>5</v>
      </c>
      <c r="AB5320">
        <v>10</v>
      </c>
      <c r="AD5320" t="s">
        <v>77</v>
      </c>
      <c r="AE5320" t="s">
        <v>77</v>
      </c>
      <c r="AF5320" t="s">
        <v>77</v>
      </c>
      <c r="AG5320" t="s">
        <v>77</v>
      </c>
      <c r="AI5320" t="s">
        <v>77</v>
      </c>
      <c r="AJ5320">
        <v>19</v>
      </c>
      <c r="AK5320">
        <v>395</v>
      </c>
      <c r="AL5320">
        <v>395</v>
      </c>
      <c r="AM5320">
        <v>724</v>
      </c>
      <c r="AN5320">
        <v>48</v>
      </c>
      <c r="AO5320" t="s">
        <v>78</v>
      </c>
      <c r="AP5320">
        <v>1</v>
      </c>
      <c r="AR5320" t="s">
        <v>5425</v>
      </c>
      <c r="AS5320" s="1">
        <v>44354.294444444444</v>
      </c>
      <c r="AT5320" s="1">
        <v>44354.295775462961</v>
      </c>
      <c r="AU5320" s="1">
        <v>44354.296909722223</v>
      </c>
      <c r="AV5320" t="s">
        <v>71</v>
      </c>
      <c r="AW5320" t="s">
        <v>72</v>
      </c>
      <c r="AX5320" t="s">
        <v>73</v>
      </c>
    </row>
    <row r="5321" spans="1:50" x14ac:dyDescent="0.3">
      <c r="A5321" t="str">
        <f>"200441C0400"</f>
        <v>200441C0400</v>
      </c>
      <c r="B5321" t="str">
        <f>"200441C04002"</f>
        <v>200441C04002</v>
      </c>
      <c r="C5321" t="str">
        <f t="shared" si="267"/>
        <v>20</v>
      </c>
      <c r="D5321" t="s">
        <v>67</v>
      </c>
      <c r="E5321" t="str">
        <f t="shared" si="265"/>
        <v>024</v>
      </c>
      <c r="F5321" t="s">
        <v>5370</v>
      </c>
      <c r="G5321" t="str">
        <f>"0441"</f>
        <v>0441</v>
      </c>
      <c r="H5321" t="str">
        <f>"0004"</f>
        <v>0004</v>
      </c>
      <c r="I5321" t="s">
        <v>75</v>
      </c>
      <c r="J5321">
        <v>0</v>
      </c>
      <c r="K5321">
        <v>1</v>
      </c>
      <c r="L5321">
        <v>2</v>
      </c>
      <c r="M5321">
        <v>342</v>
      </c>
      <c r="N5321">
        <v>429</v>
      </c>
      <c r="O5321">
        <v>4</v>
      </c>
      <c r="P5321">
        <v>429</v>
      </c>
      <c r="Q5321">
        <v>10</v>
      </c>
      <c r="R5321">
        <v>46</v>
      </c>
      <c r="S5321">
        <v>1</v>
      </c>
      <c r="T5321">
        <v>5</v>
      </c>
      <c r="U5321">
        <v>30</v>
      </c>
      <c r="V5321">
        <v>5</v>
      </c>
      <c r="W5321">
        <v>37</v>
      </c>
      <c r="X5321">
        <v>152</v>
      </c>
      <c r="Y5321">
        <v>97</v>
      </c>
      <c r="Z5321">
        <v>3</v>
      </c>
      <c r="AA5321">
        <v>2</v>
      </c>
      <c r="AB5321">
        <v>12</v>
      </c>
      <c r="AD5321">
        <v>0</v>
      </c>
      <c r="AE5321">
        <v>1</v>
      </c>
      <c r="AF5321">
        <v>0</v>
      </c>
      <c r="AG5321">
        <v>0</v>
      </c>
      <c r="AI5321">
        <v>0</v>
      </c>
      <c r="AJ5321">
        <v>28</v>
      </c>
      <c r="AK5321">
        <v>429</v>
      </c>
      <c r="AL5321">
        <v>429</v>
      </c>
      <c r="AM5321">
        <v>723</v>
      </c>
      <c r="AN5321">
        <v>48</v>
      </c>
      <c r="AP5321">
        <v>1</v>
      </c>
      <c r="AR5321" t="s">
        <v>5426</v>
      </c>
      <c r="AS5321" s="1">
        <v>44354.229861111111</v>
      </c>
      <c r="AT5321" s="1">
        <v>44354.232453703706</v>
      </c>
      <c r="AU5321" s="1">
        <v>44354.233148148145</v>
      </c>
      <c r="AV5321" t="s">
        <v>71</v>
      </c>
      <c r="AW5321" t="s">
        <v>72</v>
      </c>
      <c r="AX5321" t="s">
        <v>73</v>
      </c>
    </row>
    <row r="5322" spans="1:50" x14ac:dyDescent="0.3">
      <c r="A5322" t="str">
        <f>"200442B0000"</f>
        <v>200442B0000</v>
      </c>
      <c r="B5322" t="str">
        <f>"200442B00002"</f>
        <v>200442B00002</v>
      </c>
      <c r="C5322" t="str">
        <f t="shared" si="267"/>
        <v>20</v>
      </c>
      <c r="D5322" t="s">
        <v>67</v>
      </c>
      <c r="E5322" t="str">
        <f t="shared" si="265"/>
        <v>024</v>
      </c>
      <c r="F5322" t="s">
        <v>5370</v>
      </c>
      <c r="G5322" t="str">
        <f>"0442"</f>
        <v>0442</v>
      </c>
      <c r="H5322" t="str">
        <f>"0000"</f>
        <v>0000</v>
      </c>
      <c r="I5322" t="s">
        <v>69</v>
      </c>
      <c r="J5322">
        <v>0</v>
      </c>
      <c r="K5322">
        <v>1</v>
      </c>
      <c r="L5322">
        <v>2</v>
      </c>
      <c r="M5322">
        <v>238</v>
      </c>
      <c r="N5322">
        <v>404</v>
      </c>
      <c r="O5322">
        <v>3</v>
      </c>
      <c r="P5322">
        <v>404</v>
      </c>
      <c r="Q5322">
        <v>3</v>
      </c>
      <c r="R5322">
        <v>181</v>
      </c>
      <c r="S5322">
        <v>5</v>
      </c>
      <c r="T5322">
        <v>20</v>
      </c>
      <c r="U5322">
        <v>2</v>
      </c>
      <c r="V5322">
        <v>3</v>
      </c>
      <c r="W5322">
        <v>50</v>
      </c>
      <c r="X5322">
        <v>52</v>
      </c>
      <c r="Y5322">
        <v>55</v>
      </c>
      <c r="Z5322">
        <v>4</v>
      </c>
      <c r="AA5322">
        <v>2</v>
      </c>
      <c r="AB5322">
        <v>13</v>
      </c>
      <c r="AD5322">
        <v>1</v>
      </c>
      <c r="AE5322" t="s">
        <v>77</v>
      </c>
      <c r="AF5322" t="s">
        <v>77</v>
      </c>
      <c r="AG5322" t="s">
        <v>77</v>
      </c>
      <c r="AI5322" t="s">
        <v>77</v>
      </c>
      <c r="AJ5322">
        <v>13</v>
      </c>
      <c r="AK5322">
        <v>404</v>
      </c>
      <c r="AL5322">
        <v>404</v>
      </c>
      <c r="AM5322">
        <v>594</v>
      </c>
      <c r="AN5322">
        <v>48</v>
      </c>
      <c r="AO5322" t="s">
        <v>78</v>
      </c>
      <c r="AP5322">
        <v>1</v>
      </c>
      <c r="AR5322" t="s">
        <v>5427</v>
      </c>
      <c r="AS5322" s="1">
        <v>44354.19027777778</v>
      </c>
      <c r="AT5322" s="1">
        <v>44354.191921296297</v>
      </c>
      <c r="AU5322" s="1">
        <v>44354.19259259259</v>
      </c>
      <c r="AV5322" t="s">
        <v>71</v>
      </c>
      <c r="AW5322" t="s">
        <v>72</v>
      </c>
      <c r="AX5322" t="s">
        <v>73</v>
      </c>
    </row>
    <row r="5323" spans="1:50" x14ac:dyDescent="0.3">
      <c r="A5323" t="str">
        <f>"200442E0100"</f>
        <v>200442E0100</v>
      </c>
      <c r="B5323" t="str">
        <f>"200442E01002"</f>
        <v>200442E01002</v>
      </c>
      <c r="C5323" t="str">
        <f t="shared" si="267"/>
        <v>20</v>
      </c>
      <c r="D5323" t="s">
        <v>67</v>
      </c>
      <c r="E5323" t="str">
        <f t="shared" si="265"/>
        <v>024</v>
      </c>
      <c r="F5323" t="s">
        <v>5370</v>
      </c>
      <c r="G5323" t="str">
        <f>"0442"</f>
        <v>0442</v>
      </c>
      <c r="H5323" t="str">
        <f>"0001"</f>
        <v>0001</v>
      </c>
      <c r="I5323" t="s">
        <v>109</v>
      </c>
      <c r="J5323">
        <v>0</v>
      </c>
      <c r="K5323">
        <v>1</v>
      </c>
      <c r="L5323">
        <v>2</v>
      </c>
      <c r="M5323">
        <v>293</v>
      </c>
      <c r="N5323">
        <v>423</v>
      </c>
      <c r="O5323">
        <v>4</v>
      </c>
      <c r="P5323">
        <v>423</v>
      </c>
      <c r="Q5323">
        <v>5</v>
      </c>
      <c r="R5323">
        <v>113</v>
      </c>
      <c r="S5323">
        <v>1</v>
      </c>
      <c r="T5323">
        <v>8</v>
      </c>
      <c r="U5323">
        <v>6</v>
      </c>
      <c r="V5323">
        <v>3</v>
      </c>
      <c r="W5323">
        <v>97</v>
      </c>
      <c r="X5323">
        <v>88</v>
      </c>
      <c r="Y5323">
        <v>68</v>
      </c>
      <c r="Z5323">
        <v>6</v>
      </c>
      <c r="AA5323">
        <v>5</v>
      </c>
      <c r="AB5323">
        <v>3</v>
      </c>
      <c r="AD5323">
        <v>0</v>
      </c>
      <c r="AE5323">
        <v>0</v>
      </c>
      <c r="AF5323">
        <v>0</v>
      </c>
      <c r="AG5323">
        <v>0</v>
      </c>
      <c r="AI5323">
        <v>0</v>
      </c>
      <c r="AJ5323">
        <v>20</v>
      </c>
      <c r="AK5323">
        <v>423</v>
      </c>
      <c r="AL5323">
        <v>423</v>
      </c>
      <c r="AM5323">
        <v>663</v>
      </c>
      <c r="AN5323">
        <v>48</v>
      </c>
      <c r="AP5323">
        <v>1</v>
      </c>
      <c r="AR5323" t="s">
        <v>5428</v>
      </c>
      <c r="AS5323" s="1">
        <v>44354.188888888886</v>
      </c>
      <c r="AT5323" s="1">
        <v>44354.193032407406</v>
      </c>
      <c r="AU5323" s="1">
        <v>44354.193935185183</v>
      </c>
      <c r="AV5323" t="s">
        <v>71</v>
      </c>
      <c r="AW5323" t="s">
        <v>72</v>
      </c>
      <c r="AX5323" t="s">
        <v>73</v>
      </c>
    </row>
    <row r="5324" spans="1:50" x14ac:dyDescent="0.3">
      <c r="A5324" t="str">
        <f>"200442E0101"</f>
        <v>200442E0101</v>
      </c>
      <c r="B5324" t="str">
        <f>"200442E01012"</f>
        <v>200442E01012</v>
      </c>
      <c r="C5324" t="str">
        <f t="shared" si="267"/>
        <v>20</v>
      </c>
      <c r="D5324" t="s">
        <v>67</v>
      </c>
      <c r="E5324" t="str">
        <f t="shared" si="265"/>
        <v>024</v>
      </c>
      <c r="F5324" t="s">
        <v>5370</v>
      </c>
      <c r="G5324" t="str">
        <f>"0442"</f>
        <v>0442</v>
      </c>
      <c r="H5324" t="str">
        <f>"0001"</f>
        <v>0001</v>
      </c>
      <c r="I5324" t="s">
        <v>109</v>
      </c>
      <c r="J5324">
        <v>1</v>
      </c>
      <c r="K5324">
        <v>1</v>
      </c>
      <c r="L5324">
        <v>2</v>
      </c>
      <c r="M5324">
        <v>282</v>
      </c>
      <c r="N5324">
        <v>711</v>
      </c>
      <c r="O5324">
        <v>6</v>
      </c>
      <c r="P5324" t="s">
        <v>80</v>
      </c>
      <c r="Q5324">
        <v>3</v>
      </c>
      <c r="R5324">
        <v>97</v>
      </c>
      <c r="S5324">
        <v>5</v>
      </c>
      <c r="T5324">
        <v>6</v>
      </c>
      <c r="U5324">
        <v>0</v>
      </c>
      <c r="V5324">
        <v>2</v>
      </c>
      <c r="W5324">
        <v>103</v>
      </c>
      <c r="X5324">
        <v>81</v>
      </c>
      <c r="Y5324">
        <v>90</v>
      </c>
      <c r="Z5324">
        <v>4</v>
      </c>
      <c r="AA5324">
        <v>12</v>
      </c>
      <c r="AB5324">
        <v>4</v>
      </c>
      <c r="AD5324">
        <v>0</v>
      </c>
      <c r="AE5324">
        <v>0</v>
      </c>
      <c r="AF5324">
        <v>0</v>
      </c>
      <c r="AG5324">
        <v>0</v>
      </c>
      <c r="AI5324">
        <v>0</v>
      </c>
      <c r="AJ5324">
        <v>22</v>
      </c>
      <c r="AK5324">
        <v>429</v>
      </c>
      <c r="AL5324">
        <v>429</v>
      </c>
      <c r="AM5324">
        <v>663</v>
      </c>
      <c r="AN5324">
        <v>48</v>
      </c>
      <c r="AP5324">
        <v>1</v>
      </c>
      <c r="AR5324" t="s">
        <v>5429</v>
      </c>
      <c r="AS5324" s="1">
        <v>44354.1875</v>
      </c>
      <c r="AT5324" s="1">
        <v>44354.189340277779</v>
      </c>
      <c r="AU5324" s="1">
        <v>44354.190127314818</v>
      </c>
      <c r="AV5324" t="s">
        <v>71</v>
      </c>
      <c r="AW5324" t="s">
        <v>72</v>
      </c>
      <c r="AX5324" t="s">
        <v>73</v>
      </c>
    </row>
    <row r="5325" spans="1:50" x14ac:dyDescent="0.3">
      <c r="A5325" t="str">
        <f>"200443B0000"</f>
        <v>200443B0000</v>
      </c>
      <c r="B5325" t="str">
        <f>"200443B00002"</f>
        <v>200443B00002</v>
      </c>
      <c r="C5325" t="str">
        <f t="shared" si="267"/>
        <v>20</v>
      </c>
      <c r="D5325" t="s">
        <v>67</v>
      </c>
      <c r="E5325" t="str">
        <f t="shared" si="265"/>
        <v>024</v>
      </c>
      <c r="F5325" t="s">
        <v>5370</v>
      </c>
      <c r="G5325" t="str">
        <f>"0443"</f>
        <v>0443</v>
      </c>
      <c r="H5325" t="str">
        <f>"0000"</f>
        <v>0000</v>
      </c>
      <c r="I5325" t="s">
        <v>69</v>
      </c>
      <c r="J5325">
        <v>0</v>
      </c>
      <c r="K5325">
        <v>1</v>
      </c>
      <c r="L5325">
        <v>2</v>
      </c>
      <c r="M5325">
        <v>267</v>
      </c>
      <c r="N5325">
        <v>273</v>
      </c>
      <c r="O5325">
        <v>4</v>
      </c>
      <c r="P5325">
        <v>273</v>
      </c>
      <c r="Q5325">
        <v>6</v>
      </c>
      <c r="R5325">
        <v>44</v>
      </c>
      <c r="S5325">
        <v>2</v>
      </c>
      <c r="T5325">
        <v>4</v>
      </c>
      <c r="U5325">
        <v>6</v>
      </c>
      <c r="V5325">
        <v>0</v>
      </c>
      <c r="W5325">
        <v>116</v>
      </c>
      <c r="X5325">
        <v>61</v>
      </c>
      <c r="Y5325">
        <v>13</v>
      </c>
      <c r="Z5325">
        <v>1</v>
      </c>
      <c r="AA5325">
        <v>0</v>
      </c>
      <c r="AB5325">
        <v>1</v>
      </c>
      <c r="AD5325" t="s">
        <v>77</v>
      </c>
      <c r="AE5325" t="s">
        <v>77</v>
      </c>
      <c r="AF5325" t="s">
        <v>77</v>
      </c>
      <c r="AG5325" t="s">
        <v>77</v>
      </c>
      <c r="AI5325" t="s">
        <v>77</v>
      </c>
      <c r="AJ5325" t="s">
        <v>77</v>
      </c>
      <c r="AK5325" t="s">
        <v>77</v>
      </c>
      <c r="AL5325">
        <v>254</v>
      </c>
      <c r="AM5325">
        <v>492</v>
      </c>
      <c r="AN5325">
        <v>48</v>
      </c>
      <c r="AO5325" t="s">
        <v>78</v>
      </c>
      <c r="AP5325">
        <v>1</v>
      </c>
      <c r="AR5325" t="s">
        <v>5430</v>
      </c>
      <c r="AS5325" s="1">
        <v>44354.185416666667</v>
      </c>
      <c r="AT5325" s="1">
        <v>44354.186863425923</v>
      </c>
      <c r="AU5325" s="1">
        <v>44354.187418981484</v>
      </c>
      <c r="AV5325" t="s">
        <v>71</v>
      </c>
      <c r="AW5325" t="s">
        <v>72</v>
      </c>
      <c r="AX5325" t="s">
        <v>73</v>
      </c>
    </row>
    <row r="5326" spans="1:50" x14ac:dyDescent="0.3">
      <c r="A5326" t="str">
        <f>"200444B0000"</f>
        <v>200444B0000</v>
      </c>
      <c r="B5326" t="str">
        <f>"200444B00002"</f>
        <v>200444B00002</v>
      </c>
      <c r="C5326" t="str">
        <f t="shared" si="267"/>
        <v>20</v>
      </c>
      <c r="D5326" t="s">
        <v>67</v>
      </c>
      <c r="E5326" t="str">
        <f t="shared" si="265"/>
        <v>024</v>
      </c>
      <c r="F5326" t="s">
        <v>5370</v>
      </c>
      <c r="G5326" t="str">
        <f>"0444"</f>
        <v>0444</v>
      </c>
      <c r="H5326" t="str">
        <f>"0000"</f>
        <v>0000</v>
      </c>
      <c r="I5326" t="s">
        <v>69</v>
      </c>
      <c r="J5326">
        <v>0</v>
      </c>
      <c r="K5326">
        <v>1</v>
      </c>
      <c r="L5326">
        <v>2</v>
      </c>
      <c r="M5326">
        <v>262</v>
      </c>
      <c r="N5326">
        <v>340</v>
      </c>
      <c r="O5326">
        <v>6</v>
      </c>
      <c r="P5326">
        <v>340</v>
      </c>
      <c r="Q5326">
        <v>5</v>
      </c>
      <c r="R5326">
        <v>73</v>
      </c>
      <c r="S5326">
        <v>1</v>
      </c>
      <c r="T5326">
        <v>4</v>
      </c>
      <c r="U5326">
        <v>3</v>
      </c>
      <c r="V5326">
        <v>3</v>
      </c>
      <c r="W5326">
        <v>121</v>
      </c>
      <c r="X5326">
        <v>33</v>
      </c>
      <c r="Y5326">
        <v>63</v>
      </c>
      <c r="Z5326">
        <v>2</v>
      </c>
      <c r="AA5326">
        <v>0</v>
      </c>
      <c r="AB5326">
        <v>3</v>
      </c>
      <c r="AD5326">
        <v>0</v>
      </c>
      <c r="AE5326">
        <v>0</v>
      </c>
      <c r="AF5326">
        <v>0</v>
      </c>
      <c r="AG5326">
        <v>0</v>
      </c>
      <c r="AI5326">
        <v>0</v>
      </c>
      <c r="AJ5326">
        <v>29</v>
      </c>
      <c r="AK5326">
        <v>340</v>
      </c>
      <c r="AL5326">
        <v>340</v>
      </c>
      <c r="AM5326">
        <v>554</v>
      </c>
      <c r="AN5326">
        <v>48</v>
      </c>
      <c r="AP5326">
        <v>1</v>
      </c>
      <c r="AR5326" t="s">
        <v>5431</v>
      </c>
      <c r="AS5326" s="1">
        <v>44354.147916666669</v>
      </c>
      <c r="AT5326" s="1">
        <v>44354.149143518516</v>
      </c>
      <c r="AU5326" s="1">
        <v>44354.149814814817</v>
      </c>
      <c r="AV5326" t="s">
        <v>71</v>
      </c>
      <c r="AW5326" t="s">
        <v>72</v>
      </c>
      <c r="AX5326" t="s">
        <v>73</v>
      </c>
    </row>
    <row r="5327" spans="1:50" x14ac:dyDescent="0.3">
      <c r="A5327" t="str">
        <f>"200444C0100"</f>
        <v>200444C0100</v>
      </c>
      <c r="B5327" t="str">
        <f>"200444C01002"</f>
        <v>200444C01002</v>
      </c>
      <c r="C5327" t="str">
        <f t="shared" si="267"/>
        <v>20</v>
      </c>
      <c r="D5327" t="s">
        <v>67</v>
      </c>
      <c r="E5327" t="str">
        <f t="shared" si="265"/>
        <v>024</v>
      </c>
      <c r="F5327" t="s">
        <v>5370</v>
      </c>
      <c r="G5327" t="str">
        <f>"0444"</f>
        <v>0444</v>
      </c>
      <c r="H5327" t="str">
        <f>"0001"</f>
        <v>0001</v>
      </c>
      <c r="I5327" t="s">
        <v>75</v>
      </c>
      <c r="J5327">
        <v>0</v>
      </c>
      <c r="K5327">
        <v>1</v>
      </c>
      <c r="L5327">
        <v>2</v>
      </c>
      <c r="M5327">
        <v>287</v>
      </c>
      <c r="N5327">
        <v>315</v>
      </c>
      <c r="O5327">
        <v>5</v>
      </c>
      <c r="P5327">
        <v>315</v>
      </c>
      <c r="Q5327">
        <v>7</v>
      </c>
      <c r="R5327">
        <v>88</v>
      </c>
      <c r="S5327">
        <v>1</v>
      </c>
      <c r="T5327">
        <v>5</v>
      </c>
      <c r="U5327">
        <v>4</v>
      </c>
      <c r="V5327">
        <v>2</v>
      </c>
      <c r="W5327">
        <v>118</v>
      </c>
      <c r="X5327">
        <v>25</v>
      </c>
      <c r="Y5327">
        <v>48</v>
      </c>
      <c r="Z5327">
        <v>0</v>
      </c>
      <c r="AA5327">
        <v>1</v>
      </c>
      <c r="AB5327">
        <v>3</v>
      </c>
      <c r="AD5327">
        <v>0</v>
      </c>
      <c r="AE5327">
        <v>0</v>
      </c>
      <c r="AF5327">
        <v>0</v>
      </c>
      <c r="AG5327">
        <v>0</v>
      </c>
      <c r="AI5327">
        <v>0</v>
      </c>
      <c r="AJ5327">
        <v>13</v>
      </c>
      <c r="AK5327">
        <v>315</v>
      </c>
      <c r="AL5327">
        <v>315</v>
      </c>
      <c r="AM5327">
        <v>554</v>
      </c>
      <c r="AN5327">
        <v>48</v>
      </c>
      <c r="AP5327">
        <v>1</v>
      </c>
      <c r="AR5327" t="s">
        <v>5432</v>
      </c>
      <c r="AS5327" s="1">
        <v>44354.147916666669</v>
      </c>
      <c r="AT5327" s="1">
        <v>44354.149340277778</v>
      </c>
      <c r="AU5327" s="1">
        <v>44354.150347222225</v>
      </c>
      <c r="AV5327" t="s">
        <v>71</v>
      </c>
      <c r="AW5327" t="s">
        <v>72</v>
      </c>
      <c r="AX5327" t="s">
        <v>73</v>
      </c>
    </row>
    <row r="5328" spans="1:50" x14ac:dyDescent="0.3">
      <c r="A5328" t="str">
        <f>"200445B0000"</f>
        <v>200445B0000</v>
      </c>
      <c r="B5328" t="str">
        <f>"200445B00002"</f>
        <v>200445B00002</v>
      </c>
      <c r="C5328" t="str">
        <f t="shared" si="267"/>
        <v>20</v>
      </c>
      <c r="D5328" t="s">
        <v>67</v>
      </c>
      <c r="E5328" t="str">
        <f t="shared" si="265"/>
        <v>024</v>
      </c>
      <c r="F5328" t="s">
        <v>5370</v>
      </c>
      <c r="G5328" t="str">
        <f>"0445"</f>
        <v>0445</v>
      </c>
      <c r="H5328" t="str">
        <f>"0000"</f>
        <v>0000</v>
      </c>
      <c r="I5328" t="s">
        <v>69</v>
      </c>
      <c r="J5328">
        <v>0</v>
      </c>
      <c r="K5328">
        <v>1</v>
      </c>
      <c r="L5328">
        <v>2</v>
      </c>
      <c r="M5328">
        <v>283</v>
      </c>
      <c r="N5328">
        <v>394</v>
      </c>
      <c r="O5328">
        <v>0</v>
      </c>
      <c r="P5328">
        <v>394</v>
      </c>
      <c r="Q5328">
        <v>13</v>
      </c>
      <c r="R5328">
        <v>95</v>
      </c>
      <c r="S5328">
        <v>2</v>
      </c>
      <c r="T5328">
        <v>6</v>
      </c>
      <c r="U5328">
        <v>10</v>
      </c>
      <c r="V5328">
        <v>2</v>
      </c>
      <c r="W5328">
        <v>61</v>
      </c>
      <c r="X5328">
        <v>30</v>
      </c>
      <c r="Y5328">
        <v>155</v>
      </c>
      <c r="Z5328">
        <v>4</v>
      </c>
      <c r="AA5328">
        <v>0</v>
      </c>
      <c r="AB5328">
        <v>2</v>
      </c>
      <c r="AD5328">
        <v>0</v>
      </c>
      <c r="AE5328">
        <v>1</v>
      </c>
      <c r="AF5328">
        <v>0</v>
      </c>
      <c r="AG5328">
        <v>0</v>
      </c>
      <c r="AI5328">
        <v>0</v>
      </c>
      <c r="AJ5328">
        <v>13</v>
      </c>
      <c r="AK5328">
        <v>394</v>
      </c>
      <c r="AL5328">
        <v>394</v>
      </c>
      <c r="AM5328">
        <v>629</v>
      </c>
      <c r="AN5328">
        <v>48</v>
      </c>
      <c r="AP5328">
        <v>1</v>
      </c>
      <c r="AR5328" t="s">
        <v>5433</v>
      </c>
      <c r="AS5328" s="1">
        <v>44354.339583333334</v>
      </c>
      <c r="AT5328" s="1">
        <v>44354.341273148151</v>
      </c>
      <c r="AU5328" s="1">
        <v>44354.341898148145</v>
      </c>
      <c r="AV5328" t="s">
        <v>71</v>
      </c>
      <c r="AW5328" t="s">
        <v>72</v>
      </c>
      <c r="AX5328" t="s">
        <v>73</v>
      </c>
    </row>
    <row r="5329" spans="1:50" x14ac:dyDescent="0.3">
      <c r="A5329" t="str">
        <f>"200445E0100"</f>
        <v>200445E0100</v>
      </c>
      <c r="B5329" t="str">
        <f>"200445E01002"</f>
        <v>200445E01002</v>
      </c>
      <c r="C5329" t="str">
        <f t="shared" si="267"/>
        <v>20</v>
      </c>
      <c r="D5329" t="s">
        <v>67</v>
      </c>
      <c r="E5329" t="str">
        <f t="shared" si="265"/>
        <v>024</v>
      </c>
      <c r="F5329" t="s">
        <v>5370</v>
      </c>
      <c r="G5329" t="str">
        <f>"0445"</f>
        <v>0445</v>
      </c>
      <c r="H5329" t="str">
        <f>"0001"</f>
        <v>0001</v>
      </c>
      <c r="I5329" t="s">
        <v>109</v>
      </c>
      <c r="J5329">
        <v>0</v>
      </c>
      <c r="K5329">
        <v>1</v>
      </c>
      <c r="L5329">
        <v>2</v>
      </c>
      <c r="M5329">
        <v>420</v>
      </c>
      <c r="N5329">
        <v>366</v>
      </c>
      <c r="O5329">
        <v>3</v>
      </c>
      <c r="P5329">
        <v>366</v>
      </c>
      <c r="Q5329">
        <v>7</v>
      </c>
      <c r="R5329">
        <v>75</v>
      </c>
      <c r="S5329">
        <v>3</v>
      </c>
      <c r="T5329">
        <v>7</v>
      </c>
      <c r="U5329">
        <v>9</v>
      </c>
      <c r="V5329">
        <v>2</v>
      </c>
      <c r="W5329">
        <v>56</v>
      </c>
      <c r="X5329">
        <v>24</v>
      </c>
      <c r="Y5329">
        <v>157</v>
      </c>
      <c r="Z5329">
        <v>1</v>
      </c>
      <c r="AA5329">
        <v>0</v>
      </c>
      <c r="AB5329">
        <v>2</v>
      </c>
      <c r="AD5329">
        <v>0</v>
      </c>
      <c r="AE5329">
        <v>0</v>
      </c>
      <c r="AF5329">
        <v>0</v>
      </c>
      <c r="AG5329">
        <v>0</v>
      </c>
      <c r="AI5329">
        <v>0</v>
      </c>
      <c r="AJ5329">
        <v>20</v>
      </c>
      <c r="AK5329">
        <v>366</v>
      </c>
      <c r="AL5329">
        <v>363</v>
      </c>
      <c r="AM5329">
        <v>738</v>
      </c>
      <c r="AN5329">
        <v>48</v>
      </c>
      <c r="AP5329">
        <v>1</v>
      </c>
      <c r="AR5329" t="s">
        <v>5434</v>
      </c>
      <c r="AS5329" s="1">
        <v>44354.331250000003</v>
      </c>
      <c r="AT5329" s="1">
        <v>44354.332881944443</v>
      </c>
      <c r="AU5329" s="1">
        <v>44354.333391203705</v>
      </c>
      <c r="AV5329" t="s">
        <v>71</v>
      </c>
      <c r="AW5329" t="s">
        <v>72</v>
      </c>
      <c r="AX5329" t="s">
        <v>73</v>
      </c>
    </row>
    <row r="5330" spans="1:50" x14ac:dyDescent="0.3">
      <c r="A5330" t="str">
        <f>"200446B0000"</f>
        <v>200446B0000</v>
      </c>
      <c r="B5330" t="str">
        <f>"200446B00002"</f>
        <v>200446B00002</v>
      </c>
      <c r="C5330" t="str">
        <f t="shared" si="267"/>
        <v>20</v>
      </c>
      <c r="D5330" t="s">
        <v>67</v>
      </c>
      <c r="E5330" t="str">
        <f t="shared" ref="E5330:E5393" si="268">"024"</f>
        <v>024</v>
      </c>
      <c r="F5330" t="s">
        <v>5370</v>
      </c>
      <c r="G5330" t="str">
        <f>"0446"</f>
        <v>0446</v>
      </c>
      <c r="H5330" t="str">
        <f>"0000"</f>
        <v>0000</v>
      </c>
      <c r="I5330" t="s">
        <v>69</v>
      </c>
      <c r="J5330">
        <v>0</v>
      </c>
      <c r="K5330">
        <v>1</v>
      </c>
      <c r="L5330">
        <v>2</v>
      </c>
      <c r="M5330">
        <v>361</v>
      </c>
      <c r="N5330">
        <v>157</v>
      </c>
      <c r="O5330">
        <v>8</v>
      </c>
      <c r="P5330">
        <v>157</v>
      </c>
      <c r="Q5330">
        <v>2</v>
      </c>
      <c r="R5330">
        <v>37</v>
      </c>
      <c r="S5330">
        <v>2</v>
      </c>
      <c r="T5330">
        <v>2</v>
      </c>
      <c r="U5330">
        <v>3</v>
      </c>
      <c r="V5330">
        <v>3</v>
      </c>
      <c r="W5330">
        <v>26</v>
      </c>
      <c r="X5330">
        <v>47</v>
      </c>
      <c r="Y5330">
        <v>30</v>
      </c>
      <c r="Z5330">
        <v>1</v>
      </c>
      <c r="AA5330">
        <v>1</v>
      </c>
      <c r="AB5330">
        <v>1</v>
      </c>
      <c r="AD5330">
        <v>0</v>
      </c>
      <c r="AE5330">
        <v>0</v>
      </c>
      <c r="AF5330">
        <v>0</v>
      </c>
      <c r="AG5330">
        <v>0</v>
      </c>
      <c r="AI5330">
        <v>0</v>
      </c>
      <c r="AJ5330">
        <v>2</v>
      </c>
      <c r="AK5330">
        <v>157</v>
      </c>
      <c r="AL5330">
        <v>157</v>
      </c>
      <c r="AM5330">
        <v>470</v>
      </c>
      <c r="AN5330">
        <v>48</v>
      </c>
      <c r="AP5330">
        <v>1</v>
      </c>
      <c r="AR5330" t="s">
        <v>5435</v>
      </c>
      <c r="AS5330" s="1">
        <v>44353.991666666669</v>
      </c>
      <c r="AT5330" s="1">
        <v>44353.994942129626</v>
      </c>
      <c r="AU5330" s="1">
        <v>44353.99554398148</v>
      </c>
      <c r="AV5330" t="s">
        <v>71</v>
      </c>
      <c r="AW5330" t="s">
        <v>72</v>
      </c>
      <c r="AX5330" t="s">
        <v>73</v>
      </c>
    </row>
    <row r="5331" spans="1:50" x14ac:dyDescent="0.3">
      <c r="A5331" t="str">
        <f>"200446C0100"</f>
        <v>200446C0100</v>
      </c>
      <c r="B5331" t="str">
        <f>"200446C01002"</f>
        <v>200446C01002</v>
      </c>
      <c r="C5331" t="str">
        <f t="shared" si="267"/>
        <v>20</v>
      </c>
      <c r="D5331" t="s">
        <v>67</v>
      </c>
      <c r="E5331" t="str">
        <f t="shared" si="268"/>
        <v>024</v>
      </c>
      <c r="F5331" t="s">
        <v>5370</v>
      </c>
      <c r="G5331" t="str">
        <f>"0446"</f>
        <v>0446</v>
      </c>
      <c r="H5331" t="str">
        <f>"0001"</f>
        <v>0001</v>
      </c>
      <c r="I5331" t="s">
        <v>75</v>
      </c>
      <c r="J5331">
        <v>0</v>
      </c>
      <c r="K5331">
        <v>1</v>
      </c>
      <c r="L5331">
        <v>2</v>
      </c>
      <c r="AM5331">
        <v>470</v>
      </c>
      <c r="AN5331">
        <v>48</v>
      </c>
      <c r="AO5331" t="s">
        <v>2056</v>
      </c>
      <c r="AP5331">
        <v>0</v>
      </c>
      <c r="AR5331" s="2" t="s">
        <v>5436</v>
      </c>
      <c r="AS5331" s="1">
        <v>44354.441666666666</v>
      </c>
      <c r="AT5331" s="1">
        <v>44354.457916666666</v>
      </c>
      <c r="AU5331" s="1">
        <v>44354.457916666666</v>
      </c>
      <c r="AV5331" t="s">
        <v>71</v>
      </c>
      <c r="AW5331" t="s">
        <v>72</v>
      </c>
      <c r="AX5331" t="s">
        <v>73</v>
      </c>
    </row>
    <row r="5332" spans="1:50" x14ac:dyDescent="0.3">
      <c r="A5332" t="str">
        <f>"200446E0100"</f>
        <v>200446E0100</v>
      </c>
      <c r="B5332" t="str">
        <f>"200446E01002"</f>
        <v>200446E01002</v>
      </c>
      <c r="C5332" t="str">
        <f t="shared" si="267"/>
        <v>20</v>
      </c>
      <c r="D5332" t="s">
        <v>67</v>
      </c>
      <c r="E5332" t="str">
        <f t="shared" si="268"/>
        <v>024</v>
      </c>
      <c r="F5332" t="s">
        <v>5370</v>
      </c>
      <c r="G5332" t="str">
        <f>"0446"</f>
        <v>0446</v>
      </c>
      <c r="H5332" t="str">
        <f>"0001"</f>
        <v>0001</v>
      </c>
      <c r="I5332" t="s">
        <v>109</v>
      </c>
      <c r="J5332">
        <v>0</v>
      </c>
      <c r="K5332">
        <v>1</v>
      </c>
      <c r="L5332">
        <v>2</v>
      </c>
      <c r="M5332">
        <v>226</v>
      </c>
      <c r="N5332">
        <v>181</v>
      </c>
      <c r="O5332">
        <v>4</v>
      </c>
      <c r="P5332">
        <v>181</v>
      </c>
      <c r="Q5332">
        <v>6</v>
      </c>
      <c r="R5332">
        <v>11</v>
      </c>
      <c r="S5332">
        <v>1</v>
      </c>
      <c r="T5332">
        <v>4</v>
      </c>
      <c r="U5332">
        <v>5</v>
      </c>
      <c r="V5332">
        <v>5</v>
      </c>
      <c r="W5332">
        <v>36</v>
      </c>
      <c r="X5332">
        <v>20</v>
      </c>
      <c r="Y5332">
        <v>0</v>
      </c>
      <c r="Z5332">
        <v>1</v>
      </c>
      <c r="AA5332">
        <v>0</v>
      </c>
      <c r="AB5332">
        <v>0</v>
      </c>
      <c r="AD5332">
        <v>0</v>
      </c>
      <c r="AE5332">
        <v>0</v>
      </c>
      <c r="AF5332">
        <v>0</v>
      </c>
      <c r="AG5332">
        <v>0</v>
      </c>
      <c r="AI5332">
        <v>0</v>
      </c>
      <c r="AJ5332">
        <v>10</v>
      </c>
      <c r="AK5332">
        <v>181</v>
      </c>
      <c r="AL5332">
        <v>99</v>
      </c>
      <c r="AM5332">
        <v>359</v>
      </c>
      <c r="AN5332">
        <v>48</v>
      </c>
      <c r="AP5332">
        <v>1</v>
      </c>
      <c r="AR5332" t="s">
        <v>5437</v>
      </c>
      <c r="AS5332" s="1">
        <v>44353.995833333334</v>
      </c>
      <c r="AT5332" s="1">
        <v>44354.000324074077</v>
      </c>
      <c r="AU5332" s="1">
        <v>44354.000555555554</v>
      </c>
      <c r="AV5332" t="s">
        <v>71</v>
      </c>
      <c r="AW5332" t="s">
        <v>72</v>
      </c>
      <c r="AX5332" t="s">
        <v>73</v>
      </c>
    </row>
    <row r="5333" spans="1:50" x14ac:dyDescent="0.3">
      <c r="A5333" t="str">
        <f>"200446E0200"</f>
        <v>200446E0200</v>
      </c>
      <c r="B5333" t="str">
        <f>"200446E02002"</f>
        <v>200446E02002</v>
      </c>
      <c r="C5333" t="str">
        <f t="shared" si="267"/>
        <v>20</v>
      </c>
      <c r="D5333" t="s">
        <v>67</v>
      </c>
      <c r="E5333" t="str">
        <f t="shared" si="268"/>
        <v>024</v>
      </c>
      <c r="F5333" t="s">
        <v>5370</v>
      </c>
      <c r="G5333" t="str">
        <f>"0446"</f>
        <v>0446</v>
      </c>
      <c r="H5333" t="str">
        <f>"0002"</f>
        <v>0002</v>
      </c>
      <c r="I5333" t="s">
        <v>109</v>
      </c>
      <c r="J5333">
        <v>0</v>
      </c>
      <c r="K5333">
        <v>1</v>
      </c>
      <c r="L5333">
        <v>2</v>
      </c>
      <c r="AM5333">
        <v>352</v>
      </c>
      <c r="AN5333">
        <v>48</v>
      </c>
      <c r="AO5333" t="s">
        <v>2056</v>
      </c>
      <c r="AP5333">
        <v>0</v>
      </c>
      <c r="AR5333" t="s">
        <v>5438</v>
      </c>
      <c r="AS5333" s="1">
        <v>44354.441666666666</v>
      </c>
      <c r="AT5333" s="1">
        <v>44354.45820601852</v>
      </c>
      <c r="AU5333" s="1">
        <v>44354.45820601852</v>
      </c>
      <c r="AV5333" t="s">
        <v>71</v>
      </c>
      <c r="AW5333" t="s">
        <v>72</v>
      </c>
      <c r="AX5333" t="s">
        <v>73</v>
      </c>
    </row>
    <row r="5334" spans="1:50" x14ac:dyDescent="0.3">
      <c r="A5334" t="str">
        <f>"200447B0000"</f>
        <v>200447B0000</v>
      </c>
      <c r="B5334" t="str">
        <f>"200447B00002"</f>
        <v>200447B00002</v>
      </c>
      <c r="C5334" t="str">
        <f t="shared" si="267"/>
        <v>20</v>
      </c>
      <c r="D5334" t="s">
        <v>67</v>
      </c>
      <c r="E5334" t="str">
        <f t="shared" si="268"/>
        <v>024</v>
      </c>
      <c r="F5334" t="s">
        <v>5370</v>
      </c>
      <c r="G5334" t="str">
        <f>"0447"</f>
        <v>0447</v>
      </c>
      <c r="H5334" t="str">
        <f>"0000"</f>
        <v>0000</v>
      </c>
      <c r="I5334" t="s">
        <v>69</v>
      </c>
      <c r="J5334">
        <v>0</v>
      </c>
      <c r="K5334">
        <v>1</v>
      </c>
      <c r="L5334">
        <v>2</v>
      </c>
      <c r="M5334">
        <v>185</v>
      </c>
      <c r="N5334">
        <v>266</v>
      </c>
      <c r="O5334">
        <v>1</v>
      </c>
      <c r="P5334">
        <v>266</v>
      </c>
      <c r="Q5334">
        <v>0</v>
      </c>
      <c r="R5334">
        <v>36</v>
      </c>
      <c r="S5334">
        <v>0</v>
      </c>
      <c r="T5334">
        <v>2</v>
      </c>
      <c r="U5334">
        <v>10</v>
      </c>
      <c r="V5334">
        <v>1</v>
      </c>
      <c r="W5334">
        <v>22</v>
      </c>
      <c r="X5334">
        <v>13</v>
      </c>
      <c r="Y5334">
        <v>105</v>
      </c>
      <c r="Z5334">
        <v>2</v>
      </c>
      <c r="AA5334">
        <v>2</v>
      </c>
      <c r="AB5334">
        <v>2</v>
      </c>
      <c r="AD5334">
        <v>0</v>
      </c>
      <c r="AE5334">
        <v>0</v>
      </c>
      <c r="AF5334">
        <v>0</v>
      </c>
      <c r="AG5334">
        <v>0</v>
      </c>
      <c r="AI5334">
        <v>0</v>
      </c>
      <c r="AJ5334">
        <v>11</v>
      </c>
      <c r="AK5334">
        <v>266</v>
      </c>
      <c r="AL5334">
        <v>206</v>
      </c>
      <c r="AM5334">
        <v>403</v>
      </c>
      <c r="AN5334">
        <v>48</v>
      </c>
      <c r="AP5334">
        <v>1</v>
      </c>
      <c r="AR5334" t="s">
        <v>5439</v>
      </c>
      <c r="AS5334" s="1">
        <v>44354.138888888891</v>
      </c>
      <c r="AT5334" s="1">
        <v>44354.140856481485</v>
      </c>
      <c r="AU5334" s="1">
        <v>44354.141238425924</v>
      </c>
      <c r="AV5334" t="s">
        <v>71</v>
      </c>
      <c r="AW5334" t="s">
        <v>72</v>
      </c>
      <c r="AX5334" t="s">
        <v>73</v>
      </c>
    </row>
    <row r="5335" spans="1:50" x14ac:dyDescent="0.3">
      <c r="A5335" t="str">
        <f>"200447E0100"</f>
        <v>200447E0100</v>
      </c>
      <c r="B5335" t="str">
        <f>"200447E01002"</f>
        <v>200447E01002</v>
      </c>
      <c r="C5335" t="str">
        <f t="shared" si="267"/>
        <v>20</v>
      </c>
      <c r="D5335" t="s">
        <v>67</v>
      </c>
      <c r="E5335" t="str">
        <f t="shared" si="268"/>
        <v>024</v>
      </c>
      <c r="F5335" t="s">
        <v>5370</v>
      </c>
      <c r="G5335" t="str">
        <f>"0447"</f>
        <v>0447</v>
      </c>
      <c r="H5335" t="str">
        <f>"0001"</f>
        <v>0001</v>
      </c>
      <c r="I5335" t="s">
        <v>109</v>
      </c>
      <c r="J5335">
        <v>0</v>
      </c>
      <c r="K5335">
        <v>1</v>
      </c>
      <c r="L5335">
        <v>2</v>
      </c>
      <c r="M5335">
        <v>231</v>
      </c>
      <c r="N5335">
        <v>354</v>
      </c>
      <c r="O5335">
        <v>5</v>
      </c>
      <c r="P5335">
        <v>354</v>
      </c>
      <c r="Q5335">
        <v>12</v>
      </c>
      <c r="R5335">
        <v>113</v>
      </c>
      <c r="S5335">
        <v>1</v>
      </c>
      <c r="T5335">
        <v>4</v>
      </c>
      <c r="U5335">
        <v>17</v>
      </c>
      <c r="V5335">
        <v>2</v>
      </c>
      <c r="W5335">
        <v>45</v>
      </c>
      <c r="X5335">
        <v>48</v>
      </c>
      <c r="Y5335">
        <v>86</v>
      </c>
      <c r="Z5335">
        <v>1</v>
      </c>
      <c r="AA5335">
        <v>1</v>
      </c>
      <c r="AB5335">
        <v>4</v>
      </c>
      <c r="AD5335" t="s">
        <v>77</v>
      </c>
      <c r="AE5335" t="s">
        <v>77</v>
      </c>
      <c r="AF5335" t="s">
        <v>77</v>
      </c>
      <c r="AG5335" t="s">
        <v>77</v>
      </c>
      <c r="AI5335" t="s">
        <v>77</v>
      </c>
      <c r="AJ5335">
        <v>20</v>
      </c>
      <c r="AK5335">
        <v>354</v>
      </c>
      <c r="AL5335">
        <v>354</v>
      </c>
      <c r="AM5335">
        <v>537</v>
      </c>
      <c r="AN5335">
        <v>48</v>
      </c>
      <c r="AO5335" t="s">
        <v>78</v>
      </c>
      <c r="AP5335">
        <v>1</v>
      </c>
      <c r="AR5335" t="s">
        <v>5440</v>
      </c>
      <c r="AS5335" s="1">
        <v>44354.140277777777</v>
      </c>
      <c r="AT5335" s="1">
        <v>44354.141747685186</v>
      </c>
      <c r="AU5335" s="1">
        <v>44354.142430555556</v>
      </c>
      <c r="AV5335" t="s">
        <v>71</v>
      </c>
      <c r="AW5335" t="s">
        <v>72</v>
      </c>
      <c r="AX5335" t="s">
        <v>73</v>
      </c>
    </row>
    <row r="5336" spans="1:50" x14ac:dyDescent="0.3">
      <c r="A5336" t="str">
        <f>"200448B0000"</f>
        <v>200448B0000</v>
      </c>
      <c r="B5336" t="str">
        <f>"200448B00002"</f>
        <v>200448B00002</v>
      </c>
      <c r="C5336" t="str">
        <f t="shared" si="267"/>
        <v>20</v>
      </c>
      <c r="D5336" t="s">
        <v>67</v>
      </c>
      <c r="E5336" t="str">
        <f t="shared" si="268"/>
        <v>024</v>
      </c>
      <c r="F5336" t="s">
        <v>5370</v>
      </c>
      <c r="G5336" t="str">
        <f>"0448"</f>
        <v>0448</v>
      </c>
      <c r="H5336" t="str">
        <f>"0000"</f>
        <v>0000</v>
      </c>
      <c r="I5336" t="s">
        <v>69</v>
      </c>
      <c r="J5336">
        <v>0</v>
      </c>
      <c r="K5336">
        <v>1</v>
      </c>
      <c r="L5336">
        <v>2</v>
      </c>
      <c r="M5336">
        <v>232</v>
      </c>
      <c r="N5336">
        <v>216</v>
      </c>
      <c r="O5336">
        <v>4</v>
      </c>
      <c r="P5336">
        <v>216</v>
      </c>
      <c r="Q5336">
        <v>0</v>
      </c>
      <c r="R5336">
        <v>41</v>
      </c>
      <c r="S5336">
        <v>2</v>
      </c>
      <c r="T5336">
        <v>3</v>
      </c>
      <c r="U5336">
        <v>3</v>
      </c>
      <c r="V5336">
        <v>0</v>
      </c>
      <c r="W5336">
        <v>22</v>
      </c>
      <c r="X5336">
        <v>34</v>
      </c>
      <c r="Y5336">
        <v>74</v>
      </c>
      <c r="Z5336">
        <v>5</v>
      </c>
      <c r="AA5336">
        <v>3</v>
      </c>
      <c r="AB5336">
        <v>4</v>
      </c>
      <c r="AD5336">
        <v>0</v>
      </c>
      <c r="AE5336">
        <v>0</v>
      </c>
      <c r="AF5336">
        <v>0</v>
      </c>
      <c r="AG5336">
        <v>1</v>
      </c>
      <c r="AI5336">
        <v>0</v>
      </c>
      <c r="AJ5336">
        <v>24</v>
      </c>
      <c r="AK5336">
        <v>216</v>
      </c>
      <c r="AL5336">
        <v>216</v>
      </c>
      <c r="AM5336">
        <v>400</v>
      </c>
      <c r="AN5336">
        <v>48</v>
      </c>
      <c r="AP5336">
        <v>1</v>
      </c>
      <c r="AR5336" t="s">
        <v>5441</v>
      </c>
      <c r="AS5336" s="1">
        <v>44354.118750000001</v>
      </c>
      <c r="AT5336" s="1">
        <v>44354.120682870373</v>
      </c>
      <c r="AU5336" s="1">
        <v>44354.121342592596</v>
      </c>
      <c r="AV5336" t="s">
        <v>71</v>
      </c>
      <c r="AW5336" t="s">
        <v>72</v>
      </c>
      <c r="AX5336" t="s">
        <v>73</v>
      </c>
    </row>
    <row r="5337" spans="1:50" x14ac:dyDescent="0.3">
      <c r="A5337" t="str">
        <f>"200449B0000"</f>
        <v>200449B0000</v>
      </c>
      <c r="B5337" t="str">
        <f>"200449B00002"</f>
        <v>200449B00002</v>
      </c>
      <c r="C5337" t="str">
        <f t="shared" si="267"/>
        <v>20</v>
      </c>
      <c r="D5337" t="s">
        <v>67</v>
      </c>
      <c r="E5337" t="str">
        <f t="shared" si="268"/>
        <v>024</v>
      </c>
      <c r="F5337" t="s">
        <v>5370</v>
      </c>
      <c r="G5337" t="str">
        <f>"0449"</f>
        <v>0449</v>
      </c>
      <c r="H5337" t="str">
        <f>"0000"</f>
        <v>0000</v>
      </c>
      <c r="I5337" t="s">
        <v>69</v>
      </c>
      <c r="J5337">
        <v>0</v>
      </c>
      <c r="K5337">
        <v>1</v>
      </c>
      <c r="L5337">
        <v>2</v>
      </c>
      <c r="M5337">
        <v>365</v>
      </c>
      <c r="N5337">
        <v>419</v>
      </c>
      <c r="O5337">
        <v>0</v>
      </c>
      <c r="P5337">
        <v>419</v>
      </c>
      <c r="Q5337">
        <v>8</v>
      </c>
      <c r="R5337">
        <v>135</v>
      </c>
      <c r="S5337">
        <v>2</v>
      </c>
      <c r="T5337">
        <v>17</v>
      </c>
      <c r="U5337">
        <v>6</v>
      </c>
      <c r="V5337">
        <v>3</v>
      </c>
      <c r="W5337">
        <v>80</v>
      </c>
      <c r="X5337">
        <v>65</v>
      </c>
      <c r="Y5337">
        <v>78</v>
      </c>
      <c r="Z5337">
        <v>6</v>
      </c>
      <c r="AA5337">
        <v>0</v>
      </c>
      <c r="AB5337">
        <v>4</v>
      </c>
      <c r="AD5337">
        <v>0</v>
      </c>
      <c r="AE5337">
        <v>0</v>
      </c>
      <c r="AF5337">
        <v>0</v>
      </c>
      <c r="AG5337">
        <v>1</v>
      </c>
      <c r="AI5337">
        <v>0</v>
      </c>
      <c r="AJ5337">
        <v>14</v>
      </c>
      <c r="AK5337">
        <v>419</v>
      </c>
      <c r="AL5337">
        <v>419</v>
      </c>
      <c r="AM5337">
        <v>736</v>
      </c>
      <c r="AN5337">
        <v>48</v>
      </c>
      <c r="AP5337">
        <v>1</v>
      </c>
      <c r="AR5337" t="s">
        <v>5442</v>
      </c>
      <c r="AS5337" s="1">
        <v>44354.056539351855</v>
      </c>
      <c r="AT5337" s="1">
        <v>44354.062025462961</v>
      </c>
      <c r="AU5337" s="1">
        <v>44354.062731481485</v>
      </c>
      <c r="AV5337" t="s">
        <v>269</v>
      </c>
      <c r="AW5337" t="s">
        <v>270</v>
      </c>
      <c r="AX5337" t="s">
        <v>73</v>
      </c>
    </row>
    <row r="5338" spans="1:50" x14ac:dyDescent="0.3">
      <c r="A5338" t="str">
        <f>"200449C0100"</f>
        <v>200449C0100</v>
      </c>
      <c r="B5338" t="str">
        <f>"200449C01002"</f>
        <v>200449C01002</v>
      </c>
      <c r="C5338" t="str">
        <f t="shared" si="267"/>
        <v>20</v>
      </c>
      <c r="D5338" t="s">
        <v>67</v>
      </c>
      <c r="E5338" t="str">
        <f t="shared" si="268"/>
        <v>024</v>
      </c>
      <c r="F5338" t="s">
        <v>5370</v>
      </c>
      <c r="G5338" t="str">
        <f>"0449"</f>
        <v>0449</v>
      </c>
      <c r="H5338" t="str">
        <f>"0001"</f>
        <v>0001</v>
      </c>
      <c r="I5338" t="s">
        <v>75</v>
      </c>
      <c r="J5338">
        <v>0</v>
      </c>
      <c r="K5338">
        <v>1</v>
      </c>
      <c r="L5338">
        <v>2</v>
      </c>
      <c r="M5338">
        <v>387</v>
      </c>
      <c r="N5338">
        <v>397</v>
      </c>
      <c r="O5338">
        <v>2</v>
      </c>
      <c r="P5338">
        <v>397</v>
      </c>
      <c r="Q5338">
        <v>4</v>
      </c>
      <c r="R5338">
        <v>124</v>
      </c>
      <c r="S5338">
        <v>4</v>
      </c>
      <c r="T5338">
        <v>8</v>
      </c>
      <c r="U5338">
        <v>6</v>
      </c>
      <c r="V5338">
        <v>1</v>
      </c>
      <c r="W5338">
        <v>65</v>
      </c>
      <c r="X5338">
        <v>72</v>
      </c>
      <c r="Y5338">
        <v>85</v>
      </c>
      <c r="Z5338">
        <v>2</v>
      </c>
      <c r="AA5338">
        <v>0</v>
      </c>
      <c r="AB5338">
        <v>4</v>
      </c>
      <c r="AD5338">
        <v>1</v>
      </c>
      <c r="AE5338">
        <v>1</v>
      </c>
      <c r="AF5338">
        <v>0</v>
      </c>
      <c r="AG5338">
        <v>1</v>
      </c>
      <c r="AI5338">
        <v>0</v>
      </c>
      <c r="AJ5338">
        <v>19</v>
      </c>
      <c r="AK5338">
        <v>397</v>
      </c>
      <c r="AL5338">
        <v>397</v>
      </c>
      <c r="AM5338">
        <v>736</v>
      </c>
      <c r="AN5338">
        <v>48</v>
      </c>
      <c r="AP5338">
        <v>1</v>
      </c>
      <c r="AR5338" t="s">
        <v>5443</v>
      </c>
      <c r="AS5338" s="1">
        <v>44354.086423611108</v>
      </c>
      <c r="AT5338" s="1">
        <v>44354.094039351854</v>
      </c>
      <c r="AU5338" s="1">
        <v>44354.095185185186</v>
      </c>
      <c r="AV5338" t="s">
        <v>269</v>
      </c>
      <c r="AW5338" t="s">
        <v>270</v>
      </c>
      <c r="AX5338" t="s">
        <v>73</v>
      </c>
    </row>
    <row r="5339" spans="1:50" x14ac:dyDescent="0.3">
      <c r="A5339" t="str">
        <f>"200450B0000"</f>
        <v>200450B0000</v>
      </c>
      <c r="B5339" t="str">
        <f>"200450B00002"</f>
        <v>200450B00002</v>
      </c>
      <c r="C5339" t="str">
        <f t="shared" si="267"/>
        <v>20</v>
      </c>
      <c r="D5339" t="s">
        <v>67</v>
      </c>
      <c r="E5339" t="str">
        <f t="shared" si="268"/>
        <v>024</v>
      </c>
      <c r="F5339" t="s">
        <v>5370</v>
      </c>
      <c r="G5339" t="str">
        <f>"0450"</f>
        <v>0450</v>
      </c>
      <c r="H5339" t="str">
        <f>"0000"</f>
        <v>0000</v>
      </c>
      <c r="I5339" t="s">
        <v>69</v>
      </c>
      <c r="J5339">
        <v>0</v>
      </c>
      <c r="K5339">
        <v>1</v>
      </c>
      <c r="L5339">
        <v>2</v>
      </c>
      <c r="M5339">
        <v>314</v>
      </c>
      <c r="N5339">
        <v>345</v>
      </c>
      <c r="O5339">
        <v>4</v>
      </c>
      <c r="P5339">
        <v>345</v>
      </c>
      <c r="Q5339">
        <v>12</v>
      </c>
      <c r="R5339">
        <v>67</v>
      </c>
      <c r="S5339">
        <v>3</v>
      </c>
      <c r="T5339">
        <v>9</v>
      </c>
      <c r="U5339">
        <v>10</v>
      </c>
      <c r="V5339">
        <v>2</v>
      </c>
      <c r="W5339">
        <v>56</v>
      </c>
      <c r="X5339">
        <v>63</v>
      </c>
      <c r="Y5339">
        <v>83</v>
      </c>
      <c r="Z5339">
        <v>2</v>
      </c>
      <c r="AA5339">
        <v>3</v>
      </c>
      <c r="AB5339">
        <v>11</v>
      </c>
      <c r="AD5339" t="s">
        <v>77</v>
      </c>
      <c r="AE5339" t="s">
        <v>77</v>
      </c>
      <c r="AF5339" t="s">
        <v>77</v>
      </c>
      <c r="AG5339" t="s">
        <v>77</v>
      </c>
      <c r="AI5339" t="s">
        <v>77</v>
      </c>
      <c r="AJ5339" t="s">
        <v>77</v>
      </c>
      <c r="AK5339">
        <v>345</v>
      </c>
      <c r="AL5339">
        <v>321</v>
      </c>
      <c r="AM5339">
        <v>611</v>
      </c>
      <c r="AN5339">
        <v>48</v>
      </c>
      <c r="AO5339" t="s">
        <v>78</v>
      </c>
      <c r="AP5339">
        <v>1</v>
      </c>
      <c r="AR5339" t="s">
        <v>5444</v>
      </c>
      <c r="AS5339" s="1">
        <v>44354.106249999997</v>
      </c>
      <c r="AT5339" s="1">
        <v>44354.108287037037</v>
      </c>
      <c r="AU5339" s="1">
        <v>44354.109780092593</v>
      </c>
      <c r="AV5339" t="s">
        <v>71</v>
      </c>
      <c r="AW5339" t="s">
        <v>72</v>
      </c>
      <c r="AX5339" t="s">
        <v>73</v>
      </c>
    </row>
    <row r="5340" spans="1:50" x14ac:dyDescent="0.3">
      <c r="A5340" t="str">
        <f>"200451B0000"</f>
        <v>200451B0000</v>
      </c>
      <c r="B5340" t="str">
        <f>"200451B00002"</f>
        <v>200451B00002</v>
      </c>
      <c r="C5340" t="str">
        <f t="shared" si="267"/>
        <v>20</v>
      </c>
      <c r="D5340" t="s">
        <v>67</v>
      </c>
      <c r="E5340" t="str">
        <f t="shared" si="268"/>
        <v>024</v>
      </c>
      <c r="F5340" t="s">
        <v>5370</v>
      </c>
      <c r="G5340" t="str">
        <f>"0451"</f>
        <v>0451</v>
      </c>
      <c r="H5340" t="str">
        <f>"0000"</f>
        <v>0000</v>
      </c>
      <c r="I5340" t="s">
        <v>69</v>
      </c>
      <c r="J5340">
        <v>0</v>
      </c>
      <c r="K5340">
        <v>1</v>
      </c>
      <c r="L5340">
        <v>2</v>
      </c>
      <c r="M5340">
        <v>292</v>
      </c>
      <c r="N5340">
        <v>246</v>
      </c>
      <c r="O5340">
        <v>4</v>
      </c>
      <c r="P5340">
        <v>246</v>
      </c>
      <c r="Q5340">
        <v>6</v>
      </c>
      <c r="R5340">
        <v>28</v>
      </c>
      <c r="S5340">
        <v>3</v>
      </c>
      <c r="T5340">
        <v>4</v>
      </c>
      <c r="U5340">
        <v>3</v>
      </c>
      <c r="V5340">
        <v>6</v>
      </c>
      <c r="W5340">
        <v>16</v>
      </c>
      <c r="X5340">
        <v>62</v>
      </c>
      <c r="Y5340">
        <v>86</v>
      </c>
      <c r="Z5340">
        <v>6</v>
      </c>
      <c r="AA5340">
        <v>2</v>
      </c>
      <c r="AB5340">
        <v>3</v>
      </c>
      <c r="AD5340">
        <v>1</v>
      </c>
      <c r="AE5340">
        <v>0</v>
      </c>
      <c r="AF5340">
        <v>0</v>
      </c>
      <c r="AG5340">
        <v>2</v>
      </c>
      <c r="AI5340">
        <v>0</v>
      </c>
      <c r="AJ5340">
        <v>18</v>
      </c>
      <c r="AK5340">
        <v>246</v>
      </c>
      <c r="AL5340">
        <v>246</v>
      </c>
      <c r="AM5340">
        <v>490</v>
      </c>
      <c r="AN5340">
        <v>48</v>
      </c>
      <c r="AP5340">
        <v>1</v>
      </c>
      <c r="AR5340" t="s">
        <v>5445</v>
      </c>
      <c r="AS5340" s="1">
        <v>44354.179166666669</v>
      </c>
      <c r="AT5340" s="1">
        <v>44354.181550925925</v>
      </c>
      <c r="AU5340" s="1">
        <v>44354.182129629633</v>
      </c>
      <c r="AV5340" t="s">
        <v>71</v>
      </c>
      <c r="AW5340" t="s">
        <v>72</v>
      </c>
      <c r="AX5340" t="s">
        <v>73</v>
      </c>
    </row>
    <row r="5341" spans="1:50" x14ac:dyDescent="0.3">
      <c r="A5341" t="str">
        <f>"200452B0000"</f>
        <v>200452B0000</v>
      </c>
      <c r="B5341" t="str">
        <f>"200452B00002"</f>
        <v>200452B00002</v>
      </c>
      <c r="C5341" t="str">
        <f t="shared" si="267"/>
        <v>20</v>
      </c>
      <c r="D5341" t="s">
        <v>67</v>
      </c>
      <c r="E5341" t="str">
        <f t="shared" si="268"/>
        <v>024</v>
      </c>
      <c r="F5341" t="s">
        <v>5370</v>
      </c>
      <c r="G5341" t="str">
        <f>"0452"</f>
        <v>0452</v>
      </c>
      <c r="H5341" t="str">
        <f>"0000"</f>
        <v>0000</v>
      </c>
      <c r="I5341" t="s">
        <v>69</v>
      </c>
      <c r="J5341">
        <v>0</v>
      </c>
      <c r="K5341">
        <v>1</v>
      </c>
      <c r="L5341">
        <v>2</v>
      </c>
      <c r="M5341">
        <v>268</v>
      </c>
      <c r="N5341">
        <v>221</v>
      </c>
      <c r="O5341">
        <v>5</v>
      </c>
      <c r="P5341">
        <v>221</v>
      </c>
      <c r="Q5341">
        <v>6</v>
      </c>
      <c r="R5341">
        <v>21</v>
      </c>
      <c r="S5341">
        <v>1</v>
      </c>
      <c r="T5341">
        <v>9</v>
      </c>
      <c r="U5341">
        <v>6</v>
      </c>
      <c r="V5341">
        <v>2</v>
      </c>
      <c r="W5341">
        <v>17</v>
      </c>
      <c r="X5341">
        <v>44</v>
      </c>
      <c r="Y5341">
        <v>89</v>
      </c>
      <c r="Z5341">
        <v>1</v>
      </c>
      <c r="AA5341">
        <v>0</v>
      </c>
      <c r="AB5341">
        <v>0</v>
      </c>
      <c r="AD5341">
        <v>1</v>
      </c>
      <c r="AE5341">
        <v>1</v>
      </c>
      <c r="AF5341">
        <v>0</v>
      </c>
      <c r="AG5341">
        <v>0</v>
      </c>
      <c r="AI5341">
        <v>0</v>
      </c>
      <c r="AJ5341">
        <v>23</v>
      </c>
      <c r="AK5341">
        <v>221</v>
      </c>
      <c r="AL5341">
        <v>221</v>
      </c>
      <c r="AM5341">
        <v>441</v>
      </c>
      <c r="AN5341">
        <v>48</v>
      </c>
      <c r="AP5341">
        <v>1</v>
      </c>
      <c r="AR5341" t="s">
        <v>5446</v>
      </c>
      <c r="AS5341" s="1">
        <v>44354.260416666664</v>
      </c>
      <c r="AT5341" s="1">
        <v>44354.261979166666</v>
      </c>
      <c r="AU5341" s="1">
        <v>44354.26289351852</v>
      </c>
      <c r="AV5341" t="s">
        <v>71</v>
      </c>
      <c r="AW5341" t="s">
        <v>72</v>
      </c>
      <c r="AX5341" t="s">
        <v>73</v>
      </c>
    </row>
    <row r="5342" spans="1:50" x14ac:dyDescent="0.3">
      <c r="A5342" t="str">
        <f>"200452C0100"</f>
        <v>200452C0100</v>
      </c>
      <c r="B5342" t="str">
        <f>"200452C01002"</f>
        <v>200452C01002</v>
      </c>
      <c r="C5342" t="str">
        <f t="shared" si="267"/>
        <v>20</v>
      </c>
      <c r="D5342" t="s">
        <v>67</v>
      </c>
      <c r="E5342" t="str">
        <f t="shared" si="268"/>
        <v>024</v>
      </c>
      <c r="F5342" t="s">
        <v>5370</v>
      </c>
      <c r="G5342" t="str">
        <f>"0452"</f>
        <v>0452</v>
      </c>
      <c r="H5342" t="str">
        <f>"0001"</f>
        <v>0001</v>
      </c>
      <c r="I5342" t="s">
        <v>75</v>
      </c>
      <c r="J5342">
        <v>0</v>
      </c>
      <c r="K5342">
        <v>1</v>
      </c>
      <c r="L5342">
        <v>2</v>
      </c>
      <c r="M5342">
        <v>262</v>
      </c>
      <c r="N5342">
        <v>226</v>
      </c>
      <c r="O5342">
        <v>5</v>
      </c>
      <c r="P5342">
        <v>226</v>
      </c>
      <c r="Q5342">
        <v>10</v>
      </c>
      <c r="R5342">
        <v>17</v>
      </c>
      <c r="S5342">
        <v>1</v>
      </c>
      <c r="T5342">
        <v>6</v>
      </c>
      <c r="U5342">
        <v>7</v>
      </c>
      <c r="V5342">
        <v>0</v>
      </c>
      <c r="W5342">
        <v>18</v>
      </c>
      <c r="X5342">
        <v>43</v>
      </c>
      <c r="Y5342">
        <v>113</v>
      </c>
      <c r="Z5342">
        <v>4</v>
      </c>
      <c r="AA5342">
        <v>1</v>
      </c>
      <c r="AB5342">
        <v>2</v>
      </c>
      <c r="AD5342">
        <v>0</v>
      </c>
      <c r="AE5342">
        <v>0</v>
      </c>
      <c r="AF5342">
        <v>0</v>
      </c>
      <c r="AG5342">
        <v>0</v>
      </c>
      <c r="AI5342">
        <v>0</v>
      </c>
      <c r="AJ5342">
        <v>4</v>
      </c>
      <c r="AK5342">
        <v>226</v>
      </c>
      <c r="AL5342">
        <v>226</v>
      </c>
      <c r="AM5342">
        <v>440</v>
      </c>
      <c r="AN5342">
        <v>48</v>
      </c>
      <c r="AP5342">
        <v>1</v>
      </c>
      <c r="AR5342" t="s">
        <v>5447</v>
      </c>
      <c r="AS5342" s="1">
        <v>44354.256944444445</v>
      </c>
      <c r="AT5342" s="1">
        <v>44354.258252314816</v>
      </c>
      <c r="AU5342" s="1">
        <v>44354.258993055555</v>
      </c>
      <c r="AV5342" t="s">
        <v>71</v>
      </c>
      <c r="AW5342" t="s">
        <v>72</v>
      </c>
      <c r="AX5342" t="s">
        <v>73</v>
      </c>
    </row>
    <row r="5343" spans="1:50" x14ac:dyDescent="0.3">
      <c r="A5343" t="str">
        <f>"200453B0000"</f>
        <v>200453B0000</v>
      </c>
      <c r="B5343" t="str">
        <f>"200453B00002"</f>
        <v>200453B00002</v>
      </c>
      <c r="C5343" t="str">
        <f t="shared" si="267"/>
        <v>20</v>
      </c>
      <c r="D5343" t="s">
        <v>67</v>
      </c>
      <c r="E5343" t="str">
        <f t="shared" si="268"/>
        <v>024</v>
      </c>
      <c r="F5343" t="s">
        <v>5370</v>
      </c>
      <c r="G5343" t="str">
        <f>"0453"</f>
        <v>0453</v>
      </c>
      <c r="H5343" t="str">
        <f>"0000"</f>
        <v>0000</v>
      </c>
      <c r="I5343" t="s">
        <v>69</v>
      </c>
      <c r="J5343">
        <v>0</v>
      </c>
      <c r="K5343">
        <v>1</v>
      </c>
      <c r="L5343">
        <v>2</v>
      </c>
      <c r="M5343">
        <v>104</v>
      </c>
      <c r="N5343">
        <v>167</v>
      </c>
      <c r="O5343">
        <v>1</v>
      </c>
      <c r="P5343">
        <v>167</v>
      </c>
      <c r="Q5343">
        <v>3</v>
      </c>
      <c r="R5343">
        <v>116</v>
      </c>
      <c r="S5343">
        <v>0</v>
      </c>
      <c r="T5343">
        <v>3</v>
      </c>
      <c r="U5343">
        <v>0</v>
      </c>
      <c r="V5343">
        <v>1</v>
      </c>
      <c r="W5343">
        <v>15</v>
      </c>
      <c r="X5343">
        <v>2</v>
      </c>
      <c r="Y5343">
        <v>16</v>
      </c>
      <c r="Z5343">
        <v>2</v>
      </c>
      <c r="AA5343">
        <v>0</v>
      </c>
      <c r="AB5343">
        <v>6</v>
      </c>
      <c r="AD5343">
        <v>0</v>
      </c>
      <c r="AE5343">
        <v>0</v>
      </c>
      <c r="AF5343">
        <v>0</v>
      </c>
      <c r="AG5343">
        <v>0</v>
      </c>
      <c r="AI5343">
        <v>0</v>
      </c>
      <c r="AJ5343">
        <v>3</v>
      </c>
      <c r="AK5343">
        <v>167</v>
      </c>
      <c r="AL5343">
        <v>167</v>
      </c>
      <c r="AM5343">
        <v>223</v>
      </c>
      <c r="AN5343">
        <v>48</v>
      </c>
      <c r="AP5343">
        <v>1</v>
      </c>
      <c r="AR5343" t="s">
        <v>5448</v>
      </c>
      <c r="AS5343" s="1">
        <v>44354.299305555556</v>
      </c>
      <c r="AT5343" s="1">
        <v>44354.301631944443</v>
      </c>
      <c r="AU5343" s="1">
        <v>44354.302662037036</v>
      </c>
      <c r="AV5343" t="s">
        <v>71</v>
      </c>
      <c r="AW5343" t="s">
        <v>72</v>
      </c>
      <c r="AX5343" t="s">
        <v>73</v>
      </c>
    </row>
    <row r="5344" spans="1:50" x14ac:dyDescent="0.3">
      <c r="A5344" t="str">
        <f>"200456B0000"</f>
        <v>200456B0000</v>
      </c>
      <c r="B5344" t="str">
        <f>"200456B00002"</f>
        <v>200456B00002</v>
      </c>
      <c r="C5344" t="str">
        <f t="shared" si="267"/>
        <v>20</v>
      </c>
      <c r="D5344" t="s">
        <v>67</v>
      </c>
      <c r="E5344" t="str">
        <f t="shared" si="268"/>
        <v>024</v>
      </c>
      <c r="F5344" t="s">
        <v>5370</v>
      </c>
      <c r="G5344" t="str">
        <f>"0456"</f>
        <v>0456</v>
      </c>
      <c r="H5344" t="str">
        <f>"0000"</f>
        <v>0000</v>
      </c>
      <c r="I5344" t="s">
        <v>69</v>
      </c>
      <c r="J5344">
        <v>0</v>
      </c>
      <c r="K5344">
        <v>1</v>
      </c>
      <c r="L5344">
        <v>2</v>
      </c>
      <c r="M5344">
        <v>416</v>
      </c>
      <c r="N5344">
        <v>272</v>
      </c>
      <c r="O5344">
        <v>3</v>
      </c>
      <c r="P5344">
        <v>272</v>
      </c>
      <c r="Q5344">
        <v>4</v>
      </c>
      <c r="R5344">
        <v>29</v>
      </c>
      <c r="S5344">
        <v>1</v>
      </c>
      <c r="T5344">
        <v>3</v>
      </c>
      <c r="U5344">
        <v>13</v>
      </c>
      <c r="V5344">
        <v>3</v>
      </c>
      <c r="W5344">
        <v>8</v>
      </c>
      <c r="X5344">
        <v>51</v>
      </c>
      <c r="Y5344">
        <v>139</v>
      </c>
      <c r="Z5344">
        <v>2</v>
      </c>
      <c r="AA5344">
        <v>1</v>
      </c>
      <c r="AB5344">
        <v>5</v>
      </c>
      <c r="AD5344">
        <v>0</v>
      </c>
      <c r="AE5344">
        <v>1</v>
      </c>
      <c r="AF5344">
        <v>0</v>
      </c>
      <c r="AG5344">
        <v>0</v>
      </c>
      <c r="AI5344">
        <v>0</v>
      </c>
      <c r="AJ5344">
        <v>12</v>
      </c>
      <c r="AK5344">
        <v>272</v>
      </c>
      <c r="AL5344">
        <v>272</v>
      </c>
      <c r="AM5344">
        <v>645</v>
      </c>
      <c r="AN5344">
        <v>44</v>
      </c>
      <c r="AP5344">
        <v>1</v>
      </c>
      <c r="AR5344" t="s">
        <v>5449</v>
      </c>
      <c r="AS5344" s="1">
        <v>44354.332638888889</v>
      </c>
      <c r="AT5344" s="1">
        <v>44354.335277777776</v>
      </c>
      <c r="AU5344" s="1">
        <v>44354.335879629631</v>
      </c>
      <c r="AV5344" t="s">
        <v>71</v>
      </c>
      <c r="AW5344" t="s">
        <v>72</v>
      </c>
      <c r="AX5344" t="s">
        <v>73</v>
      </c>
    </row>
    <row r="5345" spans="1:50" x14ac:dyDescent="0.3">
      <c r="A5345" t="str">
        <f>"200456C0100"</f>
        <v>200456C0100</v>
      </c>
      <c r="B5345" t="str">
        <f>"200456C01002"</f>
        <v>200456C01002</v>
      </c>
      <c r="C5345" t="str">
        <f t="shared" si="267"/>
        <v>20</v>
      </c>
      <c r="D5345" t="s">
        <v>67</v>
      </c>
      <c r="E5345" t="str">
        <f t="shared" si="268"/>
        <v>024</v>
      </c>
      <c r="F5345" t="s">
        <v>5370</v>
      </c>
      <c r="G5345" t="str">
        <f>"0456"</f>
        <v>0456</v>
      </c>
      <c r="H5345" t="str">
        <f>"0001"</f>
        <v>0001</v>
      </c>
      <c r="I5345" t="s">
        <v>75</v>
      </c>
      <c r="J5345">
        <v>0</v>
      </c>
      <c r="K5345">
        <v>1</v>
      </c>
      <c r="L5345">
        <v>2</v>
      </c>
      <c r="M5345">
        <v>415</v>
      </c>
      <c r="N5345">
        <v>274</v>
      </c>
      <c r="O5345">
        <v>3</v>
      </c>
      <c r="P5345">
        <v>274</v>
      </c>
      <c r="Q5345">
        <v>3</v>
      </c>
      <c r="R5345">
        <v>31</v>
      </c>
      <c r="S5345">
        <v>4</v>
      </c>
      <c r="T5345">
        <v>4</v>
      </c>
      <c r="U5345">
        <v>10</v>
      </c>
      <c r="V5345">
        <v>4</v>
      </c>
      <c r="W5345">
        <v>3</v>
      </c>
      <c r="X5345">
        <v>59</v>
      </c>
      <c r="Y5345">
        <v>132</v>
      </c>
      <c r="Z5345">
        <v>3</v>
      </c>
      <c r="AA5345">
        <v>4</v>
      </c>
      <c r="AB5345">
        <v>2</v>
      </c>
      <c r="AD5345">
        <v>1</v>
      </c>
      <c r="AE5345">
        <v>0</v>
      </c>
      <c r="AF5345">
        <v>0</v>
      </c>
      <c r="AG5345">
        <v>0</v>
      </c>
      <c r="AI5345">
        <v>0</v>
      </c>
      <c r="AJ5345">
        <v>14</v>
      </c>
      <c r="AK5345">
        <v>274</v>
      </c>
      <c r="AL5345">
        <v>274</v>
      </c>
      <c r="AM5345">
        <v>645</v>
      </c>
      <c r="AN5345">
        <v>44</v>
      </c>
      <c r="AP5345">
        <v>1</v>
      </c>
      <c r="AR5345" t="s">
        <v>5450</v>
      </c>
      <c r="AS5345" s="1">
        <v>44354.338194444441</v>
      </c>
      <c r="AT5345" s="1">
        <v>44354.340138888889</v>
      </c>
      <c r="AU5345" s="1">
        <v>44354.340682870374</v>
      </c>
      <c r="AV5345" t="s">
        <v>71</v>
      </c>
      <c r="AW5345" t="s">
        <v>72</v>
      </c>
      <c r="AX5345" t="s">
        <v>73</v>
      </c>
    </row>
    <row r="5346" spans="1:50" x14ac:dyDescent="0.3">
      <c r="A5346" t="str">
        <f>"200457B0000"</f>
        <v>200457B0000</v>
      </c>
      <c r="B5346" t="str">
        <f>"200457B00002"</f>
        <v>200457B00002</v>
      </c>
      <c r="C5346" t="str">
        <f t="shared" si="267"/>
        <v>20</v>
      </c>
      <c r="D5346" t="s">
        <v>67</v>
      </c>
      <c r="E5346" t="str">
        <f t="shared" si="268"/>
        <v>024</v>
      </c>
      <c r="F5346" t="s">
        <v>5370</v>
      </c>
      <c r="G5346" t="str">
        <f>"0457"</f>
        <v>0457</v>
      </c>
      <c r="H5346" t="str">
        <f>"0000"</f>
        <v>0000</v>
      </c>
      <c r="I5346" t="s">
        <v>69</v>
      </c>
      <c r="J5346">
        <v>0</v>
      </c>
      <c r="K5346">
        <v>1</v>
      </c>
      <c r="L5346">
        <v>2</v>
      </c>
      <c r="M5346">
        <v>344</v>
      </c>
      <c r="N5346">
        <v>215</v>
      </c>
      <c r="O5346">
        <v>0</v>
      </c>
      <c r="P5346">
        <v>215</v>
      </c>
      <c r="Q5346">
        <v>7</v>
      </c>
      <c r="R5346">
        <v>38</v>
      </c>
      <c r="S5346">
        <v>1</v>
      </c>
      <c r="T5346">
        <v>13</v>
      </c>
      <c r="U5346">
        <v>4</v>
      </c>
      <c r="V5346">
        <v>3</v>
      </c>
      <c r="W5346">
        <v>5</v>
      </c>
      <c r="X5346">
        <v>41</v>
      </c>
      <c r="Y5346">
        <v>90</v>
      </c>
      <c r="Z5346">
        <v>1</v>
      </c>
      <c r="AA5346">
        <v>2</v>
      </c>
      <c r="AB5346">
        <v>0</v>
      </c>
      <c r="AD5346">
        <v>1</v>
      </c>
      <c r="AE5346" t="s">
        <v>77</v>
      </c>
      <c r="AF5346" t="s">
        <v>77</v>
      </c>
      <c r="AG5346" t="s">
        <v>77</v>
      </c>
      <c r="AI5346" t="s">
        <v>77</v>
      </c>
      <c r="AJ5346">
        <v>9</v>
      </c>
      <c r="AK5346">
        <v>215</v>
      </c>
      <c r="AL5346">
        <v>215</v>
      </c>
      <c r="AM5346">
        <v>515</v>
      </c>
      <c r="AN5346">
        <v>44</v>
      </c>
      <c r="AO5346" t="s">
        <v>78</v>
      </c>
      <c r="AP5346">
        <v>1</v>
      </c>
      <c r="AR5346" t="s">
        <v>5451</v>
      </c>
      <c r="AS5346" s="1">
        <v>44354.179861111108</v>
      </c>
      <c r="AT5346" s="1">
        <v>44354.182083333333</v>
      </c>
      <c r="AU5346" s="1">
        <v>44354.182997685188</v>
      </c>
      <c r="AV5346" t="s">
        <v>71</v>
      </c>
      <c r="AW5346" t="s">
        <v>72</v>
      </c>
      <c r="AX5346" t="s">
        <v>73</v>
      </c>
    </row>
    <row r="5347" spans="1:50" x14ac:dyDescent="0.3">
      <c r="A5347" t="str">
        <f>"200457C0100"</f>
        <v>200457C0100</v>
      </c>
      <c r="B5347" t="str">
        <f>"200457C01002"</f>
        <v>200457C01002</v>
      </c>
      <c r="C5347" t="str">
        <f t="shared" si="267"/>
        <v>20</v>
      </c>
      <c r="D5347" t="s">
        <v>67</v>
      </c>
      <c r="E5347" t="str">
        <f t="shared" si="268"/>
        <v>024</v>
      </c>
      <c r="F5347" t="s">
        <v>5370</v>
      </c>
      <c r="G5347" t="str">
        <f>"0457"</f>
        <v>0457</v>
      </c>
      <c r="H5347" t="str">
        <f>"0001"</f>
        <v>0001</v>
      </c>
      <c r="I5347" t="s">
        <v>75</v>
      </c>
      <c r="J5347">
        <v>0</v>
      </c>
      <c r="K5347">
        <v>1</v>
      </c>
      <c r="L5347">
        <v>2</v>
      </c>
      <c r="M5347" t="s">
        <v>80</v>
      </c>
      <c r="N5347" t="s">
        <v>80</v>
      </c>
      <c r="O5347" t="s">
        <v>80</v>
      </c>
      <c r="P5347" t="s">
        <v>80</v>
      </c>
      <c r="Q5347">
        <v>9</v>
      </c>
      <c r="R5347">
        <v>57</v>
      </c>
      <c r="S5347">
        <v>0</v>
      </c>
      <c r="T5347">
        <v>13</v>
      </c>
      <c r="U5347">
        <v>6</v>
      </c>
      <c r="V5347">
        <v>6</v>
      </c>
      <c r="W5347">
        <v>7</v>
      </c>
      <c r="X5347">
        <v>47</v>
      </c>
      <c r="Y5347">
        <v>41</v>
      </c>
      <c r="Z5347">
        <v>4</v>
      </c>
      <c r="AA5347">
        <v>2</v>
      </c>
      <c r="AB5347">
        <v>1</v>
      </c>
      <c r="AD5347">
        <v>0</v>
      </c>
      <c r="AE5347">
        <v>0</v>
      </c>
      <c r="AF5347">
        <v>0</v>
      </c>
      <c r="AG5347">
        <v>0</v>
      </c>
      <c r="AI5347" t="s">
        <v>77</v>
      </c>
      <c r="AJ5347">
        <v>9</v>
      </c>
      <c r="AK5347" t="s">
        <v>77</v>
      </c>
      <c r="AL5347">
        <v>202</v>
      </c>
      <c r="AM5347">
        <v>515</v>
      </c>
      <c r="AN5347">
        <v>44</v>
      </c>
      <c r="AO5347" t="s">
        <v>78</v>
      </c>
      <c r="AP5347">
        <v>1</v>
      </c>
      <c r="AR5347" t="s">
        <v>5452</v>
      </c>
      <c r="AS5347" s="1">
        <v>44354.18472222222</v>
      </c>
      <c r="AT5347" s="1">
        <v>44354.18608796296</v>
      </c>
      <c r="AU5347" s="1">
        <v>44354.186527777776</v>
      </c>
      <c r="AV5347" t="s">
        <v>71</v>
      </c>
      <c r="AW5347" t="s">
        <v>72</v>
      </c>
      <c r="AX5347" t="s">
        <v>73</v>
      </c>
    </row>
    <row r="5348" spans="1:50" x14ac:dyDescent="0.3">
      <c r="A5348" t="str">
        <f>"200721B0000"</f>
        <v>200721B0000</v>
      </c>
      <c r="B5348" t="str">
        <f>"200721B00002"</f>
        <v>200721B00002</v>
      </c>
      <c r="C5348" t="str">
        <f t="shared" si="267"/>
        <v>20</v>
      </c>
      <c r="D5348" t="s">
        <v>67</v>
      </c>
      <c r="E5348" t="str">
        <f t="shared" si="268"/>
        <v>024</v>
      </c>
      <c r="F5348" t="s">
        <v>5370</v>
      </c>
      <c r="G5348" t="str">
        <f>"0721"</f>
        <v>0721</v>
      </c>
      <c r="H5348" t="str">
        <f>"0000"</f>
        <v>0000</v>
      </c>
      <c r="I5348" t="s">
        <v>69</v>
      </c>
      <c r="J5348">
        <v>0</v>
      </c>
      <c r="K5348">
        <v>1</v>
      </c>
      <c r="L5348">
        <v>2</v>
      </c>
      <c r="M5348">
        <v>439</v>
      </c>
      <c r="N5348">
        <v>347</v>
      </c>
      <c r="O5348">
        <v>4</v>
      </c>
      <c r="P5348">
        <v>347</v>
      </c>
      <c r="Q5348">
        <v>10</v>
      </c>
      <c r="R5348">
        <v>149</v>
      </c>
      <c r="S5348">
        <v>6</v>
      </c>
      <c r="T5348">
        <v>10</v>
      </c>
      <c r="U5348">
        <v>7</v>
      </c>
      <c r="V5348">
        <v>2</v>
      </c>
      <c r="W5348">
        <v>3</v>
      </c>
      <c r="X5348">
        <v>95</v>
      </c>
      <c r="Y5348">
        <v>22</v>
      </c>
      <c r="Z5348">
        <v>4</v>
      </c>
      <c r="AA5348">
        <v>2</v>
      </c>
      <c r="AB5348">
        <v>16</v>
      </c>
      <c r="AD5348">
        <v>6</v>
      </c>
      <c r="AE5348">
        <v>0</v>
      </c>
      <c r="AF5348">
        <v>0</v>
      </c>
      <c r="AG5348">
        <v>0</v>
      </c>
      <c r="AI5348">
        <v>0</v>
      </c>
      <c r="AJ5348">
        <v>15</v>
      </c>
      <c r="AK5348">
        <v>347</v>
      </c>
      <c r="AL5348">
        <v>347</v>
      </c>
      <c r="AM5348">
        <v>742</v>
      </c>
      <c r="AN5348">
        <v>44</v>
      </c>
      <c r="AP5348">
        <v>1</v>
      </c>
      <c r="AR5348" t="s">
        <v>5453</v>
      </c>
      <c r="AS5348" s="1">
        <v>44354.199305555558</v>
      </c>
      <c r="AT5348" s="1">
        <v>44354.200601851851</v>
      </c>
      <c r="AU5348" s="1">
        <v>44354.201643518521</v>
      </c>
      <c r="AV5348" t="s">
        <v>71</v>
      </c>
      <c r="AW5348" t="s">
        <v>72</v>
      </c>
      <c r="AX5348" t="s">
        <v>73</v>
      </c>
    </row>
    <row r="5349" spans="1:50" x14ac:dyDescent="0.3">
      <c r="A5349" t="str">
        <f>"200721C0100"</f>
        <v>200721C0100</v>
      </c>
      <c r="B5349" t="str">
        <f>"200721C01002"</f>
        <v>200721C01002</v>
      </c>
      <c r="C5349" t="str">
        <f t="shared" si="267"/>
        <v>20</v>
      </c>
      <c r="D5349" t="s">
        <v>67</v>
      </c>
      <c r="E5349" t="str">
        <f t="shared" si="268"/>
        <v>024</v>
      </c>
      <c r="F5349" t="s">
        <v>5370</v>
      </c>
      <c r="G5349" t="str">
        <f>"0721"</f>
        <v>0721</v>
      </c>
      <c r="H5349" t="str">
        <f>"0001"</f>
        <v>0001</v>
      </c>
      <c r="I5349" t="s">
        <v>75</v>
      </c>
      <c r="J5349">
        <v>0</v>
      </c>
      <c r="K5349">
        <v>1</v>
      </c>
      <c r="L5349">
        <v>2</v>
      </c>
      <c r="M5349">
        <v>443</v>
      </c>
      <c r="N5349">
        <v>343</v>
      </c>
      <c r="O5349">
        <v>5</v>
      </c>
      <c r="P5349">
        <v>343</v>
      </c>
      <c r="Q5349">
        <v>11</v>
      </c>
      <c r="R5349">
        <v>170</v>
      </c>
      <c r="S5349">
        <v>11</v>
      </c>
      <c r="T5349">
        <v>7</v>
      </c>
      <c r="U5349">
        <v>7</v>
      </c>
      <c r="V5349">
        <v>3</v>
      </c>
      <c r="W5349">
        <v>1</v>
      </c>
      <c r="X5349">
        <v>95</v>
      </c>
      <c r="Y5349">
        <v>10</v>
      </c>
      <c r="Z5349">
        <v>5</v>
      </c>
      <c r="AA5349">
        <v>3</v>
      </c>
      <c r="AB5349">
        <v>13</v>
      </c>
      <c r="AD5349">
        <v>0</v>
      </c>
      <c r="AE5349">
        <v>0</v>
      </c>
      <c r="AF5349">
        <v>0</v>
      </c>
      <c r="AG5349">
        <v>0</v>
      </c>
      <c r="AI5349">
        <v>0</v>
      </c>
      <c r="AJ5349">
        <v>7</v>
      </c>
      <c r="AK5349">
        <v>343</v>
      </c>
      <c r="AL5349">
        <v>343</v>
      </c>
      <c r="AM5349">
        <v>742</v>
      </c>
      <c r="AN5349">
        <v>44</v>
      </c>
      <c r="AP5349">
        <v>1</v>
      </c>
      <c r="AR5349" t="s">
        <v>5454</v>
      </c>
      <c r="AS5349" s="1">
        <v>44354.196527777778</v>
      </c>
      <c r="AT5349" s="1">
        <v>44354.198194444441</v>
      </c>
      <c r="AU5349" s="1">
        <v>44354.198506944442</v>
      </c>
      <c r="AV5349" t="s">
        <v>71</v>
      </c>
      <c r="AW5349" t="s">
        <v>72</v>
      </c>
      <c r="AX5349" t="s">
        <v>73</v>
      </c>
    </row>
    <row r="5350" spans="1:50" x14ac:dyDescent="0.3">
      <c r="A5350" t="str">
        <f>"200722B0000"</f>
        <v>200722B0000</v>
      </c>
      <c r="B5350" t="str">
        <f>"200722B00002"</f>
        <v>200722B00002</v>
      </c>
      <c r="C5350" t="str">
        <f t="shared" si="267"/>
        <v>20</v>
      </c>
      <c r="D5350" t="s">
        <v>67</v>
      </c>
      <c r="E5350" t="str">
        <f t="shared" si="268"/>
        <v>024</v>
      </c>
      <c r="F5350" t="s">
        <v>5370</v>
      </c>
      <c r="G5350" t="str">
        <f>"0722"</f>
        <v>0722</v>
      </c>
      <c r="H5350" t="str">
        <f>"0000"</f>
        <v>0000</v>
      </c>
      <c r="I5350" t="s">
        <v>69</v>
      </c>
      <c r="J5350">
        <v>0</v>
      </c>
      <c r="K5350">
        <v>1</v>
      </c>
      <c r="L5350">
        <v>2</v>
      </c>
      <c r="M5350">
        <v>349</v>
      </c>
      <c r="N5350">
        <v>230</v>
      </c>
      <c r="O5350">
        <v>0</v>
      </c>
      <c r="P5350">
        <v>230</v>
      </c>
      <c r="Q5350">
        <v>7</v>
      </c>
      <c r="R5350">
        <v>89</v>
      </c>
      <c r="S5350">
        <v>3</v>
      </c>
      <c r="T5350">
        <v>4</v>
      </c>
      <c r="U5350">
        <v>5</v>
      </c>
      <c r="V5350">
        <v>0</v>
      </c>
      <c r="W5350">
        <v>3</v>
      </c>
      <c r="X5350">
        <v>85</v>
      </c>
      <c r="Y5350">
        <v>8</v>
      </c>
      <c r="Z5350">
        <v>6</v>
      </c>
      <c r="AA5350">
        <v>2</v>
      </c>
      <c r="AB5350">
        <v>11</v>
      </c>
      <c r="AD5350">
        <v>0</v>
      </c>
      <c r="AE5350">
        <v>0</v>
      </c>
      <c r="AF5350">
        <v>0</v>
      </c>
      <c r="AG5350">
        <v>0</v>
      </c>
      <c r="AI5350">
        <v>0</v>
      </c>
      <c r="AJ5350">
        <v>7</v>
      </c>
      <c r="AK5350">
        <v>230</v>
      </c>
      <c r="AL5350">
        <v>230</v>
      </c>
      <c r="AM5350">
        <v>535</v>
      </c>
      <c r="AN5350">
        <v>44</v>
      </c>
      <c r="AP5350">
        <v>1</v>
      </c>
      <c r="AR5350" t="s">
        <v>5455</v>
      </c>
      <c r="AS5350" s="1">
        <v>44354.193749999999</v>
      </c>
      <c r="AT5350" s="1">
        <v>44354.195185185185</v>
      </c>
      <c r="AU5350" s="1">
        <v>44354.196145833332</v>
      </c>
      <c r="AV5350" t="s">
        <v>71</v>
      </c>
      <c r="AW5350" t="s">
        <v>72</v>
      </c>
      <c r="AX5350" t="s">
        <v>73</v>
      </c>
    </row>
    <row r="5351" spans="1:50" x14ac:dyDescent="0.3">
      <c r="A5351" t="str">
        <f>"200722C0100"</f>
        <v>200722C0100</v>
      </c>
      <c r="B5351" t="str">
        <f>"200722C01002"</f>
        <v>200722C01002</v>
      </c>
      <c r="C5351" t="str">
        <f t="shared" si="267"/>
        <v>20</v>
      </c>
      <c r="D5351" t="s">
        <v>67</v>
      </c>
      <c r="E5351" t="str">
        <f t="shared" si="268"/>
        <v>024</v>
      </c>
      <c r="F5351" t="s">
        <v>5370</v>
      </c>
      <c r="G5351" t="str">
        <f>"0722"</f>
        <v>0722</v>
      </c>
      <c r="H5351" t="str">
        <f>"0001"</f>
        <v>0001</v>
      </c>
      <c r="I5351" t="s">
        <v>75</v>
      </c>
      <c r="J5351">
        <v>0</v>
      </c>
      <c r="K5351">
        <v>1</v>
      </c>
      <c r="L5351">
        <v>2</v>
      </c>
      <c r="M5351">
        <v>349</v>
      </c>
      <c r="N5351">
        <v>230</v>
      </c>
      <c r="O5351">
        <v>2</v>
      </c>
      <c r="P5351">
        <v>230</v>
      </c>
      <c r="Q5351">
        <v>4</v>
      </c>
      <c r="R5351">
        <v>100</v>
      </c>
      <c r="S5351">
        <v>5</v>
      </c>
      <c r="T5351">
        <v>8</v>
      </c>
      <c r="U5351">
        <v>2</v>
      </c>
      <c r="V5351">
        <v>3</v>
      </c>
      <c r="W5351">
        <v>2</v>
      </c>
      <c r="X5351">
        <v>74</v>
      </c>
      <c r="Y5351">
        <v>12</v>
      </c>
      <c r="Z5351">
        <v>3</v>
      </c>
      <c r="AA5351">
        <v>3</v>
      </c>
      <c r="AB5351">
        <v>4</v>
      </c>
      <c r="AD5351">
        <v>4</v>
      </c>
      <c r="AE5351" t="s">
        <v>77</v>
      </c>
      <c r="AF5351" t="s">
        <v>77</v>
      </c>
      <c r="AG5351" t="s">
        <v>77</v>
      </c>
      <c r="AI5351" t="s">
        <v>77</v>
      </c>
      <c r="AJ5351">
        <v>6</v>
      </c>
      <c r="AK5351">
        <v>230</v>
      </c>
      <c r="AL5351">
        <v>230</v>
      </c>
      <c r="AM5351">
        <v>535</v>
      </c>
      <c r="AN5351">
        <v>44</v>
      </c>
      <c r="AO5351" t="s">
        <v>78</v>
      </c>
      <c r="AP5351">
        <v>1</v>
      </c>
      <c r="AR5351" t="s">
        <v>5456</v>
      </c>
      <c r="AS5351" s="1">
        <v>44354.195138888892</v>
      </c>
      <c r="AT5351" s="1">
        <v>44354.196736111109</v>
      </c>
      <c r="AU5351" s="1">
        <v>44354.197523148148</v>
      </c>
      <c r="AV5351" t="s">
        <v>71</v>
      </c>
      <c r="AW5351" t="s">
        <v>72</v>
      </c>
      <c r="AX5351" t="s">
        <v>73</v>
      </c>
    </row>
    <row r="5352" spans="1:50" x14ac:dyDescent="0.3">
      <c r="A5352" t="str">
        <f>"200722C0200"</f>
        <v>200722C0200</v>
      </c>
      <c r="B5352" t="str">
        <f>"200722C02002"</f>
        <v>200722C02002</v>
      </c>
      <c r="C5352" t="str">
        <f t="shared" si="267"/>
        <v>20</v>
      </c>
      <c r="D5352" t="s">
        <v>67</v>
      </c>
      <c r="E5352" t="str">
        <f t="shared" si="268"/>
        <v>024</v>
      </c>
      <c r="F5352" t="s">
        <v>5370</v>
      </c>
      <c r="G5352" t="str">
        <f>"0722"</f>
        <v>0722</v>
      </c>
      <c r="H5352" t="str">
        <f>"0002"</f>
        <v>0002</v>
      </c>
      <c r="I5352" t="s">
        <v>75</v>
      </c>
      <c r="J5352">
        <v>0</v>
      </c>
      <c r="K5352">
        <v>1</v>
      </c>
      <c r="L5352">
        <v>2</v>
      </c>
      <c r="M5352">
        <v>308</v>
      </c>
      <c r="N5352">
        <v>271</v>
      </c>
      <c r="O5352">
        <v>1</v>
      </c>
      <c r="P5352">
        <v>271</v>
      </c>
      <c r="Q5352">
        <v>2</v>
      </c>
      <c r="R5352">
        <v>106</v>
      </c>
      <c r="S5352">
        <v>7</v>
      </c>
      <c r="T5352">
        <v>3</v>
      </c>
      <c r="U5352">
        <v>10</v>
      </c>
      <c r="V5352">
        <v>4</v>
      </c>
      <c r="W5352">
        <v>1</v>
      </c>
      <c r="X5352">
        <v>90</v>
      </c>
      <c r="Y5352">
        <v>11</v>
      </c>
      <c r="Z5352">
        <v>5</v>
      </c>
      <c r="AA5352">
        <v>2</v>
      </c>
      <c r="AB5352">
        <v>10</v>
      </c>
      <c r="AD5352">
        <v>2</v>
      </c>
      <c r="AE5352">
        <v>0</v>
      </c>
      <c r="AF5352">
        <v>0</v>
      </c>
      <c r="AG5352">
        <v>0</v>
      </c>
      <c r="AI5352">
        <v>0</v>
      </c>
      <c r="AJ5352">
        <v>18</v>
      </c>
      <c r="AK5352">
        <v>271</v>
      </c>
      <c r="AL5352">
        <v>271</v>
      </c>
      <c r="AM5352">
        <v>535</v>
      </c>
      <c r="AN5352">
        <v>44</v>
      </c>
      <c r="AP5352">
        <v>1</v>
      </c>
      <c r="AR5352" t="s">
        <v>5457</v>
      </c>
      <c r="AS5352" s="1">
        <v>44354.2</v>
      </c>
      <c r="AT5352" s="1">
        <v>44354.201331018521</v>
      </c>
      <c r="AU5352" s="1">
        <v>44354.202210648145</v>
      </c>
      <c r="AV5352" t="s">
        <v>71</v>
      </c>
      <c r="AW5352" t="s">
        <v>72</v>
      </c>
      <c r="AX5352" t="s">
        <v>73</v>
      </c>
    </row>
    <row r="5353" spans="1:50" x14ac:dyDescent="0.3">
      <c r="A5353" t="str">
        <f>"200722E0100"</f>
        <v>200722E0100</v>
      </c>
      <c r="B5353" t="str">
        <f>"200722E01002"</f>
        <v>200722E01002</v>
      </c>
      <c r="C5353" t="str">
        <f t="shared" si="267"/>
        <v>20</v>
      </c>
      <c r="D5353" t="s">
        <v>67</v>
      </c>
      <c r="E5353" t="str">
        <f t="shared" si="268"/>
        <v>024</v>
      </c>
      <c r="F5353" t="s">
        <v>5370</v>
      </c>
      <c r="G5353" t="str">
        <f>"0722"</f>
        <v>0722</v>
      </c>
      <c r="H5353" t="str">
        <f>"0001"</f>
        <v>0001</v>
      </c>
      <c r="I5353" t="s">
        <v>109</v>
      </c>
      <c r="J5353">
        <v>0</v>
      </c>
      <c r="K5353">
        <v>1</v>
      </c>
      <c r="L5353">
        <v>2</v>
      </c>
      <c r="M5353">
        <v>155</v>
      </c>
      <c r="N5353">
        <v>130</v>
      </c>
      <c r="O5353">
        <v>4</v>
      </c>
      <c r="P5353">
        <v>130</v>
      </c>
      <c r="Q5353">
        <v>2</v>
      </c>
      <c r="R5353">
        <v>75</v>
      </c>
      <c r="S5353">
        <v>1</v>
      </c>
      <c r="T5353">
        <v>3</v>
      </c>
      <c r="U5353">
        <v>1</v>
      </c>
      <c r="V5353">
        <v>1</v>
      </c>
      <c r="W5353">
        <v>1</v>
      </c>
      <c r="X5353">
        <v>32</v>
      </c>
      <c r="Y5353">
        <v>3</v>
      </c>
      <c r="Z5353">
        <v>3</v>
      </c>
      <c r="AA5353">
        <v>1</v>
      </c>
      <c r="AB5353">
        <v>4</v>
      </c>
      <c r="AD5353">
        <v>0</v>
      </c>
      <c r="AE5353">
        <v>0</v>
      </c>
      <c r="AF5353">
        <v>0</v>
      </c>
      <c r="AG5353">
        <v>0</v>
      </c>
      <c r="AI5353">
        <v>0</v>
      </c>
      <c r="AJ5353">
        <v>3</v>
      </c>
      <c r="AK5353">
        <v>130</v>
      </c>
      <c r="AL5353">
        <v>130</v>
      </c>
      <c r="AM5353">
        <v>241</v>
      </c>
      <c r="AN5353">
        <v>44</v>
      </c>
      <c r="AP5353">
        <v>1</v>
      </c>
      <c r="AR5353" t="s">
        <v>5458</v>
      </c>
      <c r="AS5353" s="1">
        <v>44354.192361111112</v>
      </c>
      <c r="AT5353" s="1">
        <v>44354.19390046296</v>
      </c>
      <c r="AU5353" s="1">
        <v>44354.194166666668</v>
      </c>
      <c r="AV5353" t="s">
        <v>71</v>
      </c>
      <c r="AW5353" t="s">
        <v>72</v>
      </c>
      <c r="AX5353" t="s">
        <v>73</v>
      </c>
    </row>
    <row r="5354" spans="1:50" x14ac:dyDescent="0.3">
      <c r="A5354" t="str">
        <f>"200723B0000"</f>
        <v>200723B0000</v>
      </c>
      <c r="B5354" t="str">
        <f>"200723B00002"</f>
        <v>200723B00002</v>
      </c>
      <c r="C5354" t="str">
        <f t="shared" si="267"/>
        <v>20</v>
      </c>
      <c r="D5354" t="s">
        <v>67</v>
      </c>
      <c r="E5354" t="str">
        <f t="shared" si="268"/>
        <v>024</v>
      </c>
      <c r="F5354" t="s">
        <v>5370</v>
      </c>
      <c r="G5354" t="str">
        <f>"0723"</f>
        <v>0723</v>
      </c>
      <c r="H5354" t="str">
        <f>"0000"</f>
        <v>0000</v>
      </c>
      <c r="I5354" t="s">
        <v>69</v>
      </c>
      <c r="J5354">
        <v>0</v>
      </c>
      <c r="K5354">
        <v>1</v>
      </c>
      <c r="L5354">
        <v>2</v>
      </c>
      <c r="M5354">
        <v>252</v>
      </c>
      <c r="N5354">
        <v>295</v>
      </c>
      <c r="O5354">
        <v>2</v>
      </c>
      <c r="P5354">
        <v>0</v>
      </c>
      <c r="Q5354">
        <v>9</v>
      </c>
      <c r="R5354">
        <v>144</v>
      </c>
      <c r="S5354">
        <v>4</v>
      </c>
      <c r="T5354">
        <v>6</v>
      </c>
      <c r="U5354">
        <v>2</v>
      </c>
      <c r="V5354">
        <v>2</v>
      </c>
      <c r="W5354">
        <v>3</v>
      </c>
      <c r="X5354">
        <v>92</v>
      </c>
      <c r="Y5354">
        <v>6</v>
      </c>
      <c r="Z5354">
        <v>9</v>
      </c>
      <c r="AA5354">
        <v>3</v>
      </c>
      <c r="AB5354">
        <v>3</v>
      </c>
      <c r="AD5354">
        <v>0</v>
      </c>
      <c r="AE5354">
        <v>0</v>
      </c>
      <c r="AF5354">
        <v>0</v>
      </c>
      <c r="AG5354">
        <v>0</v>
      </c>
      <c r="AI5354">
        <v>0</v>
      </c>
      <c r="AJ5354">
        <v>10</v>
      </c>
      <c r="AK5354">
        <v>293</v>
      </c>
      <c r="AL5354">
        <v>293</v>
      </c>
      <c r="AM5354">
        <v>501</v>
      </c>
      <c r="AN5354">
        <v>44</v>
      </c>
      <c r="AP5354">
        <v>1</v>
      </c>
      <c r="AR5354" t="s">
        <v>5459</v>
      </c>
      <c r="AS5354" s="1">
        <v>44354.38958333333</v>
      </c>
      <c r="AT5354" s="1">
        <v>44354.393148148149</v>
      </c>
      <c r="AU5354" s="1">
        <v>44354.393773148149</v>
      </c>
      <c r="AV5354" t="s">
        <v>71</v>
      </c>
      <c r="AW5354" t="s">
        <v>72</v>
      </c>
      <c r="AX5354" t="s">
        <v>73</v>
      </c>
    </row>
    <row r="5355" spans="1:50" x14ac:dyDescent="0.3">
      <c r="A5355" t="str">
        <f>"200723E0100"</f>
        <v>200723E0100</v>
      </c>
      <c r="B5355" t="str">
        <f>"200723E01002"</f>
        <v>200723E01002</v>
      </c>
      <c r="C5355" t="str">
        <f t="shared" si="267"/>
        <v>20</v>
      </c>
      <c r="D5355" t="s">
        <v>67</v>
      </c>
      <c r="E5355" t="str">
        <f t="shared" si="268"/>
        <v>024</v>
      </c>
      <c r="F5355" t="s">
        <v>5370</v>
      </c>
      <c r="G5355" t="str">
        <f>"0723"</f>
        <v>0723</v>
      </c>
      <c r="H5355" t="str">
        <f>"0001"</f>
        <v>0001</v>
      </c>
      <c r="I5355" t="s">
        <v>109</v>
      </c>
      <c r="J5355">
        <v>0</v>
      </c>
      <c r="K5355">
        <v>1</v>
      </c>
      <c r="L5355">
        <v>2</v>
      </c>
      <c r="M5355">
        <v>371</v>
      </c>
      <c r="N5355">
        <v>380</v>
      </c>
      <c r="O5355">
        <v>0</v>
      </c>
      <c r="P5355">
        <v>380</v>
      </c>
      <c r="Q5355">
        <v>16</v>
      </c>
      <c r="R5355">
        <v>163</v>
      </c>
      <c r="S5355">
        <v>3</v>
      </c>
      <c r="T5355">
        <v>9</v>
      </c>
      <c r="U5355">
        <v>9</v>
      </c>
      <c r="V5355">
        <v>3</v>
      </c>
      <c r="W5355">
        <v>4</v>
      </c>
      <c r="X5355">
        <v>113</v>
      </c>
      <c r="Y5355">
        <v>22</v>
      </c>
      <c r="Z5355">
        <v>10</v>
      </c>
      <c r="AA5355">
        <v>4</v>
      </c>
      <c r="AB5355">
        <v>5</v>
      </c>
      <c r="AD5355">
        <v>7</v>
      </c>
      <c r="AE5355">
        <v>2</v>
      </c>
      <c r="AF5355">
        <v>0</v>
      </c>
      <c r="AG5355">
        <v>0</v>
      </c>
      <c r="AI5355">
        <v>0</v>
      </c>
      <c r="AJ5355">
        <v>10</v>
      </c>
      <c r="AK5355">
        <v>380</v>
      </c>
      <c r="AL5355">
        <v>380</v>
      </c>
      <c r="AM5355">
        <v>707</v>
      </c>
      <c r="AN5355">
        <v>44</v>
      </c>
      <c r="AP5355">
        <v>1</v>
      </c>
      <c r="AR5355" t="s">
        <v>5460</v>
      </c>
      <c r="AS5355" s="1">
        <v>44354.386805555558</v>
      </c>
      <c r="AT5355" s="1">
        <v>44354.388831018521</v>
      </c>
      <c r="AU5355" s="1">
        <v>44354.389502314814</v>
      </c>
      <c r="AV5355" t="s">
        <v>71</v>
      </c>
      <c r="AW5355" t="s">
        <v>72</v>
      </c>
      <c r="AX5355" t="s">
        <v>73</v>
      </c>
    </row>
    <row r="5356" spans="1:50" x14ac:dyDescent="0.3">
      <c r="A5356" t="str">
        <f>"200723E0200"</f>
        <v>200723E0200</v>
      </c>
      <c r="B5356" t="str">
        <f>"200723E02002"</f>
        <v>200723E02002</v>
      </c>
      <c r="C5356" t="str">
        <f t="shared" si="267"/>
        <v>20</v>
      </c>
      <c r="D5356" t="s">
        <v>67</v>
      </c>
      <c r="E5356" t="str">
        <f t="shared" si="268"/>
        <v>024</v>
      </c>
      <c r="F5356" t="s">
        <v>5370</v>
      </c>
      <c r="G5356" t="str">
        <f>"0723"</f>
        <v>0723</v>
      </c>
      <c r="H5356" t="str">
        <f>"0002"</f>
        <v>0002</v>
      </c>
      <c r="I5356" t="s">
        <v>109</v>
      </c>
      <c r="J5356">
        <v>0</v>
      </c>
      <c r="K5356">
        <v>1</v>
      </c>
      <c r="L5356">
        <v>2</v>
      </c>
      <c r="M5356">
        <v>233</v>
      </c>
      <c r="N5356">
        <v>196</v>
      </c>
      <c r="O5356">
        <v>1</v>
      </c>
      <c r="P5356">
        <v>196</v>
      </c>
      <c r="Q5356">
        <v>6</v>
      </c>
      <c r="R5356">
        <v>101</v>
      </c>
      <c r="S5356">
        <v>3</v>
      </c>
      <c r="T5356">
        <v>4</v>
      </c>
      <c r="U5356">
        <v>1</v>
      </c>
      <c r="V5356">
        <v>0</v>
      </c>
      <c r="W5356">
        <v>3</v>
      </c>
      <c r="X5356">
        <v>48</v>
      </c>
      <c r="Y5356">
        <v>9</v>
      </c>
      <c r="Z5356">
        <v>7</v>
      </c>
      <c r="AA5356">
        <v>2</v>
      </c>
      <c r="AB5356">
        <v>1</v>
      </c>
      <c r="AD5356">
        <v>3</v>
      </c>
      <c r="AE5356">
        <v>0</v>
      </c>
      <c r="AF5356">
        <v>0</v>
      </c>
      <c r="AG5356">
        <v>0</v>
      </c>
      <c r="AI5356">
        <v>0</v>
      </c>
      <c r="AJ5356">
        <v>8</v>
      </c>
      <c r="AK5356" t="s">
        <v>77</v>
      </c>
      <c r="AL5356">
        <v>196</v>
      </c>
      <c r="AM5356">
        <v>385</v>
      </c>
      <c r="AN5356">
        <v>44</v>
      </c>
      <c r="AP5356">
        <v>1</v>
      </c>
      <c r="AR5356" t="s">
        <v>5461</v>
      </c>
      <c r="AS5356" s="1">
        <v>44354.390277777777</v>
      </c>
      <c r="AT5356" s="1">
        <v>44354.39298611111</v>
      </c>
      <c r="AU5356" s="1">
        <v>44354.394259259258</v>
      </c>
      <c r="AV5356" t="s">
        <v>71</v>
      </c>
      <c r="AW5356" t="s">
        <v>72</v>
      </c>
      <c r="AX5356" t="s">
        <v>73</v>
      </c>
    </row>
    <row r="5357" spans="1:50" x14ac:dyDescent="0.3">
      <c r="A5357" t="str">
        <f>"200724B0000"</f>
        <v>200724B0000</v>
      </c>
      <c r="B5357" t="str">
        <f>"200724B00002"</f>
        <v>200724B00002</v>
      </c>
      <c r="C5357" t="str">
        <f t="shared" si="267"/>
        <v>20</v>
      </c>
      <c r="D5357" t="s">
        <v>67</v>
      </c>
      <c r="E5357" t="str">
        <f t="shared" si="268"/>
        <v>024</v>
      </c>
      <c r="F5357" t="s">
        <v>5370</v>
      </c>
      <c r="G5357" t="str">
        <f>"0724"</f>
        <v>0724</v>
      </c>
      <c r="H5357" t="str">
        <f>"0000"</f>
        <v>0000</v>
      </c>
      <c r="I5357" t="s">
        <v>69</v>
      </c>
      <c r="J5357">
        <v>0</v>
      </c>
      <c r="K5357">
        <v>1</v>
      </c>
      <c r="L5357">
        <v>2</v>
      </c>
      <c r="M5357">
        <v>404</v>
      </c>
      <c r="N5357">
        <v>283</v>
      </c>
      <c r="O5357">
        <v>1</v>
      </c>
      <c r="P5357">
        <v>283</v>
      </c>
      <c r="Q5357">
        <v>6</v>
      </c>
      <c r="R5357">
        <v>131</v>
      </c>
      <c r="S5357">
        <v>7</v>
      </c>
      <c r="T5357">
        <v>11</v>
      </c>
      <c r="U5357">
        <v>3</v>
      </c>
      <c r="V5357">
        <v>1</v>
      </c>
      <c r="W5357">
        <v>1</v>
      </c>
      <c r="X5357">
        <v>90</v>
      </c>
      <c r="Y5357">
        <v>0</v>
      </c>
      <c r="Z5357">
        <v>10</v>
      </c>
      <c r="AA5357">
        <v>1</v>
      </c>
      <c r="AB5357">
        <v>5</v>
      </c>
      <c r="AD5357">
        <v>2</v>
      </c>
      <c r="AE5357">
        <v>0</v>
      </c>
      <c r="AF5357">
        <v>0</v>
      </c>
      <c r="AG5357">
        <v>1</v>
      </c>
      <c r="AI5357">
        <v>0</v>
      </c>
      <c r="AJ5357">
        <v>13</v>
      </c>
      <c r="AK5357">
        <v>283</v>
      </c>
      <c r="AL5357">
        <v>282</v>
      </c>
      <c r="AM5357">
        <v>643</v>
      </c>
      <c r="AN5357">
        <v>44</v>
      </c>
      <c r="AP5357">
        <v>1</v>
      </c>
      <c r="AR5357" t="s">
        <v>5462</v>
      </c>
      <c r="AS5357" s="1">
        <v>44354.280555555553</v>
      </c>
      <c r="AT5357" s="1">
        <v>44354.28230324074</v>
      </c>
      <c r="AU5357" s="1">
        <v>44354.283229166664</v>
      </c>
      <c r="AV5357" t="s">
        <v>71</v>
      </c>
      <c r="AW5357" t="s">
        <v>72</v>
      </c>
      <c r="AX5357" t="s">
        <v>73</v>
      </c>
    </row>
    <row r="5358" spans="1:50" x14ac:dyDescent="0.3">
      <c r="A5358" t="str">
        <f>"200724E0100"</f>
        <v>200724E0100</v>
      </c>
      <c r="B5358" t="str">
        <f>"200724E01002"</f>
        <v>200724E01002</v>
      </c>
      <c r="C5358" t="str">
        <f t="shared" si="267"/>
        <v>20</v>
      </c>
      <c r="D5358" t="s">
        <v>67</v>
      </c>
      <c r="E5358" t="str">
        <f t="shared" si="268"/>
        <v>024</v>
      </c>
      <c r="F5358" t="s">
        <v>5370</v>
      </c>
      <c r="G5358" t="str">
        <f>"0724"</f>
        <v>0724</v>
      </c>
      <c r="H5358" t="str">
        <f>"0001"</f>
        <v>0001</v>
      </c>
      <c r="I5358" t="s">
        <v>109</v>
      </c>
      <c r="J5358">
        <v>0</v>
      </c>
      <c r="K5358">
        <v>1</v>
      </c>
      <c r="L5358">
        <v>2</v>
      </c>
      <c r="M5358">
        <v>145</v>
      </c>
      <c r="N5358">
        <v>220</v>
      </c>
      <c r="O5358">
        <v>4</v>
      </c>
      <c r="P5358">
        <v>220</v>
      </c>
      <c r="Q5358">
        <v>2</v>
      </c>
      <c r="R5358">
        <v>95</v>
      </c>
      <c r="S5358">
        <v>30</v>
      </c>
      <c r="T5358">
        <v>3</v>
      </c>
      <c r="U5358">
        <v>5</v>
      </c>
      <c r="V5358">
        <v>6</v>
      </c>
      <c r="W5358">
        <v>3</v>
      </c>
      <c r="X5358">
        <v>55</v>
      </c>
      <c r="Y5358">
        <v>2</v>
      </c>
      <c r="Z5358">
        <v>1</v>
      </c>
      <c r="AA5358">
        <v>2</v>
      </c>
      <c r="AB5358">
        <v>7</v>
      </c>
      <c r="AD5358" t="s">
        <v>77</v>
      </c>
      <c r="AE5358" t="s">
        <v>77</v>
      </c>
      <c r="AF5358" t="s">
        <v>77</v>
      </c>
      <c r="AG5358" t="s">
        <v>77</v>
      </c>
      <c r="AI5358" t="s">
        <v>77</v>
      </c>
      <c r="AJ5358">
        <v>9</v>
      </c>
      <c r="AK5358">
        <v>220</v>
      </c>
      <c r="AL5358">
        <v>220</v>
      </c>
      <c r="AM5358">
        <v>321</v>
      </c>
      <c r="AN5358">
        <v>44</v>
      </c>
      <c r="AO5358" t="s">
        <v>78</v>
      </c>
      <c r="AP5358">
        <v>1</v>
      </c>
      <c r="AR5358" t="s">
        <v>5463</v>
      </c>
      <c r="AS5358" s="1">
        <v>44354.277777777781</v>
      </c>
      <c r="AT5358" s="1">
        <v>44354.279444444444</v>
      </c>
      <c r="AU5358" s="1">
        <v>44354.280138888891</v>
      </c>
      <c r="AV5358" t="s">
        <v>71</v>
      </c>
      <c r="AW5358" t="s">
        <v>72</v>
      </c>
      <c r="AX5358" t="s">
        <v>73</v>
      </c>
    </row>
    <row r="5359" spans="1:50" x14ac:dyDescent="0.3">
      <c r="A5359" t="str">
        <f>"200725B0000"</f>
        <v>200725B0000</v>
      </c>
      <c r="B5359" t="str">
        <f>"200725B00002"</f>
        <v>200725B00002</v>
      </c>
      <c r="C5359" t="str">
        <f t="shared" si="267"/>
        <v>20</v>
      </c>
      <c r="D5359" t="s">
        <v>67</v>
      </c>
      <c r="E5359" t="str">
        <f t="shared" si="268"/>
        <v>024</v>
      </c>
      <c r="F5359" t="s">
        <v>5370</v>
      </c>
      <c r="G5359" t="str">
        <f>"0725"</f>
        <v>0725</v>
      </c>
      <c r="H5359" t="str">
        <f>"0000"</f>
        <v>0000</v>
      </c>
      <c r="I5359" t="s">
        <v>69</v>
      </c>
      <c r="J5359">
        <v>0</v>
      </c>
      <c r="K5359">
        <v>1</v>
      </c>
      <c r="L5359">
        <v>2</v>
      </c>
      <c r="M5359">
        <v>142</v>
      </c>
      <c r="N5359">
        <v>100</v>
      </c>
      <c r="O5359">
        <v>0</v>
      </c>
      <c r="P5359">
        <v>100</v>
      </c>
      <c r="Q5359">
        <v>3</v>
      </c>
      <c r="R5359">
        <v>46</v>
      </c>
      <c r="S5359">
        <v>1</v>
      </c>
      <c r="T5359">
        <v>4</v>
      </c>
      <c r="U5359">
        <v>3</v>
      </c>
      <c r="V5359">
        <v>1</v>
      </c>
      <c r="W5359">
        <v>1</v>
      </c>
      <c r="X5359">
        <v>32</v>
      </c>
      <c r="Y5359">
        <v>1</v>
      </c>
      <c r="Z5359">
        <v>0</v>
      </c>
      <c r="AA5359">
        <v>8</v>
      </c>
      <c r="AB5359">
        <v>0</v>
      </c>
      <c r="AD5359">
        <v>0</v>
      </c>
      <c r="AE5359">
        <v>0</v>
      </c>
      <c r="AF5359">
        <v>0</v>
      </c>
      <c r="AG5359">
        <v>0</v>
      </c>
      <c r="AI5359">
        <v>0</v>
      </c>
      <c r="AJ5359">
        <v>0</v>
      </c>
      <c r="AK5359">
        <v>100</v>
      </c>
      <c r="AL5359">
        <v>100</v>
      </c>
      <c r="AM5359">
        <v>198</v>
      </c>
      <c r="AN5359">
        <v>44</v>
      </c>
      <c r="AP5359">
        <v>1</v>
      </c>
      <c r="AR5359" t="s">
        <v>5464</v>
      </c>
      <c r="AS5359" s="1">
        <v>44354.281944444447</v>
      </c>
      <c r="AT5359" s="1">
        <v>44354.283321759256</v>
      </c>
      <c r="AU5359" s="1">
        <v>44354.283888888887</v>
      </c>
      <c r="AV5359" t="s">
        <v>71</v>
      </c>
      <c r="AW5359" t="s">
        <v>72</v>
      </c>
      <c r="AX5359" t="s">
        <v>73</v>
      </c>
    </row>
    <row r="5360" spans="1:50" x14ac:dyDescent="0.3">
      <c r="A5360" t="str">
        <f>"200725E0100"</f>
        <v>200725E0100</v>
      </c>
      <c r="B5360" t="str">
        <f>"200725E01002"</f>
        <v>200725E01002</v>
      </c>
      <c r="C5360" t="str">
        <f t="shared" si="267"/>
        <v>20</v>
      </c>
      <c r="D5360" t="s">
        <v>67</v>
      </c>
      <c r="E5360" t="str">
        <f t="shared" si="268"/>
        <v>024</v>
      </c>
      <c r="F5360" t="s">
        <v>5370</v>
      </c>
      <c r="G5360" t="str">
        <f>"0725"</f>
        <v>0725</v>
      </c>
      <c r="H5360" t="str">
        <f>"0001"</f>
        <v>0001</v>
      </c>
      <c r="I5360" t="s">
        <v>109</v>
      </c>
      <c r="J5360">
        <v>0</v>
      </c>
      <c r="K5360">
        <v>1</v>
      </c>
      <c r="L5360">
        <v>2</v>
      </c>
      <c r="M5360">
        <v>360</v>
      </c>
      <c r="N5360">
        <v>395</v>
      </c>
      <c r="O5360">
        <v>4</v>
      </c>
      <c r="P5360">
        <v>395</v>
      </c>
      <c r="Q5360">
        <v>6</v>
      </c>
      <c r="R5360">
        <v>190</v>
      </c>
      <c r="S5360">
        <v>9</v>
      </c>
      <c r="T5360">
        <v>8</v>
      </c>
      <c r="U5360">
        <v>6</v>
      </c>
      <c r="V5360">
        <v>1</v>
      </c>
      <c r="W5360">
        <v>4</v>
      </c>
      <c r="X5360">
        <v>138</v>
      </c>
      <c r="Y5360">
        <v>3</v>
      </c>
      <c r="Z5360">
        <v>16</v>
      </c>
      <c r="AA5360">
        <v>4</v>
      </c>
      <c r="AB5360">
        <v>3</v>
      </c>
      <c r="AD5360">
        <v>0</v>
      </c>
      <c r="AE5360">
        <v>0</v>
      </c>
      <c r="AF5360">
        <v>0</v>
      </c>
      <c r="AG5360">
        <v>0</v>
      </c>
      <c r="AI5360">
        <v>0</v>
      </c>
      <c r="AJ5360">
        <v>7</v>
      </c>
      <c r="AK5360">
        <v>395</v>
      </c>
      <c r="AL5360">
        <v>395</v>
      </c>
      <c r="AM5360">
        <v>715</v>
      </c>
      <c r="AN5360">
        <v>44</v>
      </c>
      <c r="AP5360">
        <v>1</v>
      </c>
      <c r="AR5360" t="s">
        <v>5465</v>
      </c>
      <c r="AS5360" s="1">
        <v>44354.282638888886</v>
      </c>
      <c r="AT5360" s="1">
        <v>44354.284699074073</v>
      </c>
      <c r="AU5360" s="1">
        <v>44354.285451388889</v>
      </c>
      <c r="AV5360" t="s">
        <v>71</v>
      </c>
      <c r="AW5360" t="s">
        <v>72</v>
      </c>
      <c r="AX5360" t="s">
        <v>73</v>
      </c>
    </row>
    <row r="5361" spans="1:50" x14ac:dyDescent="0.3">
      <c r="A5361" t="str">
        <f>"200726B0000"</f>
        <v>200726B0000</v>
      </c>
      <c r="B5361" t="str">
        <f>"200726B00002"</f>
        <v>200726B00002</v>
      </c>
      <c r="C5361" t="str">
        <f t="shared" si="267"/>
        <v>20</v>
      </c>
      <c r="D5361" t="s">
        <v>67</v>
      </c>
      <c r="E5361" t="str">
        <f t="shared" si="268"/>
        <v>024</v>
      </c>
      <c r="F5361" t="s">
        <v>5370</v>
      </c>
      <c r="G5361" t="str">
        <f>"0726"</f>
        <v>0726</v>
      </c>
      <c r="H5361" t="str">
        <f>"0000"</f>
        <v>0000</v>
      </c>
      <c r="I5361" t="s">
        <v>69</v>
      </c>
      <c r="J5361">
        <v>0</v>
      </c>
      <c r="K5361">
        <v>1</v>
      </c>
      <c r="L5361">
        <v>2</v>
      </c>
      <c r="M5361">
        <v>404</v>
      </c>
      <c r="N5361">
        <v>277</v>
      </c>
      <c r="O5361">
        <v>4</v>
      </c>
      <c r="P5361">
        <v>277</v>
      </c>
      <c r="Q5361">
        <v>6</v>
      </c>
      <c r="R5361">
        <v>89</v>
      </c>
      <c r="S5361">
        <v>7</v>
      </c>
      <c r="T5361">
        <v>7</v>
      </c>
      <c r="U5361">
        <v>5</v>
      </c>
      <c r="V5361">
        <v>5</v>
      </c>
      <c r="W5361">
        <v>2</v>
      </c>
      <c r="X5361">
        <v>8</v>
      </c>
      <c r="Y5361">
        <v>1</v>
      </c>
      <c r="Z5361">
        <v>22</v>
      </c>
      <c r="AA5361">
        <v>17</v>
      </c>
      <c r="AB5361">
        <v>5</v>
      </c>
      <c r="AD5361">
        <v>102</v>
      </c>
      <c r="AE5361">
        <v>95</v>
      </c>
      <c r="AF5361">
        <v>13</v>
      </c>
      <c r="AG5361">
        <v>96</v>
      </c>
      <c r="AI5361">
        <v>0</v>
      </c>
      <c r="AJ5361">
        <v>7</v>
      </c>
      <c r="AK5361">
        <v>277</v>
      </c>
      <c r="AL5361">
        <v>487</v>
      </c>
      <c r="AM5361">
        <v>637</v>
      </c>
      <c r="AN5361">
        <v>44</v>
      </c>
      <c r="AP5361">
        <v>1</v>
      </c>
      <c r="AR5361" t="s">
        <v>5466</v>
      </c>
      <c r="AS5361" s="1">
        <v>44354.461805555555</v>
      </c>
      <c r="AT5361" s="1">
        <v>44354.464305555557</v>
      </c>
      <c r="AU5361" s="1">
        <v>44354.465173611112</v>
      </c>
      <c r="AV5361" t="s">
        <v>71</v>
      </c>
      <c r="AW5361" t="s">
        <v>72</v>
      </c>
      <c r="AX5361" t="s">
        <v>73</v>
      </c>
    </row>
    <row r="5362" spans="1:50" x14ac:dyDescent="0.3">
      <c r="A5362" t="str">
        <f>"200726E0100"</f>
        <v>200726E0100</v>
      </c>
      <c r="B5362" t="str">
        <f>"200726E01002"</f>
        <v>200726E01002</v>
      </c>
      <c r="C5362" t="str">
        <f t="shared" si="267"/>
        <v>20</v>
      </c>
      <c r="D5362" t="s">
        <v>67</v>
      </c>
      <c r="E5362" t="str">
        <f t="shared" si="268"/>
        <v>024</v>
      </c>
      <c r="F5362" t="s">
        <v>5370</v>
      </c>
      <c r="G5362" t="str">
        <f>"0726"</f>
        <v>0726</v>
      </c>
      <c r="H5362" t="str">
        <f>"0001"</f>
        <v>0001</v>
      </c>
      <c r="I5362" t="s">
        <v>109</v>
      </c>
      <c r="J5362">
        <v>0</v>
      </c>
      <c r="K5362">
        <v>1</v>
      </c>
      <c r="L5362">
        <v>2</v>
      </c>
      <c r="M5362">
        <v>188</v>
      </c>
      <c r="N5362">
        <v>129</v>
      </c>
      <c r="O5362">
        <v>0</v>
      </c>
      <c r="P5362">
        <v>129</v>
      </c>
      <c r="Q5362">
        <v>2</v>
      </c>
      <c r="R5362">
        <v>70</v>
      </c>
      <c r="S5362">
        <v>3</v>
      </c>
      <c r="T5362">
        <v>3</v>
      </c>
      <c r="U5362">
        <v>3</v>
      </c>
      <c r="V5362">
        <v>2</v>
      </c>
      <c r="W5362">
        <v>3</v>
      </c>
      <c r="X5362">
        <v>37</v>
      </c>
      <c r="Y5362">
        <v>2</v>
      </c>
      <c r="Z5362">
        <v>1</v>
      </c>
      <c r="AA5362">
        <v>0</v>
      </c>
      <c r="AB5362">
        <v>2</v>
      </c>
      <c r="AD5362" t="s">
        <v>77</v>
      </c>
      <c r="AE5362" t="s">
        <v>77</v>
      </c>
      <c r="AF5362" t="s">
        <v>77</v>
      </c>
      <c r="AG5362" t="s">
        <v>77</v>
      </c>
      <c r="AI5362" t="s">
        <v>77</v>
      </c>
      <c r="AJ5362">
        <v>1</v>
      </c>
      <c r="AK5362" t="s">
        <v>77</v>
      </c>
      <c r="AL5362">
        <v>129</v>
      </c>
      <c r="AM5362">
        <v>273</v>
      </c>
      <c r="AN5362">
        <v>44</v>
      </c>
      <c r="AO5362" t="s">
        <v>78</v>
      </c>
      <c r="AP5362">
        <v>1</v>
      </c>
      <c r="AR5362" t="s">
        <v>5467</v>
      </c>
      <c r="AS5362" s="1">
        <v>44354.463888888888</v>
      </c>
      <c r="AT5362" s="1">
        <v>44354.466006944444</v>
      </c>
      <c r="AU5362" s="1">
        <v>44354.466608796298</v>
      </c>
      <c r="AV5362" t="s">
        <v>71</v>
      </c>
      <c r="AW5362" t="s">
        <v>72</v>
      </c>
      <c r="AX5362" t="s">
        <v>73</v>
      </c>
    </row>
    <row r="5363" spans="1:50" x14ac:dyDescent="0.3">
      <c r="A5363" t="str">
        <f>"200727B0000"</f>
        <v>200727B0000</v>
      </c>
      <c r="B5363" t="str">
        <f>"200727B00002"</f>
        <v>200727B00002</v>
      </c>
      <c r="C5363" t="str">
        <f t="shared" si="267"/>
        <v>20</v>
      </c>
      <c r="D5363" t="s">
        <v>67</v>
      </c>
      <c r="E5363" t="str">
        <f t="shared" si="268"/>
        <v>024</v>
      </c>
      <c r="F5363" t="s">
        <v>5370</v>
      </c>
      <c r="G5363" t="str">
        <f>"0727"</f>
        <v>0727</v>
      </c>
      <c r="H5363" t="str">
        <f>"0000"</f>
        <v>0000</v>
      </c>
      <c r="I5363" t="s">
        <v>69</v>
      </c>
      <c r="J5363">
        <v>0</v>
      </c>
      <c r="K5363">
        <v>1</v>
      </c>
      <c r="L5363">
        <v>2</v>
      </c>
      <c r="M5363">
        <v>250</v>
      </c>
      <c r="N5363">
        <v>167</v>
      </c>
      <c r="O5363">
        <v>1</v>
      </c>
      <c r="P5363">
        <v>167</v>
      </c>
      <c r="Q5363">
        <v>4</v>
      </c>
      <c r="R5363">
        <v>38</v>
      </c>
      <c r="S5363">
        <v>8</v>
      </c>
      <c r="T5363">
        <v>2</v>
      </c>
      <c r="U5363">
        <v>1</v>
      </c>
      <c r="V5363">
        <v>4</v>
      </c>
      <c r="W5363">
        <v>1</v>
      </c>
      <c r="X5363">
        <v>89</v>
      </c>
      <c r="Y5363">
        <v>0</v>
      </c>
      <c r="Z5363">
        <v>10</v>
      </c>
      <c r="AA5363">
        <v>4</v>
      </c>
      <c r="AB5363">
        <v>2</v>
      </c>
      <c r="AD5363">
        <v>0</v>
      </c>
      <c r="AE5363">
        <v>0</v>
      </c>
      <c r="AF5363">
        <v>0</v>
      </c>
      <c r="AG5363">
        <v>0</v>
      </c>
      <c r="AI5363">
        <v>0</v>
      </c>
      <c r="AJ5363">
        <v>4</v>
      </c>
      <c r="AK5363">
        <v>167</v>
      </c>
      <c r="AL5363">
        <v>167</v>
      </c>
      <c r="AM5363">
        <v>373</v>
      </c>
      <c r="AN5363">
        <v>44</v>
      </c>
      <c r="AP5363">
        <v>1</v>
      </c>
      <c r="AR5363" t="s">
        <v>5468</v>
      </c>
      <c r="AS5363" s="1">
        <v>44354.57708333333</v>
      </c>
      <c r="AT5363" s="1">
        <v>44354.580682870372</v>
      </c>
      <c r="AU5363" s="1">
        <v>44354.581458333334</v>
      </c>
      <c r="AV5363" t="s">
        <v>71</v>
      </c>
      <c r="AW5363" t="s">
        <v>72</v>
      </c>
      <c r="AX5363" t="s">
        <v>73</v>
      </c>
    </row>
    <row r="5364" spans="1:50" x14ac:dyDescent="0.3">
      <c r="A5364" t="str">
        <f>"200727E0100"</f>
        <v>200727E0100</v>
      </c>
      <c r="B5364" t="str">
        <f>"200727E01002"</f>
        <v>200727E01002</v>
      </c>
      <c r="C5364" t="str">
        <f t="shared" si="267"/>
        <v>20</v>
      </c>
      <c r="D5364" t="s">
        <v>67</v>
      </c>
      <c r="E5364" t="str">
        <f t="shared" si="268"/>
        <v>024</v>
      </c>
      <c r="F5364" t="s">
        <v>5370</v>
      </c>
      <c r="G5364" t="str">
        <f>"0727"</f>
        <v>0727</v>
      </c>
      <c r="H5364" t="str">
        <f>"0001"</f>
        <v>0001</v>
      </c>
      <c r="I5364" t="s">
        <v>109</v>
      </c>
      <c r="J5364">
        <v>0</v>
      </c>
      <c r="K5364">
        <v>1</v>
      </c>
      <c r="L5364">
        <v>2</v>
      </c>
      <c r="M5364">
        <v>285</v>
      </c>
      <c r="N5364">
        <v>224</v>
      </c>
      <c r="O5364">
        <v>2</v>
      </c>
      <c r="P5364">
        <v>224</v>
      </c>
      <c r="Q5364">
        <v>0</v>
      </c>
      <c r="R5364">
        <v>109</v>
      </c>
      <c r="S5364">
        <v>7</v>
      </c>
      <c r="T5364">
        <v>4</v>
      </c>
      <c r="U5364">
        <v>1</v>
      </c>
      <c r="V5364">
        <v>2</v>
      </c>
      <c r="W5364">
        <v>3</v>
      </c>
      <c r="X5364">
        <v>58</v>
      </c>
      <c r="Y5364">
        <v>15</v>
      </c>
      <c r="Z5364">
        <v>2</v>
      </c>
      <c r="AA5364">
        <v>7</v>
      </c>
      <c r="AB5364">
        <v>3</v>
      </c>
      <c r="AD5364">
        <v>2</v>
      </c>
      <c r="AE5364">
        <v>0</v>
      </c>
      <c r="AF5364">
        <v>0</v>
      </c>
      <c r="AG5364">
        <v>0</v>
      </c>
      <c r="AI5364">
        <v>0</v>
      </c>
      <c r="AJ5364">
        <v>8</v>
      </c>
      <c r="AK5364">
        <v>224</v>
      </c>
      <c r="AL5364">
        <v>221</v>
      </c>
      <c r="AM5364">
        <v>465</v>
      </c>
      <c r="AN5364">
        <v>44</v>
      </c>
      <c r="AP5364">
        <v>1</v>
      </c>
      <c r="AR5364" t="s">
        <v>5469</v>
      </c>
      <c r="AS5364" s="1">
        <v>44354.384722222225</v>
      </c>
      <c r="AT5364" s="1">
        <v>44354.386932870373</v>
      </c>
      <c r="AU5364" s="1">
        <v>44354.387488425928</v>
      </c>
      <c r="AV5364" t="s">
        <v>71</v>
      </c>
      <c r="AW5364" t="s">
        <v>72</v>
      </c>
      <c r="AX5364" t="s">
        <v>73</v>
      </c>
    </row>
    <row r="5365" spans="1:50" x14ac:dyDescent="0.3">
      <c r="A5365" t="str">
        <f>"200728B0000"</f>
        <v>200728B0000</v>
      </c>
      <c r="B5365" t="str">
        <f>"200728B00002"</f>
        <v>200728B00002</v>
      </c>
      <c r="C5365" t="str">
        <f t="shared" si="267"/>
        <v>20</v>
      </c>
      <c r="D5365" t="s">
        <v>67</v>
      </c>
      <c r="E5365" t="str">
        <f t="shared" si="268"/>
        <v>024</v>
      </c>
      <c r="F5365" t="s">
        <v>5370</v>
      </c>
      <c r="G5365" t="str">
        <f>"0728"</f>
        <v>0728</v>
      </c>
      <c r="H5365" t="str">
        <f>"0000"</f>
        <v>0000</v>
      </c>
      <c r="I5365" t="s">
        <v>69</v>
      </c>
      <c r="J5365">
        <v>0</v>
      </c>
      <c r="K5365">
        <v>1</v>
      </c>
      <c r="L5365">
        <v>2</v>
      </c>
      <c r="M5365">
        <v>183</v>
      </c>
      <c r="N5365">
        <v>371</v>
      </c>
      <c r="O5365">
        <v>1</v>
      </c>
      <c r="P5365">
        <v>371</v>
      </c>
      <c r="Q5365">
        <v>9</v>
      </c>
      <c r="R5365">
        <v>120</v>
      </c>
      <c r="S5365">
        <v>4</v>
      </c>
      <c r="T5365">
        <v>2</v>
      </c>
      <c r="U5365">
        <v>3</v>
      </c>
      <c r="V5365">
        <v>3</v>
      </c>
      <c r="W5365">
        <v>3</v>
      </c>
      <c r="X5365">
        <v>174</v>
      </c>
      <c r="Y5365">
        <v>2</v>
      </c>
      <c r="Z5365">
        <v>8</v>
      </c>
      <c r="AA5365">
        <v>7</v>
      </c>
      <c r="AB5365">
        <v>3</v>
      </c>
      <c r="AD5365">
        <v>1</v>
      </c>
      <c r="AE5365">
        <v>1</v>
      </c>
      <c r="AF5365" t="s">
        <v>77</v>
      </c>
      <c r="AG5365" t="s">
        <v>77</v>
      </c>
      <c r="AI5365" t="s">
        <v>77</v>
      </c>
      <c r="AJ5365">
        <v>31</v>
      </c>
      <c r="AK5365">
        <v>371</v>
      </c>
      <c r="AL5365">
        <v>371</v>
      </c>
      <c r="AM5365">
        <v>510</v>
      </c>
      <c r="AN5365">
        <v>44</v>
      </c>
      <c r="AO5365" t="s">
        <v>78</v>
      </c>
      <c r="AP5365">
        <v>1</v>
      </c>
      <c r="AR5365" t="s">
        <v>5470</v>
      </c>
      <c r="AS5365" s="1">
        <v>44354.371527777781</v>
      </c>
      <c r="AT5365" s="1">
        <v>44354.373136574075</v>
      </c>
      <c r="AU5365" s="1">
        <v>44354.373668981483</v>
      </c>
      <c r="AV5365" t="s">
        <v>71</v>
      </c>
      <c r="AW5365" t="s">
        <v>72</v>
      </c>
      <c r="AX5365" t="s">
        <v>73</v>
      </c>
    </row>
    <row r="5366" spans="1:50" x14ac:dyDescent="0.3">
      <c r="A5366" t="str">
        <f>"200728C0100"</f>
        <v>200728C0100</v>
      </c>
      <c r="B5366" t="str">
        <f>"200728C01002"</f>
        <v>200728C01002</v>
      </c>
      <c r="C5366" t="str">
        <f t="shared" si="267"/>
        <v>20</v>
      </c>
      <c r="D5366" t="s">
        <v>67</v>
      </c>
      <c r="E5366" t="str">
        <f t="shared" si="268"/>
        <v>024</v>
      </c>
      <c r="F5366" t="s">
        <v>5370</v>
      </c>
      <c r="G5366" t="str">
        <f>"0728"</f>
        <v>0728</v>
      </c>
      <c r="H5366" t="str">
        <f>"0001"</f>
        <v>0001</v>
      </c>
      <c r="I5366" t="s">
        <v>75</v>
      </c>
      <c r="J5366">
        <v>0</v>
      </c>
      <c r="K5366">
        <v>1</v>
      </c>
      <c r="L5366">
        <v>2</v>
      </c>
      <c r="M5366">
        <v>176</v>
      </c>
      <c r="N5366">
        <v>374</v>
      </c>
      <c r="O5366">
        <v>0</v>
      </c>
      <c r="P5366">
        <v>374</v>
      </c>
      <c r="Q5366">
        <v>6</v>
      </c>
      <c r="R5366">
        <v>87</v>
      </c>
      <c r="S5366">
        <v>2</v>
      </c>
      <c r="T5366">
        <v>1</v>
      </c>
      <c r="U5366">
        <v>2</v>
      </c>
      <c r="V5366">
        <v>3</v>
      </c>
      <c r="W5366">
        <v>4</v>
      </c>
      <c r="X5366">
        <v>216</v>
      </c>
      <c r="Y5366">
        <v>2</v>
      </c>
      <c r="Z5366">
        <v>12</v>
      </c>
      <c r="AA5366">
        <v>11</v>
      </c>
      <c r="AB5366">
        <v>5</v>
      </c>
      <c r="AD5366">
        <v>0</v>
      </c>
      <c r="AE5366">
        <v>0</v>
      </c>
      <c r="AF5366">
        <v>0</v>
      </c>
      <c r="AG5366">
        <v>0</v>
      </c>
      <c r="AI5366">
        <v>0</v>
      </c>
      <c r="AJ5366">
        <v>23</v>
      </c>
      <c r="AK5366">
        <v>374</v>
      </c>
      <c r="AL5366">
        <v>374</v>
      </c>
      <c r="AM5366">
        <v>509</v>
      </c>
      <c r="AN5366">
        <v>44</v>
      </c>
      <c r="AP5366">
        <v>1</v>
      </c>
      <c r="AR5366" t="s">
        <v>5471</v>
      </c>
      <c r="AS5366" s="1">
        <v>44354.375</v>
      </c>
      <c r="AT5366" s="1">
        <v>44354.376261574071</v>
      </c>
      <c r="AU5366" s="1">
        <v>44354.376759259256</v>
      </c>
      <c r="AV5366" t="s">
        <v>71</v>
      </c>
      <c r="AW5366" t="s">
        <v>72</v>
      </c>
      <c r="AX5366" t="s">
        <v>73</v>
      </c>
    </row>
    <row r="5367" spans="1:50" x14ac:dyDescent="0.3">
      <c r="A5367" t="str">
        <f>"200728E0100"</f>
        <v>200728E0100</v>
      </c>
      <c r="B5367" t="str">
        <f>"200728E01002"</f>
        <v>200728E01002</v>
      </c>
      <c r="C5367" t="str">
        <f t="shared" si="267"/>
        <v>20</v>
      </c>
      <c r="D5367" t="s">
        <v>67</v>
      </c>
      <c r="E5367" t="str">
        <f t="shared" si="268"/>
        <v>024</v>
      </c>
      <c r="F5367" t="s">
        <v>5370</v>
      </c>
      <c r="G5367" t="str">
        <f>"0728"</f>
        <v>0728</v>
      </c>
      <c r="H5367" t="str">
        <f>"0001"</f>
        <v>0001</v>
      </c>
      <c r="I5367" t="s">
        <v>109</v>
      </c>
      <c r="J5367">
        <v>0</v>
      </c>
      <c r="K5367">
        <v>1</v>
      </c>
      <c r="L5367">
        <v>2</v>
      </c>
      <c r="M5367">
        <v>92</v>
      </c>
      <c r="N5367">
        <v>88</v>
      </c>
      <c r="O5367">
        <v>2</v>
      </c>
      <c r="P5367">
        <v>88</v>
      </c>
      <c r="Q5367">
        <v>2</v>
      </c>
      <c r="R5367">
        <v>33</v>
      </c>
      <c r="S5367">
        <v>1</v>
      </c>
      <c r="T5367">
        <v>1</v>
      </c>
      <c r="U5367">
        <v>1</v>
      </c>
      <c r="V5367">
        <v>0</v>
      </c>
      <c r="W5367">
        <v>2</v>
      </c>
      <c r="X5367">
        <v>38</v>
      </c>
      <c r="Y5367">
        <v>1</v>
      </c>
      <c r="Z5367">
        <v>2</v>
      </c>
      <c r="AA5367">
        <v>3</v>
      </c>
      <c r="AB5367">
        <v>0</v>
      </c>
      <c r="AD5367">
        <v>0</v>
      </c>
      <c r="AE5367">
        <v>0</v>
      </c>
      <c r="AF5367">
        <v>0</v>
      </c>
      <c r="AG5367">
        <v>0</v>
      </c>
      <c r="AI5367">
        <v>0</v>
      </c>
      <c r="AJ5367">
        <v>4</v>
      </c>
      <c r="AK5367">
        <v>88</v>
      </c>
      <c r="AL5367">
        <v>88</v>
      </c>
      <c r="AM5367">
        <v>136</v>
      </c>
      <c r="AN5367">
        <v>44</v>
      </c>
      <c r="AP5367">
        <v>1</v>
      </c>
      <c r="AR5367" t="s">
        <v>5472</v>
      </c>
      <c r="AS5367" s="1">
        <v>44354.374305555553</v>
      </c>
      <c r="AT5367" s="1">
        <v>44354.375671296293</v>
      </c>
      <c r="AU5367" s="1">
        <v>44354.376157407409</v>
      </c>
      <c r="AV5367" t="s">
        <v>71</v>
      </c>
      <c r="AW5367" t="s">
        <v>72</v>
      </c>
      <c r="AX5367" t="s">
        <v>73</v>
      </c>
    </row>
    <row r="5368" spans="1:50" x14ac:dyDescent="0.3">
      <c r="A5368" t="str">
        <f>"200729B0000"</f>
        <v>200729B0000</v>
      </c>
      <c r="B5368" t="str">
        <f>"200729B00002"</f>
        <v>200729B00002</v>
      </c>
      <c r="C5368" t="str">
        <f t="shared" si="267"/>
        <v>20</v>
      </c>
      <c r="D5368" t="s">
        <v>67</v>
      </c>
      <c r="E5368" t="str">
        <f t="shared" si="268"/>
        <v>024</v>
      </c>
      <c r="F5368" t="s">
        <v>5370</v>
      </c>
      <c r="G5368" t="str">
        <f>"0729"</f>
        <v>0729</v>
      </c>
      <c r="H5368" t="str">
        <f>"0000"</f>
        <v>0000</v>
      </c>
      <c r="I5368" t="s">
        <v>69</v>
      </c>
      <c r="J5368">
        <v>0</v>
      </c>
      <c r="K5368">
        <v>1</v>
      </c>
      <c r="L5368">
        <v>2</v>
      </c>
      <c r="M5368">
        <v>231</v>
      </c>
      <c r="N5368">
        <v>341</v>
      </c>
      <c r="O5368">
        <v>0</v>
      </c>
      <c r="P5368">
        <v>341</v>
      </c>
      <c r="Q5368">
        <v>3</v>
      </c>
      <c r="R5368">
        <v>96</v>
      </c>
      <c r="S5368">
        <v>4</v>
      </c>
      <c r="T5368">
        <v>5</v>
      </c>
      <c r="U5368">
        <v>1</v>
      </c>
      <c r="V5368">
        <v>4</v>
      </c>
      <c r="W5368">
        <v>2</v>
      </c>
      <c r="X5368">
        <v>169</v>
      </c>
      <c r="Y5368">
        <v>20</v>
      </c>
      <c r="Z5368">
        <v>4</v>
      </c>
      <c r="AA5368">
        <v>4</v>
      </c>
      <c r="AB5368">
        <v>4</v>
      </c>
      <c r="AD5368">
        <v>2</v>
      </c>
      <c r="AE5368">
        <v>2</v>
      </c>
      <c r="AF5368">
        <v>0</v>
      </c>
      <c r="AG5368">
        <v>0</v>
      </c>
      <c r="AI5368">
        <v>0</v>
      </c>
      <c r="AJ5368">
        <v>21</v>
      </c>
      <c r="AK5368">
        <v>341</v>
      </c>
      <c r="AL5368">
        <v>341</v>
      </c>
      <c r="AM5368">
        <v>528</v>
      </c>
      <c r="AN5368">
        <v>44</v>
      </c>
      <c r="AP5368">
        <v>1</v>
      </c>
      <c r="AR5368" t="s">
        <v>5473</v>
      </c>
      <c r="AS5368" s="1">
        <v>44354.305555555555</v>
      </c>
      <c r="AT5368" s="1">
        <v>44354.307314814818</v>
      </c>
      <c r="AU5368" s="1">
        <v>44354.307905092595</v>
      </c>
      <c r="AV5368" t="s">
        <v>71</v>
      </c>
      <c r="AW5368" t="s">
        <v>72</v>
      </c>
      <c r="AX5368" t="s">
        <v>73</v>
      </c>
    </row>
    <row r="5369" spans="1:50" x14ac:dyDescent="0.3">
      <c r="A5369" t="str">
        <f>"200729C0100"</f>
        <v>200729C0100</v>
      </c>
      <c r="B5369" t="str">
        <f>"200729C01002"</f>
        <v>200729C01002</v>
      </c>
      <c r="C5369" t="str">
        <f t="shared" si="267"/>
        <v>20</v>
      </c>
      <c r="D5369" t="s">
        <v>67</v>
      </c>
      <c r="E5369" t="str">
        <f t="shared" si="268"/>
        <v>024</v>
      </c>
      <c r="F5369" t="s">
        <v>5370</v>
      </c>
      <c r="G5369" t="str">
        <f>"0729"</f>
        <v>0729</v>
      </c>
      <c r="H5369" t="str">
        <f>"0001"</f>
        <v>0001</v>
      </c>
      <c r="I5369" t="s">
        <v>75</v>
      </c>
      <c r="J5369">
        <v>0</v>
      </c>
      <c r="K5369">
        <v>1</v>
      </c>
      <c r="L5369">
        <v>2</v>
      </c>
      <c r="M5369">
        <v>238</v>
      </c>
      <c r="N5369">
        <v>333</v>
      </c>
      <c r="O5369">
        <v>1</v>
      </c>
      <c r="P5369">
        <v>334</v>
      </c>
      <c r="Q5369">
        <v>5</v>
      </c>
      <c r="R5369">
        <v>113</v>
      </c>
      <c r="S5369">
        <v>2</v>
      </c>
      <c r="T5369">
        <v>0</v>
      </c>
      <c r="U5369">
        <v>7</v>
      </c>
      <c r="V5369">
        <v>3</v>
      </c>
      <c r="W5369">
        <v>6</v>
      </c>
      <c r="X5369">
        <v>156</v>
      </c>
      <c r="Y5369">
        <v>5</v>
      </c>
      <c r="Z5369">
        <v>5</v>
      </c>
      <c r="AA5369">
        <v>3</v>
      </c>
      <c r="AB5369">
        <v>8</v>
      </c>
      <c r="AD5369">
        <v>0</v>
      </c>
      <c r="AE5369">
        <v>0</v>
      </c>
      <c r="AF5369">
        <v>0</v>
      </c>
      <c r="AG5369">
        <v>0</v>
      </c>
      <c r="AI5369">
        <v>0</v>
      </c>
      <c r="AJ5369">
        <v>21</v>
      </c>
      <c r="AK5369">
        <v>334</v>
      </c>
      <c r="AL5369">
        <v>334</v>
      </c>
      <c r="AM5369">
        <v>528</v>
      </c>
      <c r="AN5369">
        <v>44</v>
      </c>
      <c r="AP5369">
        <v>1</v>
      </c>
      <c r="AR5369" t="s">
        <v>5474</v>
      </c>
      <c r="AS5369" s="1">
        <v>44354.307638888888</v>
      </c>
      <c r="AT5369" s="1">
        <v>44354.308958333335</v>
      </c>
      <c r="AU5369" s="1">
        <v>44354.30945601852</v>
      </c>
      <c r="AV5369" t="s">
        <v>71</v>
      </c>
      <c r="AW5369" t="s">
        <v>72</v>
      </c>
      <c r="AX5369" t="s">
        <v>73</v>
      </c>
    </row>
    <row r="5370" spans="1:50" x14ac:dyDescent="0.3">
      <c r="A5370" t="str">
        <f>"200729C0200"</f>
        <v>200729C0200</v>
      </c>
      <c r="B5370" t="str">
        <f>"200729C02002"</f>
        <v>200729C02002</v>
      </c>
      <c r="C5370" t="str">
        <f t="shared" si="267"/>
        <v>20</v>
      </c>
      <c r="D5370" t="s">
        <v>67</v>
      </c>
      <c r="E5370" t="str">
        <f t="shared" si="268"/>
        <v>024</v>
      </c>
      <c r="F5370" t="s">
        <v>5370</v>
      </c>
      <c r="G5370" t="str">
        <f>"0729"</f>
        <v>0729</v>
      </c>
      <c r="H5370" t="str">
        <f>"0002"</f>
        <v>0002</v>
      </c>
      <c r="I5370" t="s">
        <v>75</v>
      </c>
      <c r="J5370">
        <v>0</v>
      </c>
      <c r="K5370">
        <v>1</v>
      </c>
      <c r="L5370">
        <v>2</v>
      </c>
      <c r="M5370">
        <v>250</v>
      </c>
      <c r="N5370">
        <v>321</v>
      </c>
      <c r="O5370">
        <v>0</v>
      </c>
      <c r="P5370">
        <v>321</v>
      </c>
      <c r="Q5370">
        <v>1</v>
      </c>
      <c r="R5370">
        <v>93</v>
      </c>
      <c r="S5370">
        <v>3</v>
      </c>
      <c r="T5370">
        <v>4</v>
      </c>
      <c r="U5370">
        <v>1</v>
      </c>
      <c r="V5370">
        <v>3</v>
      </c>
      <c r="W5370">
        <v>4</v>
      </c>
      <c r="X5370">
        <v>165</v>
      </c>
      <c r="Y5370">
        <v>8</v>
      </c>
      <c r="Z5370">
        <v>6</v>
      </c>
      <c r="AA5370">
        <v>8</v>
      </c>
      <c r="AB5370">
        <v>4</v>
      </c>
      <c r="AD5370" t="s">
        <v>77</v>
      </c>
      <c r="AE5370">
        <v>1</v>
      </c>
      <c r="AF5370">
        <v>1</v>
      </c>
      <c r="AG5370" t="s">
        <v>77</v>
      </c>
      <c r="AI5370" t="s">
        <v>77</v>
      </c>
      <c r="AJ5370">
        <v>19</v>
      </c>
      <c r="AK5370">
        <v>321</v>
      </c>
      <c r="AL5370">
        <v>321</v>
      </c>
      <c r="AM5370">
        <v>527</v>
      </c>
      <c r="AN5370">
        <v>44</v>
      </c>
      <c r="AO5370" t="s">
        <v>78</v>
      </c>
      <c r="AP5370">
        <v>1</v>
      </c>
      <c r="AR5370" t="s">
        <v>5475</v>
      </c>
      <c r="AS5370" s="1">
        <v>44354.304861111108</v>
      </c>
      <c r="AT5370" s="1">
        <v>44354.306423611109</v>
      </c>
      <c r="AU5370" s="1">
        <v>44354.307303240741</v>
      </c>
      <c r="AV5370" t="s">
        <v>71</v>
      </c>
      <c r="AW5370" t="s">
        <v>72</v>
      </c>
      <c r="AX5370" t="s">
        <v>73</v>
      </c>
    </row>
    <row r="5371" spans="1:50" x14ac:dyDescent="0.3">
      <c r="A5371" t="str">
        <f>"200730B0000"</f>
        <v>200730B0000</v>
      </c>
      <c r="B5371" t="str">
        <f>"200730B00002"</f>
        <v>200730B00002</v>
      </c>
      <c r="C5371" t="str">
        <f t="shared" si="267"/>
        <v>20</v>
      </c>
      <c r="D5371" t="s">
        <v>67</v>
      </c>
      <c r="E5371" t="str">
        <f t="shared" si="268"/>
        <v>024</v>
      </c>
      <c r="F5371" t="s">
        <v>5370</v>
      </c>
      <c r="G5371" t="str">
        <f>"0730"</f>
        <v>0730</v>
      </c>
      <c r="H5371" t="str">
        <f>"0000"</f>
        <v>0000</v>
      </c>
      <c r="I5371" t="s">
        <v>69</v>
      </c>
      <c r="J5371">
        <v>0</v>
      </c>
      <c r="K5371">
        <v>1</v>
      </c>
      <c r="L5371">
        <v>2</v>
      </c>
      <c r="M5371">
        <v>242</v>
      </c>
      <c r="N5371">
        <v>286</v>
      </c>
      <c r="O5371">
        <v>4</v>
      </c>
      <c r="P5371">
        <v>286</v>
      </c>
      <c r="Q5371">
        <v>6</v>
      </c>
      <c r="R5371">
        <v>42</v>
      </c>
      <c r="S5371">
        <v>5</v>
      </c>
      <c r="T5371">
        <v>3</v>
      </c>
      <c r="U5371">
        <v>5</v>
      </c>
      <c r="V5371">
        <v>6</v>
      </c>
      <c r="W5371">
        <v>4</v>
      </c>
      <c r="X5371">
        <v>182</v>
      </c>
      <c r="Y5371">
        <v>3</v>
      </c>
      <c r="Z5371">
        <v>14</v>
      </c>
      <c r="AA5371">
        <v>7</v>
      </c>
      <c r="AB5371">
        <v>5</v>
      </c>
      <c r="AD5371">
        <v>0</v>
      </c>
      <c r="AE5371">
        <v>0</v>
      </c>
      <c r="AF5371">
        <v>0</v>
      </c>
      <c r="AG5371">
        <v>0</v>
      </c>
      <c r="AI5371">
        <v>0</v>
      </c>
      <c r="AJ5371">
        <v>4</v>
      </c>
      <c r="AK5371">
        <v>286</v>
      </c>
      <c r="AL5371">
        <v>286</v>
      </c>
      <c r="AM5371">
        <v>484</v>
      </c>
      <c r="AN5371">
        <v>44</v>
      </c>
      <c r="AP5371">
        <v>1</v>
      </c>
      <c r="AR5371" t="s">
        <v>5476</v>
      </c>
      <c r="AS5371" s="1">
        <v>44354.260416666664</v>
      </c>
      <c r="AT5371" s="1">
        <v>44354.262175925927</v>
      </c>
      <c r="AU5371" s="1">
        <v>44354.262708333335</v>
      </c>
      <c r="AV5371" t="s">
        <v>71</v>
      </c>
      <c r="AW5371" t="s">
        <v>72</v>
      </c>
      <c r="AX5371" t="s">
        <v>73</v>
      </c>
    </row>
    <row r="5372" spans="1:50" x14ac:dyDescent="0.3">
      <c r="A5372" t="str">
        <f>"200730E0100"</f>
        <v>200730E0100</v>
      </c>
      <c r="B5372" t="str">
        <f>"200730E01002"</f>
        <v>200730E01002</v>
      </c>
      <c r="C5372" t="str">
        <f t="shared" si="267"/>
        <v>20</v>
      </c>
      <c r="D5372" t="s">
        <v>67</v>
      </c>
      <c r="E5372" t="str">
        <f t="shared" si="268"/>
        <v>024</v>
      </c>
      <c r="F5372" t="s">
        <v>5370</v>
      </c>
      <c r="G5372" t="str">
        <f>"0730"</f>
        <v>0730</v>
      </c>
      <c r="H5372" t="str">
        <f>"0001"</f>
        <v>0001</v>
      </c>
      <c r="I5372" t="s">
        <v>109</v>
      </c>
      <c r="J5372">
        <v>0</v>
      </c>
      <c r="K5372">
        <v>1</v>
      </c>
      <c r="L5372">
        <v>2</v>
      </c>
      <c r="M5372">
        <v>231</v>
      </c>
      <c r="N5372">
        <v>216</v>
      </c>
      <c r="O5372">
        <v>3</v>
      </c>
      <c r="P5372">
        <v>216</v>
      </c>
      <c r="Q5372">
        <v>6</v>
      </c>
      <c r="R5372">
        <v>101</v>
      </c>
      <c r="S5372">
        <v>1</v>
      </c>
      <c r="T5372">
        <v>7</v>
      </c>
      <c r="U5372">
        <v>1</v>
      </c>
      <c r="V5372">
        <v>3</v>
      </c>
      <c r="W5372">
        <v>3</v>
      </c>
      <c r="X5372">
        <v>76</v>
      </c>
      <c r="Y5372">
        <v>2</v>
      </c>
      <c r="Z5372">
        <v>2</v>
      </c>
      <c r="AA5372">
        <v>4</v>
      </c>
      <c r="AB5372">
        <v>2</v>
      </c>
      <c r="AD5372">
        <v>1</v>
      </c>
      <c r="AE5372">
        <v>0</v>
      </c>
      <c r="AF5372">
        <v>0</v>
      </c>
      <c r="AG5372">
        <v>0</v>
      </c>
      <c r="AI5372">
        <v>0</v>
      </c>
      <c r="AJ5372">
        <v>7</v>
      </c>
      <c r="AK5372">
        <v>216</v>
      </c>
      <c r="AL5372">
        <v>216</v>
      </c>
      <c r="AM5372">
        <v>403</v>
      </c>
      <c r="AN5372">
        <v>44</v>
      </c>
      <c r="AP5372">
        <v>1</v>
      </c>
      <c r="AR5372" t="s">
        <v>5477</v>
      </c>
      <c r="AS5372" s="1">
        <v>44354.261805555558</v>
      </c>
      <c r="AT5372" s="1">
        <v>44354.263645833336</v>
      </c>
      <c r="AU5372" s="1">
        <v>44354.264004629629</v>
      </c>
      <c r="AV5372" t="s">
        <v>71</v>
      </c>
      <c r="AW5372" t="s">
        <v>72</v>
      </c>
      <c r="AX5372" t="s">
        <v>73</v>
      </c>
    </row>
    <row r="5373" spans="1:50" x14ac:dyDescent="0.3">
      <c r="A5373" t="str">
        <f>"200730E0101"</f>
        <v>200730E0101</v>
      </c>
      <c r="B5373" t="str">
        <f>"200730E01012"</f>
        <v>200730E01012</v>
      </c>
      <c r="C5373" t="str">
        <f t="shared" si="267"/>
        <v>20</v>
      </c>
      <c r="D5373" t="s">
        <v>67</v>
      </c>
      <c r="E5373" t="str">
        <f t="shared" si="268"/>
        <v>024</v>
      </c>
      <c r="F5373" t="s">
        <v>5370</v>
      </c>
      <c r="G5373" t="str">
        <f>"0730"</f>
        <v>0730</v>
      </c>
      <c r="H5373" t="str">
        <f>"0001"</f>
        <v>0001</v>
      </c>
      <c r="I5373" t="s">
        <v>109</v>
      </c>
      <c r="J5373">
        <v>1</v>
      </c>
      <c r="K5373">
        <v>1</v>
      </c>
      <c r="L5373">
        <v>2</v>
      </c>
      <c r="M5373">
        <v>229</v>
      </c>
      <c r="N5373">
        <v>217</v>
      </c>
      <c r="O5373">
        <v>2</v>
      </c>
      <c r="P5373">
        <v>217</v>
      </c>
      <c r="Q5373">
        <v>1</v>
      </c>
      <c r="R5373">
        <v>113</v>
      </c>
      <c r="S5373">
        <v>0</v>
      </c>
      <c r="T5373">
        <v>6</v>
      </c>
      <c r="U5373">
        <v>4</v>
      </c>
      <c r="V5373">
        <v>5</v>
      </c>
      <c r="W5373">
        <v>2</v>
      </c>
      <c r="X5373">
        <v>63</v>
      </c>
      <c r="Y5373">
        <v>1</v>
      </c>
      <c r="Z5373">
        <v>8</v>
      </c>
      <c r="AA5373">
        <v>3</v>
      </c>
      <c r="AB5373">
        <v>0</v>
      </c>
      <c r="AD5373">
        <v>1</v>
      </c>
      <c r="AE5373">
        <v>2</v>
      </c>
      <c r="AF5373">
        <v>0</v>
      </c>
      <c r="AG5373">
        <v>0</v>
      </c>
      <c r="AI5373">
        <v>0</v>
      </c>
      <c r="AJ5373">
        <v>8</v>
      </c>
      <c r="AK5373">
        <v>217</v>
      </c>
      <c r="AL5373">
        <v>217</v>
      </c>
      <c r="AM5373">
        <v>402</v>
      </c>
      <c r="AN5373">
        <v>44</v>
      </c>
      <c r="AP5373">
        <v>1</v>
      </c>
      <c r="AR5373" t="s">
        <v>5478</v>
      </c>
      <c r="AS5373" s="1">
        <v>44354.263888888891</v>
      </c>
      <c r="AT5373" s="1">
        <v>44354.265173611115</v>
      </c>
      <c r="AU5373" s="1">
        <v>44354.265972222223</v>
      </c>
      <c r="AV5373" t="s">
        <v>71</v>
      </c>
      <c r="AW5373" t="s">
        <v>72</v>
      </c>
      <c r="AX5373" t="s">
        <v>73</v>
      </c>
    </row>
    <row r="5374" spans="1:50" x14ac:dyDescent="0.3">
      <c r="A5374" t="str">
        <f>"200731B0000"</f>
        <v>200731B0000</v>
      </c>
      <c r="B5374" t="str">
        <f>"200731B00002"</f>
        <v>200731B00002</v>
      </c>
      <c r="C5374" t="str">
        <f t="shared" si="267"/>
        <v>20</v>
      </c>
      <c r="D5374" t="s">
        <v>67</v>
      </c>
      <c r="E5374" t="str">
        <f t="shared" si="268"/>
        <v>024</v>
      </c>
      <c r="F5374" t="s">
        <v>5370</v>
      </c>
      <c r="G5374" t="str">
        <f>"0731"</f>
        <v>0731</v>
      </c>
      <c r="H5374" t="str">
        <f>"0000"</f>
        <v>0000</v>
      </c>
      <c r="I5374" t="s">
        <v>69</v>
      </c>
      <c r="J5374">
        <v>0</v>
      </c>
      <c r="K5374">
        <v>1</v>
      </c>
      <c r="L5374">
        <v>2</v>
      </c>
      <c r="M5374">
        <v>237</v>
      </c>
      <c r="N5374">
        <v>333</v>
      </c>
      <c r="O5374">
        <v>4</v>
      </c>
      <c r="P5374">
        <v>333</v>
      </c>
      <c r="Q5374">
        <v>16</v>
      </c>
      <c r="R5374">
        <v>98</v>
      </c>
      <c r="S5374">
        <v>14</v>
      </c>
      <c r="T5374">
        <v>10</v>
      </c>
      <c r="U5374">
        <v>4</v>
      </c>
      <c r="V5374">
        <v>7</v>
      </c>
      <c r="W5374">
        <v>4</v>
      </c>
      <c r="X5374">
        <v>139</v>
      </c>
      <c r="Y5374">
        <v>3</v>
      </c>
      <c r="Z5374">
        <v>10</v>
      </c>
      <c r="AA5374">
        <v>17</v>
      </c>
      <c r="AB5374">
        <v>3</v>
      </c>
      <c r="AD5374" t="s">
        <v>77</v>
      </c>
      <c r="AE5374" t="s">
        <v>77</v>
      </c>
      <c r="AF5374" t="s">
        <v>77</v>
      </c>
      <c r="AG5374" t="s">
        <v>77</v>
      </c>
      <c r="AI5374" t="s">
        <v>77</v>
      </c>
      <c r="AJ5374">
        <v>8</v>
      </c>
      <c r="AK5374">
        <v>333</v>
      </c>
      <c r="AL5374">
        <v>333</v>
      </c>
      <c r="AM5374">
        <v>526</v>
      </c>
      <c r="AN5374">
        <v>44</v>
      </c>
      <c r="AO5374" t="s">
        <v>78</v>
      </c>
      <c r="AP5374">
        <v>1</v>
      </c>
      <c r="AR5374" t="s">
        <v>5479</v>
      </c>
      <c r="AS5374" s="1">
        <v>44354.581250000003</v>
      </c>
      <c r="AT5374" s="1">
        <v>44354.583252314813</v>
      </c>
      <c r="AU5374" s="1">
        <v>44354.584143518521</v>
      </c>
      <c r="AV5374" t="s">
        <v>71</v>
      </c>
      <c r="AW5374" t="s">
        <v>72</v>
      </c>
      <c r="AX5374" t="s">
        <v>73</v>
      </c>
    </row>
    <row r="5375" spans="1:50" x14ac:dyDescent="0.3">
      <c r="A5375" t="str">
        <f>"200731E0100"</f>
        <v>200731E0100</v>
      </c>
      <c r="B5375" t="str">
        <f>"200731E01002"</f>
        <v>200731E01002</v>
      </c>
      <c r="C5375" t="str">
        <f t="shared" si="267"/>
        <v>20</v>
      </c>
      <c r="D5375" t="s">
        <v>67</v>
      </c>
      <c r="E5375" t="str">
        <f t="shared" si="268"/>
        <v>024</v>
      </c>
      <c r="F5375" t="s">
        <v>5370</v>
      </c>
      <c r="G5375" t="str">
        <f>"0731"</f>
        <v>0731</v>
      </c>
      <c r="H5375" t="str">
        <f>"0001"</f>
        <v>0001</v>
      </c>
      <c r="I5375" t="s">
        <v>109</v>
      </c>
      <c r="J5375">
        <v>0</v>
      </c>
      <c r="K5375">
        <v>1</v>
      </c>
      <c r="L5375">
        <v>2</v>
      </c>
      <c r="M5375">
        <v>187</v>
      </c>
      <c r="N5375">
        <v>221</v>
      </c>
      <c r="O5375">
        <v>0</v>
      </c>
      <c r="P5375">
        <v>221</v>
      </c>
      <c r="Q5375">
        <v>4</v>
      </c>
      <c r="R5375">
        <v>93</v>
      </c>
      <c r="S5375">
        <v>1</v>
      </c>
      <c r="T5375">
        <v>4</v>
      </c>
      <c r="U5375">
        <v>1</v>
      </c>
      <c r="V5375">
        <v>0</v>
      </c>
      <c r="W5375">
        <v>0</v>
      </c>
      <c r="X5375">
        <v>104</v>
      </c>
      <c r="Y5375">
        <v>0</v>
      </c>
      <c r="Z5375">
        <v>4</v>
      </c>
      <c r="AA5375">
        <v>2</v>
      </c>
      <c r="AB5375">
        <v>1</v>
      </c>
      <c r="AD5375">
        <v>1</v>
      </c>
      <c r="AE5375" t="s">
        <v>77</v>
      </c>
      <c r="AF5375" t="s">
        <v>77</v>
      </c>
      <c r="AG5375" t="s">
        <v>77</v>
      </c>
      <c r="AI5375" t="s">
        <v>77</v>
      </c>
      <c r="AJ5375">
        <v>6</v>
      </c>
      <c r="AK5375">
        <v>221</v>
      </c>
      <c r="AL5375">
        <v>221</v>
      </c>
      <c r="AM5375">
        <v>364</v>
      </c>
      <c r="AN5375">
        <v>44</v>
      </c>
      <c r="AO5375" t="s">
        <v>78</v>
      </c>
      <c r="AP5375">
        <v>1</v>
      </c>
      <c r="AR5375" t="s">
        <v>5480</v>
      </c>
      <c r="AS5375" s="1">
        <v>44354.457638888889</v>
      </c>
      <c r="AT5375" s="1">
        <v>44354.45952546296</v>
      </c>
      <c r="AU5375" s="1">
        <v>44354.459849537037</v>
      </c>
      <c r="AV5375" t="s">
        <v>71</v>
      </c>
      <c r="AW5375" t="s">
        <v>72</v>
      </c>
      <c r="AX5375" t="s">
        <v>73</v>
      </c>
    </row>
    <row r="5376" spans="1:50" x14ac:dyDescent="0.3">
      <c r="A5376" t="str">
        <f>"200732B0000"</f>
        <v>200732B0000</v>
      </c>
      <c r="B5376" t="str">
        <f>"200732B00002"</f>
        <v>200732B00002</v>
      </c>
      <c r="C5376" t="str">
        <f t="shared" si="267"/>
        <v>20</v>
      </c>
      <c r="D5376" t="s">
        <v>67</v>
      </c>
      <c r="E5376" t="str">
        <f t="shared" si="268"/>
        <v>024</v>
      </c>
      <c r="F5376" t="s">
        <v>5370</v>
      </c>
      <c r="G5376" t="str">
        <f>"0732"</f>
        <v>0732</v>
      </c>
      <c r="H5376" t="str">
        <f>"0000"</f>
        <v>0000</v>
      </c>
      <c r="I5376" t="s">
        <v>69</v>
      </c>
      <c r="J5376">
        <v>0</v>
      </c>
      <c r="K5376">
        <v>1</v>
      </c>
      <c r="L5376">
        <v>2</v>
      </c>
      <c r="M5376">
        <v>325</v>
      </c>
      <c r="N5376">
        <v>341</v>
      </c>
      <c r="O5376">
        <v>3</v>
      </c>
      <c r="P5376">
        <v>341</v>
      </c>
      <c r="Q5376">
        <v>4</v>
      </c>
      <c r="R5376">
        <v>47</v>
      </c>
      <c r="S5376">
        <v>7</v>
      </c>
      <c r="T5376">
        <v>15</v>
      </c>
      <c r="U5376">
        <v>10</v>
      </c>
      <c r="V5376">
        <v>8</v>
      </c>
      <c r="W5376">
        <v>4</v>
      </c>
      <c r="X5376">
        <v>181</v>
      </c>
      <c r="Y5376">
        <v>2</v>
      </c>
      <c r="Z5376">
        <v>24</v>
      </c>
      <c r="AA5376">
        <v>18</v>
      </c>
      <c r="AB5376">
        <v>10</v>
      </c>
      <c r="AD5376">
        <v>0</v>
      </c>
      <c r="AE5376">
        <v>1</v>
      </c>
      <c r="AF5376">
        <v>0</v>
      </c>
      <c r="AG5376">
        <v>0</v>
      </c>
      <c r="AI5376">
        <v>0</v>
      </c>
      <c r="AJ5376">
        <v>10</v>
      </c>
      <c r="AK5376">
        <v>341</v>
      </c>
      <c r="AL5376">
        <v>341</v>
      </c>
      <c r="AM5376">
        <v>622</v>
      </c>
      <c r="AN5376">
        <v>44</v>
      </c>
      <c r="AP5376">
        <v>1</v>
      </c>
      <c r="AR5376" t="s">
        <v>5481</v>
      </c>
      <c r="AS5376" s="1">
        <v>44354.421527777777</v>
      </c>
      <c r="AT5376" s="1">
        <v>44354.423321759263</v>
      </c>
      <c r="AU5376" s="1">
        <v>44354.424004629633</v>
      </c>
      <c r="AV5376" t="s">
        <v>71</v>
      </c>
      <c r="AW5376" t="s">
        <v>72</v>
      </c>
      <c r="AX5376" t="s">
        <v>73</v>
      </c>
    </row>
    <row r="5377" spans="1:50" x14ac:dyDescent="0.3">
      <c r="A5377" t="str">
        <f>"200732C0100"</f>
        <v>200732C0100</v>
      </c>
      <c r="B5377" t="str">
        <f>"200732C01002"</f>
        <v>200732C01002</v>
      </c>
      <c r="C5377" t="str">
        <f t="shared" si="267"/>
        <v>20</v>
      </c>
      <c r="D5377" t="s">
        <v>67</v>
      </c>
      <c r="E5377" t="str">
        <f t="shared" si="268"/>
        <v>024</v>
      </c>
      <c r="F5377" t="s">
        <v>5370</v>
      </c>
      <c r="G5377" t="str">
        <f>"0732"</f>
        <v>0732</v>
      </c>
      <c r="H5377" t="str">
        <f>"0001"</f>
        <v>0001</v>
      </c>
      <c r="I5377" t="s">
        <v>75</v>
      </c>
      <c r="J5377">
        <v>0</v>
      </c>
      <c r="K5377">
        <v>1</v>
      </c>
      <c r="L5377">
        <v>2</v>
      </c>
      <c r="M5377">
        <v>333</v>
      </c>
      <c r="N5377">
        <v>333</v>
      </c>
      <c r="O5377">
        <v>4</v>
      </c>
      <c r="P5377">
        <v>333</v>
      </c>
      <c r="Q5377">
        <v>6</v>
      </c>
      <c r="R5377">
        <v>48</v>
      </c>
      <c r="S5377">
        <v>4</v>
      </c>
      <c r="T5377">
        <v>8</v>
      </c>
      <c r="U5377">
        <v>15</v>
      </c>
      <c r="V5377">
        <v>4</v>
      </c>
      <c r="W5377">
        <v>11</v>
      </c>
      <c r="X5377">
        <v>174</v>
      </c>
      <c r="Y5377">
        <v>2</v>
      </c>
      <c r="Z5377">
        <v>22</v>
      </c>
      <c r="AA5377">
        <v>13</v>
      </c>
      <c r="AB5377">
        <v>9</v>
      </c>
      <c r="AD5377">
        <v>3</v>
      </c>
      <c r="AE5377">
        <v>0</v>
      </c>
      <c r="AF5377">
        <v>0</v>
      </c>
      <c r="AG5377">
        <v>0</v>
      </c>
      <c r="AI5377">
        <v>0</v>
      </c>
      <c r="AJ5377">
        <v>14</v>
      </c>
      <c r="AK5377">
        <v>333</v>
      </c>
      <c r="AL5377">
        <v>333</v>
      </c>
      <c r="AM5377">
        <v>622</v>
      </c>
      <c r="AN5377">
        <v>44</v>
      </c>
      <c r="AP5377">
        <v>1</v>
      </c>
      <c r="AR5377" t="s">
        <v>5482</v>
      </c>
      <c r="AS5377" s="1">
        <v>44354.419444444444</v>
      </c>
      <c r="AT5377" s="1">
        <v>44354.420972222222</v>
      </c>
      <c r="AU5377" s="1">
        <v>44354.421273148146</v>
      </c>
      <c r="AV5377" t="s">
        <v>71</v>
      </c>
      <c r="AW5377" t="s">
        <v>72</v>
      </c>
      <c r="AX5377" t="s">
        <v>73</v>
      </c>
    </row>
    <row r="5378" spans="1:50" x14ac:dyDescent="0.3">
      <c r="A5378" t="str">
        <f>"200732C0200"</f>
        <v>200732C0200</v>
      </c>
      <c r="B5378" t="str">
        <f>"200732C02002"</f>
        <v>200732C02002</v>
      </c>
      <c r="C5378" t="str">
        <f t="shared" si="267"/>
        <v>20</v>
      </c>
      <c r="D5378" t="s">
        <v>67</v>
      </c>
      <c r="E5378" t="str">
        <f t="shared" si="268"/>
        <v>024</v>
      </c>
      <c r="F5378" t="s">
        <v>5370</v>
      </c>
      <c r="G5378" t="str">
        <f>"0732"</f>
        <v>0732</v>
      </c>
      <c r="H5378" t="str">
        <f>"0002"</f>
        <v>0002</v>
      </c>
      <c r="I5378" t="s">
        <v>75</v>
      </c>
      <c r="J5378">
        <v>0</v>
      </c>
      <c r="K5378">
        <v>1</v>
      </c>
      <c r="L5378">
        <v>2</v>
      </c>
      <c r="M5378">
        <v>349</v>
      </c>
      <c r="N5378">
        <v>316</v>
      </c>
      <c r="O5378">
        <v>6</v>
      </c>
      <c r="P5378">
        <v>316</v>
      </c>
      <c r="Q5378">
        <v>7</v>
      </c>
      <c r="R5378">
        <v>31</v>
      </c>
      <c r="S5378">
        <v>9</v>
      </c>
      <c r="T5378">
        <v>9</v>
      </c>
      <c r="U5378">
        <v>10</v>
      </c>
      <c r="V5378">
        <v>5</v>
      </c>
      <c r="W5378">
        <v>8</v>
      </c>
      <c r="X5378">
        <v>187</v>
      </c>
      <c r="Y5378">
        <v>4</v>
      </c>
      <c r="Z5378">
        <v>24</v>
      </c>
      <c r="AA5378">
        <v>7</v>
      </c>
      <c r="AB5378">
        <v>5</v>
      </c>
      <c r="AD5378">
        <v>0</v>
      </c>
      <c r="AE5378">
        <v>0</v>
      </c>
      <c r="AF5378">
        <v>0</v>
      </c>
      <c r="AG5378">
        <v>0</v>
      </c>
      <c r="AI5378">
        <v>0</v>
      </c>
      <c r="AJ5378">
        <v>10</v>
      </c>
      <c r="AK5378">
        <v>316</v>
      </c>
      <c r="AL5378">
        <v>316</v>
      </c>
      <c r="AM5378">
        <v>621</v>
      </c>
      <c r="AN5378">
        <v>44</v>
      </c>
      <c r="AP5378">
        <v>1</v>
      </c>
      <c r="AR5378" t="s">
        <v>5483</v>
      </c>
      <c r="AS5378" s="1">
        <v>44354.417361111111</v>
      </c>
      <c r="AT5378" s="1">
        <v>44354.419768518521</v>
      </c>
      <c r="AU5378" s="1">
        <v>44354.42019675926</v>
      </c>
      <c r="AV5378" t="s">
        <v>71</v>
      </c>
      <c r="AW5378" t="s">
        <v>72</v>
      </c>
      <c r="AX5378" t="s">
        <v>73</v>
      </c>
    </row>
    <row r="5379" spans="1:50" x14ac:dyDescent="0.3">
      <c r="A5379" t="str">
        <f>"200732E0100"</f>
        <v>200732E0100</v>
      </c>
      <c r="B5379" t="str">
        <f>"200732E01002"</f>
        <v>200732E01002</v>
      </c>
      <c r="C5379" t="str">
        <f t="shared" si="267"/>
        <v>20</v>
      </c>
      <c r="D5379" t="s">
        <v>67</v>
      </c>
      <c r="E5379" t="str">
        <f t="shared" si="268"/>
        <v>024</v>
      </c>
      <c r="F5379" t="s">
        <v>5370</v>
      </c>
      <c r="G5379" t="str">
        <f>"0732"</f>
        <v>0732</v>
      </c>
      <c r="H5379" t="str">
        <f>"0001"</f>
        <v>0001</v>
      </c>
      <c r="I5379" t="s">
        <v>109</v>
      </c>
      <c r="J5379">
        <v>0</v>
      </c>
      <c r="K5379">
        <v>1</v>
      </c>
      <c r="L5379">
        <v>2</v>
      </c>
      <c r="M5379">
        <v>187</v>
      </c>
      <c r="N5379">
        <v>175</v>
      </c>
      <c r="O5379">
        <v>0</v>
      </c>
      <c r="P5379">
        <v>175</v>
      </c>
      <c r="Q5379">
        <v>3</v>
      </c>
      <c r="R5379">
        <v>13</v>
      </c>
      <c r="S5379">
        <v>0</v>
      </c>
      <c r="T5379">
        <v>1</v>
      </c>
      <c r="U5379">
        <v>4</v>
      </c>
      <c r="V5379">
        <v>1</v>
      </c>
      <c r="W5379">
        <v>3</v>
      </c>
      <c r="X5379">
        <v>139</v>
      </c>
      <c r="Y5379">
        <v>0</v>
      </c>
      <c r="Z5379">
        <v>4</v>
      </c>
      <c r="AA5379">
        <v>5</v>
      </c>
      <c r="AB5379">
        <v>2</v>
      </c>
      <c r="AD5379">
        <v>0</v>
      </c>
      <c r="AE5379">
        <v>0</v>
      </c>
      <c r="AF5379">
        <v>0</v>
      </c>
      <c r="AG5379">
        <v>0</v>
      </c>
      <c r="AI5379">
        <v>0</v>
      </c>
      <c r="AJ5379">
        <v>0</v>
      </c>
      <c r="AK5379">
        <v>175</v>
      </c>
      <c r="AL5379">
        <v>175</v>
      </c>
      <c r="AM5379">
        <v>318</v>
      </c>
      <c r="AN5379">
        <v>44</v>
      </c>
      <c r="AP5379">
        <v>1</v>
      </c>
      <c r="AR5379" t="s">
        <v>5484</v>
      </c>
      <c r="AS5379" s="1">
        <v>44354.415972222225</v>
      </c>
      <c r="AT5379" s="1">
        <v>44354.419236111113</v>
      </c>
      <c r="AU5379" s="1">
        <v>44354.420173611114</v>
      </c>
      <c r="AV5379" t="s">
        <v>71</v>
      </c>
      <c r="AW5379" t="s">
        <v>72</v>
      </c>
      <c r="AX5379" t="s">
        <v>73</v>
      </c>
    </row>
    <row r="5380" spans="1:50" x14ac:dyDescent="0.3">
      <c r="A5380" t="str">
        <f>"200733B0000"</f>
        <v>200733B0000</v>
      </c>
      <c r="B5380" t="str">
        <f>"200733B00002"</f>
        <v>200733B00002</v>
      </c>
      <c r="C5380" t="str">
        <f t="shared" si="267"/>
        <v>20</v>
      </c>
      <c r="D5380" t="s">
        <v>67</v>
      </c>
      <c r="E5380" t="str">
        <f t="shared" si="268"/>
        <v>024</v>
      </c>
      <c r="F5380" t="s">
        <v>5370</v>
      </c>
      <c r="G5380" t="str">
        <f>"0733"</f>
        <v>0733</v>
      </c>
      <c r="H5380" t="str">
        <f>"0000"</f>
        <v>0000</v>
      </c>
      <c r="I5380" t="s">
        <v>69</v>
      </c>
      <c r="J5380">
        <v>0</v>
      </c>
      <c r="K5380">
        <v>1</v>
      </c>
      <c r="L5380">
        <v>2</v>
      </c>
      <c r="AM5380">
        <v>741</v>
      </c>
      <c r="AN5380">
        <v>44</v>
      </c>
      <c r="AO5380" t="s">
        <v>143</v>
      </c>
      <c r="AP5380">
        <v>0</v>
      </c>
      <c r="AR5380" t="s">
        <v>5485</v>
      </c>
      <c r="AS5380" s="1">
        <v>44354.633333333331</v>
      </c>
      <c r="AT5380" s="1">
        <v>44354.644942129627</v>
      </c>
      <c r="AU5380" s="1">
        <v>44354.644942129627</v>
      </c>
      <c r="AV5380" t="s">
        <v>71</v>
      </c>
      <c r="AW5380" t="s">
        <v>72</v>
      </c>
      <c r="AX5380" t="s">
        <v>73</v>
      </c>
    </row>
    <row r="5381" spans="1:50" x14ac:dyDescent="0.3">
      <c r="A5381" t="str">
        <f>"200733C0100"</f>
        <v>200733C0100</v>
      </c>
      <c r="B5381" t="str">
        <f>"200733C01002"</f>
        <v>200733C01002</v>
      </c>
      <c r="C5381" t="str">
        <f t="shared" si="267"/>
        <v>20</v>
      </c>
      <c r="D5381" t="s">
        <v>67</v>
      </c>
      <c r="E5381" t="str">
        <f t="shared" si="268"/>
        <v>024</v>
      </c>
      <c r="F5381" t="s">
        <v>5370</v>
      </c>
      <c r="G5381" t="str">
        <f>"0733"</f>
        <v>0733</v>
      </c>
      <c r="H5381" t="str">
        <f>"0001"</f>
        <v>0001</v>
      </c>
      <c r="I5381" t="s">
        <v>75</v>
      </c>
      <c r="J5381">
        <v>0</v>
      </c>
      <c r="K5381">
        <v>1</v>
      </c>
      <c r="L5381">
        <v>2</v>
      </c>
      <c r="M5381">
        <v>359</v>
      </c>
      <c r="N5381">
        <v>426</v>
      </c>
      <c r="O5381">
        <v>0</v>
      </c>
      <c r="P5381">
        <v>426</v>
      </c>
      <c r="Q5381">
        <v>5</v>
      </c>
      <c r="R5381">
        <v>212</v>
      </c>
      <c r="S5381">
        <v>4</v>
      </c>
      <c r="T5381">
        <v>6</v>
      </c>
      <c r="U5381">
        <v>3</v>
      </c>
      <c r="V5381">
        <v>9</v>
      </c>
      <c r="W5381">
        <v>1</v>
      </c>
      <c r="X5381">
        <v>143</v>
      </c>
      <c r="Y5381">
        <v>1</v>
      </c>
      <c r="Z5381">
        <v>17</v>
      </c>
      <c r="AA5381">
        <v>12</v>
      </c>
      <c r="AB5381">
        <v>5</v>
      </c>
      <c r="AD5381">
        <v>1</v>
      </c>
      <c r="AE5381">
        <v>0</v>
      </c>
      <c r="AF5381">
        <v>0</v>
      </c>
      <c r="AG5381">
        <v>0</v>
      </c>
      <c r="AI5381">
        <v>0</v>
      </c>
      <c r="AJ5381">
        <v>7</v>
      </c>
      <c r="AK5381">
        <v>426</v>
      </c>
      <c r="AL5381">
        <v>426</v>
      </c>
      <c r="AM5381">
        <v>741</v>
      </c>
      <c r="AN5381">
        <v>44</v>
      </c>
      <c r="AP5381">
        <v>1</v>
      </c>
      <c r="AR5381" t="s">
        <v>5486</v>
      </c>
      <c r="AS5381" s="1">
        <v>44354.365277777775</v>
      </c>
      <c r="AT5381" s="1">
        <v>44354.36886574074</v>
      </c>
      <c r="AU5381" s="1">
        <v>44354.369618055556</v>
      </c>
      <c r="AV5381" t="s">
        <v>71</v>
      </c>
      <c r="AW5381" t="s">
        <v>72</v>
      </c>
      <c r="AX5381" t="s">
        <v>73</v>
      </c>
    </row>
    <row r="5382" spans="1:50" x14ac:dyDescent="0.3">
      <c r="A5382" t="str">
        <f>"200753B0000"</f>
        <v>200753B0000</v>
      </c>
      <c r="B5382" t="str">
        <f>"200753B00002"</f>
        <v>200753B00002</v>
      </c>
      <c r="C5382" t="str">
        <f t="shared" si="267"/>
        <v>20</v>
      </c>
      <c r="D5382" t="s">
        <v>67</v>
      </c>
      <c r="E5382" t="str">
        <f t="shared" si="268"/>
        <v>024</v>
      </c>
      <c r="F5382" t="s">
        <v>5370</v>
      </c>
      <c r="G5382" t="str">
        <f>"0753"</f>
        <v>0753</v>
      </c>
      <c r="H5382" t="str">
        <f>"0000"</f>
        <v>0000</v>
      </c>
      <c r="I5382" t="s">
        <v>69</v>
      </c>
      <c r="J5382">
        <v>0</v>
      </c>
      <c r="K5382">
        <v>1</v>
      </c>
      <c r="L5382">
        <v>2</v>
      </c>
      <c r="M5382">
        <v>440</v>
      </c>
      <c r="N5382">
        <v>192</v>
      </c>
      <c r="O5382">
        <v>0</v>
      </c>
      <c r="P5382" t="s">
        <v>80</v>
      </c>
      <c r="Q5382">
        <v>1</v>
      </c>
      <c r="R5382">
        <v>103</v>
      </c>
      <c r="S5382">
        <v>2</v>
      </c>
      <c r="T5382">
        <v>3</v>
      </c>
      <c r="U5382">
        <v>2</v>
      </c>
      <c r="V5382">
        <v>2</v>
      </c>
      <c r="W5382">
        <v>3</v>
      </c>
      <c r="X5382">
        <v>21</v>
      </c>
      <c r="Y5382">
        <v>38</v>
      </c>
      <c r="Z5382">
        <v>0</v>
      </c>
      <c r="AA5382">
        <v>0</v>
      </c>
      <c r="AB5382">
        <v>3</v>
      </c>
      <c r="AD5382">
        <v>1</v>
      </c>
      <c r="AE5382">
        <v>1</v>
      </c>
      <c r="AF5382">
        <v>0</v>
      </c>
      <c r="AG5382">
        <v>0</v>
      </c>
      <c r="AI5382">
        <v>0</v>
      </c>
      <c r="AJ5382">
        <v>12</v>
      </c>
      <c r="AK5382">
        <v>192</v>
      </c>
      <c r="AL5382">
        <v>192</v>
      </c>
      <c r="AM5382">
        <v>588</v>
      </c>
      <c r="AN5382">
        <v>44</v>
      </c>
      <c r="AP5382">
        <v>1</v>
      </c>
      <c r="AR5382" t="s">
        <v>5487</v>
      </c>
      <c r="AS5382" s="1">
        <v>44354.234722222223</v>
      </c>
      <c r="AT5382" s="1">
        <v>44354.236724537041</v>
      </c>
      <c r="AU5382" s="1">
        <v>44354.237280092595</v>
      </c>
      <c r="AV5382" t="s">
        <v>71</v>
      </c>
      <c r="AW5382" t="s">
        <v>72</v>
      </c>
      <c r="AX5382" t="s">
        <v>73</v>
      </c>
    </row>
    <row r="5383" spans="1:50" x14ac:dyDescent="0.3">
      <c r="A5383" t="str">
        <f>"200753C0100"</f>
        <v>200753C0100</v>
      </c>
      <c r="B5383" t="str">
        <f>"200753C01002"</f>
        <v>200753C01002</v>
      </c>
      <c r="C5383" t="str">
        <f t="shared" ref="C5383:C5446" si="269">"20"</f>
        <v>20</v>
      </c>
      <c r="D5383" t="s">
        <v>67</v>
      </c>
      <c r="E5383" t="str">
        <f t="shared" si="268"/>
        <v>024</v>
      </c>
      <c r="F5383" t="s">
        <v>5370</v>
      </c>
      <c r="G5383" t="str">
        <f>"0753"</f>
        <v>0753</v>
      </c>
      <c r="H5383" t="str">
        <f>"0001"</f>
        <v>0001</v>
      </c>
      <c r="I5383" t="s">
        <v>75</v>
      </c>
      <c r="J5383">
        <v>0</v>
      </c>
      <c r="K5383">
        <v>1</v>
      </c>
      <c r="L5383">
        <v>2</v>
      </c>
      <c r="M5383">
        <v>431</v>
      </c>
      <c r="N5383">
        <v>201</v>
      </c>
      <c r="O5383">
        <v>0</v>
      </c>
      <c r="P5383" t="s">
        <v>99</v>
      </c>
      <c r="Q5383">
        <v>2</v>
      </c>
      <c r="R5383">
        <v>91</v>
      </c>
      <c r="S5383">
        <v>1</v>
      </c>
      <c r="T5383">
        <v>4</v>
      </c>
      <c r="U5383">
        <v>8</v>
      </c>
      <c r="V5383">
        <v>2</v>
      </c>
      <c r="W5383">
        <v>2</v>
      </c>
      <c r="X5383">
        <v>19</v>
      </c>
      <c r="Y5383">
        <v>44</v>
      </c>
      <c r="Z5383">
        <v>2</v>
      </c>
      <c r="AA5383">
        <v>1</v>
      </c>
      <c r="AB5383">
        <v>2</v>
      </c>
      <c r="AD5383">
        <v>4</v>
      </c>
      <c r="AE5383">
        <v>1</v>
      </c>
      <c r="AF5383">
        <v>0</v>
      </c>
      <c r="AG5383">
        <v>1</v>
      </c>
      <c r="AI5383">
        <v>0</v>
      </c>
      <c r="AJ5383">
        <v>17</v>
      </c>
      <c r="AK5383">
        <v>201</v>
      </c>
      <c r="AL5383">
        <v>201</v>
      </c>
      <c r="AM5383">
        <v>588</v>
      </c>
      <c r="AN5383">
        <v>44</v>
      </c>
      <c r="AP5383">
        <v>1</v>
      </c>
      <c r="AR5383" t="s">
        <v>5488</v>
      </c>
      <c r="AS5383" s="1">
        <v>44354.231249999997</v>
      </c>
      <c r="AT5383" s="1">
        <v>44354.233993055554</v>
      </c>
      <c r="AU5383" s="1">
        <v>44354.234606481485</v>
      </c>
      <c r="AV5383" t="s">
        <v>71</v>
      </c>
      <c r="AW5383" t="s">
        <v>72</v>
      </c>
      <c r="AX5383" t="s">
        <v>73</v>
      </c>
    </row>
    <row r="5384" spans="1:50" x14ac:dyDescent="0.3">
      <c r="A5384" t="str">
        <f>"200753C0200"</f>
        <v>200753C0200</v>
      </c>
      <c r="B5384" t="str">
        <f>"200753C02002"</f>
        <v>200753C02002</v>
      </c>
      <c r="C5384" t="str">
        <f t="shared" si="269"/>
        <v>20</v>
      </c>
      <c r="D5384" t="s">
        <v>67</v>
      </c>
      <c r="E5384" t="str">
        <f t="shared" si="268"/>
        <v>024</v>
      </c>
      <c r="F5384" t="s">
        <v>5370</v>
      </c>
      <c r="G5384" t="str">
        <f>"0753"</f>
        <v>0753</v>
      </c>
      <c r="H5384" t="str">
        <f>"0002"</f>
        <v>0002</v>
      </c>
      <c r="I5384" t="s">
        <v>75</v>
      </c>
      <c r="J5384">
        <v>0</v>
      </c>
      <c r="K5384">
        <v>1</v>
      </c>
      <c r="L5384">
        <v>2</v>
      </c>
      <c r="M5384">
        <v>435</v>
      </c>
      <c r="N5384">
        <v>201</v>
      </c>
      <c r="O5384">
        <v>0</v>
      </c>
      <c r="P5384">
        <v>201</v>
      </c>
      <c r="Q5384">
        <v>4</v>
      </c>
      <c r="R5384">
        <v>96</v>
      </c>
      <c r="S5384">
        <v>0</v>
      </c>
      <c r="T5384">
        <v>4</v>
      </c>
      <c r="U5384">
        <v>5</v>
      </c>
      <c r="V5384">
        <v>0</v>
      </c>
      <c r="W5384">
        <v>0</v>
      </c>
      <c r="X5384">
        <v>10</v>
      </c>
      <c r="Y5384">
        <v>51</v>
      </c>
      <c r="Z5384">
        <v>3</v>
      </c>
      <c r="AA5384">
        <v>0</v>
      </c>
      <c r="AB5384">
        <v>2</v>
      </c>
      <c r="AD5384">
        <v>0</v>
      </c>
      <c r="AE5384">
        <v>0</v>
      </c>
      <c r="AF5384">
        <v>0</v>
      </c>
      <c r="AG5384">
        <v>0</v>
      </c>
      <c r="AI5384">
        <v>0</v>
      </c>
      <c r="AJ5384">
        <v>24</v>
      </c>
      <c r="AK5384">
        <v>201</v>
      </c>
      <c r="AL5384">
        <v>199</v>
      </c>
      <c r="AM5384">
        <v>588</v>
      </c>
      <c r="AN5384">
        <v>44</v>
      </c>
      <c r="AP5384">
        <v>1</v>
      </c>
      <c r="AR5384" t="s">
        <v>5489</v>
      </c>
      <c r="AS5384" s="1">
        <v>44354.23333333333</v>
      </c>
      <c r="AT5384" s="1">
        <v>44354.235266203701</v>
      </c>
      <c r="AU5384" s="1">
        <v>44354.236030092594</v>
      </c>
      <c r="AV5384" t="s">
        <v>71</v>
      </c>
      <c r="AW5384" t="s">
        <v>72</v>
      </c>
      <c r="AX5384" t="s">
        <v>73</v>
      </c>
    </row>
    <row r="5385" spans="1:50" x14ac:dyDescent="0.3">
      <c r="A5385" t="str">
        <f>"200754B0000"</f>
        <v>200754B0000</v>
      </c>
      <c r="B5385" t="str">
        <f>"200754B00002"</f>
        <v>200754B00002</v>
      </c>
      <c r="C5385" t="str">
        <f t="shared" si="269"/>
        <v>20</v>
      </c>
      <c r="D5385" t="s">
        <v>67</v>
      </c>
      <c r="E5385" t="str">
        <f t="shared" si="268"/>
        <v>024</v>
      </c>
      <c r="F5385" t="s">
        <v>5370</v>
      </c>
      <c r="G5385" t="str">
        <f>"0754"</f>
        <v>0754</v>
      </c>
      <c r="H5385" t="str">
        <f>"0000"</f>
        <v>0000</v>
      </c>
      <c r="I5385" t="s">
        <v>69</v>
      </c>
      <c r="J5385">
        <v>0</v>
      </c>
      <c r="K5385">
        <v>1</v>
      </c>
      <c r="L5385">
        <v>2</v>
      </c>
      <c r="M5385">
        <v>337</v>
      </c>
      <c r="N5385">
        <v>160</v>
      </c>
      <c r="O5385">
        <v>0</v>
      </c>
      <c r="P5385">
        <v>160</v>
      </c>
      <c r="Q5385">
        <v>4</v>
      </c>
      <c r="R5385">
        <v>53</v>
      </c>
      <c r="S5385">
        <v>3</v>
      </c>
      <c r="T5385">
        <v>1</v>
      </c>
      <c r="U5385">
        <v>3</v>
      </c>
      <c r="V5385">
        <v>2</v>
      </c>
      <c r="W5385">
        <v>1</v>
      </c>
      <c r="X5385">
        <v>37</v>
      </c>
      <c r="Y5385">
        <v>34</v>
      </c>
      <c r="Z5385">
        <v>1</v>
      </c>
      <c r="AA5385">
        <v>3</v>
      </c>
      <c r="AB5385">
        <v>3</v>
      </c>
      <c r="AD5385">
        <v>1</v>
      </c>
      <c r="AE5385">
        <v>0</v>
      </c>
      <c r="AF5385">
        <v>0</v>
      </c>
      <c r="AG5385">
        <v>0</v>
      </c>
      <c r="AI5385">
        <v>0</v>
      </c>
      <c r="AJ5385">
        <v>14</v>
      </c>
      <c r="AK5385">
        <v>160</v>
      </c>
      <c r="AL5385">
        <v>160</v>
      </c>
      <c r="AM5385">
        <v>452</v>
      </c>
      <c r="AN5385">
        <v>44</v>
      </c>
      <c r="AP5385">
        <v>1</v>
      </c>
      <c r="AR5385" t="s">
        <v>5490</v>
      </c>
      <c r="AS5385" s="1">
        <v>44354.239583333336</v>
      </c>
      <c r="AT5385" s="1">
        <v>44354.240740740737</v>
      </c>
      <c r="AU5385" s="1">
        <v>44354.241319444445</v>
      </c>
      <c r="AV5385" t="s">
        <v>71</v>
      </c>
      <c r="AW5385" t="s">
        <v>72</v>
      </c>
      <c r="AX5385" t="s">
        <v>73</v>
      </c>
    </row>
    <row r="5386" spans="1:50" x14ac:dyDescent="0.3">
      <c r="A5386" t="str">
        <f>"200754C0100"</f>
        <v>200754C0100</v>
      </c>
      <c r="B5386" t="str">
        <f>"200754C01002"</f>
        <v>200754C01002</v>
      </c>
      <c r="C5386" t="str">
        <f t="shared" si="269"/>
        <v>20</v>
      </c>
      <c r="D5386" t="s">
        <v>67</v>
      </c>
      <c r="E5386" t="str">
        <f t="shared" si="268"/>
        <v>024</v>
      </c>
      <c r="F5386" t="s">
        <v>5370</v>
      </c>
      <c r="G5386" t="str">
        <f>"0754"</f>
        <v>0754</v>
      </c>
      <c r="H5386" t="str">
        <f>"0001"</f>
        <v>0001</v>
      </c>
      <c r="I5386" t="s">
        <v>75</v>
      </c>
      <c r="J5386">
        <v>0</v>
      </c>
      <c r="K5386">
        <v>1</v>
      </c>
      <c r="L5386">
        <v>2</v>
      </c>
      <c r="M5386">
        <v>365</v>
      </c>
      <c r="N5386">
        <v>131</v>
      </c>
      <c r="O5386">
        <v>2</v>
      </c>
      <c r="P5386">
        <v>131</v>
      </c>
      <c r="Q5386">
        <v>3</v>
      </c>
      <c r="R5386">
        <v>55</v>
      </c>
      <c r="S5386">
        <v>0</v>
      </c>
      <c r="T5386">
        <v>0</v>
      </c>
      <c r="U5386">
        <v>4</v>
      </c>
      <c r="V5386">
        <v>1</v>
      </c>
      <c r="W5386">
        <v>1</v>
      </c>
      <c r="X5386">
        <v>18</v>
      </c>
      <c r="Y5386">
        <v>33</v>
      </c>
      <c r="Z5386">
        <v>2</v>
      </c>
      <c r="AA5386">
        <v>3</v>
      </c>
      <c r="AB5386">
        <v>2</v>
      </c>
      <c r="AD5386">
        <v>0</v>
      </c>
      <c r="AE5386">
        <v>1</v>
      </c>
      <c r="AF5386">
        <v>0</v>
      </c>
      <c r="AG5386">
        <v>0</v>
      </c>
      <c r="AI5386">
        <v>0</v>
      </c>
      <c r="AJ5386">
        <v>0</v>
      </c>
      <c r="AK5386">
        <v>0</v>
      </c>
      <c r="AL5386">
        <v>123</v>
      </c>
      <c r="AM5386">
        <v>452</v>
      </c>
      <c r="AN5386">
        <v>44</v>
      </c>
      <c r="AP5386">
        <v>1</v>
      </c>
      <c r="AR5386" t="s">
        <v>5491</v>
      </c>
      <c r="AS5386" s="1">
        <v>44354.237500000003</v>
      </c>
      <c r="AT5386" s="1">
        <v>44354.239641203705</v>
      </c>
      <c r="AU5386" s="1">
        <v>44354.239942129629</v>
      </c>
      <c r="AV5386" t="s">
        <v>71</v>
      </c>
      <c r="AW5386" t="s">
        <v>72</v>
      </c>
      <c r="AX5386" t="s">
        <v>73</v>
      </c>
    </row>
    <row r="5387" spans="1:50" x14ac:dyDescent="0.3">
      <c r="A5387" t="str">
        <f>"200754E0100"</f>
        <v>200754E0100</v>
      </c>
      <c r="B5387" t="str">
        <f>"200754E01002"</f>
        <v>200754E01002</v>
      </c>
      <c r="C5387" t="str">
        <f t="shared" si="269"/>
        <v>20</v>
      </c>
      <c r="D5387" t="s">
        <v>67</v>
      </c>
      <c r="E5387" t="str">
        <f t="shared" si="268"/>
        <v>024</v>
      </c>
      <c r="F5387" t="s">
        <v>5370</v>
      </c>
      <c r="G5387" t="str">
        <f>"0754"</f>
        <v>0754</v>
      </c>
      <c r="H5387" t="str">
        <f>"0001"</f>
        <v>0001</v>
      </c>
      <c r="I5387" t="s">
        <v>109</v>
      </c>
      <c r="J5387">
        <v>0</v>
      </c>
      <c r="K5387">
        <v>1</v>
      </c>
      <c r="L5387">
        <v>2</v>
      </c>
      <c r="M5387">
        <v>110</v>
      </c>
      <c r="N5387">
        <v>76</v>
      </c>
      <c r="O5387">
        <v>0</v>
      </c>
      <c r="P5387">
        <v>76</v>
      </c>
      <c r="Q5387">
        <v>4</v>
      </c>
      <c r="R5387">
        <v>27</v>
      </c>
      <c r="S5387">
        <v>0</v>
      </c>
      <c r="T5387">
        <v>2</v>
      </c>
      <c r="U5387">
        <v>1</v>
      </c>
      <c r="V5387">
        <v>1</v>
      </c>
      <c r="W5387">
        <v>1</v>
      </c>
      <c r="X5387">
        <v>10</v>
      </c>
      <c r="Y5387">
        <v>20</v>
      </c>
      <c r="Z5387">
        <v>2</v>
      </c>
      <c r="AA5387">
        <v>1</v>
      </c>
      <c r="AB5387">
        <v>0</v>
      </c>
      <c r="AD5387">
        <v>1</v>
      </c>
      <c r="AE5387">
        <v>0</v>
      </c>
      <c r="AF5387">
        <v>0</v>
      </c>
      <c r="AG5387">
        <v>0</v>
      </c>
      <c r="AI5387">
        <v>0</v>
      </c>
      <c r="AJ5387">
        <v>6</v>
      </c>
      <c r="AK5387">
        <v>76</v>
      </c>
      <c r="AL5387">
        <v>76</v>
      </c>
      <c r="AM5387">
        <v>142</v>
      </c>
      <c r="AN5387">
        <v>44</v>
      </c>
      <c r="AP5387">
        <v>1</v>
      </c>
      <c r="AR5387" t="s">
        <v>5492</v>
      </c>
      <c r="AS5387" s="1">
        <v>44354.237500000003</v>
      </c>
      <c r="AT5387" s="1">
        <v>44354.239363425928</v>
      </c>
      <c r="AU5387" s="1">
        <v>44354.239791666667</v>
      </c>
      <c r="AV5387" t="s">
        <v>71</v>
      </c>
      <c r="AW5387" t="s">
        <v>72</v>
      </c>
      <c r="AX5387" t="s">
        <v>73</v>
      </c>
    </row>
    <row r="5388" spans="1:50" x14ac:dyDescent="0.3">
      <c r="A5388" t="str">
        <f>"200755B0000"</f>
        <v>200755B0000</v>
      </c>
      <c r="B5388" t="str">
        <f>"200755B00002"</f>
        <v>200755B00002</v>
      </c>
      <c r="C5388" t="str">
        <f t="shared" si="269"/>
        <v>20</v>
      </c>
      <c r="D5388" t="s">
        <v>67</v>
      </c>
      <c r="E5388" t="str">
        <f t="shared" si="268"/>
        <v>024</v>
      </c>
      <c r="F5388" t="s">
        <v>5370</v>
      </c>
      <c r="G5388" t="str">
        <f>"0755"</f>
        <v>0755</v>
      </c>
      <c r="H5388" t="str">
        <f>"0000"</f>
        <v>0000</v>
      </c>
      <c r="I5388" t="s">
        <v>69</v>
      </c>
      <c r="J5388">
        <v>0</v>
      </c>
      <c r="K5388">
        <v>1</v>
      </c>
      <c r="L5388">
        <v>2</v>
      </c>
      <c r="M5388">
        <v>246</v>
      </c>
      <c r="N5388">
        <v>198</v>
      </c>
      <c r="O5388">
        <v>0</v>
      </c>
      <c r="P5388">
        <v>198</v>
      </c>
      <c r="Q5388">
        <v>8</v>
      </c>
      <c r="R5388">
        <v>66</v>
      </c>
      <c r="S5388">
        <v>1</v>
      </c>
      <c r="T5388">
        <v>0</v>
      </c>
      <c r="U5388">
        <v>2</v>
      </c>
      <c r="V5388">
        <v>1</v>
      </c>
      <c r="W5388">
        <v>3</v>
      </c>
      <c r="X5388">
        <v>63</v>
      </c>
      <c r="Y5388">
        <v>32</v>
      </c>
      <c r="Z5388">
        <v>7</v>
      </c>
      <c r="AA5388">
        <v>5</v>
      </c>
      <c r="AB5388">
        <v>0</v>
      </c>
      <c r="AD5388">
        <v>1</v>
      </c>
      <c r="AE5388">
        <v>1</v>
      </c>
      <c r="AF5388">
        <v>0</v>
      </c>
      <c r="AG5388">
        <v>0</v>
      </c>
      <c r="AI5388">
        <v>0</v>
      </c>
      <c r="AJ5388">
        <v>8</v>
      </c>
      <c r="AK5388">
        <v>198</v>
      </c>
      <c r="AL5388">
        <v>198</v>
      </c>
      <c r="AM5388">
        <v>400</v>
      </c>
      <c r="AN5388">
        <v>44</v>
      </c>
      <c r="AP5388">
        <v>1</v>
      </c>
      <c r="AR5388" t="s">
        <v>5493</v>
      </c>
      <c r="AS5388" s="1">
        <v>44354.240277777775</v>
      </c>
      <c r="AT5388" s="1">
        <v>44354.241863425923</v>
      </c>
      <c r="AU5388" s="1">
        <v>44354.242303240739</v>
      </c>
      <c r="AV5388" t="s">
        <v>71</v>
      </c>
      <c r="AW5388" t="s">
        <v>72</v>
      </c>
      <c r="AX5388" t="s">
        <v>73</v>
      </c>
    </row>
    <row r="5389" spans="1:50" x14ac:dyDescent="0.3">
      <c r="A5389" t="str">
        <f>"200794B0000"</f>
        <v>200794B0000</v>
      </c>
      <c r="B5389" t="str">
        <f>"200794B00002"</f>
        <v>200794B00002</v>
      </c>
      <c r="C5389" t="str">
        <f t="shared" si="269"/>
        <v>20</v>
      </c>
      <c r="D5389" t="s">
        <v>67</v>
      </c>
      <c r="E5389" t="str">
        <f t="shared" si="268"/>
        <v>024</v>
      </c>
      <c r="F5389" t="s">
        <v>5370</v>
      </c>
      <c r="G5389" t="str">
        <f>"0794"</f>
        <v>0794</v>
      </c>
      <c r="H5389" t="str">
        <f>"0000"</f>
        <v>0000</v>
      </c>
      <c r="I5389" t="s">
        <v>69</v>
      </c>
      <c r="J5389">
        <v>0</v>
      </c>
      <c r="K5389">
        <v>1</v>
      </c>
      <c r="L5389">
        <v>2</v>
      </c>
      <c r="M5389">
        <v>394</v>
      </c>
      <c r="N5389">
        <v>241</v>
      </c>
      <c r="O5389">
        <v>2</v>
      </c>
      <c r="P5389">
        <v>241</v>
      </c>
      <c r="Q5389">
        <v>7</v>
      </c>
      <c r="R5389">
        <v>30</v>
      </c>
      <c r="S5389">
        <v>1</v>
      </c>
      <c r="T5389">
        <v>1</v>
      </c>
      <c r="U5389">
        <v>7</v>
      </c>
      <c r="V5389">
        <v>3</v>
      </c>
      <c r="W5389">
        <v>4</v>
      </c>
      <c r="X5389">
        <v>141</v>
      </c>
      <c r="Y5389">
        <v>7</v>
      </c>
      <c r="Z5389">
        <v>8</v>
      </c>
      <c r="AA5389">
        <v>0</v>
      </c>
      <c r="AB5389">
        <v>7</v>
      </c>
      <c r="AD5389">
        <v>0</v>
      </c>
      <c r="AE5389">
        <v>1</v>
      </c>
      <c r="AF5389">
        <v>0</v>
      </c>
      <c r="AG5389">
        <v>0</v>
      </c>
      <c r="AI5389">
        <v>0</v>
      </c>
      <c r="AJ5389">
        <v>24</v>
      </c>
      <c r="AK5389">
        <v>241</v>
      </c>
      <c r="AL5389">
        <v>241</v>
      </c>
      <c r="AM5389">
        <v>591</v>
      </c>
      <c r="AN5389">
        <v>44</v>
      </c>
      <c r="AP5389">
        <v>1</v>
      </c>
      <c r="AR5389" t="s">
        <v>5494</v>
      </c>
      <c r="AS5389" s="1">
        <v>44354.396527777775</v>
      </c>
      <c r="AT5389" s="1">
        <v>44354.398472222223</v>
      </c>
      <c r="AU5389" s="1">
        <v>44354.398969907408</v>
      </c>
      <c r="AV5389" t="s">
        <v>71</v>
      </c>
      <c r="AW5389" t="s">
        <v>72</v>
      </c>
      <c r="AX5389" t="s">
        <v>73</v>
      </c>
    </row>
    <row r="5390" spans="1:50" x14ac:dyDescent="0.3">
      <c r="A5390" t="str">
        <f>"200794C0100"</f>
        <v>200794C0100</v>
      </c>
      <c r="B5390" t="str">
        <f>"200794C01002"</f>
        <v>200794C01002</v>
      </c>
      <c r="C5390" t="str">
        <f t="shared" si="269"/>
        <v>20</v>
      </c>
      <c r="D5390" t="s">
        <v>67</v>
      </c>
      <c r="E5390" t="str">
        <f t="shared" si="268"/>
        <v>024</v>
      </c>
      <c r="F5390" t="s">
        <v>5370</v>
      </c>
      <c r="G5390" t="str">
        <f>"0794"</f>
        <v>0794</v>
      </c>
      <c r="H5390" t="str">
        <f>"0001"</f>
        <v>0001</v>
      </c>
      <c r="I5390" t="s">
        <v>75</v>
      </c>
      <c r="J5390">
        <v>0</v>
      </c>
      <c r="K5390">
        <v>1</v>
      </c>
      <c r="L5390">
        <v>2</v>
      </c>
      <c r="M5390">
        <v>438</v>
      </c>
      <c r="N5390">
        <v>199</v>
      </c>
      <c r="O5390">
        <v>2</v>
      </c>
      <c r="P5390">
        <v>197</v>
      </c>
      <c r="Q5390">
        <v>5</v>
      </c>
      <c r="R5390">
        <v>34</v>
      </c>
      <c r="S5390">
        <v>3</v>
      </c>
      <c r="T5390">
        <v>0</v>
      </c>
      <c r="U5390">
        <v>11</v>
      </c>
      <c r="V5390">
        <v>3</v>
      </c>
      <c r="W5390">
        <v>6</v>
      </c>
      <c r="X5390">
        <v>105</v>
      </c>
      <c r="Y5390">
        <v>12</v>
      </c>
      <c r="Z5390">
        <v>3</v>
      </c>
      <c r="AA5390">
        <v>3</v>
      </c>
      <c r="AB5390">
        <v>4</v>
      </c>
      <c r="AD5390">
        <v>0</v>
      </c>
      <c r="AE5390">
        <v>0</v>
      </c>
      <c r="AF5390">
        <v>0</v>
      </c>
      <c r="AG5390">
        <v>0</v>
      </c>
      <c r="AI5390">
        <v>0</v>
      </c>
      <c r="AJ5390">
        <v>8</v>
      </c>
      <c r="AK5390">
        <v>197</v>
      </c>
      <c r="AL5390">
        <v>197</v>
      </c>
      <c r="AM5390">
        <v>591</v>
      </c>
      <c r="AN5390">
        <v>44</v>
      </c>
      <c r="AP5390">
        <v>1</v>
      </c>
      <c r="AR5390" t="s">
        <v>5495</v>
      </c>
      <c r="AS5390" s="1">
        <v>44354.39166666667</v>
      </c>
      <c r="AT5390" s="1">
        <v>44354.394050925926</v>
      </c>
      <c r="AU5390" s="1">
        <v>44354.39570601852</v>
      </c>
      <c r="AV5390" t="s">
        <v>71</v>
      </c>
      <c r="AW5390" t="s">
        <v>72</v>
      </c>
      <c r="AX5390" t="s">
        <v>73</v>
      </c>
    </row>
    <row r="5391" spans="1:50" x14ac:dyDescent="0.3">
      <c r="A5391" t="str">
        <f>"200794C0200"</f>
        <v>200794C0200</v>
      </c>
      <c r="B5391" t="str">
        <f>"200794C02002"</f>
        <v>200794C02002</v>
      </c>
      <c r="C5391" t="str">
        <f t="shared" si="269"/>
        <v>20</v>
      </c>
      <c r="D5391" t="s">
        <v>67</v>
      </c>
      <c r="E5391" t="str">
        <f t="shared" si="268"/>
        <v>024</v>
      </c>
      <c r="F5391" t="s">
        <v>5370</v>
      </c>
      <c r="G5391" t="str">
        <f>"0794"</f>
        <v>0794</v>
      </c>
      <c r="H5391" t="str">
        <f>"0002"</f>
        <v>0002</v>
      </c>
      <c r="I5391" t="s">
        <v>75</v>
      </c>
      <c r="J5391">
        <v>0</v>
      </c>
      <c r="K5391">
        <v>1</v>
      </c>
      <c r="L5391">
        <v>2</v>
      </c>
      <c r="M5391">
        <v>441</v>
      </c>
      <c r="N5391">
        <v>193</v>
      </c>
      <c r="O5391">
        <v>1</v>
      </c>
      <c r="P5391">
        <v>193</v>
      </c>
      <c r="Q5391">
        <v>5</v>
      </c>
      <c r="R5391">
        <v>28</v>
      </c>
      <c r="S5391">
        <v>2</v>
      </c>
      <c r="T5391">
        <v>0</v>
      </c>
      <c r="U5391">
        <v>5</v>
      </c>
      <c r="V5391">
        <v>8</v>
      </c>
      <c r="W5391">
        <v>4</v>
      </c>
      <c r="X5391">
        <v>105</v>
      </c>
      <c r="Y5391">
        <v>5</v>
      </c>
      <c r="Z5391">
        <v>6</v>
      </c>
      <c r="AA5391">
        <v>2</v>
      </c>
      <c r="AB5391">
        <v>8</v>
      </c>
      <c r="AD5391">
        <v>1</v>
      </c>
      <c r="AE5391">
        <v>0</v>
      </c>
      <c r="AF5391">
        <v>0</v>
      </c>
      <c r="AG5391">
        <v>0</v>
      </c>
      <c r="AI5391">
        <v>0</v>
      </c>
      <c r="AJ5391">
        <v>13</v>
      </c>
      <c r="AK5391">
        <v>193</v>
      </c>
      <c r="AL5391">
        <v>192</v>
      </c>
      <c r="AM5391">
        <v>590</v>
      </c>
      <c r="AN5391">
        <v>44</v>
      </c>
      <c r="AP5391">
        <v>1</v>
      </c>
      <c r="AR5391" t="s">
        <v>5496</v>
      </c>
      <c r="AS5391" s="1">
        <v>44354.393055555556</v>
      </c>
      <c r="AT5391" s="1">
        <v>44354.394803240742</v>
      </c>
      <c r="AU5391" s="1">
        <v>44354.395381944443</v>
      </c>
      <c r="AV5391" t="s">
        <v>71</v>
      </c>
      <c r="AW5391" t="s">
        <v>72</v>
      </c>
      <c r="AX5391" t="s">
        <v>73</v>
      </c>
    </row>
    <row r="5392" spans="1:50" x14ac:dyDescent="0.3">
      <c r="A5392" t="str">
        <f>"200794E0100"</f>
        <v>200794E0100</v>
      </c>
      <c r="B5392" t="str">
        <f>"200794E01002"</f>
        <v>200794E01002</v>
      </c>
      <c r="C5392" t="str">
        <f t="shared" si="269"/>
        <v>20</v>
      </c>
      <c r="D5392" t="s">
        <v>67</v>
      </c>
      <c r="E5392" t="str">
        <f t="shared" si="268"/>
        <v>024</v>
      </c>
      <c r="F5392" t="s">
        <v>5370</v>
      </c>
      <c r="G5392" t="str">
        <f>"0794"</f>
        <v>0794</v>
      </c>
      <c r="H5392" t="str">
        <f>"0001"</f>
        <v>0001</v>
      </c>
      <c r="I5392" t="s">
        <v>109</v>
      </c>
      <c r="J5392">
        <v>0</v>
      </c>
      <c r="K5392">
        <v>1</v>
      </c>
      <c r="L5392">
        <v>2</v>
      </c>
      <c r="M5392">
        <v>254</v>
      </c>
      <c r="N5392">
        <v>208</v>
      </c>
      <c r="O5392">
        <v>3</v>
      </c>
      <c r="P5392">
        <v>208</v>
      </c>
      <c r="Q5392">
        <v>2</v>
      </c>
      <c r="R5392">
        <v>96</v>
      </c>
      <c r="S5392">
        <v>4</v>
      </c>
      <c r="T5392">
        <v>7</v>
      </c>
      <c r="U5392">
        <v>5</v>
      </c>
      <c r="V5392">
        <v>2</v>
      </c>
      <c r="W5392">
        <v>1</v>
      </c>
      <c r="X5392">
        <v>72</v>
      </c>
      <c r="Y5392">
        <v>8</v>
      </c>
      <c r="Z5392">
        <v>4</v>
      </c>
      <c r="AA5392">
        <v>1</v>
      </c>
      <c r="AB5392">
        <v>2</v>
      </c>
      <c r="AD5392">
        <v>1</v>
      </c>
      <c r="AE5392">
        <v>0</v>
      </c>
      <c r="AF5392">
        <v>0</v>
      </c>
      <c r="AG5392">
        <v>0</v>
      </c>
      <c r="AI5392">
        <v>0</v>
      </c>
      <c r="AJ5392">
        <v>3</v>
      </c>
      <c r="AK5392">
        <v>208</v>
      </c>
      <c r="AL5392">
        <v>208</v>
      </c>
      <c r="AM5392">
        <v>418</v>
      </c>
      <c r="AN5392">
        <v>44</v>
      </c>
      <c r="AP5392">
        <v>1</v>
      </c>
      <c r="AR5392" t="s">
        <v>5497</v>
      </c>
      <c r="AS5392" s="1">
        <v>44354.395138888889</v>
      </c>
      <c r="AT5392" s="1">
        <v>44354.396944444445</v>
      </c>
      <c r="AU5392" s="1">
        <v>44354.39744212963</v>
      </c>
      <c r="AV5392" t="s">
        <v>71</v>
      </c>
      <c r="AW5392" t="s">
        <v>72</v>
      </c>
      <c r="AX5392" t="s">
        <v>73</v>
      </c>
    </row>
    <row r="5393" spans="1:50" x14ac:dyDescent="0.3">
      <c r="A5393" t="str">
        <f>"200831B0000"</f>
        <v>200831B0000</v>
      </c>
      <c r="B5393" t="str">
        <f>"200831B00002"</f>
        <v>200831B00002</v>
      </c>
      <c r="C5393" t="str">
        <f t="shared" si="269"/>
        <v>20</v>
      </c>
      <c r="D5393" t="s">
        <v>67</v>
      </c>
      <c r="E5393" t="str">
        <f t="shared" si="268"/>
        <v>024</v>
      </c>
      <c r="F5393" t="s">
        <v>5370</v>
      </c>
      <c r="G5393" t="str">
        <f>"0831"</f>
        <v>0831</v>
      </c>
      <c r="H5393" t="str">
        <f>"0000"</f>
        <v>0000</v>
      </c>
      <c r="I5393" t="s">
        <v>69</v>
      </c>
      <c r="J5393">
        <v>0</v>
      </c>
      <c r="K5393">
        <v>1</v>
      </c>
      <c r="L5393">
        <v>2</v>
      </c>
      <c r="M5393">
        <v>309</v>
      </c>
      <c r="N5393">
        <v>281</v>
      </c>
      <c r="O5393" t="s">
        <v>80</v>
      </c>
      <c r="P5393">
        <v>281</v>
      </c>
      <c r="Q5393">
        <v>7</v>
      </c>
      <c r="R5393">
        <v>47</v>
      </c>
      <c r="S5393">
        <v>1</v>
      </c>
      <c r="T5393">
        <v>6</v>
      </c>
      <c r="U5393">
        <v>6</v>
      </c>
      <c r="V5393">
        <v>0</v>
      </c>
      <c r="W5393">
        <v>3</v>
      </c>
      <c r="X5393">
        <v>120</v>
      </c>
      <c r="Y5393">
        <v>58</v>
      </c>
      <c r="Z5393">
        <v>11</v>
      </c>
      <c r="AA5393">
        <v>6</v>
      </c>
      <c r="AB5393">
        <v>6</v>
      </c>
      <c r="AD5393">
        <v>1</v>
      </c>
      <c r="AE5393">
        <v>0</v>
      </c>
      <c r="AF5393">
        <v>0</v>
      </c>
      <c r="AG5393">
        <v>0</v>
      </c>
      <c r="AI5393">
        <v>0</v>
      </c>
      <c r="AJ5393">
        <v>9</v>
      </c>
      <c r="AK5393">
        <v>281</v>
      </c>
      <c r="AL5393">
        <v>281</v>
      </c>
      <c r="AM5393">
        <v>546</v>
      </c>
      <c r="AN5393">
        <v>44</v>
      </c>
      <c r="AP5393">
        <v>1</v>
      </c>
      <c r="AR5393" t="s">
        <v>5498</v>
      </c>
      <c r="AS5393" s="1">
        <v>44354.070833333331</v>
      </c>
      <c r="AT5393" s="1">
        <v>44354.076666666668</v>
      </c>
      <c r="AU5393" s="1">
        <v>44354.077152777776</v>
      </c>
      <c r="AV5393" t="s">
        <v>71</v>
      </c>
      <c r="AW5393" t="s">
        <v>72</v>
      </c>
      <c r="AX5393" t="s">
        <v>73</v>
      </c>
    </row>
    <row r="5394" spans="1:50" x14ac:dyDescent="0.3">
      <c r="A5394" t="str">
        <f>"200831C0100"</f>
        <v>200831C0100</v>
      </c>
      <c r="B5394" t="str">
        <f>"200831C01002"</f>
        <v>200831C01002</v>
      </c>
      <c r="C5394" t="str">
        <f t="shared" si="269"/>
        <v>20</v>
      </c>
      <c r="D5394" t="s">
        <v>67</v>
      </c>
      <c r="E5394" t="str">
        <f t="shared" ref="E5394:E5457" si="270">"024"</f>
        <v>024</v>
      </c>
      <c r="F5394" t="s">
        <v>5370</v>
      </c>
      <c r="G5394" t="str">
        <f>"0831"</f>
        <v>0831</v>
      </c>
      <c r="H5394" t="str">
        <f>"0001"</f>
        <v>0001</v>
      </c>
      <c r="I5394" t="s">
        <v>75</v>
      </c>
      <c r="J5394">
        <v>0</v>
      </c>
      <c r="K5394">
        <v>1</v>
      </c>
      <c r="L5394">
        <v>2</v>
      </c>
      <c r="M5394">
        <v>354</v>
      </c>
      <c r="N5394">
        <v>235</v>
      </c>
      <c r="O5394">
        <v>0</v>
      </c>
      <c r="P5394">
        <v>235</v>
      </c>
      <c r="Q5394">
        <v>3</v>
      </c>
      <c r="R5394">
        <v>48</v>
      </c>
      <c r="S5394">
        <v>6</v>
      </c>
      <c r="T5394">
        <v>3</v>
      </c>
      <c r="U5394">
        <v>3</v>
      </c>
      <c r="V5394">
        <v>2</v>
      </c>
      <c r="W5394">
        <v>5</v>
      </c>
      <c r="X5394">
        <v>73</v>
      </c>
      <c r="Y5394">
        <v>61</v>
      </c>
      <c r="Z5394">
        <v>4</v>
      </c>
      <c r="AA5394">
        <v>4</v>
      </c>
      <c r="AB5394">
        <v>11</v>
      </c>
      <c r="AD5394">
        <v>0</v>
      </c>
      <c r="AE5394">
        <v>0</v>
      </c>
      <c r="AF5394">
        <v>0</v>
      </c>
      <c r="AG5394">
        <v>0</v>
      </c>
      <c r="AI5394">
        <v>0</v>
      </c>
      <c r="AJ5394">
        <v>12</v>
      </c>
      <c r="AK5394">
        <v>235</v>
      </c>
      <c r="AL5394">
        <v>235</v>
      </c>
      <c r="AM5394">
        <v>545</v>
      </c>
      <c r="AN5394">
        <v>44</v>
      </c>
      <c r="AP5394">
        <v>1</v>
      </c>
      <c r="AR5394" t="s">
        <v>5499</v>
      </c>
      <c r="AS5394" s="1">
        <v>44354.077777777777</v>
      </c>
      <c r="AT5394" s="1">
        <v>44354.085844907408</v>
      </c>
      <c r="AU5394" s="1">
        <v>44354.086446759262</v>
      </c>
      <c r="AV5394" t="s">
        <v>71</v>
      </c>
      <c r="AW5394" t="s">
        <v>72</v>
      </c>
      <c r="AX5394" t="s">
        <v>73</v>
      </c>
    </row>
    <row r="5395" spans="1:50" x14ac:dyDescent="0.3">
      <c r="A5395" t="str">
        <f>"200831C0200"</f>
        <v>200831C0200</v>
      </c>
      <c r="B5395" t="str">
        <f>"200831C02002"</f>
        <v>200831C02002</v>
      </c>
      <c r="C5395" t="str">
        <f t="shared" si="269"/>
        <v>20</v>
      </c>
      <c r="D5395" t="s">
        <v>67</v>
      </c>
      <c r="E5395" t="str">
        <f t="shared" si="270"/>
        <v>024</v>
      </c>
      <c r="F5395" t="s">
        <v>5370</v>
      </c>
      <c r="G5395" t="str">
        <f>"0831"</f>
        <v>0831</v>
      </c>
      <c r="H5395" t="str">
        <f>"0002"</f>
        <v>0002</v>
      </c>
      <c r="I5395" t="s">
        <v>75</v>
      </c>
      <c r="J5395">
        <v>0</v>
      </c>
      <c r="K5395">
        <v>1</v>
      </c>
      <c r="L5395">
        <v>2</v>
      </c>
      <c r="M5395">
        <v>370</v>
      </c>
      <c r="N5395">
        <v>219</v>
      </c>
      <c r="O5395">
        <v>0</v>
      </c>
      <c r="P5395">
        <v>219</v>
      </c>
      <c r="Q5395">
        <v>3</v>
      </c>
      <c r="R5395">
        <v>44</v>
      </c>
      <c r="S5395">
        <v>0</v>
      </c>
      <c r="T5395">
        <v>8</v>
      </c>
      <c r="U5395">
        <v>2</v>
      </c>
      <c r="V5395">
        <v>3</v>
      </c>
      <c r="W5395">
        <v>4</v>
      </c>
      <c r="X5395">
        <v>88</v>
      </c>
      <c r="Y5395">
        <v>46</v>
      </c>
      <c r="Z5395">
        <v>4</v>
      </c>
      <c r="AA5395">
        <v>4</v>
      </c>
      <c r="AB5395">
        <v>5</v>
      </c>
      <c r="AD5395" t="s">
        <v>77</v>
      </c>
      <c r="AE5395" t="s">
        <v>77</v>
      </c>
      <c r="AF5395">
        <v>1</v>
      </c>
      <c r="AG5395" t="s">
        <v>77</v>
      </c>
      <c r="AI5395" t="s">
        <v>77</v>
      </c>
      <c r="AJ5395">
        <v>7</v>
      </c>
      <c r="AK5395">
        <v>219</v>
      </c>
      <c r="AL5395">
        <v>219</v>
      </c>
      <c r="AM5395">
        <v>545</v>
      </c>
      <c r="AN5395">
        <v>44</v>
      </c>
      <c r="AO5395" t="s">
        <v>78</v>
      </c>
      <c r="AP5395">
        <v>1</v>
      </c>
      <c r="AR5395" t="s">
        <v>5500</v>
      </c>
      <c r="AS5395" s="1">
        <v>44354.067361111112</v>
      </c>
      <c r="AT5395" s="1">
        <v>44354.072870370372</v>
      </c>
      <c r="AU5395" s="1">
        <v>44354.073680555557</v>
      </c>
      <c r="AV5395" t="s">
        <v>71</v>
      </c>
      <c r="AW5395" t="s">
        <v>72</v>
      </c>
      <c r="AX5395" t="s">
        <v>73</v>
      </c>
    </row>
    <row r="5396" spans="1:50" x14ac:dyDescent="0.3">
      <c r="A5396" t="str">
        <f>"200832B0000"</f>
        <v>200832B0000</v>
      </c>
      <c r="B5396" t="str">
        <f>"200832B00002"</f>
        <v>200832B00002</v>
      </c>
      <c r="C5396" t="str">
        <f t="shared" si="269"/>
        <v>20</v>
      </c>
      <c r="D5396" t="s">
        <v>67</v>
      </c>
      <c r="E5396" t="str">
        <f t="shared" si="270"/>
        <v>024</v>
      </c>
      <c r="F5396" t="s">
        <v>5370</v>
      </c>
      <c r="G5396" t="str">
        <f>"0832"</f>
        <v>0832</v>
      </c>
      <c r="H5396" t="str">
        <f>"0000"</f>
        <v>0000</v>
      </c>
      <c r="I5396" t="s">
        <v>69</v>
      </c>
      <c r="J5396">
        <v>0</v>
      </c>
      <c r="K5396">
        <v>1</v>
      </c>
      <c r="L5396">
        <v>2</v>
      </c>
      <c r="M5396">
        <v>495</v>
      </c>
      <c r="N5396">
        <v>295</v>
      </c>
      <c r="O5396">
        <v>0</v>
      </c>
      <c r="P5396">
        <v>304</v>
      </c>
      <c r="Q5396">
        <v>7</v>
      </c>
      <c r="R5396">
        <v>65</v>
      </c>
      <c r="S5396">
        <v>1</v>
      </c>
      <c r="T5396">
        <v>4</v>
      </c>
      <c r="U5396">
        <v>3</v>
      </c>
      <c r="V5396">
        <v>3</v>
      </c>
      <c r="W5396">
        <v>6</v>
      </c>
      <c r="X5396">
        <v>106</v>
      </c>
      <c r="Y5396">
        <v>73</v>
      </c>
      <c r="Z5396">
        <v>7</v>
      </c>
      <c r="AA5396">
        <v>2</v>
      </c>
      <c r="AB5396">
        <v>10</v>
      </c>
      <c r="AD5396" t="s">
        <v>77</v>
      </c>
      <c r="AE5396">
        <v>1</v>
      </c>
      <c r="AF5396" t="s">
        <v>77</v>
      </c>
      <c r="AG5396" t="s">
        <v>77</v>
      </c>
      <c r="AI5396" t="s">
        <v>77</v>
      </c>
      <c r="AJ5396">
        <v>16</v>
      </c>
      <c r="AK5396">
        <v>304</v>
      </c>
      <c r="AL5396">
        <v>304</v>
      </c>
      <c r="AM5396">
        <v>746</v>
      </c>
      <c r="AN5396">
        <v>44</v>
      </c>
      <c r="AO5396" t="s">
        <v>78</v>
      </c>
      <c r="AP5396">
        <v>1</v>
      </c>
      <c r="AR5396" t="s">
        <v>5501</v>
      </c>
      <c r="AS5396" s="1">
        <v>44354.02847222222</v>
      </c>
      <c r="AT5396" s="1">
        <v>44354.035173611112</v>
      </c>
      <c r="AU5396" s="1">
        <v>44354.036076388889</v>
      </c>
      <c r="AV5396" t="s">
        <v>71</v>
      </c>
      <c r="AW5396" t="s">
        <v>72</v>
      </c>
      <c r="AX5396" t="s">
        <v>73</v>
      </c>
    </row>
    <row r="5397" spans="1:50" x14ac:dyDescent="0.3">
      <c r="A5397" t="str">
        <f>"200832C0100"</f>
        <v>200832C0100</v>
      </c>
      <c r="B5397" t="str">
        <f>"200832C01002"</f>
        <v>200832C01002</v>
      </c>
      <c r="C5397" t="str">
        <f t="shared" si="269"/>
        <v>20</v>
      </c>
      <c r="D5397" t="s">
        <v>67</v>
      </c>
      <c r="E5397" t="str">
        <f t="shared" si="270"/>
        <v>024</v>
      </c>
      <c r="F5397" t="s">
        <v>5370</v>
      </c>
      <c r="G5397" t="str">
        <f>"0832"</f>
        <v>0832</v>
      </c>
      <c r="H5397" t="str">
        <f>"0001"</f>
        <v>0001</v>
      </c>
      <c r="I5397" t="s">
        <v>75</v>
      </c>
      <c r="J5397">
        <v>0</v>
      </c>
      <c r="K5397">
        <v>1</v>
      </c>
      <c r="L5397">
        <v>2</v>
      </c>
      <c r="M5397">
        <v>521</v>
      </c>
      <c r="N5397">
        <v>268</v>
      </c>
      <c r="O5397">
        <v>0</v>
      </c>
      <c r="P5397">
        <v>272</v>
      </c>
      <c r="Q5397">
        <v>8</v>
      </c>
      <c r="R5397">
        <v>57</v>
      </c>
      <c r="S5397">
        <v>3</v>
      </c>
      <c r="T5397">
        <v>9</v>
      </c>
      <c r="U5397">
        <v>4</v>
      </c>
      <c r="V5397">
        <v>4</v>
      </c>
      <c r="W5397">
        <v>5</v>
      </c>
      <c r="X5397">
        <v>95</v>
      </c>
      <c r="Y5397">
        <v>48</v>
      </c>
      <c r="Z5397">
        <v>7</v>
      </c>
      <c r="AA5397">
        <v>11</v>
      </c>
      <c r="AB5397">
        <v>5</v>
      </c>
      <c r="AD5397" t="s">
        <v>77</v>
      </c>
      <c r="AE5397" t="s">
        <v>77</v>
      </c>
      <c r="AF5397" t="s">
        <v>77</v>
      </c>
      <c r="AG5397" t="s">
        <v>77</v>
      </c>
      <c r="AI5397" t="s">
        <v>77</v>
      </c>
      <c r="AJ5397">
        <v>16</v>
      </c>
      <c r="AK5397">
        <v>272</v>
      </c>
      <c r="AL5397">
        <v>272</v>
      </c>
      <c r="AM5397">
        <v>745</v>
      </c>
      <c r="AN5397">
        <v>44</v>
      </c>
      <c r="AO5397" t="s">
        <v>78</v>
      </c>
      <c r="AP5397">
        <v>1</v>
      </c>
      <c r="AR5397" t="s">
        <v>5502</v>
      </c>
      <c r="AS5397" s="1">
        <v>44354.034722222219</v>
      </c>
      <c r="AT5397" s="1">
        <v>44354.041666666664</v>
      </c>
      <c r="AU5397" s="1">
        <v>44354.042071759257</v>
      </c>
      <c r="AV5397" t="s">
        <v>71</v>
      </c>
      <c r="AW5397" t="s">
        <v>72</v>
      </c>
      <c r="AX5397" t="s">
        <v>73</v>
      </c>
    </row>
    <row r="5398" spans="1:50" x14ac:dyDescent="0.3">
      <c r="A5398" t="str">
        <f>"200833B0000"</f>
        <v>200833B0000</v>
      </c>
      <c r="B5398" t="str">
        <f>"200833B00002"</f>
        <v>200833B00002</v>
      </c>
      <c r="C5398" t="str">
        <f t="shared" si="269"/>
        <v>20</v>
      </c>
      <c r="D5398" t="s">
        <v>67</v>
      </c>
      <c r="E5398" t="str">
        <f t="shared" si="270"/>
        <v>024</v>
      </c>
      <c r="F5398" t="s">
        <v>5370</v>
      </c>
      <c r="G5398" t="str">
        <f>"0833"</f>
        <v>0833</v>
      </c>
      <c r="H5398" t="str">
        <f>"0000"</f>
        <v>0000</v>
      </c>
      <c r="I5398" t="s">
        <v>69</v>
      </c>
      <c r="J5398">
        <v>0</v>
      </c>
      <c r="K5398">
        <v>1</v>
      </c>
      <c r="L5398">
        <v>2</v>
      </c>
      <c r="M5398">
        <v>96</v>
      </c>
      <c r="N5398">
        <v>9</v>
      </c>
      <c r="O5398">
        <v>0</v>
      </c>
      <c r="P5398">
        <v>99</v>
      </c>
      <c r="Q5398">
        <v>2</v>
      </c>
      <c r="R5398">
        <v>9</v>
      </c>
      <c r="S5398">
        <v>1</v>
      </c>
      <c r="T5398">
        <v>2</v>
      </c>
      <c r="U5398">
        <v>6</v>
      </c>
      <c r="V5398">
        <v>2</v>
      </c>
      <c r="W5398">
        <v>0</v>
      </c>
      <c r="X5398">
        <v>12</v>
      </c>
      <c r="Y5398">
        <v>43</v>
      </c>
      <c r="Z5398">
        <v>5</v>
      </c>
      <c r="AA5398">
        <v>1</v>
      </c>
      <c r="AB5398">
        <v>3</v>
      </c>
      <c r="AD5398" t="s">
        <v>77</v>
      </c>
      <c r="AE5398" t="s">
        <v>77</v>
      </c>
      <c r="AF5398" t="s">
        <v>77</v>
      </c>
      <c r="AG5398" t="s">
        <v>77</v>
      </c>
      <c r="AI5398" t="s">
        <v>77</v>
      </c>
      <c r="AJ5398">
        <v>3</v>
      </c>
      <c r="AK5398">
        <v>99</v>
      </c>
      <c r="AL5398">
        <v>89</v>
      </c>
      <c r="AM5398">
        <v>151</v>
      </c>
      <c r="AN5398">
        <v>44</v>
      </c>
      <c r="AO5398" t="s">
        <v>78</v>
      </c>
      <c r="AP5398">
        <v>1</v>
      </c>
      <c r="AR5398" t="s">
        <v>5503</v>
      </c>
      <c r="AS5398" s="1">
        <v>44354.031944444447</v>
      </c>
      <c r="AT5398" s="1">
        <v>44354.039814814816</v>
      </c>
      <c r="AU5398" s="1">
        <v>44354.040243055555</v>
      </c>
      <c r="AV5398" t="s">
        <v>71</v>
      </c>
      <c r="AW5398" t="s">
        <v>72</v>
      </c>
      <c r="AX5398" t="s">
        <v>73</v>
      </c>
    </row>
    <row r="5399" spans="1:50" x14ac:dyDescent="0.3">
      <c r="A5399" t="str">
        <f>"200834B0000"</f>
        <v>200834B0000</v>
      </c>
      <c r="B5399" t="str">
        <f>"200834B00002"</f>
        <v>200834B00002</v>
      </c>
      <c r="C5399" t="str">
        <f t="shared" si="269"/>
        <v>20</v>
      </c>
      <c r="D5399" t="s">
        <v>67</v>
      </c>
      <c r="E5399" t="str">
        <f t="shared" si="270"/>
        <v>024</v>
      </c>
      <c r="F5399" t="s">
        <v>5370</v>
      </c>
      <c r="G5399" t="str">
        <f>"0834"</f>
        <v>0834</v>
      </c>
      <c r="H5399" t="str">
        <f>"0000"</f>
        <v>0000</v>
      </c>
      <c r="I5399" t="s">
        <v>69</v>
      </c>
      <c r="J5399">
        <v>0</v>
      </c>
      <c r="K5399">
        <v>1</v>
      </c>
      <c r="L5399">
        <v>2</v>
      </c>
      <c r="M5399">
        <v>284</v>
      </c>
      <c r="N5399">
        <v>197</v>
      </c>
      <c r="O5399">
        <v>0</v>
      </c>
      <c r="P5399">
        <v>197</v>
      </c>
      <c r="Q5399">
        <v>6</v>
      </c>
      <c r="R5399">
        <v>73</v>
      </c>
      <c r="S5399">
        <v>3</v>
      </c>
      <c r="T5399">
        <v>4</v>
      </c>
      <c r="U5399">
        <v>5</v>
      </c>
      <c r="V5399">
        <v>4</v>
      </c>
      <c r="W5399">
        <v>6</v>
      </c>
      <c r="X5399">
        <v>24</v>
      </c>
      <c r="Y5399">
        <v>53</v>
      </c>
      <c r="Z5399">
        <v>10</v>
      </c>
      <c r="AA5399">
        <v>0</v>
      </c>
      <c r="AB5399">
        <v>2</v>
      </c>
      <c r="AD5399">
        <v>0</v>
      </c>
      <c r="AE5399">
        <v>2</v>
      </c>
      <c r="AF5399">
        <v>0</v>
      </c>
      <c r="AG5399">
        <v>0</v>
      </c>
      <c r="AI5399">
        <v>0</v>
      </c>
      <c r="AJ5399">
        <v>5</v>
      </c>
      <c r="AK5399">
        <v>197</v>
      </c>
      <c r="AL5399">
        <v>197</v>
      </c>
      <c r="AM5399">
        <v>438</v>
      </c>
      <c r="AN5399">
        <v>44</v>
      </c>
      <c r="AP5399">
        <v>1</v>
      </c>
      <c r="AR5399" t="s">
        <v>5504</v>
      </c>
      <c r="AS5399" s="1">
        <v>44354.074305555558</v>
      </c>
      <c r="AT5399" s="1">
        <v>44354.081956018519</v>
      </c>
      <c r="AU5399" s="1">
        <v>44354.08252314815</v>
      </c>
      <c r="AV5399" t="s">
        <v>71</v>
      </c>
      <c r="AW5399" t="s">
        <v>72</v>
      </c>
      <c r="AX5399" t="s">
        <v>73</v>
      </c>
    </row>
    <row r="5400" spans="1:50" x14ac:dyDescent="0.3">
      <c r="A5400" t="str">
        <f>"200897B0000"</f>
        <v>200897B0000</v>
      </c>
      <c r="B5400" t="str">
        <f>"200897B00002"</f>
        <v>200897B00002</v>
      </c>
      <c r="C5400" t="str">
        <f t="shared" si="269"/>
        <v>20</v>
      </c>
      <c r="D5400" t="s">
        <v>67</v>
      </c>
      <c r="E5400" t="str">
        <f t="shared" si="270"/>
        <v>024</v>
      </c>
      <c r="F5400" t="s">
        <v>5370</v>
      </c>
      <c r="G5400" t="str">
        <f>"0897"</f>
        <v>0897</v>
      </c>
      <c r="H5400" t="str">
        <f>"0000"</f>
        <v>0000</v>
      </c>
      <c r="I5400" t="s">
        <v>69</v>
      </c>
      <c r="J5400">
        <v>0</v>
      </c>
      <c r="K5400">
        <v>1</v>
      </c>
      <c r="L5400">
        <v>2</v>
      </c>
      <c r="M5400">
        <v>510</v>
      </c>
      <c r="N5400">
        <v>215</v>
      </c>
      <c r="O5400">
        <v>0</v>
      </c>
      <c r="P5400">
        <v>215</v>
      </c>
      <c r="Q5400">
        <v>4</v>
      </c>
      <c r="R5400">
        <v>55</v>
      </c>
      <c r="S5400">
        <v>6</v>
      </c>
      <c r="T5400">
        <v>3</v>
      </c>
      <c r="U5400">
        <v>8</v>
      </c>
      <c r="V5400">
        <v>2</v>
      </c>
      <c r="W5400">
        <v>2</v>
      </c>
      <c r="X5400">
        <v>104</v>
      </c>
      <c r="Y5400">
        <v>6</v>
      </c>
      <c r="Z5400">
        <v>7</v>
      </c>
      <c r="AA5400">
        <v>3</v>
      </c>
      <c r="AB5400">
        <v>2</v>
      </c>
      <c r="AD5400">
        <v>0</v>
      </c>
      <c r="AE5400">
        <v>0</v>
      </c>
      <c r="AF5400">
        <v>0</v>
      </c>
      <c r="AG5400">
        <v>0</v>
      </c>
      <c r="AI5400">
        <v>0</v>
      </c>
      <c r="AJ5400">
        <v>13</v>
      </c>
      <c r="AK5400">
        <v>215</v>
      </c>
      <c r="AL5400">
        <v>215</v>
      </c>
      <c r="AM5400">
        <v>681</v>
      </c>
      <c r="AN5400">
        <v>44</v>
      </c>
      <c r="AP5400">
        <v>1</v>
      </c>
      <c r="AR5400" t="s">
        <v>5505</v>
      </c>
      <c r="AS5400" s="1">
        <v>44354.411805555559</v>
      </c>
      <c r="AT5400" s="1">
        <v>44354.413587962961</v>
      </c>
      <c r="AU5400" s="1">
        <v>44354.415196759262</v>
      </c>
      <c r="AV5400" t="s">
        <v>71</v>
      </c>
      <c r="AW5400" t="s">
        <v>72</v>
      </c>
      <c r="AX5400" t="s">
        <v>73</v>
      </c>
    </row>
    <row r="5401" spans="1:50" x14ac:dyDescent="0.3">
      <c r="A5401" t="str">
        <f>"200897E0100"</f>
        <v>200897E0100</v>
      </c>
      <c r="B5401" t="str">
        <f>"200897E01002"</f>
        <v>200897E01002</v>
      </c>
      <c r="C5401" t="str">
        <f t="shared" si="269"/>
        <v>20</v>
      </c>
      <c r="D5401" t="s">
        <v>67</v>
      </c>
      <c r="E5401" t="str">
        <f t="shared" si="270"/>
        <v>024</v>
      </c>
      <c r="F5401" t="s">
        <v>5370</v>
      </c>
      <c r="G5401" t="str">
        <f>"0897"</f>
        <v>0897</v>
      </c>
      <c r="H5401" t="str">
        <f>"0001"</f>
        <v>0001</v>
      </c>
      <c r="I5401" t="s">
        <v>109</v>
      </c>
      <c r="J5401">
        <v>0</v>
      </c>
      <c r="K5401">
        <v>1</v>
      </c>
      <c r="L5401">
        <v>2</v>
      </c>
      <c r="M5401">
        <v>158</v>
      </c>
      <c r="N5401">
        <v>144</v>
      </c>
      <c r="O5401">
        <v>0</v>
      </c>
      <c r="P5401" t="s">
        <v>80</v>
      </c>
      <c r="Q5401">
        <v>1</v>
      </c>
      <c r="R5401">
        <v>87</v>
      </c>
      <c r="S5401">
        <v>1</v>
      </c>
      <c r="T5401">
        <v>2</v>
      </c>
      <c r="U5401">
        <v>3</v>
      </c>
      <c r="V5401">
        <v>1</v>
      </c>
      <c r="W5401">
        <v>1</v>
      </c>
      <c r="X5401">
        <v>33</v>
      </c>
      <c r="Y5401">
        <v>4</v>
      </c>
      <c r="Z5401">
        <v>6</v>
      </c>
      <c r="AA5401">
        <v>1</v>
      </c>
      <c r="AB5401">
        <v>0</v>
      </c>
      <c r="AD5401">
        <v>2</v>
      </c>
      <c r="AE5401">
        <v>0</v>
      </c>
      <c r="AF5401">
        <v>0</v>
      </c>
      <c r="AG5401">
        <v>0</v>
      </c>
      <c r="AI5401">
        <v>0</v>
      </c>
      <c r="AJ5401">
        <v>2</v>
      </c>
      <c r="AK5401">
        <v>144</v>
      </c>
      <c r="AL5401">
        <v>144</v>
      </c>
      <c r="AM5401">
        <v>258</v>
      </c>
      <c r="AN5401">
        <v>44</v>
      </c>
      <c r="AP5401">
        <v>1</v>
      </c>
      <c r="AR5401" t="s">
        <v>5506</v>
      </c>
      <c r="AS5401" s="1">
        <v>44354.412499999999</v>
      </c>
      <c r="AT5401" s="1">
        <v>44354.413842592592</v>
      </c>
      <c r="AU5401" s="1">
        <v>44354.414479166669</v>
      </c>
      <c r="AV5401" t="s">
        <v>71</v>
      </c>
      <c r="AW5401" t="s">
        <v>72</v>
      </c>
      <c r="AX5401" t="s">
        <v>73</v>
      </c>
    </row>
    <row r="5402" spans="1:50" x14ac:dyDescent="0.3">
      <c r="A5402" t="str">
        <f>"200898B0000"</f>
        <v>200898B0000</v>
      </c>
      <c r="B5402" t="str">
        <f>"200898B00002"</f>
        <v>200898B00002</v>
      </c>
      <c r="C5402" t="str">
        <f t="shared" si="269"/>
        <v>20</v>
      </c>
      <c r="D5402" t="s">
        <v>67</v>
      </c>
      <c r="E5402" t="str">
        <f t="shared" si="270"/>
        <v>024</v>
      </c>
      <c r="F5402" t="s">
        <v>5370</v>
      </c>
      <c r="G5402" t="str">
        <f>"0898"</f>
        <v>0898</v>
      </c>
      <c r="H5402" t="str">
        <f>"0000"</f>
        <v>0000</v>
      </c>
      <c r="I5402" t="s">
        <v>69</v>
      </c>
      <c r="J5402">
        <v>0</v>
      </c>
      <c r="K5402">
        <v>1</v>
      </c>
      <c r="L5402">
        <v>2</v>
      </c>
      <c r="M5402">
        <v>276</v>
      </c>
      <c r="N5402">
        <v>256</v>
      </c>
      <c r="O5402">
        <v>2</v>
      </c>
      <c r="P5402">
        <v>256</v>
      </c>
      <c r="Q5402">
        <v>3</v>
      </c>
      <c r="R5402">
        <v>8</v>
      </c>
      <c r="S5402">
        <v>8</v>
      </c>
      <c r="T5402">
        <v>4</v>
      </c>
      <c r="U5402">
        <v>6</v>
      </c>
      <c r="V5402">
        <v>4</v>
      </c>
      <c r="W5402">
        <v>4</v>
      </c>
      <c r="X5402">
        <v>173</v>
      </c>
      <c r="Y5402">
        <v>5</v>
      </c>
      <c r="Z5402">
        <v>16</v>
      </c>
      <c r="AA5402">
        <v>5</v>
      </c>
      <c r="AB5402">
        <v>13</v>
      </c>
      <c r="AD5402">
        <v>0</v>
      </c>
      <c r="AE5402">
        <v>0</v>
      </c>
      <c r="AF5402">
        <v>0</v>
      </c>
      <c r="AG5402">
        <v>0</v>
      </c>
      <c r="AI5402">
        <v>0</v>
      </c>
      <c r="AJ5402">
        <v>7</v>
      </c>
      <c r="AK5402">
        <v>256</v>
      </c>
      <c r="AL5402">
        <v>256</v>
      </c>
      <c r="AM5402">
        <v>488</v>
      </c>
      <c r="AN5402">
        <v>44</v>
      </c>
      <c r="AP5402">
        <v>1</v>
      </c>
      <c r="AR5402" t="s">
        <v>5507</v>
      </c>
      <c r="AS5402" s="1">
        <v>44354.406944444447</v>
      </c>
      <c r="AT5402" s="1">
        <v>44354.408437500002</v>
      </c>
      <c r="AU5402" s="1">
        <v>44354.408796296295</v>
      </c>
      <c r="AV5402" t="s">
        <v>71</v>
      </c>
      <c r="AW5402" t="s">
        <v>72</v>
      </c>
      <c r="AX5402" t="s">
        <v>73</v>
      </c>
    </row>
    <row r="5403" spans="1:50" x14ac:dyDescent="0.3">
      <c r="A5403" t="str">
        <f>"200911B0000"</f>
        <v>200911B0000</v>
      </c>
      <c r="B5403" t="str">
        <f>"200911B00002"</f>
        <v>200911B00002</v>
      </c>
      <c r="C5403" t="str">
        <f t="shared" si="269"/>
        <v>20</v>
      </c>
      <c r="D5403" t="s">
        <v>67</v>
      </c>
      <c r="E5403" t="str">
        <f t="shared" si="270"/>
        <v>024</v>
      </c>
      <c r="F5403" t="s">
        <v>5370</v>
      </c>
      <c r="G5403" t="str">
        <f>"0911"</f>
        <v>0911</v>
      </c>
      <c r="H5403" t="str">
        <f>"0000"</f>
        <v>0000</v>
      </c>
      <c r="I5403" t="s">
        <v>69</v>
      </c>
      <c r="J5403">
        <v>0</v>
      </c>
      <c r="K5403">
        <v>1</v>
      </c>
      <c r="L5403">
        <v>2</v>
      </c>
      <c r="M5403">
        <v>265</v>
      </c>
      <c r="N5403">
        <v>189</v>
      </c>
      <c r="O5403">
        <v>2</v>
      </c>
      <c r="P5403">
        <v>189</v>
      </c>
      <c r="Q5403">
        <v>17</v>
      </c>
      <c r="R5403">
        <v>77</v>
      </c>
      <c r="S5403">
        <v>2</v>
      </c>
      <c r="T5403">
        <v>3</v>
      </c>
      <c r="U5403">
        <v>3</v>
      </c>
      <c r="V5403">
        <v>4</v>
      </c>
      <c r="W5403">
        <v>3</v>
      </c>
      <c r="X5403">
        <v>40</v>
      </c>
      <c r="Y5403">
        <v>22</v>
      </c>
      <c r="Z5403">
        <v>1</v>
      </c>
      <c r="AA5403">
        <v>1</v>
      </c>
      <c r="AB5403">
        <v>6</v>
      </c>
      <c r="AD5403">
        <v>0</v>
      </c>
      <c r="AE5403">
        <v>1</v>
      </c>
      <c r="AF5403">
        <v>0</v>
      </c>
      <c r="AG5403">
        <v>0</v>
      </c>
      <c r="AI5403">
        <v>0</v>
      </c>
      <c r="AJ5403">
        <v>9</v>
      </c>
      <c r="AK5403">
        <v>189</v>
      </c>
      <c r="AL5403">
        <v>189</v>
      </c>
      <c r="AM5403">
        <v>410</v>
      </c>
      <c r="AN5403">
        <v>44</v>
      </c>
      <c r="AP5403">
        <v>1</v>
      </c>
      <c r="AR5403" t="s">
        <v>5508</v>
      </c>
      <c r="AS5403" s="1">
        <v>44354.011805555558</v>
      </c>
      <c r="AT5403" s="1">
        <v>44354.01898148148</v>
      </c>
      <c r="AU5403" s="1">
        <v>44354.019733796296</v>
      </c>
      <c r="AV5403" t="s">
        <v>71</v>
      </c>
      <c r="AW5403" t="s">
        <v>72</v>
      </c>
      <c r="AX5403" t="s">
        <v>73</v>
      </c>
    </row>
    <row r="5404" spans="1:50" x14ac:dyDescent="0.3">
      <c r="A5404" t="str">
        <f>"200911C0100"</f>
        <v>200911C0100</v>
      </c>
      <c r="B5404" t="str">
        <f>"200911C01002"</f>
        <v>200911C01002</v>
      </c>
      <c r="C5404" t="str">
        <f t="shared" si="269"/>
        <v>20</v>
      </c>
      <c r="D5404" t="s">
        <v>67</v>
      </c>
      <c r="E5404" t="str">
        <f t="shared" si="270"/>
        <v>024</v>
      </c>
      <c r="F5404" t="s">
        <v>5370</v>
      </c>
      <c r="G5404" t="str">
        <f>"0911"</f>
        <v>0911</v>
      </c>
      <c r="H5404" t="str">
        <f>"0001"</f>
        <v>0001</v>
      </c>
      <c r="I5404" t="s">
        <v>75</v>
      </c>
      <c r="J5404">
        <v>0</v>
      </c>
      <c r="K5404">
        <v>1</v>
      </c>
      <c r="L5404">
        <v>2</v>
      </c>
      <c r="M5404">
        <v>271</v>
      </c>
      <c r="N5404">
        <v>182</v>
      </c>
      <c r="O5404">
        <v>0</v>
      </c>
      <c r="P5404">
        <v>182</v>
      </c>
      <c r="Q5404">
        <v>9</v>
      </c>
      <c r="R5404">
        <v>99</v>
      </c>
      <c r="S5404">
        <v>1</v>
      </c>
      <c r="T5404">
        <v>2</v>
      </c>
      <c r="U5404">
        <v>1</v>
      </c>
      <c r="V5404">
        <v>4</v>
      </c>
      <c r="W5404">
        <v>2</v>
      </c>
      <c r="X5404">
        <v>32</v>
      </c>
      <c r="Y5404">
        <v>22</v>
      </c>
      <c r="Z5404">
        <v>0</v>
      </c>
      <c r="AA5404">
        <v>1</v>
      </c>
      <c r="AB5404">
        <v>6</v>
      </c>
      <c r="AD5404">
        <v>0</v>
      </c>
      <c r="AE5404">
        <v>0</v>
      </c>
      <c r="AF5404">
        <v>0</v>
      </c>
      <c r="AG5404">
        <v>1</v>
      </c>
      <c r="AI5404">
        <v>0</v>
      </c>
      <c r="AJ5404">
        <v>2</v>
      </c>
      <c r="AK5404">
        <v>182</v>
      </c>
      <c r="AL5404">
        <v>182</v>
      </c>
      <c r="AM5404">
        <v>409</v>
      </c>
      <c r="AN5404">
        <v>44</v>
      </c>
      <c r="AP5404">
        <v>1</v>
      </c>
      <c r="AR5404" t="s">
        <v>5509</v>
      </c>
      <c r="AS5404" s="1">
        <v>44354.015277777777</v>
      </c>
      <c r="AT5404" s="1">
        <v>44354.022430555553</v>
      </c>
      <c r="AU5404" s="1">
        <v>44354.022939814815</v>
      </c>
      <c r="AV5404" t="s">
        <v>71</v>
      </c>
      <c r="AW5404" t="s">
        <v>72</v>
      </c>
      <c r="AX5404" t="s">
        <v>73</v>
      </c>
    </row>
    <row r="5405" spans="1:50" x14ac:dyDescent="0.3">
      <c r="A5405" t="str">
        <f>"200912B0000"</f>
        <v>200912B0000</v>
      </c>
      <c r="B5405" t="str">
        <f>"200912B00002"</f>
        <v>200912B00002</v>
      </c>
      <c r="C5405" t="str">
        <f t="shared" si="269"/>
        <v>20</v>
      </c>
      <c r="D5405" t="s">
        <v>67</v>
      </c>
      <c r="E5405" t="str">
        <f t="shared" si="270"/>
        <v>024</v>
      </c>
      <c r="F5405" t="s">
        <v>5370</v>
      </c>
      <c r="G5405" t="str">
        <f>"0912"</f>
        <v>0912</v>
      </c>
      <c r="H5405" t="str">
        <f>"0000"</f>
        <v>0000</v>
      </c>
      <c r="I5405" t="s">
        <v>69</v>
      </c>
      <c r="J5405">
        <v>0</v>
      </c>
      <c r="K5405">
        <v>1</v>
      </c>
      <c r="L5405">
        <v>2</v>
      </c>
      <c r="M5405">
        <v>144</v>
      </c>
      <c r="N5405">
        <v>99</v>
      </c>
      <c r="O5405">
        <v>5</v>
      </c>
      <c r="P5405">
        <v>99</v>
      </c>
      <c r="Q5405">
        <v>2</v>
      </c>
      <c r="R5405">
        <v>59</v>
      </c>
      <c r="S5405">
        <v>0</v>
      </c>
      <c r="T5405">
        <v>2</v>
      </c>
      <c r="U5405">
        <v>0</v>
      </c>
      <c r="V5405">
        <v>0</v>
      </c>
      <c r="W5405">
        <v>2</v>
      </c>
      <c r="X5405">
        <v>8</v>
      </c>
      <c r="Y5405">
        <v>23</v>
      </c>
      <c r="Z5405">
        <v>0</v>
      </c>
      <c r="AA5405">
        <v>0</v>
      </c>
      <c r="AB5405">
        <v>1</v>
      </c>
      <c r="AD5405" t="s">
        <v>77</v>
      </c>
      <c r="AE5405" t="s">
        <v>77</v>
      </c>
      <c r="AF5405" t="s">
        <v>77</v>
      </c>
      <c r="AG5405" t="s">
        <v>77</v>
      </c>
      <c r="AI5405" t="s">
        <v>77</v>
      </c>
      <c r="AJ5405">
        <v>2</v>
      </c>
      <c r="AK5405" t="s">
        <v>77</v>
      </c>
      <c r="AL5405">
        <v>99</v>
      </c>
      <c r="AM5405">
        <v>199</v>
      </c>
      <c r="AN5405">
        <v>44</v>
      </c>
      <c r="AO5405" t="s">
        <v>78</v>
      </c>
      <c r="AP5405">
        <v>1</v>
      </c>
      <c r="AR5405" t="s">
        <v>5510</v>
      </c>
      <c r="AS5405" s="1">
        <v>44354.120138888888</v>
      </c>
      <c r="AT5405" s="1">
        <v>44354.124039351853</v>
      </c>
      <c r="AU5405" s="1">
        <v>44354.125092592592</v>
      </c>
      <c r="AV5405" t="s">
        <v>71</v>
      </c>
      <c r="AW5405" t="s">
        <v>72</v>
      </c>
      <c r="AX5405" t="s">
        <v>73</v>
      </c>
    </row>
    <row r="5406" spans="1:50" x14ac:dyDescent="0.3">
      <c r="A5406" t="str">
        <f>"200912E0100"</f>
        <v>200912E0100</v>
      </c>
      <c r="B5406" t="str">
        <f>"200912E01002"</f>
        <v>200912E01002</v>
      </c>
      <c r="C5406" t="str">
        <f t="shared" si="269"/>
        <v>20</v>
      </c>
      <c r="D5406" t="s">
        <v>67</v>
      </c>
      <c r="E5406" t="str">
        <f t="shared" si="270"/>
        <v>024</v>
      </c>
      <c r="F5406" t="s">
        <v>5370</v>
      </c>
      <c r="G5406" t="str">
        <f>"0912"</f>
        <v>0912</v>
      </c>
      <c r="H5406" t="str">
        <f>"0001"</f>
        <v>0001</v>
      </c>
      <c r="I5406" t="s">
        <v>109</v>
      </c>
      <c r="J5406">
        <v>0</v>
      </c>
      <c r="K5406">
        <v>1</v>
      </c>
      <c r="L5406">
        <v>2</v>
      </c>
      <c r="M5406">
        <v>400</v>
      </c>
      <c r="N5406">
        <v>372</v>
      </c>
      <c r="O5406">
        <v>0</v>
      </c>
      <c r="P5406">
        <v>372</v>
      </c>
      <c r="Q5406">
        <v>10</v>
      </c>
      <c r="R5406">
        <v>234</v>
      </c>
      <c r="S5406">
        <v>1</v>
      </c>
      <c r="T5406">
        <v>10</v>
      </c>
      <c r="U5406">
        <v>11</v>
      </c>
      <c r="V5406">
        <v>3</v>
      </c>
      <c r="W5406">
        <v>2</v>
      </c>
      <c r="X5406">
        <v>51</v>
      </c>
      <c r="Y5406">
        <v>11</v>
      </c>
      <c r="Z5406">
        <v>7</v>
      </c>
      <c r="AA5406">
        <v>3</v>
      </c>
      <c r="AB5406">
        <v>9</v>
      </c>
      <c r="AD5406">
        <v>0</v>
      </c>
      <c r="AE5406">
        <v>0</v>
      </c>
      <c r="AF5406">
        <v>0</v>
      </c>
      <c r="AG5406">
        <v>0</v>
      </c>
      <c r="AI5406">
        <v>0</v>
      </c>
      <c r="AJ5406">
        <v>0</v>
      </c>
      <c r="AK5406">
        <v>372</v>
      </c>
      <c r="AL5406">
        <v>352</v>
      </c>
      <c r="AM5406">
        <v>728</v>
      </c>
      <c r="AN5406">
        <v>44</v>
      </c>
      <c r="AP5406">
        <v>1</v>
      </c>
      <c r="AR5406" t="s">
        <v>5511</v>
      </c>
      <c r="AS5406" s="1">
        <v>44354.120138888888</v>
      </c>
      <c r="AT5406" s="1">
        <v>44354.122858796298</v>
      </c>
      <c r="AU5406" s="1">
        <v>44354.12327546296</v>
      </c>
      <c r="AV5406" t="s">
        <v>71</v>
      </c>
      <c r="AW5406" t="s">
        <v>72</v>
      </c>
      <c r="AX5406" t="s">
        <v>73</v>
      </c>
    </row>
    <row r="5407" spans="1:50" x14ac:dyDescent="0.3">
      <c r="A5407" t="str">
        <f>"200949B0000"</f>
        <v>200949B0000</v>
      </c>
      <c r="B5407" t="str">
        <f>"200949B00002"</f>
        <v>200949B00002</v>
      </c>
      <c r="C5407" t="str">
        <f t="shared" si="269"/>
        <v>20</v>
      </c>
      <c r="D5407" t="s">
        <v>67</v>
      </c>
      <c r="E5407" t="str">
        <f t="shared" si="270"/>
        <v>024</v>
      </c>
      <c r="F5407" t="s">
        <v>5370</v>
      </c>
      <c r="G5407" t="str">
        <f>"0949"</f>
        <v>0949</v>
      </c>
      <c r="H5407" t="str">
        <f>"0000"</f>
        <v>0000</v>
      </c>
      <c r="I5407" t="s">
        <v>69</v>
      </c>
      <c r="J5407">
        <v>0</v>
      </c>
      <c r="K5407">
        <v>1</v>
      </c>
      <c r="L5407">
        <v>2</v>
      </c>
      <c r="M5407">
        <v>397</v>
      </c>
      <c r="N5407">
        <v>329</v>
      </c>
      <c r="O5407">
        <v>0</v>
      </c>
      <c r="P5407">
        <v>329</v>
      </c>
      <c r="Q5407">
        <v>4</v>
      </c>
      <c r="R5407">
        <v>182</v>
      </c>
      <c r="S5407">
        <v>2</v>
      </c>
      <c r="T5407">
        <v>5</v>
      </c>
      <c r="U5407">
        <v>5</v>
      </c>
      <c r="V5407">
        <v>1</v>
      </c>
      <c r="W5407">
        <v>8</v>
      </c>
      <c r="X5407">
        <v>34</v>
      </c>
      <c r="Y5407">
        <v>64</v>
      </c>
      <c r="Z5407">
        <v>3</v>
      </c>
      <c r="AA5407">
        <v>1</v>
      </c>
      <c r="AB5407">
        <v>4</v>
      </c>
      <c r="AD5407">
        <v>1</v>
      </c>
      <c r="AE5407">
        <v>1</v>
      </c>
      <c r="AF5407">
        <v>0</v>
      </c>
      <c r="AG5407">
        <v>0</v>
      </c>
      <c r="AI5407">
        <v>0</v>
      </c>
      <c r="AJ5407">
        <v>14</v>
      </c>
      <c r="AK5407">
        <v>329</v>
      </c>
      <c r="AL5407">
        <v>329</v>
      </c>
      <c r="AM5407">
        <v>682</v>
      </c>
      <c r="AN5407">
        <v>44</v>
      </c>
      <c r="AP5407">
        <v>1</v>
      </c>
      <c r="AR5407" t="s">
        <v>5512</v>
      </c>
      <c r="AS5407" s="1">
        <v>44354.001388888886</v>
      </c>
      <c r="AT5407" s="1">
        <v>44354.006319444445</v>
      </c>
      <c r="AU5407" s="1">
        <v>44354.006944444445</v>
      </c>
      <c r="AV5407" t="s">
        <v>71</v>
      </c>
      <c r="AW5407" t="s">
        <v>72</v>
      </c>
      <c r="AX5407" t="s">
        <v>73</v>
      </c>
    </row>
    <row r="5408" spans="1:50" x14ac:dyDescent="0.3">
      <c r="A5408" t="str">
        <f>"200949E0100"</f>
        <v>200949E0100</v>
      </c>
      <c r="B5408" t="str">
        <f>"200949E01002"</f>
        <v>200949E01002</v>
      </c>
      <c r="C5408" t="str">
        <f t="shared" si="269"/>
        <v>20</v>
      </c>
      <c r="D5408" t="s">
        <v>67</v>
      </c>
      <c r="E5408" t="str">
        <f t="shared" si="270"/>
        <v>024</v>
      </c>
      <c r="F5408" t="s">
        <v>5370</v>
      </c>
      <c r="G5408" t="str">
        <f>"0949"</f>
        <v>0949</v>
      </c>
      <c r="H5408" t="str">
        <f>"0001"</f>
        <v>0001</v>
      </c>
      <c r="I5408" t="s">
        <v>109</v>
      </c>
      <c r="J5408">
        <v>0</v>
      </c>
      <c r="K5408">
        <v>1</v>
      </c>
      <c r="L5408">
        <v>2</v>
      </c>
      <c r="M5408">
        <v>304</v>
      </c>
      <c r="N5408">
        <v>255</v>
      </c>
      <c r="O5408">
        <v>1</v>
      </c>
      <c r="P5408">
        <v>255</v>
      </c>
      <c r="Q5408">
        <v>4</v>
      </c>
      <c r="R5408">
        <v>171</v>
      </c>
      <c r="S5408">
        <v>1</v>
      </c>
      <c r="T5408">
        <v>5</v>
      </c>
      <c r="U5408">
        <v>1</v>
      </c>
      <c r="V5408">
        <v>2</v>
      </c>
      <c r="W5408">
        <v>0</v>
      </c>
      <c r="X5408">
        <v>15</v>
      </c>
      <c r="Y5408">
        <v>49</v>
      </c>
      <c r="Z5408">
        <v>1</v>
      </c>
      <c r="AA5408">
        <v>0</v>
      </c>
      <c r="AB5408">
        <v>1</v>
      </c>
      <c r="AD5408">
        <v>0</v>
      </c>
      <c r="AE5408">
        <v>0</v>
      </c>
      <c r="AF5408">
        <v>0</v>
      </c>
      <c r="AG5408">
        <v>0</v>
      </c>
      <c r="AI5408" t="s">
        <v>77</v>
      </c>
      <c r="AJ5408">
        <v>5</v>
      </c>
      <c r="AK5408">
        <v>255</v>
      </c>
      <c r="AL5408">
        <v>255</v>
      </c>
      <c r="AM5408">
        <v>515</v>
      </c>
      <c r="AN5408">
        <v>44</v>
      </c>
      <c r="AO5408" t="s">
        <v>78</v>
      </c>
      <c r="AP5408">
        <v>1</v>
      </c>
      <c r="AR5408" t="s">
        <v>5513</v>
      </c>
      <c r="AS5408" s="1">
        <v>44354.007638888892</v>
      </c>
      <c r="AT5408" s="1">
        <v>44354.01222222222</v>
      </c>
      <c r="AU5408" s="1">
        <v>44354.01290509259</v>
      </c>
      <c r="AV5408" t="s">
        <v>71</v>
      </c>
      <c r="AW5408" t="s">
        <v>72</v>
      </c>
      <c r="AX5408" t="s">
        <v>73</v>
      </c>
    </row>
    <row r="5409" spans="1:50" x14ac:dyDescent="0.3">
      <c r="A5409" t="str">
        <f>"200950B0000"</f>
        <v>200950B0000</v>
      </c>
      <c r="B5409" t="str">
        <f>"200950B00002"</f>
        <v>200950B00002</v>
      </c>
      <c r="C5409" t="str">
        <f t="shared" si="269"/>
        <v>20</v>
      </c>
      <c r="D5409" t="s">
        <v>67</v>
      </c>
      <c r="E5409" t="str">
        <f t="shared" si="270"/>
        <v>024</v>
      </c>
      <c r="F5409" t="s">
        <v>5370</v>
      </c>
      <c r="G5409" t="str">
        <f>"0950"</f>
        <v>0950</v>
      </c>
      <c r="H5409" t="str">
        <f>"0000"</f>
        <v>0000</v>
      </c>
      <c r="I5409" t="s">
        <v>69</v>
      </c>
      <c r="J5409">
        <v>0</v>
      </c>
      <c r="K5409">
        <v>1</v>
      </c>
      <c r="L5409">
        <v>2</v>
      </c>
      <c r="M5409">
        <v>195</v>
      </c>
      <c r="N5409">
        <v>203</v>
      </c>
      <c r="O5409">
        <v>3</v>
      </c>
      <c r="P5409">
        <v>203</v>
      </c>
      <c r="Q5409">
        <v>0</v>
      </c>
      <c r="R5409">
        <v>147</v>
      </c>
      <c r="S5409">
        <v>0</v>
      </c>
      <c r="T5409">
        <v>0</v>
      </c>
      <c r="U5409">
        <v>0</v>
      </c>
      <c r="V5409">
        <v>1</v>
      </c>
      <c r="W5409">
        <v>2</v>
      </c>
      <c r="X5409">
        <v>1</v>
      </c>
      <c r="Y5409">
        <v>43</v>
      </c>
      <c r="Z5409">
        <v>0</v>
      </c>
      <c r="AA5409">
        <v>1</v>
      </c>
      <c r="AB5409">
        <v>3</v>
      </c>
      <c r="AD5409">
        <v>1</v>
      </c>
      <c r="AE5409">
        <v>0</v>
      </c>
      <c r="AF5409">
        <v>0</v>
      </c>
      <c r="AG5409">
        <v>0</v>
      </c>
      <c r="AI5409">
        <v>0</v>
      </c>
      <c r="AJ5409">
        <v>4</v>
      </c>
      <c r="AK5409">
        <v>203</v>
      </c>
      <c r="AL5409">
        <v>203</v>
      </c>
      <c r="AM5409">
        <v>354</v>
      </c>
      <c r="AN5409">
        <v>44</v>
      </c>
      <c r="AP5409">
        <v>1</v>
      </c>
      <c r="AR5409" t="s">
        <v>5514</v>
      </c>
      <c r="AS5409" s="1">
        <v>44354.296527777777</v>
      </c>
      <c r="AT5409" s="1">
        <v>44354.298437500001</v>
      </c>
      <c r="AU5409" s="1">
        <v>44354.298981481479</v>
      </c>
      <c r="AV5409" t="s">
        <v>71</v>
      </c>
      <c r="AW5409" t="s">
        <v>72</v>
      </c>
      <c r="AX5409" t="s">
        <v>73</v>
      </c>
    </row>
    <row r="5410" spans="1:50" x14ac:dyDescent="0.3">
      <c r="A5410" t="str">
        <f>"201204B0000"</f>
        <v>201204B0000</v>
      </c>
      <c r="B5410" t="str">
        <f>"201204B00002"</f>
        <v>201204B00002</v>
      </c>
      <c r="C5410" t="str">
        <f t="shared" si="269"/>
        <v>20</v>
      </c>
      <c r="D5410" t="s">
        <v>67</v>
      </c>
      <c r="E5410" t="str">
        <f t="shared" si="270"/>
        <v>024</v>
      </c>
      <c r="F5410" t="s">
        <v>5370</v>
      </c>
      <c r="G5410" t="str">
        <f>"1204"</f>
        <v>1204</v>
      </c>
      <c r="H5410" t="str">
        <f>"0000"</f>
        <v>0000</v>
      </c>
      <c r="I5410" t="s">
        <v>69</v>
      </c>
      <c r="J5410">
        <v>0</v>
      </c>
      <c r="K5410">
        <v>1</v>
      </c>
      <c r="L5410">
        <v>2</v>
      </c>
      <c r="M5410">
        <v>264</v>
      </c>
      <c r="N5410">
        <v>296</v>
      </c>
      <c r="O5410">
        <v>6</v>
      </c>
      <c r="P5410">
        <v>296</v>
      </c>
      <c r="Q5410">
        <v>8</v>
      </c>
      <c r="R5410">
        <v>26</v>
      </c>
      <c r="S5410">
        <v>6</v>
      </c>
      <c r="T5410">
        <v>7</v>
      </c>
      <c r="U5410">
        <v>11</v>
      </c>
      <c r="V5410">
        <v>5</v>
      </c>
      <c r="W5410">
        <v>6</v>
      </c>
      <c r="X5410">
        <v>128</v>
      </c>
      <c r="Y5410">
        <v>24</v>
      </c>
      <c r="Z5410">
        <v>9</v>
      </c>
      <c r="AA5410">
        <v>12</v>
      </c>
      <c r="AB5410">
        <v>41</v>
      </c>
      <c r="AD5410" t="s">
        <v>77</v>
      </c>
      <c r="AE5410" t="s">
        <v>77</v>
      </c>
      <c r="AF5410" t="s">
        <v>77</v>
      </c>
      <c r="AG5410" t="s">
        <v>77</v>
      </c>
      <c r="AI5410" t="s">
        <v>77</v>
      </c>
      <c r="AJ5410">
        <v>13</v>
      </c>
      <c r="AK5410">
        <v>296</v>
      </c>
      <c r="AL5410">
        <v>296</v>
      </c>
      <c r="AM5410">
        <v>516</v>
      </c>
      <c r="AN5410">
        <v>44</v>
      </c>
      <c r="AO5410" t="s">
        <v>78</v>
      </c>
      <c r="AP5410">
        <v>1</v>
      </c>
      <c r="AR5410" t="s">
        <v>5515</v>
      </c>
      <c r="AS5410" s="1">
        <v>44354.328472222223</v>
      </c>
      <c r="AT5410" s="1">
        <v>44354.330092592594</v>
      </c>
      <c r="AU5410" s="1">
        <v>44354.330671296295</v>
      </c>
      <c r="AV5410" t="s">
        <v>71</v>
      </c>
      <c r="AW5410" t="s">
        <v>72</v>
      </c>
      <c r="AX5410" t="s">
        <v>73</v>
      </c>
    </row>
    <row r="5411" spans="1:50" x14ac:dyDescent="0.3">
      <c r="A5411" t="str">
        <f>"201210B0000"</f>
        <v>201210B0000</v>
      </c>
      <c r="B5411" t="str">
        <f>"201210B00002"</f>
        <v>201210B00002</v>
      </c>
      <c r="C5411" t="str">
        <f t="shared" si="269"/>
        <v>20</v>
      </c>
      <c r="D5411" t="s">
        <v>67</v>
      </c>
      <c r="E5411" t="str">
        <f t="shared" si="270"/>
        <v>024</v>
      </c>
      <c r="F5411" t="s">
        <v>5370</v>
      </c>
      <c r="G5411" t="str">
        <f>"1210"</f>
        <v>1210</v>
      </c>
      <c r="H5411" t="str">
        <f>"0000"</f>
        <v>0000</v>
      </c>
      <c r="I5411" t="s">
        <v>69</v>
      </c>
      <c r="J5411">
        <v>0</v>
      </c>
      <c r="K5411">
        <v>1</v>
      </c>
      <c r="L5411">
        <v>2</v>
      </c>
      <c r="M5411">
        <v>305</v>
      </c>
      <c r="N5411">
        <v>232</v>
      </c>
      <c r="O5411">
        <v>8</v>
      </c>
      <c r="P5411">
        <v>232</v>
      </c>
      <c r="Q5411">
        <v>3</v>
      </c>
      <c r="R5411">
        <v>17</v>
      </c>
      <c r="S5411">
        <v>5</v>
      </c>
      <c r="T5411">
        <v>3</v>
      </c>
      <c r="U5411">
        <v>5</v>
      </c>
      <c r="V5411">
        <v>3</v>
      </c>
      <c r="W5411">
        <v>5</v>
      </c>
      <c r="X5411">
        <v>162</v>
      </c>
      <c r="Y5411">
        <v>5</v>
      </c>
      <c r="Z5411">
        <v>7</v>
      </c>
      <c r="AA5411">
        <v>8</v>
      </c>
      <c r="AB5411">
        <v>2</v>
      </c>
      <c r="AD5411">
        <v>0</v>
      </c>
      <c r="AE5411">
        <v>0</v>
      </c>
      <c r="AF5411">
        <v>0</v>
      </c>
      <c r="AG5411">
        <v>0</v>
      </c>
      <c r="AI5411">
        <v>0</v>
      </c>
      <c r="AJ5411">
        <v>7</v>
      </c>
      <c r="AK5411">
        <v>232</v>
      </c>
      <c r="AL5411">
        <v>232</v>
      </c>
      <c r="AM5411">
        <v>493</v>
      </c>
      <c r="AN5411">
        <v>44</v>
      </c>
      <c r="AP5411">
        <v>1</v>
      </c>
      <c r="AR5411" t="s">
        <v>5516</v>
      </c>
      <c r="AS5411" s="1">
        <v>44354.380555555559</v>
      </c>
      <c r="AT5411" s="1">
        <v>44354.382650462961</v>
      </c>
      <c r="AU5411" s="1">
        <v>44354.383090277777</v>
      </c>
      <c r="AV5411" t="s">
        <v>71</v>
      </c>
      <c r="AW5411" t="s">
        <v>72</v>
      </c>
      <c r="AX5411" t="s">
        <v>73</v>
      </c>
    </row>
    <row r="5412" spans="1:50" x14ac:dyDescent="0.3">
      <c r="A5412" t="str">
        <f>"201211B0000"</f>
        <v>201211B0000</v>
      </c>
      <c r="B5412" t="str">
        <f>"201211B00002"</f>
        <v>201211B00002</v>
      </c>
      <c r="C5412" t="str">
        <f t="shared" si="269"/>
        <v>20</v>
      </c>
      <c r="D5412" t="s">
        <v>67</v>
      </c>
      <c r="E5412" t="str">
        <f t="shared" si="270"/>
        <v>024</v>
      </c>
      <c r="F5412" t="s">
        <v>5370</v>
      </c>
      <c r="G5412" t="str">
        <f>"1211"</f>
        <v>1211</v>
      </c>
      <c r="H5412" t="str">
        <f>"0000"</f>
        <v>0000</v>
      </c>
      <c r="I5412" t="s">
        <v>69</v>
      </c>
      <c r="J5412">
        <v>0</v>
      </c>
      <c r="K5412">
        <v>1</v>
      </c>
      <c r="L5412">
        <v>2</v>
      </c>
      <c r="M5412">
        <v>332</v>
      </c>
      <c r="N5412">
        <v>143</v>
      </c>
      <c r="O5412">
        <v>3</v>
      </c>
      <c r="P5412" t="s">
        <v>80</v>
      </c>
      <c r="Q5412">
        <v>11</v>
      </c>
      <c r="R5412">
        <v>58</v>
      </c>
      <c r="S5412">
        <v>4</v>
      </c>
      <c r="T5412">
        <v>2</v>
      </c>
      <c r="U5412">
        <v>10</v>
      </c>
      <c r="V5412" t="s">
        <v>77</v>
      </c>
      <c r="W5412">
        <v>2</v>
      </c>
      <c r="X5412">
        <v>33</v>
      </c>
      <c r="Y5412">
        <v>9</v>
      </c>
      <c r="Z5412">
        <v>3</v>
      </c>
      <c r="AA5412">
        <v>4</v>
      </c>
      <c r="AB5412">
        <v>2</v>
      </c>
      <c r="AD5412" t="s">
        <v>77</v>
      </c>
      <c r="AE5412" t="s">
        <v>77</v>
      </c>
      <c r="AF5412" t="s">
        <v>77</v>
      </c>
      <c r="AG5412" t="s">
        <v>77</v>
      </c>
      <c r="AI5412" t="s">
        <v>77</v>
      </c>
      <c r="AJ5412">
        <v>5</v>
      </c>
      <c r="AK5412">
        <v>143</v>
      </c>
      <c r="AL5412">
        <v>143</v>
      </c>
      <c r="AM5412">
        <v>431</v>
      </c>
      <c r="AN5412">
        <v>44</v>
      </c>
      <c r="AO5412" t="s">
        <v>78</v>
      </c>
      <c r="AP5412">
        <v>1</v>
      </c>
      <c r="AR5412" t="s">
        <v>5517</v>
      </c>
      <c r="AS5412" s="1">
        <v>44354.404166666667</v>
      </c>
      <c r="AT5412" s="1">
        <v>44354.40587962963</v>
      </c>
      <c r="AU5412" s="1">
        <v>44354.406527777777</v>
      </c>
      <c r="AV5412" t="s">
        <v>71</v>
      </c>
      <c r="AW5412" t="s">
        <v>72</v>
      </c>
      <c r="AX5412" t="s">
        <v>73</v>
      </c>
    </row>
    <row r="5413" spans="1:50" x14ac:dyDescent="0.3">
      <c r="A5413" t="str">
        <f>"201212B0000"</f>
        <v>201212B0000</v>
      </c>
      <c r="B5413" t="str">
        <f>"201212B00002"</f>
        <v>201212B00002</v>
      </c>
      <c r="C5413" t="str">
        <f t="shared" si="269"/>
        <v>20</v>
      </c>
      <c r="D5413" t="s">
        <v>67</v>
      </c>
      <c r="E5413" t="str">
        <f t="shared" si="270"/>
        <v>024</v>
      </c>
      <c r="F5413" t="s">
        <v>5370</v>
      </c>
      <c r="G5413" t="str">
        <f>"1212"</f>
        <v>1212</v>
      </c>
      <c r="H5413" t="str">
        <f>"0000"</f>
        <v>0000</v>
      </c>
      <c r="I5413" t="s">
        <v>69</v>
      </c>
      <c r="J5413">
        <v>0</v>
      </c>
      <c r="K5413">
        <v>1</v>
      </c>
      <c r="L5413">
        <v>2</v>
      </c>
      <c r="M5413">
        <v>380</v>
      </c>
      <c r="N5413">
        <v>264</v>
      </c>
      <c r="O5413">
        <v>5</v>
      </c>
      <c r="P5413" t="s">
        <v>80</v>
      </c>
      <c r="Q5413">
        <v>9</v>
      </c>
      <c r="R5413">
        <v>29</v>
      </c>
      <c r="S5413">
        <v>3</v>
      </c>
      <c r="T5413">
        <v>4</v>
      </c>
      <c r="U5413">
        <v>23</v>
      </c>
      <c r="V5413">
        <v>3</v>
      </c>
      <c r="W5413">
        <v>2</v>
      </c>
      <c r="X5413">
        <v>101</v>
      </c>
      <c r="Y5413">
        <v>62</v>
      </c>
      <c r="Z5413">
        <v>7</v>
      </c>
      <c r="AA5413">
        <v>4</v>
      </c>
      <c r="AB5413">
        <v>1</v>
      </c>
      <c r="AD5413">
        <v>0</v>
      </c>
      <c r="AE5413">
        <v>0</v>
      </c>
      <c r="AF5413">
        <v>0</v>
      </c>
      <c r="AG5413">
        <v>0</v>
      </c>
      <c r="AI5413">
        <v>0</v>
      </c>
      <c r="AJ5413">
        <v>9</v>
      </c>
      <c r="AK5413">
        <v>644</v>
      </c>
      <c r="AL5413">
        <v>257</v>
      </c>
      <c r="AM5413">
        <v>600</v>
      </c>
      <c r="AN5413">
        <v>44</v>
      </c>
      <c r="AP5413">
        <v>1</v>
      </c>
      <c r="AR5413" t="s">
        <v>5518</v>
      </c>
      <c r="AS5413" s="1">
        <v>44354.381944444445</v>
      </c>
      <c r="AT5413" s="1">
        <v>44354.384120370371</v>
      </c>
      <c r="AU5413" s="1">
        <v>44354.385648148149</v>
      </c>
      <c r="AV5413" t="s">
        <v>71</v>
      </c>
      <c r="AW5413" t="s">
        <v>72</v>
      </c>
      <c r="AX5413" t="s">
        <v>73</v>
      </c>
    </row>
    <row r="5414" spans="1:50" x14ac:dyDescent="0.3">
      <c r="A5414" t="str">
        <f>"201212E0100"</f>
        <v>201212E0100</v>
      </c>
      <c r="B5414" t="str">
        <f>"201212E01002"</f>
        <v>201212E01002</v>
      </c>
      <c r="C5414" t="str">
        <f t="shared" si="269"/>
        <v>20</v>
      </c>
      <c r="D5414" t="s">
        <v>67</v>
      </c>
      <c r="E5414" t="str">
        <f t="shared" si="270"/>
        <v>024</v>
      </c>
      <c r="F5414" t="s">
        <v>5370</v>
      </c>
      <c r="G5414" t="str">
        <f>"1212"</f>
        <v>1212</v>
      </c>
      <c r="H5414" t="str">
        <f>"0001"</f>
        <v>0001</v>
      </c>
      <c r="I5414" t="s">
        <v>109</v>
      </c>
      <c r="J5414">
        <v>0</v>
      </c>
      <c r="K5414">
        <v>1</v>
      </c>
      <c r="L5414">
        <v>2</v>
      </c>
      <c r="M5414">
        <v>376</v>
      </c>
      <c r="N5414">
        <v>243</v>
      </c>
      <c r="O5414">
        <v>8</v>
      </c>
      <c r="P5414">
        <v>243</v>
      </c>
      <c r="Q5414">
        <v>3</v>
      </c>
      <c r="R5414">
        <v>56</v>
      </c>
      <c r="S5414">
        <v>1</v>
      </c>
      <c r="T5414">
        <v>2</v>
      </c>
      <c r="U5414">
        <v>3</v>
      </c>
      <c r="V5414">
        <v>0</v>
      </c>
      <c r="W5414">
        <v>3</v>
      </c>
      <c r="X5414">
        <v>108</v>
      </c>
      <c r="Y5414">
        <v>38</v>
      </c>
      <c r="Z5414">
        <v>5</v>
      </c>
      <c r="AA5414">
        <v>6</v>
      </c>
      <c r="AB5414">
        <v>3</v>
      </c>
      <c r="AD5414">
        <v>7</v>
      </c>
      <c r="AE5414">
        <v>0</v>
      </c>
      <c r="AF5414">
        <v>0</v>
      </c>
      <c r="AG5414">
        <v>0</v>
      </c>
      <c r="AI5414">
        <v>0</v>
      </c>
      <c r="AJ5414">
        <v>8</v>
      </c>
      <c r="AK5414">
        <v>243</v>
      </c>
      <c r="AL5414">
        <v>243</v>
      </c>
      <c r="AM5414">
        <v>575</v>
      </c>
      <c r="AN5414">
        <v>44</v>
      </c>
      <c r="AP5414">
        <v>1</v>
      </c>
      <c r="AR5414" t="s">
        <v>5519</v>
      </c>
      <c r="AS5414" s="1">
        <v>44354.40625</v>
      </c>
      <c r="AT5414" s="1">
        <v>44354.408101851855</v>
      </c>
      <c r="AU5414" s="1">
        <v>44354.408576388887</v>
      </c>
      <c r="AV5414" t="s">
        <v>71</v>
      </c>
      <c r="AW5414" t="s">
        <v>72</v>
      </c>
      <c r="AX5414" t="s">
        <v>73</v>
      </c>
    </row>
    <row r="5415" spans="1:50" x14ac:dyDescent="0.3">
      <c r="A5415" t="str">
        <f>"201276B0000"</f>
        <v>201276B0000</v>
      </c>
      <c r="B5415" t="str">
        <f>"201276B00002"</f>
        <v>201276B00002</v>
      </c>
      <c r="C5415" t="str">
        <f t="shared" si="269"/>
        <v>20</v>
      </c>
      <c r="D5415" t="s">
        <v>67</v>
      </c>
      <c r="E5415" t="str">
        <f t="shared" si="270"/>
        <v>024</v>
      </c>
      <c r="F5415" t="s">
        <v>5370</v>
      </c>
      <c r="G5415" t="str">
        <f>"1276"</f>
        <v>1276</v>
      </c>
      <c r="H5415" t="str">
        <f>"0000"</f>
        <v>0000</v>
      </c>
      <c r="I5415" t="s">
        <v>69</v>
      </c>
      <c r="J5415">
        <v>0</v>
      </c>
      <c r="K5415">
        <v>1</v>
      </c>
      <c r="L5415">
        <v>2</v>
      </c>
      <c r="M5415">
        <v>372</v>
      </c>
      <c r="N5415">
        <v>235</v>
      </c>
      <c r="O5415">
        <v>0</v>
      </c>
      <c r="P5415">
        <v>235</v>
      </c>
      <c r="Q5415">
        <v>31</v>
      </c>
      <c r="R5415">
        <v>83</v>
      </c>
      <c r="S5415">
        <v>5</v>
      </c>
      <c r="T5415">
        <v>6</v>
      </c>
      <c r="U5415">
        <v>6</v>
      </c>
      <c r="V5415">
        <v>1</v>
      </c>
      <c r="W5415">
        <v>3</v>
      </c>
      <c r="X5415">
        <v>48</v>
      </c>
      <c r="Y5415">
        <v>24</v>
      </c>
      <c r="Z5415">
        <v>0</v>
      </c>
      <c r="AA5415">
        <v>1</v>
      </c>
      <c r="AB5415">
        <v>7</v>
      </c>
      <c r="AD5415">
        <v>1</v>
      </c>
      <c r="AE5415">
        <v>6</v>
      </c>
      <c r="AF5415" t="s">
        <v>77</v>
      </c>
      <c r="AG5415" t="s">
        <v>77</v>
      </c>
      <c r="AI5415" t="s">
        <v>77</v>
      </c>
      <c r="AJ5415">
        <v>13</v>
      </c>
      <c r="AK5415" t="s">
        <v>77</v>
      </c>
      <c r="AL5415">
        <v>235</v>
      </c>
      <c r="AM5415">
        <v>563</v>
      </c>
      <c r="AN5415">
        <v>44</v>
      </c>
      <c r="AO5415" t="s">
        <v>78</v>
      </c>
      <c r="AP5415">
        <v>1</v>
      </c>
      <c r="AR5415" t="s">
        <v>5520</v>
      </c>
      <c r="AS5415" s="1">
        <v>44354.279166666667</v>
      </c>
      <c r="AT5415" s="1">
        <v>44354.28052083333</v>
      </c>
      <c r="AU5415" s="1">
        <v>44354.281041666669</v>
      </c>
      <c r="AV5415" t="s">
        <v>71</v>
      </c>
      <c r="AW5415" t="s">
        <v>72</v>
      </c>
      <c r="AX5415" t="s">
        <v>73</v>
      </c>
    </row>
    <row r="5416" spans="1:50" x14ac:dyDescent="0.3">
      <c r="A5416" t="str">
        <f>"201277B0000"</f>
        <v>201277B0000</v>
      </c>
      <c r="B5416" t="str">
        <f>"201277B00002"</f>
        <v>201277B00002</v>
      </c>
      <c r="C5416" t="str">
        <f t="shared" si="269"/>
        <v>20</v>
      </c>
      <c r="D5416" t="s">
        <v>67</v>
      </c>
      <c r="E5416" t="str">
        <f t="shared" si="270"/>
        <v>024</v>
      </c>
      <c r="F5416" t="s">
        <v>5370</v>
      </c>
      <c r="G5416" t="str">
        <f>"1277"</f>
        <v>1277</v>
      </c>
      <c r="H5416" t="str">
        <f>"0000"</f>
        <v>0000</v>
      </c>
      <c r="I5416" t="s">
        <v>69</v>
      </c>
      <c r="J5416">
        <v>0</v>
      </c>
      <c r="K5416">
        <v>1</v>
      </c>
      <c r="L5416">
        <v>2</v>
      </c>
      <c r="M5416">
        <v>316</v>
      </c>
      <c r="N5416">
        <v>184</v>
      </c>
      <c r="O5416">
        <v>0</v>
      </c>
      <c r="P5416">
        <v>184</v>
      </c>
      <c r="Q5416">
        <v>14</v>
      </c>
      <c r="R5416">
        <v>65</v>
      </c>
      <c r="S5416">
        <v>4</v>
      </c>
      <c r="T5416">
        <v>5</v>
      </c>
      <c r="U5416">
        <v>7</v>
      </c>
      <c r="V5416">
        <v>3</v>
      </c>
      <c r="W5416">
        <v>7</v>
      </c>
      <c r="X5416">
        <v>39</v>
      </c>
      <c r="Y5416">
        <v>19</v>
      </c>
      <c r="Z5416">
        <v>3</v>
      </c>
      <c r="AA5416">
        <v>1</v>
      </c>
      <c r="AB5416">
        <v>5</v>
      </c>
      <c r="AD5416" t="s">
        <v>77</v>
      </c>
      <c r="AE5416" t="s">
        <v>77</v>
      </c>
      <c r="AF5416" t="s">
        <v>77</v>
      </c>
      <c r="AG5416">
        <v>2</v>
      </c>
      <c r="AI5416">
        <v>0</v>
      </c>
      <c r="AJ5416">
        <v>10</v>
      </c>
      <c r="AK5416">
        <v>184</v>
      </c>
      <c r="AL5416">
        <v>184</v>
      </c>
      <c r="AM5416">
        <v>456</v>
      </c>
      <c r="AN5416">
        <v>44</v>
      </c>
      <c r="AO5416" t="s">
        <v>78</v>
      </c>
      <c r="AP5416">
        <v>1</v>
      </c>
      <c r="AR5416" t="s">
        <v>5521</v>
      </c>
      <c r="AS5416" s="1">
        <v>44354.276388888888</v>
      </c>
      <c r="AT5416" s="1">
        <v>44354.278136574074</v>
      </c>
      <c r="AU5416" s="1">
        <v>44354.278946759259</v>
      </c>
      <c r="AV5416" t="s">
        <v>71</v>
      </c>
      <c r="AW5416" t="s">
        <v>72</v>
      </c>
      <c r="AX5416" t="s">
        <v>73</v>
      </c>
    </row>
    <row r="5417" spans="1:50" x14ac:dyDescent="0.3">
      <c r="A5417" t="str">
        <f>"201310B0000"</f>
        <v>201310B0000</v>
      </c>
      <c r="B5417" t="str">
        <f>"201310B00002"</f>
        <v>201310B00002</v>
      </c>
      <c r="C5417" t="str">
        <f t="shared" si="269"/>
        <v>20</v>
      </c>
      <c r="D5417" t="s">
        <v>67</v>
      </c>
      <c r="E5417" t="str">
        <f t="shared" si="270"/>
        <v>024</v>
      </c>
      <c r="F5417" t="s">
        <v>5370</v>
      </c>
      <c r="G5417" t="str">
        <f>"1310"</f>
        <v>1310</v>
      </c>
      <c r="H5417" t="str">
        <f>"0000"</f>
        <v>0000</v>
      </c>
      <c r="I5417" t="s">
        <v>69</v>
      </c>
      <c r="J5417">
        <v>0</v>
      </c>
      <c r="K5417">
        <v>1</v>
      </c>
      <c r="L5417">
        <v>2</v>
      </c>
      <c r="M5417">
        <v>174</v>
      </c>
      <c r="N5417">
        <v>300</v>
      </c>
      <c r="O5417">
        <v>0</v>
      </c>
      <c r="P5417" t="s">
        <v>80</v>
      </c>
      <c r="Q5417">
        <v>59</v>
      </c>
      <c r="R5417">
        <v>39</v>
      </c>
      <c r="S5417">
        <v>4</v>
      </c>
      <c r="T5417">
        <v>3</v>
      </c>
      <c r="U5417">
        <v>19</v>
      </c>
      <c r="V5417">
        <v>5</v>
      </c>
      <c r="W5417">
        <v>5</v>
      </c>
      <c r="X5417">
        <v>79</v>
      </c>
      <c r="Y5417">
        <v>28</v>
      </c>
      <c r="Z5417">
        <v>1</v>
      </c>
      <c r="AA5417">
        <v>4</v>
      </c>
      <c r="AB5417">
        <v>19</v>
      </c>
      <c r="AD5417">
        <v>3</v>
      </c>
      <c r="AE5417">
        <v>3</v>
      </c>
      <c r="AF5417">
        <v>2</v>
      </c>
      <c r="AG5417">
        <v>1</v>
      </c>
      <c r="AI5417">
        <v>0</v>
      </c>
      <c r="AJ5417">
        <v>26</v>
      </c>
      <c r="AK5417">
        <v>300</v>
      </c>
      <c r="AL5417">
        <v>300</v>
      </c>
      <c r="AM5417">
        <v>428</v>
      </c>
      <c r="AN5417">
        <v>46</v>
      </c>
      <c r="AP5417">
        <v>1</v>
      </c>
      <c r="AR5417" t="s">
        <v>5522</v>
      </c>
      <c r="AS5417" s="1">
        <v>44354.220833333333</v>
      </c>
      <c r="AT5417" s="1">
        <v>44354.222627314812</v>
      </c>
      <c r="AU5417" s="1">
        <v>44354.223055555558</v>
      </c>
      <c r="AV5417" t="s">
        <v>71</v>
      </c>
      <c r="AW5417" t="s">
        <v>72</v>
      </c>
      <c r="AX5417" t="s">
        <v>73</v>
      </c>
    </row>
    <row r="5418" spans="1:50" x14ac:dyDescent="0.3">
      <c r="A5418" t="str">
        <f>"201310C0100"</f>
        <v>201310C0100</v>
      </c>
      <c r="B5418" t="str">
        <f>"201310C01002"</f>
        <v>201310C01002</v>
      </c>
      <c r="C5418" t="str">
        <f t="shared" si="269"/>
        <v>20</v>
      </c>
      <c r="D5418" t="s">
        <v>67</v>
      </c>
      <c r="E5418" t="str">
        <f t="shared" si="270"/>
        <v>024</v>
      </c>
      <c r="F5418" t="s">
        <v>5370</v>
      </c>
      <c r="G5418" t="str">
        <f>"1310"</f>
        <v>1310</v>
      </c>
      <c r="H5418" t="str">
        <f>"0001"</f>
        <v>0001</v>
      </c>
      <c r="I5418" t="s">
        <v>75</v>
      </c>
      <c r="J5418">
        <v>0</v>
      </c>
      <c r="K5418">
        <v>1</v>
      </c>
      <c r="L5418">
        <v>2</v>
      </c>
      <c r="M5418">
        <v>181</v>
      </c>
      <c r="N5418">
        <v>293</v>
      </c>
      <c r="O5418">
        <v>1</v>
      </c>
      <c r="P5418">
        <v>293</v>
      </c>
      <c r="Q5418">
        <v>44</v>
      </c>
      <c r="R5418">
        <v>45</v>
      </c>
      <c r="S5418">
        <v>10</v>
      </c>
      <c r="T5418">
        <v>5</v>
      </c>
      <c r="U5418">
        <v>10</v>
      </c>
      <c r="V5418">
        <v>4</v>
      </c>
      <c r="W5418">
        <v>6</v>
      </c>
      <c r="X5418">
        <v>92</v>
      </c>
      <c r="Y5418">
        <v>34</v>
      </c>
      <c r="Z5418">
        <v>2</v>
      </c>
      <c r="AA5418">
        <v>4</v>
      </c>
      <c r="AB5418">
        <v>18</v>
      </c>
      <c r="AD5418">
        <v>1</v>
      </c>
      <c r="AE5418">
        <v>1</v>
      </c>
      <c r="AF5418">
        <v>0</v>
      </c>
      <c r="AG5418">
        <v>0</v>
      </c>
      <c r="AI5418">
        <v>0</v>
      </c>
      <c r="AJ5418">
        <v>17</v>
      </c>
      <c r="AK5418">
        <v>293</v>
      </c>
      <c r="AL5418">
        <v>293</v>
      </c>
      <c r="AM5418">
        <v>428</v>
      </c>
      <c r="AN5418">
        <v>46</v>
      </c>
      <c r="AP5418">
        <v>1</v>
      </c>
      <c r="AR5418" t="s">
        <v>5523</v>
      </c>
      <c r="AS5418" s="1">
        <v>44354.220138888886</v>
      </c>
      <c r="AT5418" s="1">
        <v>44354.221689814818</v>
      </c>
      <c r="AU5418" s="1">
        <v>44354.222511574073</v>
      </c>
      <c r="AV5418" t="s">
        <v>71</v>
      </c>
      <c r="AW5418" t="s">
        <v>72</v>
      </c>
      <c r="AX5418" t="s">
        <v>73</v>
      </c>
    </row>
    <row r="5419" spans="1:50" x14ac:dyDescent="0.3">
      <c r="A5419" t="str">
        <f>"201310E0100"</f>
        <v>201310E0100</v>
      </c>
      <c r="B5419" t="str">
        <f>"201310E01002"</f>
        <v>201310E01002</v>
      </c>
      <c r="C5419" t="str">
        <f t="shared" si="269"/>
        <v>20</v>
      </c>
      <c r="D5419" t="s">
        <v>67</v>
      </c>
      <c r="E5419" t="str">
        <f t="shared" si="270"/>
        <v>024</v>
      </c>
      <c r="F5419" t="s">
        <v>5370</v>
      </c>
      <c r="G5419" t="str">
        <f>"1310"</f>
        <v>1310</v>
      </c>
      <c r="H5419" t="str">
        <f>"0001"</f>
        <v>0001</v>
      </c>
      <c r="I5419" t="s">
        <v>109</v>
      </c>
      <c r="J5419">
        <v>0</v>
      </c>
      <c r="K5419">
        <v>1</v>
      </c>
      <c r="L5419">
        <v>2</v>
      </c>
      <c r="M5419">
        <v>144</v>
      </c>
      <c r="N5419">
        <v>317</v>
      </c>
      <c r="O5419">
        <v>4</v>
      </c>
      <c r="P5419">
        <v>317</v>
      </c>
      <c r="Q5419">
        <v>57</v>
      </c>
      <c r="R5419">
        <v>117</v>
      </c>
      <c r="S5419">
        <v>17</v>
      </c>
      <c r="T5419">
        <v>1</v>
      </c>
      <c r="U5419">
        <v>3</v>
      </c>
      <c r="V5419">
        <v>1</v>
      </c>
      <c r="W5419">
        <v>0</v>
      </c>
      <c r="X5419">
        <v>35</v>
      </c>
      <c r="Y5419">
        <v>34</v>
      </c>
      <c r="Z5419">
        <v>2</v>
      </c>
      <c r="AA5419">
        <v>0</v>
      </c>
      <c r="AB5419">
        <v>17</v>
      </c>
      <c r="AD5419">
        <v>4</v>
      </c>
      <c r="AE5419">
        <v>4</v>
      </c>
      <c r="AF5419">
        <v>0</v>
      </c>
      <c r="AG5419">
        <v>0</v>
      </c>
      <c r="AI5419">
        <v>0</v>
      </c>
      <c r="AJ5419">
        <v>25</v>
      </c>
      <c r="AK5419">
        <v>317</v>
      </c>
      <c r="AL5419">
        <v>317</v>
      </c>
      <c r="AM5419">
        <v>415</v>
      </c>
      <c r="AN5419">
        <v>46</v>
      </c>
      <c r="AP5419">
        <v>1</v>
      </c>
      <c r="AR5419" t="s">
        <v>5524</v>
      </c>
      <c r="AS5419" s="1">
        <v>44354.216666666667</v>
      </c>
      <c r="AT5419" s="1">
        <v>44354.22</v>
      </c>
      <c r="AU5419" s="1">
        <v>44354.220532407409</v>
      </c>
      <c r="AV5419" t="s">
        <v>71</v>
      </c>
      <c r="AW5419" t="s">
        <v>72</v>
      </c>
      <c r="AX5419" t="s">
        <v>73</v>
      </c>
    </row>
    <row r="5420" spans="1:50" x14ac:dyDescent="0.3">
      <c r="A5420" t="str">
        <f>"201311B0000"</f>
        <v>201311B0000</v>
      </c>
      <c r="B5420" t="str">
        <f>"201311B00002"</f>
        <v>201311B00002</v>
      </c>
      <c r="C5420" t="str">
        <f t="shared" si="269"/>
        <v>20</v>
      </c>
      <c r="D5420" t="s">
        <v>67</v>
      </c>
      <c r="E5420" t="str">
        <f t="shared" si="270"/>
        <v>024</v>
      </c>
      <c r="F5420" t="s">
        <v>5370</v>
      </c>
      <c r="G5420" t="str">
        <f>"1311"</f>
        <v>1311</v>
      </c>
      <c r="H5420" t="str">
        <f>"0000"</f>
        <v>0000</v>
      </c>
      <c r="I5420" t="s">
        <v>69</v>
      </c>
      <c r="J5420">
        <v>0</v>
      </c>
      <c r="K5420">
        <v>1</v>
      </c>
      <c r="L5420">
        <v>2</v>
      </c>
      <c r="M5420">
        <v>285</v>
      </c>
      <c r="N5420">
        <v>497</v>
      </c>
      <c r="O5420">
        <v>1</v>
      </c>
      <c r="P5420">
        <v>497</v>
      </c>
      <c r="Q5420">
        <v>52</v>
      </c>
      <c r="R5420">
        <v>70</v>
      </c>
      <c r="S5420">
        <v>11</v>
      </c>
      <c r="T5420">
        <v>8</v>
      </c>
      <c r="U5420">
        <v>12</v>
      </c>
      <c r="V5420">
        <v>5</v>
      </c>
      <c r="W5420">
        <v>9</v>
      </c>
      <c r="X5420">
        <v>194</v>
      </c>
      <c r="Y5420">
        <v>82</v>
      </c>
      <c r="Z5420">
        <v>2</v>
      </c>
      <c r="AA5420">
        <v>5</v>
      </c>
      <c r="AB5420">
        <v>7</v>
      </c>
      <c r="AD5420">
        <v>7</v>
      </c>
      <c r="AE5420">
        <v>6</v>
      </c>
      <c r="AF5420">
        <v>1</v>
      </c>
      <c r="AG5420">
        <v>0</v>
      </c>
      <c r="AI5420" t="s">
        <v>77</v>
      </c>
      <c r="AJ5420">
        <v>26</v>
      </c>
      <c r="AK5420">
        <v>497</v>
      </c>
      <c r="AL5420">
        <v>497</v>
      </c>
      <c r="AM5420">
        <v>735</v>
      </c>
      <c r="AN5420">
        <v>46</v>
      </c>
      <c r="AO5420" t="s">
        <v>78</v>
      </c>
      <c r="AP5420">
        <v>1</v>
      </c>
      <c r="AR5420" t="s">
        <v>5525</v>
      </c>
      <c r="AS5420" s="1">
        <v>44354.243750000001</v>
      </c>
      <c r="AT5420" s="1">
        <v>44354.246840277781</v>
      </c>
      <c r="AU5420" s="1">
        <v>44354.247800925928</v>
      </c>
      <c r="AV5420" t="s">
        <v>71</v>
      </c>
      <c r="AW5420" t="s">
        <v>72</v>
      </c>
      <c r="AX5420" t="s">
        <v>73</v>
      </c>
    </row>
    <row r="5421" spans="1:50" x14ac:dyDescent="0.3">
      <c r="A5421" t="str">
        <f>"201312B0000"</f>
        <v>201312B0000</v>
      </c>
      <c r="B5421" t="str">
        <f>"201312B00002"</f>
        <v>201312B00002</v>
      </c>
      <c r="C5421" t="str">
        <f t="shared" si="269"/>
        <v>20</v>
      </c>
      <c r="D5421" t="s">
        <v>67</v>
      </c>
      <c r="E5421" t="str">
        <f t="shared" si="270"/>
        <v>024</v>
      </c>
      <c r="F5421" t="s">
        <v>5370</v>
      </c>
      <c r="G5421" t="str">
        <f>"1312"</f>
        <v>1312</v>
      </c>
      <c r="H5421" t="str">
        <f>"0000"</f>
        <v>0000</v>
      </c>
      <c r="I5421" t="s">
        <v>69</v>
      </c>
      <c r="J5421">
        <v>0</v>
      </c>
      <c r="K5421">
        <v>1</v>
      </c>
      <c r="L5421">
        <v>2</v>
      </c>
      <c r="M5421">
        <v>133</v>
      </c>
      <c r="N5421">
        <v>177</v>
      </c>
      <c r="O5421">
        <v>2</v>
      </c>
      <c r="P5421" t="s">
        <v>80</v>
      </c>
      <c r="Q5421">
        <v>23</v>
      </c>
      <c r="R5421">
        <v>25</v>
      </c>
      <c r="S5421">
        <v>1</v>
      </c>
      <c r="T5421" t="s">
        <v>77</v>
      </c>
      <c r="U5421">
        <v>3</v>
      </c>
      <c r="V5421" t="s">
        <v>77</v>
      </c>
      <c r="W5421">
        <v>3</v>
      </c>
      <c r="X5421">
        <v>42</v>
      </c>
      <c r="Y5421">
        <v>66</v>
      </c>
      <c r="Z5421">
        <v>3</v>
      </c>
      <c r="AA5421" t="s">
        <v>77</v>
      </c>
      <c r="AB5421">
        <v>1</v>
      </c>
      <c r="AD5421">
        <v>1</v>
      </c>
      <c r="AE5421">
        <v>1</v>
      </c>
      <c r="AF5421" t="s">
        <v>77</v>
      </c>
      <c r="AG5421" t="s">
        <v>77</v>
      </c>
      <c r="AI5421" t="s">
        <v>77</v>
      </c>
      <c r="AJ5421">
        <v>8</v>
      </c>
      <c r="AK5421" t="s">
        <v>99</v>
      </c>
      <c r="AL5421">
        <v>177</v>
      </c>
      <c r="AM5421">
        <v>234</v>
      </c>
      <c r="AN5421">
        <v>46</v>
      </c>
      <c r="AO5421" t="s">
        <v>78</v>
      </c>
      <c r="AP5421">
        <v>1</v>
      </c>
      <c r="AR5421" t="s">
        <v>5526</v>
      </c>
      <c r="AS5421" s="1">
        <v>44354.245138888888</v>
      </c>
      <c r="AT5421" s="1">
        <v>44354.247256944444</v>
      </c>
      <c r="AU5421" s="1">
        <v>44354.248298611114</v>
      </c>
      <c r="AV5421" t="s">
        <v>71</v>
      </c>
      <c r="AW5421" t="s">
        <v>72</v>
      </c>
      <c r="AX5421" t="s">
        <v>73</v>
      </c>
    </row>
    <row r="5422" spans="1:50" x14ac:dyDescent="0.3">
      <c r="A5422" t="str">
        <f>"201313B0000"</f>
        <v>201313B0000</v>
      </c>
      <c r="B5422" t="str">
        <f>"201313B00002"</f>
        <v>201313B00002</v>
      </c>
      <c r="C5422" t="str">
        <f t="shared" si="269"/>
        <v>20</v>
      </c>
      <c r="D5422" t="s">
        <v>67</v>
      </c>
      <c r="E5422" t="str">
        <f t="shared" si="270"/>
        <v>024</v>
      </c>
      <c r="F5422" t="s">
        <v>5370</v>
      </c>
      <c r="G5422" t="str">
        <f>"1313"</f>
        <v>1313</v>
      </c>
      <c r="H5422" t="str">
        <f>"0000"</f>
        <v>0000</v>
      </c>
      <c r="I5422" t="s">
        <v>69</v>
      </c>
      <c r="J5422">
        <v>0</v>
      </c>
      <c r="K5422">
        <v>1</v>
      </c>
      <c r="L5422">
        <v>2</v>
      </c>
      <c r="M5422">
        <v>96</v>
      </c>
      <c r="N5422">
        <v>260</v>
      </c>
      <c r="O5422">
        <v>2</v>
      </c>
      <c r="P5422">
        <v>260</v>
      </c>
      <c r="Q5422">
        <v>24</v>
      </c>
      <c r="R5422">
        <v>62</v>
      </c>
      <c r="S5422">
        <v>2</v>
      </c>
      <c r="T5422">
        <v>5</v>
      </c>
      <c r="U5422">
        <v>1</v>
      </c>
      <c r="V5422">
        <v>2</v>
      </c>
      <c r="W5422">
        <v>6</v>
      </c>
      <c r="X5422">
        <v>77</v>
      </c>
      <c r="Y5422">
        <v>46</v>
      </c>
      <c r="Z5422">
        <v>5</v>
      </c>
      <c r="AA5422">
        <v>2</v>
      </c>
      <c r="AB5422">
        <v>5</v>
      </c>
      <c r="AD5422">
        <v>0</v>
      </c>
      <c r="AE5422">
        <v>0</v>
      </c>
      <c r="AF5422">
        <v>0</v>
      </c>
      <c r="AG5422">
        <v>0</v>
      </c>
      <c r="AI5422">
        <v>0</v>
      </c>
      <c r="AJ5422">
        <v>23</v>
      </c>
      <c r="AK5422">
        <v>260</v>
      </c>
      <c r="AL5422">
        <v>260</v>
      </c>
      <c r="AM5422">
        <v>310</v>
      </c>
      <c r="AN5422">
        <v>46</v>
      </c>
      <c r="AP5422">
        <v>1</v>
      </c>
      <c r="AR5422" t="s">
        <v>5527</v>
      </c>
      <c r="AS5422" s="1">
        <v>44354.242361111108</v>
      </c>
      <c r="AT5422" s="1">
        <v>44354.24428240741</v>
      </c>
      <c r="AU5422" s="1">
        <v>44354.24496527778</v>
      </c>
      <c r="AV5422" t="s">
        <v>71</v>
      </c>
      <c r="AW5422" t="s">
        <v>72</v>
      </c>
      <c r="AX5422" t="s">
        <v>73</v>
      </c>
    </row>
    <row r="5423" spans="1:50" x14ac:dyDescent="0.3">
      <c r="A5423" t="str">
        <f>"201345B0000"</f>
        <v>201345B0000</v>
      </c>
      <c r="B5423" t="str">
        <f>"201345B00002"</f>
        <v>201345B00002</v>
      </c>
      <c r="C5423" t="str">
        <f t="shared" si="269"/>
        <v>20</v>
      </c>
      <c r="D5423" t="s">
        <v>67</v>
      </c>
      <c r="E5423" t="str">
        <f t="shared" si="270"/>
        <v>024</v>
      </c>
      <c r="F5423" t="s">
        <v>5370</v>
      </c>
      <c r="G5423" t="str">
        <f>"1345"</f>
        <v>1345</v>
      </c>
      <c r="H5423" t="str">
        <f>"0000"</f>
        <v>0000</v>
      </c>
      <c r="I5423" t="s">
        <v>69</v>
      </c>
      <c r="J5423">
        <v>0</v>
      </c>
      <c r="K5423">
        <v>1</v>
      </c>
      <c r="L5423">
        <v>2</v>
      </c>
      <c r="M5423">
        <v>362</v>
      </c>
      <c r="N5423">
        <v>184</v>
      </c>
      <c r="O5423">
        <v>0</v>
      </c>
      <c r="P5423">
        <v>184</v>
      </c>
      <c r="Q5423">
        <v>5</v>
      </c>
      <c r="R5423">
        <v>123</v>
      </c>
      <c r="S5423">
        <v>1</v>
      </c>
      <c r="T5423">
        <v>4</v>
      </c>
      <c r="U5423">
        <v>1</v>
      </c>
      <c r="V5423">
        <v>1</v>
      </c>
      <c r="W5423">
        <v>1</v>
      </c>
      <c r="X5423">
        <v>15</v>
      </c>
      <c r="Y5423">
        <v>22</v>
      </c>
      <c r="Z5423">
        <v>0</v>
      </c>
      <c r="AA5423">
        <v>2</v>
      </c>
      <c r="AB5423">
        <v>0</v>
      </c>
      <c r="AD5423">
        <v>0</v>
      </c>
      <c r="AE5423">
        <v>0</v>
      </c>
      <c r="AF5423">
        <v>0</v>
      </c>
      <c r="AG5423">
        <v>0</v>
      </c>
      <c r="AI5423">
        <v>0</v>
      </c>
      <c r="AJ5423">
        <v>9</v>
      </c>
      <c r="AK5423">
        <v>184</v>
      </c>
      <c r="AL5423">
        <v>184</v>
      </c>
      <c r="AM5423">
        <v>502</v>
      </c>
      <c r="AN5423">
        <v>44</v>
      </c>
      <c r="AP5423">
        <v>1</v>
      </c>
      <c r="AR5423" t="s">
        <v>5528</v>
      </c>
      <c r="AS5423" s="1">
        <v>44354.052777777775</v>
      </c>
      <c r="AT5423" s="1">
        <v>44354.059664351851</v>
      </c>
      <c r="AU5423" s="1">
        <v>44354.060497685183</v>
      </c>
      <c r="AV5423" t="s">
        <v>71</v>
      </c>
      <c r="AW5423" t="s">
        <v>72</v>
      </c>
      <c r="AX5423" t="s">
        <v>73</v>
      </c>
    </row>
    <row r="5424" spans="1:50" x14ac:dyDescent="0.3">
      <c r="A5424" t="str">
        <f>"201345C0100"</f>
        <v>201345C0100</v>
      </c>
      <c r="B5424" t="str">
        <f>"201345C01002"</f>
        <v>201345C01002</v>
      </c>
      <c r="C5424" t="str">
        <f t="shared" si="269"/>
        <v>20</v>
      </c>
      <c r="D5424" t="s">
        <v>67</v>
      </c>
      <c r="E5424" t="str">
        <f t="shared" si="270"/>
        <v>024</v>
      </c>
      <c r="F5424" t="s">
        <v>5370</v>
      </c>
      <c r="G5424" t="str">
        <f>"1345"</f>
        <v>1345</v>
      </c>
      <c r="H5424" t="str">
        <f>"0001"</f>
        <v>0001</v>
      </c>
      <c r="I5424" t="s">
        <v>75</v>
      </c>
      <c r="J5424">
        <v>0</v>
      </c>
      <c r="K5424">
        <v>1</v>
      </c>
      <c r="L5424">
        <v>2</v>
      </c>
      <c r="M5424">
        <v>322</v>
      </c>
      <c r="N5424">
        <v>224</v>
      </c>
      <c r="O5424">
        <v>1</v>
      </c>
      <c r="P5424">
        <v>224</v>
      </c>
      <c r="Q5424">
        <v>5</v>
      </c>
      <c r="R5424">
        <v>137</v>
      </c>
      <c r="S5424">
        <v>1</v>
      </c>
      <c r="T5424">
        <v>3</v>
      </c>
      <c r="U5424">
        <v>4</v>
      </c>
      <c r="V5424">
        <v>3</v>
      </c>
      <c r="W5424">
        <v>2</v>
      </c>
      <c r="X5424">
        <v>28</v>
      </c>
      <c r="Y5424">
        <v>31</v>
      </c>
      <c r="Z5424">
        <v>0</v>
      </c>
      <c r="AA5424">
        <v>0</v>
      </c>
      <c r="AB5424">
        <v>0</v>
      </c>
      <c r="AD5424">
        <v>1</v>
      </c>
      <c r="AE5424">
        <v>2</v>
      </c>
      <c r="AF5424">
        <v>0</v>
      </c>
      <c r="AG5424">
        <v>0</v>
      </c>
      <c r="AI5424">
        <v>0</v>
      </c>
      <c r="AJ5424">
        <v>7</v>
      </c>
      <c r="AK5424">
        <v>224</v>
      </c>
      <c r="AL5424">
        <v>224</v>
      </c>
      <c r="AM5424">
        <v>502</v>
      </c>
      <c r="AN5424">
        <v>44</v>
      </c>
      <c r="AP5424">
        <v>1</v>
      </c>
      <c r="AR5424" t="s">
        <v>5529</v>
      </c>
      <c r="AS5424" s="1">
        <v>44354.054166666669</v>
      </c>
      <c r="AT5424" s="1">
        <v>44354.060624999998</v>
      </c>
      <c r="AU5424" s="1">
        <v>44354.061550925922</v>
      </c>
      <c r="AV5424" t="s">
        <v>71</v>
      </c>
      <c r="AW5424" t="s">
        <v>72</v>
      </c>
      <c r="AX5424" t="s">
        <v>73</v>
      </c>
    </row>
    <row r="5425" spans="1:50" x14ac:dyDescent="0.3">
      <c r="A5425" t="str">
        <f>"201345C0200"</f>
        <v>201345C0200</v>
      </c>
      <c r="B5425" t="str">
        <f>"201345C02002"</f>
        <v>201345C02002</v>
      </c>
      <c r="C5425" t="str">
        <f t="shared" si="269"/>
        <v>20</v>
      </c>
      <c r="D5425" t="s">
        <v>67</v>
      </c>
      <c r="E5425" t="str">
        <f t="shared" si="270"/>
        <v>024</v>
      </c>
      <c r="F5425" t="s">
        <v>5370</v>
      </c>
      <c r="G5425" t="str">
        <f>"1345"</f>
        <v>1345</v>
      </c>
      <c r="H5425" t="str">
        <f>"0002"</f>
        <v>0002</v>
      </c>
      <c r="I5425" t="s">
        <v>75</v>
      </c>
      <c r="J5425">
        <v>0</v>
      </c>
      <c r="K5425">
        <v>1</v>
      </c>
      <c r="L5425">
        <v>2</v>
      </c>
      <c r="M5425">
        <v>362</v>
      </c>
      <c r="N5425">
        <v>183</v>
      </c>
      <c r="O5425">
        <v>0</v>
      </c>
      <c r="P5425">
        <v>183</v>
      </c>
      <c r="Q5425">
        <v>2</v>
      </c>
      <c r="R5425">
        <v>124</v>
      </c>
      <c r="S5425">
        <v>2</v>
      </c>
      <c r="T5425">
        <v>4</v>
      </c>
      <c r="U5425">
        <v>2</v>
      </c>
      <c r="V5425">
        <v>0</v>
      </c>
      <c r="W5425">
        <v>1</v>
      </c>
      <c r="X5425">
        <v>14</v>
      </c>
      <c r="Y5425">
        <v>24</v>
      </c>
      <c r="Z5425">
        <v>3</v>
      </c>
      <c r="AA5425">
        <v>1</v>
      </c>
      <c r="AB5425">
        <v>1</v>
      </c>
      <c r="AD5425">
        <v>1</v>
      </c>
      <c r="AE5425">
        <v>0</v>
      </c>
      <c r="AF5425">
        <v>0</v>
      </c>
      <c r="AG5425">
        <v>0</v>
      </c>
      <c r="AI5425">
        <v>0</v>
      </c>
      <c r="AJ5425">
        <v>0</v>
      </c>
      <c r="AK5425">
        <v>183</v>
      </c>
      <c r="AL5425">
        <v>179</v>
      </c>
      <c r="AM5425">
        <v>501</v>
      </c>
      <c r="AN5425">
        <v>44</v>
      </c>
      <c r="AP5425">
        <v>1</v>
      </c>
      <c r="AR5425" t="s">
        <v>5530</v>
      </c>
      <c r="AS5425" s="1">
        <v>44354.064583333333</v>
      </c>
      <c r="AT5425" s="1">
        <v>44354.069571759261</v>
      </c>
      <c r="AU5425" s="1">
        <v>44354.069826388892</v>
      </c>
      <c r="AV5425" t="s">
        <v>71</v>
      </c>
      <c r="AW5425" t="s">
        <v>72</v>
      </c>
      <c r="AX5425" t="s">
        <v>73</v>
      </c>
    </row>
    <row r="5426" spans="1:50" x14ac:dyDescent="0.3">
      <c r="A5426" t="str">
        <f>"201346B0000"</f>
        <v>201346B0000</v>
      </c>
      <c r="B5426" t="str">
        <f>"201346B00002"</f>
        <v>201346B00002</v>
      </c>
      <c r="C5426" t="str">
        <f t="shared" si="269"/>
        <v>20</v>
      </c>
      <c r="D5426" t="s">
        <v>67</v>
      </c>
      <c r="E5426" t="str">
        <f t="shared" si="270"/>
        <v>024</v>
      </c>
      <c r="F5426" t="s">
        <v>5370</v>
      </c>
      <c r="G5426" t="str">
        <f>"1346"</f>
        <v>1346</v>
      </c>
      <c r="H5426" t="str">
        <f>"0000"</f>
        <v>0000</v>
      </c>
      <c r="I5426" t="s">
        <v>69</v>
      </c>
      <c r="J5426">
        <v>0</v>
      </c>
      <c r="K5426">
        <v>1</v>
      </c>
      <c r="L5426">
        <v>2</v>
      </c>
      <c r="M5426">
        <v>269</v>
      </c>
      <c r="N5426">
        <v>159</v>
      </c>
      <c r="O5426">
        <v>2</v>
      </c>
      <c r="P5426">
        <v>159</v>
      </c>
      <c r="Q5426">
        <v>2</v>
      </c>
      <c r="R5426">
        <v>119</v>
      </c>
      <c r="S5426">
        <v>1</v>
      </c>
      <c r="T5426">
        <v>2</v>
      </c>
      <c r="U5426">
        <v>1</v>
      </c>
      <c r="V5426">
        <v>1</v>
      </c>
      <c r="W5426">
        <v>0</v>
      </c>
      <c r="X5426">
        <v>6</v>
      </c>
      <c r="Y5426">
        <v>21</v>
      </c>
      <c r="Z5426">
        <v>0</v>
      </c>
      <c r="AA5426">
        <v>0</v>
      </c>
      <c r="AB5426">
        <v>0</v>
      </c>
      <c r="AD5426">
        <v>0</v>
      </c>
      <c r="AE5426">
        <v>0</v>
      </c>
      <c r="AF5426">
        <v>2</v>
      </c>
      <c r="AG5426">
        <v>0</v>
      </c>
      <c r="AI5426">
        <v>0</v>
      </c>
      <c r="AJ5426">
        <v>4</v>
      </c>
      <c r="AK5426">
        <v>0</v>
      </c>
      <c r="AL5426">
        <v>159</v>
      </c>
      <c r="AM5426">
        <v>384</v>
      </c>
      <c r="AN5426">
        <v>44</v>
      </c>
      <c r="AP5426">
        <v>1</v>
      </c>
      <c r="AR5426" t="s">
        <v>5531</v>
      </c>
      <c r="AS5426" s="1">
        <v>44354.056250000001</v>
      </c>
      <c r="AT5426" s="1">
        <v>44354.061273148145</v>
      </c>
      <c r="AU5426" s="1">
        <v>44354.061712962961</v>
      </c>
      <c r="AV5426" t="s">
        <v>71</v>
      </c>
      <c r="AW5426" t="s">
        <v>72</v>
      </c>
      <c r="AX5426" t="s">
        <v>73</v>
      </c>
    </row>
    <row r="5427" spans="1:50" x14ac:dyDescent="0.3">
      <c r="A5427" t="str">
        <f>"201346C0100"</f>
        <v>201346C0100</v>
      </c>
      <c r="B5427" t="str">
        <f>"201346C01002"</f>
        <v>201346C01002</v>
      </c>
      <c r="C5427" t="str">
        <f t="shared" si="269"/>
        <v>20</v>
      </c>
      <c r="D5427" t="s">
        <v>67</v>
      </c>
      <c r="E5427" t="str">
        <f t="shared" si="270"/>
        <v>024</v>
      </c>
      <c r="F5427" t="s">
        <v>5370</v>
      </c>
      <c r="G5427" t="str">
        <f>"1346"</f>
        <v>1346</v>
      </c>
      <c r="H5427" t="str">
        <f>"0001"</f>
        <v>0001</v>
      </c>
      <c r="I5427" t="s">
        <v>75</v>
      </c>
      <c r="J5427">
        <v>0</v>
      </c>
      <c r="K5427">
        <v>1</v>
      </c>
      <c r="L5427">
        <v>2</v>
      </c>
      <c r="M5427">
        <v>280</v>
      </c>
      <c r="N5427">
        <v>147</v>
      </c>
      <c r="O5427">
        <v>1</v>
      </c>
      <c r="P5427">
        <v>147</v>
      </c>
      <c r="Q5427">
        <v>2</v>
      </c>
      <c r="R5427">
        <v>108</v>
      </c>
      <c r="S5427">
        <v>2</v>
      </c>
      <c r="T5427">
        <v>2</v>
      </c>
      <c r="U5427">
        <v>3</v>
      </c>
      <c r="V5427">
        <v>0</v>
      </c>
      <c r="W5427">
        <v>0</v>
      </c>
      <c r="X5427">
        <v>12</v>
      </c>
      <c r="Y5427">
        <v>12</v>
      </c>
      <c r="Z5427">
        <v>1</v>
      </c>
      <c r="AA5427">
        <v>0</v>
      </c>
      <c r="AB5427">
        <v>0</v>
      </c>
      <c r="AD5427">
        <v>0</v>
      </c>
      <c r="AE5427">
        <v>0</v>
      </c>
      <c r="AF5427">
        <v>0</v>
      </c>
      <c r="AG5427">
        <v>0</v>
      </c>
      <c r="AI5427">
        <v>0</v>
      </c>
      <c r="AJ5427">
        <v>5</v>
      </c>
      <c r="AK5427">
        <v>147</v>
      </c>
      <c r="AL5427">
        <v>147</v>
      </c>
      <c r="AM5427">
        <v>383</v>
      </c>
      <c r="AN5427">
        <v>44</v>
      </c>
      <c r="AP5427">
        <v>1</v>
      </c>
      <c r="AR5427" t="s">
        <v>5532</v>
      </c>
      <c r="AS5427" s="1">
        <v>44354.061111111114</v>
      </c>
      <c r="AT5427" s="1">
        <v>44354.06690972222</v>
      </c>
      <c r="AU5427" s="1">
        <v>44354.067696759259</v>
      </c>
      <c r="AV5427" t="s">
        <v>71</v>
      </c>
      <c r="AW5427" t="s">
        <v>72</v>
      </c>
      <c r="AX5427" t="s">
        <v>73</v>
      </c>
    </row>
    <row r="5428" spans="1:50" x14ac:dyDescent="0.3">
      <c r="A5428" t="str">
        <f>"201347B0000"</f>
        <v>201347B0000</v>
      </c>
      <c r="B5428" t="str">
        <f>"201347B00002"</f>
        <v>201347B00002</v>
      </c>
      <c r="C5428" t="str">
        <f t="shared" si="269"/>
        <v>20</v>
      </c>
      <c r="D5428" t="s">
        <v>67</v>
      </c>
      <c r="E5428" t="str">
        <f t="shared" si="270"/>
        <v>024</v>
      </c>
      <c r="F5428" t="s">
        <v>5370</v>
      </c>
      <c r="G5428" t="str">
        <f>"1347"</f>
        <v>1347</v>
      </c>
      <c r="H5428" t="str">
        <f>"0000"</f>
        <v>0000</v>
      </c>
      <c r="I5428" t="s">
        <v>69</v>
      </c>
      <c r="J5428">
        <v>0</v>
      </c>
      <c r="K5428">
        <v>1</v>
      </c>
      <c r="L5428">
        <v>2</v>
      </c>
      <c r="M5428">
        <v>338</v>
      </c>
      <c r="N5428">
        <v>333</v>
      </c>
      <c r="O5428">
        <v>0</v>
      </c>
      <c r="P5428" t="s">
        <v>80</v>
      </c>
      <c r="Q5428">
        <v>0</v>
      </c>
      <c r="R5428">
        <v>69</v>
      </c>
      <c r="S5428">
        <v>7</v>
      </c>
      <c r="T5428">
        <v>2</v>
      </c>
      <c r="U5428">
        <v>0</v>
      </c>
      <c r="V5428">
        <v>1</v>
      </c>
      <c r="W5428">
        <v>4</v>
      </c>
      <c r="X5428">
        <v>147</v>
      </c>
      <c r="Y5428">
        <v>54</v>
      </c>
      <c r="Z5428">
        <v>8</v>
      </c>
      <c r="AA5428">
        <v>20</v>
      </c>
      <c r="AB5428">
        <v>5</v>
      </c>
      <c r="AD5428">
        <v>1</v>
      </c>
      <c r="AE5428">
        <v>1</v>
      </c>
      <c r="AF5428">
        <v>0</v>
      </c>
      <c r="AG5428">
        <v>0</v>
      </c>
      <c r="AI5428">
        <v>0</v>
      </c>
      <c r="AJ5428">
        <v>14</v>
      </c>
      <c r="AK5428">
        <v>333</v>
      </c>
      <c r="AL5428">
        <v>333</v>
      </c>
      <c r="AM5428">
        <v>627</v>
      </c>
      <c r="AN5428">
        <v>44</v>
      </c>
      <c r="AP5428">
        <v>1</v>
      </c>
      <c r="AR5428" t="s">
        <v>5533</v>
      </c>
      <c r="AS5428" s="1">
        <v>44354.28402777778</v>
      </c>
      <c r="AT5428" s="1">
        <v>44354.285416666666</v>
      </c>
      <c r="AU5428" s="1">
        <v>44354.28696759259</v>
      </c>
      <c r="AV5428" t="s">
        <v>71</v>
      </c>
      <c r="AW5428" t="s">
        <v>72</v>
      </c>
      <c r="AX5428" t="s">
        <v>73</v>
      </c>
    </row>
    <row r="5429" spans="1:50" x14ac:dyDescent="0.3">
      <c r="A5429" t="str">
        <f>"201347C0100"</f>
        <v>201347C0100</v>
      </c>
      <c r="B5429" t="str">
        <f>"201347C01002"</f>
        <v>201347C01002</v>
      </c>
      <c r="C5429" t="str">
        <f t="shared" si="269"/>
        <v>20</v>
      </c>
      <c r="D5429" t="s">
        <v>67</v>
      </c>
      <c r="E5429" t="str">
        <f t="shared" si="270"/>
        <v>024</v>
      </c>
      <c r="F5429" t="s">
        <v>5370</v>
      </c>
      <c r="G5429" t="str">
        <f>"1347"</f>
        <v>1347</v>
      </c>
      <c r="H5429" t="str">
        <f>"0001"</f>
        <v>0001</v>
      </c>
      <c r="I5429" t="s">
        <v>75</v>
      </c>
      <c r="J5429">
        <v>0</v>
      </c>
      <c r="K5429">
        <v>1</v>
      </c>
      <c r="L5429">
        <v>2</v>
      </c>
      <c r="M5429">
        <v>342</v>
      </c>
      <c r="N5429">
        <v>329</v>
      </c>
      <c r="O5429">
        <v>0</v>
      </c>
      <c r="P5429">
        <v>329</v>
      </c>
      <c r="Q5429">
        <v>8</v>
      </c>
      <c r="R5429">
        <v>97</v>
      </c>
      <c r="S5429">
        <v>5</v>
      </c>
      <c r="T5429">
        <v>5</v>
      </c>
      <c r="U5429">
        <v>5</v>
      </c>
      <c r="V5429">
        <v>0</v>
      </c>
      <c r="W5429">
        <v>3</v>
      </c>
      <c r="X5429">
        <v>125</v>
      </c>
      <c r="Y5429">
        <v>46</v>
      </c>
      <c r="Z5429">
        <v>4</v>
      </c>
      <c r="AA5429">
        <v>16</v>
      </c>
      <c r="AB5429">
        <v>4</v>
      </c>
      <c r="AD5429" t="s">
        <v>77</v>
      </c>
      <c r="AE5429" t="s">
        <v>77</v>
      </c>
      <c r="AF5429">
        <v>1</v>
      </c>
      <c r="AG5429" t="s">
        <v>77</v>
      </c>
      <c r="AI5429" t="s">
        <v>77</v>
      </c>
      <c r="AJ5429">
        <v>10</v>
      </c>
      <c r="AK5429">
        <v>329</v>
      </c>
      <c r="AL5429">
        <v>329</v>
      </c>
      <c r="AM5429">
        <v>627</v>
      </c>
      <c r="AN5429">
        <v>44</v>
      </c>
      <c r="AO5429" t="s">
        <v>78</v>
      </c>
      <c r="AP5429">
        <v>1</v>
      </c>
      <c r="AR5429" t="s">
        <v>5534</v>
      </c>
      <c r="AS5429" s="1">
        <v>44354.288888888892</v>
      </c>
      <c r="AT5429" s="1">
        <v>44354.291296296295</v>
      </c>
      <c r="AU5429" s="1">
        <v>44354.291678240741</v>
      </c>
      <c r="AV5429" t="s">
        <v>71</v>
      </c>
      <c r="AW5429" t="s">
        <v>72</v>
      </c>
      <c r="AX5429" t="s">
        <v>73</v>
      </c>
    </row>
    <row r="5430" spans="1:50" x14ac:dyDescent="0.3">
      <c r="A5430" t="str">
        <f>"201348B0000"</f>
        <v>201348B0000</v>
      </c>
      <c r="B5430" t="str">
        <f>"201348B00002"</f>
        <v>201348B00002</v>
      </c>
      <c r="C5430" t="str">
        <f t="shared" si="269"/>
        <v>20</v>
      </c>
      <c r="D5430" t="s">
        <v>67</v>
      </c>
      <c r="E5430" t="str">
        <f t="shared" si="270"/>
        <v>024</v>
      </c>
      <c r="F5430" t="s">
        <v>5370</v>
      </c>
      <c r="G5430" t="str">
        <f>"1348"</f>
        <v>1348</v>
      </c>
      <c r="H5430" t="str">
        <f>"0000"</f>
        <v>0000</v>
      </c>
      <c r="I5430" t="s">
        <v>69</v>
      </c>
      <c r="J5430">
        <v>0</v>
      </c>
      <c r="K5430">
        <v>1</v>
      </c>
      <c r="L5430">
        <v>2</v>
      </c>
      <c r="M5430">
        <v>428</v>
      </c>
      <c r="N5430">
        <v>148</v>
      </c>
      <c r="O5430">
        <v>0</v>
      </c>
      <c r="P5430" t="s">
        <v>99</v>
      </c>
      <c r="Q5430">
        <v>2</v>
      </c>
      <c r="R5430">
        <v>39</v>
      </c>
      <c r="S5430">
        <v>0</v>
      </c>
      <c r="T5430">
        <v>4</v>
      </c>
      <c r="U5430">
        <v>5</v>
      </c>
      <c r="V5430">
        <v>4</v>
      </c>
      <c r="W5430">
        <v>0</v>
      </c>
      <c r="X5430">
        <v>43</v>
      </c>
      <c r="Y5430">
        <v>24</v>
      </c>
      <c r="Z5430">
        <v>4</v>
      </c>
      <c r="AA5430">
        <v>10</v>
      </c>
      <c r="AB5430">
        <v>4</v>
      </c>
      <c r="AD5430">
        <v>0</v>
      </c>
      <c r="AE5430">
        <v>1</v>
      </c>
      <c r="AF5430">
        <v>0</v>
      </c>
      <c r="AG5430">
        <v>0</v>
      </c>
      <c r="AI5430">
        <v>0</v>
      </c>
      <c r="AJ5430">
        <v>8</v>
      </c>
      <c r="AK5430">
        <v>148</v>
      </c>
      <c r="AL5430">
        <v>148</v>
      </c>
      <c r="AM5430">
        <v>532</v>
      </c>
      <c r="AN5430">
        <v>44</v>
      </c>
      <c r="AP5430">
        <v>1</v>
      </c>
      <c r="AR5430" t="s">
        <v>5535</v>
      </c>
      <c r="AS5430" s="1">
        <v>44354.433333333334</v>
      </c>
      <c r="AT5430" s="1">
        <v>44354.436319444445</v>
      </c>
      <c r="AU5430" s="1">
        <v>44354.437106481484</v>
      </c>
      <c r="AV5430" t="s">
        <v>71</v>
      </c>
      <c r="AW5430" t="s">
        <v>72</v>
      </c>
      <c r="AX5430" t="s">
        <v>73</v>
      </c>
    </row>
    <row r="5431" spans="1:50" x14ac:dyDescent="0.3">
      <c r="A5431" t="str">
        <f>"201348C0100"</f>
        <v>201348C0100</v>
      </c>
      <c r="B5431" t="str">
        <f>"201348C01002"</f>
        <v>201348C01002</v>
      </c>
      <c r="C5431" t="str">
        <f t="shared" si="269"/>
        <v>20</v>
      </c>
      <c r="D5431" t="s">
        <v>67</v>
      </c>
      <c r="E5431" t="str">
        <f t="shared" si="270"/>
        <v>024</v>
      </c>
      <c r="F5431" t="s">
        <v>5370</v>
      </c>
      <c r="G5431" t="str">
        <f>"1348"</f>
        <v>1348</v>
      </c>
      <c r="H5431" t="str">
        <f>"0001"</f>
        <v>0001</v>
      </c>
      <c r="I5431" t="s">
        <v>75</v>
      </c>
      <c r="J5431">
        <v>0</v>
      </c>
      <c r="K5431">
        <v>1</v>
      </c>
      <c r="L5431">
        <v>2</v>
      </c>
      <c r="M5431">
        <v>391</v>
      </c>
      <c r="N5431">
        <v>185</v>
      </c>
      <c r="O5431">
        <v>0</v>
      </c>
      <c r="P5431">
        <v>185</v>
      </c>
      <c r="Q5431">
        <v>3</v>
      </c>
      <c r="R5431">
        <v>40</v>
      </c>
      <c r="S5431">
        <v>2</v>
      </c>
      <c r="T5431">
        <v>3</v>
      </c>
      <c r="U5431">
        <v>10</v>
      </c>
      <c r="V5431">
        <v>0</v>
      </c>
      <c r="W5431">
        <v>3</v>
      </c>
      <c r="X5431">
        <v>55</v>
      </c>
      <c r="Y5431">
        <v>35</v>
      </c>
      <c r="Z5431">
        <v>7</v>
      </c>
      <c r="AA5431">
        <v>12</v>
      </c>
      <c r="AB5431">
        <v>5</v>
      </c>
      <c r="AD5431">
        <v>2</v>
      </c>
      <c r="AE5431">
        <v>1</v>
      </c>
      <c r="AF5431">
        <v>0</v>
      </c>
      <c r="AG5431">
        <v>0</v>
      </c>
      <c r="AI5431">
        <v>0</v>
      </c>
      <c r="AJ5431">
        <v>10</v>
      </c>
      <c r="AK5431">
        <v>185</v>
      </c>
      <c r="AL5431">
        <v>188</v>
      </c>
      <c r="AM5431">
        <v>532</v>
      </c>
      <c r="AN5431">
        <v>44</v>
      </c>
      <c r="AP5431">
        <v>1</v>
      </c>
      <c r="AR5431" t="s">
        <v>5536</v>
      </c>
      <c r="AS5431" s="1">
        <v>44354.431944444441</v>
      </c>
      <c r="AT5431" s="1">
        <v>44354.433865740742</v>
      </c>
      <c r="AU5431" s="1">
        <v>44354.43509259259</v>
      </c>
      <c r="AV5431" t="s">
        <v>71</v>
      </c>
      <c r="AW5431" t="s">
        <v>72</v>
      </c>
      <c r="AX5431" t="s">
        <v>73</v>
      </c>
    </row>
    <row r="5432" spans="1:50" x14ac:dyDescent="0.3">
      <c r="A5432" t="str">
        <f>"201348C0200"</f>
        <v>201348C0200</v>
      </c>
      <c r="B5432" t="str">
        <f>"201348C02002"</f>
        <v>201348C02002</v>
      </c>
      <c r="C5432" t="str">
        <f t="shared" si="269"/>
        <v>20</v>
      </c>
      <c r="D5432" t="s">
        <v>67</v>
      </c>
      <c r="E5432" t="str">
        <f t="shared" si="270"/>
        <v>024</v>
      </c>
      <c r="F5432" t="s">
        <v>5370</v>
      </c>
      <c r="G5432" t="str">
        <f>"1348"</f>
        <v>1348</v>
      </c>
      <c r="H5432" t="str">
        <f>"0002"</f>
        <v>0002</v>
      </c>
      <c r="I5432" t="s">
        <v>75</v>
      </c>
      <c r="J5432">
        <v>0</v>
      </c>
      <c r="K5432">
        <v>1</v>
      </c>
      <c r="L5432">
        <v>2</v>
      </c>
      <c r="M5432" t="s">
        <v>80</v>
      </c>
      <c r="N5432" t="s">
        <v>80</v>
      </c>
      <c r="O5432" t="s">
        <v>80</v>
      </c>
      <c r="P5432" t="s">
        <v>80</v>
      </c>
      <c r="Q5432" t="s">
        <v>77</v>
      </c>
      <c r="R5432" t="s">
        <v>77</v>
      </c>
      <c r="S5432" t="s">
        <v>77</v>
      </c>
      <c r="T5432" t="s">
        <v>77</v>
      </c>
      <c r="U5432" t="s">
        <v>77</v>
      </c>
      <c r="V5432" t="s">
        <v>77</v>
      </c>
      <c r="W5432" t="s">
        <v>77</v>
      </c>
      <c r="X5432" t="s">
        <v>77</v>
      </c>
      <c r="Y5432" t="s">
        <v>77</v>
      </c>
      <c r="Z5432" t="s">
        <v>77</v>
      </c>
      <c r="AA5432" t="s">
        <v>77</v>
      </c>
      <c r="AB5432" t="s">
        <v>77</v>
      </c>
      <c r="AD5432" t="s">
        <v>77</v>
      </c>
      <c r="AE5432" t="s">
        <v>77</v>
      </c>
      <c r="AF5432" t="s">
        <v>77</v>
      </c>
      <c r="AG5432" t="s">
        <v>77</v>
      </c>
      <c r="AI5432" t="s">
        <v>77</v>
      </c>
      <c r="AJ5432" t="s">
        <v>77</v>
      </c>
      <c r="AM5432">
        <v>532</v>
      </c>
      <c r="AN5432">
        <v>44</v>
      </c>
      <c r="AO5432" t="s">
        <v>392</v>
      </c>
      <c r="AP5432">
        <v>0</v>
      </c>
      <c r="AR5432" t="s">
        <v>5537</v>
      </c>
      <c r="AS5432" s="1">
        <v>44354.429861111108</v>
      </c>
      <c r="AT5432" s="1">
        <v>44354.431689814817</v>
      </c>
      <c r="AU5432" s="1">
        <v>44354.460787037038</v>
      </c>
      <c r="AV5432" t="s">
        <v>71</v>
      </c>
      <c r="AW5432" t="s">
        <v>72</v>
      </c>
      <c r="AX5432" t="s">
        <v>73</v>
      </c>
    </row>
    <row r="5433" spans="1:50" x14ac:dyDescent="0.3">
      <c r="A5433" t="str">
        <f>"201349B0000"</f>
        <v>201349B0000</v>
      </c>
      <c r="B5433" t="str">
        <f>"201349B00002"</f>
        <v>201349B00002</v>
      </c>
      <c r="C5433" t="str">
        <f t="shared" si="269"/>
        <v>20</v>
      </c>
      <c r="D5433" t="s">
        <v>67</v>
      </c>
      <c r="E5433" t="str">
        <f t="shared" si="270"/>
        <v>024</v>
      </c>
      <c r="F5433" t="s">
        <v>5370</v>
      </c>
      <c r="G5433" t="str">
        <f>"1349"</f>
        <v>1349</v>
      </c>
      <c r="H5433" t="str">
        <f>"0000"</f>
        <v>0000</v>
      </c>
      <c r="I5433" t="s">
        <v>69</v>
      </c>
      <c r="J5433">
        <v>0</v>
      </c>
      <c r="K5433">
        <v>1</v>
      </c>
      <c r="L5433">
        <v>2</v>
      </c>
      <c r="M5433">
        <v>251</v>
      </c>
      <c r="N5433">
        <v>200</v>
      </c>
      <c r="O5433">
        <v>200</v>
      </c>
      <c r="P5433">
        <v>200</v>
      </c>
      <c r="Q5433">
        <v>3</v>
      </c>
      <c r="R5433">
        <v>63</v>
      </c>
      <c r="S5433">
        <v>1</v>
      </c>
      <c r="T5433">
        <v>5</v>
      </c>
      <c r="U5433">
        <v>0</v>
      </c>
      <c r="V5433">
        <v>2</v>
      </c>
      <c r="W5433">
        <v>0</v>
      </c>
      <c r="X5433">
        <v>29</v>
      </c>
      <c r="Y5433">
        <v>72</v>
      </c>
      <c r="Z5433">
        <v>1</v>
      </c>
      <c r="AA5433">
        <v>4</v>
      </c>
      <c r="AB5433">
        <v>5</v>
      </c>
      <c r="AD5433">
        <v>1</v>
      </c>
      <c r="AE5433">
        <v>0</v>
      </c>
      <c r="AF5433">
        <v>0</v>
      </c>
      <c r="AG5433">
        <v>4</v>
      </c>
      <c r="AI5433">
        <v>0</v>
      </c>
      <c r="AJ5433">
        <v>10</v>
      </c>
      <c r="AK5433">
        <v>200</v>
      </c>
      <c r="AL5433">
        <v>200</v>
      </c>
      <c r="AM5433">
        <v>407</v>
      </c>
      <c r="AN5433">
        <v>44</v>
      </c>
      <c r="AP5433">
        <v>1</v>
      </c>
      <c r="AR5433" t="s">
        <v>5538</v>
      </c>
      <c r="AS5433" s="1">
        <v>44354.427083333336</v>
      </c>
      <c r="AT5433" s="1">
        <v>44354.428599537037</v>
      </c>
      <c r="AU5433" s="1">
        <v>44354.429791666669</v>
      </c>
      <c r="AV5433" t="s">
        <v>71</v>
      </c>
      <c r="AW5433" t="s">
        <v>72</v>
      </c>
      <c r="AX5433" t="s">
        <v>73</v>
      </c>
    </row>
    <row r="5434" spans="1:50" x14ac:dyDescent="0.3">
      <c r="A5434" t="str">
        <f>"201349E0100"</f>
        <v>201349E0100</v>
      </c>
      <c r="B5434" t="str">
        <f>"201349E01002"</f>
        <v>201349E01002</v>
      </c>
      <c r="C5434" t="str">
        <f t="shared" si="269"/>
        <v>20</v>
      </c>
      <c r="D5434" t="s">
        <v>67</v>
      </c>
      <c r="E5434" t="str">
        <f t="shared" si="270"/>
        <v>024</v>
      </c>
      <c r="F5434" t="s">
        <v>5370</v>
      </c>
      <c r="G5434" t="str">
        <f>"1349"</f>
        <v>1349</v>
      </c>
      <c r="H5434" t="str">
        <f>"0001"</f>
        <v>0001</v>
      </c>
      <c r="I5434" t="s">
        <v>109</v>
      </c>
      <c r="J5434">
        <v>0</v>
      </c>
      <c r="K5434">
        <v>1</v>
      </c>
      <c r="L5434">
        <v>2</v>
      </c>
      <c r="M5434">
        <v>144</v>
      </c>
      <c r="N5434">
        <v>81</v>
      </c>
      <c r="O5434" t="s">
        <v>80</v>
      </c>
      <c r="P5434">
        <v>81</v>
      </c>
      <c r="Q5434">
        <v>7</v>
      </c>
      <c r="R5434">
        <v>31</v>
      </c>
      <c r="S5434">
        <v>2</v>
      </c>
      <c r="T5434" t="s">
        <v>77</v>
      </c>
      <c r="U5434" t="s">
        <v>77</v>
      </c>
      <c r="V5434">
        <v>2</v>
      </c>
      <c r="W5434">
        <v>2</v>
      </c>
      <c r="X5434">
        <v>12</v>
      </c>
      <c r="Y5434">
        <v>15</v>
      </c>
      <c r="Z5434">
        <v>2</v>
      </c>
      <c r="AA5434">
        <v>4</v>
      </c>
      <c r="AB5434">
        <v>1</v>
      </c>
      <c r="AD5434" t="s">
        <v>77</v>
      </c>
      <c r="AE5434" t="s">
        <v>77</v>
      </c>
      <c r="AF5434" t="s">
        <v>77</v>
      </c>
      <c r="AG5434" t="s">
        <v>77</v>
      </c>
      <c r="AI5434" t="s">
        <v>77</v>
      </c>
      <c r="AJ5434" t="s">
        <v>77</v>
      </c>
      <c r="AK5434" t="s">
        <v>77</v>
      </c>
      <c r="AL5434">
        <v>78</v>
      </c>
      <c r="AM5434">
        <v>181</v>
      </c>
      <c r="AN5434">
        <v>44</v>
      </c>
      <c r="AO5434" t="s">
        <v>78</v>
      </c>
      <c r="AP5434">
        <v>1</v>
      </c>
      <c r="AR5434" t="s">
        <v>5539</v>
      </c>
      <c r="AS5434" s="1">
        <v>44354.436111111114</v>
      </c>
      <c r="AT5434" s="1">
        <v>44354.440972222219</v>
      </c>
      <c r="AU5434" s="1">
        <v>44354.442789351851</v>
      </c>
      <c r="AV5434" t="s">
        <v>71</v>
      </c>
      <c r="AW5434" t="s">
        <v>72</v>
      </c>
      <c r="AX5434" t="s">
        <v>73</v>
      </c>
    </row>
    <row r="5435" spans="1:50" x14ac:dyDescent="0.3">
      <c r="A5435" t="str">
        <f>"201350B0000"</f>
        <v>201350B0000</v>
      </c>
      <c r="B5435" t="str">
        <f>"201350B00002"</f>
        <v>201350B00002</v>
      </c>
      <c r="C5435" t="str">
        <f t="shared" si="269"/>
        <v>20</v>
      </c>
      <c r="D5435" t="s">
        <v>67</v>
      </c>
      <c r="E5435" t="str">
        <f t="shared" si="270"/>
        <v>024</v>
      </c>
      <c r="F5435" t="s">
        <v>5370</v>
      </c>
      <c r="G5435" t="str">
        <f>"1350"</f>
        <v>1350</v>
      </c>
      <c r="H5435" t="str">
        <f>"0000"</f>
        <v>0000</v>
      </c>
      <c r="I5435" t="s">
        <v>69</v>
      </c>
      <c r="J5435">
        <v>0</v>
      </c>
      <c r="K5435">
        <v>1</v>
      </c>
      <c r="L5435">
        <v>2</v>
      </c>
      <c r="M5435">
        <v>311</v>
      </c>
      <c r="N5435">
        <v>177</v>
      </c>
      <c r="O5435">
        <v>0</v>
      </c>
      <c r="P5435">
        <v>177</v>
      </c>
      <c r="Q5435">
        <v>6</v>
      </c>
      <c r="R5435">
        <v>61</v>
      </c>
      <c r="S5435">
        <v>2</v>
      </c>
      <c r="T5435">
        <v>4</v>
      </c>
      <c r="U5435">
        <v>1</v>
      </c>
      <c r="V5435">
        <v>0</v>
      </c>
      <c r="W5435">
        <v>4</v>
      </c>
      <c r="X5435">
        <v>55</v>
      </c>
      <c r="Y5435">
        <v>7</v>
      </c>
      <c r="Z5435">
        <v>4</v>
      </c>
      <c r="AA5435">
        <v>12</v>
      </c>
      <c r="AB5435">
        <v>4</v>
      </c>
      <c r="AD5435">
        <v>2</v>
      </c>
      <c r="AE5435">
        <v>0</v>
      </c>
      <c r="AF5435">
        <v>1</v>
      </c>
      <c r="AG5435">
        <v>1</v>
      </c>
      <c r="AI5435">
        <v>0</v>
      </c>
      <c r="AJ5435">
        <v>13</v>
      </c>
      <c r="AK5435">
        <v>177</v>
      </c>
      <c r="AL5435">
        <v>177</v>
      </c>
      <c r="AM5435">
        <v>445</v>
      </c>
      <c r="AN5435">
        <v>44</v>
      </c>
      <c r="AP5435">
        <v>1</v>
      </c>
      <c r="AR5435" s="2" t="s">
        <v>5540</v>
      </c>
      <c r="AS5435" s="1">
        <v>44354.427777777775</v>
      </c>
      <c r="AT5435" s="1">
        <v>44354.429143518515</v>
      </c>
      <c r="AU5435" s="1">
        <v>44354.429791666669</v>
      </c>
      <c r="AV5435" t="s">
        <v>71</v>
      </c>
      <c r="AW5435" t="s">
        <v>72</v>
      </c>
      <c r="AX5435" t="s">
        <v>73</v>
      </c>
    </row>
    <row r="5436" spans="1:50" x14ac:dyDescent="0.3">
      <c r="A5436" t="str">
        <f>"201350C0100"</f>
        <v>201350C0100</v>
      </c>
      <c r="B5436" t="str">
        <f>"201350C01002"</f>
        <v>201350C01002</v>
      </c>
      <c r="C5436" t="str">
        <f t="shared" si="269"/>
        <v>20</v>
      </c>
      <c r="D5436" t="s">
        <v>67</v>
      </c>
      <c r="E5436" t="str">
        <f t="shared" si="270"/>
        <v>024</v>
      </c>
      <c r="F5436" t="s">
        <v>5370</v>
      </c>
      <c r="G5436" t="str">
        <f>"1350"</f>
        <v>1350</v>
      </c>
      <c r="H5436" t="str">
        <f>"0001"</f>
        <v>0001</v>
      </c>
      <c r="I5436" t="s">
        <v>75</v>
      </c>
      <c r="J5436">
        <v>0</v>
      </c>
      <c r="K5436">
        <v>1</v>
      </c>
      <c r="L5436">
        <v>2</v>
      </c>
      <c r="M5436">
        <v>288</v>
      </c>
      <c r="N5436">
        <v>200</v>
      </c>
      <c r="O5436">
        <v>0</v>
      </c>
      <c r="P5436">
        <v>200</v>
      </c>
      <c r="Q5436">
        <v>4</v>
      </c>
      <c r="R5436">
        <v>74</v>
      </c>
      <c r="S5436">
        <v>3</v>
      </c>
      <c r="T5436">
        <v>2</v>
      </c>
      <c r="U5436">
        <v>3</v>
      </c>
      <c r="V5436">
        <v>2</v>
      </c>
      <c r="W5436">
        <v>1</v>
      </c>
      <c r="X5436">
        <v>75</v>
      </c>
      <c r="Y5436">
        <v>9</v>
      </c>
      <c r="Z5436">
        <v>3</v>
      </c>
      <c r="AA5436">
        <v>13</v>
      </c>
      <c r="AB5436">
        <v>3</v>
      </c>
      <c r="AD5436">
        <v>4</v>
      </c>
      <c r="AE5436">
        <v>0</v>
      </c>
      <c r="AF5436">
        <v>0</v>
      </c>
      <c r="AG5436">
        <v>1</v>
      </c>
      <c r="AI5436">
        <v>0</v>
      </c>
      <c r="AJ5436">
        <v>3</v>
      </c>
      <c r="AK5436">
        <v>200</v>
      </c>
      <c r="AL5436">
        <v>200</v>
      </c>
      <c r="AM5436">
        <v>444</v>
      </c>
      <c r="AN5436">
        <v>44</v>
      </c>
      <c r="AP5436">
        <v>1</v>
      </c>
      <c r="AR5436" t="s">
        <v>5541</v>
      </c>
      <c r="AS5436" s="1">
        <v>44354.425000000003</v>
      </c>
      <c r="AT5436" s="1">
        <v>44354.427905092591</v>
      </c>
      <c r="AU5436" s="1">
        <v>44354.429768518516</v>
      </c>
      <c r="AV5436" t="s">
        <v>71</v>
      </c>
      <c r="AW5436" t="s">
        <v>72</v>
      </c>
      <c r="AX5436" t="s">
        <v>73</v>
      </c>
    </row>
    <row r="5437" spans="1:50" x14ac:dyDescent="0.3">
      <c r="A5437" t="str">
        <f>"201351B0000"</f>
        <v>201351B0000</v>
      </c>
      <c r="B5437" t="str">
        <f>"201351B00002"</f>
        <v>201351B00002</v>
      </c>
      <c r="C5437" t="str">
        <f t="shared" si="269"/>
        <v>20</v>
      </c>
      <c r="D5437" t="s">
        <v>67</v>
      </c>
      <c r="E5437" t="str">
        <f t="shared" si="270"/>
        <v>024</v>
      </c>
      <c r="F5437" t="s">
        <v>5370</v>
      </c>
      <c r="G5437" t="str">
        <f>"1351"</f>
        <v>1351</v>
      </c>
      <c r="H5437" t="str">
        <f>"0000"</f>
        <v>0000</v>
      </c>
      <c r="I5437" t="s">
        <v>69</v>
      </c>
      <c r="J5437">
        <v>0</v>
      </c>
      <c r="K5437">
        <v>1</v>
      </c>
      <c r="L5437">
        <v>2</v>
      </c>
      <c r="M5437">
        <v>286</v>
      </c>
      <c r="N5437">
        <v>106</v>
      </c>
      <c r="O5437">
        <v>5</v>
      </c>
      <c r="P5437">
        <v>106</v>
      </c>
      <c r="Q5437">
        <v>1</v>
      </c>
      <c r="R5437">
        <v>29</v>
      </c>
      <c r="S5437">
        <v>0</v>
      </c>
      <c r="T5437">
        <v>2</v>
      </c>
      <c r="U5437">
        <v>2</v>
      </c>
      <c r="V5437">
        <v>1</v>
      </c>
      <c r="W5437">
        <v>1</v>
      </c>
      <c r="X5437">
        <v>46</v>
      </c>
      <c r="Y5437">
        <v>7</v>
      </c>
      <c r="Z5437">
        <v>7</v>
      </c>
      <c r="AA5437">
        <v>6</v>
      </c>
      <c r="AB5437">
        <v>0</v>
      </c>
      <c r="AD5437">
        <v>2</v>
      </c>
      <c r="AE5437">
        <v>0</v>
      </c>
      <c r="AF5437">
        <v>0</v>
      </c>
      <c r="AG5437">
        <v>0</v>
      </c>
      <c r="AI5437">
        <v>0</v>
      </c>
      <c r="AJ5437">
        <v>2</v>
      </c>
      <c r="AK5437">
        <v>106</v>
      </c>
      <c r="AL5437">
        <v>106</v>
      </c>
      <c r="AM5437">
        <v>348</v>
      </c>
      <c r="AN5437">
        <v>44</v>
      </c>
      <c r="AP5437">
        <v>1</v>
      </c>
      <c r="AR5437" t="s">
        <v>5542</v>
      </c>
      <c r="AS5437" s="1">
        <v>44354.285416666666</v>
      </c>
      <c r="AT5437" s="1">
        <v>44354.286898148152</v>
      </c>
      <c r="AU5437" s="1">
        <v>44354.287569444445</v>
      </c>
      <c r="AV5437" t="s">
        <v>71</v>
      </c>
      <c r="AW5437" t="s">
        <v>72</v>
      </c>
      <c r="AX5437" t="s">
        <v>73</v>
      </c>
    </row>
    <row r="5438" spans="1:50" x14ac:dyDescent="0.3">
      <c r="A5438" t="str">
        <f>"201396B0000"</f>
        <v>201396B0000</v>
      </c>
      <c r="B5438" t="str">
        <f>"201396B00002"</f>
        <v>201396B00002</v>
      </c>
      <c r="C5438" t="str">
        <f t="shared" si="269"/>
        <v>20</v>
      </c>
      <c r="D5438" t="s">
        <v>67</v>
      </c>
      <c r="E5438" t="str">
        <f t="shared" si="270"/>
        <v>024</v>
      </c>
      <c r="F5438" t="s">
        <v>5370</v>
      </c>
      <c r="G5438" t="str">
        <f>"1396"</f>
        <v>1396</v>
      </c>
      <c r="H5438" t="str">
        <f>"0000"</f>
        <v>0000</v>
      </c>
      <c r="I5438" t="s">
        <v>69</v>
      </c>
      <c r="J5438">
        <v>0</v>
      </c>
      <c r="K5438">
        <v>1</v>
      </c>
      <c r="L5438">
        <v>2</v>
      </c>
      <c r="M5438">
        <v>432</v>
      </c>
      <c r="N5438">
        <v>180</v>
      </c>
      <c r="O5438">
        <v>0</v>
      </c>
      <c r="P5438">
        <v>180</v>
      </c>
      <c r="Q5438">
        <v>6</v>
      </c>
      <c r="R5438">
        <v>17</v>
      </c>
      <c r="S5438">
        <v>5</v>
      </c>
      <c r="T5438">
        <v>2</v>
      </c>
      <c r="U5438">
        <v>8</v>
      </c>
      <c r="V5438">
        <v>1</v>
      </c>
      <c r="W5438">
        <v>3</v>
      </c>
      <c r="X5438">
        <v>99</v>
      </c>
      <c r="Y5438">
        <v>10</v>
      </c>
      <c r="Z5438">
        <v>6</v>
      </c>
      <c r="AA5438">
        <v>3</v>
      </c>
      <c r="AB5438">
        <v>7</v>
      </c>
      <c r="AD5438">
        <v>1</v>
      </c>
      <c r="AE5438">
        <v>0</v>
      </c>
      <c r="AF5438">
        <v>0</v>
      </c>
      <c r="AG5438">
        <v>0</v>
      </c>
      <c r="AI5438">
        <v>0</v>
      </c>
      <c r="AJ5438">
        <v>12</v>
      </c>
      <c r="AK5438">
        <v>180</v>
      </c>
      <c r="AL5438">
        <v>180</v>
      </c>
      <c r="AM5438">
        <v>568</v>
      </c>
      <c r="AN5438">
        <v>44</v>
      </c>
      <c r="AP5438">
        <v>1</v>
      </c>
      <c r="AR5438" t="s">
        <v>5543</v>
      </c>
      <c r="AS5438" s="1">
        <v>44353.961805555555</v>
      </c>
      <c r="AT5438" s="1">
        <v>44353.963483796295</v>
      </c>
      <c r="AU5438" s="1">
        <v>44353.963946759257</v>
      </c>
      <c r="AV5438" t="s">
        <v>71</v>
      </c>
      <c r="AW5438" t="s">
        <v>72</v>
      </c>
      <c r="AX5438" t="s">
        <v>73</v>
      </c>
    </row>
    <row r="5439" spans="1:50" x14ac:dyDescent="0.3">
      <c r="A5439" t="str">
        <f>"201396C0100"</f>
        <v>201396C0100</v>
      </c>
      <c r="B5439" t="str">
        <f>"201396C01002"</f>
        <v>201396C01002</v>
      </c>
      <c r="C5439" t="str">
        <f t="shared" si="269"/>
        <v>20</v>
      </c>
      <c r="D5439" t="s">
        <v>67</v>
      </c>
      <c r="E5439" t="str">
        <f t="shared" si="270"/>
        <v>024</v>
      </c>
      <c r="F5439" t="s">
        <v>5370</v>
      </c>
      <c r="G5439" t="str">
        <f>"1396"</f>
        <v>1396</v>
      </c>
      <c r="H5439" t="str">
        <f>"0001"</f>
        <v>0001</v>
      </c>
      <c r="I5439" t="s">
        <v>75</v>
      </c>
      <c r="J5439">
        <v>0</v>
      </c>
      <c r="K5439">
        <v>1</v>
      </c>
      <c r="L5439">
        <v>2</v>
      </c>
      <c r="M5439">
        <v>446</v>
      </c>
      <c r="N5439">
        <v>166</v>
      </c>
      <c r="O5439">
        <v>0</v>
      </c>
      <c r="P5439">
        <v>166</v>
      </c>
      <c r="Q5439">
        <v>9</v>
      </c>
      <c r="R5439">
        <v>17</v>
      </c>
      <c r="S5439">
        <v>3</v>
      </c>
      <c r="T5439">
        <v>3</v>
      </c>
      <c r="U5439">
        <v>11</v>
      </c>
      <c r="V5439">
        <v>3</v>
      </c>
      <c r="W5439">
        <v>2</v>
      </c>
      <c r="X5439">
        <v>82</v>
      </c>
      <c r="Y5439">
        <v>18</v>
      </c>
      <c r="Z5439">
        <v>3</v>
      </c>
      <c r="AA5439">
        <v>2</v>
      </c>
      <c r="AB5439">
        <v>5</v>
      </c>
      <c r="AD5439">
        <v>2</v>
      </c>
      <c r="AE5439">
        <v>0</v>
      </c>
      <c r="AF5439">
        <v>0</v>
      </c>
      <c r="AG5439">
        <v>0</v>
      </c>
      <c r="AI5439">
        <v>0</v>
      </c>
      <c r="AJ5439">
        <v>6</v>
      </c>
      <c r="AK5439">
        <v>166</v>
      </c>
      <c r="AL5439">
        <v>166</v>
      </c>
      <c r="AM5439">
        <v>568</v>
      </c>
      <c r="AN5439">
        <v>44</v>
      </c>
      <c r="AP5439">
        <v>1</v>
      </c>
      <c r="AR5439" t="s">
        <v>5544</v>
      </c>
      <c r="AS5439" s="1">
        <v>44353.969444444447</v>
      </c>
      <c r="AT5439" s="1">
        <v>44353.971203703702</v>
      </c>
      <c r="AU5439" s="1">
        <v>44353.971817129626</v>
      </c>
      <c r="AV5439" t="s">
        <v>71</v>
      </c>
      <c r="AW5439" t="s">
        <v>72</v>
      </c>
      <c r="AX5439" t="s">
        <v>73</v>
      </c>
    </row>
    <row r="5440" spans="1:50" x14ac:dyDescent="0.3">
      <c r="A5440" t="str">
        <f>"201397B0000"</f>
        <v>201397B0000</v>
      </c>
      <c r="B5440" t="str">
        <f>"201397B00002"</f>
        <v>201397B00002</v>
      </c>
      <c r="C5440" t="str">
        <f t="shared" si="269"/>
        <v>20</v>
      </c>
      <c r="D5440" t="s">
        <v>67</v>
      </c>
      <c r="E5440" t="str">
        <f t="shared" si="270"/>
        <v>024</v>
      </c>
      <c r="F5440" t="s">
        <v>5370</v>
      </c>
      <c r="G5440" t="str">
        <f>"1397"</f>
        <v>1397</v>
      </c>
      <c r="H5440" t="str">
        <f>"0000"</f>
        <v>0000</v>
      </c>
      <c r="I5440" t="s">
        <v>69</v>
      </c>
      <c r="J5440">
        <v>0</v>
      </c>
      <c r="K5440">
        <v>1</v>
      </c>
      <c r="L5440">
        <v>2</v>
      </c>
      <c r="M5440">
        <v>381</v>
      </c>
      <c r="N5440">
        <v>180</v>
      </c>
      <c r="O5440">
        <v>0</v>
      </c>
      <c r="P5440">
        <v>180</v>
      </c>
      <c r="Q5440">
        <v>3</v>
      </c>
      <c r="R5440">
        <v>44</v>
      </c>
      <c r="S5440">
        <v>7</v>
      </c>
      <c r="T5440">
        <v>4</v>
      </c>
      <c r="U5440">
        <v>10</v>
      </c>
      <c r="V5440">
        <v>3</v>
      </c>
      <c r="W5440">
        <v>3</v>
      </c>
      <c r="X5440">
        <v>65</v>
      </c>
      <c r="Y5440">
        <v>18</v>
      </c>
      <c r="Z5440">
        <v>1</v>
      </c>
      <c r="AA5440">
        <v>3</v>
      </c>
      <c r="AB5440">
        <v>3</v>
      </c>
      <c r="AD5440">
        <v>1</v>
      </c>
      <c r="AE5440">
        <v>1</v>
      </c>
      <c r="AF5440">
        <v>0</v>
      </c>
      <c r="AG5440">
        <v>0</v>
      </c>
      <c r="AI5440">
        <v>0</v>
      </c>
      <c r="AJ5440">
        <v>14</v>
      </c>
      <c r="AK5440">
        <v>180</v>
      </c>
      <c r="AL5440">
        <v>180</v>
      </c>
      <c r="AM5440">
        <v>517</v>
      </c>
      <c r="AN5440">
        <v>44</v>
      </c>
      <c r="AP5440">
        <v>1</v>
      </c>
      <c r="AR5440" t="s">
        <v>5545</v>
      </c>
      <c r="AS5440" s="1">
        <v>44353.972916666666</v>
      </c>
      <c r="AT5440" s="1">
        <v>44353.974537037036</v>
      </c>
      <c r="AU5440" s="1">
        <v>44353.975266203706</v>
      </c>
      <c r="AV5440" t="s">
        <v>71</v>
      </c>
      <c r="AW5440" t="s">
        <v>72</v>
      </c>
      <c r="AX5440" t="s">
        <v>73</v>
      </c>
    </row>
    <row r="5441" spans="1:50" x14ac:dyDescent="0.3">
      <c r="A5441" t="str">
        <f>"201397C0100"</f>
        <v>201397C0100</v>
      </c>
      <c r="B5441" t="str">
        <f>"201397C01002"</f>
        <v>201397C01002</v>
      </c>
      <c r="C5441" t="str">
        <f t="shared" si="269"/>
        <v>20</v>
      </c>
      <c r="D5441" t="s">
        <v>67</v>
      </c>
      <c r="E5441" t="str">
        <f t="shared" si="270"/>
        <v>024</v>
      </c>
      <c r="F5441" t="s">
        <v>5370</v>
      </c>
      <c r="G5441" t="str">
        <f>"1397"</f>
        <v>1397</v>
      </c>
      <c r="H5441" t="str">
        <f>"0001"</f>
        <v>0001</v>
      </c>
      <c r="I5441" t="s">
        <v>75</v>
      </c>
      <c r="J5441">
        <v>0</v>
      </c>
      <c r="K5441">
        <v>1</v>
      </c>
      <c r="L5441">
        <v>2</v>
      </c>
      <c r="M5441">
        <v>400</v>
      </c>
      <c r="N5441">
        <v>161</v>
      </c>
      <c r="O5441">
        <v>0</v>
      </c>
      <c r="P5441">
        <v>161</v>
      </c>
      <c r="Q5441">
        <v>10</v>
      </c>
      <c r="R5441">
        <v>41</v>
      </c>
      <c r="S5441">
        <v>4</v>
      </c>
      <c r="T5441">
        <v>2</v>
      </c>
      <c r="U5441">
        <v>5</v>
      </c>
      <c r="V5441">
        <v>3</v>
      </c>
      <c r="W5441">
        <v>0</v>
      </c>
      <c r="X5441">
        <v>65</v>
      </c>
      <c r="Y5441">
        <v>14</v>
      </c>
      <c r="Z5441">
        <v>1</v>
      </c>
      <c r="AA5441">
        <v>1</v>
      </c>
      <c r="AB5441">
        <v>4</v>
      </c>
      <c r="AD5441">
        <v>1</v>
      </c>
      <c r="AE5441">
        <v>0</v>
      </c>
      <c r="AF5441">
        <v>0</v>
      </c>
      <c r="AG5441">
        <v>0</v>
      </c>
      <c r="AI5441">
        <v>0</v>
      </c>
      <c r="AJ5441">
        <v>10</v>
      </c>
      <c r="AK5441">
        <v>161</v>
      </c>
      <c r="AL5441">
        <v>161</v>
      </c>
      <c r="AM5441">
        <v>517</v>
      </c>
      <c r="AN5441">
        <v>44</v>
      </c>
      <c r="AP5441">
        <v>1</v>
      </c>
      <c r="AR5441" s="2" t="s">
        <v>5546</v>
      </c>
      <c r="AS5441" s="1">
        <v>44353.959722222222</v>
      </c>
      <c r="AT5441" s="1">
        <v>44353.961747685185</v>
      </c>
      <c r="AU5441" s="1">
        <v>44353.962453703702</v>
      </c>
      <c r="AV5441" t="s">
        <v>71</v>
      </c>
      <c r="AW5441" t="s">
        <v>72</v>
      </c>
      <c r="AX5441" t="s">
        <v>73</v>
      </c>
    </row>
    <row r="5442" spans="1:50" x14ac:dyDescent="0.3">
      <c r="A5442" t="str">
        <f>"201419B0000"</f>
        <v>201419B0000</v>
      </c>
      <c r="B5442" t="str">
        <f>"201419B00002"</f>
        <v>201419B00002</v>
      </c>
      <c r="C5442" t="str">
        <f t="shared" si="269"/>
        <v>20</v>
      </c>
      <c r="D5442" t="s">
        <v>67</v>
      </c>
      <c r="E5442" t="str">
        <f t="shared" si="270"/>
        <v>024</v>
      </c>
      <c r="F5442" t="s">
        <v>5370</v>
      </c>
      <c r="G5442" t="str">
        <f>"1419"</f>
        <v>1419</v>
      </c>
      <c r="H5442" t="str">
        <f>"0000"</f>
        <v>0000</v>
      </c>
      <c r="I5442" t="s">
        <v>69</v>
      </c>
      <c r="J5442">
        <v>0</v>
      </c>
      <c r="K5442">
        <v>1</v>
      </c>
      <c r="L5442">
        <v>2</v>
      </c>
      <c r="M5442">
        <v>293</v>
      </c>
      <c r="N5442">
        <v>327</v>
      </c>
      <c r="O5442">
        <v>2</v>
      </c>
      <c r="P5442">
        <v>327</v>
      </c>
      <c r="Q5442">
        <v>5</v>
      </c>
      <c r="R5442">
        <v>157</v>
      </c>
      <c r="S5442">
        <v>2</v>
      </c>
      <c r="T5442">
        <v>4</v>
      </c>
      <c r="U5442">
        <v>7</v>
      </c>
      <c r="V5442">
        <v>4</v>
      </c>
      <c r="W5442">
        <v>3</v>
      </c>
      <c r="X5442">
        <v>79</v>
      </c>
      <c r="Y5442">
        <v>35</v>
      </c>
      <c r="Z5442">
        <v>5</v>
      </c>
      <c r="AA5442">
        <v>4</v>
      </c>
      <c r="AB5442">
        <v>6</v>
      </c>
      <c r="AD5442">
        <v>3</v>
      </c>
      <c r="AE5442">
        <v>0</v>
      </c>
      <c r="AF5442">
        <v>0</v>
      </c>
      <c r="AG5442">
        <v>1</v>
      </c>
      <c r="AI5442">
        <v>0</v>
      </c>
      <c r="AJ5442">
        <v>12</v>
      </c>
      <c r="AK5442">
        <v>327</v>
      </c>
      <c r="AL5442">
        <v>327</v>
      </c>
      <c r="AM5442">
        <v>576</v>
      </c>
      <c r="AN5442">
        <v>44</v>
      </c>
      <c r="AP5442">
        <v>1</v>
      </c>
      <c r="AR5442" t="s">
        <v>5547</v>
      </c>
      <c r="AS5442" s="1">
        <v>44354.34097222222</v>
      </c>
      <c r="AT5442" s="1">
        <v>44354.343425925923</v>
      </c>
      <c r="AU5442" s="1">
        <v>44354.344155092593</v>
      </c>
      <c r="AV5442" t="s">
        <v>71</v>
      </c>
      <c r="AW5442" t="s">
        <v>72</v>
      </c>
      <c r="AX5442" t="s">
        <v>73</v>
      </c>
    </row>
    <row r="5443" spans="1:50" x14ac:dyDescent="0.3">
      <c r="A5443" t="str">
        <f>"201419E0100"</f>
        <v>201419E0100</v>
      </c>
      <c r="B5443" t="str">
        <f>"201419E01002"</f>
        <v>201419E01002</v>
      </c>
      <c r="C5443" t="str">
        <f t="shared" si="269"/>
        <v>20</v>
      </c>
      <c r="D5443" t="s">
        <v>67</v>
      </c>
      <c r="E5443" t="str">
        <f t="shared" si="270"/>
        <v>024</v>
      </c>
      <c r="F5443" t="s">
        <v>5370</v>
      </c>
      <c r="G5443" t="str">
        <f>"1419"</f>
        <v>1419</v>
      </c>
      <c r="H5443" t="str">
        <f>"0001"</f>
        <v>0001</v>
      </c>
      <c r="I5443" t="s">
        <v>109</v>
      </c>
      <c r="J5443">
        <v>0</v>
      </c>
      <c r="K5443">
        <v>1</v>
      </c>
      <c r="L5443">
        <v>2</v>
      </c>
      <c r="M5443">
        <v>218</v>
      </c>
      <c r="N5443">
        <v>221</v>
      </c>
      <c r="O5443">
        <v>3</v>
      </c>
      <c r="P5443">
        <v>221</v>
      </c>
      <c r="Q5443">
        <v>1</v>
      </c>
      <c r="R5443">
        <v>147</v>
      </c>
      <c r="S5443">
        <v>3</v>
      </c>
      <c r="T5443">
        <v>3</v>
      </c>
      <c r="U5443">
        <v>8</v>
      </c>
      <c r="V5443">
        <v>1</v>
      </c>
      <c r="W5443">
        <v>1</v>
      </c>
      <c r="X5443">
        <v>37</v>
      </c>
      <c r="Y5443">
        <v>9</v>
      </c>
      <c r="Z5443">
        <v>1</v>
      </c>
      <c r="AA5443">
        <v>1</v>
      </c>
      <c r="AB5443">
        <v>2</v>
      </c>
      <c r="AD5443">
        <v>1</v>
      </c>
      <c r="AE5443">
        <v>0</v>
      </c>
      <c r="AF5443">
        <v>0</v>
      </c>
      <c r="AG5443">
        <v>0</v>
      </c>
      <c r="AI5443">
        <v>0</v>
      </c>
      <c r="AJ5443">
        <v>6</v>
      </c>
      <c r="AK5443">
        <v>221</v>
      </c>
      <c r="AL5443">
        <v>221</v>
      </c>
      <c r="AM5443">
        <v>395</v>
      </c>
      <c r="AN5443">
        <v>44</v>
      </c>
      <c r="AP5443">
        <v>1</v>
      </c>
      <c r="AR5443" t="s">
        <v>5548</v>
      </c>
      <c r="AS5443" s="1">
        <v>44354.24722222222</v>
      </c>
      <c r="AT5443" s="1">
        <v>44354.249224537038</v>
      </c>
      <c r="AU5443" s="1">
        <v>44354.249861111108</v>
      </c>
      <c r="AV5443" t="s">
        <v>71</v>
      </c>
      <c r="AW5443" t="s">
        <v>72</v>
      </c>
      <c r="AX5443" t="s">
        <v>73</v>
      </c>
    </row>
    <row r="5444" spans="1:50" x14ac:dyDescent="0.3">
      <c r="A5444" t="str">
        <f>"201420B0000"</f>
        <v>201420B0000</v>
      </c>
      <c r="B5444" t="str">
        <f>"201420B00002"</f>
        <v>201420B00002</v>
      </c>
      <c r="C5444" t="str">
        <f t="shared" si="269"/>
        <v>20</v>
      </c>
      <c r="D5444" t="s">
        <v>67</v>
      </c>
      <c r="E5444" t="str">
        <f t="shared" si="270"/>
        <v>024</v>
      </c>
      <c r="F5444" t="s">
        <v>5370</v>
      </c>
      <c r="G5444" t="str">
        <f>"1420"</f>
        <v>1420</v>
      </c>
      <c r="H5444" t="str">
        <f>"0000"</f>
        <v>0000</v>
      </c>
      <c r="I5444" t="s">
        <v>69</v>
      </c>
      <c r="J5444">
        <v>0</v>
      </c>
      <c r="K5444">
        <v>1</v>
      </c>
      <c r="L5444">
        <v>2</v>
      </c>
      <c r="M5444">
        <v>294</v>
      </c>
      <c r="N5444">
        <v>279</v>
      </c>
      <c r="O5444">
        <v>8</v>
      </c>
      <c r="P5444">
        <v>279</v>
      </c>
      <c r="Q5444">
        <v>3</v>
      </c>
      <c r="R5444">
        <v>98</v>
      </c>
      <c r="S5444">
        <v>1</v>
      </c>
      <c r="T5444">
        <v>9</v>
      </c>
      <c r="U5444">
        <v>5</v>
      </c>
      <c r="V5444">
        <v>4</v>
      </c>
      <c r="W5444">
        <v>1</v>
      </c>
      <c r="X5444">
        <v>88</v>
      </c>
      <c r="Y5444">
        <v>49</v>
      </c>
      <c r="Z5444">
        <v>6</v>
      </c>
      <c r="AA5444">
        <v>2</v>
      </c>
      <c r="AB5444">
        <v>1</v>
      </c>
      <c r="AD5444">
        <v>0</v>
      </c>
      <c r="AE5444">
        <v>0</v>
      </c>
      <c r="AF5444">
        <v>0</v>
      </c>
      <c r="AG5444">
        <v>0</v>
      </c>
      <c r="AI5444">
        <v>0</v>
      </c>
      <c r="AJ5444">
        <v>12</v>
      </c>
      <c r="AK5444">
        <v>279</v>
      </c>
      <c r="AL5444">
        <v>279</v>
      </c>
      <c r="AM5444">
        <v>529</v>
      </c>
      <c r="AN5444">
        <v>44</v>
      </c>
      <c r="AP5444">
        <v>1</v>
      </c>
      <c r="AR5444" t="s">
        <v>5549</v>
      </c>
      <c r="AS5444" s="1">
        <v>44354.343055555553</v>
      </c>
      <c r="AT5444" s="1">
        <v>44354.344930555555</v>
      </c>
      <c r="AU5444" s="1">
        <v>44354.346296296295</v>
      </c>
      <c r="AV5444" t="s">
        <v>71</v>
      </c>
      <c r="AW5444" t="s">
        <v>72</v>
      </c>
      <c r="AX5444" t="s">
        <v>73</v>
      </c>
    </row>
    <row r="5445" spans="1:50" x14ac:dyDescent="0.3">
      <c r="A5445" t="str">
        <f>"201420E0100"</f>
        <v>201420E0100</v>
      </c>
      <c r="B5445" t="str">
        <f>"201420E01002"</f>
        <v>201420E01002</v>
      </c>
      <c r="C5445" t="str">
        <f t="shared" si="269"/>
        <v>20</v>
      </c>
      <c r="D5445" t="s">
        <v>67</v>
      </c>
      <c r="E5445" t="str">
        <f t="shared" si="270"/>
        <v>024</v>
      </c>
      <c r="F5445" t="s">
        <v>5370</v>
      </c>
      <c r="G5445" t="str">
        <f>"1420"</f>
        <v>1420</v>
      </c>
      <c r="H5445" t="str">
        <f>"0001"</f>
        <v>0001</v>
      </c>
      <c r="I5445" t="s">
        <v>109</v>
      </c>
      <c r="J5445">
        <v>0</v>
      </c>
      <c r="K5445">
        <v>1</v>
      </c>
      <c r="L5445">
        <v>2</v>
      </c>
      <c r="M5445">
        <v>202</v>
      </c>
      <c r="N5445">
        <v>223</v>
      </c>
      <c r="O5445">
        <v>3</v>
      </c>
      <c r="P5445">
        <v>223</v>
      </c>
      <c r="Q5445">
        <v>4</v>
      </c>
      <c r="R5445">
        <v>100</v>
      </c>
      <c r="S5445">
        <v>1</v>
      </c>
      <c r="T5445">
        <v>5</v>
      </c>
      <c r="U5445">
        <v>8</v>
      </c>
      <c r="V5445">
        <v>1</v>
      </c>
      <c r="W5445">
        <v>3</v>
      </c>
      <c r="X5445">
        <v>34</v>
      </c>
      <c r="Y5445">
        <v>52</v>
      </c>
      <c r="Z5445">
        <v>4</v>
      </c>
      <c r="AA5445">
        <v>2</v>
      </c>
      <c r="AB5445">
        <v>1</v>
      </c>
      <c r="AD5445">
        <v>0</v>
      </c>
      <c r="AE5445">
        <v>0</v>
      </c>
      <c r="AF5445">
        <v>0</v>
      </c>
      <c r="AG5445">
        <v>0</v>
      </c>
      <c r="AI5445">
        <v>0</v>
      </c>
      <c r="AJ5445">
        <v>8</v>
      </c>
      <c r="AK5445">
        <v>223</v>
      </c>
      <c r="AL5445">
        <v>223</v>
      </c>
      <c r="AM5445">
        <v>381</v>
      </c>
      <c r="AN5445">
        <v>44</v>
      </c>
      <c r="AP5445">
        <v>1</v>
      </c>
      <c r="AR5445" t="s">
        <v>5550</v>
      </c>
      <c r="AS5445" s="1">
        <v>44354.348611111112</v>
      </c>
      <c r="AT5445" s="1">
        <v>44354.349699074075</v>
      </c>
      <c r="AU5445" s="1">
        <v>44354.350208333337</v>
      </c>
      <c r="AV5445" t="s">
        <v>71</v>
      </c>
      <c r="AW5445" t="s">
        <v>72</v>
      </c>
      <c r="AX5445" t="s">
        <v>73</v>
      </c>
    </row>
    <row r="5446" spans="1:50" x14ac:dyDescent="0.3">
      <c r="A5446" t="str">
        <f>"201421B0000"</f>
        <v>201421B0000</v>
      </c>
      <c r="B5446" t="str">
        <f>"201421B00002"</f>
        <v>201421B00002</v>
      </c>
      <c r="C5446" t="str">
        <f t="shared" si="269"/>
        <v>20</v>
      </c>
      <c r="D5446" t="s">
        <v>67</v>
      </c>
      <c r="E5446" t="str">
        <f t="shared" si="270"/>
        <v>024</v>
      </c>
      <c r="F5446" t="s">
        <v>5370</v>
      </c>
      <c r="G5446" t="str">
        <f>"1421"</f>
        <v>1421</v>
      </c>
      <c r="H5446" t="str">
        <f>"0000"</f>
        <v>0000</v>
      </c>
      <c r="I5446" t="s">
        <v>69</v>
      </c>
      <c r="J5446">
        <v>0</v>
      </c>
      <c r="K5446">
        <v>1</v>
      </c>
      <c r="L5446">
        <v>2</v>
      </c>
      <c r="M5446">
        <v>356</v>
      </c>
      <c r="N5446">
        <v>249</v>
      </c>
      <c r="O5446">
        <v>8</v>
      </c>
      <c r="P5446">
        <v>249</v>
      </c>
      <c r="Q5446">
        <v>3</v>
      </c>
      <c r="R5446">
        <v>86</v>
      </c>
      <c r="S5446">
        <v>2</v>
      </c>
      <c r="T5446">
        <v>1</v>
      </c>
      <c r="U5446">
        <v>2</v>
      </c>
      <c r="V5446">
        <v>4</v>
      </c>
      <c r="W5446">
        <v>6</v>
      </c>
      <c r="X5446">
        <v>70</v>
      </c>
      <c r="Y5446">
        <v>54</v>
      </c>
      <c r="Z5446">
        <v>6</v>
      </c>
      <c r="AA5446">
        <v>3</v>
      </c>
      <c r="AB5446">
        <v>3</v>
      </c>
      <c r="AD5446">
        <v>0</v>
      </c>
      <c r="AE5446">
        <v>0</v>
      </c>
      <c r="AF5446">
        <v>0</v>
      </c>
      <c r="AG5446">
        <v>0</v>
      </c>
      <c r="AI5446">
        <v>0</v>
      </c>
      <c r="AJ5446">
        <v>9</v>
      </c>
      <c r="AK5446">
        <v>249</v>
      </c>
      <c r="AL5446">
        <v>249</v>
      </c>
      <c r="AM5446">
        <v>561</v>
      </c>
      <c r="AN5446">
        <v>44</v>
      </c>
      <c r="AP5446">
        <v>1</v>
      </c>
      <c r="AR5446" t="s">
        <v>5551</v>
      </c>
      <c r="AS5446" s="1">
        <v>44354.249305555553</v>
      </c>
      <c r="AT5446" s="1">
        <v>44354.251157407409</v>
      </c>
      <c r="AU5446" s="1">
        <v>44354.251562500001</v>
      </c>
      <c r="AV5446" t="s">
        <v>71</v>
      </c>
      <c r="AW5446" t="s">
        <v>72</v>
      </c>
      <c r="AX5446" t="s">
        <v>73</v>
      </c>
    </row>
    <row r="5447" spans="1:50" x14ac:dyDescent="0.3">
      <c r="A5447" t="str">
        <f>"201421C0100"</f>
        <v>201421C0100</v>
      </c>
      <c r="B5447" t="str">
        <f>"201421C01002"</f>
        <v>201421C01002</v>
      </c>
      <c r="C5447" t="str">
        <f t="shared" ref="C5447:C5510" si="271">"20"</f>
        <v>20</v>
      </c>
      <c r="D5447" t="s">
        <v>67</v>
      </c>
      <c r="E5447" t="str">
        <f t="shared" si="270"/>
        <v>024</v>
      </c>
      <c r="F5447" t="s">
        <v>5370</v>
      </c>
      <c r="G5447" t="str">
        <f>"1421"</f>
        <v>1421</v>
      </c>
      <c r="H5447" t="str">
        <f>"0001"</f>
        <v>0001</v>
      </c>
      <c r="I5447" t="s">
        <v>75</v>
      </c>
      <c r="J5447">
        <v>0</v>
      </c>
      <c r="K5447">
        <v>1</v>
      </c>
      <c r="L5447">
        <v>2</v>
      </c>
      <c r="M5447">
        <v>376</v>
      </c>
      <c r="N5447">
        <v>227</v>
      </c>
      <c r="O5447">
        <v>5</v>
      </c>
      <c r="P5447">
        <v>227</v>
      </c>
      <c r="Q5447">
        <v>4</v>
      </c>
      <c r="R5447">
        <v>75</v>
      </c>
      <c r="S5447">
        <v>2</v>
      </c>
      <c r="T5447">
        <v>3</v>
      </c>
      <c r="U5447">
        <v>5</v>
      </c>
      <c r="V5447">
        <v>1</v>
      </c>
      <c r="W5447">
        <v>1</v>
      </c>
      <c r="X5447">
        <v>75</v>
      </c>
      <c r="Y5447">
        <v>38</v>
      </c>
      <c r="Z5447">
        <v>8</v>
      </c>
      <c r="AA5447">
        <v>0</v>
      </c>
      <c r="AB5447">
        <v>4</v>
      </c>
      <c r="AD5447">
        <v>1</v>
      </c>
      <c r="AE5447">
        <v>0</v>
      </c>
      <c r="AF5447">
        <v>0</v>
      </c>
      <c r="AG5447">
        <v>0</v>
      </c>
      <c r="AI5447">
        <v>0</v>
      </c>
      <c r="AJ5447">
        <v>10</v>
      </c>
      <c r="AK5447">
        <v>227</v>
      </c>
      <c r="AL5447">
        <v>227</v>
      </c>
      <c r="AM5447">
        <v>561</v>
      </c>
      <c r="AN5447">
        <v>44</v>
      </c>
      <c r="AP5447">
        <v>1</v>
      </c>
      <c r="AR5447" t="s">
        <v>5552</v>
      </c>
      <c r="AS5447" s="1">
        <v>44354.248611111114</v>
      </c>
      <c r="AT5447" s="1">
        <v>44354.251527777778</v>
      </c>
      <c r="AU5447" s="1">
        <v>44354.252083333333</v>
      </c>
      <c r="AV5447" t="s">
        <v>71</v>
      </c>
      <c r="AW5447" t="s">
        <v>72</v>
      </c>
      <c r="AX5447" t="s">
        <v>73</v>
      </c>
    </row>
    <row r="5448" spans="1:50" x14ac:dyDescent="0.3">
      <c r="A5448" t="str">
        <f>"201511B0000"</f>
        <v>201511B0000</v>
      </c>
      <c r="B5448" t="str">
        <f>"201511B00002"</f>
        <v>201511B00002</v>
      </c>
      <c r="C5448" t="str">
        <f t="shared" si="271"/>
        <v>20</v>
      </c>
      <c r="D5448" t="s">
        <v>67</v>
      </c>
      <c r="E5448" t="str">
        <f t="shared" si="270"/>
        <v>024</v>
      </c>
      <c r="F5448" t="s">
        <v>5370</v>
      </c>
      <c r="G5448" t="str">
        <f>"1511"</f>
        <v>1511</v>
      </c>
      <c r="H5448" t="str">
        <f>"0000"</f>
        <v>0000</v>
      </c>
      <c r="I5448" t="s">
        <v>69</v>
      </c>
      <c r="J5448">
        <v>0</v>
      </c>
      <c r="K5448">
        <v>1</v>
      </c>
      <c r="L5448">
        <v>2</v>
      </c>
      <c r="M5448">
        <v>470</v>
      </c>
      <c r="N5448">
        <v>317</v>
      </c>
      <c r="O5448">
        <v>0</v>
      </c>
      <c r="P5448">
        <v>317</v>
      </c>
      <c r="Q5448">
        <v>3</v>
      </c>
      <c r="R5448">
        <v>35</v>
      </c>
      <c r="S5448">
        <v>1</v>
      </c>
      <c r="T5448">
        <v>2</v>
      </c>
      <c r="U5448">
        <v>9</v>
      </c>
      <c r="V5448">
        <v>1</v>
      </c>
      <c r="W5448">
        <v>3</v>
      </c>
      <c r="X5448">
        <v>224</v>
      </c>
      <c r="Y5448">
        <v>11</v>
      </c>
      <c r="Z5448">
        <v>4</v>
      </c>
      <c r="AA5448">
        <v>8</v>
      </c>
      <c r="AB5448">
        <v>4</v>
      </c>
      <c r="AD5448">
        <v>1</v>
      </c>
      <c r="AE5448">
        <v>0</v>
      </c>
      <c r="AF5448">
        <v>0</v>
      </c>
      <c r="AG5448">
        <v>0</v>
      </c>
      <c r="AI5448">
        <v>0</v>
      </c>
      <c r="AJ5448">
        <v>11</v>
      </c>
      <c r="AK5448">
        <v>317</v>
      </c>
      <c r="AL5448">
        <v>317</v>
      </c>
      <c r="AM5448">
        <v>743</v>
      </c>
      <c r="AN5448">
        <v>44</v>
      </c>
      <c r="AP5448">
        <v>1</v>
      </c>
      <c r="AR5448" t="s">
        <v>5553</v>
      </c>
      <c r="AS5448" s="1">
        <v>44354.323611111111</v>
      </c>
      <c r="AT5448" s="1">
        <v>44354.325868055559</v>
      </c>
      <c r="AU5448" s="1">
        <v>44354.326273148145</v>
      </c>
      <c r="AV5448" t="s">
        <v>71</v>
      </c>
      <c r="AW5448" t="s">
        <v>72</v>
      </c>
      <c r="AX5448" t="s">
        <v>73</v>
      </c>
    </row>
    <row r="5449" spans="1:50" x14ac:dyDescent="0.3">
      <c r="A5449" t="str">
        <f>"201614B0000"</f>
        <v>201614B0000</v>
      </c>
      <c r="B5449" t="str">
        <f>"201614B00002"</f>
        <v>201614B00002</v>
      </c>
      <c r="C5449" t="str">
        <f t="shared" si="271"/>
        <v>20</v>
      </c>
      <c r="D5449" t="s">
        <v>67</v>
      </c>
      <c r="E5449" t="str">
        <f t="shared" si="270"/>
        <v>024</v>
      </c>
      <c r="F5449" t="s">
        <v>5370</v>
      </c>
      <c r="G5449" t="str">
        <f>"1614"</f>
        <v>1614</v>
      </c>
      <c r="H5449" t="str">
        <f>"0000"</f>
        <v>0000</v>
      </c>
      <c r="I5449" t="s">
        <v>69</v>
      </c>
      <c r="J5449">
        <v>0</v>
      </c>
      <c r="K5449">
        <v>1</v>
      </c>
      <c r="L5449">
        <v>2</v>
      </c>
      <c r="M5449">
        <v>388</v>
      </c>
      <c r="N5449">
        <v>246</v>
      </c>
      <c r="O5449">
        <v>0</v>
      </c>
      <c r="P5449">
        <v>246</v>
      </c>
      <c r="Q5449">
        <v>8</v>
      </c>
      <c r="R5449">
        <v>129</v>
      </c>
      <c r="S5449">
        <v>3</v>
      </c>
      <c r="T5449">
        <v>5</v>
      </c>
      <c r="U5449">
        <v>1</v>
      </c>
      <c r="V5449">
        <v>2</v>
      </c>
      <c r="W5449">
        <v>1</v>
      </c>
      <c r="X5449">
        <v>36</v>
      </c>
      <c r="Y5449">
        <v>46</v>
      </c>
      <c r="Z5449">
        <v>0</v>
      </c>
      <c r="AA5449">
        <v>2</v>
      </c>
      <c r="AB5449">
        <v>1</v>
      </c>
      <c r="AD5449">
        <v>1</v>
      </c>
      <c r="AE5449" t="s">
        <v>77</v>
      </c>
      <c r="AF5449" t="s">
        <v>77</v>
      </c>
      <c r="AG5449" t="s">
        <v>77</v>
      </c>
      <c r="AI5449" t="s">
        <v>77</v>
      </c>
      <c r="AJ5449">
        <v>11</v>
      </c>
      <c r="AK5449">
        <v>246</v>
      </c>
      <c r="AL5449">
        <v>246</v>
      </c>
      <c r="AM5449">
        <v>590</v>
      </c>
      <c r="AN5449">
        <v>44</v>
      </c>
      <c r="AO5449" t="s">
        <v>78</v>
      </c>
      <c r="AP5449">
        <v>1</v>
      </c>
      <c r="AR5449" t="s">
        <v>5554</v>
      </c>
      <c r="AS5449" s="1">
        <v>44354.095138888886</v>
      </c>
      <c r="AT5449" s="1">
        <v>44354.096944444442</v>
      </c>
      <c r="AU5449" s="1">
        <v>44354.097511574073</v>
      </c>
      <c r="AV5449" t="s">
        <v>71</v>
      </c>
      <c r="AW5449" t="s">
        <v>72</v>
      </c>
      <c r="AX5449" t="s">
        <v>73</v>
      </c>
    </row>
    <row r="5450" spans="1:50" x14ac:dyDescent="0.3">
      <c r="A5450" t="str">
        <f>"201614C0100"</f>
        <v>201614C0100</v>
      </c>
      <c r="B5450" t="str">
        <f>"201614C01002"</f>
        <v>201614C01002</v>
      </c>
      <c r="C5450" t="str">
        <f t="shared" si="271"/>
        <v>20</v>
      </c>
      <c r="D5450" t="s">
        <v>67</v>
      </c>
      <c r="E5450" t="str">
        <f t="shared" si="270"/>
        <v>024</v>
      </c>
      <c r="F5450" t="s">
        <v>5370</v>
      </c>
      <c r="G5450" t="str">
        <f>"1614"</f>
        <v>1614</v>
      </c>
      <c r="H5450" t="str">
        <f>"0001"</f>
        <v>0001</v>
      </c>
      <c r="I5450" t="s">
        <v>75</v>
      </c>
      <c r="J5450">
        <v>0</v>
      </c>
      <c r="K5450">
        <v>1</v>
      </c>
      <c r="L5450">
        <v>2</v>
      </c>
      <c r="M5450">
        <v>406</v>
      </c>
      <c r="N5450">
        <v>227</v>
      </c>
      <c r="O5450">
        <v>3</v>
      </c>
      <c r="P5450">
        <v>227</v>
      </c>
      <c r="Q5450">
        <v>2</v>
      </c>
      <c r="R5450">
        <v>144</v>
      </c>
      <c r="S5450">
        <v>0</v>
      </c>
      <c r="T5450">
        <v>0</v>
      </c>
      <c r="U5450">
        <v>2</v>
      </c>
      <c r="V5450">
        <v>3</v>
      </c>
      <c r="W5450">
        <v>1</v>
      </c>
      <c r="X5450">
        <v>17</v>
      </c>
      <c r="Y5450">
        <v>41</v>
      </c>
      <c r="Z5450">
        <v>1</v>
      </c>
      <c r="AA5450">
        <v>2</v>
      </c>
      <c r="AB5450">
        <v>5</v>
      </c>
      <c r="AD5450">
        <v>0</v>
      </c>
      <c r="AE5450" t="s">
        <v>77</v>
      </c>
      <c r="AF5450" t="s">
        <v>77</v>
      </c>
      <c r="AG5450" t="s">
        <v>77</v>
      </c>
      <c r="AI5450" t="s">
        <v>77</v>
      </c>
      <c r="AJ5450">
        <v>415</v>
      </c>
      <c r="AK5450">
        <v>633</v>
      </c>
      <c r="AL5450">
        <v>633</v>
      </c>
      <c r="AM5450">
        <v>589</v>
      </c>
      <c r="AN5450">
        <v>44</v>
      </c>
      <c r="AO5450" t="s">
        <v>78</v>
      </c>
      <c r="AP5450">
        <v>1</v>
      </c>
      <c r="AR5450" t="s">
        <v>5555</v>
      </c>
      <c r="AS5450" s="1">
        <v>44354.089583333334</v>
      </c>
      <c r="AT5450" s="1">
        <v>44354.095289351855</v>
      </c>
      <c r="AU5450" s="1">
        <v>44354.095717592594</v>
      </c>
      <c r="AV5450" t="s">
        <v>71</v>
      </c>
      <c r="AW5450" t="s">
        <v>72</v>
      </c>
      <c r="AX5450" t="s">
        <v>73</v>
      </c>
    </row>
    <row r="5451" spans="1:50" x14ac:dyDescent="0.3">
      <c r="A5451" t="str">
        <f>"201615B0000"</f>
        <v>201615B0000</v>
      </c>
      <c r="B5451" t="str">
        <f>"201615B00002"</f>
        <v>201615B00002</v>
      </c>
      <c r="C5451" t="str">
        <f t="shared" si="271"/>
        <v>20</v>
      </c>
      <c r="D5451" t="s">
        <v>67</v>
      </c>
      <c r="E5451" t="str">
        <f t="shared" si="270"/>
        <v>024</v>
      </c>
      <c r="F5451" t="s">
        <v>5370</v>
      </c>
      <c r="G5451" t="str">
        <f>"1615"</f>
        <v>1615</v>
      </c>
      <c r="H5451" t="str">
        <f>"0000"</f>
        <v>0000</v>
      </c>
      <c r="I5451" t="s">
        <v>69</v>
      </c>
      <c r="J5451">
        <v>0</v>
      </c>
      <c r="K5451">
        <v>1</v>
      </c>
      <c r="L5451">
        <v>2</v>
      </c>
      <c r="M5451" t="s">
        <v>80</v>
      </c>
      <c r="N5451" t="s">
        <v>80</v>
      </c>
      <c r="O5451" t="s">
        <v>80</v>
      </c>
      <c r="P5451">
        <v>351</v>
      </c>
      <c r="Q5451">
        <v>7</v>
      </c>
      <c r="R5451">
        <v>171</v>
      </c>
      <c r="S5451">
        <v>0</v>
      </c>
      <c r="T5451">
        <v>8</v>
      </c>
      <c r="U5451">
        <v>3</v>
      </c>
      <c r="V5451">
        <v>3</v>
      </c>
      <c r="W5451">
        <v>3</v>
      </c>
      <c r="X5451">
        <v>74</v>
      </c>
      <c r="Y5451">
        <v>63</v>
      </c>
      <c r="Z5451">
        <v>5</v>
      </c>
      <c r="AA5451">
        <v>3</v>
      </c>
      <c r="AB5451">
        <v>0</v>
      </c>
      <c r="AD5451">
        <v>0</v>
      </c>
      <c r="AE5451">
        <v>1</v>
      </c>
      <c r="AF5451">
        <v>0</v>
      </c>
      <c r="AG5451">
        <v>0</v>
      </c>
      <c r="AI5451">
        <v>0</v>
      </c>
      <c r="AJ5451">
        <v>10</v>
      </c>
      <c r="AK5451">
        <v>351</v>
      </c>
      <c r="AL5451">
        <v>351</v>
      </c>
      <c r="AM5451">
        <v>640</v>
      </c>
      <c r="AN5451">
        <v>44</v>
      </c>
      <c r="AP5451">
        <v>1</v>
      </c>
      <c r="AR5451" t="s">
        <v>5556</v>
      </c>
      <c r="AS5451" s="1">
        <v>44354.094444444447</v>
      </c>
      <c r="AT5451" s="1">
        <v>44354.099050925928</v>
      </c>
      <c r="AU5451" s="1">
        <v>44354.099432870367</v>
      </c>
      <c r="AV5451" t="s">
        <v>71</v>
      </c>
      <c r="AW5451" t="s">
        <v>72</v>
      </c>
      <c r="AX5451" t="s">
        <v>73</v>
      </c>
    </row>
    <row r="5452" spans="1:50" x14ac:dyDescent="0.3">
      <c r="A5452" t="str">
        <f>"201616B0000"</f>
        <v>201616B0000</v>
      </c>
      <c r="B5452" t="str">
        <f>"201616B00002"</f>
        <v>201616B00002</v>
      </c>
      <c r="C5452" t="str">
        <f t="shared" si="271"/>
        <v>20</v>
      </c>
      <c r="D5452" t="s">
        <v>67</v>
      </c>
      <c r="E5452" t="str">
        <f t="shared" si="270"/>
        <v>024</v>
      </c>
      <c r="F5452" t="s">
        <v>5370</v>
      </c>
      <c r="G5452" t="str">
        <f>"1616"</f>
        <v>1616</v>
      </c>
      <c r="H5452" t="str">
        <f>"0000"</f>
        <v>0000</v>
      </c>
      <c r="I5452" t="s">
        <v>69</v>
      </c>
      <c r="J5452">
        <v>0</v>
      </c>
      <c r="K5452">
        <v>1</v>
      </c>
      <c r="L5452">
        <v>2</v>
      </c>
      <c r="M5452">
        <v>312</v>
      </c>
      <c r="N5452">
        <v>460</v>
      </c>
      <c r="O5452">
        <v>0</v>
      </c>
      <c r="P5452">
        <v>460</v>
      </c>
      <c r="Q5452">
        <v>5</v>
      </c>
      <c r="R5452">
        <v>105</v>
      </c>
      <c r="S5452">
        <v>166</v>
      </c>
      <c r="T5452">
        <v>2</v>
      </c>
      <c r="U5452">
        <v>6</v>
      </c>
      <c r="V5452">
        <v>2</v>
      </c>
      <c r="W5452">
        <v>3</v>
      </c>
      <c r="X5452">
        <v>69</v>
      </c>
      <c r="Y5452">
        <v>86</v>
      </c>
      <c r="Z5452">
        <v>2</v>
      </c>
      <c r="AA5452">
        <v>3</v>
      </c>
      <c r="AB5452">
        <v>3</v>
      </c>
      <c r="AD5452">
        <v>0</v>
      </c>
      <c r="AE5452">
        <v>0</v>
      </c>
      <c r="AF5452">
        <v>0</v>
      </c>
      <c r="AG5452">
        <v>1</v>
      </c>
      <c r="AI5452">
        <v>1</v>
      </c>
      <c r="AJ5452">
        <v>6</v>
      </c>
      <c r="AK5452">
        <v>460</v>
      </c>
      <c r="AL5452">
        <v>460</v>
      </c>
      <c r="AM5452">
        <v>728</v>
      </c>
      <c r="AN5452">
        <v>44</v>
      </c>
      <c r="AP5452">
        <v>1</v>
      </c>
      <c r="AR5452" t="s">
        <v>5557</v>
      </c>
      <c r="AS5452" s="1">
        <v>44354.270833333336</v>
      </c>
      <c r="AT5452" s="1">
        <v>44354.273043981484</v>
      </c>
      <c r="AU5452" s="1">
        <v>44354.273726851854</v>
      </c>
      <c r="AV5452" t="s">
        <v>71</v>
      </c>
      <c r="AW5452" t="s">
        <v>72</v>
      </c>
      <c r="AX5452" t="s">
        <v>73</v>
      </c>
    </row>
    <row r="5453" spans="1:50" x14ac:dyDescent="0.3">
      <c r="A5453" t="str">
        <f>"201616E0100"</f>
        <v>201616E0100</v>
      </c>
      <c r="B5453" t="str">
        <f>"201616E01002"</f>
        <v>201616E01002</v>
      </c>
      <c r="C5453" t="str">
        <f t="shared" si="271"/>
        <v>20</v>
      </c>
      <c r="D5453" t="s">
        <v>67</v>
      </c>
      <c r="E5453" t="str">
        <f t="shared" si="270"/>
        <v>024</v>
      </c>
      <c r="F5453" t="s">
        <v>5370</v>
      </c>
      <c r="G5453" t="str">
        <f>"1616"</f>
        <v>1616</v>
      </c>
      <c r="H5453" t="str">
        <f>"0001"</f>
        <v>0001</v>
      </c>
      <c r="I5453" t="s">
        <v>109</v>
      </c>
      <c r="J5453">
        <v>0</v>
      </c>
      <c r="K5453">
        <v>1</v>
      </c>
      <c r="L5453">
        <v>2</v>
      </c>
      <c r="M5453">
        <v>174</v>
      </c>
      <c r="N5453">
        <v>174</v>
      </c>
      <c r="O5453">
        <v>0</v>
      </c>
      <c r="P5453">
        <v>174</v>
      </c>
      <c r="Q5453">
        <v>2</v>
      </c>
      <c r="R5453">
        <v>115</v>
      </c>
      <c r="S5453">
        <v>0</v>
      </c>
      <c r="T5453">
        <v>5</v>
      </c>
      <c r="U5453">
        <v>3</v>
      </c>
      <c r="V5453">
        <v>0</v>
      </c>
      <c r="W5453">
        <v>0</v>
      </c>
      <c r="X5453">
        <v>20</v>
      </c>
      <c r="Y5453">
        <v>20</v>
      </c>
      <c r="Z5453">
        <v>2</v>
      </c>
      <c r="AA5453">
        <v>0</v>
      </c>
      <c r="AB5453">
        <v>1</v>
      </c>
      <c r="AD5453">
        <v>0</v>
      </c>
      <c r="AE5453">
        <v>0</v>
      </c>
      <c r="AF5453">
        <v>0</v>
      </c>
      <c r="AG5453">
        <v>0</v>
      </c>
      <c r="AI5453">
        <v>0</v>
      </c>
      <c r="AJ5453">
        <v>5</v>
      </c>
      <c r="AK5453">
        <v>174</v>
      </c>
      <c r="AL5453">
        <v>173</v>
      </c>
      <c r="AM5453">
        <v>325</v>
      </c>
      <c r="AN5453">
        <v>44</v>
      </c>
      <c r="AP5453">
        <v>1</v>
      </c>
      <c r="AR5453" s="2" t="s">
        <v>5558</v>
      </c>
      <c r="AS5453" s="1">
        <v>44354.086805555555</v>
      </c>
      <c r="AT5453" s="1">
        <v>44354.093402777777</v>
      </c>
      <c r="AU5453" s="1">
        <v>44354.094687500001</v>
      </c>
      <c r="AV5453" t="s">
        <v>71</v>
      </c>
      <c r="AW5453" t="s">
        <v>72</v>
      </c>
      <c r="AX5453" t="s">
        <v>73</v>
      </c>
    </row>
    <row r="5454" spans="1:50" x14ac:dyDescent="0.3">
      <c r="A5454" t="str">
        <f>"201641B0000"</f>
        <v>201641B0000</v>
      </c>
      <c r="B5454" t="str">
        <f>"201641B00002"</f>
        <v>201641B00002</v>
      </c>
      <c r="C5454" t="str">
        <f t="shared" si="271"/>
        <v>20</v>
      </c>
      <c r="D5454" t="s">
        <v>67</v>
      </c>
      <c r="E5454" t="str">
        <f t="shared" si="270"/>
        <v>024</v>
      </c>
      <c r="F5454" t="s">
        <v>5370</v>
      </c>
      <c r="G5454" t="str">
        <f>"1641"</f>
        <v>1641</v>
      </c>
      <c r="H5454" t="str">
        <f>"0000"</f>
        <v>0000</v>
      </c>
      <c r="I5454" t="s">
        <v>69</v>
      </c>
      <c r="J5454">
        <v>0</v>
      </c>
      <c r="K5454">
        <v>1</v>
      </c>
      <c r="L5454">
        <v>2</v>
      </c>
      <c r="M5454">
        <v>422</v>
      </c>
      <c r="N5454">
        <v>182</v>
      </c>
      <c r="O5454">
        <v>0</v>
      </c>
      <c r="P5454">
        <v>182</v>
      </c>
      <c r="Q5454">
        <v>5</v>
      </c>
      <c r="R5454">
        <v>16</v>
      </c>
      <c r="S5454">
        <v>1</v>
      </c>
      <c r="T5454">
        <v>9</v>
      </c>
      <c r="U5454">
        <v>4</v>
      </c>
      <c r="V5454">
        <v>0</v>
      </c>
      <c r="W5454">
        <v>5</v>
      </c>
      <c r="X5454">
        <v>80</v>
      </c>
      <c r="Y5454">
        <v>49</v>
      </c>
      <c r="Z5454">
        <v>2</v>
      </c>
      <c r="AA5454">
        <v>0</v>
      </c>
      <c r="AB5454">
        <v>4</v>
      </c>
      <c r="AD5454">
        <v>0</v>
      </c>
      <c r="AE5454">
        <v>0</v>
      </c>
      <c r="AF5454">
        <v>0</v>
      </c>
      <c r="AG5454">
        <v>0</v>
      </c>
      <c r="AI5454">
        <v>0</v>
      </c>
      <c r="AJ5454">
        <v>7</v>
      </c>
      <c r="AK5454">
        <v>182</v>
      </c>
      <c r="AL5454">
        <v>182</v>
      </c>
      <c r="AM5454">
        <v>560</v>
      </c>
      <c r="AN5454">
        <v>44</v>
      </c>
      <c r="AP5454">
        <v>1</v>
      </c>
      <c r="AR5454" t="s">
        <v>5559</v>
      </c>
      <c r="AS5454" s="1">
        <v>44354.17083333333</v>
      </c>
      <c r="AT5454" s="1">
        <v>44354.172812500001</v>
      </c>
      <c r="AU5454" s="1">
        <v>44354.173391203702</v>
      </c>
      <c r="AV5454" t="s">
        <v>71</v>
      </c>
      <c r="AW5454" t="s">
        <v>72</v>
      </c>
      <c r="AX5454" t="s">
        <v>73</v>
      </c>
    </row>
    <row r="5455" spans="1:50" x14ac:dyDescent="0.3">
      <c r="A5455" t="str">
        <f>"201641C0100"</f>
        <v>201641C0100</v>
      </c>
      <c r="B5455" t="str">
        <f>"201641C01002"</f>
        <v>201641C01002</v>
      </c>
      <c r="C5455" t="str">
        <f t="shared" si="271"/>
        <v>20</v>
      </c>
      <c r="D5455" t="s">
        <v>67</v>
      </c>
      <c r="E5455" t="str">
        <f t="shared" si="270"/>
        <v>024</v>
      </c>
      <c r="F5455" t="s">
        <v>5370</v>
      </c>
      <c r="G5455" t="str">
        <f>"1641"</f>
        <v>1641</v>
      </c>
      <c r="H5455" t="str">
        <f>"0001"</f>
        <v>0001</v>
      </c>
      <c r="I5455" t="s">
        <v>75</v>
      </c>
      <c r="J5455">
        <v>0</v>
      </c>
      <c r="K5455">
        <v>1</v>
      </c>
      <c r="L5455">
        <v>2</v>
      </c>
      <c r="M5455">
        <v>427</v>
      </c>
      <c r="N5455">
        <v>177</v>
      </c>
      <c r="O5455">
        <v>0</v>
      </c>
      <c r="P5455">
        <v>177</v>
      </c>
      <c r="Q5455">
        <v>4</v>
      </c>
      <c r="R5455">
        <v>15</v>
      </c>
      <c r="S5455">
        <v>3</v>
      </c>
      <c r="T5455">
        <v>4</v>
      </c>
      <c r="U5455">
        <v>10</v>
      </c>
      <c r="V5455">
        <v>5</v>
      </c>
      <c r="W5455">
        <v>4</v>
      </c>
      <c r="X5455">
        <v>74</v>
      </c>
      <c r="Y5455">
        <v>33</v>
      </c>
      <c r="Z5455">
        <v>4</v>
      </c>
      <c r="AA5455">
        <v>4</v>
      </c>
      <c r="AB5455">
        <v>6</v>
      </c>
      <c r="AD5455">
        <v>0</v>
      </c>
      <c r="AE5455">
        <v>0</v>
      </c>
      <c r="AF5455">
        <v>0</v>
      </c>
      <c r="AG5455">
        <v>0</v>
      </c>
      <c r="AI5455">
        <v>0</v>
      </c>
      <c r="AJ5455">
        <v>11</v>
      </c>
      <c r="AK5455">
        <v>177</v>
      </c>
      <c r="AL5455">
        <v>177</v>
      </c>
      <c r="AM5455">
        <v>560</v>
      </c>
      <c r="AN5455">
        <v>44</v>
      </c>
      <c r="AP5455">
        <v>1</v>
      </c>
      <c r="AR5455" t="s">
        <v>5560</v>
      </c>
      <c r="AS5455" s="1">
        <v>44354.17083333333</v>
      </c>
      <c r="AT5455" s="1">
        <v>44354.172488425924</v>
      </c>
      <c r="AU5455" s="1">
        <v>44354.172997685186</v>
      </c>
      <c r="AV5455" t="s">
        <v>71</v>
      </c>
      <c r="AW5455" t="s">
        <v>72</v>
      </c>
      <c r="AX5455" t="s">
        <v>73</v>
      </c>
    </row>
    <row r="5456" spans="1:50" x14ac:dyDescent="0.3">
      <c r="A5456" t="str">
        <f>"201641C0200"</f>
        <v>201641C0200</v>
      </c>
      <c r="B5456" t="str">
        <f>"201641C02002"</f>
        <v>201641C02002</v>
      </c>
      <c r="C5456" t="str">
        <f t="shared" si="271"/>
        <v>20</v>
      </c>
      <c r="D5456" t="s">
        <v>67</v>
      </c>
      <c r="E5456" t="str">
        <f t="shared" si="270"/>
        <v>024</v>
      </c>
      <c r="F5456" t="s">
        <v>5370</v>
      </c>
      <c r="G5456" t="str">
        <f>"1641"</f>
        <v>1641</v>
      </c>
      <c r="H5456" t="str">
        <f>"0002"</f>
        <v>0002</v>
      </c>
      <c r="I5456" t="s">
        <v>75</v>
      </c>
      <c r="J5456">
        <v>0</v>
      </c>
      <c r="K5456">
        <v>1</v>
      </c>
      <c r="L5456">
        <v>2</v>
      </c>
      <c r="M5456">
        <v>402</v>
      </c>
      <c r="N5456">
        <v>202</v>
      </c>
      <c r="O5456">
        <v>0</v>
      </c>
      <c r="P5456">
        <v>202</v>
      </c>
      <c r="Q5456">
        <v>4</v>
      </c>
      <c r="R5456">
        <v>30</v>
      </c>
      <c r="S5456">
        <v>1</v>
      </c>
      <c r="T5456">
        <v>7</v>
      </c>
      <c r="U5456">
        <v>16</v>
      </c>
      <c r="V5456">
        <v>2</v>
      </c>
      <c r="W5456">
        <v>1</v>
      </c>
      <c r="X5456">
        <v>75</v>
      </c>
      <c r="Y5456">
        <v>40</v>
      </c>
      <c r="Z5456">
        <v>5</v>
      </c>
      <c r="AA5456">
        <v>2</v>
      </c>
      <c r="AB5456">
        <v>4</v>
      </c>
      <c r="AD5456">
        <v>0</v>
      </c>
      <c r="AE5456">
        <v>0</v>
      </c>
      <c r="AF5456">
        <v>0</v>
      </c>
      <c r="AG5456">
        <v>1</v>
      </c>
      <c r="AI5456">
        <v>0</v>
      </c>
      <c r="AJ5456">
        <v>14</v>
      </c>
      <c r="AK5456">
        <v>202</v>
      </c>
      <c r="AL5456">
        <v>202</v>
      </c>
      <c r="AM5456">
        <v>560</v>
      </c>
      <c r="AN5456">
        <v>44</v>
      </c>
      <c r="AP5456">
        <v>1</v>
      </c>
      <c r="AR5456" t="s">
        <v>5561</v>
      </c>
      <c r="AS5456" s="1">
        <v>44354.169444444444</v>
      </c>
      <c r="AT5456" s="1">
        <v>44354.170370370368</v>
      </c>
      <c r="AU5456" s="1">
        <v>44354.170787037037</v>
      </c>
      <c r="AV5456" t="s">
        <v>71</v>
      </c>
      <c r="AW5456" t="s">
        <v>72</v>
      </c>
      <c r="AX5456" t="s">
        <v>73</v>
      </c>
    </row>
    <row r="5457" spans="1:50" x14ac:dyDescent="0.3">
      <c r="A5457" t="str">
        <f>"201652B0000"</f>
        <v>201652B0000</v>
      </c>
      <c r="B5457" t="str">
        <f>"201652B00002"</f>
        <v>201652B00002</v>
      </c>
      <c r="C5457" t="str">
        <f t="shared" si="271"/>
        <v>20</v>
      </c>
      <c r="D5457" t="s">
        <v>67</v>
      </c>
      <c r="E5457" t="str">
        <f t="shared" si="270"/>
        <v>024</v>
      </c>
      <c r="F5457" t="s">
        <v>5370</v>
      </c>
      <c r="G5457" t="str">
        <f>"1652"</f>
        <v>1652</v>
      </c>
      <c r="H5457" t="str">
        <f>"0000"</f>
        <v>0000</v>
      </c>
      <c r="I5457" t="s">
        <v>69</v>
      </c>
      <c r="J5457">
        <v>0</v>
      </c>
      <c r="K5457">
        <v>1</v>
      </c>
      <c r="L5457">
        <v>2</v>
      </c>
      <c r="M5457">
        <v>387</v>
      </c>
      <c r="N5457">
        <v>325</v>
      </c>
      <c r="O5457">
        <v>5</v>
      </c>
      <c r="P5457">
        <v>325</v>
      </c>
      <c r="Q5457">
        <v>2</v>
      </c>
      <c r="R5457">
        <v>15</v>
      </c>
      <c r="S5457">
        <v>0</v>
      </c>
      <c r="T5457">
        <v>5</v>
      </c>
      <c r="U5457">
        <v>4</v>
      </c>
      <c r="V5457">
        <v>5</v>
      </c>
      <c r="W5457">
        <v>8</v>
      </c>
      <c r="X5457">
        <v>166</v>
      </c>
      <c r="Y5457">
        <v>77</v>
      </c>
      <c r="Z5457">
        <v>15</v>
      </c>
      <c r="AA5457">
        <v>2</v>
      </c>
      <c r="AB5457">
        <v>13</v>
      </c>
      <c r="AD5457">
        <v>0</v>
      </c>
      <c r="AE5457">
        <v>0</v>
      </c>
      <c r="AF5457">
        <v>0</v>
      </c>
      <c r="AG5457">
        <v>0</v>
      </c>
      <c r="AI5457">
        <v>0</v>
      </c>
      <c r="AJ5457">
        <v>13</v>
      </c>
      <c r="AK5457">
        <v>325</v>
      </c>
      <c r="AL5457">
        <v>325</v>
      </c>
      <c r="AM5457">
        <v>668</v>
      </c>
      <c r="AN5457">
        <v>44</v>
      </c>
      <c r="AP5457">
        <v>1</v>
      </c>
      <c r="AR5457" t="s">
        <v>5562</v>
      </c>
      <c r="AS5457" s="1">
        <v>44354.322222222225</v>
      </c>
      <c r="AT5457" s="1">
        <v>44354.324467592596</v>
      </c>
      <c r="AU5457" s="1">
        <v>44354.324999999997</v>
      </c>
      <c r="AV5457" t="s">
        <v>71</v>
      </c>
      <c r="AW5457" t="s">
        <v>72</v>
      </c>
      <c r="AX5457" t="s">
        <v>73</v>
      </c>
    </row>
    <row r="5458" spans="1:50" x14ac:dyDescent="0.3">
      <c r="A5458" t="str">
        <f>"201653B0000"</f>
        <v>201653B0000</v>
      </c>
      <c r="B5458" t="str">
        <f>"201653B00002"</f>
        <v>201653B00002</v>
      </c>
      <c r="C5458" t="str">
        <f t="shared" si="271"/>
        <v>20</v>
      </c>
      <c r="D5458" t="s">
        <v>67</v>
      </c>
      <c r="E5458" t="str">
        <f t="shared" ref="E5458:E5497" si="272">"024"</f>
        <v>024</v>
      </c>
      <c r="F5458" t="s">
        <v>5370</v>
      </c>
      <c r="G5458" t="str">
        <f>"1653"</f>
        <v>1653</v>
      </c>
      <c r="H5458" t="str">
        <f>"0000"</f>
        <v>0000</v>
      </c>
      <c r="I5458" t="s">
        <v>69</v>
      </c>
      <c r="J5458">
        <v>0</v>
      </c>
      <c r="K5458">
        <v>1</v>
      </c>
      <c r="L5458">
        <v>2</v>
      </c>
      <c r="M5458">
        <v>349</v>
      </c>
      <c r="N5458">
        <v>246</v>
      </c>
      <c r="O5458">
        <v>0</v>
      </c>
      <c r="P5458">
        <v>246</v>
      </c>
      <c r="Q5458">
        <v>7</v>
      </c>
      <c r="R5458">
        <v>30</v>
      </c>
      <c r="S5458">
        <v>3</v>
      </c>
      <c r="T5458">
        <v>6</v>
      </c>
      <c r="U5458">
        <v>8</v>
      </c>
      <c r="V5458">
        <v>4</v>
      </c>
      <c r="W5458">
        <v>6</v>
      </c>
      <c r="X5458">
        <v>95</v>
      </c>
      <c r="Y5458">
        <v>62</v>
      </c>
      <c r="Z5458">
        <v>4</v>
      </c>
      <c r="AA5458">
        <v>3</v>
      </c>
      <c r="AB5458">
        <v>3</v>
      </c>
      <c r="AD5458">
        <v>1</v>
      </c>
      <c r="AE5458">
        <v>0</v>
      </c>
      <c r="AF5458">
        <v>0</v>
      </c>
      <c r="AG5458">
        <v>0</v>
      </c>
      <c r="AI5458">
        <v>0</v>
      </c>
      <c r="AJ5458">
        <v>14</v>
      </c>
      <c r="AK5458">
        <v>246</v>
      </c>
      <c r="AL5458">
        <v>246</v>
      </c>
      <c r="AM5458">
        <v>551</v>
      </c>
      <c r="AN5458">
        <v>44</v>
      </c>
      <c r="AP5458">
        <v>1</v>
      </c>
      <c r="AR5458" t="s">
        <v>5563</v>
      </c>
      <c r="AS5458" s="1">
        <v>44354.256944444445</v>
      </c>
      <c r="AT5458" s="1">
        <v>44354.259444444448</v>
      </c>
      <c r="AU5458" s="1">
        <v>44354.260057870371</v>
      </c>
      <c r="AV5458" t="s">
        <v>71</v>
      </c>
      <c r="AW5458" t="s">
        <v>72</v>
      </c>
      <c r="AX5458" t="s">
        <v>73</v>
      </c>
    </row>
    <row r="5459" spans="1:50" x14ac:dyDescent="0.3">
      <c r="A5459" t="str">
        <f>"201653C0100"</f>
        <v>201653C0100</v>
      </c>
      <c r="B5459" t="str">
        <f>"201653C01002"</f>
        <v>201653C01002</v>
      </c>
      <c r="C5459" t="str">
        <f t="shared" si="271"/>
        <v>20</v>
      </c>
      <c r="D5459" t="s">
        <v>67</v>
      </c>
      <c r="E5459" t="str">
        <f t="shared" si="272"/>
        <v>024</v>
      </c>
      <c r="F5459" t="s">
        <v>5370</v>
      </c>
      <c r="G5459" t="str">
        <f>"1653"</f>
        <v>1653</v>
      </c>
      <c r="H5459" t="str">
        <f>"0001"</f>
        <v>0001</v>
      </c>
      <c r="I5459" t="s">
        <v>75</v>
      </c>
      <c r="J5459">
        <v>0</v>
      </c>
      <c r="K5459">
        <v>1</v>
      </c>
      <c r="L5459">
        <v>2</v>
      </c>
      <c r="M5459">
        <v>372</v>
      </c>
      <c r="N5459">
        <v>223</v>
      </c>
      <c r="O5459">
        <v>0</v>
      </c>
      <c r="P5459">
        <v>223</v>
      </c>
      <c r="Q5459">
        <v>10</v>
      </c>
      <c r="R5459">
        <v>31</v>
      </c>
      <c r="S5459">
        <v>4</v>
      </c>
      <c r="T5459">
        <v>2</v>
      </c>
      <c r="U5459">
        <v>7</v>
      </c>
      <c r="V5459">
        <v>2</v>
      </c>
      <c r="W5459">
        <v>3</v>
      </c>
      <c r="X5459">
        <v>81</v>
      </c>
      <c r="Y5459">
        <v>56</v>
      </c>
      <c r="Z5459">
        <v>4</v>
      </c>
      <c r="AA5459">
        <v>6</v>
      </c>
      <c r="AB5459">
        <v>4</v>
      </c>
      <c r="AD5459">
        <v>0</v>
      </c>
      <c r="AE5459">
        <v>0</v>
      </c>
      <c r="AF5459">
        <v>0</v>
      </c>
      <c r="AG5459">
        <v>0</v>
      </c>
      <c r="AI5459">
        <v>0</v>
      </c>
      <c r="AJ5459">
        <v>13</v>
      </c>
      <c r="AK5459">
        <v>223</v>
      </c>
      <c r="AL5459">
        <v>223</v>
      </c>
      <c r="AM5459">
        <v>551</v>
      </c>
      <c r="AN5459">
        <v>44</v>
      </c>
      <c r="AP5459">
        <v>1</v>
      </c>
      <c r="AR5459" t="s">
        <v>5564</v>
      </c>
      <c r="AS5459" s="1">
        <v>44354.257638888892</v>
      </c>
      <c r="AT5459" s="1">
        <v>44354.259351851855</v>
      </c>
      <c r="AU5459" s="1">
        <v>44354.260659722226</v>
      </c>
      <c r="AV5459" t="s">
        <v>71</v>
      </c>
      <c r="AW5459" t="s">
        <v>72</v>
      </c>
      <c r="AX5459" t="s">
        <v>73</v>
      </c>
    </row>
    <row r="5460" spans="1:50" x14ac:dyDescent="0.3">
      <c r="A5460" t="str">
        <f>"201668B0000"</f>
        <v>201668B0000</v>
      </c>
      <c r="B5460" t="str">
        <f>"201668B00002"</f>
        <v>201668B00002</v>
      </c>
      <c r="C5460" t="str">
        <f t="shared" si="271"/>
        <v>20</v>
      </c>
      <c r="D5460" t="s">
        <v>67</v>
      </c>
      <c r="E5460" t="str">
        <f t="shared" si="272"/>
        <v>024</v>
      </c>
      <c r="F5460" t="s">
        <v>5370</v>
      </c>
      <c r="G5460" t="str">
        <f>"1668"</f>
        <v>1668</v>
      </c>
      <c r="H5460" t="str">
        <f>"0000"</f>
        <v>0000</v>
      </c>
      <c r="I5460" t="s">
        <v>69</v>
      </c>
      <c r="J5460">
        <v>0</v>
      </c>
      <c r="K5460">
        <v>1</v>
      </c>
      <c r="L5460">
        <v>2</v>
      </c>
      <c r="M5460">
        <v>502</v>
      </c>
      <c r="N5460">
        <v>219</v>
      </c>
      <c r="O5460">
        <v>1</v>
      </c>
      <c r="P5460">
        <v>219</v>
      </c>
      <c r="Q5460">
        <v>7</v>
      </c>
      <c r="R5460">
        <v>48</v>
      </c>
      <c r="S5460">
        <v>8</v>
      </c>
      <c r="T5460">
        <v>3</v>
      </c>
      <c r="U5460">
        <v>5</v>
      </c>
      <c r="V5460">
        <v>4</v>
      </c>
      <c r="W5460">
        <v>3</v>
      </c>
      <c r="X5460">
        <v>110</v>
      </c>
      <c r="Y5460">
        <v>10</v>
      </c>
      <c r="Z5460">
        <v>2</v>
      </c>
      <c r="AA5460">
        <v>6</v>
      </c>
      <c r="AB5460">
        <v>4</v>
      </c>
      <c r="AD5460">
        <v>1</v>
      </c>
      <c r="AE5460">
        <v>1</v>
      </c>
      <c r="AF5460">
        <v>0</v>
      </c>
      <c r="AG5460">
        <v>0</v>
      </c>
      <c r="AI5460">
        <v>0</v>
      </c>
      <c r="AJ5460">
        <v>7</v>
      </c>
      <c r="AK5460">
        <v>219</v>
      </c>
      <c r="AL5460">
        <v>219</v>
      </c>
      <c r="AM5460">
        <v>677</v>
      </c>
      <c r="AN5460">
        <v>44</v>
      </c>
      <c r="AP5460">
        <v>1</v>
      </c>
      <c r="AR5460" t="s">
        <v>5565</v>
      </c>
      <c r="AS5460" s="1">
        <v>44354.225694444445</v>
      </c>
      <c r="AT5460" s="1">
        <v>44354.227129629631</v>
      </c>
      <c r="AU5460" s="1">
        <v>44354.228055555555</v>
      </c>
      <c r="AV5460" t="s">
        <v>71</v>
      </c>
      <c r="AW5460" t="s">
        <v>72</v>
      </c>
      <c r="AX5460" t="s">
        <v>73</v>
      </c>
    </row>
    <row r="5461" spans="1:50" x14ac:dyDescent="0.3">
      <c r="A5461" t="str">
        <f>"201668C0100"</f>
        <v>201668C0100</v>
      </c>
      <c r="B5461" t="str">
        <f>"201668C01002"</f>
        <v>201668C01002</v>
      </c>
      <c r="C5461" t="str">
        <f t="shared" si="271"/>
        <v>20</v>
      </c>
      <c r="D5461" t="s">
        <v>67</v>
      </c>
      <c r="E5461" t="str">
        <f t="shared" si="272"/>
        <v>024</v>
      </c>
      <c r="F5461" t="s">
        <v>5370</v>
      </c>
      <c r="G5461" t="str">
        <f>"1668"</f>
        <v>1668</v>
      </c>
      <c r="H5461" t="str">
        <f>"0001"</f>
        <v>0001</v>
      </c>
      <c r="I5461" t="s">
        <v>75</v>
      </c>
      <c r="J5461">
        <v>0</v>
      </c>
      <c r="K5461">
        <v>1</v>
      </c>
      <c r="L5461">
        <v>2</v>
      </c>
      <c r="M5461">
        <v>530</v>
      </c>
      <c r="N5461">
        <v>191</v>
      </c>
      <c r="O5461">
        <v>0</v>
      </c>
      <c r="P5461">
        <v>191</v>
      </c>
      <c r="Q5461">
        <v>4</v>
      </c>
      <c r="R5461">
        <v>44</v>
      </c>
      <c r="S5461">
        <v>4</v>
      </c>
      <c r="T5461">
        <v>6</v>
      </c>
      <c r="U5461">
        <v>10</v>
      </c>
      <c r="V5461">
        <v>2</v>
      </c>
      <c r="W5461">
        <v>2</v>
      </c>
      <c r="X5461">
        <v>101</v>
      </c>
      <c r="Y5461">
        <v>2</v>
      </c>
      <c r="Z5461">
        <v>2</v>
      </c>
      <c r="AA5461">
        <v>1</v>
      </c>
      <c r="AB5461">
        <v>6</v>
      </c>
      <c r="AD5461">
        <v>0</v>
      </c>
      <c r="AE5461">
        <v>0</v>
      </c>
      <c r="AF5461">
        <v>0</v>
      </c>
      <c r="AG5461">
        <v>0</v>
      </c>
      <c r="AI5461">
        <v>0</v>
      </c>
      <c r="AJ5461">
        <v>7</v>
      </c>
      <c r="AK5461">
        <v>191</v>
      </c>
      <c r="AL5461">
        <v>191</v>
      </c>
      <c r="AM5461">
        <v>677</v>
      </c>
      <c r="AN5461">
        <v>44</v>
      </c>
      <c r="AP5461">
        <v>1</v>
      </c>
      <c r="AR5461" t="s">
        <v>5566</v>
      </c>
      <c r="AS5461" s="1">
        <v>44354.228472222225</v>
      </c>
      <c r="AT5461" s="1">
        <v>44354.230173611111</v>
      </c>
      <c r="AU5461" s="1">
        <v>44354.230694444443</v>
      </c>
      <c r="AV5461" t="s">
        <v>71</v>
      </c>
      <c r="AW5461" t="s">
        <v>72</v>
      </c>
      <c r="AX5461" t="s">
        <v>73</v>
      </c>
    </row>
    <row r="5462" spans="1:50" x14ac:dyDescent="0.3">
      <c r="A5462" t="str">
        <f>"201669B0000"</f>
        <v>201669B0000</v>
      </c>
      <c r="B5462" t="str">
        <f>"201669B00002"</f>
        <v>201669B00002</v>
      </c>
      <c r="C5462" t="str">
        <f t="shared" si="271"/>
        <v>20</v>
      </c>
      <c r="D5462" t="s">
        <v>67</v>
      </c>
      <c r="E5462" t="str">
        <f t="shared" si="272"/>
        <v>024</v>
      </c>
      <c r="F5462" t="s">
        <v>5370</v>
      </c>
      <c r="G5462" t="str">
        <f>"1669"</f>
        <v>1669</v>
      </c>
      <c r="H5462" t="str">
        <f>"0000"</f>
        <v>0000</v>
      </c>
      <c r="I5462" t="s">
        <v>69</v>
      </c>
      <c r="J5462">
        <v>0</v>
      </c>
      <c r="K5462">
        <v>1</v>
      </c>
      <c r="L5462">
        <v>2</v>
      </c>
      <c r="M5462">
        <v>344</v>
      </c>
      <c r="N5462">
        <v>163</v>
      </c>
      <c r="O5462">
        <v>0</v>
      </c>
      <c r="P5462">
        <v>163</v>
      </c>
      <c r="Q5462">
        <v>1</v>
      </c>
      <c r="R5462">
        <v>55</v>
      </c>
      <c r="S5462">
        <v>2</v>
      </c>
      <c r="T5462">
        <v>3</v>
      </c>
      <c r="U5462">
        <v>2</v>
      </c>
      <c r="V5462">
        <v>4</v>
      </c>
      <c r="W5462">
        <v>3</v>
      </c>
      <c r="X5462">
        <v>73</v>
      </c>
      <c r="Y5462">
        <v>7</v>
      </c>
      <c r="Z5462">
        <v>3</v>
      </c>
      <c r="AA5462">
        <v>1</v>
      </c>
      <c r="AB5462">
        <v>4</v>
      </c>
      <c r="AD5462">
        <v>0</v>
      </c>
      <c r="AE5462">
        <v>0</v>
      </c>
      <c r="AF5462">
        <v>0</v>
      </c>
      <c r="AG5462">
        <v>0</v>
      </c>
      <c r="AI5462" t="s">
        <v>77</v>
      </c>
      <c r="AJ5462">
        <v>5</v>
      </c>
      <c r="AK5462">
        <v>163</v>
      </c>
      <c r="AL5462">
        <v>163</v>
      </c>
      <c r="AM5462">
        <v>463</v>
      </c>
      <c r="AN5462">
        <v>44</v>
      </c>
      <c r="AO5462" t="s">
        <v>78</v>
      </c>
      <c r="AP5462">
        <v>1</v>
      </c>
      <c r="AR5462" t="s">
        <v>5567</v>
      </c>
      <c r="AS5462" s="1">
        <v>44354.224305555559</v>
      </c>
      <c r="AT5462" s="1">
        <v>44354.226041666669</v>
      </c>
      <c r="AU5462" s="1">
        <v>44354.226782407408</v>
      </c>
      <c r="AV5462" t="s">
        <v>71</v>
      </c>
      <c r="AW5462" t="s">
        <v>72</v>
      </c>
      <c r="AX5462" t="s">
        <v>73</v>
      </c>
    </row>
    <row r="5463" spans="1:50" x14ac:dyDescent="0.3">
      <c r="A5463" t="str">
        <f>"201669C0100"</f>
        <v>201669C0100</v>
      </c>
      <c r="B5463" t="str">
        <f>"201669C01002"</f>
        <v>201669C01002</v>
      </c>
      <c r="C5463" t="str">
        <f t="shared" si="271"/>
        <v>20</v>
      </c>
      <c r="D5463" t="s">
        <v>67</v>
      </c>
      <c r="E5463" t="str">
        <f t="shared" si="272"/>
        <v>024</v>
      </c>
      <c r="F5463" t="s">
        <v>5370</v>
      </c>
      <c r="G5463" t="str">
        <f>"1669"</f>
        <v>1669</v>
      </c>
      <c r="H5463" t="str">
        <f>"0001"</f>
        <v>0001</v>
      </c>
      <c r="I5463" t="s">
        <v>75</v>
      </c>
      <c r="J5463">
        <v>0</v>
      </c>
      <c r="K5463">
        <v>1</v>
      </c>
      <c r="L5463">
        <v>2</v>
      </c>
      <c r="M5463">
        <v>345</v>
      </c>
      <c r="N5463">
        <v>161</v>
      </c>
      <c r="O5463">
        <v>0</v>
      </c>
      <c r="P5463">
        <v>161</v>
      </c>
      <c r="Q5463">
        <v>2</v>
      </c>
      <c r="R5463">
        <v>35</v>
      </c>
      <c r="S5463">
        <v>1</v>
      </c>
      <c r="T5463">
        <v>1</v>
      </c>
      <c r="U5463">
        <v>6</v>
      </c>
      <c r="V5463">
        <v>1</v>
      </c>
      <c r="W5463">
        <v>1</v>
      </c>
      <c r="X5463">
        <v>91</v>
      </c>
      <c r="Y5463">
        <v>4</v>
      </c>
      <c r="Z5463">
        <v>4</v>
      </c>
      <c r="AA5463">
        <v>3</v>
      </c>
      <c r="AB5463">
        <v>6</v>
      </c>
      <c r="AD5463" t="s">
        <v>77</v>
      </c>
      <c r="AE5463" t="s">
        <v>77</v>
      </c>
      <c r="AF5463" t="s">
        <v>77</v>
      </c>
      <c r="AG5463" t="s">
        <v>77</v>
      </c>
      <c r="AI5463" t="s">
        <v>77</v>
      </c>
      <c r="AJ5463">
        <v>6</v>
      </c>
      <c r="AK5463">
        <v>161</v>
      </c>
      <c r="AL5463">
        <v>161</v>
      </c>
      <c r="AM5463">
        <v>462</v>
      </c>
      <c r="AN5463">
        <v>44</v>
      </c>
      <c r="AO5463" t="s">
        <v>78</v>
      </c>
      <c r="AP5463">
        <v>1</v>
      </c>
      <c r="AR5463" t="s">
        <v>5568</v>
      </c>
      <c r="AS5463" s="1">
        <v>44354.229861111111</v>
      </c>
      <c r="AT5463" s="1">
        <v>44354.231458333335</v>
      </c>
      <c r="AU5463" s="1">
        <v>44354.23201388889</v>
      </c>
      <c r="AV5463" t="s">
        <v>71</v>
      </c>
      <c r="AW5463" t="s">
        <v>72</v>
      </c>
      <c r="AX5463" t="s">
        <v>73</v>
      </c>
    </row>
    <row r="5464" spans="1:50" x14ac:dyDescent="0.3">
      <c r="A5464" t="str">
        <f>"201670B0000"</f>
        <v>201670B0000</v>
      </c>
      <c r="B5464" t="str">
        <f>"201670B00002"</f>
        <v>201670B00002</v>
      </c>
      <c r="C5464" t="str">
        <f t="shared" si="271"/>
        <v>20</v>
      </c>
      <c r="D5464" t="s">
        <v>67</v>
      </c>
      <c r="E5464" t="str">
        <f t="shared" si="272"/>
        <v>024</v>
      </c>
      <c r="F5464" t="s">
        <v>5370</v>
      </c>
      <c r="G5464" t="str">
        <f>"1670"</f>
        <v>1670</v>
      </c>
      <c r="H5464" t="str">
        <f>"0000"</f>
        <v>0000</v>
      </c>
      <c r="I5464" t="s">
        <v>69</v>
      </c>
      <c r="J5464">
        <v>0</v>
      </c>
      <c r="K5464">
        <v>1</v>
      </c>
      <c r="L5464">
        <v>2</v>
      </c>
      <c r="M5464">
        <v>169</v>
      </c>
      <c r="N5464">
        <v>37</v>
      </c>
      <c r="O5464">
        <v>4</v>
      </c>
      <c r="P5464">
        <v>37</v>
      </c>
      <c r="Q5464">
        <v>2</v>
      </c>
      <c r="R5464">
        <v>14</v>
      </c>
      <c r="S5464">
        <v>1</v>
      </c>
      <c r="T5464">
        <v>2</v>
      </c>
      <c r="U5464">
        <v>0</v>
      </c>
      <c r="V5464">
        <v>2</v>
      </c>
      <c r="W5464">
        <v>0</v>
      </c>
      <c r="X5464">
        <v>10</v>
      </c>
      <c r="Y5464">
        <v>0</v>
      </c>
      <c r="Z5464">
        <v>4</v>
      </c>
      <c r="AA5464">
        <v>0</v>
      </c>
      <c r="AB5464">
        <v>1</v>
      </c>
      <c r="AD5464">
        <v>0</v>
      </c>
      <c r="AE5464">
        <v>0</v>
      </c>
      <c r="AF5464">
        <v>0</v>
      </c>
      <c r="AG5464">
        <v>0</v>
      </c>
      <c r="AI5464">
        <v>0</v>
      </c>
      <c r="AJ5464">
        <v>1</v>
      </c>
      <c r="AK5464">
        <v>37</v>
      </c>
      <c r="AL5464">
        <v>37</v>
      </c>
      <c r="AM5464">
        <v>163</v>
      </c>
      <c r="AN5464">
        <v>44</v>
      </c>
      <c r="AP5464">
        <v>1</v>
      </c>
      <c r="AR5464" t="s">
        <v>5569</v>
      </c>
      <c r="AS5464" s="1">
        <v>44354.222222222219</v>
      </c>
      <c r="AT5464" s="1">
        <v>44354.22378472222</v>
      </c>
      <c r="AU5464" s="1">
        <v>44354.225844907407</v>
      </c>
      <c r="AV5464" t="s">
        <v>71</v>
      </c>
      <c r="AW5464" t="s">
        <v>72</v>
      </c>
      <c r="AX5464" t="s">
        <v>73</v>
      </c>
    </row>
    <row r="5465" spans="1:50" x14ac:dyDescent="0.3">
      <c r="A5465" t="str">
        <f>"201676B0000"</f>
        <v>201676B0000</v>
      </c>
      <c r="B5465" t="str">
        <f>"201676B00002"</f>
        <v>201676B00002</v>
      </c>
      <c r="C5465" t="str">
        <f t="shared" si="271"/>
        <v>20</v>
      </c>
      <c r="D5465" t="s">
        <v>67</v>
      </c>
      <c r="E5465" t="str">
        <f t="shared" si="272"/>
        <v>024</v>
      </c>
      <c r="F5465" t="s">
        <v>5370</v>
      </c>
      <c r="G5465" t="str">
        <f>"1676"</f>
        <v>1676</v>
      </c>
      <c r="H5465" t="str">
        <f>"0000"</f>
        <v>0000</v>
      </c>
      <c r="I5465" t="s">
        <v>69</v>
      </c>
      <c r="J5465">
        <v>0</v>
      </c>
      <c r="K5465">
        <v>1</v>
      </c>
      <c r="L5465">
        <v>2</v>
      </c>
      <c r="M5465">
        <v>182</v>
      </c>
      <c r="N5465">
        <v>213</v>
      </c>
      <c r="O5465">
        <v>0</v>
      </c>
      <c r="P5465">
        <v>213</v>
      </c>
      <c r="Q5465">
        <v>1</v>
      </c>
      <c r="R5465">
        <v>11</v>
      </c>
      <c r="S5465">
        <v>1</v>
      </c>
      <c r="T5465">
        <v>0</v>
      </c>
      <c r="U5465">
        <v>4</v>
      </c>
      <c r="V5465">
        <v>15</v>
      </c>
      <c r="W5465">
        <v>2</v>
      </c>
      <c r="X5465">
        <v>149</v>
      </c>
      <c r="Y5465">
        <v>3</v>
      </c>
      <c r="Z5465">
        <v>6</v>
      </c>
      <c r="AA5465">
        <v>1</v>
      </c>
      <c r="AB5465">
        <v>6</v>
      </c>
      <c r="AD5465">
        <v>1</v>
      </c>
      <c r="AE5465">
        <v>0</v>
      </c>
      <c r="AF5465">
        <v>0</v>
      </c>
      <c r="AG5465">
        <v>0</v>
      </c>
      <c r="AI5465">
        <v>0</v>
      </c>
      <c r="AJ5465">
        <v>3</v>
      </c>
      <c r="AK5465">
        <v>213</v>
      </c>
      <c r="AL5465">
        <v>203</v>
      </c>
      <c r="AM5465">
        <v>351</v>
      </c>
      <c r="AN5465">
        <v>44</v>
      </c>
      <c r="AP5465">
        <v>1</v>
      </c>
      <c r="AR5465" t="s">
        <v>5570</v>
      </c>
      <c r="AS5465" s="1">
        <v>44354.326388888891</v>
      </c>
      <c r="AT5465" s="1">
        <v>44354.327534722222</v>
      </c>
      <c r="AU5465" s="1">
        <v>44354.327986111108</v>
      </c>
      <c r="AV5465" t="s">
        <v>71</v>
      </c>
      <c r="AW5465" t="s">
        <v>72</v>
      </c>
      <c r="AX5465" t="s">
        <v>73</v>
      </c>
    </row>
    <row r="5466" spans="1:50" x14ac:dyDescent="0.3">
      <c r="A5466" t="str">
        <f>"201709B0000"</f>
        <v>201709B0000</v>
      </c>
      <c r="B5466" t="str">
        <f>"201709B00002"</f>
        <v>201709B00002</v>
      </c>
      <c r="C5466" t="str">
        <f t="shared" si="271"/>
        <v>20</v>
      </c>
      <c r="D5466" t="s">
        <v>67</v>
      </c>
      <c r="E5466" t="str">
        <f t="shared" si="272"/>
        <v>024</v>
      </c>
      <c r="F5466" t="s">
        <v>5370</v>
      </c>
      <c r="G5466" t="str">
        <f>"1709"</f>
        <v>1709</v>
      </c>
      <c r="H5466" t="str">
        <f>"0000"</f>
        <v>0000</v>
      </c>
      <c r="I5466" t="s">
        <v>69</v>
      </c>
      <c r="J5466">
        <v>0</v>
      </c>
      <c r="K5466">
        <v>1</v>
      </c>
      <c r="L5466">
        <v>2</v>
      </c>
      <c r="M5466">
        <v>442</v>
      </c>
      <c r="N5466">
        <v>179</v>
      </c>
      <c r="O5466">
        <v>0</v>
      </c>
      <c r="P5466">
        <v>179</v>
      </c>
      <c r="Q5466">
        <v>3</v>
      </c>
      <c r="R5466">
        <v>64</v>
      </c>
      <c r="S5466">
        <v>2</v>
      </c>
      <c r="T5466">
        <v>2</v>
      </c>
      <c r="U5466">
        <v>4</v>
      </c>
      <c r="V5466">
        <v>1</v>
      </c>
      <c r="W5466">
        <v>1</v>
      </c>
      <c r="X5466">
        <v>50</v>
      </c>
      <c r="Y5466">
        <v>38</v>
      </c>
      <c r="Z5466">
        <v>0</v>
      </c>
      <c r="AA5466">
        <v>2</v>
      </c>
      <c r="AB5466">
        <v>2</v>
      </c>
      <c r="AD5466">
        <v>0</v>
      </c>
      <c r="AE5466">
        <v>0</v>
      </c>
      <c r="AF5466">
        <v>0</v>
      </c>
      <c r="AG5466">
        <v>0</v>
      </c>
      <c r="AI5466">
        <v>0</v>
      </c>
      <c r="AJ5466">
        <v>10</v>
      </c>
      <c r="AK5466">
        <v>179</v>
      </c>
      <c r="AL5466">
        <v>179</v>
      </c>
      <c r="AM5466">
        <v>577</v>
      </c>
      <c r="AN5466">
        <v>44</v>
      </c>
      <c r="AP5466">
        <v>1</v>
      </c>
      <c r="AR5466" t="s">
        <v>5571</v>
      </c>
      <c r="AS5466" s="1">
        <v>44354.211805555555</v>
      </c>
      <c r="AT5466" s="1">
        <v>44354.214108796295</v>
      </c>
      <c r="AU5466" s="1">
        <v>44354.214953703704</v>
      </c>
      <c r="AV5466" t="s">
        <v>71</v>
      </c>
      <c r="AW5466" t="s">
        <v>72</v>
      </c>
      <c r="AX5466" t="s">
        <v>73</v>
      </c>
    </row>
    <row r="5467" spans="1:50" x14ac:dyDescent="0.3">
      <c r="A5467" t="str">
        <f>"201709C0100"</f>
        <v>201709C0100</v>
      </c>
      <c r="B5467" t="str">
        <f>"201709C01002"</f>
        <v>201709C01002</v>
      </c>
      <c r="C5467" t="str">
        <f t="shared" si="271"/>
        <v>20</v>
      </c>
      <c r="D5467" t="s">
        <v>67</v>
      </c>
      <c r="E5467" t="str">
        <f t="shared" si="272"/>
        <v>024</v>
      </c>
      <c r="F5467" t="s">
        <v>5370</v>
      </c>
      <c r="G5467" t="str">
        <f>"1709"</f>
        <v>1709</v>
      </c>
      <c r="H5467" t="str">
        <f>"0001"</f>
        <v>0001</v>
      </c>
      <c r="I5467" t="s">
        <v>75</v>
      </c>
      <c r="J5467">
        <v>0</v>
      </c>
      <c r="K5467">
        <v>1</v>
      </c>
      <c r="L5467">
        <v>2</v>
      </c>
      <c r="M5467">
        <v>447</v>
      </c>
      <c r="N5467">
        <v>174</v>
      </c>
      <c r="O5467">
        <v>2</v>
      </c>
      <c r="P5467">
        <v>175</v>
      </c>
      <c r="Q5467">
        <v>2</v>
      </c>
      <c r="R5467">
        <v>82</v>
      </c>
      <c r="S5467">
        <v>0</v>
      </c>
      <c r="T5467">
        <v>6</v>
      </c>
      <c r="U5467">
        <v>5</v>
      </c>
      <c r="V5467">
        <v>1</v>
      </c>
      <c r="W5467">
        <v>3</v>
      </c>
      <c r="X5467">
        <v>26</v>
      </c>
      <c r="Y5467">
        <v>37</v>
      </c>
      <c r="Z5467">
        <v>2</v>
      </c>
      <c r="AA5467">
        <v>1</v>
      </c>
      <c r="AB5467">
        <v>1</v>
      </c>
      <c r="AD5467">
        <v>1</v>
      </c>
      <c r="AE5467">
        <v>1</v>
      </c>
      <c r="AF5467">
        <v>0</v>
      </c>
      <c r="AG5467">
        <v>0</v>
      </c>
      <c r="AI5467">
        <v>0</v>
      </c>
      <c r="AJ5467">
        <v>7</v>
      </c>
      <c r="AK5467">
        <v>175</v>
      </c>
      <c r="AL5467">
        <v>175</v>
      </c>
      <c r="AM5467">
        <v>577</v>
      </c>
      <c r="AN5467">
        <v>44</v>
      </c>
      <c r="AP5467">
        <v>1</v>
      </c>
      <c r="AR5467" t="s">
        <v>5572</v>
      </c>
      <c r="AS5467" s="1">
        <v>44354.20208333333</v>
      </c>
      <c r="AT5467" s="1">
        <v>44354.204074074078</v>
      </c>
      <c r="AU5467" s="1">
        <v>44354.205000000002</v>
      </c>
      <c r="AV5467" t="s">
        <v>71</v>
      </c>
      <c r="AW5467" t="s">
        <v>72</v>
      </c>
      <c r="AX5467" t="s">
        <v>73</v>
      </c>
    </row>
    <row r="5468" spans="1:50" x14ac:dyDescent="0.3">
      <c r="A5468" t="str">
        <f>"201709C0200"</f>
        <v>201709C0200</v>
      </c>
      <c r="B5468" t="str">
        <f>"201709C02002"</f>
        <v>201709C02002</v>
      </c>
      <c r="C5468" t="str">
        <f t="shared" si="271"/>
        <v>20</v>
      </c>
      <c r="D5468" t="s">
        <v>67</v>
      </c>
      <c r="E5468" t="str">
        <f t="shared" si="272"/>
        <v>024</v>
      </c>
      <c r="F5468" t="s">
        <v>5370</v>
      </c>
      <c r="G5468" t="str">
        <f>"1709"</f>
        <v>1709</v>
      </c>
      <c r="H5468" t="str">
        <f>"0002"</f>
        <v>0002</v>
      </c>
      <c r="I5468" t="s">
        <v>75</v>
      </c>
      <c r="J5468">
        <v>0</v>
      </c>
      <c r="K5468">
        <v>1</v>
      </c>
      <c r="L5468">
        <v>2</v>
      </c>
      <c r="M5468">
        <v>443</v>
      </c>
      <c r="N5468">
        <v>178</v>
      </c>
      <c r="O5468">
        <v>0</v>
      </c>
      <c r="P5468" t="s">
        <v>80</v>
      </c>
      <c r="Q5468">
        <v>3</v>
      </c>
      <c r="R5468">
        <v>72</v>
      </c>
      <c r="S5468">
        <v>1</v>
      </c>
      <c r="T5468">
        <v>2</v>
      </c>
      <c r="U5468">
        <v>5</v>
      </c>
      <c r="V5468">
        <v>6</v>
      </c>
      <c r="W5468">
        <v>4</v>
      </c>
      <c r="X5468">
        <v>39</v>
      </c>
      <c r="Y5468">
        <v>36</v>
      </c>
      <c r="Z5468">
        <v>1</v>
      </c>
      <c r="AA5468">
        <v>1</v>
      </c>
      <c r="AB5468">
        <v>0</v>
      </c>
      <c r="AD5468">
        <v>0</v>
      </c>
      <c r="AE5468">
        <v>0</v>
      </c>
      <c r="AF5468">
        <v>0</v>
      </c>
      <c r="AG5468">
        <v>0</v>
      </c>
      <c r="AI5468">
        <v>0</v>
      </c>
      <c r="AJ5468">
        <v>8</v>
      </c>
      <c r="AK5468">
        <v>178</v>
      </c>
      <c r="AL5468">
        <v>178</v>
      </c>
      <c r="AM5468">
        <v>576</v>
      </c>
      <c r="AN5468">
        <v>44</v>
      </c>
      <c r="AP5468">
        <v>1</v>
      </c>
      <c r="AR5468" t="s">
        <v>5573</v>
      </c>
      <c r="AS5468" s="1">
        <v>44354.209027777775</v>
      </c>
      <c r="AT5468" s="1">
        <v>44354.211111111108</v>
      </c>
      <c r="AU5468" s="1">
        <v>44354.211469907408</v>
      </c>
      <c r="AV5468" t="s">
        <v>71</v>
      </c>
      <c r="AW5468" t="s">
        <v>72</v>
      </c>
      <c r="AX5468" t="s">
        <v>73</v>
      </c>
    </row>
    <row r="5469" spans="1:50" x14ac:dyDescent="0.3">
      <c r="A5469" t="str">
        <f>"201710B0000"</f>
        <v>201710B0000</v>
      </c>
      <c r="B5469" t="str">
        <f>"201710B00002"</f>
        <v>201710B00002</v>
      </c>
      <c r="C5469" t="str">
        <f t="shared" si="271"/>
        <v>20</v>
      </c>
      <c r="D5469" t="s">
        <v>67</v>
      </c>
      <c r="E5469" t="str">
        <f t="shared" si="272"/>
        <v>024</v>
      </c>
      <c r="F5469" t="s">
        <v>5370</v>
      </c>
      <c r="G5469" t="str">
        <f>"1710"</f>
        <v>1710</v>
      </c>
      <c r="H5469" t="str">
        <f>"0000"</f>
        <v>0000</v>
      </c>
      <c r="I5469" t="s">
        <v>69</v>
      </c>
      <c r="J5469">
        <v>0</v>
      </c>
      <c r="K5469">
        <v>1</v>
      </c>
      <c r="L5469">
        <v>2</v>
      </c>
      <c r="M5469">
        <v>456</v>
      </c>
      <c r="N5469">
        <v>239</v>
      </c>
      <c r="O5469">
        <v>0</v>
      </c>
      <c r="P5469">
        <v>239</v>
      </c>
      <c r="Q5469">
        <v>4</v>
      </c>
      <c r="R5469">
        <v>119</v>
      </c>
      <c r="S5469">
        <v>2</v>
      </c>
      <c r="T5469">
        <v>4</v>
      </c>
      <c r="U5469">
        <v>6</v>
      </c>
      <c r="V5469">
        <v>3</v>
      </c>
      <c r="W5469">
        <v>4</v>
      </c>
      <c r="X5469">
        <v>62</v>
      </c>
      <c r="Y5469">
        <v>19</v>
      </c>
      <c r="Z5469">
        <v>0</v>
      </c>
      <c r="AA5469">
        <v>5</v>
      </c>
      <c r="AB5469">
        <v>2</v>
      </c>
      <c r="AD5469">
        <v>0</v>
      </c>
      <c r="AE5469">
        <v>0</v>
      </c>
      <c r="AF5469">
        <v>0</v>
      </c>
      <c r="AG5469">
        <v>0</v>
      </c>
      <c r="AI5469">
        <v>0</v>
      </c>
      <c r="AJ5469">
        <v>9</v>
      </c>
      <c r="AK5469">
        <v>239</v>
      </c>
      <c r="AL5469">
        <v>239</v>
      </c>
      <c r="AM5469">
        <v>651</v>
      </c>
      <c r="AN5469">
        <v>44</v>
      </c>
      <c r="AP5469">
        <v>1</v>
      </c>
      <c r="AR5469" t="s">
        <v>5574</v>
      </c>
      <c r="AS5469" s="1">
        <v>44354.20416666667</v>
      </c>
      <c r="AT5469" s="1">
        <v>44354.206250000003</v>
      </c>
      <c r="AU5469" s="1">
        <v>44354.206631944442</v>
      </c>
      <c r="AV5469" t="s">
        <v>71</v>
      </c>
      <c r="AW5469" t="s">
        <v>72</v>
      </c>
      <c r="AX5469" t="s">
        <v>73</v>
      </c>
    </row>
    <row r="5470" spans="1:50" x14ac:dyDescent="0.3">
      <c r="A5470" t="str">
        <f>"201710C0100"</f>
        <v>201710C0100</v>
      </c>
      <c r="B5470" t="str">
        <f>"201710C01002"</f>
        <v>201710C01002</v>
      </c>
      <c r="C5470" t="str">
        <f t="shared" si="271"/>
        <v>20</v>
      </c>
      <c r="D5470" t="s">
        <v>67</v>
      </c>
      <c r="E5470" t="str">
        <f t="shared" si="272"/>
        <v>024</v>
      </c>
      <c r="F5470" t="s">
        <v>5370</v>
      </c>
      <c r="G5470" t="str">
        <f>"1710"</f>
        <v>1710</v>
      </c>
      <c r="H5470" t="str">
        <f>"0001"</f>
        <v>0001</v>
      </c>
      <c r="I5470" t="s">
        <v>75</v>
      </c>
      <c r="J5470">
        <v>0</v>
      </c>
      <c r="K5470">
        <v>1</v>
      </c>
      <c r="L5470">
        <v>2</v>
      </c>
      <c r="M5470">
        <v>458</v>
      </c>
      <c r="N5470">
        <v>237</v>
      </c>
      <c r="O5470">
        <v>0</v>
      </c>
      <c r="P5470">
        <v>237</v>
      </c>
      <c r="Q5470">
        <v>0</v>
      </c>
      <c r="R5470">
        <v>124</v>
      </c>
      <c r="S5470">
        <v>0</v>
      </c>
      <c r="T5470">
        <v>4</v>
      </c>
      <c r="U5470">
        <v>1</v>
      </c>
      <c r="V5470">
        <v>1</v>
      </c>
      <c r="W5470">
        <v>1</v>
      </c>
      <c r="X5470">
        <v>54</v>
      </c>
      <c r="Y5470">
        <v>39</v>
      </c>
      <c r="Z5470">
        <v>0</v>
      </c>
      <c r="AA5470">
        <v>0</v>
      </c>
      <c r="AB5470">
        <v>0</v>
      </c>
      <c r="AD5470">
        <v>0</v>
      </c>
      <c r="AE5470">
        <v>0</v>
      </c>
      <c r="AF5470">
        <v>0</v>
      </c>
      <c r="AG5470">
        <v>0</v>
      </c>
      <c r="AI5470">
        <v>0</v>
      </c>
      <c r="AJ5470">
        <v>13</v>
      </c>
      <c r="AK5470">
        <v>237</v>
      </c>
      <c r="AL5470">
        <v>237</v>
      </c>
      <c r="AM5470">
        <v>651</v>
      </c>
      <c r="AN5470">
        <v>44</v>
      </c>
      <c r="AP5470">
        <v>1</v>
      </c>
      <c r="AR5470" s="2" t="s">
        <v>5575</v>
      </c>
      <c r="AS5470" s="1">
        <v>44354.205555555556</v>
      </c>
      <c r="AT5470" s="1">
        <v>44354.206956018519</v>
      </c>
      <c r="AU5470" s="1">
        <v>44354.207592592589</v>
      </c>
      <c r="AV5470" t="s">
        <v>71</v>
      </c>
      <c r="AW5470" t="s">
        <v>72</v>
      </c>
      <c r="AX5470" t="s">
        <v>73</v>
      </c>
    </row>
    <row r="5471" spans="1:50" x14ac:dyDescent="0.3">
      <c r="A5471" t="str">
        <f>"201711B0000"</f>
        <v>201711B0000</v>
      </c>
      <c r="B5471" t="str">
        <f>"201711B00002"</f>
        <v>201711B00002</v>
      </c>
      <c r="C5471" t="str">
        <f t="shared" si="271"/>
        <v>20</v>
      </c>
      <c r="D5471" t="s">
        <v>67</v>
      </c>
      <c r="E5471" t="str">
        <f t="shared" si="272"/>
        <v>024</v>
      </c>
      <c r="F5471" t="s">
        <v>5370</v>
      </c>
      <c r="G5471" t="str">
        <f>"1711"</f>
        <v>1711</v>
      </c>
      <c r="H5471" t="str">
        <f>"0000"</f>
        <v>0000</v>
      </c>
      <c r="I5471" t="s">
        <v>69</v>
      </c>
      <c r="J5471">
        <v>0</v>
      </c>
      <c r="K5471">
        <v>1</v>
      </c>
      <c r="L5471">
        <v>2</v>
      </c>
      <c r="M5471">
        <v>403</v>
      </c>
      <c r="N5471">
        <v>190</v>
      </c>
      <c r="O5471">
        <v>0</v>
      </c>
      <c r="P5471">
        <v>190</v>
      </c>
      <c r="Q5471">
        <v>2</v>
      </c>
      <c r="R5471">
        <v>17</v>
      </c>
      <c r="S5471">
        <v>5</v>
      </c>
      <c r="T5471">
        <v>2</v>
      </c>
      <c r="U5471">
        <v>14</v>
      </c>
      <c r="V5471">
        <v>1</v>
      </c>
      <c r="W5471">
        <v>15</v>
      </c>
      <c r="X5471">
        <v>93</v>
      </c>
      <c r="Y5471">
        <v>17</v>
      </c>
      <c r="Z5471">
        <v>0</v>
      </c>
      <c r="AA5471">
        <v>1</v>
      </c>
      <c r="AB5471">
        <v>5</v>
      </c>
      <c r="AD5471">
        <v>1</v>
      </c>
      <c r="AE5471">
        <v>0</v>
      </c>
      <c r="AF5471">
        <v>0</v>
      </c>
      <c r="AG5471">
        <v>1</v>
      </c>
      <c r="AI5471">
        <v>0</v>
      </c>
      <c r="AJ5471">
        <v>16</v>
      </c>
      <c r="AK5471">
        <v>190</v>
      </c>
      <c r="AL5471">
        <v>190</v>
      </c>
      <c r="AM5471">
        <v>550</v>
      </c>
      <c r="AN5471">
        <v>44</v>
      </c>
      <c r="AP5471">
        <v>1</v>
      </c>
      <c r="AR5471" t="s">
        <v>5576</v>
      </c>
      <c r="AS5471" s="1">
        <v>44354.650694444441</v>
      </c>
      <c r="AT5471" s="1">
        <v>44354.653703703705</v>
      </c>
      <c r="AU5471" s="1">
        <v>44354.654513888891</v>
      </c>
      <c r="AV5471" t="s">
        <v>71</v>
      </c>
      <c r="AW5471" t="s">
        <v>72</v>
      </c>
      <c r="AX5471" t="s">
        <v>73</v>
      </c>
    </row>
    <row r="5472" spans="1:50" x14ac:dyDescent="0.3">
      <c r="A5472" t="str">
        <f>"201769B0000"</f>
        <v>201769B0000</v>
      </c>
      <c r="B5472" t="str">
        <f>"201769B00002"</f>
        <v>201769B00002</v>
      </c>
      <c r="C5472" t="str">
        <f t="shared" si="271"/>
        <v>20</v>
      </c>
      <c r="D5472" t="s">
        <v>67</v>
      </c>
      <c r="E5472" t="str">
        <f t="shared" si="272"/>
        <v>024</v>
      </c>
      <c r="F5472" t="s">
        <v>5370</v>
      </c>
      <c r="G5472" t="str">
        <f>"1769"</f>
        <v>1769</v>
      </c>
      <c r="H5472" t="str">
        <f>"0000"</f>
        <v>0000</v>
      </c>
      <c r="I5472" t="s">
        <v>69</v>
      </c>
      <c r="J5472">
        <v>0</v>
      </c>
      <c r="K5472">
        <v>1</v>
      </c>
      <c r="L5472">
        <v>2</v>
      </c>
      <c r="M5472">
        <v>239</v>
      </c>
      <c r="N5472">
        <v>242</v>
      </c>
      <c r="O5472">
        <v>0</v>
      </c>
      <c r="P5472">
        <v>242</v>
      </c>
      <c r="Q5472">
        <v>1</v>
      </c>
      <c r="R5472">
        <v>142</v>
      </c>
      <c r="S5472">
        <v>3</v>
      </c>
      <c r="T5472">
        <v>6</v>
      </c>
      <c r="U5472">
        <v>1</v>
      </c>
      <c r="V5472">
        <v>0</v>
      </c>
      <c r="W5472">
        <v>4</v>
      </c>
      <c r="X5472">
        <v>27</v>
      </c>
      <c r="Y5472">
        <v>35</v>
      </c>
      <c r="Z5472">
        <v>0</v>
      </c>
      <c r="AA5472">
        <v>1</v>
      </c>
      <c r="AB5472">
        <v>3</v>
      </c>
      <c r="AD5472">
        <v>0</v>
      </c>
      <c r="AE5472">
        <v>0</v>
      </c>
      <c r="AF5472">
        <v>0</v>
      </c>
      <c r="AG5472">
        <v>0</v>
      </c>
      <c r="AI5472">
        <v>0</v>
      </c>
      <c r="AJ5472">
        <v>15</v>
      </c>
      <c r="AK5472">
        <v>242</v>
      </c>
      <c r="AL5472">
        <v>238</v>
      </c>
      <c r="AM5472">
        <v>437</v>
      </c>
      <c r="AN5472">
        <v>44</v>
      </c>
      <c r="AP5472">
        <v>1</v>
      </c>
      <c r="AR5472" t="s">
        <v>5577</v>
      </c>
      <c r="AS5472" s="1">
        <v>44354.320833333331</v>
      </c>
      <c r="AT5472" s="1">
        <v>44354.322164351855</v>
      </c>
      <c r="AU5472" s="1">
        <v>44354.322569444441</v>
      </c>
      <c r="AV5472" t="s">
        <v>71</v>
      </c>
      <c r="AW5472" t="s">
        <v>72</v>
      </c>
      <c r="AX5472" t="s">
        <v>73</v>
      </c>
    </row>
    <row r="5473" spans="1:50" x14ac:dyDescent="0.3">
      <c r="A5473" t="str">
        <f>"201769C0100"</f>
        <v>201769C0100</v>
      </c>
      <c r="B5473" t="str">
        <f>"201769C01002"</f>
        <v>201769C01002</v>
      </c>
      <c r="C5473" t="str">
        <f t="shared" si="271"/>
        <v>20</v>
      </c>
      <c r="D5473" t="s">
        <v>67</v>
      </c>
      <c r="E5473" t="str">
        <f t="shared" si="272"/>
        <v>024</v>
      </c>
      <c r="F5473" t="s">
        <v>5370</v>
      </c>
      <c r="G5473" t="str">
        <f>"1769"</f>
        <v>1769</v>
      </c>
      <c r="H5473" t="str">
        <f>"0001"</f>
        <v>0001</v>
      </c>
      <c r="I5473" t="s">
        <v>75</v>
      </c>
      <c r="J5473">
        <v>0</v>
      </c>
      <c r="K5473">
        <v>1</v>
      </c>
      <c r="L5473">
        <v>2</v>
      </c>
      <c r="M5473">
        <v>258</v>
      </c>
      <c r="N5473">
        <v>222</v>
      </c>
      <c r="O5473">
        <v>0</v>
      </c>
      <c r="P5473">
        <v>221</v>
      </c>
      <c r="Q5473">
        <v>3</v>
      </c>
      <c r="R5473">
        <v>106</v>
      </c>
      <c r="S5473">
        <v>1</v>
      </c>
      <c r="T5473">
        <v>2</v>
      </c>
      <c r="U5473">
        <v>3</v>
      </c>
      <c r="V5473">
        <v>1</v>
      </c>
      <c r="W5473">
        <v>6</v>
      </c>
      <c r="X5473">
        <v>39</v>
      </c>
      <c r="Y5473">
        <v>38</v>
      </c>
      <c r="Z5473">
        <v>0</v>
      </c>
      <c r="AA5473">
        <v>4</v>
      </c>
      <c r="AB5473">
        <v>2</v>
      </c>
      <c r="AD5473">
        <v>0</v>
      </c>
      <c r="AE5473">
        <v>0</v>
      </c>
      <c r="AF5473">
        <v>0</v>
      </c>
      <c r="AG5473">
        <v>1</v>
      </c>
      <c r="AI5473">
        <v>0</v>
      </c>
      <c r="AJ5473">
        <v>15</v>
      </c>
      <c r="AK5473">
        <v>221</v>
      </c>
      <c r="AL5473">
        <v>221</v>
      </c>
      <c r="AM5473">
        <v>436</v>
      </c>
      <c r="AN5473">
        <v>44</v>
      </c>
      <c r="AP5473">
        <v>1</v>
      </c>
      <c r="AR5473" t="s">
        <v>5578</v>
      </c>
      <c r="AS5473" s="1">
        <v>44354.319444444445</v>
      </c>
      <c r="AT5473" s="1">
        <v>44354.320891203701</v>
      </c>
      <c r="AU5473" s="1">
        <v>44354.321863425925</v>
      </c>
      <c r="AV5473" t="s">
        <v>71</v>
      </c>
      <c r="AW5473" t="s">
        <v>72</v>
      </c>
      <c r="AX5473" t="s">
        <v>73</v>
      </c>
    </row>
    <row r="5474" spans="1:50" x14ac:dyDescent="0.3">
      <c r="A5474" t="str">
        <f>"201770B0000"</f>
        <v>201770B0000</v>
      </c>
      <c r="B5474" t="str">
        <f>"201770B00002"</f>
        <v>201770B00002</v>
      </c>
      <c r="C5474" t="str">
        <f t="shared" si="271"/>
        <v>20</v>
      </c>
      <c r="D5474" t="s">
        <v>67</v>
      </c>
      <c r="E5474" t="str">
        <f t="shared" si="272"/>
        <v>024</v>
      </c>
      <c r="F5474" t="s">
        <v>5370</v>
      </c>
      <c r="G5474" t="str">
        <f>"1770"</f>
        <v>1770</v>
      </c>
      <c r="H5474" t="str">
        <f>"0000"</f>
        <v>0000</v>
      </c>
      <c r="I5474" t="s">
        <v>69</v>
      </c>
      <c r="J5474">
        <v>0</v>
      </c>
      <c r="K5474">
        <v>1</v>
      </c>
      <c r="L5474">
        <v>2</v>
      </c>
      <c r="M5474">
        <v>228</v>
      </c>
      <c r="N5474">
        <v>210</v>
      </c>
      <c r="O5474">
        <v>1</v>
      </c>
      <c r="P5474" t="s">
        <v>80</v>
      </c>
      <c r="Q5474">
        <v>2</v>
      </c>
      <c r="R5474">
        <v>112</v>
      </c>
      <c r="S5474">
        <v>0</v>
      </c>
      <c r="T5474">
        <v>6</v>
      </c>
      <c r="U5474">
        <v>2</v>
      </c>
      <c r="V5474">
        <v>0</v>
      </c>
      <c r="W5474">
        <v>5</v>
      </c>
      <c r="X5474">
        <v>9</v>
      </c>
      <c r="Y5474">
        <v>55</v>
      </c>
      <c r="Z5474">
        <v>1</v>
      </c>
      <c r="AA5474">
        <v>0</v>
      </c>
      <c r="AB5474">
        <v>1</v>
      </c>
      <c r="AD5474">
        <v>1</v>
      </c>
      <c r="AE5474">
        <v>2</v>
      </c>
      <c r="AF5474">
        <v>0</v>
      </c>
      <c r="AG5474">
        <v>0</v>
      </c>
      <c r="AI5474">
        <v>0</v>
      </c>
      <c r="AJ5474">
        <v>21</v>
      </c>
      <c r="AK5474" t="s">
        <v>77</v>
      </c>
      <c r="AL5474">
        <v>217</v>
      </c>
      <c r="AM5474">
        <v>394</v>
      </c>
      <c r="AN5474">
        <v>44</v>
      </c>
      <c r="AP5474">
        <v>1</v>
      </c>
      <c r="AR5474" t="s">
        <v>5579</v>
      </c>
      <c r="AS5474" s="1">
        <v>44354.315972222219</v>
      </c>
      <c r="AT5474" s="1">
        <v>44354.317997685182</v>
      </c>
      <c r="AU5474" s="1">
        <v>44354.318680555552</v>
      </c>
      <c r="AV5474" t="s">
        <v>71</v>
      </c>
      <c r="AW5474" t="s">
        <v>72</v>
      </c>
      <c r="AX5474" t="s">
        <v>73</v>
      </c>
    </row>
    <row r="5475" spans="1:50" x14ac:dyDescent="0.3">
      <c r="A5475" t="str">
        <f>"201770C0100"</f>
        <v>201770C0100</v>
      </c>
      <c r="B5475" t="str">
        <f>"201770C01002"</f>
        <v>201770C01002</v>
      </c>
      <c r="C5475" t="str">
        <f t="shared" si="271"/>
        <v>20</v>
      </c>
      <c r="D5475" t="s">
        <v>67</v>
      </c>
      <c r="E5475" t="str">
        <f t="shared" si="272"/>
        <v>024</v>
      </c>
      <c r="F5475" t="s">
        <v>5370</v>
      </c>
      <c r="G5475" t="str">
        <f>"1770"</f>
        <v>1770</v>
      </c>
      <c r="H5475" t="str">
        <f>"0001"</f>
        <v>0001</v>
      </c>
      <c r="I5475" t="s">
        <v>75</v>
      </c>
      <c r="J5475">
        <v>0</v>
      </c>
      <c r="K5475">
        <v>1</v>
      </c>
      <c r="L5475">
        <v>2</v>
      </c>
      <c r="M5475">
        <v>243</v>
      </c>
      <c r="N5475">
        <v>195</v>
      </c>
      <c r="O5475">
        <v>0</v>
      </c>
      <c r="P5475">
        <v>195</v>
      </c>
      <c r="Q5475">
        <v>2</v>
      </c>
      <c r="R5475">
        <v>99</v>
      </c>
      <c r="S5475">
        <v>0</v>
      </c>
      <c r="T5475">
        <v>5</v>
      </c>
      <c r="U5475">
        <v>6</v>
      </c>
      <c r="V5475">
        <v>0</v>
      </c>
      <c r="W5475">
        <v>3</v>
      </c>
      <c r="X5475">
        <v>11</v>
      </c>
      <c r="Y5475">
        <v>36</v>
      </c>
      <c r="Z5475">
        <v>0</v>
      </c>
      <c r="AA5475">
        <v>3</v>
      </c>
      <c r="AB5475">
        <v>1</v>
      </c>
      <c r="AD5475">
        <v>1</v>
      </c>
      <c r="AE5475">
        <v>0</v>
      </c>
      <c r="AF5475">
        <v>0</v>
      </c>
      <c r="AG5475">
        <v>0</v>
      </c>
      <c r="AI5475">
        <v>3</v>
      </c>
      <c r="AJ5475">
        <v>25</v>
      </c>
      <c r="AK5475">
        <v>195</v>
      </c>
      <c r="AL5475">
        <v>195</v>
      </c>
      <c r="AM5475">
        <v>394</v>
      </c>
      <c r="AN5475">
        <v>44</v>
      </c>
      <c r="AP5475">
        <v>1</v>
      </c>
      <c r="AR5475" t="s">
        <v>5580</v>
      </c>
      <c r="AS5475" s="1">
        <v>44354.310416666667</v>
      </c>
      <c r="AT5475" s="1">
        <v>44354.312326388892</v>
      </c>
      <c r="AU5475" s="1">
        <v>44354.313171296293</v>
      </c>
      <c r="AV5475" t="s">
        <v>71</v>
      </c>
      <c r="AW5475" t="s">
        <v>72</v>
      </c>
      <c r="AX5475" t="s">
        <v>73</v>
      </c>
    </row>
    <row r="5476" spans="1:50" x14ac:dyDescent="0.3">
      <c r="A5476" t="str">
        <f>"201770E0100"</f>
        <v>201770E0100</v>
      </c>
      <c r="B5476" t="str">
        <f>"201770E01002"</f>
        <v>201770E01002</v>
      </c>
      <c r="C5476" t="str">
        <f t="shared" si="271"/>
        <v>20</v>
      </c>
      <c r="D5476" t="s">
        <v>67</v>
      </c>
      <c r="E5476" t="str">
        <f t="shared" si="272"/>
        <v>024</v>
      </c>
      <c r="F5476" t="s">
        <v>5370</v>
      </c>
      <c r="G5476" t="str">
        <f>"1770"</f>
        <v>1770</v>
      </c>
      <c r="H5476" t="str">
        <f>"0001"</f>
        <v>0001</v>
      </c>
      <c r="I5476" t="s">
        <v>109</v>
      </c>
      <c r="J5476">
        <v>0</v>
      </c>
      <c r="K5476">
        <v>1</v>
      </c>
      <c r="L5476">
        <v>2</v>
      </c>
      <c r="M5476">
        <v>174</v>
      </c>
      <c r="N5476">
        <v>210</v>
      </c>
      <c r="O5476">
        <v>0</v>
      </c>
      <c r="P5476">
        <v>210</v>
      </c>
      <c r="Q5476">
        <v>2</v>
      </c>
      <c r="R5476">
        <v>114</v>
      </c>
      <c r="S5476">
        <v>0</v>
      </c>
      <c r="T5476">
        <v>3</v>
      </c>
      <c r="U5476">
        <v>2</v>
      </c>
      <c r="V5476">
        <v>0</v>
      </c>
      <c r="W5476">
        <v>3</v>
      </c>
      <c r="X5476">
        <v>16</v>
      </c>
      <c r="Y5476">
        <v>58</v>
      </c>
      <c r="Z5476">
        <v>0</v>
      </c>
      <c r="AA5476">
        <v>1</v>
      </c>
      <c r="AB5476">
        <v>1</v>
      </c>
      <c r="AD5476">
        <v>0</v>
      </c>
      <c r="AE5476">
        <v>1</v>
      </c>
      <c r="AF5476">
        <v>0</v>
      </c>
      <c r="AG5476">
        <v>0</v>
      </c>
      <c r="AI5476">
        <v>0</v>
      </c>
      <c r="AJ5476">
        <v>9</v>
      </c>
      <c r="AK5476">
        <v>210</v>
      </c>
      <c r="AL5476">
        <v>210</v>
      </c>
      <c r="AM5476">
        <v>346</v>
      </c>
      <c r="AN5476">
        <v>44</v>
      </c>
      <c r="AP5476">
        <v>1</v>
      </c>
      <c r="AR5476" t="s">
        <v>5581</v>
      </c>
      <c r="AS5476" s="1">
        <v>44354.310416666667</v>
      </c>
      <c r="AT5476" s="1">
        <v>44354.312280092592</v>
      </c>
      <c r="AU5476" s="1">
        <v>44354.312847222223</v>
      </c>
      <c r="AV5476" t="s">
        <v>71</v>
      </c>
      <c r="AW5476" t="s">
        <v>72</v>
      </c>
      <c r="AX5476" t="s">
        <v>73</v>
      </c>
    </row>
    <row r="5477" spans="1:50" x14ac:dyDescent="0.3">
      <c r="A5477" t="str">
        <f>"201770E0200"</f>
        <v>201770E0200</v>
      </c>
      <c r="B5477" t="str">
        <f>"201770E02002"</f>
        <v>201770E02002</v>
      </c>
      <c r="C5477" t="str">
        <f t="shared" si="271"/>
        <v>20</v>
      </c>
      <c r="D5477" t="s">
        <v>67</v>
      </c>
      <c r="E5477" t="str">
        <f t="shared" si="272"/>
        <v>024</v>
      </c>
      <c r="F5477" t="s">
        <v>5370</v>
      </c>
      <c r="G5477" t="str">
        <f>"1770"</f>
        <v>1770</v>
      </c>
      <c r="H5477" t="str">
        <f>"0002"</f>
        <v>0002</v>
      </c>
      <c r="I5477" t="s">
        <v>109</v>
      </c>
      <c r="J5477">
        <v>0</v>
      </c>
      <c r="K5477">
        <v>1</v>
      </c>
      <c r="L5477">
        <v>2</v>
      </c>
      <c r="M5477">
        <v>133</v>
      </c>
      <c r="N5477">
        <v>108</v>
      </c>
      <c r="O5477" t="s">
        <v>99</v>
      </c>
      <c r="P5477">
        <v>108</v>
      </c>
      <c r="Q5477">
        <v>3</v>
      </c>
      <c r="R5477">
        <v>35</v>
      </c>
      <c r="S5477">
        <v>35</v>
      </c>
      <c r="T5477">
        <v>0</v>
      </c>
      <c r="U5477">
        <v>0</v>
      </c>
      <c r="V5477">
        <v>2</v>
      </c>
      <c r="W5477">
        <v>0</v>
      </c>
      <c r="X5477">
        <v>2</v>
      </c>
      <c r="Y5477">
        <v>54</v>
      </c>
      <c r="Z5477">
        <v>0</v>
      </c>
      <c r="AA5477">
        <v>1</v>
      </c>
      <c r="AB5477">
        <v>3</v>
      </c>
      <c r="AD5477">
        <v>0</v>
      </c>
      <c r="AE5477">
        <v>0</v>
      </c>
      <c r="AF5477">
        <v>0</v>
      </c>
      <c r="AG5477">
        <v>0</v>
      </c>
      <c r="AI5477">
        <v>0</v>
      </c>
      <c r="AJ5477">
        <v>0</v>
      </c>
      <c r="AK5477">
        <v>0</v>
      </c>
      <c r="AL5477">
        <v>135</v>
      </c>
      <c r="AM5477">
        <v>197</v>
      </c>
      <c r="AN5477">
        <v>44</v>
      </c>
      <c r="AP5477">
        <v>1</v>
      </c>
      <c r="AR5477" t="s">
        <v>5582</v>
      </c>
      <c r="AS5477" s="1">
        <v>44354.313194444447</v>
      </c>
      <c r="AT5477" s="1">
        <v>44354.330625000002</v>
      </c>
      <c r="AU5477" s="1">
        <v>44354.338680555556</v>
      </c>
      <c r="AV5477" t="s">
        <v>71</v>
      </c>
      <c r="AW5477" t="s">
        <v>72</v>
      </c>
      <c r="AX5477" t="s">
        <v>73</v>
      </c>
    </row>
    <row r="5478" spans="1:50" x14ac:dyDescent="0.3">
      <c r="A5478" t="str">
        <f>"201882B0000"</f>
        <v>201882B0000</v>
      </c>
      <c r="B5478" t="str">
        <f>"201882B00002"</f>
        <v>201882B00002</v>
      </c>
      <c r="C5478" t="str">
        <f t="shared" si="271"/>
        <v>20</v>
      </c>
      <c r="D5478" t="s">
        <v>67</v>
      </c>
      <c r="E5478" t="str">
        <f t="shared" si="272"/>
        <v>024</v>
      </c>
      <c r="F5478" t="s">
        <v>5370</v>
      </c>
      <c r="G5478" t="str">
        <f>"1882"</f>
        <v>1882</v>
      </c>
      <c r="H5478" t="str">
        <f>"0000"</f>
        <v>0000</v>
      </c>
      <c r="I5478" t="s">
        <v>69</v>
      </c>
      <c r="J5478">
        <v>0</v>
      </c>
      <c r="K5478">
        <v>1</v>
      </c>
      <c r="L5478">
        <v>2</v>
      </c>
      <c r="M5478">
        <v>228</v>
      </c>
      <c r="N5478">
        <v>220</v>
      </c>
      <c r="O5478">
        <v>0</v>
      </c>
      <c r="P5478">
        <v>220</v>
      </c>
      <c r="Q5478">
        <v>18</v>
      </c>
      <c r="R5478">
        <v>77</v>
      </c>
      <c r="S5478">
        <v>3</v>
      </c>
      <c r="T5478">
        <v>3</v>
      </c>
      <c r="U5478">
        <v>3</v>
      </c>
      <c r="V5478">
        <v>2</v>
      </c>
      <c r="W5478">
        <v>2</v>
      </c>
      <c r="X5478">
        <v>75</v>
      </c>
      <c r="Y5478">
        <v>18</v>
      </c>
      <c r="Z5478">
        <v>0</v>
      </c>
      <c r="AA5478">
        <v>2</v>
      </c>
      <c r="AB5478">
        <v>6</v>
      </c>
      <c r="AD5478">
        <v>0</v>
      </c>
      <c r="AE5478">
        <v>0</v>
      </c>
      <c r="AF5478">
        <v>0</v>
      </c>
      <c r="AG5478">
        <v>0</v>
      </c>
      <c r="AI5478">
        <v>0</v>
      </c>
      <c r="AJ5478">
        <v>11</v>
      </c>
      <c r="AK5478">
        <v>220</v>
      </c>
      <c r="AL5478">
        <v>220</v>
      </c>
      <c r="AM5478">
        <v>404</v>
      </c>
      <c r="AN5478">
        <v>44</v>
      </c>
      <c r="AP5478">
        <v>1</v>
      </c>
      <c r="AR5478" t="s">
        <v>5583</v>
      </c>
      <c r="AS5478" s="1">
        <v>44354.269444444442</v>
      </c>
      <c r="AT5478" s="1">
        <v>44354.270613425928</v>
      </c>
      <c r="AU5478" s="1">
        <v>44354.270983796298</v>
      </c>
      <c r="AV5478" t="s">
        <v>71</v>
      </c>
      <c r="AW5478" t="s">
        <v>72</v>
      </c>
      <c r="AX5478" t="s">
        <v>73</v>
      </c>
    </row>
    <row r="5479" spans="1:50" x14ac:dyDescent="0.3">
      <c r="A5479" t="str">
        <f>"201882C0100"</f>
        <v>201882C0100</v>
      </c>
      <c r="B5479" t="str">
        <f>"201882C01002"</f>
        <v>201882C01002</v>
      </c>
      <c r="C5479" t="str">
        <f t="shared" si="271"/>
        <v>20</v>
      </c>
      <c r="D5479" t="s">
        <v>67</v>
      </c>
      <c r="E5479" t="str">
        <f t="shared" si="272"/>
        <v>024</v>
      </c>
      <c r="F5479" t="s">
        <v>5370</v>
      </c>
      <c r="G5479" t="str">
        <f>"1882"</f>
        <v>1882</v>
      </c>
      <c r="H5479" t="str">
        <f>"0001"</f>
        <v>0001</v>
      </c>
      <c r="I5479" t="s">
        <v>75</v>
      </c>
      <c r="J5479">
        <v>0</v>
      </c>
      <c r="K5479">
        <v>1</v>
      </c>
      <c r="L5479">
        <v>2</v>
      </c>
      <c r="M5479">
        <v>214</v>
      </c>
      <c r="N5479">
        <v>233</v>
      </c>
      <c r="O5479">
        <v>233</v>
      </c>
      <c r="P5479">
        <v>233</v>
      </c>
      <c r="Q5479">
        <v>6</v>
      </c>
      <c r="R5479">
        <v>95</v>
      </c>
      <c r="S5479">
        <v>0</v>
      </c>
      <c r="T5479">
        <v>7</v>
      </c>
      <c r="U5479">
        <v>6</v>
      </c>
      <c r="V5479">
        <v>3</v>
      </c>
      <c r="W5479">
        <v>1</v>
      </c>
      <c r="X5479">
        <v>70</v>
      </c>
      <c r="Y5479">
        <v>20</v>
      </c>
      <c r="Z5479">
        <v>4</v>
      </c>
      <c r="AA5479">
        <v>1</v>
      </c>
      <c r="AB5479">
        <v>7</v>
      </c>
      <c r="AD5479" t="s">
        <v>77</v>
      </c>
      <c r="AE5479">
        <v>2</v>
      </c>
      <c r="AF5479" t="s">
        <v>77</v>
      </c>
      <c r="AG5479" t="s">
        <v>77</v>
      </c>
      <c r="AI5479" t="s">
        <v>77</v>
      </c>
      <c r="AJ5479">
        <v>11</v>
      </c>
      <c r="AK5479">
        <v>233</v>
      </c>
      <c r="AL5479">
        <v>233</v>
      </c>
      <c r="AM5479">
        <v>403</v>
      </c>
      <c r="AN5479">
        <v>44</v>
      </c>
      <c r="AO5479" t="s">
        <v>78</v>
      </c>
      <c r="AP5479">
        <v>1</v>
      </c>
      <c r="AR5479" t="s">
        <v>5584</v>
      </c>
      <c r="AS5479" s="1">
        <v>44354.272916666669</v>
      </c>
      <c r="AT5479" s="1">
        <v>44354.274884259263</v>
      </c>
      <c r="AU5479" s="1">
        <v>44354.275694444441</v>
      </c>
      <c r="AV5479" t="s">
        <v>71</v>
      </c>
      <c r="AW5479" t="s">
        <v>72</v>
      </c>
      <c r="AX5479" t="s">
        <v>73</v>
      </c>
    </row>
    <row r="5480" spans="1:50" x14ac:dyDescent="0.3">
      <c r="A5480" t="str">
        <f>"201883B0000"</f>
        <v>201883B0000</v>
      </c>
      <c r="B5480" t="str">
        <f>"201883B00002"</f>
        <v>201883B00002</v>
      </c>
      <c r="C5480" t="str">
        <f t="shared" si="271"/>
        <v>20</v>
      </c>
      <c r="D5480" t="s">
        <v>67</v>
      </c>
      <c r="E5480" t="str">
        <f t="shared" si="272"/>
        <v>024</v>
      </c>
      <c r="F5480" t="s">
        <v>5370</v>
      </c>
      <c r="G5480" t="str">
        <f>"1883"</f>
        <v>1883</v>
      </c>
      <c r="H5480" t="str">
        <f>"0000"</f>
        <v>0000</v>
      </c>
      <c r="I5480" t="s">
        <v>69</v>
      </c>
      <c r="J5480">
        <v>0</v>
      </c>
      <c r="K5480">
        <v>1</v>
      </c>
      <c r="L5480">
        <v>2</v>
      </c>
      <c r="M5480">
        <v>188</v>
      </c>
      <c r="N5480">
        <v>108</v>
      </c>
      <c r="O5480">
        <v>1</v>
      </c>
      <c r="P5480" t="s">
        <v>80</v>
      </c>
      <c r="Q5480">
        <v>6</v>
      </c>
      <c r="R5480">
        <v>15</v>
      </c>
      <c r="S5480">
        <v>1</v>
      </c>
      <c r="T5480">
        <v>0</v>
      </c>
      <c r="U5480">
        <v>2</v>
      </c>
      <c r="V5480">
        <v>0</v>
      </c>
      <c r="W5480">
        <v>5</v>
      </c>
      <c r="X5480">
        <v>23</v>
      </c>
      <c r="Y5480">
        <v>44</v>
      </c>
      <c r="Z5480">
        <v>7</v>
      </c>
      <c r="AA5480">
        <v>1</v>
      </c>
      <c r="AB5480">
        <v>0</v>
      </c>
      <c r="AD5480">
        <v>0</v>
      </c>
      <c r="AE5480">
        <v>0</v>
      </c>
      <c r="AF5480">
        <v>0</v>
      </c>
      <c r="AG5480">
        <v>0</v>
      </c>
      <c r="AI5480">
        <v>0</v>
      </c>
      <c r="AJ5480">
        <v>4</v>
      </c>
      <c r="AK5480">
        <v>108</v>
      </c>
      <c r="AL5480">
        <v>108</v>
      </c>
      <c r="AM5480">
        <v>252</v>
      </c>
      <c r="AN5480">
        <v>44</v>
      </c>
      <c r="AP5480">
        <v>1</v>
      </c>
      <c r="AR5480" t="s">
        <v>5585</v>
      </c>
      <c r="AS5480" s="1">
        <v>44354.267361111109</v>
      </c>
      <c r="AT5480" s="1">
        <v>44354.268888888888</v>
      </c>
      <c r="AU5480" s="1">
        <v>44354.269282407404</v>
      </c>
      <c r="AV5480" t="s">
        <v>71</v>
      </c>
      <c r="AW5480" t="s">
        <v>72</v>
      </c>
      <c r="AX5480" t="s">
        <v>73</v>
      </c>
    </row>
    <row r="5481" spans="1:50" x14ac:dyDescent="0.3">
      <c r="A5481" t="str">
        <f>"201884B0000"</f>
        <v>201884B0000</v>
      </c>
      <c r="B5481" t="str">
        <f>"201884B00002"</f>
        <v>201884B00002</v>
      </c>
      <c r="C5481" t="str">
        <f t="shared" si="271"/>
        <v>20</v>
      </c>
      <c r="D5481" t="s">
        <v>67</v>
      </c>
      <c r="E5481" t="str">
        <f t="shared" si="272"/>
        <v>024</v>
      </c>
      <c r="F5481" t="s">
        <v>5370</v>
      </c>
      <c r="G5481" t="str">
        <f>"1884"</f>
        <v>1884</v>
      </c>
      <c r="H5481" t="str">
        <f>"0000"</f>
        <v>0000</v>
      </c>
      <c r="I5481" t="s">
        <v>69</v>
      </c>
      <c r="J5481">
        <v>0</v>
      </c>
      <c r="K5481">
        <v>1</v>
      </c>
      <c r="L5481">
        <v>2</v>
      </c>
      <c r="M5481" t="s">
        <v>99</v>
      </c>
      <c r="N5481" t="s">
        <v>99</v>
      </c>
      <c r="O5481" t="s">
        <v>99</v>
      </c>
      <c r="P5481" t="s">
        <v>99</v>
      </c>
      <c r="Q5481" t="s">
        <v>99</v>
      </c>
      <c r="R5481" t="s">
        <v>99</v>
      </c>
      <c r="S5481" t="s">
        <v>99</v>
      </c>
      <c r="T5481" t="s">
        <v>99</v>
      </c>
      <c r="U5481" t="s">
        <v>99</v>
      </c>
      <c r="V5481" t="s">
        <v>99</v>
      </c>
      <c r="W5481" t="s">
        <v>99</v>
      </c>
      <c r="X5481" t="s">
        <v>99</v>
      </c>
      <c r="Y5481" t="s">
        <v>99</v>
      </c>
      <c r="Z5481" t="s">
        <v>99</v>
      </c>
      <c r="AA5481" t="s">
        <v>99</v>
      </c>
      <c r="AB5481" t="s">
        <v>99</v>
      </c>
      <c r="AD5481" t="s">
        <v>99</v>
      </c>
      <c r="AE5481" t="s">
        <v>99</v>
      </c>
      <c r="AF5481" t="s">
        <v>99</v>
      </c>
      <c r="AG5481" t="s">
        <v>99</v>
      </c>
      <c r="AI5481" t="s">
        <v>99</v>
      </c>
      <c r="AJ5481" t="s">
        <v>99</v>
      </c>
      <c r="AM5481">
        <v>454</v>
      </c>
      <c r="AN5481">
        <v>44</v>
      </c>
      <c r="AO5481" t="s">
        <v>392</v>
      </c>
      <c r="AP5481">
        <v>0</v>
      </c>
      <c r="AR5481" t="s">
        <v>5586</v>
      </c>
      <c r="AS5481" s="1">
        <v>44354.382638888892</v>
      </c>
      <c r="AT5481" s="1">
        <v>44354.390023148146</v>
      </c>
      <c r="AU5481" s="1">
        <v>44354.391018518516</v>
      </c>
      <c r="AV5481" t="s">
        <v>71</v>
      </c>
      <c r="AW5481" t="s">
        <v>72</v>
      </c>
      <c r="AX5481" t="s">
        <v>73</v>
      </c>
    </row>
    <row r="5482" spans="1:50" x14ac:dyDescent="0.3">
      <c r="A5482" t="str">
        <f>"201885B0000"</f>
        <v>201885B0000</v>
      </c>
      <c r="B5482" t="str">
        <f>"201885B00002"</f>
        <v>201885B00002</v>
      </c>
      <c r="C5482" t="str">
        <f t="shared" si="271"/>
        <v>20</v>
      </c>
      <c r="D5482" t="s">
        <v>67</v>
      </c>
      <c r="E5482" t="str">
        <f t="shared" si="272"/>
        <v>024</v>
      </c>
      <c r="F5482" t="s">
        <v>5370</v>
      </c>
      <c r="G5482" t="str">
        <f>"1885"</f>
        <v>1885</v>
      </c>
      <c r="H5482" t="str">
        <f>"0000"</f>
        <v>0000</v>
      </c>
      <c r="I5482" t="s">
        <v>69</v>
      </c>
      <c r="J5482">
        <v>0</v>
      </c>
      <c r="K5482">
        <v>1</v>
      </c>
      <c r="L5482">
        <v>2</v>
      </c>
      <c r="M5482">
        <v>209</v>
      </c>
      <c r="N5482">
        <v>227</v>
      </c>
      <c r="O5482">
        <v>0</v>
      </c>
      <c r="P5482">
        <v>227</v>
      </c>
      <c r="Q5482">
        <v>9</v>
      </c>
      <c r="R5482">
        <v>69</v>
      </c>
      <c r="S5482">
        <v>2</v>
      </c>
      <c r="T5482">
        <v>5</v>
      </c>
      <c r="U5482">
        <v>8</v>
      </c>
      <c r="V5482">
        <v>2</v>
      </c>
      <c r="W5482">
        <v>4</v>
      </c>
      <c r="X5482">
        <v>49</v>
      </c>
      <c r="Y5482">
        <v>56</v>
      </c>
      <c r="Z5482">
        <v>4</v>
      </c>
      <c r="AA5482">
        <v>4</v>
      </c>
      <c r="AB5482">
        <v>7</v>
      </c>
      <c r="AD5482">
        <v>2</v>
      </c>
      <c r="AE5482">
        <v>0</v>
      </c>
      <c r="AF5482">
        <v>0</v>
      </c>
      <c r="AG5482">
        <v>0</v>
      </c>
      <c r="AI5482">
        <v>0</v>
      </c>
      <c r="AJ5482">
        <v>6</v>
      </c>
      <c r="AK5482">
        <v>227</v>
      </c>
      <c r="AL5482">
        <v>227</v>
      </c>
      <c r="AM5482">
        <v>392</v>
      </c>
      <c r="AN5482">
        <v>44</v>
      </c>
      <c r="AP5482">
        <v>1</v>
      </c>
      <c r="AR5482" t="s">
        <v>5587</v>
      </c>
      <c r="AS5482" s="1">
        <v>44354.275694444441</v>
      </c>
      <c r="AT5482" s="1">
        <v>44354.277743055558</v>
      </c>
      <c r="AU5482" s="1">
        <v>44354.278402777774</v>
      </c>
      <c r="AV5482" t="s">
        <v>71</v>
      </c>
      <c r="AW5482" t="s">
        <v>72</v>
      </c>
      <c r="AX5482" t="s">
        <v>73</v>
      </c>
    </row>
    <row r="5483" spans="1:50" x14ac:dyDescent="0.3">
      <c r="A5483" t="str">
        <f>"201886B0000"</f>
        <v>201886B0000</v>
      </c>
      <c r="B5483" t="str">
        <f>"201886B00002"</f>
        <v>201886B00002</v>
      </c>
      <c r="C5483" t="str">
        <f t="shared" si="271"/>
        <v>20</v>
      </c>
      <c r="D5483" t="s">
        <v>67</v>
      </c>
      <c r="E5483" t="str">
        <f t="shared" si="272"/>
        <v>024</v>
      </c>
      <c r="F5483" t="s">
        <v>5370</v>
      </c>
      <c r="G5483" t="str">
        <f>"1886"</f>
        <v>1886</v>
      </c>
      <c r="H5483" t="str">
        <f>"0000"</f>
        <v>0000</v>
      </c>
      <c r="I5483" t="s">
        <v>69</v>
      </c>
      <c r="J5483">
        <v>0</v>
      </c>
      <c r="K5483">
        <v>1</v>
      </c>
      <c r="L5483">
        <v>2</v>
      </c>
      <c r="M5483">
        <v>471</v>
      </c>
      <c r="N5483">
        <v>290</v>
      </c>
      <c r="O5483">
        <v>0</v>
      </c>
      <c r="P5483">
        <v>290</v>
      </c>
      <c r="Q5483">
        <v>15</v>
      </c>
      <c r="R5483">
        <v>50</v>
      </c>
      <c r="S5483">
        <v>3</v>
      </c>
      <c r="T5483">
        <v>6</v>
      </c>
      <c r="U5483">
        <v>15</v>
      </c>
      <c r="V5483">
        <v>2</v>
      </c>
      <c r="W5483">
        <v>3</v>
      </c>
      <c r="X5483">
        <v>80</v>
      </c>
      <c r="Y5483">
        <v>95</v>
      </c>
      <c r="Z5483">
        <v>11</v>
      </c>
      <c r="AA5483">
        <v>0</v>
      </c>
      <c r="AB5483">
        <v>2</v>
      </c>
      <c r="AD5483">
        <v>0</v>
      </c>
      <c r="AE5483">
        <v>0</v>
      </c>
      <c r="AF5483">
        <v>0</v>
      </c>
      <c r="AG5483">
        <v>0</v>
      </c>
      <c r="AI5483">
        <v>0</v>
      </c>
      <c r="AJ5483">
        <v>8</v>
      </c>
      <c r="AK5483">
        <v>290</v>
      </c>
      <c r="AL5483">
        <v>290</v>
      </c>
      <c r="AM5483">
        <v>717</v>
      </c>
      <c r="AN5483">
        <v>44</v>
      </c>
      <c r="AP5483">
        <v>1</v>
      </c>
      <c r="AR5483" t="s">
        <v>5588</v>
      </c>
      <c r="AS5483" s="1">
        <v>44354.273611111108</v>
      </c>
      <c r="AT5483" s="1">
        <v>44354.275868055556</v>
      </c>
      <c r="AU5483" s="1">
        <v>44354.276331018518</v>
      </c>
      <c r="AV5483" t="s">
        <v>71</v>
      </c>
      <c r="AW5483" t="s">
        <v>72</v>
      </c>
      <c r="AX5483" t="s">
        <v>73</v>
      </c>
    </row>
    <row r="5484" spans="1:50" x14ac:dyDescent="0.3">
      <c r="A5484" t="str">
        <f>"202144B0000"</f>
        <v>202144B0000</v>
      </c>
      <c r="B5484" t="str">
        <f>"202144B00002"</f>
        <v>202144B00002</v>
      </c>
      <c r="C5484" t="str">
        <f t="shared" si="271"/>
        <v>20</v>
      </c>
      <c r="D5484" t="s">
        <v>67</v>
      </c>
      <c r="E5484" t="str">
        <f t="shared" si="272"/>
        <v>024</v>
      </c>
      <c r="F5484" t="s">
        <v>5370</v>
      </c>
      <c r="G5484" t="str">
        <f>"2144"</f>
        <v>2144</v>
      </c>
      <c r="H5484" t="str">
        <f>"0000"</f>
        <v>0000</v>
      </c>
      <c r="I5484" t="s">
        <v>69</v>
      </c>
      <c r="J5484">
        <v>0</v>
      </c>
      <c r="K5484">
        <v>1</v>
      </c>
      <c r="L5484">
        <v>2</v>
      </c>
      <c r="M5484">
        <v>228</v>
      </c>
      <c r="N5484">
        <v>194</v>
      </c>
      <c r="O5484">
        <v>2</v>
      </c>
      <c r="P5484">
        <v>194</v>
      </c>
      <c r="Q5484">
        <v>10</v>
      </c>
      <c r="R5484">
        <v>50</v>
      </c>
      <c r="S5484">
        <v>2</v>
      </c>
      <c r="T5484">
        <v>0</v>
      </c>
      <c r="U5484">
        <v>4</v>
      </c>
      <c r="V5484">
        <v>1</v>
      </c>
      <c r="W5484">
        <v>1</v>
      </c>
      <c r="X5484">
        <v>107</v>
      </c>
      <c r="Y5484">
        <v>2</v>
      </c>
      <c r="Z5484">
        <v>3</v>
      </c>
      <c r="AA5484">
        <v>2</v>
      </c>
      <c r="AB5484">
        <v>2</v>
      </c>
      <c r="AD5484">
        <v>0</v>
      </c>
      <c r="AE5484">
        <v>0</v>
      </c>
      <c r="AF5484">
        <v>0</v>
      </c>
      <c r="AG5484">
        <v>0</v>
      </c>
      <c r="AI5484">
        <v>0</v>
      </c>
      <c r="AJ5484">
        <v>10</v>
      </c>
      <c r="AK5484">
        <v>194</v>
      </c>
      <c r="AL5484">
        <v>194</v>
      </c>
      <c r="AM5484">
        <v>378</v>
      </c>
      <c r="AN5484">
        <v>44</v>
      </c>
      <c r="AP5484">
        <v>1</v>
      </c>
      <c r="AR5484" t="s">
        <v>5589</v>
      </c>
      <c r="AS5484" s="1">
        <v>44354.4375</v>
      </c>
      <c r="AT5484" s="1">
        <v>44354.439363425925</v>
      </c>
      <c r="AU5484" s="1">
        <v>44354.439884259256</v>
      </c>
      <c r="AV5484" t="s">
        <v>71</v>
      </c>
      <c r="AW5484" t="s">
        <v>72</v>
      </c>
      <c r="AX5484" t="s">
        <v>73</v>
      </c>
    </row>
    <row r="5485" spans="1:50" x14ac:dyDescent="0.3">
      <c r="A5485" t="str">
        <f>"202144C0100"</f>
        <v>202144C0100</v>
      </c>
      <c r="B5485" t="str">
        <f>"202144C01002"</f>
        <v>202144C01002</v>
      </c>
      <c r="C5485" t="str">
        <f t="shared" si="271"/>
        <v>20</v>
      </c>
      <c r="D5485" t="s">
        <v>67</v>
      </c>
      <c r="E5485" t="str">
        <f t="shared" si="272"/>
        <v>024</v>
      </c>
      <c r="F5485" t="s">
        <v>5370</v>
      </c>
      <c r="G5485" t="str">
        <f>"2144"</f>
        <v>2144</v>
      </c>
      <c r="H5485" t="str">
        <f>"0001"</f>
        <v>0001</v>
      </c>
      <c r="I5485" t="s">
        <v>75</v>
      </c>
      <c r="J5485">
        <v>0</v>
      </c>
      <c r="K5485">
        <v>1</v>
      </c>
      <c r="L5485">
        <v>2</v>
      </c>
      <c r="M5485">
        <v>207</v>
      </c>
      <c r="N5485">
        <v>215</v>
      </c>
      <c r="O5485">
        <v>0</v>
      </c>
      <c r="P5485">
        <v>215</v>
      </c>
      <c r="Q5485">
        <v>2</v>
      </c>
      <c r="R5485">
        <v>64</v>
      </c>
      <c r="S5485">
        <v>4</v>
      </c>
      <c r="T5485">
        <v>2</v>
      </c>
      <c r="U5485">
        <v>3</v>
      </c>
      <c r="V5485">
        <v>1</v>
      </c>
      <c r="W5485">
        <v>1</v>
      </c>
      <c r="X5485">
        <v>117</v>
      </c>
      <c r="Y5485">
        <v>0</v>
      </c>
      <c r="Z5485">
        <v>4</v>
      </c>
      <c r="AA5485">
        <v>5</v>
      </c>
      <c r="AB5485">
        <v>4</v>
      </c>
      <c r="AD5485">
        <v>0</v>
      </c>
      <c r="AE5485">
        <v>0</v>
      </c>
      <c r="AF5485">
        <v>0</v>
      </c>
      <c r="AG5485">
        <v>0</v>
      </c>
      <c r="AI5485">
        <v>0</v>
      </c>
      <c r="AJ5485">
        <v>7</v>
      </c>
      <c r="AK5485">
        <v>215</v>
      </c>
      <c r="AL5485">
        <v>214</v>
      </c>
      <c r="AM5485">
        <v>378</v>
      </c>
      <c r="AN5485">
        <v>44</v>
      </c>
      <c r="AP5485">
        <v>1</v>
      </c>
      <c r="AR5485" t="s">
        <v>5590</v>
      </c>
      <c r="AS5485" s="1">
        <v>44354.440972222219</v>
      </c>
      <c r="AT5485" s="1">
        <v>44354.442546296297</v>
      </c>
      <c r="AU5485" s="1">
        <v>44354.443356481483</v>
      </c>
      <c r="AV5485" t="s">
        <v>71</v>
      </c>
      <c r="AW5485" t="s">
        <v>72</v>
      </c>
      <c r="AX5485" t="s">
        <v>73</v>
      </c>
    </row>
    <row r="5486" spans="1:50" x14ac:dyDescent="0.3">
      <c r="A5486" t="str">
        <f>"202145B0000"</f>
        <v>202145B0000</v>
      </c>
      <c r="B5486" t="str">
        <f>"202145B00002"</f>
        <v>202145B00002</v>
      </c>
      <c r="C5486" t="str">
        <f t="shared" si="271"/>
        <v>20</v>
      </c>
      <c r="D5486" t="s">
        <v>67</v>
      </c>
      <c r="E5486" t="str">
        <f t="shared" si="272"/>
        <v>024</v>
      </c>
      <c r="F5486" t="s">
        <v>5370</v>
      </c>
      <c r="G5486" t="str">
        <f>"2145"</f>
        <v>2145</v>
      </c>
      <c r="H5486" t="str">
        <f>"0000"</f>
        <v>0000</v>
      </c>
      <c r="I5486" t="s">
        <v>69</v>
      </c>
      <c r="J5486">
        <v>0</v>
      </c>
      <c r="K5486">
        <v>1</v>
      </c>
      <c r="L5486">
        <v>2</v>
      </c>
      <c r="M5486">
        <v>187</v>
      </c>
      <c r="N5486">
        <v>152</v>
      </c>
      <c r="O5486">
        <v>3</v>
      </c>
      <c r="P5486">
        <v>152</v>
      </c>
      <c r="Q5486">
        <v>2</v>
      </c>
      <c r="R5486">
        <v>58</v>
      </c>
      <c r="S5486">
        <v>2</v>
      </c>
      <c r="T5486">
        <v>3</v>
      </c>
      <c r="U5486">
        <v>3</v>
      </c>
      <c r="V5486">
        <v>2</v>
      </c>
      <c r="W5486">
        <v>1</v>
      </c>
      <c r="X5486">
        <v>43</v>
      </c>
      <c r="Y5486">
        <v>19</v>
      </c>
      <c r="Z5486">
        <v>1</v>
      </c>
      <c r="AA5486">
        <v>0</v>
      </c>
      <c r="AB5486">
        <v>11</v>
      </c>
      <c r="AD5486">
        <v>0</v>
      </c>
      <c r="AE5486">
        <v>0</v>
      </c>
      <c r="AF5486">
        <v>0</v>
      </c>
      <c r="AG5486">
        <v>1</v>
      </c>
      <c r="AI5486">
        <v>0</v>
      </c>
      <c r="AJ5486">
        <v>6</v>
      </c>
      <c r="AK5486">
        <v>152</v>
      </c>
      <c r="AL5486">
        <v>152</v>
      </c>
      <c r="AM5486">
        <v>295</v>
      </c>
      <c r="AN5486">
        <v>44</v>
      </c>
      <c r="AP5486">
        <v>1</v>
      </c>
      <c r="AR5486" t="s">
        <v>5591</v>
      </c>
      <c r="AS5486" s="1">
        <v>44354.415277777778</v>
      </c>
      <c r="AT5486" s="1">
        <v>44354.416909722226</v>
      </c>
      <c r="AU5486" s="1">
        <v>44354.417557870373</v>
      </c>
      <c r="AV5486" t="s">
        <v>71</v>
      </c>
      <c r="AW5486" t="s">
        <v>72</v>
      </c>
      <c r="AX5486" t="s">
        <v>73</v>
      </c>
    </row>
    <row r="5487" spans="1:50" x14ac:dyDescent="0.3">
      <c r="A5487" t="str">
        <f>"202146B0000"</f>
        <v>202146B0000</v>
      </c>
      <c r="B5487" t="str">
        <f>"202146B00002"</f>
        <v>202146B00002</v>
      </c>
      <c r="C5487" t="str">
        <f t="shared" si="271"/>
        <v>20</v>
      </c>
      <c r="D5487" t="s">
        <v>67</v>
      </c>
      <c r="E5487" t="str">
        <f t="shared" si="272"/>
        <v>024</v>
      </c>
      <c r="F5487" t="s">
        <v>5370</v>
      </c>
      <c r="G5487" t="str">
        <f>"2146"</f>
        <v>2146</v>
      </c>
      <c r="H5487" t="str">
        <f>"0000"</f>
        <v>0000</v>
      </c>
      <c r="I5487" t="s">
        <v>69</v>
      </c>
      <c r="J5487">
        <v>0</v>
      </c>
      <c r="K5487">
        <v>1</v>
      </c>
      <c r="L5487">
        <v>2</v>
      </c>
      <c r="M5487">
        <v>283</v>
      </c>
      <c r="N5487" t="s">
        <v>80</v>
      </c>
      <c r="O5487" t="s">
        <v>80</v>
      </c>
      <c r="P5487" t="s">
        <v>80</v>
      </c>
      <c r="Q5487">
        <v>4</v>
      </c>
      <c r="R5487">
        <v>48</v>
      </c>
      <c r="S5487">
        <v>2</v>
      </c>
      <c r="T5487">
        <v>0</v>
      </c>
      <c r="U5487">
        <v>5</v>
      </c>
      <c r="V5487">
        <v>3</v>
      </c>
      <c r="W5487">
        <v>3</v>
      </c>
      <c r="X5487">
        <v>145</v>
      </c>
      <c r="Y5487">
        <v>0</v>
      </c>
      <c r="Z5487">
        <v>3</v>
      </c>
      <c r="AA5487">
        <v>2</v>
      </c>
      <c r="AB5487">
        <v>3</v>
      </c>
      <c r="AD5487" t="s">
        <v>77</v>
      </c>
      <c r="AE5487" t="s">
        <v>77</v>
      </c>
      <c r="AF5487" t="s">
        <v>77</v>
      </c>
      <c r="AG5487" t="s">
        <v>77</v>
      </c>
      <c r="AI5487" t="s">
        <v>77</v>
      </c>
      <c r="AJ5487" t="s">
        <v>77</v>
      </c>
      <c r="AK5487" t="s">
        <v>77</v>
      </c>
      <c r="AL5487">
        <v>218</v>
      </c>
      <c r="AM5487">
        <v>464</v>
      </c>
      <c r="AN5487">
        <v>44</v>
      </c>
      <c r="AO5487" t="s">
        <v>78</v>
      </c>
      <c r="AP5487">
        <v>1</v>
      </c>
      <c r="AR5487" t="s">
        <v>5592</v>
      </c>
      <c r="AS5487" s="1">
        <v>44354.4375</v>
      </c>
      <c r="AT5487" s="1">
        <v>44354.439247685186</v>
      </c>
      <c r="AU5487" s="1">
        <v>44354.43990740741</v>
      </c>
      <c r="AV5487" t="s">
        <v>71</v>
      </c>
      <c r="AW5487" t="s">
        <v>72</v>
      </c>
      <c r="AX5487" t="s">
        <v>73</v>
      </c>
    </row>
    <row r="5488" spans="1:50" x14ac:dyDescent="0.3">
      <c r="A5488" t="str">
        <f>"202147B0000"</f>
        <v>202147B0000</v>
      </c>
      <c r="B5488" t="str">
        <f>"202147B00002"</f>
        <v>202147B00002</v>
      </c>
      <c r="C5488" t="str">
        <f t="shared" si="271"/>
        <v>20</v>
      </c>
      <c r="D5488" t="s">
        <v>67</v>
      </c>
      <c r="E5488" t="str">
        <f t="shared" si="272"/>
        <v>024</v>
      </c>
      <c r="F5488" t="s">
        <v>5370</v>
      </c>
      <c r="G5488" t="str">
        <f>"2147"</f>
        <v>2147</v>
      </c>
      <c r="H5488" t="str">
        <f>"0000"</f>
        <v>0000</v>
      </c>
      <c r="I5488" t="s">
        <v>69</v>
      </c>
      <c r="J5488">
        <v>0</v>
      </c>
      <c r="K5488">
        <v>1</v>
      </c>
      <c r="L5488">
        <v>2</v>
      </c>
      <c r="M5488">
        <v>372</v>
      </c>
      <c r="N5488">
        <v>228</v>
      </c>
      <c r="O5488">
        <v>9</v>
      </c>
      <c r="P5488">
        <v>228</v>
      </c>
      <c r="Q5488">
        <v>1</v>
      </c>
      <c r="R5488">
        <v>36</v>
      </c>
      <c r="S5488">
        <v>1</v>
      </c>
      <c r="T5488">
        <v>5</v>
      </c>
      <c r="U5488">
        <v>12</v>
      </c>
      <c r="V5488">
        <v>0</v>
      </c>
      <c r="W5488">
        <v>8</v>
      </c>
      <c r="X5488">
        <v>107</v>
      </c>
      <c r="Y5488">
        <v>11</v>
      </c>
      <c r="Z5488">
        <v>7</v>
      </c>
      <c r="AA5488">
        <v>8</v>
      </c>
      <c r="AB5488">
        <v>7</v>
      </c>
      <c r="AD5488">
        <v>0</v>
      </c>
      <c r="AE5488">
        <v>0</v>
      </c>
      <c r="AF5488">
        <v>0</v>
      </c>
      <c r="AG5488">
        <v>0</v>
      </c>
      <c r="AI5488">
        <v>0</v>
      </c>
      <c r="AJ5488">
        <v>0</v>
      </c>
      <c r="AK5488">
        <v>228</v>
      </c>
      <c r="AL5488">
        <v>203</v>
      </c>
      <c r="AM5488">
        <v>556</v>
      </c>
      <c r="AN5488">
        <v>44</v>
      </c>
      <c r="AP5488">
        <v>1</v>
      </c>
      <c r="AR5488" t="s">
        <v>5593</v>
      </c>
      <c r="AS5488" s="1">
        <v>44354.287499999999</v>
      </c>
      <c r="AT5488" s="1">
        <v>44354.289270833331</v>
      </c>
      <c r="AU5488" s="1">
        <v>44354.290451388886</v>
      </c>
      <c r="AV5488" t="s">
        <v>71</v>
      </c>
      <c r="AW5488" t="s">
        <v>72</v>
      </c>
      <c r="AX5488" t="s">
        <v>73</v>
      </c>
    </row>
    <row r="5489" spans="1:50" x14ac:dyDescent="0.3">
      <c r="A5489" t="str">
        <f>"202189B0000"</f>
        <v>202189B0000</v>
      </c>
      <c r="B5489" t="str">
        <f>"202189B00002"</f>
        <v>202189B00002</v>
      </c>
      <c r="C5489" t="str">
        <f t="shared" si="271"/>
        <v>20</v>
      </c>
      <c r="D5489" t="s">
        <v>67</v>
      </c>
      <c r="E5489" t="str">
        <f t="shared" si="272"/>
        <v>024</v>
      </c>
      <c r="F5489" t="s">
        <v>5370</v>
      </c>
      <c r="G5489" t="str">
        <f>"2189"</f>
        <v>2189</v>
      </c>
      <c r="H5489" t="str">
        <f>"0000"</f>
        <v>0000</v>
      </c>
      <c r="I5489" t="s">
        <v>69</v>
      </c>
      <c r="J5489">
        <v>0</v>
      </c>
      <c r="K5489">
        <v>1</v>
      </c>
      <c r="L5489">
        <v>2</v>
      </c>
      <c r="M5489">
        <v>278</v>
      </c>
      <c r="N5489">
        <v>145</v>
      </c>
      <c r="O5489">
        <v>8</v>
      </c>
      <c r="P5489">
        <v>145</v>
      </c>
      <c r="Q5489">
        <v>5</v>
      </c>
      <c r="R5489">
        <v>39</v>
      </c>
      <c r="S5489">
        <v>2</v>
      </c>
      <c r="T5489">
        <v>5</v>
      </c>
      <c r="U5489">
        <v>3</v>
      </c>
      <c r="V5489">
        <v>2</v>
      </c>
      <c r="W5489">
        <v>1</v>
      </c>
      <c r="X5489">
        <v>52</v>
      </c>
      <c r="Y5489">
        <v>11</v>
      </c>
      <c r="Z5489">
        <v>6</v>
      </c>
      <c r="AA5489">
        <v>1</v>
      </c>
      <c r="AB5489">
        <v>3</v>
      </c>
      <c r="AD5489">
        <v>1</v>
      </c>
      <c r="AE5489" t="s">
        <v>77</v>
      </c>
      <c r="AF5489" t="s">
        <v>77</v>
      </c>
      <c r="AG5489" t="s">
        <v>77</v>
      </c>
      <c r="AI5489" t="s">
        <v>77</v>
      </c>
      <c r="AJ5489">
        <v>14</v>
      </c>
      <c r="AK5489">
        <v>145</v>
      </c>
      <c r="AL5489">
        <v>145</v>
      </c>
      <c r="AM5489">
        <v>379</v>
      </c>
      <c r="AN5489">
        <v>44</v>
      </c>
      <c r="AO5489" t="s">
        <v>78</v>
      </c>
      <c r="AP5489">
        <v>1</v>
      </c>
      <c r="AR5489" t="s">
        <v>5594</v>
      </c>
      <c r="AS5489" s="1">
        <v>44354.265277777777</v>
      </c>
      <c r="AT5489" s="1">
        <v>44354.266527777778</v>
      </c>
      <c r="AU5489" s="1">
        <v>44354.266851851855</v>
      </c>
      <c r="AV5489" t="s">
        <v>71</v>
      </c>
      <c r="AW5489" t="s">
        <v>72</v>
      </c>
      <c r="AX5489" t="s">
        <v>73</v>
      </c>
    </row>
    <row r="5490" spans="1:50" x14ac:dyDescent="0.3">
      <c r="A5490" t="str">
        <f>"202189C0100"</f>
        <v>202189C0100</v>
      </c>
      <c r="B5490" t="str">
        <f>"202189C01002"</f>
        <v>202189C01002</v>
      </c>
      <c r="C5490" t="str">
        <f t="shared" si="271"/>
        <v>20</v>
      </c>
      <c r="D5490" t="s">
        <v>67</v>
      </c>
      <c r="E5490" t="str">
        <f t="shared" si="272"/>
        <v>024</v>
      </c>
      <c r="F5490" t="s">
        <v>5370</v>
      </c>
      <c r="G5490" t="str">
        <f>"2189"</f>
        <v>2189</v>
      </c>
      <c r="H5490" t="str">
        <f>"0001"</f>
        <v>0001</v>
      </c>
      <c r="I5490" t="s">
        <v>75</v>
      </c>
      <c r="J5490">
        <v>0</v>
      </c>
      <c r="K5490">
        <v>1</v>
      </c>
      <c r="L5490">
        <v>2</v>
      </c>
      <c r="M5490">
        <v>265</v>
      </c>
      <c r="N5490">
        <v>157</v>
      </c>
      <c r="O5490">
        <v>1</v>
      </c>
      <c r="P5490">
        <v>157</v>
      </c>
      <c r="Q5490">
        <v>4</v>
      </c>
      <c r="R5490">
        <v>38</v>
      </c>
      <c r="S5490">
        <v>3</v>
      </c>
      <c r="T5490">
        <v>1</v>
      </c>
      <c r="U5490">
        <v>3</v>
      </c>
      <c r="V5490">
        <v>1</v>
      </c>
      <c r="W5490">
        <v>4</v>
      </c>
      <c r="X5490">
        <v>80</v>
      </c>
      <c r="Y5490">
        <v>4</v>
      </c>
      <c r="Z5490">
        <v>3</v>
      </c>
      <c r="AA5490">
        <v>4</v>
      </c>
      <c r="AB5490">
        <v>4</v>
      </c>
      <c r="AD5490">
        <v>0</v>
      </c>
      <c r="AE5490">
        <v>0</v>
      </c>
      <c r="AF5490">
        <v>0</v>
      </c>
      <c r="AG5490">
        <v>0</v>
      </c>
      <c r="AI5490">
        <v>0</v>
      </c>
      <c r="AJ5490">
        <v>8</v>
      </c>
      <c r="AK5490">
        <v>157</v>
      </c>
      <c r="AL5490">
        <v>157</v>
      </c>
      <c r="AM5490">
        <v>378</v>
      </c>
      <c r="AN5490">
        <v>44</v>
      </c>
      <c r="AP5490">
        <v>1</v>
      </c>
      <c r="AR5490" t="s">
        <v>5595</v>
      </c>
      <c r="AS5490" s="1">
        <v>44354.263888888891</v>
      </c>
      <c r="AT5490" s="1">
        <v>44354.266331018516</v>
      </c>
      <c r="AU5490" s="1">
        <v>44354.267256944448</v>
      </c>
      <c r="AV5490" t="s">
        <v>71</v>
      </c>
      <c r="AW5490" t="s">
        <v>72</v>
      </c>
      <c r="AX5490" t="s">
        <v>73</v>
      </c>
    </row>
    <row r="5491" spans="1:50" x14ac:dyDescent="0.3">
      <c r="A5491" t="str">
        <f>"202264B0000"</f>
        <v>202264B0000</v>
      </c>
      <c r="B5491" t="str">
        <f>"202264B00002"</f>
        <v>202264B00002</v>
      </c>
      <c r="C5491" t="str">
        <f t="shared" si="271"/>
        <v>20</v>
      </c>
      <c r="D5491" t="s">
        <v>67</v>
      </c>
      <c r="E5491" t="str">
        <f t="shared" si="272"/>
        <v>024</v>
      </c>
      <c r="F5491" t="s">
        <v>5370</v>
      </c>
      <c r="G5491" t="str">
        <f>"2264"</f>
        <v>2264</v>
      </c>
      <c r="H5491" t="str">
        <f>"0000"</f>
        <v>0000</v>
      </c>
      <c r="I5491" t="s">
        <v>69</v>
      </c>
      <c r="J5491">
        <v>0</v>
      </c>
      <c r="K5491">
        <v>1</v>
      </c>
      <c r="L5491">
        <v>2</v>
      </c>
      <c r="M5491">
        <v>437</v>
      </c>
      <c r="N5491">
        <v>199</v>
      </c>
      <c r="O5491">
        <v>3</v>
      </c>
      <c r="P5491">
        <v>199</v>
      </c>
      <c r="Q5491">
        <v>7</v>
      </c>
      <c r="R5491">
        <v>15</v>
      </c>
      <c r="S5491">
        <v>0</v>
      </c>
      <c r="T5491">
        <v>2</v>
      </c>
      <c r="U5491">
        <v>19</v>
      </c>
      <c r="V5491">
        <v>2</v>
      </c>
      <c r="W5491">
        <v>2</v>
      </c>
      <c r="X5491">
        <v>111</v>
      </c>
      <c r="Y5491">
        <v>29</v>
      </c>
      <c r="Z5491">
        <v>2</v>
      </c>
      <c r="AA5491">
        <v>2</v>
      </c>
      <c r="AB5491">
        <v>2</v>
      </c>
      <c r="AD5491">
        <v>0</v>
      </c>
      <c r="AE5491">
        <v>0</v>
      </c>
      <c r="AF5491">
        <v>0</v>
      </c>
      <c r="AG5491">
        <v>0</v>
      </c>
      <c r="AI5491">
        <v>0</v>
      </c>
      <c r="AJ5491">
        <v>6</v>
      </c>
      <c r="AK5491">
        <v>199</v>
      </c>
      <c r="AL5491">
        <v>199</v>
      </c>
      <c r="AM5491">
        <v>594</v>
      </c>
      <c r="AN5491">
        <v>44</v>
      </c>
      <c r="AP5491">
        <v>1</v>
      </c>
      <c r="AR5491" t="s">
        <v>5596</v>
      </c>
      <c r="AS5491" s="1">
        <v>44354.111111111109</v>
      </c>
      <c r="AT5491" s="1">
        <v>44354.114201388889</v>
      </c>
      <c r="AU5491" s="1">
        <v>44354.114675925928</v>
      </c>
      <c r="AV5491" t="s">
        <v>71</v>
      </c>
      <c r="AW5491" t="s">
        <v>72</v>
      </c>
      <c r="AX5491" t="s">
        <v>73</v>
      </c>
    </row>
    <row r="5492" spans="1:50" x14ac:dyDescent="0.3">
      <c r="A5492" t="str">
        <f>"202264C0100"</f>
        <v>202264C0100</v>
      </c>
      <c r="B5492" t="str">
        <f>"202264C01002"</f>
        <v>202264C01002</v>
      </c>
      <c r="C5492" t="str">
        <f t="shared" si="271"/>
        <v>20</v>
      </c>
      <c r="D5492" t="s">
        <v>67</v>
      </c>
      <c r="E5492" t="str">
        <f t="shared" si="272"/>
        <v>024</v>
      </c>
      <c r="F5492" t="s">
        <v>5370</v>
      </c>
      <c r="G5492" t="str">
        <f>"2264"</f>
        <v>2264</v>
      </c>
      <c r="H5492" t="str">
        <f>"0001"</f>
        <v>0001</v>
      </c>
      <c r="I5492" t="s">
        <v>75</v>
      </c>
      <c r="J5492">
        <v>0</v>
      </c>
      <c r="K5492">
        <v>1</v>
      </c>
      <c r="L5492">
        <v>2</v>
      </c>
      <c r="M5492">
        <v>423</v>
      </c>
      <c r="N5492">
        <v>215</v>
      </c>
      <c r="O5492">
        <v>0</v>
      </c>
      <c r="P5492">
        <v>215</v>
      </c>
      <c r="Q5492">
        <v>1</v>
      </c>
      <c r="R5492">
        <v>19</v>
      </c>
      <c r="S5492">
        <v>1</v>
      </c>
      <c r="T5492">
        <v>2</v>
      </c>
      <c r="U5492">
        <v>25</v>
      </c>
      <c r="V5492">
        <v>6</v>
      </c>
      <c r="W5492">
        <v>7</v>
      </c>
      <c r="X5492">
        <v>109</v>
      </c>
      <c r="Y5492">
        <v>30</v>
      </c>
      <c r="Z5492">
        <v>3</v>
      </c>
      <c r="AA5492">
        <v>0</v>
      </c>
      <c r="AB5492">
        <v>4</v>
      </c>
      <c r="AD5492">
        <v>1</v>
      </c>
      <c r="AE5492">
        <v>0</v>
      </c>
      <c r="AF5492">
        <v>0</v>
      </c>
      <c r="AG5492">
        <v>0</v>
      </c>
      <c r="AI5492">
        <v>0</v>
      </c>
      <c r="AJ5492">
        <v>7</v>
      </c>
      <c r="AK5492">
        <v>215</v>
      </c>
      <c r="AL5492">
        <v>215</v>
      </c>
      <c r="AM5492">
        <v>594</v>
      </c>
      <c r="AN5492">
        <v>44</v>
      </c>
      <c r="AP5492">
        <v>1</v>
      </c>
      <c r="AR5492" t="s">
        <v>5597</v>
      </c>
      <c r="AS5492" s="1">
        <v>44354.103472222225</v>
      </c>
      <c r="AT5492" s="1">
        <v>44354.104513888888</v>
      </c>
      <c r="AU5492" s="1">
        <v>44354.106134259258</v>
      </c>
      <c r="AV5492" t="s">
        <v>71</v>
      </c>
      <c r="AW5492" t="s">
        <v>72</v>
      </c>
      <c r="AX5492" t="s">
        <v>73</v>
      </c>
    </row>
    <row r="5493" spans="1:50" x14ac:dyDescent="0.3">
      <c r="A5493" t="str">
        <f>"202264C0200"</f>
        <v>202264C0200</v>
      </c>
      <c r="B5493" t="str">
        <f>"202264C02002"</f>
        <v>202264C02002</v>
      </c>
      <c r="C5493" t="str">
        <f t="shared" si="271"/>
        <v>20</v>
      </c>
      <c r="D5493" t="s">
        <v>67</v>
      </c>
      <c r="E5493" t="str">
        <f t="shared" si="272"/>
        <v>024</v>
      </c>
      <c r="F5493" t="s">
        <v>5370</v>
      </c>
      <c r="G5493" t="str">
        <f>"2264"</f>
        <v>2264</v>
      </c>
      <c r="H5493" t="str">
        <f>"0002"</f>
        <v>0002</v>
      </c>
      <c r="I5493" t="s">
        <v>75</v>
      </c>
      <c r="J5493">
        <v>0</v>
      </c>
      <c r="K5493">
        <v>1</v>
      </c>
      <c r="L5493">
        <v>2</v>
      </c>
      <c r="M5493">
        <v>442</v>
      </c>
      <c r="N5493">
        <v>195</v>
      </c>
      <c r="O5493">
        <v>0</v>
      </c>
      <c r="P5493">
        <v>195</v>
      </c>
      <c r="Q5493">
        <v>5</v>
      </c>
      <c r="R5493">
        <v>15</v>
      </c>
      <c r="S5493">
        <v>0</v>
      </c>
      <c r="T5493">
        <v>3</v>
      </c>
      <c r="U5493">
        <v>29</v>
      </c>
      <c r="V5493">
        <v>3</v>
      </c>
      <c r="W5493">
        <v>3</v>
      </c>
      <c r="X5493">
        <v>97</v>
      </c>
      <c r="Y5493">
        <v>24</v>
      </c>
      <c r="Z5493">
        <v>5</v>
      </c>
      <c r="AA5493">
        <v>2</v>
      </c>
      <c r="AB5493">
        <v>2</v>
      </c>
      <c r="AD5493">
        <v>0</v>
      </c>
      <c r="AE5493">
        <v>0</v>
      </c>
      <c r="AF5493">
        <v>0</v>
      </c>
      <c r="AG5493">
        <v>0</v>
      </c>
      <c r="AI5493">
        <v>0</v>
      </c>
      <c r="AJ5493">
        <v>8</v>
      </c>
      <c r="AK5493">
        <v>195</v>
      </c>
      <c r="AL5493">
        <v>196</v>
      </c>
      <c r="AM5493">
        <v>594</v>
      </c>
      <c r="AN5493">
        <v>44</v>
      </c>
      <c r="AP5493">
        <v>1</v>
      </c>
      <c r="AR5493" t="s">
        <v>5598</v>
      </c>
      <c r="AS5493" s="1">
        <v>44354.111111111109</v>
      </c>
      <c r="AT5493" s="1">
        <v>44354.113425925927</v>
      </c>
      <c r="AU5493" s="1">
        <v>44354.114675925928</v>
      </c>
      <c r="AV5493" t="s">
        <v>71</v>
      </c>
      <c r="AW5493" t="s">
        <v>72</v>
      </c>
      <c r="AX5493" t="s">
        <v>73</v>
      </c>
    </row>
    <row r="5494" spans="1:50" x14ac:dyDescent="0.3">
      <c r="A5494" t="str">
        <f>"202290B0000"</f>
        <v>202290B0000</v>
      </c>
      <c r="B5494" t="str">
        <f>"202290B00002"</f>
        <v>202290B00002</v>
      </c>
      <c r="C5494" t="str">
        <f t="shared" si="271"/>
        <v>20</v>
      </c>
      <c r="D5494" t="s">
        <v>67</v>
      </c>
      <c r="E5494" t="str">
        <f t="shared" si="272"/>
        <v>024</v>
      </c>
      <c r="F5494" t="s">
        <v>5370</v>
      </c>
      <c r="G5494" t="str">
        <f>"2290"</f>
        <v>2290</v>
      </c>
      <c r="H5494" t="str">
        <f>"0000"</f>
        <v>0000</v>
      </c>
      <c r="I5494" t="s">
        <v>69</v>
      </c>
      <c r="J5494">
        <v>0</v>
      </c>
      <c r="K5494">
        <v>1</v>
      </c>
      <c r="L5494">
        <v>2</v>
      </c>
      <c r="M5494">
        <v>280</v>
      </c>
      <c r="N5494">
        <v>309</v>
      </c>
      <c r="O5494">
        <v>0</v>
      </c>
      <c r="P5494">
        <v>309</v>
      </c>
      <c r="Q5494">
        <v>30</v>
      </c>
      <c r="R5494">
        <v>65</v>
      </c>
      <c r="S5494">
        <v>1</v>
      </c>
      <c r="T5494">
        <v>2</v>
      </c>
      <c r="U5494">
        <v>17</v>
      </c>
      <c r="V5494">
        <v>2</v>
      </c>
      <c r="W5494">
        <v>3</v>
      </c>
      <c r="X5494">
        <v>104</v>
      </c>
      <c r="Y5494">
        <v>59</v>
      </c>
      <c r="Z5494">
        <v>4</v>
      </c>
      <c r="AA5494">
        <v>2</v>
      </c>
      <c r="AB5494">
        <v>4</v>
      </c>
      <c r="AD5494">
        <v>1</v>
      </c>
      <c r="AE5494">
        <v>1</v>
      </c>
      <c r="AF5494">
        <v>0</v>
      </c>
      <c r="AG5494">
        <v>0</v>
      </c>
      <c r="AI5494">
        <v>0</v>
      </c>
      <c r="AJ5494">
        <v>14</v>
      </c>
      <c r="AK5494">
        <v>309</v>
      </c>
      <c r="AL5494">
        <v>309</v>
      </c>
      <c r="AM5494">
        <v>545</v>
      </c>
      <c r="AN5494">
        <v>44</v>
      </c>
      <c r="AP5494">
        <v>1</v>
      </c>
      <c r="AR5494" t="s">
        <v>5599</v>
      </c>
      <c r="AS5494" s="1">
        <v>44354.132638888892</v>
      </c>
      <c r="AT5494" s="1">
        <v>44354.134942129633</v>
      </c>
      <c r="AU5494" s="1">
        <v>44354.135474537034</v>
      </c>
      <c r="AV5494" t="s">
        <v>71</v>
      </c>
      <c r="AW5494" t="s">
        <v>72</v>
      </c>
      <c r="AX5494" t="s">
        <v>73</v>
      </c>
    </row>
    <row r="5495" spans="1:50" x14ac:dyDescent="0.3">
      <c r="A5495" t="str">
        <f>"202450B0000"</f>
        <v>202450B0000</v>
      </c>
      <c r="B5495" t="str">
        <f>"202450B00002"</f>
        <v>202450B00002</v>
      </c>
      <c r="C5495" t="str">
        <f t="shared" si="271"/>
        <v>20</v>
      </c>
      <c r="D5495" t="s">
        <v>67</v>
      </c>
      <c r="E5495" t="str">
        <f t="shared" si="272"/>
        <v>024</v>
      </c>
      <c r="F5495" t="s">
        <v>5370</v>
      </c>
      <c r="G5495" t="str">
        <f>"2450"</f>
        <v>2450</v>
      </c>
      <c r="H5495" t="str">
        <f>"0000"</f>
        <v>0000</v>
      </c>
      <c r="I5495" t="s">
        <v>69</v>
      </c>
      <c r="J5495">
        <v>0</v>
      </c>
      <c r="K5495">
        <v>1</v>
      </c>
      <c r="L5495">
        <v>2</v>
      </c>
      <c r="M5495">
        <v>350</v>
      </c>
      <c r="N5495">
        <v>263</v>
      </c>
      <c r="O5495">
        <v>0</v>
      </c>
      <c r="P5495">
        <v>263</v>
      </c>
      <c r="Q5495">
        <v>3</v>
      </c>
      <c r="R5495">
        <v>77</v>
      </c>
      <c r="S5495">
        <v>1</v>
      </c>
      <c r="T5495">
        <v>2</v>
      </c>
      <c r="U5495">
        <v>2</v>
      </c>
      <c r="V5495">
        <v>2</v>
      </c>
      <c r="W5495">
        <v>1</v>
      </c>
      <c r="X5495">
        <v>113</v>
      </c>
      <c r="Y5495">
        <v>38</v>
      </c>
      <c r="Z5495">
        <v>3</v>
      </c>
      <c r="AA5495">
        <v>9</v>
      </c>
      <c r="AB5495">
        <v>2</v>
      </c>
      <c r="AD5495">
        <v>1</v>
      </c>
      <c r="AE5495">
        <v>1</v>
      </c>
      <c r="AF5495">
        <v>1</v>
      </c>
      <c r="AG5495">
        <v>1</v>
      </c>
      <c r="AI5495">
        <v>0</v>
      </c>
      <c r="AJ5495">
        <v>7</v>
      </c>
      <c r="AK5495">
        <v>264</v>
      </c>
      <c r="AL5495">
        <v>264</v>
      </c>
      <c r="AM5495">
        <v>569</v>
      </c>
      <c r="AN5495">
        <v>44</v>
      </c>
      <c r="AP5495">
        <v>1</v>
      </c>
      <c r="AR5495" t="s">
        <v>5600</v>
      </c>
      <c r="AS5495" s="1">
        <v>44354.214583333334</v>
      </c>
      <c r="AT5495" s="1">
        <v>44354.216296296298</v>
      </c>
      <c r="AU5495" s="1">
        <v>44354.216666666667</v>
      </c>
      <c r="AV5495" t="s">
        <v>71</v>
      </c>
      <c r="AW5495" t="s">
        <v>72</v>
      </c>
      <c r="AX5495" t="s">
        <v>73</v>
      </c>
    </row>
    <row r="5496" spans="1:50" x14ac:dyDescent="0.3">
      <c r="A5496" t="str">
        <f>"202450C0100"</f>
        <v>202450C0100</v>
      </c>
      <c r="B5496" t="str">
        <f>"202450C01002"</f>
        <v>202450C01002</v>
      </c>
      <c r="C5496" t="str">
        <f t="shared" si="271"/>
        <v>20</v>
      </c>
      <c r="D5496" t="s">
        <v>67</v>
      </c>
      <c r="E5496" t="str">
        <f t="shared" si="272"/>
        <v>024</v>
      </c>
      <c r="F5496" t="s">
        <v>5370</v>
      </c>
      <c r="G5496" t="str">
        <f>"2450"</f>
        <v>2450</v>
      </c>
      <c r="H5496" t="str">
        <f>"0001"</f>
        <v>0001</v>
      </c>
      <c r="I5496" t="s">
        <v>75</v>
      </c>
      <c r="J5496">
        <v>0</v>
      </c>
      <c r="K5496">
        <v>1</v>
      </c>
      <c r="L5496">
        <v>2</v>
      </c>
      <c r="M5496">
        <v>346</v>
      </c>
      <c r="N5496">
        <v>267</v>
      </c>
      <c r="O5496">
        <v>0</v>
      </c>
      <c r="P5496">
        <v>267</v>
      </c>
      <c r="Q5496">
        <v>4</v>
      </c>
      <c r="R5496">
        <v>82</v>
      </c>
      <c r="S5496">
        <v>2</v>
      </c>
      <c r="T5496">
        <v>4</v>
      </c>
      <c r="U5496">
        <v>1</v>
      </c>
      <c r="V5496">
        <v>4</v>
      </c>
      <c r="W5496">
        <v>1</v>
      </c>
      <c r="X5496">
        <v>102</v>
      </c>
      <c r="Y5496">
        <v>46</v>
      </c>
      <c r="Z5496">
        <v>4</v>
      </c>
      <c r="AA5496">
        <v>6</v>
      </c>
      <c r="AB5496">
        <v>1</v>
      </c>
      <c r="AD5496">
        <v>0</v>
      </c>
      <c r="AE5496">
        <v>0</v>
      </c>
      <c r="AF5496">
        <v>0</v>
      </c>
      <c r="AG5496">
        <v>0</v>
      </c>
      <c r="AI5496">
        <v>0</v>
      </c>
      <c r="AJ5496">
        <v>12</v>
      </c>
      <c r="AK5496">
        <v>269</v>
      </c>
      <c r="AL5496">
        <v>269</v>
      </c>
      <c r="AM5496">
        <v>569</v>
      </c>
      <c r="AN5496">
        <v>44</v>
      </c>
      <c r="AP5496">
        <v>1</v>
      </c>
      <c r="AR5496" t="s">
        <v>5601</v>
      </c>
      <c r="AS5496" s="1">
        <v>44354.214583333334</v>
      </c>
      <c r="AT5496" s="1">
        <v>44354.216134259259</v>
      </c>
      <c r="AU5496" s="1">
        <v>44354.216319444444</v>
      </c>
      <c r="AV5496" t="s">
        <v>71</v>
      </c>
      <c r="AW5496" t="s">
        <v>72</v>
      </c>
      <c r="AX5496" t="s">
        <v>73</v>
      </c>
    </row>
    <row r="5497" spans="1:50" x14ac:dyDescent="0.3">
      <c r="A5497" t="str">
        <f>"202450C0200"</f>
        <v>202450C0200</v>
      </c>
      <c r="B5497" t="str">
        <f>"202450C02002"</f>
        <v>202450C02002</v>
      </c>
      <c r="C5497" t="str">
        <f t="shared" si="271"/>
        <v>20</v>
      </c>
      <c r="D5497" t="s">
        <v>67</v>
      </c>
      <c r="E5497" t="str">
        <f t="shared" si="272"/>
        <v>024</v>
      </c>
      <c r="F5497" t="s">
        <v>5370</v>
      </c>
      <c r="G5497" t="str">
        <f>"2450"</f>
        <v>2450</v>
      </c>
      <c r="H5497" t="str">
        <f>"0002"</f>
        <v>0002</v>
      </c>
      <c r="I5497" t="s">
        <v>75</v>
      </c>
      <c r="J5497">
        <v>0</v>
      </c>
      <c r="K5497">
        <v>1</v>
      </c>
      <c r="L5497">
        <v>2</v>
      </c>
      <c r="M5497">
        <v>347</v>
      </c>
      <c r="N5497">
        <v>265</v>
      </c>
      <c r="O5497">
        <v>0</v>
      </c>
      <c r="P5497">
        <v>265</v>
      </c>
      <c r="Q5497">
        <v>5</v>
      </c>
      <c r="R5497">
        <v>79</v>
      </c>
      <c r="S5497">
        <v>2</v>
      </c>
      <c r="T5497">
        <v>2</v>
      </c>
      <c r="U5497">
        <v>2</v>
      </c>
      <c r="V5497">
        <v>0</v>
      </c>
      <c r="W5497">
        <v>2</v>
      </c>
      <c r="X5497">
        <v>115</v>
      </c>
      <c r="Y5497">
        <v>39</v>
      </c>
      <c r="Z5497">
        <v>2</v>
      </c>
      <c r="AA5497">
        <v>5</v>
      </c>
      <c r="AB5497">
        <v>1</v>
      </c>
      <c r="AD5497">
        <v>2</v>
      </c>
      <c r="AE5497">
        <v>0</v>
      </c>
      <c r="AF5497">
        <v>0</v>
      </c>
      <c r="AG5497">
        <v>0</v>
      </c>
      <c r="AI5497">
        <v>0</v>
      </c>
      <c r="AJ5497">
        <v>9</v>
      </c>
      <c r="AK5497">
        <v>265</v>
      </c>
      <c r="AL5497">
        <v>265</v>
      </c>
      <c r="AM5497">
        <v>568</v>
      </c>
      <c r="AN5497">
        <v>44</v>
      </c>
      <c r="AP5497">
        <v>1</v>
      </c>
      <c r="AR5497" t="s">
        <v>5602</v>
      </c>
      <c r="AS5497" s="1">
        <v>44354.650694444441</v>
      </c>
      <c r="AT5497" s="1">
        <v>44354.653043981481</v>
      </c>
      <c r="AU5497" s="1">
        <v>44354.653611111113</v>
      </c>
      <c r="AV5497" t="s">
        <v>71</v>
      </c>
      <c r="AW5497" t="s">
        <v>72</v>
      </c>
      <c r="AX5497" t="s">
        <v>73</v>
      </c>
    </row>
    <row r="5498" spans="1:50" x14ac:dyDescent="0.3">
      <c r="A5498" t="str">
        <f>"200638B0000"</f>
        <v>200638B0000</v>
      </c>
      <c r="B5498" t="str">
        <f>"200638B00002"</f>
        <v>200638B00002</v>
      </c>
      <c r="C5498" t="str">
        <f t="shared" si="271"/>
        <v>20</v>
      </c>
      <c r="D5498" t="s">
        <v>67</v>
      </c>
      <c r="E5498" t="str">
        <f t="shared" ref="E5498:E5561" si="273">"025"</f>
        <v>025</v>
      </c>
      <c r="F5498" t="s">
        <v>5603</v>
      </c>
      <c r="G5498" t="str">
        <f>"0638"</f>
        <v>0638</v>
      </c>
      <c r="H5498" t="str">
        <f>"0000"</f>
        <v>0000</v>
      </c>
      <c r="I5498" t="s">
        <v>69</v>
      </c>
      <c r="J5498">
        <v>0</v>
      </c>
      <c r="K5498">
        <v>1</v>
      </c>
      <c r="L5498">
        <v>2</v>
      </c>
      <c r="M5498">
        <v>423</v>
      </c>
      <c r="N5498">
        <v>348</v>
      </c>
      <c r="O5498">
        <v>1</v>
      </c>
      <c r="P5498">
        <v>348</v>
      </c>
      <c r="Q5498">
        <v>14</v>
      </c>
      <c r="R5498">
        <v>61</v>
      </c>
      <c r="S5498">
        <v>7</v>
      </c>
      <c r="T5498">
        <v>32</v>
      </c>
      <c r="U5498">
        <v>60</v>
      </c>
      <c r="V5498">
        <v>6</v>
      </c>
      <c r="W5498">
        <v>0</v>
      </c>
      <c r="X5498">
        <v>121</v>
      </c>
      <c r="Y5498">
        <v>2</v>
      </c>
      <c r="Z5498">
        <v>6</v>
      </c>
      <c r="AA5498">
        <v>15</v>
      </c>
      <c r="AB5498">
        <v>3</v>
      </c>
      <c r="AD5498">
        <v>1</v>
      </c>
      <c r="AE5498">
        <v>1</v>
      </c>
      <c r="AF5498">
        <v>0</v>
      </c>
      <c r="AG5498">
        <v>1</v>
      </c>
      <c r="AI5498" t="s">
        <v>77</v>
      </c>
      <c r="AJ5498">
        <v>18</v>
      </c>
      <c r="AK5498">
        <v>348</v>
      </c>
      <c r="AL5498">
        <v>348</v>
      </c>
      <c r="AM5498">
        <v>727</v>
      </c>
      <c r="AN5498">
        <v>44</v>
      </c>
      <c r="AO5498" t="s">
        <v>78</v>
      </c>
      <c r="AP5498">
        <v>1</v>
      </c>
      <c r="AR5498" t="s">
        <v>5604</v>
      </c>
      <c r="AS5498" s="1">
        <v>44354.059027777781</v>
      </c>
      <c r="AT5498" s="1">
        <v>44354.081620370373</v>
      </c>
      <c r="AU5498" s="1">
        <v>44354.082928240743</v>
      </c>
      <c r="AV5498" t="s">
        <v>71</v>
      </c>
      <c r="AW5498" t="s">
        <v>72</v>
      </c>
      <c r="AX5498" t="s">
        <v>73</v>
      </c>
    </row>
    <row r="5499" spans="1:50" x14ac:dyDescent="0.3">
      <c r="A5499" t="str">
        <f>"200638C0100"</f>
        <v>200638C0100</v>
      </c>
      <c r="B5499" t="str">
        <f>"200638C01002"</f>
        <v>200638C01002</v>
      </c>
      <c r="C5499" t="str">
        <f t="shared" si="271"/>
        <v>20</v>
      </c>
      <c r="D5499" t="s">
        <v>67</v>
      </c>
      <c r="E5499" t="str">
        <f t="shared" si="273"/>
        <v>025</v>
      </c>
      <c r="F5499" t="s">
        <v>5603</v>
      </c>
      <c r="G5499" t="str">
        <f>"0638"</f>
        <v>0638</v>
      </c>
      <c r="H5499" t="str">
        <f>"0001"</f>
        <v>0001</v>
      </c>
      <c r="I5499" t="s">
        <v>75</v>
      </c>
      <c r="J5499">
        <v>0</v>
      </c>
      <c r="K5499">
        <v>1</v>
      </c>
      <c r="L5499">
        <v>2</v>
      </c>
      <c r="M5499">
        <v>440</v>
      </c>
      <c r="N5499">
        <v>330</v>
      </c>
      <c r="O5499">
        <v>0</v>
      </c>
      <c r="P5499">
        <v>330</v>
      </c>
      <c r="Q5499">
        <v>10</v>
      </c>
      <c r="R5499">
        <v>76</v>
      </c>
      <c r="S5499">
        <v>3</v>
      </c>
      <c r="T5499">
        <v>30</v>
      </c>
      <c r="U5499">
        <v>68</v>
      </c>
      <c r="V5499">
        <v>1</v>
      </c>
      <c r="W5499">
        <v>2</v>
      </c>
      <c r="X5499">
        <v>94</v>
      </c>
      <c r="Y5499">
        <v>1</v>
      </c>
      <c r="Z5499">
        <v>6</v>
      </c>
      <c r="AA5499">
        <v>14</v>
      </c>
      <c r="AB5499">
        <v>5</v>
      </c>
      <c r="AD5499">
        <v>2</v>
      </c>
      <c r="AE5499">
        <v>1</v>
      </c>
      <c r="AF5499">
        <v>1</v>
      </c>
      <c r="AG5499">
        <v>0</v>
      </c>
      <c r="AI5499">
        <v>0</v>
      </c>
      <c r="AJ5499">
        <v>16</v>
      </c>
      <c r="AK5499">
        <v>330</v>
      </c>
      <c r="AL5499">
        <v>330</v>
      </c>
      <c r="AM5499">
        <v>726</v>
      </c>
      <c r="AN5499">
        <v>44</v>
      </c>
      <c r="AP5499">
        <v>1</v>
      </c>
      <c r="AR5499" t="s">
        <v>5605</v>
      </c>
      <c r="AS5499" s="1">
        <v>44354.059027777781</v>
      </c>
      <c r="AT5499" s="1">
        <v>44354.067430555559</v>
      </c>
      <c r="AU5499" s="1">
        <v>44354.068298611113</v>
      </c>
      <c r="AV5499" t="s">
        <v>71</v>
      </c>
      <c r="AW5499" t="s">
        <v>72</v>
      </c>
      <c r="AX5499" t="s">
        <v>73</v>
      </c>
    </row>
    <row r="5500" spans="1:50" x14ac:dyDescent="0.3">
      <c r="A5500" t="str">
        <f>"200640B0000"</f>
        <v>200640B0000</v>
      </c>
      <c r="B5500" t="str">
        <f>"200640B00002"</f>
        <v>200640B00002</v>
      </c>
      <c r="C5500" t="str">
        <f t="shared" si="271"/>
        <v>20</v>
      </c>
      <c r="D5500" t="s">
        <v>67</v>
      </c>
      <c r="E5500" t="str">
        <f t="shared" si="273"/>
        <v>025</v>
      </c>
      <c r="F5500" t="s">
        <v>5603</v>
      </c>
      <c r="G5500" t="str">
        <f>"0640"</f>
        <v>0640</v>
      </c>
      <c r="H5500" t="str">
        <f>"0000"</f>
        <v>0000</v>
      </c>
      <c r="I5500" t="s">
        <v>69</v>
      </c>
      <c r="J5500">
        <v>0</v>
      </c>
      <c r="K5500">
        <v>1</v>
      </c>
      <c r="L5500">
        <v>2</v>
      </c>
      <c r="M5500">
        <v>195</v>
      </c>
      <c r="N5500">
        <v>123</v>
      </c>
      <c r="O5500">
        <v>1</v>
      </c>
      <c r="P5500">
        <v>123</v>
      </c>
      <c r="Q5500">
        <v>4</v>
      </c>
      <c r="R5500">
        <v>30</v>
      </c>
      <c r="S5500">
        <v>3</v>
      </c>
      <c r="T5500">
        <v>4</v>
      </c>
      <c r="U5500">
        <v>47</v>
      </c>
      <c r="V5500">
        <v>2</v>
      </c>
      <c r="W5500">
        <v>0</v>
      </c>
      <c r="X5500">
        <v>20</v>
      </c>
      <c r="Y5500">
        <v>0</v>
      </c>
      <c r="Z5500">
        <v>3</v>
      </c>
      <c r="AA5500">
        <v>2</v>
      </c>
      <c r="AB5500">
        <v>0</v>
      </c>
      <c r="AD5500">
        <v>0</v>
      </c>
      <c r="AE5500">
        <v>1</v>
      </c>
      <c r="AF5500">
        <v>0</v>
      </c>
      <c r="AG5500">
        <v>1</v>
      </c>
      <c r="AI5500">
        <v>0</v>
      </c>
      <c r="AJ5500">
        <v>6</v>
      </c>
      <c r="AK5500">
        <v>123</v>
      </c>
      <c r="AL5500">
        <v>123</v>
      </c>
      <c r="AM5500">
        <v>274</v>
      </c>
      <c r="AN5500">
        <v>44</v>
      </c>
      <c r="AP5500">
        <v>1</v>
      </c>
      <c r="AR5500" t="s">
        <v>5606</v>
      </c>
      <c r="AS5500" s="1">
        <v>44354.005555555559</v>
      </c>
      <c r="AT5500" s="1">
        <v>44354.010740740741</v>
      </c>
      <c r="AU5500" s="1">
        <v>44354.01116898148</v>
      </c>
      <c r="AV5500" t="s">
        <v>71</v>
      </c>
      <c r="AW5500" t="s">
        <v>72</v>
      </c>
      <c r="AX5500" t="s">
        <v>73</v>
      </c>
    </row>
    <row r="5501" spans="1:50" x14ac:dyDescent="0.3">
      <c r="A5501" t="str">
        <f>"200641B0000"</f>
        <v>200641B0000</v>
      </c>
      <c r="B5501" t="str">
        <f>"200641B00002"</f>
        <v>200641B00002</v>
      </c>
      <c r="C5501" t="str">
        <f t="shared" si="271"/>
        <v>20</v>
      </c>
      <c r="D5501" t="s">
        <v>67</v>
      </c>
      <c r="E5501" t="str">
        <f t="shared" si="273"/>
        <v>025</v>
      </c>
      <c r="F5501" t="s">
        <v>5603</v>
      </c>
      <c r="G5501" t="str">
        <f>"0641"</f>
        <v>0641</v>
      </c>
      <c r="H5501" t="str">
        <f>"0000"</f>
        <v>0000</v>
      </c>
      <c r="I5501" t="s">
        <v>69</v>
      </c>
      <c r="J5501">
        <v>0</v>
      </c>
      <c r="K5501">
        <v>1</v>
      </c>
      <c r="L5501">
        <v>2</v>
      </c>
      <c r="M5501">
        <v>188</v>
      </c>
      <c r="N5501">
        <v>83</v>
      </c>
      <c r="O5501">
        <v>3</v>
      </c>
      <c r="P5501">
        <v>83</v>
      </c>
      <c r="Q5501">
        <v>6</v>
      </c>
      <c r="R5501">
        <v>22</v>
      </c>
      <c r="S5501">
        <v>2</v>
      </c>
      <c r="T5501">
        <v>7</v>
      </c>
      <c r="U5501">
        <v>12</v>
      </c>
      <c r="V5501">
        <v>0</v>
      </c>
      <c r="W5501">
        <v>1</v>
      </c>
      <c r="X5501">
        <v>24</v>
      </c>
      <c r="Y5501">
        <v>0</v>
      </c>
      <c r="Z5501">
        <v>0</v>
      </c>
      <c r="AA5501">
        <v>5</v>
      </c>
      <c r="AB5501">
        <v>2</v>
      </c>
      <c r="AD5501">
        <v>1</v>
      </c>
      <c r="AE5501">
        <v>0</v>
      </c>
      <c r="AF5501">
        <v>0</v>
      </c>
      <c r="AG5501">
        <v>0</v>
      </c>
      <c r="AI5501">
        <v>0</v>
      </c>
      <c r="AJ5501">
        <v>1</v>
      </c>
      <c r="AK5501">
        <v>83</v>
      </c>
      <c r="AL5501">
        <v>83</v>
      </c>
      <c r="AM5501">
        <v>228</v>
      </c>
      <c r="AN5501">
        <v>44</v>
      </c>
      <c r="AP5501">
        <v>1</v>
      </c>
      <c r="AR5501" t="s">
        <v>5607</v>
      </c>
      <c r="AS5501" s="1">
        <v>44354.067361111112</v>
      </c>
      <c r="AT5501" s="1">
        <v>44354.073703703703</v>
      </c>
      <c r="AU5501" s="1">
        <v>44354.074097222219</v>
      </c>
      <c r="AV5501" t="s">
        <v>71</v>
      </c>
      <c r="AW5501" t="s">
        <v>72</v>
      </c>
      <c r="AX5501" t="s">
        <v>73</v>
      </c>
    </row>
    <row r="5502" spans="1:50" x14ac:dyDescent="0.3">
      <c r="A5502" t="str">
        <f>"200642B0000"</f>
        <v>200642B0000</v>
      </c>
      <c r="B5502" t="str">
        <f>"200642B00002"</f>
        <v>200642B00002</v>
      </c>
      <c r="C5502" t="str">
        <f t="shared" si="271"/>
        <v>20</v>
      </c>
      <c r="D5502" t="s">
        <v>67</v>
      </c>
      <c r="E5502" t="str">
        <f t="shared" si="273"/>
        <v>025</v>
      </c>
      <c r="F5502" t="s">
        <v>5603</v>
      </c>
      <c r="G5502" t="str">
        <f>"0642"</f>
        <v>0642</v>
      </c>
      <c r="H5502" t="str">
        <f>"0000"</f>
        <v>0000</v>
      </c>
      <c r="I5502" t="s">
        <v>69</v>
      </c>
      <c r="J5502">
        <v>0</v>
      </c>
      <c r="K5502">
        <v>1</v>
      </c>
      <c r="L5502">
        <v>2</v>
      </c>
      <c r="M5502">
        <v>350</v>
      </c>
      <c r="N5502">
        <v>229</v>
      </c>
      <c r="O5502">
        <v>0</v>
      </c>
      <c r="P5502">
        <v>229</v>
      </c>
      <c r="Q5502">
        <v>14</v>
      </c>
      <c r="R5502">
        <v>55</v>
      </c>
      <c r="S5502">
        <v>5</v>
      </c>
      <c r="T5502">
        <v>30</v>
      </c>
      <c r="U5502">
        <v>23</v>
      </c>
      <c r="V5502">
        <v>2</v>
      </c>
      <c r="W5502">
        <v>3</v>
      </c>
      <c r="X5502">
        <v>73</v>
      </c>
      <c r="Y5502">
        <v>1</v>
      </c>
      <c r="Z5502">
        <v>5</v>
      </c>
      <c r="AA5502">
        <v>5</v>
      </c>
      <c r="AB5502">
        <v>1</v>
      </c>
      <c r="AD5502">
        <v>2</v>
      </c>
      <c r="AE5502">
        <v>0</v>
      </c>
      <c r="AF5502">
        <v>0</v>
      </c>
      <c r="AG5502">
        <v>0</v>
      </c>
      <c r="AI5502">
        <v>0</v>
      </c>
      <c r="AJ5502">
        <v>10</v>
      </c>
      <c r="AK5502">
        <v>229</v>
      </c>
      <c r="AL5502">
        <v>229</v>
      </c>
      <c r="AM5502">
        <v>535</v>
      </c>
      <c r="AN5502">
        <v>44</v>
      </c>
      <c r="AP5502">
        <v>1</v>
      </c>
      <c r="AR5502" t="s">
        <v>5608</v>
      </c>
      <c r="AS5502" s="1">
        <v>44354.067361111112</v>
      </c>
      <c r="AT5502" s="1">
        <v>44354.076041666667</v>
      </c>
      <c r="AU5502" s="1">
        <v>44354.076886574076</v>
      </c>
      <c r="AV5502" t="s">
        <v>71</v>
      </c>
      <c r="AW5502" t="s">
        <v>72</v>
      </c>
      <c r="AX5502" t="s">
        <v>73</v>
      </c>
    </row>
    <row r="5503" spans="1:50" x14ac:dyDescent="0.3">
      <c r="A5503" t="str">
        <f>"200807B0000"</f>
        <v>200807B0000</v>
      </c>
      <c r="B5503" t="str">
        <f>"200807B00002"</f>
        <v>200807B00002</v>
      </c>
      <c r="C5503" t="str">
        <f t="shared" si="271"/>
        <v>20</v>
      </c>
      <c r="D5503" t="s">
        <v>67</v>
      </c>
      <c r="E5503" t="str">
        <f t="shared" si="273"/>
        <v>025</v>
      </c>
      <c r="F5503" t="s">
        <v>5603</v>
      </c>
      <c r="G5503" t="str">
        <f>"0807"</f>
        <v>0807</v>
      </c>
      <c r="H5503" t="str">
        <f>"0000"</f>
        <v>0000</v>
      </c>
      <c r="I5503" t="s">
        <v>69</v>
      </c>
      <c r="J5503">
        <v>0</v>
      </c>
      <c r="K5503">
        <v>1</v>
      </c>
      <c r="L5503">
        <v>2</v>
      </c>
      <c r="M5503">
        <v>292</v>
      </c>
      <c r="N5503">
        <v>111</v>
      </c>
      <c r="O5503">
        <v>0</v>
      </c>
      <c r="P5503">
        <v>111</v>
      </c>
      <c r="Q5503">
        <v>2</v>
      </c>
      <c r="R5503">
        <v>23</v>
      </c>
      <c r="S5503">
        <v>2</v>
      </c>
      <c r="T5503">
        <v>3</v>
      </c>
      <c r="U5503">
        <v>20</v>
      </c>
      <c r="V5503">
        <v>0</v>
      </c>
      <c r="W5503">
        <v>2</v>
      </c>
      <c r="X5503">
        <v>41</v>
      </c>
      <c r="Y5503">
        <v>0</v>
      </c>
      <c r="Z5503">
        <v>7</v>
      </c>
      <c r="AA5503">
        <v>6</v>
      </c>
      <c r="AB5503">
        <v>3</v>
      </c>
      <c r="AD5503">
        <v>0</v>
      </c>
      <c r="AE5503">
        <v>0</v>
      </c>
      <c r="AF5503">
        <v>1</v>
      </c>
      <c r="AG5503">
        <v>0</v>
      </c>
      <c r="AI5503">
        <v>0</v>
      </c>
      <c r="AJ5503">
        <v>1</v>
      </c>
      <c r="AK5503">
        <v>111</v>
      </c>
      <c r="AL5503">
        <v>111</v>
      </c>
      <c r="AM5503">
        <v>359</v>
      </c>
      <c r="AN5503">
        <v>44</v>
      </c>
      <c r="AP5503">
        <v>1</v>
      </c>
      <c r="AR5503" t="s">
        <v>5609</v>
      </c>
      <c r="AS5503" s="1">
        <v>44354.114583333336</v>
      </c>
      <c r="AT5503" s="1">
        <v>44354.118310185186</v>
      </c>
      <c r="AU5503" s="1">
        <v>44354.119525462964</v>
      </c>
      <c r="AV5503" t="s">
        <v>71</v>
      </c>
      <c r="AW5503" t="s">
        <v>72</v>
      </c>
      <c r="AX5503" t="s">
        <v>73</v>
      </c>
    </row>
    <row r="5504" spans="1:50" x14ac:dyDescent="0.3">
      <c r="A5504" t="str">
        <f>"200807E0100"</f>
        <v>200807E0100</v>
      </c>
      <c r="B5504" t="str">
        <f>"200807E01002"</f>
        <v>200807E01002</v>
      </c>
      <c r="C5504" t="str">
        <f t="shared" si="271"/>
        <v>20</v>
      </c>
      <c r="D5504" t="s">
        <v>67</v>
      </c>
      <c r="E5504" t="str">
        <f t="shared" si="273"/>
        <v>025</v>
      </c>
      <c r="F5504" t="s">
        <v>5603</v>
      </c>
      <c r="G5504" t="str">
        <f>"0807"</f>
        <v>0807</v>
      </c>
      <c r="H5504" t="str">
        <f>"0001"</f>
        <v>0001</v>
      </c>
      <c r="I5504" t="s">
        <v>109</v>
      </c>
      <c r="J5504">
        <v>0</v>
      </c>
      <c r="K5504">
        <v>1</v>
      </c>
      <c r="L5504">
        <v>2</v>
      </c>
      <c r="M5504">
        <v>261</v>
      </c>
      <c r="N5504">
        <v>154</v>
      </c>
      <c r="O5504">
        <v>4</v>
      </c>
      <c r="P5504">
        <v>154</v>
      </c>
      <c r="Q5504">
        <v>2</v>
      </c>
      <c r="R5504">
        <v>27</v>
      </c>
      <c r="S5504">
        <v>4</v>
      </c>
      <c r="T5504">
        <v>2</v>
      </c>
      <c r="U5504">
        <v>19</v>
      </c>
      <c r="V5504">
        <v>0</v>
      </c>
      <c r="W5504">
        <v>0</v>
      </c>
      <c r="X5504">
        <v>78</v>
      </c>
      <c r="Y5504">
        <v>0</v>
      </c>
      <c r="Z5504">
        <v>10</v>
      </c>
      <c r="AA5504">
        <v>0</v>
      </c>
      <c r="AB5504">
        <v>0</v>
      </c>
      <c r="AD5504">
        <v>0</v>
      </c>
      <c r="AE5504">
        <v>1</v>
      </c>
      <c r="AF5504">
        <v>0</v>
      </c>
      <c r="AG5504">
        <v>0</v>
      </c>
      <c r="AI5504">
        <v>0</v>
      </c>
      <c r="AJ5504">
        <v>11</v>
      </c>
      <c r="AK5504">
        <v>154</v>
      </c>
      <c r="AL5504">
        <v>154</v>
      </c>
      <c r="AM5504">
        <v>371</v>
      </c>
      <c r="AN5504">
        <v>44</v>
      </c>
      <c r="AP5504">
        <v>1</v>
      </c>
      <c r="AR5504" t="s">
        <v>5610</v>
      </c>
      <c r="AS5504" s="1">
        <v>44354.114583333336</v>
      </c>
      <c r="AT5504" s="1">
        <v>44354.120567129627</v>
      </c>
      <c r="AU5504" s="1">
        <v>44354.121041666665</v>
      </c>
      <c r="AV5504" t="s">
        <v>71</v>
      </c>
      <c r="AW5504" t="s">
        <v>72</v>
      </c>
      <c r="AX5504" t="s">
        <v>73</v>
      </c>
    </row>
    <row r="5505" spans="1:50" x14ac:dyDescent="0.3">
      <c r="A5505" t="str">
        <f>"200808B0000"</f>
        <v>200808B0000</v>
      </c>
      <c r="B5505" t="str">
        <f>"200808B00002"</f>
        <v>200808B00002</v>
      </c>
      <c r="C5505" t="str">
        <f t="shared" si="271"/>
        <v>20</v>
      </c>
      <c r="D5505" t="s">
        <v>67</v>
      </c>
      <c r="E5505" t="str">
        <f t="shared" si="273"/>
        <v>025</v>
      </c>
      <c r="F5505" t="s">
        <v>5603</v>
      </c>
      <c r="G5505" t="str">
        <f>"0808"</f>
        <v>0808</v>
      </c>
      <c r="H5505" t="str">
        <f>"0000"</f>
        <v>0000</v>
      </c>
      <c r="I5505" t="s">
        <v>69</v>
      </c>
      <c r="J5505">
        <v>0</v>
      </c>
      <c r="K5505">
        <v>1</v>
      </c>
      <c r="L5505">
        <v>2</v>
      </c>
      <c r="M5505">
        <v>278</v>
      </c>
      <c r="N5505">
        <v>163</v>
      </c>
      <c r="O5505">
        <v>0</v>
      </c>
      <c r="P5505">
        <v>163</v>
      </c>
      <c r="Q5505">
        <v>5</v>
      </c>
      <c r="R5505">
        <v>20</v>
      </c>
      <c r="S5505">
        <v>2</v>
      </c>
      <c r="T5505">
        <v>2</v>
      </c>
      <c r="U5505">
        <v>33</v>
      </c>
      <c r="V5505">
        <v>2</v>
      </c>
      <c r="W5505">
        <v>1</v>
      </c>
      <c r="X5505">
        <v>79</v>
      </c>
      <c r="Y5505">
        <v>0</v>
      </c>
      <c r="Z5505">
        <v>7</v>
      </c>
      <c r="AA5505">
        <v>2</v>
      </c>
      <c r="AB5505">
        <v>1</v>
      </c>
      <c r="AD5505">
        <v>0</v>
      </c>
      <c r="AE5505">
        <v>0</v>
      </c>
      <c r="AF5505">
        <v>0</v>
      </c>
      <c r="AG5505">
        <v>0</v>
      </c>
      <c r="AI5505">
        <v>0</v>
      </c>
      <c r="AJ5505">
        <v>9</v>
      </c>
      <c r="AK5505">
        <v>163</v>
      </c>
      <c r="AL5505">
        <v>163</v>
      </c>
      <c r="AM5505">
        <v>397</v>
      </c>
      <c r="AN5505">
        <v>44</v>
      </c>
      <c r="AP5505">
        <v>1</v>
      </c>
      <c r="AR5505" t="s">
        <v>5611</v>
      </c>
      <c r="AS5505" s="1">
        <v>44354.113888888889</v>
      </c>
      <c r="AT5505" s="1">
        <v>44354.118900462963</v>
      </c>
      <c r="AU5505" s="1">
        <v>44354.119780092595</v>
      </c>
      <c r="AV5505" t="s">
        <v>71</v>
      </c>
      <c r="AW5505" t="s">
        <v>72</v>
      </c>
      <c r="AX5505" t="s">
        <v>73</v>
      </c>
    </row>
    <row r="5506" spans="1:50" x14ac:dyDescent="0.3">
      <c r="A5506" t="str">
        <f>"200808C0100"</f>
        <v>200808C0100</v>
      </c>
      <c r="B5506" t="str">
        <f>"200808C01002"</f>
        <v>200808C01002</v>
      </c>
      <c r="C5506" t="str">
        <f t="shared" si="271"/>
        <v>20</v>
      </c>
      <c r="D5506" t="s">
        <v>67</v>
      </c>
      <c r="E5506" t="str">
        <f t="shared" si="273"/>
        <v>025</v>
      </c>
      <c r="F5506" t="s">
        <v>5603</v>
      </c>
      <c r="G5506" t="str">
        <f>"0808"</f>
        <v>0808</v>
      </c>
      <c r="H5506" t="str">
        <f>"0001"</f>
        <v>0001</v>
      </c>
      <c r="I5506" t="s">
        <v>75</v>
      </c>
      <c r="J5506">
        <v>0</v>
      </c>
      <c r="K5506">
        <v>1</v>
      </c>
      <c r="L5506">
        <v>2</v>
      </c>
      <c r="M5506">
        <v>284</v>
      </c>
      <c r="N5506">
        <v>157</v>
      </c>
      <c r="O5506">
        <v>0</v>
      </c>
      <c r="P5506">
        <v>157</v>
      </c>
      <c r="Q5506">
        <v>3</v>
      </c>
      <c r="R5506">
        <v>27</v>
      </c>
      <c r="S5506">
        <v>1</v>
      </c>
      <c r="T5506">
        <v>2</v>
      </c>
      <c r="U5506">
        <v>35</v>
      </c>
      <c r="V5506">
        <v>0</v>
      </c>
      <c r="W5506">
        <v>0</v>
      </c>
      <c r="X5506">
        <v>73</v>
      </c>
      <c r="Y5506">
        <v>0</v>
      </c>
      <c r="Z5506">
        <v>3</v>
      </c>
      <c r="AA5506">
        <v>3</v>
      </c>
      <c r="AB5506">
        <v>1</v>
      </c>
      <c r="AD5506">
        <v>0</v>
      </c>
      <c r="AE5506">
        <v>0</v>
      </c>
      <c r="AF5506">
        <v>0</v>
      </c>
      <c r="AG5506">
        <v>0</v>
      </c>
      <c r="AI5506">
        <v>0</v>
      </c>
      <c r="AJ5506">
        <v>9</v>
      </c>
      <c r="AK5506">
        <v>157</v>
      </c>
      <c r="AL5506">
        <v>157</v>
      </c>
      <c r="AM5506">
        <v>397</v>
      </c>
      <c r="AN5506">
        <v>44</v>
      </c>
      <c r="AP5506">
        <v>1</v>
      </c>
      <c r="AR5506" t="s">
        <v>5612</v>
      </c>
      <c r="AS5506" s="1">
        <v>44354.114583333336</v>
      </c>
      <c r="AT5506" s="1">
        <v>44354.118958333333</v>
      </c>
      <c r="AU5506" s="1">
        <v>44354.120509259257</v>
      </c>
      <c r="AV5506" t="s">
        <v>71</v>
      </c>
      <c r="AW5506" t="s">
        <v>72</v>
      </c>
      <c r="AX5506" t="s">
        <v>73</v>
      </c>
    </row>
    <row r="5507" spans="1:50" x14ac:dyDescent="0.3">
      <c r="A5507" t="str">
        <f>"201306B0000"</f>
        <v>201306B0000</v>
      </c>
      <c r="B5507" t="str">
        <f>"201306B00002"</f>
        <v>201306B00002</v>
      </c>
      <c r="C5507" t="str">
        <f t="shared" si="271"/>
        <v>20</v>
      </c>
      <c r="D5507" t="s">
        <v>67</v>
      </c>
      <c r="E5507" t="str">
        <f t="shared" si="273"/>
        <v>025</v>
      </c>
      <c r="F5507" t="s">
        <v>5603</v>
      </c>
      <c r="G5507" t="str">
        <f>"1306"</f>
        <v>1306</v>
      </c>
      <c r="H5507" t="str">
        <f>"0000"</f>
        <v>0000</v>
      </c>
      <c r="I5507" t="s">
        <v>69</v>
      </c>
      <c r="J5507">
        <v>0</v>
      </c>
      <c r="K5507">
        <v>1</v>
      </c>
      <c r="L5507">
        <v>2</v>
      </c>
      <c r="M5507">
        <v>224</v>
      </c>
      <c r="N5507">
        <v>205</v>
      </c>
      <c r="O5507">
        <v>4</v>
      </c>
      <c r="P5507">
        <v>205</v>
      </c>
      <c r="Q5507">
        <v>8</v>
      </c>
      <c r="R5507">
        <v>24</v>
      </c>
      <c r="S5507">
        <v>0</v>
      </c>
      <c r="T5507">
        <v>8</v>
      </c>
      <c r="U5507">
        <v>21</v>
      </c>
      <c r="V5507">
        <v>1</v>
      </c>
      <c r="W5507">
        <v>5</v>
      </c>
      <c r="X5507">
        <v>105</v>
      </c>
      <c r="Y5507">
        <v>2</v>
      </c>
      <c r="Z5507">
        <v>7</v>
      </c>
      <c r="AA5507">
        <v>7</v>
      </c>
      <c r="AB5507">
        <v>2</v>
      </c>
      <c r="AD5507">
        <v>4</v>
      </c>
      <c r="AE5507">
        <v>1</v>
      </c>
      <c r="AF5507">
        <v>0</v>
      </c>
      <c r="AG5507">
        <v>0</v>
      </c>
      <c r="AI5507">
        <v>0</v>
      </c>
      <c r="AJ5507">
        <v>10</v>
      </c>
      <c r="AK5507">
        <v>205</v>
      </c>
      <c r="AL5507">
        <v>205</v>
      </c>
      <c r="AM5507">
        <v>385</v>
      </c>
      <c r="AN5507">
        <v>44</v>
      </c>
      <c r="AP5507">
        <v>1</v>
      </c>
      <c r="AR5507" t="s">
        <v>5613</v>
      </c>
      <c r="AS5507" s="1">
        <v>44354.156944444447</v>
      </c>
      <c r="AT5507" s="1">
        <v>44354.161041666666</v>
      </c>
      <c r="AU5507" s="1">
        <v>44354.162222222221</v>
      </c>
      <c r="AV5507" t="s">
        <v>71</v>
      </c>
      <c r="AW5507" t="s">
        <v>72</v>
      </c>
      <c r="AX5507" t="s">
        <v>73</v>
      </c>
    </row>
    <row r="5508" spans="1:50" x14ac:dyDescent="0.3">
      <c r="A5508" t="str">
        <f>"201306C0100"</f>
        <v>201306C0100</v>
      </c>
      <c r="B5508" t="str">
        <f>"201306C01002"</f>
        <v>201306C01002</v>
      </c>
      <c r="C5508" t="str">
        <f t="shared" si="271"/>
        <v>20</v>
      </c>
      <c r="D5508" t="s">
        <v>67</v>
      </c>
      <c r="E5508" t="str">
        <f t="shared" si="273"/>
        <v>025</v>
      </c>
      <c r="F5508" t="s">
        <v>5603</v>
      </c>
      <c r="G5508" t="str">
        <f>"1306"</f>
        <v>1306</v>
      </c>
      <c r="H5508" t="str">
        <f>"0001"</f>
        <v>0001</v>
      </c>
      <c r="I5508" t="s">
        <v>75</v>
      </c>
      <c r="J5508">
        <v>0</v>
      </c>
      <c r="K5508">
        <v>1</v>
      </c>
      <c r="L5508">
        <v>2</v>
      </c>
      <c r="M5508">
        <v>229</v>
      </c>
      <c r="N5508">
        <v>200</v>
      </c>
      <c r="O5508" t="s">
        <v>99</v>
      </c>
      <c r="P5508">
        <v>200</v>
      </c>
      <c r="Q5508">
        <v>8</v>
      </c>
      <c r="R5508">
        <v>26</v>
      </c>
      <c r="S5508">
        <v>0</v>
      </c>
      <c r="T5508">
        <v>11</v>
      </c>
      <c r="U5508">
        <v>16</v>
      </c>
      <c r="V5508">
        <v>0</v>
      </c>
      <c r="W5508">
        <v>2</v>
      </c>
      <c r="X5508">
        <v>120</v>
      </c>
      <c r="Y5508">
        <v>0</v>
      </c>
      <c r="Z5508">
        <v>3</v>
      </c>
      <c r="AA5508">
        <v>6</v>
      </c>
      <c r="AB5508">
        <v>0</v>
      </c>
      <c r="AD5508">
        <v>0</v>
      </c>
      <c r="AE5508">
        <v>0</v>
      </c>
      <c r="AF5508">
        <v>0</v>
      </c>
      <c r="AG5508">
        <v>0</v>
      </c>
      <c r="AI5508">
        <v>0</v>
      </c>
      <c r="AJ5508">
        <v>8</v>
      </c>
      <c r="AK5508">
        <v>200</v>
      </c>
      <c r="AL5508">
        <v>200</v>
      </c>
      <c r="AM5508">
        <v>385</v>
      </c>
      <c r="AN5508">
        <v>44</v>
      </c>
      <c r="AP5508">
        <v>1</v>
      </c>
      <c r="AR5508" t="s">
        <v>5614</v>
      </c>
      <c r="AS5508" s="1">
        <v>44354.157638888886</v>
      </c>
      <c r="AT5508" s="1">
        <v>44354.162233796298</v>
      </c>
      <c r="AU5508" s="1">
        <v>44354.163043981483</v>
      </c>
      <c r="AV5508" t="s">
        <v>71</v>
      </c>
      <c r="AW5508" t="s">
        <v>72</v>
      </c>
      <c r="AX5508" t="s">
        <v>73</v>
      </c>
    </row>
    <row r="5509" spans="1:50" x14ac:dyDescent="0.3">
      <c r="A5509" t="str">
        <f>"201307B0000"</f>
        <v>201307B0000</v>
      </c>
      <c r="B5509" t="str">
        <f>"201307B00002"</f>
        <v>201307B00002</v>
      </c>
      <c r="C5509" t="str">
        <f t="shared" si="271"/>
        <v>20</v>
      </c>
      <c r="D5509" t="s">
        <v>67</v>
      </c>
      <c r="E5509" t="str">
        <f t="shared" si="273"/>
        <v>025</v>
      </c>
      <c r="F5509" t="s">
        <v>5603</v>
      </c>
      <c r="G5509" t="str">
        <f>"1307"</f>
        <v>1307</v>
      </c>
      <c r="H5509" t="str">
        <f>"0000"</f>
        <v>0000</v>
      </c>
      <c r="I5509" t="s">
        <v>69</v>
      </c>
      <c r="J5509">
        <v>0</v>
      </c>
      <c r="K5509">
        <v>1</v>
      </c>
      <c r="L5509">
        <v>2</v>
      </c>
      <c r="M5509">
        <v>222</v>
      </c>
      <c r="N5509">
        <v>149</v>
      </c>
      <c r="O5509">
        <v>0</v>
      </c>
      <c r="P5509">
        <v>149</v>
      </c>
      <c r="Q5509">
        <v>2</v>
      </c>
      <c r="R5509">
        <v>26</v>
      </c>
      <c r="S5509">
        <v>0</v>
      </c>
      <c r="T5509">
        <v>3</v>
      </c>
      <c r="U5509">
        <v>8</v>
      </c>
      <c r="V5509">
        <v>1</v>
      </c>
      <c r="W5509">
        <v>3</v>
      </c>
      <c r="X5509">
        <v>83</v>
      </c>
      <c r="Y5509">
        <v>0</v>
      </c>
      <c r="Z5509">
        <v>4</v>
      </c>
      <c r="AA5509">
        <v>5</v>
      </c>
      <c r="AB5509">
        <v>1</v>
      </c>
      <c r="AD5509">
        <v>0</v>
      </c>
      <c r="AE5509">
        <v>1</v>
      </c>
      <c r="AF5509">
        <v>0</v>
      </c>
      <c r="AG5509">
        <v>0</v>
      </c>
      <c r="AI5509">
        <v>0</v>
      </c>
      <c r="AJ5509">
        <v>12</v>
      </c>
      <c r="AK5509">
        <v>149</v>
      </c>
      <c r="AL5509">
        <v>149</v>
      </c>
      <c r="AM5509">
        <v>327</v>
      </c>
      <c r="AN5509">
        <v>44</v>
      </c>
      <c r="AP5509">
        <v>1</v>
      </c>
      <c r="AR5509" t="s">
        <v>5615</v>
      </c>
      <c r="AS5509" s="1">
        <v>44354.15625</v>
      </c>
      <c r="AT5509" s="1">
        <v>44354.160138888888</v>
      </c>
      <c r="AU5509" s="1">
        <v>44354.160671296297</v>
      </c>
      <c r="AV5509" t="s">
        <v>71</v>
      </c>
      <c r="AW5509" t="s">
        <v>72</v>
      </c>
      <c r="AX5509" t="s">
        <v>73</v>
      </c>
    </row>
    <row r="5510" spans="1:50" x14ac:dyDescent="0.3">
      <c r="A5510" t="str">
        <f>"201308B0000"</f>
        <v>201308B0000</v>
      </c>
      <c r="B5510" t="str">
        <f>"201308B00002"</f>
        <v>201308B00002</v>
      </c>
      <c r="C5510" t="str">
        <f t="shared" si="271"/>
        <v>20</v>
      </c>
      <c r="D5510" t="s">
        <v>67</v>
      </c>
      <c r="E5510" t="str">
        <f t="shared" si="273"/>
        <v>025</v>
      </c>
      <c r="F5510" t="s">
        <v>5603</v>
      </c>
      <c r="G5510" t="str">
        <f>"1308"</f>
        <v>1308</v>
      </c>
      <c r="H5510" t="str">
        <f>"0000"</f>
        <v>0000</v>
      </c>
      <c r="I5510" t="s">
        <v>69</v>
      </c>
      <c r="J5510">
        <v>0</v>
      </c>
      <c r="K5510">
        <v>1</v>
      </c>
      <c r="L5510">
        <v>2</v>
      </c>
      <c r="M5510">
        <v>162</v>
      </c>
      <c r="N5510">
        <v>106</v>
      </c>
      <c r="O5510">
        <v>1</v>
      </c>
      <c r="P5510">
        <v>106</v>
      </c>
      <c r="Q5510">
        <v>1</v>
      </c>
      <c r="R5510">
        <v>23</v>
      </c>
      <c r="S5510">
        <v>0</v>
      </c>
      <c r="T5510">
        <v>3</v>
      </c>
      <c r="U5510">
        <v>10</v>
      </c>
      <c r="V5510">
        <v>2</v>
      </c>
      <c r="W5510">
        <v>0</v>
      </c>
      <c r="X5510">
        <v>38</v>
      </c>
      <c r="Y5510">
        <v>18</v>
      </c>
      <c r="Z5510">
        <v>1</v>
      </c>
      <c r="AA5510">
        <v>2</v>
      </c>
      <c r="AB5510">
        <v>0</v>
      </c>
      <c r="AD5510">
        <v>0</v>
      </c>
      <c r="AE5510">
        <v>0</v>
      </c>
      <c r="AF5510">
        <v>0</v>
      </c>
      <c r="AG5510">
        <v>0</v>
      </c>
      <c r="AI5510">
        <v>0</v>
      </c>
      <c r="AJ5510">
        <v>8</v>
      </c>
      <c r="AK5510">
        <v>106</v>
      </c>
      <c r="AL5510">
        <v>106</v>
      </c>
      <c r="AM5510">
        <v>224</v>
      </c>
      <c r="AN5510">
        <v>44</v>
      </c>
      <c r="AP5510">
        <v>1</v>
      </c>
      <c r="AR5510" t="s">
        <v>5616</v>
      </c>
      <c r="AS5510" s="1">
        <v>44354.177777777775</v>
      </c>
      <c r="AT5510" s="1">
        <v>44354.180439814816</v>
      </c>
      <c r="AU5510" s="1">
        <v>44354.180856481478</v>
      </c>
      <c r="AV5510" t="s">
        <v>71</v>
      </c>
      <c r="AW5510" t="s">
        <v>72</v>
      </c>
      <c r="AX5510" t="s">
        <v>73</v>
      </c>
    </row>
    <row r="5511" spans="1:50" x14ac:dyDescent="0.3">
      <c r="A5511" t="str">
        <f>"201309B0000"</f>
        <v>201309B0000</v>
      </c>
      <c r="B5511" t="str">
        <f>"201309B00002"</f>
        <v>201309B00002</v>
      </c>
      <c r="C5511" t="str">
        <f t="shared" ref="C5511:C5574" si="274">"20"</f>
        <v>20</v>
      </c>
      <c r="D5511" t="s">
        <v>67</v>
      </c>
      <c r="E5511" t="str">
        <f t="shared" si="273"/>
        <v>025</v>
      </c>
      <c r="F5511" t="s">
        <v>5603</v>
      </c>
      <c r="G5511" t="str">
        <f>"1309"</f>
        <v>1309</v>
      </c>
      <c r="H5511" t="str">
        <f>"0000"</f>
        <v>0000</v>
      </c>
      <c r="I5511" t="s">
        <v>69</v>
      </c>
      <c r="J5511">
        <v>0</v>
      </c>
      <c r="K5511">
        <v>1</v>
      </c>
      <c r="L5511">
        <v>2</v>
      </c>
      <c r="M5511">
        <v>141</v>
      </c>
      <c r="N5511">
        <v>150</v>
      </c>
      <c r="O5511">
        <v>1</v>
      </c>
      <c r="P5511">
        <v>150</v>
      </c>
      <c r="Q5511">
        <v>6</v>
      </c>
      <c r="R5511">
        <v>29</v>
      </c>
      <c r="S5511">
        <v>1</v>
      </c>
      <c r="T5511">
        <v>6</v>
      </c>
      <c r="U5511">
        <v>10</v>
      </c>
      <c r="V5511">
        <v>2</v>
      </c>
      <c r="W5511">
        <v>6</v>
      </c>
      <c r="X5511">
        <v>62</v>
      </c>
      <c r="Y5511">
        <v>16</v>
      </c>
      <c r="Z5511">
        <v>4</v>
      </c>
      <c r="AA5511">
        <v>3</v>
      </c>
      <c r="AB5511">
        <v>0</v>
      </c>
      <c r="AD5511">
        <v>3</v>
      </c>
      <c r="AE5511">
        <v>0</v>
      </c>
      <c r="AF5511">
        <v>0</v>
      </c>
      <c r="AG5511">
        <v>0</v>
      </c>
      <c r="AI5511">
        <v>0</v>
      </c>
      <c r="AJ5511">
        <v>2</v>
      </c>
      <c r="AK5511">
        <v>150</v>
      </c>
      <c r="AL5511">
        <v>150</v>
      </c>
      <c r="AM5511">
        <v>247</v>
      </c>
      <c r="AN5511">
        <v>44</v>
      </c>
      <c r="AP5511">
        <v>1</v>
      </c>
      <c r="AR5511" t="s">
        <v>5617</v>
      </c>
      <c r="AS5511" s="1">
        <v>44354.177777777775</v>
      </c>
      <c r="AT5511" s="1">
        <v>44354.184733796297</v>
      </c>
      <c r="AU5511" s="1">
        <v>44354.185358796298</v>
      </c>
      <c r="AV5511" t="s">
        <v>71</v>
      </c>
      <c r="AW5511" t="s">
        <v>72</v>
      </c>
      <c r="AX5511" t="s">
        <v>73</v>
      </c>
    </row>
    <row r="5512" spans="1:50" x14ac:dyDescent="0.3">
      <c r="A5512" t="str">
        <f>"201463B0000"</f>
        <v>201463B0000</v>
      </c>
      <c r="B5512" t="str">
        <f>"201463B00002"</f>
        <v>201463B00002</v>
      </c>
      <c r="C5512" t="str">
        <f t="shared" si="274"/>
        <v>20</v>
      </c>
      <c r="D5512" t="s">
        <v>67</v>
      </c>
      <c r="E5512" t="str">
        <f t="shared" si="273"/>
        <v>025</v>
      </c>
      <c r="F5512" t="s">
        <v>5603</v>
      </c>
      <c r="G5512" t="str">
        <f>"1463"</f>
        <v>1463</v>
      </c>
      <c r="H5512" t="str">
        <f>"0000"</f>
        <v>0000</v>
      </c>
      <c r="I5512" t="s">
        <v>69</v>
      </c>
      <c r="J5512">
        <v>0</v>
      </c>
      <c r="K5512">
        <v>1</v>
      </c>
      <c r="L5512">
        <v>2</v>
      </c>
      <c r="M5512">
        <v>455</v>
      </c>
      <c r="N5512">
        <v>189</v>
      </c>
      <c r="O5512">
        <v>0</v>
      </c>
      <c r="P5512">
        <v>189</v>
      </c>
      <c r="Q5512">
        <v>31</v>
      </c>
      <c r="R5512">
        <v>29</v>
      </c>
      <c r="S5512">
        <v>5</v>
      </c>
      <c r="T5512">
        <v>8</v>
      </c>
      <c r="U5512">
        <v>32</v>
      </c>
      <c r="V5512">
        <v>2</v>
      </c>
      <c r="W5512">
        <v>3</v>
      </c>
      <c r="X5512">
        <v>38</v>
      </c>
      <c r="Y5512">
        <v>3</v>
      </c>
      <c r="Z5512">
        <v>3</v>
      </c>
      <c r="AA5512">
        <v>7</v>
      </c>
      <c r="AB5512">
        <v>2</v>
      </c>
      <c r="AD5512">
        <v>1</v>
      </c>
      <c r="AE5512">
        <v>4</v>
      </c>
      <c r="AF5512">
        <v>0</v>
      </c>
      <c r="AG5512">
        <v>0</v>
      </c>
      <c r="AI5512">
        <v>0</v>
      </c>
      <c r="AJ5512">
        <v>21</v>
      </c>
      <c r="AK5512">
        <v>189</v>
      </c>
      <c r="AL5512">
        <v>189</v>
      </c>
      <c r="AM5512">
        <v>600</v>
      </c>
      <c r="AN5512">
        <v>44</v>
      </c>
      <c r="AP5512">
        <v>1</v>
      </c>
      <c r="AR5512" t="s">
        <v>5618</v>
      </c>
      <c r="AS5512" s="1">
        <v>44354.185416666667</v>
      </c>
      <c r="AT5512" s="1">
        <v>44354.190671296295</v>
      </c>
      <c r="AU5512" s="1">
        <v>44354.191365740742</v>
      </c>
      <c r="AV5512" t="s">
        <v>71</v>
      </c>
      <c r="AW5512" t="s">
        <v>72</v>
      </c>
      <c r="AX5512" t="s">
        <v>73</v>
      </c>
    </row>
    <row r="5513" spans="1:50" x14ac:dyDescent="0.3">
      <c r="A5513" t="str">
        <f>"201463C0100"</f>
        <v>201463C0100</v>
      </c>
      <c r="B5513" t="str">
        <f>"201463C01002"</f>
        <v>201463C01002</v>
      </c>
      <c r="C5513" t="str">
        <f t="shared" si="274"/>
        <v>20</v>
      </c>
      <c r="D5513" t="s">
        <v>67</v>
      </c>
      <c r="E5513" t="str">
        <f t="shared" si="273"/>
        <v>025</v>
      </c>
      <c r="F5513" t="s">
        <v>5603</v>
      </c>
      <c r="G5513" t="str">
        <f>"1463"</f>
        <v>1463</v>
      </c>
      <c r="H5513" t="str">
        <f>"0001"</f>
        <v>0001</v>
      </c>
      <c r="I5513" t="s">
        <v>75</v>
      </c>
      <c r="J5513">
        <v>0</v>
      </c>
      <c r="K5513">
        <v>1</v>
      </c>
      <c r="L5513">
        <v>2</v>
      </c>
      <c r="M5513">
        <v>451</v>
      </c>
      <c r="N5513">
        <v>192</v>
      </c>
      <c r="O5513">
        <v>0</v>
      </c>
      <c r="P5513">
        <v>192</v>
      </c>
      <c r="Q5513">
        <v>28</v>
      </c>
      <c r="R5513">
        <v>47</v>
      </c>
      <c r="S5513">
        <v>4</v>
      </c>
      <c r="T5513">
        <v>4</v>
      </c>
      <c r="U5513">
        <v>22</v>
      </c>
      <c r="V5513">
        <v>6</v>
      </c>
      <c r="W5513">
        <v>2</v>
      </c>
      <c r="X5513">
        <v>48</v>
      </c>
      <c r="Y5513">
        <v>8</v>
      </c>
      <c r="Z5513">
        <v>6</v>
      </c>
      <c r="AA5513">
        <v>3</v>
      </c>
      <c r="AB5513">
        <v>1</v>
      </c>
      <c r="AD5513">
        <v>0</v>
      </c>
      <c r="AE5513">
        <v>0</v>
      </c>
      <c r="AF5513">
        <v>0</v>
      </c>
      <c r="AG5513">
        <v>0</v>
      </c>
      <c r="AI5513">
        <v>0</v>
      </c>
      <c r="AJ5513">
        <v>13</v>
      </c>
      <c r="AK5513">
        <v>192</v>
      </c>
      <c r="AL5513">
        <v>192</v>
      </c>
      <c r="AM5513">
        <v>599</v>
      </c>
      <c r="AN5513">
        <v>44</v>
      </c>
      <c r="AP5513">
        <v>1</v>
      </c>
      <c r="AR5513" t="s">
        <v>5619</v>
      </c>
      <c r="AS5513" s="1">
        <v>44354.192361111112</v>
      </c>
      <c r="AT5513" s="1">
        <v>44354.198981481481</v>
      </c>
      <c r="AU5513" s="1">
        <v>44354.206435185188</v>
      </c>
      <c r="AV5513" t="s">
        <v>71</v>
      </c>
      <c r="AW5513" t="s">
        <v>72</v>
      </c>
      <c r="AX5513" t="s">
        <v>73</v>
      </c>
    </row>
    <row r="5514" spans="1:50" x14ac:dyDescent="0.3">
      <c r="A5514" t="str">
        <f>"201463E0100"</f>
        <v>201463E0100</v>
      </c>
      <c r="B5514" t="str">
        <f>"201463E01002"</f>
        <v>201463E01002</v>
      </c>
      <c r="C5514" t="str">
        <f t="shared" si="274"/>
        <v>20</v>
      </c>
      <c r="D5514" t="s">
        <v>67</v>
      </c>
      <c r="E5514" t="str">
        <f t="shared" si="273"/>
        <v>025</v>
      </c>
      <c r="F5514" t="s">
        <v>5603</v>
      </c>
      <c r="G5514" t="str">
        <f>"1463"</f>
        <v>1463</v>
      </c>
      <c r="H5514" t="str">
        <f>"0001"</f>
        <v>0001</v>
      </c>
      <c r="I5514" t="s">
        <v>109</v>
      </c>
      <c r="J5514">
        <v>0</v>
      </c>
      <c r="K5514">
        <v>1</v>
      </c>
      <c r="L5514">
        <v>2</v>
      </c>
      <c r="M5514">
        <v>242</v>
      </c>
      <c r="N5514">
        <v>123</v>
      </c>
      <c r="O5514">
        <v>9</v>
      </c>
      <c r="P5514">
        <v>123</v>
      </c>
      <c r="Q5514">
        <v>6</v>
      </c>
      <c r="R5514">
        <v>24</v>
      </c>
      <c r="S5514">
        <v>5</v>
      </c>
      <c r="T5514">
        <v>5</v>
      </c>
      <c r="U5514">
        <v>6</v>
      </c>
      <c r="V5514">
        <v>2</v>
      </c>
      <c r="W5514">
        <v>3</v>
      </c>
      <c r="X5514">
        <v>28</v>
      </c>
      <c r="Y5514">
        <v>23</v>
      </c>
      <c r="Z5514">
        <v>1</v>
      </c>
      <c r="AA5514">
        <v>9</v>
      </c>
      <c r="AB5514">
        <v>2</v>
      </c>
      <c r="AD5514">
        <v>0</v>
      </c>
      <c r="AE5514">
        <v>0</v>
      </c>
      <c r="AF5514">
        <v>0</v>
      </c>
      <c r="AG5514">
        <v>0</v>
      </c>
      <c r="AI5514">
        <v>0</v>
      </c>
      <c r="AJ5514">
        <v>9</v>
      </c>
      <c r="AK5514">
        <v>123</v>
      </c>
      <c r="AL5514">
        <v>123</v>
      </c>
      <c r="AM5514">
        <v>321</v>
      </c>
      <c r="AN5514">
        <v>44</v>
      </c>
      <c r="AP5514">
        <v>1</v>
      </c>
      <c r="AR5514" t="s">
        <v>5620</v>
      </c>
      <c r="AS5514" s="1">
        <v>44354.185416666667</v>
      </c>
      <c r="AT5514" s="1">
        <v>44354.188472222224</v>
      </c>
      <c r="AU5514" s="1">
        <v>44354.188703703701</v>
      </c>
      <c r="AV5514" t="s">
        <v>71</v>
      </c>
      <c r="AW5514" t="s">
        <v>72</v>
      </c>
      <c r="AX5514" t="s">
        <v>73</v>
      </c>
    </row>
    <row r="5515" spans="1:50" x14ac:dyDescent="0.3">
      <c r="A5515" t="str">
        <f>"201463E0200"</f>
        <v>201463E0200</v>
      </c>
      <c r="B5515" t="str">
        <f>"201463E02002"</f>
        <v>201463E02002</v>
      </c>
      <c r="C5515" t="str">
        <f t="shared" si="274"/>
        <v>20</v>
      </c>
      <c r="D5515" t="s">
        <v>67</v>
      </c>
      <c r="E5515" t="str">
        <f t="shared" si="273"/>
        <v>025</v>
      </c>
      <c r="F5515" t="s">
        <v>5603</v>
      </c>
      <c r="G5515" t="str">
        <f>"1463"</f>
        <v>1463</v>
      </c>
      <c r="H5515" t="str">
        <f>"0002"</f>
        <v>0002</v>
      </c>
      <c r="I5515" t="s">
        <v>109</v>
      </c>
      <c r="J5515">
        <v>0</v>
      </c>
      <c r="K5515">
        <v>1</v>
      </c>
      <c r="L5515">
        <v>2</v>
      </c>
      <c r="M5515">
        <v>216</v>
      </c>
      <c r="N5515">
        <v>162</v>
      </c>
      <c r="O5515">
        <v>0</v>
      </c>
      <c r="P5515">
        <v>162</v>
      </c>
      <c r="Q5515">
        <v>30</v>
      </c>
      <c r="R5515">
        <v>53</v>
      </c>
      <c r="S5515">
        <v>3</v>
      </c>
      <c r="T5515">
        <v>14</v>
      </c>
      <c r="U5515">
        <v>3</v>
      </c>
      <c r="V5515">
        <v>0</v>
      </c>
      <c r="W5515">
        <v>2</v>
      </c>
      <c r="X5515">
        <v>43</v>
      </c>
      <c r="Y5515">
        <v>3</v>
      </c>
      <c r="Z5515">
        <v>2</v>
      </c>
      <c r="AA5515">
        <v>1</v>
      </c>
      <c r="AB5515">
        <v>0</v>
      </c>
      <c r="AD5515">
        <v>0</v>
      </c>
      <c r="AE5515">
        <v>1</v>
      </c>
      <c r="AF5515">
        <v>0</v>
      </c>
      <c r="AG5515">
        <v>0</v>
      </c>
      <c r="AI5515">
        <v>0</v>
      </c>
      <c r="AJ5515">
        <v>7</v>
      </c>
      <c r="AK5515">
        <v>162</v>
      </c>
      <c r="AL5515">
        <v>162</v>
      </c>
      <c r="AM5515">
        <v>334</v>
      </c>
      <c r="AN5515">
        <v>44</v>
      </c>
      <c r="AP5515">
        <v>1</v>
      </c>
      <c r="AR5515" t="s">
        <v>5621</v>
      </c>
      <c r="AS5515" s="1">
        <v>44354.195138888892</v>
      </c>
      <c r="AT5515" s="1">
        <v>44354.197962962964</v>
      </c>
      <c r="AU5515" s="1">
        <v>44354.198599537034</v>
      </c>
      <c r="AV5515" t="s">
        <v>71</v>
      </c>
      <c r="AW5515" t="s">
        <v>72</v>
      </c>
      <c r="AX5515" t="s">
        <v>73</v>
      </c>
    </row>
    <row r="5516" spans="1:50" x14ac:dyDescent="0.3">
      <c r="A5516" t="str">
        <f>"201464B0000"</f>
        <v>201464B0000</v>
      </c>
      <c r="B5516" t="str">
        <f>"201464B00002"</f>
        <v>201464B00002</v>
      </c>
      <c r="C5516" t="str">
        <f t="shared" si="274"/>
        <v>20</v>
      </c>
      <c r="D5516" t="s">
        <v>67</v>
      </c>
      <c r="E5516" t="str">
        <f t="shared" si="273"/>
        <v>025</v>
      </c>
      <c r="F5516" t="s">
        <v>5603</v>
      </c>
      <c r="G5516" t="str">
        <f>"1464"</f>
        <v>1464</v>
      </c>
      <c r="H5516" t="str">
        <f>"0000"</f>
        <v>0000</v>
      </c>
      <c r="I5516" t="s">
        <v>69</v>
      </c>
      <c r="J5516">
        <v>0</v>
      </c>
      <c r="K5516">
        <v>1</v>
      </c>
      <c r="L5516">
        <v>2</v>
      </c>
      <c r="M5516">
        <v>391</v>
      </c>
      <c r="N5516">
        <v>233</v>
      </c>
      <c r="O5516">
        <v>0</v>
      </c>
      <c r="P5516">
        <v>233</v>
      </c>
      <c r="Q5516">
        <v>53</v>
      </c>
      <c r="R5516">
        <v>71</v>
      </c>
      <c r="S5516">
        <v>4</v>
      </c>
      <c r="T5516">
        <v>8</v>
      </c>
      <c r="U5516">
        <v>12</v>
      </c>
      <c r="V5516">
        <v>1</v>
      </c>
      <c r="W5516">
        <v>7</v>
      </c>
      <c r="X5516">
        <v>23</v>
      </c>
      <c r="Y5516">
        <v>14</v>
      </c>
      <c r="Z5516">
        <v>5</v>
      </c>
      <c r="AA5516">
        <v>6</v>
      </c>
      <c r="AB5516">
        <v>2</v>
      </c>
      <c r="AD5516">
        <v>6</v>
      </c>
      <c r="AE5516">
        <v>2</v>
      </c>
      <c r="AF5516">
        <v>0</v>
      </c>
      <c r="AG5516">
        <v>0</v>
      </c>
      <c r="AI5516">
        <v>0</v>
      </c>
      <c r="AJ5516">
        <v>19</v>
      </c>
      <c r="AK5516">
        <v>233</v>
      </c>
      <c r="AL5516">
        <v>233</v>
      </c>
      <c r="AM5516">
        <v>580</v>
      </c>
      <c r="AN5516">
        <v>44</v>
      </c>
      <c r="AP5516">
        <v>1</v>
      </c>
      <c r="AR5516" t="s">
        <v>5622</v>
      </c>
      <c r="AS5516" s="1">
        <v>44354.186111111114</v>
      </c>
      <c r="AT5516" s="1">
        <v>44354.189097222225</v>
      </c>
      <c r="AU5516" s="1">
        <v>44354.189560185187</v>
      </c>
      <c r="AV5516" t="s">
        <v>71</v>
      </c>
      <c r="AW5516" t="s">
        <v>72</v>
      </c>
      <c r="AX5516" t="s">
        <v>73</v>
      </c>
    </row>
    <row r="5517" spans="1:50" x14ac:dyDescent="0.3">
      <c r="A5517" t="str">
        <f>"201464E0100"</f>
        <v>201464E0100</v>
      </c>
      <c r="B5517" t="str">
        <f>"201464E01002"</f>
        <v>201464E01002</v>
      </c>
      <c r="C5517" t="str">
        <f t="shared" si="274"/>
        <v>20</v>
      </c>
      <c r="D5517" t="s">
        <v>67</v>
      </c>
      <c r="E5517" t="str">
        <f t="shared" si="273"/>
        <v>025</v>
      </c>
      <c r="F5517" t="s">
        <v>5603</v>
      </c>
      <c r="G5517" t="str">
        <f>"1464"</f>
        <v>1464</v>
      </c>
      <c r="H5517" t="str">
        <f>"0001"</f>
        <v>0001</v>
      </c>
      <c r="I5517" t="s">
        <v>109</v>
      </c>
      <c r="J5517">
        <v>0</v>
      </c>
      <c r="K5517">
        <v>1</v>
      </c>
      <c r="L5517">
        <v>2</v>
      </c>
      <c r="M5517">
        <v>204</v>
      </c>
      <c r="N5517">
        <v>113</v>
      </c>
      <c r="O5517">
        <v>2</v>
      </c>
      <c r="P5517">
        <v>113</v>
      </c>
      <c r="Q5517">
        <v>11</v>
      </c>
      <c r="R5517">
        <v>22</v>
      </c>
      <c r="S5517">
        <v>5</v>
      </c>
      <c r="T5517">
        <v>1</v>
      </c>
      <c r="U5517">
        <v>8</v>
      </c>
      <c r="V5517">
        <v>1</v>
      </c>
      <c r="W5517">
        <v>1</v>
      </c>
      <c r="X5517">
        <v>47</v>
      </c>
      <c r="Y5517">
        <v>5</v>
      </c>
      <c r="Z5517">
        <v>1</v>
      </c>
      <c r="AA5517">
        <v>3</v>
      </c>
      <c r="AB5517">
        <v>0</v>
      </c>
      <c r="AD5517">
        <v>0</v>
      </c>
      <c r="AE5517">
        <v>0</v>
      </c>
      <c r="AF5517">
        <v>0</v>
      </c>
      <c r="AG5517">
        <v>0</v>
      </c>
      <c r="AI5517">
        <v>0</v>
      </c>
      <c r="AJ5517">
        <v>8</v>
      </c>
      <c r="AK5517">
        <v>113</v>
      </c>
      <c r="AL5517">
        <v>113</v>
      </c>
      <c r="AM5517">
        <v>273</v>
      </c>
      <c r="AN5517">
        <v>44</v>
      </c>
      <c r="AP5517">
        <v>1</v>
      </c>
      <c r="AR5517" t="s">
        <v>5623</v>
      </c>
      <c r="AS5517" s="1">
        <v>44354.195833333331</v>
      </c>
      <c r="AT5517" s="1">
        <v>44354.198599537034</v>
      </c>
      <c r="AU5517" s="1">
        <v>44354.199236111112</v>
      </c>
      <c r="AV5517" t="s">
        <v>71</v>
      </c>
      <c r="AW5517" t="s">
        <v>72</v>
      </c>
      <c r="AX5517" t="s">
        <v>73</v>
      </c>
    </row>
    <row r="5518" spans="1:50" x14ac:dyDescent="0.3">
      <c r="A5518" t="str">
        <f>"201516B0000"</f>
        <v>201516B0000</v>
      </c>
      <c r="B5518" t="str">
        <f>"201516B00002"</f>
        <v>201516B00002</v>
      </c>
      <c r="C5518" t="str">
        <f t="shared" si="274"/>
        <v>20</v>
      </c>
      <c r="D5518" t="s">
        <v>67</v>
      </c>
      <c r="E5518" t="str">
        <f t="shared" si="273"/>
        <v>025</v>
      </c>
      <c r="F5518" t="s">
        <v>5603</v>
      </c>
      <c r="G5518" t="str">
        <f>"1516"</f>
        <v>1516</v>
      </c>
      <c r="H5518" t="str">
        <f>"0000"</f>
        <v>0000</v>
      </c>
      <c r="I5518" t="s">
        <v>69</v>
      </c>
      <c r="J5518">
        <v>0</v>
      </c>
      <c r="K5518">
        <v>1</v>
      </c>
      <c r="L5518">
        <v>2</v>
      </c>
      <c r="M5518">
        <v>269</v>
      </c>
      <c r="N5518">
        <v>350</v>
      </c>
      <c r="O5518">
        <v>7</v>
      </c>
      <c r="P5518">
        <v>350</v>
      </c>
      <c r="Q5518">
        <v>7</v>
      </c>
      <c r="R5518">
        <v>12</v>
      </c>
      <c r="S5518">
        <v>12</v>
      </c>
      <c r="T5518">
        <v>40</v>
      </c>
      <c r="U5518">
        <v>31</v>
      </c>
      <c r="V5518">
        <v>10</v>
      </c>
      <c r="W5518">
        <v>16</v>
      </c>
      <c r="X5518">
        <v>112</v>
      </c>
      <c r="Y5518">
        <v>46</v>
      </c>
      <c r="Z5518">
        <v>22</v>
      </c>
      <c r="AA5518">
        <v>3</v>
      </c>
      <c r="AB5518">
        <v>22</v>
      </c>
      <c r="AD5518">
        <v>3</v>
      </c>
      <c r="AE5518">
        <v>0</v>
      </c>
      <c r="AF5518">
        <v>0</v>
      </c>
      <c r="AG5518">
        <v>2</v>
      </c>
      <c r="AI5518">
        <v>0</v>
      </c>
      <c r="AJ5518">
        <v>12</v>
      </c>
      <c r="AK5518">
        <v>350</v>
      </c>
      <c r="AL5518">
        <v>350</v>
      </c>
      <c r="AM5518">
        <v>575</v>
      </c>
      <c r="AN5518">
        <v>44</v>
      </c>
      <c r="AP5518">
        <v>1</v>
      </c>
      <c r="AR5518" t="s">
        <v>5624</v>
      </c>
      <c r="AS5518" s="1">
        <v>44354.179166666669</v>
      </c>
      <c r="AT5518" s="1">
        <v>44354.182268518518</v>
      </c>
      <c r="AU5518" s="1">
        <v>44354.183032407411</v>
      </c>
      <c r="AV5518" t="s">
        <v>71</v>
      </c>
      <c r="AW5518" t="s">
        <v>72</v>
      </c>
      <c r="AX5518" t="s">
        <v>73</v>
      </c>
    </row>
    <row r="5519" spans="1:50" x14ac:dyDescent="0.3">
      <c r="A5519" t="str">
        <f>"201516C0100"</f>
        <v>201516C0100</v>
      </c>
      <c r="B5519" t="str">
        <f>"201516C01002"</f>
        <v>201516C01002</v>
      </c>
      <c r="C5519" t="str">
        <f t="shared" si="274"/>
        <v>20</v>
      </c>
      <c r="D5519" t="s">
        <v>67</v>
      </c>
      <c r="E5519" t="str">
        <f t="shared" si="273"/>
        <v>025</v>
      </c>
      <c r="F5519" t="s">
        <v>5603</v>
      </c>
      <c r="G5519" t="str">
        <f>"1516"</f>
        <v>1516</v>
      </c>
      <c r="H5519" t="str">
        <f>"0001"</f>
        <v>0001</v>
      </c>
      <c r="I5519" t="s">
        <v>75</v>
      </c>
      <c r="J5519">
        <v>0</v>
      </c>
      <c r="K5519">
        <v>1</v>
      </c>
      <c r="L5519">
        <v>2</v>
      </c>
      <c r="M5519">
        <v>304</v>
      </c>
      <c r="N5519">
        <v>325</v>
      </c>
      <c r="O5519">
        <v>10</v>
      </c>
      <c r="P5519">
        <v>314</v>
      </c>
      <c r="Q5519">
        <v>7</v>
      </c>
      <c r="R5519">
        <v>24</v>
      </c>
      <c r="S5519">
        <v>18</v>
      </c>
      <c r="T5519">
        <v>46</v>
      </c>
      <c r="U5519">
        <v>28</v>
      </c>
      <c r="V5519">
        <v>11</v>
      </c>
      <c r="W5519">
        <v>11</v>
      </c>
      <c r="X5519">
        <v>80</v>
      </c>
      <c r="Y5519">
        <v>41</v>
      </c>
      <c r="Z5519">
        <v>10</v>
      </c>
      <c r="AA5519">
        <v>2</v>
      </c>
      <c r="AB5519">
        <v>28</v>
      </c>
      <c r="AD5519">
        <v>0</v>
      </c>
      <c r="AE5519">
        <v>0</v>
      </c>
      <c r="AF5519">
        <v>0</v>
      </c>
      <c r="AG5519">
        <v>0</v>
      </c>
      <c r="AI5519">
        <v>1</v>
      </c>
      <c r="AJ5519">
        <v>7</v>
      </c>
      <c r="AK5519">
        <v>314</v>
      </c>
      <c r="AL5519">
        <v>314</v>
      </c>
      <c r="AM5519">
        <v>574</v>
      </c>
      <c r="AN5519">
        <v>44</v>
      </c>
      <c r="AP5519">
        <v>1</v>
      </c>
      <c r="AR5519" t="s">
        <v>5625</v>
      </c>
      <c r="AS5519" s="1">
        <v>44354.178472222222</v>
      </c>
      <c r="AT5519" s="1">
        <v>44354.184224537035</v>
      </c>
      <c r="AU5519" s="1">
        <v>44354.184907407405</v>
      </c>
      <c r="AV5519" t="s">
        <v>71</v>
      </c>
      <c r="AW5519" t="s">
        <v>72</v>
      </c>
      <c r="AX5519" t="s">
        <v>73</v>
      </c>
    </row>
    <row r="5520" spans="1:50" x14ac:dyDescent="0.3">
      <c r="A5520" t="str">
        <f>"201516C0200"</f>
        <v>201516C0200</v>
      </c>
      <c r="B5520" t="str">
        <f>"201516C02002"</f>
        <v>201516C02002</v>
      </c>
      <c r="C5520" t="str">
        <f t="shared" si="274"/>
        <v>20</v>
      </c>
      <c r="D5520" t="s">
        <v>67</v>
      </c>
      <c r="E5520" t="str">
        <f t="shared" si="273"/>
        <v>025</v>
      </c>
      <c r="F5520" t="s">
        <v>5603</v>
      </c>
      <c r="G5520" t="str">
        <f>"1516"</f>
        <v>1516</v>
      </c>
      <c r="H5520" t="str">
        <f>"0002"</f>
        <v>0002</v>
      </c>
      <c r="I5520" t="s">
        <v>75</v>
      </c>
      <c r="J5520">
        <v>0</v>
      </c>
      <c r="K5520">
        <v>1</v>
      </c>
      <c r="L5520">
        <v>2</v>
      </c>
      <c r="M5520">
        <v>289</v>
      </c>
      <c r="N5520">
        <v>330</v>
      </c>
      <c r="O5520">
        <v>9</v>
      </c>
      <c r="P5520">
        <v>329</v>
      </c>
      <c r="Q5520">
        <v>7</v>
      </c>
      <c r="R5520">
        <v>22</v>
      </c>
      <c r="S5520">
        <v>20</v>
      </c>
      <c r="T5520">
        <v>45</v>
      </c>
      <c r="U5520">
        <v>29</v>
      </c>
      <c r="V5520">
        <v>15</v>
      </c>
      <c r="W5520">
        <v>8</v>
      </c>
      <c r="X5520">
        <v>88</v>
      </c>
      <c r="Y5520">
        <v>43</v>
      </c>
      <c r="Z5520">
        <v>21</v>
      </c>
      <c r="AA5520">
        <v>0</v>
      </c>
      <c r="AB5520">
        <v>15</v>
      </c>
      <c r="AD5520">
        <v>0</v>
      </c>
      <c r="AE5520">
        <v>0</v>
      </c>
      <c r="AF5520">
        <v>2</v>
      </c>
      <c r="AG5520">
        <v>0</v>
      </c>
      <c r="AI5520">
        <v>0</v>
      </c>
      <c r="AJ5520">
        <v>14</v>
      </c>
      <c r="AK5520">
        <v>329</v>
      </c>
      <c r="AL5520">
        <v>329</v>
      </c>
      <c r="AM5520">
        <v>574</v>
      </c>
      <c r="AN5520">
        <v>44</v>
      </c>
      <c r="AP5520">
        <v>1</v>
      </c>
      <c r="AR5520" t="s">
        <v>5626</v>
      </c>
      <c r="AS5520" s="1">
        <v>44354.179166666669</v>
      </c>
      <c r="AT5520" s="1">
        <v>44354.183483796296</v>
      </c>
      <c r="AU5520" s="1">
        <v>44354.186331018522</v>
      </c>
      <c r="AV5520" t="s">
        <v>71</v>
      </c>
      <c r="AW5520" t="s">
        <v>72</v>
      </c>
      <c r="AX5520" t="s">
        <v>73</v>
      </c>
    </row>
    <row r="5521" spans="1:50" x14ac:dyDescent="0.3">
      <c r="A5521" t="str">
        <f>"201516C0300"</f>
        <v>201516C0300</v>
      </c>
      <c r="B5521" t="str">
        <f>"201516C03002"</f>
        <v>201516C03002</v>
      </c>
      <c r="C5521" t="str">
        <f t="shared" si="274"/>
        <v>20</v>
      </c>
      <c r="D5521" t="s">
        <v>67</v>
      </c>
      <c r="E5521" t="str">
        <f t="shared" si="273"/>
        <v>025</v>
      </c>
      <c r="F5521" t="s">
        <v>5603</v>
      </c>
      <c r="G5521" t="str">
        <f>"1516"</f>
        <v>1516</v>
      </c>
      <c r="H5521" t="str">
        <f>"0003"</f>
        <v>0003</v>
      </c>
      <c r="I5521" t="s">
        <v>75</v>
      </c>
      <c r="J5521">
        <v>0</v>
      </c>
      <c r="K5521">
        <v>1</v>
      </c>
      <c r="L5521">
        <v>2</v>
      </c>
      <c r="M5521">
        <v>276</v>
      </c>
      <c r="N5521">
        <v>342</v>
      </c>
      <c r="O5521">
        <v>4</v>
      </c>
      <c r="P5521">
        <v>342</v>
      </c>
      <c r="Q5521">
        <v>7</v>
      </c>
      <c r="R5521">
        <v>24</v>
      </c>
      <c r="S5521">
        <v>13</v>
      </c>
      <c r="T5521">
        <v>54</v>
      </c>
      <c r="U5521">
        <v>35</v>
      </c>
      <c r="V5521">
        <v>21</v>
      </c>
      <c r="W5521">
        <v>18</v>
      </c>
      <c r="X5521">
        <v>86</v>
      </c>
      <c r="Y5521">
        <v>39</v>
      </c>
      <c r="Z5521">
        <v>25</v>
      </c>
      <c r="AA5521">
        <v>1</v>
      </c>
      <c r="AB5521">
        <v>9</v>
      </c>
      <c r="AD5521">
        <v>0</v>
      </c>
      <c r="AE5521">
        <v>0</v>
      </c>
      <c r="AF5521">
        <v>0</v>
      </c>
      <c r="AG5521">
        <v>0</v>
      </c>
      <c r="AI5521">
        <v>1</v>
      </c>
      <c r="AJ5521">
        <v>9</v>
      </c>
      <c r="AK5521">
        <v>342</v>
      </c>
      <c r="AL5521">
        <v>342</v>
      </c>
      <c r="AM5521">
        <v>574</v>
      </c>
      <c r="AN5521">
        <v>44</v>
      </c>
      <c r="AP5521">
        <v>1</v>
      </c>
      <c r="AR5521" t="s">
        <v>5627</v>
      </c>
      <c r="AS5521" s="1">
        <v>44354.178472222222</v>
      </c>
      <c r="AT5521" s="1">
        <v>44354.181238425925</v>
      </c>
      <c r="AU5521" s="1">
        <v>44354.181666666664</v>
      </c>
      <c r="AV5521" t="s">
        <v>71</v>
      </c>
      <c r="AW5521" t="s">
        <v>72</v>
      </c>
      <c r="AX5521" t="s">
        <v>73</v>
      </c>
    </row>
    <row r="5522" spans="1:50" x14ac:dyDescent="0.3">
      <c r="A5522" t="str">
        <f>"201517B0000"</f>
        <v>201517B0000</v>
      </c>
      <c r="B5522" t="str">
        <f>"201517B00002"</f>
        <v>201517B00002</v>
      </c>
      <c r="C5522" t="str">
        <f t="shared" si="274"/>
        <v>20</v>
      </c>
      <c r="D5522" t="s">
        <v>67</v>
      </c>
      <c r="E5522" t="str">
        <f t="shared" si="273"/>
        <v>025</v>
      </c>
      <c r="F5522" t="s">
        <v>5603</v>
      </c>
      <c r="G5522" t="str">
        <f>"1517"</f>
        <v>1517</v>
      </c>
      <c r="H5522" t="str">
        <f>"0000"</f>
        <v>0000</v>
      </c>
      <c r="I5522" t="s">
        <v>69</v>
      </c>
      <c r="J5522">
        <v>0</v>
      </c>
      <c r="K5522">
        <v>1</v>
      </c>
      <c r="L5522">
        <v>2</v>
      </c>
      <c r="M5522">
        <v>370</v>
      </c>
      <c r="N5522">
        <v>385</v>
      </c>
      <c r="O5522">
        <v>10</v>
      </c>
      <c r="P5522">
        <v>385</v>
      </c>
      <c r="Q5522">
        <v>8</v>
      </c>
      <c r="R5522">
        <v>14</v>
      </c>
      <c r="S5522">
        <v>35</v>
      </c>
      <c r="T5522">
        <v>54</v>
      </c>
      <c r="U5522">
        <v>44</v>
      </c>
      <c r="V5522">
        <v>10</v>
      </c>
      <c r="W5522">
        <v>11</v>
      </c>
      <c r="X5522">
        <v>113</v>
      </c>
      <c r="Y5522">
        <v>66</v>
      </c>
      <c r="Z5522">
        <v>12</v>
      </c>
      <c r="AA5522">
        <v>0</v>
      </c>
      <c r="AB5522">
        <v>6</v>
      </c>
      <c r="AD5522">
        <v>1</v>
      </c>
      <c r="AE5522">
        <v>1</v>
      </c>
      <c r="AF5522">
        <v>1</v>
      </c>
      <c r="AG5522">
        <v>1</v>
      </c>
      <c r="AI5522">
        <v>0</v>
      </c>
      <c r="AJ5522">
        <v>8</v>
      </c>
      <c r="AK5522">
        <v>385</v>
      </c>
      <c r="AL5522">
        <v>385</v>
      </c>
      <c r="AM5522">
        <v>711</v>
      </c>
      <c r="AN5522">
        <v>44</v>
      </c>
      <c r="AP5522">
        <v>1</v>
      </c>
      <c r="AR5522" t="s">
        <v>5628</v>
      </c>
      <c r="AS5522" s="1">
        <v>44353.995138888888</v>
      </c>
      <c r="AT5522" s="1">
        <v>44354.000601851854</v>
      </c>
      <c r="AU5522" s="1">
        <v>44354.001226851855</v>
      </c>
      <c r="AV5522" t="s">
        <v>71</v>
      </c>
      <c r="AW5522" t="s">
        <v>72</v>
      </c>
      <c r="AX5522" t="s">
        <v>73</v>
      </c>
    </row>
    <row r="5523" spans="1:50" x14ac:dyDescent="0.3">
      <c r="A5523" t="str">
        <f>"201517C0100"</f>
        <v>201517C0100</v>
      </c>
      <c r="B5523" t="str">
        <f>"201517C01002"</f>
        <v>201517C01002</v>
      </c>
      <c r="C5523" t="str">
        <f t="shared" si="274"/>
        <v>20</v>
      </c>
      <c r="D5523" t="s">
        <v>67</v>
      </c>
      <c r="E5523" t="str">
        <f t="shared" si="273"/>
        <v>025</v>
      </c>
      <c r="F5523" t="s">
        <v>5603</v>
      </c>
      <c r="G5523" t="str">
        <f>"1517"</f>
        <v>1517</v>
      </c>
      <c r="H5523" t="str">
        <f>"0001"</f>
        <v>0001</v>
      </c>
      <c r="I5523" t="s">
        <v>75</v>
      </c>
      <c r="J5523">
        <v>0</v>
      </c>
      <c r="K5523">
        <v>1</v>
      </c>
      <c r="L5523">
        <v>2</v>
      </c>
      <c r="M5523">
        <v>367</v>
      </c>
      <c r="N5523">
        <v>387</v>
      </c>
      <c r="O5523">
        <v>7</v>
      </c>
      <c r="P5523">
        <v>387</v>
      </c>
      <c r="Q5523">
        <v>11</v>
      </c>
      <c r="R5523">
        <v>25</v>
      </c>
      <c r="S5523">
        <v>40</v>
      </c>
      <c r="T5523">
        <v>44</v>
      </c>
      <c r="U5523">
        <v>36</v>
      </c>
      <c r="V5523">
        <v>11</v>
      </c>
      <c r="W5523">
        <v>10</v>
      </c>
      <c r="X5523">
        <v>109</v>
      </c>
      <c r="Y5523">
        <v>78</v>
      </c>
      <c r="Z5523">
        <v>12</v>
      </c>
      <c r="AA5523">
        <v>3</v>
      </c>
      <c r="AB5523">
        <v>5</v>
      </c>
      <c r="AD5523">
        <v>2</v>
      </c>
      <c r="AE5523">
        <v>0</v>
      </c>
      <c r="AF5523">
        <v>0</v>
      </c>
      <c r="AG5523">
        <v>0</v>
      </c>
      <c r="AI5523">
        <v>0</v>
      </c>
      <c r="AJ5523">
        <v>11</v>
      </c>
      <c r="AK5523">
        <v>387</v>
      </c>
      <c r="AL5523">
        <v>397</v>
      </c>
      <c r="AM5523">
        <v>710</v>
      </c>
      <c r="AN5523">
        <v>44</v>
      </c>
      <c r="AP5523">
        <v>1</v>
      </c>
      <c r="AR5523" t="s">
        <v>5629</v>
      </c>
      <c r="AS5523" s="1">
        <v>44353.995833333334</v>
      </c>
      <c r="AT5523" s="1">
        <v>44354.002928240741</v>
      </c>
      <c r="AU5523" s="1">
        <v>44354.003923611112</v>
      </c>
      <c r="AV5523" t="s">
        <v>71</v>
      </c>
      <c r="AW5523" t="s">
        <v>72</v>
      </c>
      <c r="AX5523" t="s">
        <v>73</v>
      </c>
    </row>
    <row r="5524" spans="1:50" x14ac:dyDescent="0.3">
      <c r="A5524" t="str">
        <f>"201518B0000"</f>
        <v>201518B0000</v>
      </c>
      <c r="B5524" t="str">
        <f>"201518B00002"</f>
        <v>201518B00002</v>
      </c>
      <c r="C5524" t="str">
        <f t="shared" si="274"/>
        <v>20</v>
      </c>
      <c r="D5524" t="s">
        <v>67</v>
      </c>
      <c r="E5524" t="str">
        <f t="shared" si="273"/>
        <v>025</v>
      </c>
      <c r="F5524" t="s">
        <v>5603</v>
      </c>
      <c r="G5524" t="str">
        <f t="shared" ref="G5524:G5529" si="275">"1518"</f>
        <v>1518</v>
      </c>
      <c r="H5524" t="str">
        <f>"0000"</f>
        <v>0000</v>
      </c>
      <c r="I5524" t="s">
        <v>69</v>
      </c>
      <c r="J5524">
        <v>0</v>
      </c>
      <c r="K5524">
        <v>1</v>
      </c>
      <c r="L5524">
        <v>2</v>
      </c>
      <c r="M5524">
        <v>294</v>
      </c>
      <c r="N5524">
        <v>379</v>
      </c>
      <c r="O5524">
        <v>10</v>
      </c>
      <c r="P5524">
        <v>379</v>
      </c>
      <c r="Q5524">
        <v>8</v>
      </c>
      <c r="R5524">
        <v>20</v>
      </c>
      <c r="S5524">
        <v>41</v>
      </c>
      <c r="T5524">
        <v>62</v>
      </c>
      <c r="U5524">
        <v>37</v>
      </c>
      <c r="V5524">
        <v>10</v>
      </c>
      <c r="W5524">
        <v>15</v>
      </c>
      <c r="X5524">
        <v>98</v>
      </c>
      <c r="Y5524">
        <v>47</v>
      </c>
      <c r="Z5524">
        <v>12</v>
      </c>
      <c r="AA5524">
        <v>4</v>
      </c>
      <c r="AB5524">
        <v>10</v>
      </c>
      <c r="AD5524">
        <v>1</v>
      </c>
      <c r="AE5524">
        <v>0</v>
      </c>
      <c r="AF5524">
        <v>0</v>
      </c>
      <c r="AG5524">
        <v>1</v>
      </c>
      <c r="AI5524">
        <v>0</v>
      </c>
      <c r="AJ5524">
        <v>12</v>
      </c>
      <c r="AK5524">
        <v>379</v>
      </c>
      <c r="AL5524">
        <v>378</v>
      </c>
      <c r="AM5524">
        <v>629</v>
      </c>
      <c r="AN5524">
        <v>44</v>
      </c>
      <c r="AP5524">
        <v>1</v>
      </c>
      <c r="AR5524" t="s">
        <v>5630</v>
      </c>
      <c r="AS5524" s="1">
        <v>44354.101388888892</v>
      </c>
      <c r="AT5524" s="1">
        <v>44354.107106481482</v>
      </c>
      <c r="AU5524" s="1">
        <v>44354.107800925929</v>
      </c>
      <c r="AV5524" t="s">
        <v>71</v>
      </c>
      <c r="AW5524" t="s">
        <v>72</v>
      </c>
      <c r="AX5524" t="s">
        <v>73</v>
      </c>
    </row>
    <row r="5525" spans="1:50" x14ac:dyDescent="0.3">
      <c r="A5525" t="str">
        <f>"201518C0100"</f>
        <v>201518C0100</v>
      </c>
      <c r="B5525" t="str">
        <f>"201518C01002"</f>
        <v>201518C01002</v>
      </c>
      <c r="C5525" t="str">
        <f t="shared" si="274"/>
        <v>20</v>
      </c>
      <c r="D5525" t="s">
        <v>67</v>
      </c>
      <c r="E5525" t="str">
        <f t="shared" si="273"/>
        <v>025</v>
      </c>
      <c r="F5525" t="s">
        <v>5603</v>
      </c>
      <c r="G5525" t="str">
        <f t="shared" si="275"/>
        <v>1518</v>
      </c>
      <c r="H5525" t="str">
        <f>"0001"</f>
        <v>0001</v>
      </c>
      <c r="I5525" t="s">
        <v>75</v>
      </c>
      <c r="J5525">
        <v>0</v>
      </c>
      <c r="K5525">
        <v>1</v>
      </c>
      <c r="L5525">
        <v>2</v>
      </c>
      <c r="M5525">
        <v>317</v>
      </c>
      <c r="N5525">
        <v>356</v>
      </c>
      <c r="O5525">
        <v>6</v>
      </c>
      <c r="P5525">
        <v>356</v>
      </c>
      <c r="Q5525">
        <v>6</v>
      </c>
      <c r="R5525">
        <v>22</v>
      </c>
      <c r="S5525">
        <v>48</v>
      </c>
      <c r="T5525">
        <v>55</v>
      </c>
      <c r="U5525">
        <v>27</v>
      </c>
      <c r="V5525">
        <v>9</v>
      </c>
      <c r="W5525">
        <v>10</v>
      </c>
      <c r="X5525">
        <v>88</v>
      </c>
      <c r="Y5525">
        <v>41</v>
      </c>
      <c r="Z5525">
        <v>13</v>
      </c>
      <c r="AA5525">
        <v>4</v>
      </c>
      <c r="AB5525">
        <v>19</v>
      </c>
      <c r="AD5525">
        <v>3</v>
      </c>
      <c r="AE5525">
        <v>0</v>
      </c>
      <c r="AF5525">
        <v>0</v>
      </c>
      <c r="AG5525">
        <v>0</v>
      </c>
      <c r="AI5525">
        <v>0</v>
      </c>
      <c r="AJ5525">
        <v>11</v>
      </c>
      <c r="AK5525">
        <v>356</v>
      </c>
      <c r="AL5525">
        <v>356</v>
      </c>
      <c r="AM5525">
        <v>629</v>
      </c>
      <c r="AN5525">
        <v>44</v>
      </c>
      <c r="AP5525">
        <v>1</v>
      </c>
      <c r="AR5525" t="s">
        <v>5631</v>
      </c>
      <c r="AS5525" s="1">
        <v>44354.104861111111</v>
      </c>
      <c r="AT5525" s="1">
        <v>44354.107893518521</v>
      </c>
      <c r="AU5525" s="1">
        <v>44354.108275462961</v>
      </c>
      <c r="AV5525" t="s">
        <v>71</v>
      </c>
      <c r="AW5525" t="s">
        <v>72</v>
      </c>
      <c r="AX5525" t="s">
        <v>73</v>
      </c>
    </row>
    <row r="5526" spans="1:50" x14ac:dyDescent="0.3">
      <c r="A5526" t="str">
        <f>"201518C0200"</f>
        <v>201518C0200</v>
      </c>
      <c r="B5526" t="str">
        <f>"201518C02002"</f>
        <v>201518C02002</v>
      </c>
      <c r="C5526" t="str">
        <f t="shared" si="274"/>
        <v>20</v>
      </c>
      <c r="D5526" t="s">
        <v>67</v>
      </c>
      <c r="E5526" t="str">
        <f t="shared" si="273"/>
        <v>025</v>
      </c>
      <c r="F5526" t="s">
        <v>5603</v>
      </c>
      <c r="G5526" t="str">
        <f t="shared" si="275"/>
        <v>1518</v>
      </c>
      <c r="H5526" t="str">
        <f>"0002"</f>
        <v>0002</v>
      </c>
      <c r="I5526" t="s">
        <v>75</v>
      </c>
      <c r="J5526">
        <v>0</v>
      </c>
      <c r="K5526">
        <v>1</v>
      </c>
      <c r="L5526">
        <v>2</v>
      </c>
      <c r="M5526">
        <v>310</v>
      </c>
      <c r="N5526">
        <v>363</v>
      </c>
      <c r="O5526">
        <v>8</v>
      </c>
      <c r="P5526" t="s">
        <v>80</v>
      </c>
      <c r="Q5526">
        <v>14</v>
      </c>
      <c r="R5526">
        <v>32</v>
      </c>
      <c r="S5526">
        <v>21</v>
      </c>
      <c r="T5526">
        <v>60</v>
      </c>
      <c r="U5526">
        <v>33</v>
      </c>
      <c r="V5526">
        <v>13</v>
      </c>
      <c r="W5526">
        <v>8</v>
      </c>
      <c r="X5526">
        <v>100</v>
      </c>
      <c r="Y5526">
        <v>55</v>
      </c>
      <c r="Z5526">
        <v>11</v>
      </c>
      <c r="AA5526">
        <v>0</v>
      </c>
      <c r="AB5526">
        <v>4</v>
      </c>
      <c r="AD5526">
        <v>1</v>
      </c>
      <c r="AE5526">
        <v>0</v>
      </c>
      <c r="AF5526">
        <v>0</v>
      </c>
      <c r="AG5526">
        <v>1</v>
      </c>
      <c r="AI5526">
        <v>0</v>
      </c>
      <c r="AJ5526">
        <v>10</v>
      </c>
      <c r="AK5526">
        <v>363</v>
      </c>
      <c r="AL5526">
        <v>363</v>
      </c>
      <c r="AM5526">
        <v>629</v>
      </c>
      <c r="AN5526">
        <v>44</v>
      </c>
      <c r="AP5526">
        <v>1</v>
      </c>
      <c r="AR5526" t="s">
        <v>5632</v>
      </c>
      <c r="AS5526" s="1">
        <v>44354.104861111111</v>
      </c>
      <c r="AT5526" s="1">
        <v>44354.112060185187</v>
      </c>
      <c r="AU5526" s="1">
        <v>44354.112604166665</v>
      </c>
      <c r="AV5526" t="s">
        <v>71</v>
      </c>
      <c r="AW5526" t="s">
        <v>72</v>
      </c>
      <c r="AX5526" t="s">
        <v>73</v>
      </c>
    </row>
    <row r="5527" spans="1:50" x14ac:dyDescent="0.3">
      <c r="A5527" t="str">
        <f>"201518C0300"</f>
        <v>201518C0300</v>
      </c>
      <c r="B5527" t="str">
        <f>"201518C03002"</f>
        <v>201518C03002</v>
      </c>
      <c r="C5527" t="str">
        <f t="shared" si="274"/>
        <v>20</v>
      </c>
      <c r="D5527" t="s">
        <v>67</v>
      </c>
      <c r="E5527" t="str">
        <f t="shared" si="273"/>
        <v>025</v>
      </c>
      <c r="F5527" t="s">
        <v>5603</v>
      </c>
      <c r="G5527" t="str">
        <f t="shared" si="275"/>
        <v>1518</v>
      </c>
      <c r="H5527" t="str">
        <f>"0003"</f>
        <v>0003</v>
      </c>
      <c r="I5527" t="s">
        <v>75</v>
      </c>
      <c r="J5527">
        <v>0</v>
      </c>
      <c r="K5527">
        <v>1</v>
      </c>
      <c r="L5527">
        <v>2</v>
      </c>
      <c r="M5527">
        <v>290</v>
      </c>
      <c r="N5527">
        <v>381</v>
      </c>
      <c r="O5527">
        <v>8</v>
      </c>
      <c r="P5527">
        <v>381</v>
      </c>
      <c r="Q5527">
        <v>10</v>
      </c>
      <c r="R5527">
        <v>26</v>
      </c>
      <c r="S5527">
        <v>46</v>
      </c>
      <c r="T5527">
        <v>51</v>
      </c>
      <c r="U5527">
        <v>30</v>
      </c>
      <c r="V5527">
        <v>14</v>
      </c>
      <c r="W5527">
        <v>6</v>
      </c>
      <c r="X5527">
        <v>109</v>
      </c>
      <c r="Y5527">
        <v>40</v>
      </c>
      <c r="Z5527">
        <v>12</v>
      </c>
      <c r="AA5527">
        <v>7</v>
      </c>
      <c r="AB5527">
        <v>10</v>
      </c>
      <c r="AD5527">
        <v>2</v>
      </c>
      <c r="AE5527">
        <v>0</v>
      </c>
      <c r="AF5527">
        <v>1</v>
      </c>
      <c r="AG5527">
        <v>1</v>
      </c>
      <c r="AI5527">
        <v>0</v>
      </c>
      <c r="AJ5527">
        <v>17</v>
      </c>
      <c r="AK5527">
        <v>381</v>
      </c>
      <c r="AL5527">
        <v>382</v>
      </c>
      <c r="AM5527">
        <v>628</v>
      </c>
      <c r="AN5527">
        <v>44</v>
      </c>
      <c r="AP5527">
        <v>1</v>
      </c>
      <c r="AR5527" t="s">
        <v>5633</v>
      </c>
      <c r="AS5527" s="1">
        <v>44354.158333333333</v>
      </c>
      <c r="AT5527" s="1">
        <v>44354.164571759262</v>
      </c>
      <c r="AU5527" s="1">
        <v>44354.165219907409</v>
      </c>
      <c r="AV5527" t="s">
        <v>71</v>
      </c>
      <c r="AW5527" t="s">
        <v>72</v>
      </c>
      <c r="AX5527" t="s">
        <v>73</v>
      </c>
    </row>
    <row r="5528" spans="1:50" x14ac:dyDescent="0.3">
      <c r="A5528" t="str">
        <f>"201518C0400"</f>
        <v>201518C0400</v>
      </c>
      <c r="B5528" t="str">
        <f>"201518C04002"</f>
        <v>201518C04002</v>
      </c>
      <c r="C5528" t="str">
        <f t="shared" si="274"/>
        <v>20</v>
      </c>
      <c r="D5528" t="s">
        <v>67</v>
      </c>
      <c r="E5528" t="str">
        <f t="shared" si="273"/>
        <v>025</v>
      </c>
      <c r="F5528" t="s">
        <v>5603</v>
      </c>
      <c r="G5528" t="str">
        <f t="shared" si="275"/>
        <v>1518</v>
      </c>
      <c r="H5528" t="str">
        <f>"0004"</f>
        <v>0004</v>
      </c>
      <c r="I5528" t="s">
        <v>75</v>
      </c>
      <c r="J5528">
        <v>0</v>
      </c>
      <c r="K5528">
        <v>1</v>
      </c>
      <c r="L5528">
        <v>2</v>
      </c>
      <c r="M5528">
        <v>297</v>
      </c>
      <c r="N5528">
        <v>375</v>
      </c>
      <c r="O5528">
        <v>7</v>
      </c>
      <c r="P5528">
        <v>375</v>
      </c>
      <c r="Q5528">
        <v>6</v>
      </c>
      <c r="R5528">
        <v>30</v>
      </c>
      <c r="S5528">
        <v>44</v>
      </c>
      <c r="T5528">
        <v>47</v>
      </c>
      <c r="U5528">
        <v>42</v>
      </c>
      <c r="V5528">
        <v>14</v>
      </c>
      <c r="W5528">
        <v>5</v>
      </c>
      <c r="X5528">
        <v>100</v>
      </c>
      <c r="Y5528">
        <v>32</v>
      </c>
      <c r="Z5528">
        <v>20</v>
      </c>
      <c r="AA5528">
        <v>4</v>
      </c>
      <c r="AB5528">
        <v>11</v>
      </c>
      <c r="AD5528">
        <v>6</v>
      </c>
      <c r="AE5528">
        <v>1</v>
      </c>
      <c r="AF5528">
        <v>0</v>
      </c>
      <c r="AG5528">
        <v>0</v>
      </c>
      <c r="AI5528">
        <v>1</v>
      </c>
      <c r="AJ5528">
        <v>12</v>
      </c>
      <c r="AK5528">
        <v>375</v>
      </c>
      <c r="AL5528">
        <v>375</v>
      </c>
      <c r="AM5528">
        <v>628</v>
      </c>
      <c r="AN5528">
        <v>44</v>
      </c>
      <c r="AP5528">
        <v>1</v>
      </c>
      <c r="AR5528" t="s">
        <v>5634</v>
      </c>
      <c r="AS5528" s="1">
        <v>44354.104166666664</v>
      </c>
      <c r="AT5528" s="1">
        <v>44354.114039351851</v>
      </c>
      <c r="AU5528" s="1">
        <v>44354.114641203705</v>
      </c>
      <c r="AV5528" t="s">
        <v>71</v>
      </c>
      <c r="AW5528" t="s">
        <v>72</v>
      </c>
      <c r="AX5528" t="s">
        <v>73</v>
      </c>
    </row>
    <row r="5529" spans="1:50" x14ac:dyDescent="0.3">
      <c r="A5529" t="str">
        <f>"201518S0100"</f>
        <v>201518S0100</v>
      </c>
      <c r="B5529" t="str">
        <f>"201518S01002EMR"</f>
        <v>201518S01002EMR</v>
      </c>
      <c r="C5529" t="str">
        <f t="shared" si="274"/>
        <v>20</v>
      </c>
      <c r="D5529" t="s">
        <v>67</v>
      </c>
      <c r="E5529" t="str">
        <f t="shared" si="273"/>
        <v>025</v>
      </c>
      <c r="F5529" t="s">
        <v>5603</v>
      </c>
      <c r="G5529" t="str">
        <f t="shared" si="275"/>
        <v>1518</v>
      </c>
      <c r="H5529" t="str">
        <f>"0001"</f>
        <v>0001</v>
      </c>
      <c r="I5529" t="s">
        <v>85</v>
      </c>
      <c r="J5529">
        <v>0</v>
      </c>
      <c r="K5529">
        <v>1</v>
      </c>
      <c r="L5529" t="s">
        <v>86</v>
      </c>
      <c r="AM5529">
        <v>0</v>
      </c>
      <c r="AN5529">
        <v>44</v>
      </c>
      <c r="AO5529" t="s">
        <v>2056</v>
      </c>
      <c r="AP5529">
        <v>0</v>
      </c>
      <c r="AR5529" t="s">
        <v>5635</v>
      </c>
      <c r="AS5529" s="1">
        <v>44354.65</v>
      </c>
      <c r="AT5529" s="1">
        <v>44354.653252314813</v>
      </c>
      <c r="AU5529" s="1">
        <v>44354.653252314813</v>
      </c>
      <c r="AV5529" t="s">
        <v>71</v>
      </c>
      <c r="AW5529" t="s">
        <v>72</v>
      </c>
      <c r="AX5529" t="s">
        <v>73</v>
      </c>
    </row>
    <row r="5530" spans="1:50" x14ac:dyDescent="0.3">
      <c r="A5530" t="str">
        <f>"201519B0000"</f>
        <v>201519B0000</v>
      </c>
      <c r="B5530" t="str">
        <f>"201519B00002"</f>
        <v>201519B00002</v>
      </c>
      <c r="C5530" t="str">
        <f t="shared" si="274"/>
        <v>20</v>
      </c>
      <c r="D5530" t="s">
        <v>67</v>
      </c>
      <c r="E5530" t="str">
        <f t="shared" si="273"/>
        <v>025</v>
      </c>
      <c r="F5530" t="s">
        <v>5603</v>
      </c>
      <c r="G5530" t="str">
        <f t="shared" ref="G5530:G5536" si="276">"1519"</f>
        <v>1519</v>
      </c>
      <c r="H5530" t="str">
        <f>"0000"</f>
        <v>0000</v>
      </c>
      <c r="I5530" t="s">
        <v>69</v>
      </c>
      <c r="J5530">
        <v>0</v>
      </c>
      <c r="K5530">
        <v>1</v>
      </c>
      <c r="L5530">
        <v>2</v>
      </c>
      <c r="M5530">
        <v>302</v>
      </c>
      <c r="N5530">
        <v>389</v>
      </c>
      <c r="O5530">
        <v>1</v>
      </c>
      <c r="P5530" t="s">
        <v>80</v>
      </c>
      <c r="Q5530">
        <v>11</v>
      </c>
      <c r="R5530">
        <v>29</v>
      </c>
      <c r="S5530">
        <v>38</v>
      </c>
      <c r="T5530">
        <v>62</v>
      </c>
      <c r="U5530">
        <v>35</v>
      </c>
      <c r="V5530">
        <v>9</v>
      </c>
      <c r="W5530">
        <v>3</v>
      </c>
      <c r="X5530">
        <v>121</v>
      </c>
      <c r="Y5530">
        <v>25</v>
      </c>
      <c r="Z5530">
        <v>19</v>
      </c>
      <c r="AA5530">
        <v>3</v>
      </c>
      <c r="AB5530">
        <v>15</v>
      </c>
      <c r="AD5530">
        <v>0</v>
      </c>
      <c r="AE5530">
        <v>0</v>
      </c>
      <c r="AF5530">
        <v>3</v>
      </c>
      <c r="AG5530">
        <v>1</v>
      </c>
      <c r="AI5530" t="s">
        <v>77</v>
      </c>
      <c r="AJ5530" t="s">
        <v>77</v>
      </c>
      <c r="AK5530" t="s">
        <v>77</v>
      </c>
      <c r="AL5530">
        <v>374</v>
      </c>
      <c r="AM5530">
        <v>647</v>
      </c>
      <c r="AN5530">
        <v>44</v>
      </c>
      <c r="AO5530" t="s">
        <v>78</v>
      </c>
      <c r="AP5530">
        <v>1</v>
      </c>
      <c r="AR5530" t="s">
        <v>5636</v>
      </c>
      <c r="AS5530" s="1">
        <v>44354.064583333333</v>
      </c>
      <c r="AT5530" s="1">
        <v>44354.074791666666</v>
      </c>
      <c r="AU5530" s="1">
        <v>44354.075173611112</v>
      </c>
      <c r="AV5530" t="s">
        <v>71</v>
      </c>
      <c r="AW5530" t="s">
        <v>72</v>
      </c>
      <c r="AX5530" t="s">
        <v>73</v>
      </c>
    </row>
    <row r="5531" spans="1:50" x14ac:dyDescent="0.3">
      <c r="A5531" t="str">
        <f>"201519C0100"</f>
        <v>201519C0100</v>
      </c>
      <c r="B5531" t="str">
        <f>"201519C01002"</f>
        <v>201519C01002</v>
      </c>
      <c r="C5531" t="str">
        <f t="shared" si="274"/>
        <v>20</v>
      </c>
      <c r="D5531" t="s">
        <v>67</v>
      </c>
      <c r="E5531" t="str">
        <f t="shared" si="273"/>
        <v>025</v>
      </c>
      <c r="F5531" t="s">
        <v>5603</v>
      </c>
      <c r="G5531" t="str">
        <f t="shared" si="276"/>
        <v>1519</v>
      </c>
      <c r="H5531" t="str">
        <f>"0001"</f>
        <v>0001</v>
      </c>
      <c r="I5531" t="s">
        <v>75</v>
      </c>
      <c r="J5531">
        <v>0</v>
      </c>
      <c r="K5531">
        <v>1</v>
      </c>
      <c r="L5531">
        <v>2</v>
      </c>
      <c r="M5531">
        <v>299</v>
      </c>
      <c r="N5531">
        <v>392</v>
      </c>
      <c r="O5531">
        <v>2</v>
      </c>
      <c r="P5531">
        <v>392</v>
      </c>
      <c r="Q5531">
        <v>7</v>
      </c>
      <c r="R5531">
        <v>37</v>
      </c>
      <c r="S5531">
        <v>40</v>
      </c>
      <c r="T5531">
        <v>60</v>
      </c>
      <c r="U5531">
        <v>38</v>
      </c>
      <c r="V5531">
        <v>13</v>
      </c>
      <c r="W5531">
        <v>7</v>
      </c>
      <c r="X5531">
        <v>102</v>
      </c>
      <c r="Y5531">
        <v>53</v>
      </c>
      <c r="Z5531">
        <v>14</v>
      </c>
      <c r="AA5531">
        <v>2</v>
      </c>
      <c r="AB5531">
        <v>4</v>
      </c>
      <c r="AD5531">
        <v>2</v>
      </c>
      <c r="AE5531">
        <v>1</v>
      </c>
      <c r="AF5531">
        <v>0</v>
      </c>
      <c r="AG5531">
        <v>1</v>
      </c>
      <c r="AI5531">
        <v>0</v>
      </c>
      <c r="AJ5531">
        <v>11</v>
      </c>
      <c r="AK5531">
        <v>392</v>
      </c>
      <c r="AL5531">
        <v>392</v>
      </c>
      <c r="AM5531">
        <v>647</v>
      </c>
      <c r="AN5531">
        <v>44</v>
      </c>
      <c r="AP5531">
        <v>1</v>
      </c>
      <c r="AR5531" t="s">
        <v>5637</v>
      </c>
      <c r="AS5531" s="1">
        <v>44354.064583333333</v>
      </c>
      <c r="AT5531" s="1">
        <v>44354.076550925929</v>
      </c>
      <c r="AU5531" s="1">
        <v>44354.077048611114</v>
      </c>
      <c r="AV5531" t="s">
        <v>71</v>
      </c>
      <c r="AW5531" t="s">
        <v>72</v>
      </c>
      <c r="AX5531" t="s">
        <v>73</v>
      </c>
    </row>
    <row r="5532" spans="1:50" x14ac:dyDescent="0.3">
      <c r="A5532" t="str">
        <f>"201519C0200"</f>
        <v>201519C0200</v>
      </c>
      <c r="B5532" t="str">
        <f>"201519C02002"</f>
        <v>201519C02002</v>
      </c>
      <c r="C5532" t="str">
        <f t="shared" si="274"/>
        <v>20</v>
      </c>
      <c r="D5532" t="s">
        <v>67</v>
      </c>
      <c r="E5532" t="str">
        <f t="shared" si="273"/>
        <v>025</v>
      </c>
      <c r="F5532" t="s">
        <v>5603</v>
      </c>
      <c r="G5532" t="str">
        <f t="shared" si="276"/>
        <v>1519</v>
      </c>
      <c r="H5532" t="str">
        <f>"0002"</f>
        <v>0002</v>
      </c>
      <c r="I5532" t="s">
        <v>75</v>
      </c>
      <c r="J5532">
        <v>0</v>
      </c>
      <c r="K5532">
        <v>1</v>
      </c>
      <c r="L5532">
        <v>2</v>
      </c>
      <c r="M5532">
        <v>319</v>
      </c>
      <c r="N5532">
        <v>372</v>
      </c>
      <c r="O5532">
        <v>1</v>
      </c>
      <c r="P5532">
        <v>372</v>
      </c>
      <c r="Q5532">
        <v>3</v>
      </c>
      <c r="R5532">
        <v>28</v>
      </c>
      <c r="S5532">
        <v>33</v>
      </c>
      <c r="T5532">
        <v>66</v>
      </c>
      <c r="U5532">
        <v>23</v>
      </c>
      <c r="V5532">
        <v>15</v>
      </c>
      <c r="W5532">
        <v>4</v>
      </c>
      <c r="X5532">
        <v>125</v>
      </c>
      <c r="Y5532">
        <v>39</v>
      </c>
      <c r="Z5532">
        <v>14</v>
      </c>
      <c r="AA5532">
        <v>5</v>
      </c>
      <c r="AB5532">
        <v>2</v>
      </c>
      <c r="AD5532">
        <v>2</v>
      </c>
      <c r="AE5532" t="s">
        <v>77</v>
      </c>
      <c r="AF5532">
        <v>1</v>
      </c>
      <c r="AG5532" t="s">
        <v>77</v>
      </c>
      <c r="AI5532" t="s">
        <v>77</v>
      </c>
      <c r="AJ5532">
        <v>12</v>
      </c>
      <c r="AK5532">
        <v>372</v>
      </c>
      <c r="AL5532">
        <v>372</v>
      </c>
      <c r="AM5532">
        <v>647</v>
      </c>
      <c r="AN5532">
        <v>44</v>
      </c>
      <c r="AO5532" t="s">
        <v>78</v>
      </c>
      <c r="AP5532">
        <v>1</v>
      </c>
      <c r="AR5532" t="s">
        <v>5638</v>
      </c>
      <c r="AS5532" s="1">
        <v>44354.479166666664</v>
      </c>
      <c r="AT5532" s="1">
        <v>44354.483541666668</v>
      </c>
      <c r="AU5532" s="1">
        <v>44354.484224537038</v>
      </c>
      <c r="AV5532" t="s">
        <v>71</v>
      </c>
      <c r="AW5532" t="s">
        <v>72</v>
      </c>
      <c r="AX5532" t="s">
        <v>73</v>
      </c>
    </row>
    <row r="5533" spans="1:50" x14ac:dyDescent="0.3">
      <c r="A5533" t="str">
        <f>"201519C0300"</f>
        <v>201519C0300</v>
      </c>
      <c r="B5533" t="str">
        <f>"201519C03002"</f>
        <v>201519C03002</v>
      </c>
      <c r="C5533" t="str">
        <f t="shared" si="274"/>
        <v>20</v>
      </c>
      <c r="D5533" t="s">
        <v>67</v>
      </c>
      <c r="E5533" t="str">
        <f t="shared" si="273"/>
        <v>025</v>
      </c>
      <c r="F5533" t="s">
        <v>5603</v>
      </c>
      <c r="G5533" t="str">
        <f t="shared" si="276"/>
        <v>1519</v>
      </c>
      <c r="H5533" t="str">
        <f>"0003"</f>
        <v>0003</v>
      </c>
      <c r="I5533" t="s">
        <v>75</v>
      </c>
      <c r="J5533">
        <v>0</v>
      </c>
      <c r="K5533">
        <v>1</v>
      </c>
      <c r="L5533">
        <v>2</v>
      </c>
      <c r="M5533">
        <v>290</v>
      </c>
      <c r="N5533">
        <v>401</v>
      </c>
      <c r="O5533">
        <v>9</v>
      </c>
      <c r="P5533">
        <v>392</v>
      </c>
      <c r="Q5533">
        <v>5</v>
      </c>
      <c r="R5533">
        <v>32</v>
      </c>
      <c r="S5533">
        <v>34</v>
      </c>
      <c r="T5533">
        <v>67</v>
      </c>
      <c r="U5533">
        <v>37</v>
      </c>
      <c r="V5533">
        <v>15</v>
      </c>
      <c r="W5533">
        <v>7</v>
      </c>
      <c r="X5533">
        <v>109</v>
      </c>
      <c r="Y5533">
        <v>59</v>
      </c>
      <c r="Z5533">
        <v>14</v>
      </c>
      <c r="AA5533">
        <v>1</v>
      </c>
      <c r="AB5533">
        <v>9</v>
      </c>
      <c r="AD5533">
        <v>3</v>
      </c>
      <c r="AE5533">
        <v>0</v>
      </c>
      <c r="AF5533">
        <v>0</v>
      </c>
      <c r="AG5533">
        <v>0</v>
      </c>
      <c r="AI5533">
        <v>0</v>
      </c>
      <c r="AJ5533">
        <v>10</v>
      </c>
      <c r="AK5533">
        <v>392</v>
      </c>
      <c r="AL5533">
        <v>402</v>
      </c>
      <c r="AM5533">
        <v>647</v>
      </c>
      <c r="AN5533">
        <v>44</v>
      </c>
      <c r="AP5533">
        <v>1</v>
      </c>
      <c r="AR5533" t="s">
        <v>5639</v>
      </c>
      <c r="AS5533" s="1">
        <v>44354.070138888892</v>
      </c>
      <c r="AT5533" s="1">
        <v>44354.07671296296</v>
      </c>
      <c r="AU5533" s="1">
        <v>44354.077048611114</v>
      </c>
      <c r="AV5533" t="s">
        <v>71</v>
      </c>
      <c r="AW5533" t="s">
        <v>72</v>
      </c>
      <c r="AX5533" t="s">
        <v>73</v>
      </c>
    </row>
    <row r="5534" spans="1:50" x14ac:dyDescent="0.3">
      <c r="A5534" t="str">
        <f>"201519C0400"</f>
        <v>201519C0400</v>
      </c>
      <c r="B5534" t="str">
        <f>"201519C04002"</f>
        <v>201519C04002</v>
      </c>
      <c r="C5534" t="str">
        <f t="shared" si="274"/>
        <v>20</v>
      </c>
      <c r="D5534" t="s">
        <v>67</v>
      </c>
      <c r="E5534" t="str">
        <f t="shared" si="273"/>
        <v>025</v>
      </c>
      <c r="F5534" t="s">
        <v>5603</v>
      </c>
      <c r="G5534" t="str">
        <f t="shared" si="276"/>
        <v>1519</v>
      </c>
      <c r="H5534" t="str">
        <f>"0004"</f>
        <v>0004</v>
      </c>
      <c r="I5534" t="s">
        <v>75</v>
      </c>
      <c r="J5534">
        <v>0</v>
      </c>
      <c r="K5534">
        <v>1</v>
      </c>
      <c r="L5534">
        <v>2</v>
      </c>
      <c r="M5534">
        <v>320</v>
      </c>
      <c r="N5534">
        <v>371</v>
      </c>
      <c r="O5534">
        <v>5</v>
      </c>
      <c r="P5534">
        <v>371</v>
      </c>
      <c r="Q5534">
        <v>1</v>
      </c>
      <c r="R5534">
        <v>31</v>
      </c>
      <c r="S5534">
        <v>36</v>
      </c>
      <c r="T5534">
        <v>55</v>
      </c>
      <c r="U5534">
        <v>24</v>
      </c>
      <c r="V5534">
        <v>13</v>
      </c>
      <c r="W5534">
        <v>9</v>
      </c>
      <c r="X5534">
        <v>116</v>
      </c>
      <c r="Y5534">
        <v>55</v>
      </c>
      <c r="Z5534">
        <v>22</v>
      </c>
      <c r="AA5534">
        <v>1</v>
      </c>
      <c r="AB5534">
        <v>6</v>
      </c>
      <c r="AD5534">
        <v>1</v>
      </c>
      <c r="AE5534" t="s">
        <v>77</v>
      </c>
      <c r="AF5534" t="s">
        <v>77</v>
      </c>
      <c r="AG5534" t="s">
        <v>77</v>
      </c>
      <c r="AI5534" t="s">
        <v>77</v>
      </c>
      <c r="AJ5534">
        <v>5</v>
      </c>
      <c r="AK5534">
        <v>371</v>
      </c>
      <c r="AL5534">
        <v>375</v>
      </c>
      <c r="AM5534">
        <v>647</v>
      </c>
      <c r="AN5534">
        <v>44</v>
      </c>
      <c r="AO5534" t="s">
        <v>78</v>
      </c>
      <c r="AP5534">
        <v>1</v>
      </c>
      <c r="AR5534" t="s">
        <v>5640</v>
      </c>
      <c r="AS5534" s="1">
        <v>44354.066666666666</v>
      </c>
      <c r="AT5534" s="1">
        <v>44354.073854166665</v>
      </c>
      <c r="AU5534" s="1">
        <v>44354.074872685182</v>
      </c>
      <c r="AV5534" t="s">
        <v>71</v>
      </c>
      <c r="AW5534" t="s">
        <v>72</v>
      </c>
      <c r="AX5534" t="s">
        <v>73</v>
      </c>
    </row>
    <row r="5535" spans="1:50" x14ac:dyDescent="0.3">
      <c r="A5535" t="str">
        <f>"201519C0500"</f>
        <v>201519C0500</v>
      </c>
      <c r="B5535" t="str">
        <f>"201519C05002"</f>
        <v>201519C05002</v>
      </c>
      <c r="C5535" t="str">
        <f t="shared" si="274"/>
        <v>20</v>
      </c>
      <c r="D5535" t="s">
        <v>67</v>
      </c>
      <c r="E5535" t="str">
        <f t="shared" si="273"/>
        <v>025</v>
      </c>
      <c r="F5535" t="s">
        <v>5603</v>
      </c>
      <c r="G5535" t="str">
        <f t="shared" si="276"/>
        <v>1519</v>
      </c>
      <c r="H5535" t="str">
        <f>"0005"</f>
        <v>0005</v>
      </c>
      <c r="I5535" t="s">
        <v>75</v>
      </c>
      <c r="J5535">
        <v>0</v>
      </c>
      <c r="K5535">
        <v>1</v>
      </c>
      <c r="L5535">
        <v>2</v>
      </c>
      <c r="M5535">
        <v>279</v>
      </c>
      <c r="N5535">
        <v>412</v>
      </c>
      <c r="O5535">
        <v>3</v>
      </c>
      <c r="P5535">
        <v>412</v>
      </c>
      <c r="Q5535">
        <v>4</v>
      </c>
      <c r="R5535">
        <v>34</v>
      </c>
      <c r="S5535">
        <v>42</v>
      </c>
      <c r="T5535">
        <v>74</v>
      </c>
      <c r="U5535">
        <v>30</v>
      </c>
      <c r="V5535">
        <v>15</v>
      </c>
      <c r="W5535">
        <v>3</v>
      </c>
      <c r="X5535">
        <v>119</v>
      </c>
      <c r="Y5535">
        <v>39</v>
      </c>
      <c r="Z5535">
        <v>19</v>
      </c>
      <c r="AA5535">
        <v>5</v>
      </c>
      <c r="AB5535">
        <v>5</v>
      </c>
      <c r="AD5535">
        <v>5</v>
      </c>
      <c r="AE5535" t="s">
        <v>77</v>
      </c>
      <c r="AF5535" t="s">
        <v>77</v>
      </c>
      <c r="AG5535" t="s">
        <v>77</v>
      </c>
      <c r="AI5535">
        <v>1</v>
      </c>
      <c r="AJ5535">
        <v>17</v>
      </c>
      <c r="AK5535">
        <v>412</v>
      </c>
      <c r="AL5535">
        <v>412</v>
      </c>
      <c r="AM5535">
        <v>647</v>
      </c>
      <c r="AN5535">
        <v>44</v>
      </c>
      <c r="AO5535" t="s">
        <v>78</v>
      </c>
      <c r="AP5535">
        <v>1</v>
      </c>
      <c r="AR5535" t="s">
        <v>5641</v>
      </c>
      <c r="AS5535" s="1">
        <v>44354.066666666666</v>
      </c>
      <c r="AT5535" s="1">
        <v>44354.073055555556</v>
      </c>
      <c r="AU5535" s="1">
        <v>44354.073414351849</v>
      </c>
      <c r="AV5535" t="s">
        <v>71</v>
      </c>
      <c r="AW5535" t="s">
        <v>72</v>
      </c>
      <c r="AX5535" t="s">
        <v>73</v>
      </c>
    </row>
    <row r="5536" spans="1:50" x14ac:dyDescent="0.3">
      <c r="A5536" t="str">
        <f>"201519E0100"</f>
        <v>201519E0100</v>
      </c>
      <c r="B5536" t="str">
        <f>"201519E01002"</f>
        <v>201519E01002</v>
      </c>
      <c r="C5536" t="str">
        <f t="shared" si="274"/>
        <v>20</v>
      </c>
      <c r="D5536" t="s">
        <v>67</v>
      </c>
      <c r="E5536" t="str">
        <f t="shared" si="273"/>
        <v>025</v>
      </c>
      <c r="F5536" t="s">
        <v>5603</v>
      </c>
      <c r="G5536" t="str">
        <f t="shared" si="276"/>
        <v>1519</v>
      </c>
      <c r="H5536" t="str">
        <f>"0001"</f>
        <v>0001</v>
      </c>
      <c r="I5536" t="s">
        <v>109</v>
      </c>
      <c r="J5536">
        <v>0</v>
      </c>
      <c r="K5536">
        <v>1</v>
      </c>
      <c r="L5536">
        <v>2</v>
      </c>
      <c r="M5536">
        <v>246</v>
      </c>
      <c r="N5536">
        <v>291</v>
      </c>
      <c r="O5536">
        <v>3</v>
      </c>
      <c r="P5536">
        <v>291</v>
      </c>
      <c r="Q5536">
        <v>5</v>
      </c>
      <c r="R5536">
        <v>38</v>
      </c>
      <c r="S5536">
        <v>22</v>
      </c>
      <c r="T5536">
        <v>30</v>
      </c>
      <c r="U5536">
        <v>26</v>
      </c>
      <c r="V5536">
        <v>19</v>
      </c>
      <c r="W5536">
        <v>5</v>
      </c>
      <c r="X5536">
        <v>84</v>
      </c>
      <c r="Y5536">
        <v>34</v>
      </c>
      <c r="Z5536">
        <v>8</v>
      </c>
      <c r="AA5536">
        <v>2</v>
      </c>
      <c r="AB5536">
        <v>4</v>
      </c>
      <c r="AD5536">
        <v>3</v>
      </c>
      <c r="AE5536">
        <v>0</v>
      </c>
      <c r="AF5536">
        <v>0</v>
      </c>
      <c r="AG5536">
        <v>0</v>
      </c>
      <c r="AI5536">
        <v>0</v>
      </c>
      <c r="AJ5536">
        <v>11</v>
      </c>
      <c r="AK5536">
        <v>291</v>
      </c>
      <c r="AL5536">
        <v>291</v>
      </c>
      <c r="AM5536">
        <v>493</v>
      </c>
      <c r="AN5536">
        <v>44</v>
      </c>
      <c r="AP5536">
        <v>1</v>
      </c>
      <c r="AR5536" t="s">
        <v>5642</v>
      </c>
      <c r="AS5536" s="1">
        <v>44353.974305555559</v>
      </c>
      <c r="AT5536" s="1">
        <v>44353.976747685185</v>
      </c>
      <c r="AU5536" s="1">
        <v>44353.97760416667</v>
      </c>
      <c r="AV5536" t="s">
        <v>71</v>
      </c>
      <c r="AW5536" t="s">
        <v>72</v>
      </c>
      <c r="AX5536" t="s">
        <v>73</v>
      </c>
    </row>
    <row r="5537" spans="1:50" x14ac:dyDescent="0.3">
      <c r="A5537" t="str">
        <f>"201520B0000"</f>
        <v>201520B0000</v>
      </c>
      <c r="B5537" t="str">
        <f>"201520B00002"</f>
        <v>201520B00002</v>
      </c>
      <c r="C5537" t="str">
        <f t="shared" si="274"/>
        <v>20</v>
      </c>
      <c r="D5537" t="s">
        <v>67</v>
      </c>
      <c r="E5537" t="str">
        <f t="shared" si="273"/>
        <v>025</v>
      </c>
      <c r="F5537" t="s">
        <v>5603</v>
      </c>
      <c r="G5537" t="str">
        <f>"1520"</f>
        <v>1520</v>
      </c>
      <c r="H5537" t="str">
        <f>"0000"</f>
        <v>0000</v>
      </c>
      <c r="I5537" t="s">
        <v>69</v>
      </c>
      <c r="J5537">
        <v>0</v>
      </c>
      <c r="K5537">
        <v>1</v>
      </c>
      <c r="L5537">
        <v>2</v>
      </c>
      <c r="M5537">
        <v>217</v>
      </c>
      <c r="N5537">
        <v>379</v>
      </c>
      <c r="O5537">
        <v>7</v>
      </c>
      <c r="P5537">
        <v>379</v>
      </c>
      <c r="Q5537">
        <v>13</v>
      </c>
      <c r="R5537">
        <v>43</v>
      </c>
      <c r="S5537">
        <v>36</v>
      </c>
      <c r="T5537">
        <v>48</v>
      </c>
      <c r="U5537">
        <v>31</v>
      </c>
      <c r="V5537">
        <v>10</v>
      </c>
      <c r="W5537">
        <v>5</v>
      </c>
      <c r="X5537">
        <v>124</v>
      </c>
      <c r="Y5537">
        <v>37</v>
      </c>
      <c r="Z5537">
        <v>15</v>
      </c>
      <c r="AA5537">
        <v>2</v>
      </c>
      <c r="AB5537">
        <v>4</v>
      </c>
      <c r="AD5537">
        <v>3</v>
      </c>
      <c r="AE5537">
        <v>0</v>
      </c>
      <c r="AF5537">
        <v>0</v>
      </c>
      <c r="AG5537">
        <v>0</v>
      </c>
      <c r="AI5537">
        <v>0</v>
      </c>
      <c r="AJ5537">
        <v>8</v>
      </c>
      <c r="AK5537">
        <v>379</v>
      </c>
      <c r="AL5537">
        <v>379</v>
      </c>
      <c r="AM5537">
        <v>552</v>
      </c>
      <c r="AN5537">
        <v>44</v>
      </c>
      <c r="AP5537">
        <v>1</v>
      </c>
      <c r="AR5537" t="s">
        <v>5643</v>
      </c>
      <c r="AS5537" s="1">
        <v>44354.093055555553</v>
      </c>
      <c r="AT5537" s="1">
        <v>44354.097638888888</v>
      </c>
      <c r="AU5537" s="1">
        <v>44354.099664351852</v>
      </c>
      <c r="AV5537" t="s">
        <v>71</v>
      </c>
      <c r="AW5537" t="s">
        <v>72</v>
      </c>
      <c r="AX5537" t="s">
        <v>73</v>
      </c>
    </row>
    <row r="5538" spans="1:50" x14ac:dyDescent="0.3">
      <c r="A5538" t="str">
        <f>"201520C0100"</f>
        <v>201520C0100</v>
      </c>
      <c r="B5538" t="str">
        <f>"201520C01002"</f>
        <v>201520C01002</v>
      </c>
      <c r="C5538" t="str">
        <f t="shared" si="274"/>
        <v>20</v>
      </c>
      <c r="D5538" t="s">
        <v>67</v>
      </c>
      <c r="E5538" t="str">
        <f t="shared" si="273"/>
        <v>025</v>
      </c>
      <c r="F5538" t="s">
        <v>5603</v>
      </c>
      <c r="G5538" t="str">
        <f>"1520"</f>
        <v>1520</v>
      </c>
      <c r="H5538" t="str">
        <f>"0001"</f>
        <v>0001</v>
      </c>
      <c r="I5538" t="s">
        <v>75</v>
      </c>
      <c r="J5538">
        <v>0</v>
      </c>
      <c r="K5538">
        <v>1</v>
      </c>
      <c r="L5538">
        <v>2</v>
      </c>
      <c r="M5538">
        <v>239</v>
      </c>
      <c r="N5538">
        <v>357</v>
      </c>
      <c r="O5538">
        <v>7</v>
      </c>
      <c r="P5538">
        <v>356</v>
      </c>
      <c r="Q5538">
        <v>13</v>
      </c>
      <c r="R5538">
        <v>38</v>
      </c>
      <c r="S5538">
        <v>29</v>
      </c>
      <c r="T5538">
        <v>36</v>
      </c>
      <c r="U5538">
        <v>29</v>
      </c>
      <c r="V5538">
        <v>13</v>
      </c>
      <c r="W5538">
        <v>8</v>
      </c>
      <c r="X5538">
        <v>115</v>
      </c>
      <c r="Y5538">
        <v>37</v>
      </c>
      <c r="Z5538">
        <v>10</v>
      </c>
      <c r="AA5538">
        <v>1</v>
      </c>
      <c r="AB5538">
        <v>9</v>
      </c>
      <c r="AD5538">
        <v>2</v>
      </c>
      <c r="AE5538">
        <v>0</v>
      </c>
      <c r="AF5538">
        <v>0</v>
      </c>
      <c r="AG5538">
        <v>1</v>
      </c>
      <c r="AI5538" t="s">
        <v>77</v>
      </c>
      <c r="AJ5538">
        <v>15</v>
      </c>
      <c r="AK5538">
        <v>356</v>
      </c>
      <c r="AL5538">
        <v>356</v>
      </c>
      <c r="AM5538">
        <v>552</v>
      </c>
      <c r="AN5538">
        <v>44</v>
      </c>
      <c r="AO5538" t="s">
        <v>78</v>
      </c>
      <c r="AP5538">
        <v>1</v>
      </c>
      <c r="AR5538" t="s">
        <v>5644</v>
      </c>
      <c r="AS5538" s="1">
        <v>44354.091666666667</v>
      </c>
      <c r="AT5538" s="1">
        <v>44354.097280092596</v>
      </c>
      <c r="AU5538" s="1">
        <v>44354.097916666666</v>
      </c>
      <c r="AV5538" t="s">
        <v>71</v>
      </c>
      <c r="AW5538" t="s">
        <v>72</v>
      </c>
      <c r="AX5538" t="s">
        <v>73</v>
      </c>
    </row>
    <row r="5539" spans="1:50" x14ac:dyDescent="0.3">
      <c r="A5539" t="str">
        <f>"201520C0200"</f>
        <v>201520C0200</v>
      </c>
      <c r="B5539" t="str">
        <f>"201520C02002"</f>
        <v>201520C02002</v>
      </c>
      <c r="C5539" t="str">
        <f t="shared" si="274"/>
        <v>20</v>
      </c>
      <c r="D5539" t="s">
        <v>67</v>
      </c>
      <c r="E5539" t="str">
        <f t="shared" si="273"/>
        <v>025</v>
      </c>
      <c r="F5539" t="s">
        <v>5603</v>
      </c>
      <c r="G5539" t="str">
        <f>"1520"</f>
        <v>1520</v>
      </c>
      <c r="H5539" t="str">
        <f>"0002"</f>
        <v>0002</v>
      </c>
      <c r="I5539" t="s">
        <v>75</v>
      </c>
      <c r="J5539">
        <v>0</v>
      </c>
      <c r="K5539">
        <v>1</v>
      </c>
      <c r="L5539">
        <v>2</v>
      </c>
      <c r="M5539">
        <v>215</v>
      </c>
      <c r="N5539">
        <v>381</v>
      </c>
      <c r="O5539">
        <v>4</v>
      </c>
      <c r="P5539">
        <v>381</v>
      </c>
      <c r="Q5539">
        <v>14</v>
      </c>
      <c r="R5539">
        <v>31</v>
      </c>
      <c r="S5539">
        <v>29</v>
      </c>
      <c r="T5539">
        <v>49</v>
      </c>
      <c r="U5539">
        <v>30</v>
      </c>
      <c r="V5539">
        <v>7</v>
      </c>
      <c r="W5539">
        <v>5</v>
      </c>
      <c r="X5539">
        <v>113</v>
      </c>
      <c r="Y5539">
        <v>41</v>
      </c>
      <c r="Z5539">
        <v>29</v>
      </c>
      <c r="AA5539">
        <v>3</v>
      </c>
      <c r="AB5539">
        <v>10</v>
      </c>
      <c r="AD5539">
        <v>4</v>
      </c>
      <c r="AE5539">
        <v>0</v>
      </c>
      <c r="AF5539">
        <v>1</v>
      </c>
      <c r="AG5539">
        <v>0</v>
      </c>
      <c r="AI5539">
        <v>0</v>
      </c>
      <c r="AJ5539">
        <v>16</v>
      </c>
      <c r="AK5539">
        <v>381</v>
      </c>
      <c r="AL5539">
        <v>382</v>
      </c>
      <c r="AM5539">
        <v>552</v>
      </c>
      <c r="AN5539">
        <v>44</v>
      </c>
      <c r="AP5539">
        <v>1</v>
      </c>
      <c r="AR5539" t="s">
        <v>5645</v>
      </c>
      <c r="AS5539" s="1">
        <v>44354.09097222222</v>
      </c>
      <c r="AT5539" s="1">
        <v>44354.096759259257</v>
      </c>
      <c r="AU5539" s="1">
        <v>44354.097488425927</v>
      </c>
      <c r="AV5539" t="s">
        <v>71</v>
      </c>
      <c r="AW5539" t="s">
        <v>72</v>
      </c>
      <c r="AX5539" t="s">
        <v>73</v>
      </c>
    </row>
    <row r="5540" spans="1:50" x14ac:dyDescent="0.3">
      <c r="A5540" t="str">
        <f>"201521B0000"</f>
        <v>201521B0000</v>
      </c>
      <c r="B5540" t="str">
        <f>"201521B00002"</f>
        <v>201521B00002</v>
      </c>
      <c r="C5540" t="str">
        <f t="shared" si="274"/>
        <v>20</v>
      </c>
      <c r="D5540" t="s">
        <v>67</v>
      </c>
      <c r="E5540" t="str">
        <f t="shared" si="273"/>
        <v>025</v>
      </c>
      <c r="F5540" t="s">
        <v>5603</v>
      </c>
      <c r="G5540" t="str">
        <f>"1521"</f>
        <v>1521</v>
      </c>
      <c r="H5540" t="str">
        <f>"0000"</f>
        <v>0000</v>
      </c>
      <c r="I5540" t="s">
        <v>69</v>
      </c>
      <c r="J5540">
        <v>0</v>
      </c>
      <c r="K5540">
        <v>1</v>
      </c>
      <c r="L5540">
        <v>2</v>
      </c>
      <c r="M5540">
        <v>191</v>
      </c>
      <c r="N5540">
        <v>254</v>
      </c>
      <c r="O5540">
        <v>11</v>
      </c>
      <c r="P5540">
        <v>0</v>
      </c>
      <c r="Q5540">
        <v>11</v>
      </c>
      <c r="R5540">
        <v>28</v>
      </c>
      <c r="S5540">
        <v>21</v>
      </c>
      <c r="T5540">
        <v>35</v>
      </c>
      <c r="U5540">
        <v>28</v>
      </c>
      <c r="V5540">
        <v>6</v>
      </c>
      <c r="W5540">
        <v>2</v>
      </c>
      <c r="X5540">
        <v>71</v>
      </c>
      <c r="Y5540">
        <v>20</v>
      </c>
      <c r="Z5540">
        <v>17</v>
      </c>
      <c r="AA5540">
        <v>0</v>
      </c>
      <c r="AB5540">
        <v>5</v>
      </c>
      <c r="AD5540">
        <v>1</v>
      </c>
      <c r="AE5540">
        <v>0</v>
      </c>
      <c r="AF5540">
        <v>0</v>
      </c>
      <c r="AG5540">
        <v>1</v>
      </c>
      <c r="AI5540">
        <v>0</v>
      </c>
      <c r="AJ5540">
        <v>8</v>
      </c>
      <c r="AK5540">
        <v>254</v>
      </c>
      <c r="AL5540">
        <v>254</v>
      </c>
      <c r="AM5540">
        <v>401</v>
      </c>
      <c r="AN5540">
        <v>44</v>
      </c>
      <c r="AP5540">
        <v>1</v>
      </c>
      <c r="AR5540" t="s">
        <v>5646</v>
      </c>
      <c r="AS5540" s="1">
        <v>44353.979861111111</v>
      </c>
      <c r="AT5540" s="1">
        <v>44353.981365740743</v>
      </c>
      <c r="AU5540" s="1">
        <v>44353.982627314814</v>
      </c>
      <c r="AV5540" t="s">
        <v>71</v>
      </c>
      <c r="AW5540" t="s">
        <v>72</v>
      </c>
      <c r="AX5540" t="s">
        <v>73</v>
      </c>
    </row>
    <row r="5541" spans="1:50" x14ac:dyDescent="0.3">
      <c r="A5541" t="str">
        <f>"201521E0100"</f>
        <v>201521E0100</v>
      </c>
      <c r="B5541" t="str">
        <f>"201521E01002"</f>
        <v>201521E01002</v>
      </c>
      <c r="C5541" t="str">
        <f t="shared" si="274"/>
        <v>20</v>
      </c>
      <c r="D5541" t="s">
        <v>67</v>
      </c>
      <c r="E5541" t="str">
        <f t="shared" si="273"/>
        <v>025</v>
      </c>
      <c r="F5541" t="s">
        <v>5603</v>
      </c>
      <c r="G5541" t="str">
        <f>"1521"</f>
        <v>1521</v>
      </c>
      <c r="H5541" t="str">
        <f>"0001"</f>
        <v>0001</v>
      </c>
      <c r="I5541" t="s">
        <v>109</v>
      </c>
      <c r="J5541">
        <v>0</v>
      </c>
      <c r="K5541">
        <v>1</v>
      </c>
      <c r="L5541">
        <v>2</v>
      </c>
      <c r="M5541">
        <v>267</v>
      </c>
      <c r="N5541">
        <v>367</v>
      </c>
      <c r="O5541">
        <v>0</v>
      </c>
      <c r="P5541">
        <v>367</v>
      </c>
      <c r="Q5541">
        <v>7</v>
      </c>
      <c r="R5541">
        <v>22</v>
      </c>
      <c r="S5541">
        <v>18</v>
      </c>
      <c r="T5541">
        <v>41</v>
      </c>
      <c r="U5541">
        <v>37</v>
      </c>
      <c r="V5541">
        <v>43</v>
      </c>
      <c r="W5541">
        <v>6</v>
      </c>
      <c r="X5541">
        <v>76</v>
      </c>
      <c r="Y5541">
        <v>82</v>
      </c>
      <c r="Z5541">
        <v>10</v>
      </c>
      <c r="AA5541">
        <v>5</v>
      </c>
      <c r="AB5541">
        <v>2</v>
      </c>
      <c r="AD5541">
        <v>1</v>
      </c>
      <c r="AE5541">
        <v>1</v>
      </c>
      <c r="AF5541">
        <v>0</v>
      </c>
      <c r="AG5541">
        <v>0</v>
      </c>
      <c r="AI5541">
        <v>0</v>
      </c>
      <c r="AJ5541">
        <v>16</v>
      </c>
      <c r="AK5541">
        <v>367</v>
      </c>
      <c r="AL5541">
        <v>367</v>
      </c>
      <c r="AM5541">
        <v>589</v>
      </c>
      <c r="AN5541">
        <v>44</v>
      </c>
      <c r="AP5541">
        <v>1</v>
      </c>
      <c r="AR5541" t="s">
        <v>5647</v>
      </c>
      <c r="AS5541" s="1">
        <v>44354.080555555556</v>
      </c>
      <c r="AT5541" s="1">
        <v>44354.088587962964</v>
      </c>
      <c r="AU5541" s="1">
        <v>44354.089131944442</v>
      </c>
      <c r="AV5541" t="s">
        <v>71</v>
      </c>
      <c r="AW5541" t="s">
        <v>72</v>
      </c>
      <c r="AX5541" t="s">
        <v>73</v>
      </c>
    </row>
    <row r="5542" spans="1:50" x14ac:dyDescent="0.3">
      <c r="A5542" t="str">
        <f>"201522B0000"</f>
        <v>201522B0000</v>
      </c>
      <c r="B5542" t="str">
        <f>"201522B00002"</f>
        <v>201522B00002</v>
      </c>
      <c r="C5542" t="str">
        <f t="shared" si="274"/>
        <v>20</v>
      </c>
      <c r="D5542" t="s">
        <v>67</v>
      </c>
      <c r="E5542" t="str">
        <f t="shared" si="273"/>
        <v>025</v>
      </c>
      <c r="F5542" t="s">
        <v>5603</v>
      </c>
      <c r="G5542" t="str">
        <f>"1522"</f>
        <v>1522</v>
      </c>
      <c r="H5542" t="str">
        <f>"0000"</f>
        <v>0000</v>
      </c>
      <c r="I5542" t="s">
        <v>69</v>
      </c>
      <c r="J5542">
        <v>0</v>
      </c>
      <c r="K5542">
        <v>1</v>
      </c>
      <c r="L5542">
        <v>2</v>
      </c>
      <c r="M5542">
        <v>317</v>
      </c>
      <c r="N5542">
        <v>435</v>
      </c>
      <c r="O5542">
        <v>4</v>
      </c>
      <c r="P5542">
        <v>435</v>
      </c>
      <c r="Q5542">
        <v>10</v>
      </c>
      <c r="R5542">
        <v>44</v>
      </c>
      <c r="S5542">
        <v>30</v>
      </c>
      <c r="T5542">
        <v>55</v>
      </c>
      <c r="U5542">
        <v>41</v>
      </c>
      <c r="V5542">
        <v>21</v>
      </c>
      <c r="W5542">
        <v>3</v>
      </c>
      <c r="X5542">
        <v>120</v>
      </c>
      <c r="Y5542">
        <v>64</v>
      </c>
      <c r="Z5542">
        <v>15</v>
      </c>
      <c r="AA5542">
        <v>4</v>
      </c>
      <c r="AB5542">
        <v>13</v>
      </c>
      <c r="AD5542">
        <v>4</v>
      </c>
      <c r="AE5542">
        <v>0</v>
      </c>
      <c r="AF5542">
        <v>1</v>
      </c>
      <c r="AG5542">
        <v>0</v>
      </c>
      <c r="AI5542">
        <v>0</v>
      </c>
      <c r="AJ5542">
        <v>10</v>
      </c>
      <c r="AK5542">
        <v>435</v>
      </c>
      <c r="AL5542">
        <v>435</v>
      </c>
      <c r="AM5542">
        <v>708</v>
      </c>
      <c r="AN5542">
        <v>44</v>
      </c>
      <c r="AP5542">
        <v>1</v>
      </c>
      <c r="AR5542" t="s">
        <v>5648</v>
      </c>
      <c r="AS5542" s="1">
        <v>44354.105555555558</v>
      </c>
      <c r="AT5542" s="1">
        <v>44354.110868055555</v>
      </c>
      <c r="AU5542" s="1">
        <v>44354.111921296295</v>
      </c>
      <c r="AV5542" t="s">
        <v>71</v>
      </c>
      <c r="AW5542" t="s">
        <v>72</v>
      </c>
      <c r="AX5542" t="s">
        <v>73</v>
      </c>
    </row>
    <row r="5543" spans="1:50" x14ac:dyDescent="0.3">
      <c r="A5543" t="str">
        <f>"201522C0100"</f>
        <v>201522C0100</v>
      </c>
      <c r="B5543" t="str">
        <f>"201522C01002"</f>
        <v>201522C01002</v>
      </c>
      <c r="C5543" t="str">
        <f t="shared" si="274"/>
        <v>20</v>
      </c>
      <c r="D5543" t="s">
        <v>67</v>
      </c>
      <c r="E5543" t="str">
        <f t="shared" si="273"/>
        <v>025</v>
      </c>
      <c r="F5543" t="s">
        <v>5603</v>
      </c>
      <c r="G5543" t="str">
        <f>"1522"</f>
        <v>1522</v>
      </c>
      <c r="H5543" t="str">
        <f>"0001"</f>
        <v>0001</v>
      </c>
      <c r="I5543" t="s">
        <v>75</v>
      </c>
      <c r="J5543">
        <v>0</v>
      </c>
      <c r="K5543">
        <v>1</v>
      </c>
      <c r="L5543">
        <v>2</v>
      </c>
      <c r="M5543">
        <v>348</v>
      </c>
      <c r="N5543">
        <v>403</v>
      </c>
      <c r="O5543">
        <v>1</v>
      </c>
      <c r="P5543">
        <v>403</v>
      </c>
      <c r="Q5543">
        <v>3</v>
      </c>
      <c r="R5543">
        <v>31</v>
      </c>
      <c r="S5543">
        <v>23</v>
      </c>
      <c r="T5543">
        <v>42</v>
      </c>
      <c r="U5543">
        <v>33</v>
      </c>
      <c r="V5543">
        <v>23</v>
      </c>
      <c r="W5543">
        <v>6</v>
      </c>
      <c r="X5543">
        <v>123</v>
      </c>
      <c r="Y5543">
        <v>49</v>
      </c>
      <c r="Z5543">
        <v>23</v>
      </c>
      <c r="AA5543">
        <v>1</v>
      </c>
      <c r="AB5543">
        <v>33</v>
      </c>
      <c r="AD5543">
        <v>1</v>
      </c>
      <c r="AE5543">
        <v>0</v>
      </c>
      <c r="AF5543">
        <v>0</v>
      </c>
      <c r="AG5543">
        <v>0</v>
      </c>
      <c r="AI5543">
        <v>0</v>
      </c>
      <c r="AJ5543">
        <v>8</v>
      </c>
      <c r="AK5543">
        <v>403</v>
      </c>
      <c r="AL5543">
        <v>399</v>
      </c>
      <c r="AM5543">
        <v>707</v>
      </c>
      <c r="AN5543">
        <v>44</v>
      </c>
      <c r="AP5543">
        <v>1</v>
      </c>
      <c r="AR5543" t="s">
        <v>5649</v>
      </c>
      <c r="AS5543" s="1">
        <v>44354.105555555558</v>
      </c>
      <c r="AT5543" s="1">
        <v>44354.113680555558</v>
      </c>
      <c r="AU5543" s="1">
        <v>44354.114641203705</v>
      </c>
      <c r="AV5543" t="s">
        <v>71</v>
      </c>
      <c r="AW5543" t="s">
        <v>72</v>
      </c>
      <c r="AX5543" t="s">
        <v>73</v>
      </c>
    </row>
    <row r="5544" spans="1:50" x14ac:dyDescent="0.3">
      <c r="A5544" t="str">
        <f>"201522C0200"</f>
        <v>201522C0200</v>
      </c>
      <c r="B5544" t="str">
        <f>"201522C02002"</f>
        <v>201522C02002</v>
      </c>
      <c r="C5544" t="str">
        <f t="shared" si="274"/>
        <v>20</v>
      </c>
      <c r="D5544" t="s">
        <v>67</v>
      </c>
      <c r="E5544" t="str">
        <f t="shared" si="273"/>
        <v>025</v>
      </c>
      <c r="F5544" t="s">
        <v>5603</v>
      </c>
      <c r="G5544" t="str">
        <f>"1522"</f>
        <v>1522</v>
      </c>
      <c r="H5544" t="str">
        <f>"0002"</f>
        <v>0002</v>
      </c>
      <c r="I5544" t="s">
        <v>75</v>
      </c>
      <c r="J5544">
        <v>0</v>
      </c>
      <c r="K5544">
        <v>1</v>
      </c>
      <c r="L5544">
        <v>2</v>
      </c>
      <c r="M5544">
        <v>362</v>
      </c>
      <c r="N5544" t="s">
        <v>99</v>
      </c>
      <c r="O5544">
        <v>4</v>
      </c>
      <c r="P5544">
        <v>389</v>
      </c>
      <c r="Q5544">
        <v>3</v>
      </c>
      <c r="R5544">
        <v>21</v>
      </c>
      <c r="S5544">
        <v>27</v>
      </c>
      <c r="T5544">
        <v>58</v>
      </c>
      <c r="U5544">
        <v>31</v>
      </c>
      <c r="V5544">
        <v>17</v>
      </c>
      <c r="W5544">
        <v>6</v>
      </c>
      <c r="X5544">
        <v>100</v>
      </c>
      <c r="Y5544">
        <v>77</v>
      </c>
      <c r="Z5544">
        <v>4</v>
      </c>
      <c r="AA5544">
        <v>2</v>
      </c>
      <c r="AB5544">
        <v>31</v>
      </c>
      <c r="AD5544">
        <v>2</v>
      </c>
      <c r="AE5544">
        <v>0</v>
      </c>
      <c r="AF5544">
        <v>1</v>
      </c>
      <c r="AG5544">
        <v>0</v>
      </c>
      <c r="AI5544">
        <v>0</v>
      </c>
      <c r="AJ5544">
        <v>9</v>
      </c>
      <c r="AK5544">
        <v>389</v>
      </c>
      <c r="AL5544">
        <v>389</v>
      </c>
      <c r="AM5544">
        <v>707</v>
      </c>
      <c r="AN5544">
        <v>44</v>
      </c>
      <c r="AP5544">
        <v>1</v>
      </c>
      <c r="AR5544" t="s">
        <v>5650</v>
      </c>
      <c r="AS5544" s="1">
        <v>44354.106249999997</v>
      </c>
      <c r="AT5544" s="1">
        <v>44354.110208333332</v>
      </c>
      <c r="AU5544" s="1">
        <v>44354.110925925925</v>
      </c>
      <c r="AV5544" t="s">
        <v>71</v>
      </c>
      <c r="AW5544" t="s">
        <v>72</v>
      </c>
      <c r="AX5544" t="s">
        <v>73</v>
      </c>
    </row>
    <row r="5545" spans="1:50" x14ac:dyDescent="0.3">
      <c r="A5545" t="str">
        <f>"201522C0300"</f>
        <v>201522C0300</v>
      </c>
      <c r="B5545" t="str">
        <f>"201522C03002"</f>
        <v>201522C03002</v>
      </c>
      <c r="C5545" t="str">
        <f t="shared" si="274"/>
        <v>20</v>
      </c>
      <c r="D5545" t="s">
        <v>67</v>
      </c>
      <c r="E5545" t="str">
        <f t="shared" si="273"/>
        <v>025</v>
      </c>
      <c r="F5545" t="s">
        <v>5603</v>
      </c>
      <c r="G5545" t="str">
        <f>"1522"</f>
        <v>1522</v>
      </c>
      <c r="H5545" t="str">
        <f>"0003"</f>
        <v>0003</v>
      </c>
      <c r="I5545" t="s">
        <v>75</v>
      </c>
      <c r="J5545">
        <v>0</v>
      </c>
      <c r="K5545">
        <v>1</v>
      </c>
      <c r="L5545">
        <v>2</v>
      </c>
      <c r="M5545">
        <v>322</v>
      </c>
      <c r="N5545">
        <v>429</v>
      </c>
      <c r="O5545">
        <v>3</v>
      </c>
      <c r="P5545">
        <v>429</v>
      </c>
      <c r="Q5545">
        <v>5</v>
      </c>
      <c r="R5545">
        <v>32</v>
      </c>
      <c r="S5545">
        <v>35</v>
      </c>
      <c r="T5545">
        <v>48</v>
      </c>
      <c r="U5545">
        <v>29</v>
      </c>
      <c r="V5545">
        <v>19</v>
      </c>
      <c r="W5545">
        <v>6</v>
      </c>
      <c r="X5545">
        <v>120</v>
      </c>
      <c r="Y5545">
        <v>75</v>
      </c>
      <c r="Z5545">
        <v>20</v>
      </c>
      <c r="AA5545">
        <v>0</v>
      </c>
      <c r="AB5545">
        <v>24</v>
      </c>
      <c r="AD5545">
        <v>2</v>
      </c>
      <c r="AE5545">
        <v>0</v>
      </c>
      <c r="AF5545">
        <v>0</v>
      </c>
      <c r="AG5545">
        <v>0</v>
      </c>
      <c r="AI5545">
        <v>0</v>
      </c>
      <c r="AJ5545">
        <v>13</v>
      </c>
      <c r="AK5545">
        <v>429</v>
      </c>
      <c r="AL5545">
        <v>428</v>
      </c>
      <c r="AM5545">
        <v>707</v>
      </c>
      <c r="AN5545">
        <v>44</v>
      </c>
      <c r="AP5545">
        <v>1</v>
      </c>
      <c r="AR5545" t="s">
        <v>5651</v>
      </c>
      <c r="AS5545" s="1">
        <v>44354.106249999997</v>
      </c>
      <c r="AT5545" s="1">
        <v>44354.109386574077</v>
      </c>
      <c r="AU5545" s="1">
        <v>44354.110347222224</v>
      </c>
      <c r="AV5545" t="s">
        <v>71</v>
      </c>
      <c r="AW5545" t="s">
        <v>72</v>
      </c>
      <c r="AX5545" t="s">
        <v>73</v>
      </c>
    </row>
    <row r="5546" spans="1:50" x14ac:dyDescent="0.3">
      <c r="A5546" t="str">
        <f>"201523B0000"</f>
        <v>201523B0000</v>
      </c>
      <c r="B5546" t="str">
        <f>"201523B00002"</f>
        <v>201523B00002</v>
      </c>
      <c r="C5546" t="str">
        <f t="shared" si="274"/>
        <v>20</v>
      </c>
      <c r="D5546" t="s">
        <v>67</v>
      </c>
      <c r="E5546" t="str">
        <f t="shared" si="273"/>
        <v>025</v>
      </c>
      <c r="F5546" t="s">
        <v>5603</v>
      </c>
      <c r="G5546" t="str">
        <f>"1523"</f>
        <v>1523</v>
      </c>
      <c r="H5546" t="str">
        <f>"0000"</f>
        <v>0000</v>
      </c>
      <c r="I5546" t="s">
        <v>69</v>
      </c>
      <c r="J5546">
        <v>0</v>
      </c>
      <c r="K5546">
        <v>1</v>
      </c>
      <c r="L5546">
        <v>2</v>
      </c>
      <c r="M5546">
        <v>220</v>
      </c>
      <c r="N5546">
        <v>301</v>
      </c>
      <c r="O5546">
        <v>5</v>
      </c>
      <c r="P5546">
        <v>296</v>
      </c>
      <c r="Q5546">
        <v>5</v>
      </c>
      <c r="R5546">
        <v>20</v>
      </c>
      <c r="S5546">
        <v>3</v>
      </c>
      <c r="T5546">
        <v>28</v>
      </c>
      <c r="U5546">
        <v>6</v>
      </c>
      <c r="V5546">
        <v>3</v>
      </c>
      <c r="W5546">
        <v>5</v>
      </c>
      <c r="X5546">
        <v>99</v>
      </c>
      <c r="Y5546">
        <v>108</v>
      </c>
      <c r="Z5546">
        <v>8</v>
      </c>
      <c r="AA5546">
        <v>7</v>
      </c>
      <c r="AB5546">
        <v>4</v>
      </c>
      <c r="AD5546">
        <v>0</v>
      </c>
      <c r="AE5546">
        <v>0</v>
      </c>
      <c r="AF5546">
        <v>0</v>
      </c>
      <c r="AG5546">
        <v>0</v>
      </c>
      <c r="AI5546">
        <v>0</v>
      </c>
      <c r="AJ5546">
        <v>5</v>
      </c>
      <c r="AK5546">
        <v>301</v>
      </c>
      <c r="AL5546">
        <v>301</v>
      </c>
      <c r="AM5546">
        <v>476</v>
      </c>
      <c r="AN5546">
        <v>44</v>
      </c>
      <c r="AP5546">
        <v>1</v>
      </c>
      <c r="AR5546" t="s">
        <v>5652</v>
      </c>
      <c r="AS5546" s="1">
        <v>44354.109027777777</v>
      </c>
      <c r="AT5546" s="1">
        <v>44354.112384259257</v>
      </c>
      <c r="AU5546" s="1">
        <v>44354.113321759258</v>
      </c>
      <c r="AV5546" t="s">
        <v>71</v>
      </c>
      <c r="AW5546" t="s">
        <v>72</v>
      </c>
      <c r="AX5546" t="s">
        <v>73</v>
      </c>
    </row>
    <row r="5547" spans="1:50" x14ac:dyDescent="0.3">
      <c r="A5547" t="str">
        <f>"201523C0100"</f>
        <v>201523C0100</v>
      </c>
      <c r="B5547" t="str">
        <f>"201523C01002"</f>
        <v>201523C01002</v>
      </c>
      <c r="C5547" t="str">
        <f t="shared" si="274"/>
        <v>20</v>
      </c>
      <c r="D5547" t="s">
        <v>67</v>
      </c>
      <c r="E5547" t="str">
        <f t="shared" si="273"/>
        <v>025</v>
      </c>
      <c r="F5547" t="s">
        <v>5603</v>
      </c>
      <c r="G5547" t="str">
        <f>"1523"</f>
        <v>1523</v>
      </c>
      <c r="H5547" t="str">
        <f>"0001"</f>
        <v>0001</v>
      </c>
      <c r="I5547" t="s">
        <v>75</v>
      </c>
      <c r="J5547">
        <v>0</v>
      </c>
      <c r="K5547">
        <v>1</v>
      </c>
      <c r="L5547">
        <v>2</v>
      </c>
      <c r="M5547">
        <v>204</v>
      </c>
      <c r="N5547">
        <v>315</v>
      </c>
      <c r="O5547">
        <v>4</v>
      </c>
      <c r="P5547">
        <v>315</v>
      </c>
      <c r="Q5547">
        <v>4</v>
      </c>
      <c r="R5547">
        <v>10</v>
      </c>
      <c r="S5547">
        <v>3</v>
      </c>
      <c r="T5547">
        <v>19</v>
      </c>
      <c r="U5547">
        <v>4</v>
      </c>
      <c r="V5547">
        <v>4</v>
      </c>
      <c r="W5547">
        <v>2</v>
      </c>
      <c r="X5547">
        <v>113</v>
      </c>
      <c r="Y5547">
        <v>127</v>
      </c>
      <c r="Z5547">
        <v>7</v>
      </c>
      <c r="AA5547">
        <v>6</v>
      </c>
      <c r="AB5547">
        <v>3</v>
      </c>
      <c r="AD5547">
        <v>0</v>
      </c>
      <c r="AE5547">
        <v>1</v>
      </c>
      <c r="AF5547">
        <v>0</v>
      </c>
      <c r="AG5547">
        <v>0</v>
      </c>
      <c r="AI5547">
        <v>0</v>
      </c>
      <c r="AJ5547">
        <v>12</v>
      </c>
      <c r="AK5547">
        <v>315</v>
      </c>
      <c r="AL5547">
        <v>315</v>
      </c>
      <c r="AM5547">
        <v>475</v>
      </c>
      <c r="AN5547">
        <v>44</v>
      </c>
      <c r="AP5547">
        <v>1</v>
      </c>
      <c r="AR5547" t="s">
        <v>5653</v>
      </c>
      <c r="AS5547" s="1">
        <v>44354.109027777777</v>
      </c>
      <c r="AT5547" s="1">
        <v>44354.114004629628</v>
      </c>
      <c r="AU5547" s="1">
        <v>44354.114606481482</v>
      </c>
      <c r="AV5547" t="s">
        <v>71</v>
      </c>
      <c r="AW5547" t="s">
        <v>72</v>
      </c>
      <c r="AX5547" t="s">
        <v>73</v>
      </c>
    </row>
    <row r="5548" spans="1:50" x14ac:dyDescent="0.3">
      <c r="A5548" t="str">
        <f>"201524B0000"</f>
        <v>201524B0000</v>
      </c>
      <c r="B5548" t="str">
        <f>"201524B00002"</f>
        <v>201524B00002</v>
      </c>
      <c r="C5548" t="str">
        <f t="shared" si="274"/>
        <v>20</v>
      </c>
      <c r="D5548" t="s">
        <v>67</v>
      </c>
      <c r="E5548" t="str">
        <f t="shared" si="273"/>
        <v>025</v>
      </c>
      <c r="F5548" t="s">
        <v>5603</v>
      </c>
      <c r="G5548" t="str">
        <f>"1524"</f>
        <v>1524</v>
      </c>
      <c r="H5548" t="str">
        <f>"0000"</f>
        <v>0000</v>
      </c>
      <c r="I5548" t="s">
        <v>69</v>
      </c>
      <c r="J5548">
        <v>0</v>
      </c>
      <c r="K5548">
        <v>1</v>
      </c>
      <c r="L5548">
        <v>2</v>
      </c>
      <c r="M5548">
        <v>218</v>
      </c>
      <c r="N5548">
        <v>254</v>
      </c>
      <c r="O5548">
        <v>3</v>
      </c>
      <c r="P5548">
        <v>254</v>
      </c>
      <c r="Q5548">
        <v>5</v>
      </c>
      <c r="R5548">
        <v>16</v>
      </c>
      <c r="S5548">
        <v>4</v>
      </c>
      <c r="T5548">
        <v>32</v>
      </c>
      <c r="U5548">
        <v>19</v>
      </c>
      <c r="V5548">
        <v>1</v>
      </c>
      <c r="W5548">
        <v>1</v>
      </c>
      <c r="X5548">
        <v>101</v>
      </c>
      <c r="Y5548">
        <v>31</v>
      </c>
      <c r="Z5548">
        <v>5</v>
      </c>
      <c r="AA5548">
        <v>5</v>
      </c>
      <c r="AB5548">
        <v>10</v>
      </c>
      <c r="AD5548">
        <v>1</v>
      </c>
      <c r="AE5548">
        <v>0</v>
      </c>
      <c r="AF5548">
        <v>0</v>
      </c>
      <c r="AG5548">
        <v>0</v>
      </c>
      <c r="AI5548">
        <v>0</v>
      </c>
      <c r="AJ5548">
        <v>23</v>
      </c>
      <c r="AK5548">
        <v>254</v>
      </c>
      <c r="AL5548">
        <v>254</v>
      </c>
      <c r="AM5548">
        <v>428</v>
      </c>
      <c r="AN5548">
        <v>44</v>
      </c>
      <c r="AP5548">
        <v>1</v>
      </c>
      <c r="AR5548" t="s">
        <v>5654</v>
      </c>
      <c r="AS5548" s="1">
        <v>44354.05972222222</v>
      </c>
      <c r="AT5548" s="1">
        <v>44354.08053240741</v>
      </c>
      <c r="AU5548" s="1">
        <v>44354.080914351849</v>
      </c>
      <c r="AV5548" t="s">
        <v>71</v>
      </c>
      <c r="AW5548" t="s">
        <v>72</v>
      </c>
      <c r="AX5548" t="s">
        <v>73</v>
      </c>
    </row>
    <row r="5549" spans="1:50" x14ac:dyDescent="0.3">
      <c r="A5549" t="str">
        <f>"201525B0000"</f>
        <v>201525B0000</v>
      </c>
      <c r="B5549" t="str">
        <f>"201525B00002"</f>
        <v>201525B00002</v>
      </c>
      <c r="C5549" t="str">
        <f t="shared" si="274"/>
        <v>20</v>
      </c>
      <c r="D5549" t="s">
        <v>67</v>
      </c>
      <c r="E5549" t="str">
        <f t="shared" si="273"/>
        <v>025</v>
      </c>
      <c r="F5549" t="s">
        <v>5603</v>
      </c>
      <c r="G5549" t="str">
        <f>"1525"</f>
        <v>1525</v>
      </c>
      <c r="H5549" t="str">
        <f>"0000"</f>
        <v>0000</v>
      </c>
      <c r="I5549" t="s">
        <v>69</v>
      </c>
      <c r="J5549">
        <v>0</v>
      </c>
      <c r="K5549">
        <v>1</v>
      </c>
      <c r="L5549">
        <v>2</v>
      </c>
      <c r="M5549">
        <v>264</v>
      </c>
      <c r="N5549">
        <v>371</v>
      </c>
      <c r="O5549">
        <v>6</v>
      </c>
      <c r="P5549">
        <v>371</v>
      </c>
      <c r="Q5549">
        <v>5</v>
      </c>
      <c r="R5549">
        <v>40</v>
      </c>
      <c r="S5549">
        <v>5</v>
      </c>
      <c r="T5549">
        <v>96</v>
      </c>
      <c r="U5549">
        <v>29</v>
      </c>
      <c r="V5549">
        <v>9</v>
      </c>
      <c r="W5549">
        <v>0</v>
      </c>
      <c r="X5549">
        <v>104</v>
      </c>
      <c r="Y5549">
        <v>31</v>
      </c>
      <c r="Z5549">
        <v>3</v>
      </c>
      <c r="AA5549">
        <v>7</v>
      </c>
      <c r="AB5549">
        <v>13</v>
      </c>
      <c r="AD5549">
        <v>4</v>
      </c>
      <c r="AE5549">
        <v>1</v>
      </c>
      <c r="AF5549">
        <v>0</v>
      </c>
      <c r="AG5549">
        <v>0</v>
      </c>
      <c r="AI5549" t="s">
        <v>77</v>
      </c>
      <c r="AJ5549">
        <v>24</v>
      </c>
      <c r="AK5549">
        <v>371</v>
      </c>
      <c r="AL5549">
        <v>371</v>
      </c>
      <c r="AM5549">
        <v>591</v>
      </c>
      <c r="AN5549">
        <v>44</v>
      </c>
      <c r="AO5549" t="s">
        <v>78</v>
      </c>
      <c r="AP5549">
        <v>1</v>
      </c>
      <c r="AR5549" t="s">
        <v>5655</v>
      </c>
      <c r="AS5549" s="1">
        <v>44354.288888888892</v>
      </c>
      <c r="AT5549" s="1">
        <v>44354.293402777781</v>
      </c>
      <c r="AU5549" s="1">
        <v>44354.294259259259</v>
      </c>
      <c r="AV5549" t="s">
        <v>71</v>
      </c>
      <c r="AW5549" t="s">
        <v>72</v>
      </c>
      <c r="AX5549" t="s">
        <v>73</v>
      </c>
    </row>
    <row r="5550" spans="1:50" x14ac:dyDescent="0.3">
      <c r="A5550" t="str">
        <f>"201525C0100"</f>
        <v>201525C0100</v>
      </c>
      <c r="B5550" t="str">
        <f>"201525C01002"</f>
        <v>201525C01002</v>
      </c>
      <c r="C5550" t="str">
        <f t="shared" si="274"/>
        <v>20</v>
      </c>
      <c r="D5550" t="s">
        <v>67</v>
      </c>
      <c r="E5550" t="str">
        <f t="shared" si="273"/>
        <v>025</v>
      </c>
      <c r="F5550" t="s">
        <v>5603</v>
      </c>
      <c r="G5550" t="str">
        <f>"1525"</f>
        <v>1525</v>
      </c>
      <c r="H5550" t="str">
        <f>"0001"</f>
        <v>0001</v>
      </c>
      <c r="I5550" t="s">
        <v>75</v>
      </c>
      <c r="J5550">
        <v>0</v>
      </c>
      <c r="K5550">
        <v>1</v>
      </c>
      <c r="L5550">
        <v>2</v>
      </c>
      <c r="M5550">
        <v>265</v>
      </c>
      <c r="N5550">
        <v>369</v>
      </c>
      <c r="O5550">
        <v>1</v>
      </c>
      <c r="P5550">
        <v>369</v>
      </c>
      <c r="Q5550">
        <v>4</v>
      </c>
      <c r="R5550">
        <v>26</v>
      </c>
      <c r="S5550">
        <v>20</v>
      </c>
      <c r="T5550">
        <v>77</v>
      </c>
      <c r="U5550">
        <v>33</v>
      </c>
      <c r="V5550">
        <v>8</v>
      </c>
      <c r="W5550">
        <v>7</v>
      </c>
      <c r="X5550">
        <v>117</v>
      </c>
      <c r="Y5550">
        <v>29</v>
      </c>
      <c r="Z5550">
        <v>5</v>
      </c>
      <c r="AA5550">
        <v>5</v>
      </c>
      <c r="AB5550">
        <v>16</v>
      </c>
      <c r="AD5550" t="s">
        <v>77</v>
      </c>
      <c r="AE5550" t="s">
        <v>77</v>
      </c>
      <c r="AF5550" t="s">
        <v>77</v>
      </c>
      <c r="AG5550" t="s">
        <v>77</v>
      </c>
      <c r="AI5550" t="s">
        <v>77</v>
      </c>
      <c r="AJ5550" t="s">
        <v>77</v>
      </c>
      <c r="AK5550" t="s">
        <v>77</v>
      </c>
      <c r="AL5550">
        <v>347</v>
      </c>
      <c r="AM5550">
        <v>590</v>
      </c>
      <c r="AN5550">
        <v>44</v>
      </c>
      <c r="AO5550" t="s">
        <v>78</v>
      </c>
      <c r="AP5550">
        <v>1</v>
      </c>
      <c r="AR5550" t="s">
        <v>5656</v>
      </c>
      <c r="AS5550" s="1">
        <v>44354.289583333331</v>
      </c>
      <c r="AT5550" s="1">
        <v>44354.296469907407</v>
      </c>
      <c r="AU5550" s="1">
        <v>44354.297418981485</v>
      </c>
      <c r="AV5550" t="s">
        <v>71</v>
      </c>
      <c r="AW5550" t="s">
        <v>72</v>
      </c>
      <c r="AX5550" t="s">
        <v>73</v>
      </c>
    </row>
    <row r="5551" spans="1:50" x14ac:dyDescent="0.3">
      <c r="A5551" t="str">
        <f>"201527B0000"</f>
        <v>201527B0000</v>
      </c>
      <c r="B5551" t="str">
        <f>"201527B00002"</f>
        <v>201527B00002</v>
      </c>
      <c r="C5551" t="str">
        <f t="shared" si="274"/>
        <v>20</v>
      </c>
      <c r="D5551" t="s">
        <v>67</v>
      </c>
      <c r="E5551" t="str">
        <f t="shared" si="273"/>
        <v>025</v>
      </c>
      <c r="F5551" t="s">
        <v>5603</v>
      </c>
      <c r="G5551" t="str">
        <f>"1527"</f>
        <v>1527</v>
      </c>
      <c r="H5551" t="str">
        <f>"0000"</f>
        <v>0000</v>
      </c>
      <c r="I5551" t="s">
        <v>69</v>
      </c>
      <c r="J5551">
        <v>0</v>
      </c>
      <c r="K5551">
        <v>1</v>
      </c>
      <c r="L5551">
        <v>2</v>
      </c>
      <c r="M5551">
        <v>303</v>
      </c>
      <c r="N5551">
        <v>340</v>
      </c>
      <c r="O5551">
        <v>1</v>
      </c>
      <c r="P5551" t="s">
        <v>80</v>
      </c>
      <c r="Q5551">
        <v>11</v>
      </c>
      <c r="R5551">
        <v>19</v>
      </c>
      <c r="S5551">
        <v>26</v>
      </c>
      <c r="T5551">
        <v>80</v>
      </c>
      <c r="U5551">
        <v>9</v>
      </c>
      <c r="V5551">
        <v>4</v>
      </c>
      <c r="W5551">
        <v>6</v>
      </c>
      <c r="X5551">
        <v>96</v>
      </c>
      <c r="Y5551">
        <v>42</v>
      </c>
      <c r="Z5551">
        <v>23</v>
      </c>
      <c r="AA5551">
        <v>4</v>
      </c>
      <c r="AB5551">
        <v>5</v>
      </c>
      <c r="AD5551">
        <v>2</v>
      </c>
      <c r="AE5551">
        <v>0</v>
      </c>
      <c r="AF5551">
        <v>1</v>
      </c>
      <c r="AG5551">
        <v>0</v>
      </c>
      <c r="AI5551">
        <v>0</v>
      </c>
      <c r="AJ5551">
        <v>12</v>
      </c>
      <c r="AK5551">
        <v>340</v>
      </c>
      <c r="AL5551">
        <v>340</v>
      </c>
      <c r="AM5551">
        <v>599</v>
      </c>
      <c r="AN5551">
        <v>44</v>
      </c>
      <c r="AP5551">
        <v>1</v>
      </c>
      <c r="AR5551" t="s">
        <v>5657</v>
      </c>
      <c r="AS5551" s="1">
        <v>44354.005555555559</v>
      </c>
      <c r="AT5551" s="1">
        <v>44354.011469907404</v>
      </c>
      <c r="AU5551" s="1">
        <v>44354.012060185189</v>
      </c>
      <c r="AV5551" t="s">
        <v>71</v>
      </c>
      <c r="AW5551" t="s">
        <v>72</v>
      </c>
      <c r="AX5551" t="s">
        <v>73</v>
      </c>
    </row>
    <row r="5552" spans="1:50" x14ac:dyDescent="0.3">
      <c r="A5552" t="str">
        <f>"201527C0100"</f>
        <v>201527C0100</v>
      </c>
      <c r="B5552" t="str">
        <f>"201527C01002"</f>
        <v>201527C01002</v>
      </c>
      <c r="C5552" t="str">
        <f t="shared" si="274"/>
        <v>20</v>
      </c>
      <c r="D5552" t="s">
        <v>67</v>
      </c>
      <c r="E5552" t="str">
        <f t="shared" si="273"/>
        <v>025</v>
      </c>
      <c r="F5552" t="s">
        <v>5603</v>
      </c>
      <c r="G5552" t="str">
        <f>"1527"</f>
        <v>1527</v>
      </c>
      <c r="H5552" t="str">
        <f>"0001"</f>
        <v>0001</v>
      </c>
      <c r="I5552" t="s">
        <v>75</v>
      </c>
      <c r="J5552">
        <v>0</v>
      </c>
      <c r="K5552">
        <v>1</v>
      </c>
      <c r="L5552">
        <v>2</v>
      </c>
      <c r="M5552">
        <v>260</v>
      </c>
      <c r="N5552">
        <v>643</v>
      </c>
      <c r="O5552">
        <v>2</v>
      </c>
      <c r="P5552">
        <v>383</v>
      </c>
      <c r="Q5552">
        <v>6</v>
      </c>
      <c r="R5552">
        <v>36</v>
      </c>
      <c r="S5552">
        <v>40</v>
      </c>
      <c r="T5552">
        <v>82</v>
      </c>
      <c r="U5552">
        <v>10</v>
      </c>
      <c r="V5552">
        <v>5</v>
      </c>
      <c r="W5552">
        <v>17</v>
      </c>
      <c r="X5552">
        <v>108</v>
      </c>
      <c r="Y5552">
        <v>27</v>
      </c>
      <c r="Z5552">
        <v>13</v>
      </c>
      <c r="AA5552">
        <v>2</v>
      </c>
      <c r="AB5552">
        <v>14</v>
      </c>
      <c r="AD5552">
        <v>2</v>
      </c>
      <c r="AE5552" t="s">
        <v>77</v>
      </c>
      <c r="AF5552" t="s">
        <v>77</v>
      </c>
      <c r="AG5552" t="s">
        <v>77</v>
      </c>
      <c r="AI5552" t="s">
        <v>77</v>
      </c>
      <c r="AJ5552" t="s">
        <v>77</v>
      </c>
      <c r="AK5552" t="s">
        <v>77</v>
      </c>
      <c r="AL5552">
        <v>362</v>
      </c>
      <c r="AM5552">
        <v>599</v>
      </c>
      <c r="AN5552">
        <v>44</v>
      </c>
      <c r="AO5552" t="s">
        <v>78</v>
      </c>
      <c r="AP5552">
        <v>1</v>
      </c>
      <c r="AR5552" t="s">
        <v>5658</v>
      </c>
      <c r="AS5552" s="1">
        <v>44354.003472222219</v>
      </c>
      <c r="AT5552" s="1">
        <v>44354.487766203703</v>
      </c>
      <c r="AU5552" s="1">
        <v>44354.489027777781</v>
      </c>
      <c r="AV5552" t="s">
        <v>71</v>
      </c>
      <c r="AW5552" t="s">
        <v>72</v>
      </c>
      <c r="AX5552" t="s">
        <v>73</v>
      </c>
    </row>
    <row r="5553" spans="1:50" x14ac:dyDescent="0.3">
      <c r="A5553" t="str">
        <f>"201527C0200"</f>
        <v>201527C0200</v>
      </c>
      <c r="B5553" t="str">
        <f>"201527C02002"</f>
        <v>201527C02002</v>
      </c>
      <c r="C5553" t="str">
        <f t="shared" si="274"/>
        <v>20</v>
      </c>
      <c r="D5553" t="s">
        <v>67</v>
      </c>
      <c r="E5553" t="str">
        <f t="shared" si="273"/>
        <v>025</v>
      </c>
      <c r="F5553" t="s">
        <v>5603</v>
      </c>
      <c r="G5553" t="str">
        <f>"1527"</f>
        <v>1527</v>
      </c>
      <c r="H5553" t="str">
        <f>"0002"</f>
        <v>0002</v>
      </c>
      <c r="I5553" t="s">
        <v>75</v>
      </c>
      <c r="J5553">
        <v>0</v>
      </c>
      <c r="K5553">
        <v>1</v>
      </c>
      <c r="L5553">
        <v>2</v>
      </c>
      <c r="M5553">
        <v>319</v>
      </c>
      <c r="N5553">
        <v>323</v>
      </c>
      <c r="O5553">
        <v>7</v>
      </c>
      <c r="P5553">
        <v>322</v>
      </c>
      <c r="Q5553">
        <v>11</v>
      </c>
      <c r="R5553">
        <v>28</v>
      </c>
      <c r="S5553">
        <v>22</v>
      </c>
      <c r="T5553">
        <v>60</v>
      </c>
      <c r="U5553">
        <v>7</v>
      </c>
      <c r="V5553">
        <v>8</v>
      </c>
      <c r="W5553">
        <v>13</v>
      </c>
      <c r="X5553">
        <v>98</v>
      </c>
      <c r="Y5553">
        <v>29</v>
      </c>
      <c r="Z5553">
        <v>17</v>
      </c>
      <c r="AA5553">
        <v>2</v>
      </c>
      <c r="AB5553">
        <v>6</v>
      </c>
      <c r="AD5553" t="s">
        <v>77</v>
      </c>
      <c r="AE5553" t="s">
        <v>77</v>
      </c>
      <c r="AF5553" t="s">
        <v>77</v>
      </c>
      <c r="AG5553">
        <v>3</v>
      </c>
      <c r="AI5553" t="s">
        <v>77</v>
      </c>
      <c r="AJ5553">
        <v>18</v>
      </c>
      <c r="AK5553">
        <v>322</v>
      </c>
      <c r="AL5553">
        <v>322</v>
      </c>
      <c r="AM5553">
        <v>598</v>
      </c>
      <c r="AN5553">
        <v>44</v>
      </c>
      <c r="AO5553" t="s">
        <v>78</v>
      </c>
      <c r="AP5553">
        <v>1</v>
      </c>
      <c r="AR5553" t="s">
        <v>5659</v>
      </c>
      <c r="AS5553" s="1">
        <v>44354.004861111112</v>
      </c>
      <c r="AT5553" s="1">
        <v>44354.482835648145</v>
      </c>
      <c r="AU5553" s="1">
        <v>44354.483518518522</v>
      </c>
      <c r="AV5553" t="s">
        <v>71</v>
      </c>
      <c r="AW5553" t="s">
        <v>72</v>
      </c>
      <c r="AX5553" t="s">
        <v>73</v>
      </c>
    </row>
    <row r="5554" spans="1:50" x14ac:dyDescent="0.3">
      <c r="A5554" t="str">
        <f>"201527C0300"</f>
        <v>201527C0300</v>
      </c>
      <c r="B5554" t="str">
        <f>"201527C03002"</f>
        <v>201527C03002</v>
      </c>
      <c r="C5554" t="str">
        <f t="shared" si="274"/>
        <v>20</v>
      </c>
      <c r="D5554" t="s">
        <v>67</v>
      </c>
      <c r="E5554" t="str">
        <f t="shared" si="273"/>
        <v>025</v>
      </c>
      <c r="F5554" t="s">
        <v>5603</v>
      </c>
      <c r="G5554" t="str">
        <f>"1527"</f>
        <v>1527</v>
      </c>
      <c r="H5554" t="str">
        <f>"0003"</f>
        <v>0003</v>
      </c>
      <c r="I5554" t="s">
        <v>75</v>
      </c>
      <c r="J5554">
        <v>0</v>
      </c>
      <c r="K5554">
        <v>1</v>
      </c>
      <c r="L5554">
        <v>2</v>
      </c>
      <c r="AM5554">
        <v>598</v>
      </c>
      <c r="AN5554">
        <v>44</v>
      </c>
      <c r="AO5554" t="s">
        <v>2056</v>
      </c>
      <c r="AP5554">
        <v>0</v>
      </c>
      <c r="AR5554" t="s">
        <v>5660</v>
      </c>
      <c r="AS5554" s="1">
        <v>44354.65</v>
      </c>
      <c r="AT5554" s="1">
        <v>44354.652743055558</v>
      </c>
      <c r="AU5554" s="1">
        <v>44354.652743055558</v>
      </c>
      <c r="AV5554" t="s">
        <v>71</v>
      </c>
      <c r="AW5554" t="s">
        <v>72</v>
      </c>
      <c r="AX5554" t="s">
        <v>73</v>
      </c>
    </row>
    <row r="5555" spans="1:50" x14ac:dyDescent="0.3">
      <c r="A5555" t="str">
        <f>"201528B0000"</f>
        <v>201528B0000</v>
      </c>
      <c r="B5555" t="str">
        <f>"201528B00002"</f>
        <v>201528B00002</v>
      </c>
      <c r="C5555" t="str">
        <f t="shared" si="274"/>
        <v>20</v>
      </c>
      <c r="D5555" t="s">
        <v>67</v>
      </c>
      <c r="E5555" t="str">
        <f t="shared" si="273"/>
        <v>025</v>
      </c>
      <c r="F5555" t="s">
        <v>5603</v>
      </c>
      <c r="G5555" t="str">
        <f>"1528"</f>
        <v>1528</v>
      </c>
      <c r="H5555" t="str">
        <f>"0000"</f>
        <v>0000</v>
      </c>
      <c r="I5555" t="s">
        <v>69</v>
      </c>
      <c r="J5555">
        <v>0</v>
      </c>
      <c r="K5555">
        <v>1</v>
      </c>
      <c r="L5555">
        <v>2</v>
      </c>
      <c r="M5555">
        <v>271</v>
      </c>
      <c r="N5555">
        <v>313</v>
      </c>
      <c r="O5555">
        <v>8</v>
      </c>
      <c r="P5555">
        <v>0</v>
      </c>
      <c r="Q5555">
        <v>4</v>
      </c>
      <c r="R5555">
        <v>23</v>
      </c>
      <c r="S5555">
        <v>29</v>
      </c>
      <c r="T5555">
        <v>63</v>
      </c>
      <c r="U5555">
        <v>15</v>
      </c>
      <c r="V5555">
        <v>12</v>
      </c>
      <c r="W5555">
        <v>2</v>
      </c>
      <c r="X5555">
        <v>101</v>
      </c>
      <c r="Y5555">
        <v>37</v>
      </c>
      <c r="Z5555">
        <v>3</v>
      </c>
      <c r="AA5555">
        <v>4</v>
      </c>
      <c r="AB5555">
        <v>6</v>
      </c>
      <c r="AD5555">
        <v>2</v>
      </c>
      <c r="AE5555">
        <v>0</v>
      </c>
      <c r="AF5555">
        <v>0</v>
      </c>
      <c r="AG5555">
        <v>0</v>
      </c>
      <c r="AI5555">
        <v>0</v>
      </c>
      <c r="AJ5555">
        <v>12</v>
      </c>
      <c r="AK5555">
        <v>313</v>
      </c>
      <c r="AL5555">
        <v>313</v>
      </c>
      <c r="AM5555">
        <v>540</v>
      </c>
      <c r="AN5555">
        <v>44</v>
      </c>
      <c r="AP5555">
        <v>1</v>
      </c>
      <c r="AR5555" t="s">
        <v>5661</v>
      </c>
      <c r="AS5555" s="1">
        <v>44354.015277777777</v>
      </c>
      <c r="AT5555" s="1">
        <v>44354.022465277776</v>
      </c>
      <c r="AU5555" s="1">
        <v>44354.022928240738</v>
      </c>
      <c r="AV5555" t="s">
        <v>71</v>
      </c>
      <c r="AW5555" t="s">
        <v>72</v>
      </c>
      <c r="AX5555" t="s">
        <v>73</v>
      </c>
    </row>
    <row r="5556" spans="1:50" x14ac:dyDescent="0.3">
      <c r="A5556" t="str">
        <f>"201528C0100"</f>
        <v>201528C0100</v>
      </c>
      <c r="B5556" t="str">
        <f>"201528C01002"</f>
        <v>201528C01002</v>
      </c>
      <c r="C5556" t="str">
        <f t="shared" si="274"/>
        <v>20</v>
      </c>
      <c r="D5556" t="s">
        <v>67</v>
      </c>
      <c r="E5556" t="str">
        <f t="shared" si="273"/>
        <v>025</v>
      </c>
      <c r="F5556" t="s">
        <v>5603</v>
      </c>
      <c r="G5556" t="str">
        <f>"1528"</f>
        <v>1528</v>
      </c>
      <c r="H5556" t="str">
        <f>"0001"</f>
        <v>0001</v>
      </c>
      <c r="I5556" t="s">
        <v>75</v>
      </c>
      <c r="J5556">
        <v>0</v>
      </c>
      <c r="K5556">
        <v>1</v>
      </c>
      <c r="L5556">
        <v>2</v>
      </c>
      <c r="M5556">
        <v>265</v>
      </c>
      <c r="N5556">
        <v>319</v>
      </c>
      <c r="O5556">
        <v>9</v>
      </c>
      <c r="P5556">
        <v>0</v>
      </c>
      <c r="Q5556">
        <v>6</v>
      </c>
      <c r="R5556">
        <v>22</v>
      </c>
      <c r="S5556">
        <v>28</v>
      </c>
      <c r="T5556">
        <v>78</v>
      </c>
      <c r="U5556">
        <v>9</v>
      </c>
      <c r="V5556">
        <v>7</v>
      </c>
      <c r="W5556">
        <v>7</v>
      </c>
      <c r="X5556">
        <v>92</v>
      </c>
      <c r="Y5556">
        <v>35</v>
      </c>
      <c r="Z5556">
        <v>12</v>
      </c>
      <c r="AA5556">
        <v>6</v>
      </c>
      <c r="AB5556">
        <v>11</v>
      </c>
      <c r="AD5556">
        <v>0</v>
      </c>
      <c r="AE5556">
        <v>0</v>
      </c>
      <c r="AF5556">
        <v>0</v>
      </c>
      <c r="AG5556">
        <v>1</v>
      </c>
      <c r="AI5556">
        <v>0</v>
      </c>
      <c r="AJ5556">
        <v>5</v>
      </c>
      <c r="AK5556">
        <v>319</v>
      </c>
      <c r="AL5556">
        <v>319</v>
      </c>
      <c r="AM5556">
        <v>540</v>
      </c>
      <c r="AN5556">
        <v>44</v>
      </c>
      <c r="AP5556">
        <v>1</v>
      </c>
      <c r="AR5556" t="s">
        <v>5662</v>
      </c>
      <c r="AS5556" s="1">
        <v>44354.015277777777</v>
      </c>
      <c r="AT5556" s="1">
        <v>44354.021909722222</v>
      </c>
      <c r="AU5556" s="1">
        <v>44354.022187499999</v>
      </c>
      <c r="AV5556" t="s">
        <v>71</v>
      </c>
      <c r="AW5556" t="s">
        <v>72</v>
      </c>
      <c r="AX5556" t="s">
        <v>73</v>
      </c>
    </row>
    <row r="5557" spans="1:50" x14ac:dyDescent="0.3">
      <c r="A5557" t="str">
        <f>"201528C0200"</f>
        <v>201528C0200</v>
      </c>
      <c r="B5557" t="str">
        <f>"201528C02002"</f>
        <v>201528C02002</v>
      </c>
      <c r="C5557" t="str">
        <f t="shared" si="274"/>
        <v>20</v>
      </c>
      <c r="D5557" t="s">
        <v>67</v>
      </c>
      <c r="E5557" t="str">
        <f t="shared" si="273"/>
        <v>025</v>
      </c>
      <c r="F5557" t="s">
        <v>5603</v>
      </c>
      <c r="G5557" t="str">
        <f>"1528"</f>
        <v>1528</v>
      </c>
      <c r="H5557" t="str">
        <f>"0002"</f>
        <v>0002</v>
      </c>
      <c r="I5557" t="s">
        <v>75</v>
      </c>
      <c r="J5557">
        <v>0</v>
      </c>
      <c r="K5557">
        <v>1</v>
      </c>
      <c r="L5557">
        <v>2</v>
      </c>
      <c r="AM5557">
        <v>540</v>
      </c>
      <c r="AN5557">
        <v>44</v>
      </c>
      <c r="AO5557" t="s">
        <v>2056</v>
      </c>
      <c r="AP5557">
        <v>0</v>
      </c>
      <c r="AR5557" t="s">
        <v>5663</v>
      </c>
      <c r="AS5557" s="1">
        <v>44354.635416666664</v>
      </c>
      <c r="AT5557" s="1">
        <v>44354.647048611114</v>
      </c>
      <c r="AU5557" s="1">
        <v>44354.647048611114</v>
      </c>
      <c r="AV5557" t="s">
        <v>71</v>
      </c>
      <c r="AW5557" t="s">
        <v>72</v>
      </c>
      <c r="AX5557" t="s">
        <v>73</v>
      </c>
    </row>
    <row r="5558" spans="1:50" x14ac:dyDescent="0.3">
      <c r="A5558" t="str">
        <f>"201529B0000"</f>
        <v>201529B0000</v>
      </c>
      <c r="B5558" t="str">
        <f>"201529B00002"</f>
        <v>201529B00002</v>
      </c>
      <c r="C5558" t="str">
        <f t="shared" si="274"/>
        <v>20</v>
      </c>
      <c r="D5558" t="s">
        <v>67</v>
      </c>
      <c r="E5558" t="str">
        <f t="shared" si="273"/>
        <v>025</v>
      </c>
      <c r="F5558" t="s">
        <v>5603</v>
      </c>
      <c r="G5558" t="str">
        <f t="shared" ref="G5558:G5563" si="277">"1529"</f>
        <v>1529</v>
      </c>
      <c r="H5558" t="str">
        <f>"0000"</f>
        <v>0000</v>
      </c>
      <c r="I5558" t="s">
        <v>69</v>
      </c>
      <c r="J5558">
        <v>0</v>
      </c>
      <c r="K5558">
        <v>1</v>
      </c>
      <c r="L5558">
        <v>2</v>
      </c>
      <c r="M5558">
        <v>279</v>
      </c>
      <c r="N5558">
        <v>361</v>
      </c>
      <c r="O5558">
        <v>6</v>
      </c>
      <c r="P5558" t="s">
        <v>80</v>
      </c>
      <c r="Q5558">
        <v>0</v>
      </c>
      <c r="R5558">
        <v>0</v>
      </c>
      <c r="S5558">
        <v>0</v>
      </c>
      <c r="T5558">
        <v>77</v>
      </c>
      <c r="U5558">
        <v>9</v>
      </c>
      <c r="V5558">
        <v>11</v>
      </c>
      <c r="W5558">
        <v>5</v>
      </c>
      <c r="X5558">
        <v>106</v>
      </c>
      <c r="Y5558">
        <v>32</v>
      </c>
      <c r="Z5558">
        <v>10</v>
      </c>
      <c r="AA5558">
        <v>7</v>
      </c>
      <c r="AB5558">
        <v>8</v>
      </c>
      <c r="AD5558">
        <v>79</v>
      </c>
      <c r="AE5558">
        <v>0</v>
      </c>
      <c r="AF5558">
        <v>0</v>
      </c>
      <c r="AG5558">
        <v>0</v>
      </c>
      <c r="AI5558" t="s">
        <v>77</v>
      </c>
      <c r="AJ5558">
        <v>17</v>
      </c>
      <c r="AK5558">
        <v>361</v>
      </c>
      <c r="AL5558">
        <v>361</v>
      </c>
      <c r="AM5558">
        <v>596</v>
      </c>
      <c r="AN5558">
        <v>44</v>
      </c>
      <c r="AO5558" t="s">
        <v>78</v>
      </c>
      <c r="AP5558">
        <v>1</v>
      </c>
      <c r="AR5558" t="s">
        <v>5664</v>
      </c>
      <c r="AS5558" s="1">
        <v>44354.079861111109</v>
      </c>
      <c r="AT5558" s="1">
        <v>44354.088645833333</v>
      </c>
      <c r="AU5558" s="1">
        <v>44354.089756944442</v>
      </c>
      <c r="AV5558" t="s">
        <v>71</v>
      </c>
      <c r="AW5558" t="s">
        <v>72</v>
      </c>
      <c r="AX5558" t="s">
        <v>73</v>
      </c>
    </row>
    <row r="5559" spans="1:50" x14ac:dyDescent="0.3">
      <c r="A5559" t="str">
        <f>"201529C0100"</f>
        <v>201529C0100</v>
      </c>
      <c r="B5559" t="str">
        <f>"201529C01002"</f>
        <v>201529C01002</v>
      </c>
      <c r="C5559" t="str">
        <f t="shared" si="274"/>
        <v>20</v>
      </c>
      <c r="D5559" t="s">
        <v>67</v>
      </c>
      <c r="E5559" t="str">
        <f t="shared" si="273"/>
        <v>025</v>
      </c>
      <c r="F5559" t="s">
        <v>5603</v>
      </c>
      <c r="G5559" t="str">
        <f t="shared" si="277"/>
        <v>1529</v>
      </c>
      <c r="H5559" t="str">
        <f>"0001"</f>
        <v>0001</v>
      </c>
      <c r="I5559" t="s">
        <v>75</v>
      </c>
      <c r="J5559">
        <v>0</v>
      </c>
      <c r="K5559">
        <v>1</v>
      </c>
      <c r="L5559">
        <v>2</v>
      </c>
      <c r="AM5559">
        <v>595</v>
      </c>
      <c r="AN5559">
        <v>44</v>
      </c>
      <c r="AO5559" t="s">
        <v>2056</v>
      </c>
      <c r="AP5559">
        <v>0</v>
      </c>
      <c r="AR5559" t="s">
        <v>5665</v>
      </c>
      <c r="AS5559" s="1">
        <v>44354.60833333333</v>
      </c>
      <c r="AT5559" s="1">
        <v>44354.625208333331</v>
      </c>
      <c r="AU5559" s="1">
        <v>44354.625208333331</v>
      </c>
      <c r="AV5559" t="s">
        <v>71</v>
      </c>
      <c r="AW5559" t="s">
        <v>72</v>
      </c>
      <c r="AX5559" t="s">
        <v>73</v>
      </c>
    </row>
    <row r="5560" spans="1:50" x14ac:dyDescent="0.3">
      <c r="A5560" t="str">
        <f>"201529C0200"</f>
        <v>201529C0200</v>
      </c>
      <c r="B5560" t="str">
        <f>"201529C02002"</f>
        <v>201529C02002</v>
      </c>
      <c r="C5560" t="str">
        <f t="shared" si="274"/>
        <v>20</v>
      </c>
      <c r="D5560" t="s">
        <v>67</v>
      </c>
      <c r="E5560" t="str">
        <f t="shared" si="273"/>
        <v>025</v>
      </c>
      <c r="F5560" t="s">
        <v>5603</v>
      </c>
      <c r="G5560" t="str">
        <f t="shared" si="277"/>
        <v>1529</v>
      </c>
      <c r="H5560" t="str">
        <f>"0002"</f>
        <v>0002</v>
      </c>
      <c r="I5560" t="s">
        <v>75</v>
      </c>
      <c r="J5560">
        <v>0</v>
      </c>
      <c r="K5560">
        <v>1</v>
      </c>
      <c r="L5560">
        <v>2</v>
      </c>
      <c r="M5560">
        <v>297</v>
      </c>
      <c r="N5560">
        <v>342</v>
      </c>
      <c r="O5560">
        <v>3</v>
      </c>
      <c r="P5560">
        <v>342</v>
      </c>
      <c r="Q5560">
        <v>6</v>
      </c>
      <c r="R5560">
        <v>32</v>
      </c>
      <c r="S5560">
        <v>30</v>
      </c>
      <c r="T5560">
        <v>60</v>
      </c>
      <c r="U5560">
        <v>9</v>
      </c>
      <c r="V5560">
        <v>9</v>
      </c>
      <c r="W5560">
        <v>6</v>
      </c>
      <c r="X5560">
        <v>106</v>
      </c>
      <c r="Y5560">
        <v>37</v>
      </c>
      <c r="Z5560">
        <v>10</v>
      </c>
      <c r="AA5560">
        <v>7</v>
      </c>
      <c r="AB5560">
        <v>14</v>
      </c>
      <c r="AD5560">
        <v>2</v>
      </c>
      <c r="AE5560">
        <v>0</v>
      </c>
      <c r="AF5560">
        <v>0</v>
      </c>
      <c r="AG5560">
        <v>0</v>
      </c>
      <c r="AI5560">
        <v>0</v>
      </c>
      <c r="AJ5560">
        <v>0</v>
      </c>
      <c r="AK5560">
        <v>342</v>
      </c>
      <c r="AL5560">
        <v>328</v>
      </c>
      <c r="AM5560">
        <v>595</v>
      </c>
      <c r="AN5560">
        <v>44</v>
      </c>
      <c r="AP5560">
        <v>1</v>
      </c>
      <c r="AR5560" t="s">
        <v>5666</v>
      </c>
      <c r="AS5560" s="1">
        <v>44354.079861111109</v>
      </c>
      <c r="AT5560" s="1">
        <v>44354.088587962964</v>
      </c>
      <c r="AU5560" s="1">
        <v>44354.089583333334</v>
      </c>
      <c r="AV5560" t="s">
        <v>71</v>
      </c>
      <c r="AW5560" t="s">
        <v>72</v>
      </c>
      <c r="AX5560" t="s">
        <v>73</v>
      </c>
    </row>
    <row r="5561" spans="1:50" x14ac:dyDescent="0.3">
      <c r="A5561" t="str">
        <f>"201529C0300"</f>
        <v>201529C0300</v>
      </c>
      <c r="B5561" t="str">
        <f>"201529C03002"</f>
        <v>201529C03002</v>
      </c>
      <c r="C5561" t="str">
        <f t="shared" si="274"/>
        <v>20</v>
      </c>
      <c r="D5561" t="s">
        <v>67</v>
      </c>
      <c r="E5561" t="str">
        <f t="shared" si="273"/>
        <v>025</v>
      </c>
      <c r="F5561" t="s">
        <v>5603</v>
      </c>
      <c r="G5561" t="str">
        <f t="shared" si="277"/>
        <v>1529</v>
      </c>
      <c r="H5561" t="str">
        <f>"0003"</f>
        <v>0003</v>
      </c>
      <c r="I5561" t="s">
        <v>75</v>
      </c>
      <c r="J5561">
        <v>0</v>
      </c>
      <c r="K5561">
        <v>1</v>
      </c>
      <c r="L5561">
        <v>2</v>
      </c>
      <c r="M5561">
        <v>300</v>
      </c>
      <c r="N5561">
        <v>338</v>
      </c>
      <c r="O5561">
        <v>2</v>
      </c>
      <c r="P5561">
        <v>339</v>
      </c>
      <c r="Q5561" t="s">
        <v>77</v>
      </c>
      <c r="R5561" t="s">
        <v>77</v>
      </c>
      <c r="S5561" t="s">
        <v>77</v>
      </c>
      <c r="T5561">
        <v>71</v>
      </c>
      <c r="U5561">
        <v>11</v>
      </c>
      <c r="V5561">
        <v>10</v>
      </c>
      <c r="W5561">
        <v>6</v>
      </c>
      <c r="X5561">
        <v>100</v>
      </c>
      <c r="Y5561">
        <v>50</v>
      </c>
      <c r="Z5561">
        <v>7</v>
      </c>
      <c r="AA5561">
        <v>2</v>
      </c>
      <c r="AB5561">
        <v>7</v>
      </c>
      <c r="AD5561">
        <v>63</v>
      </c>
      <c r="AE5561" t="s">
        <v>77</v>
      </c>
      <c r="AF5561" t="s">
        <v>77</v>
      </c>
      <c r="AG5561" t="s">
        <v>77</v>
      </c>
      <c r="AI5561" t="s">
        <v>77</v>
      </c>
      <c r="AJ5561">
        <v>12</v>
      </c>
      <c r="AK5561">
        <v>339</v>
      </c>
      <c r="AL5561">
        <v>339</v>
      </c>
      <c r="AM5561">
        <v>595</v>
      </c>
      <c r="AN5561">
        <v>44</v>
      </c>
      <c r="AO5561" t="s">
        <v>78</v>
      </c>
      <c r="AP5561">
        <v>1</v>
      </c>
      <c r="AR5561" t="s">
        <v>5667</v>
      </c>
      <c r="AS5561" s="1">
        <v>44353.943055555559</v>
      </c>
      <c r="AT5561" s="1">
        <v>44353.945092592592</v>
      </c>
      <c r="AU5561" s="1">
        <v>44353.945983796293</v>
      </c>
      <c r="AV5561" t="s">
        <v>71</v>
      </c>
      <c r="AW5561" t="s">
        <v>72</v>
      </c>
      <c r="AX5561" t="s">
        <v>73</v>
      </c>
    </row>
    <row r="5562" spans="1:50" x14ac:dyDescent="0.3">
      <c r="A5562" t="str">
        <f>"201529E0100"</f>
        <v>201529E0100</v>
      </c>
      <c r="B5562" t="str">
        <f>"201529E01002"</f>
        <v>201529E01002</v>
      </c>
      <c r="C5562" t="str">
        <f t="shared" si="274"/>
        <v>20</v>
      </c>
      <c r="D5562" t="s">
        <v>67</v>
      </c>
      <c r="E5562" t="str">
        <f t="shared" ref="E5562:E5625" si="278">"025"</f>
        <v>025</v>
      </c>
      <c r="F5562" t="s">
        <v>5603</v>
      </c>
      <c r="G5562" t="str">
        <f t="shared" si="277"/>
        <v>1529</v>
      </c>
      <c r="H5562" t="str">
        <f>"0001"</f>
        <v>0001</v>
      </c>
      <c r="I5562" t="s">
        <v>109</v>
      </c>
      <c r="J5562">
        <v>0</v>
      </c>
      <c r="K5562">
        <v>1</v>
      </c>
      <c r="L5562">
        <v>2</v>
      </c>
      <c r="M5562">
        <v>114</v>
      </c>
      <c r="N5562">
        <v>210</v>
      </c>
      <c r="O5562">
        <v>6</v>
      </c>
      <c r="P5562">
        <v>210</v>
      </c>
      <c r="Q5562">
        <v>1</v>
      </c>
      <c r="R5562">
        <v>7</v>
      </c>
      <c r="S5562">
        <v>7</v>
      </c>
      <c r="T5562">
        <v>81</v>
      </c>
      <c r="U5562">
        <v>10</v>
      </c>
      <c r="V5562">
        <v>3</v>
      </c>
      <c r="W5562">
        <v>0</v>
      </c>
      <c r="X5562">
        <v>56</v>
      </c>
      <c r="Y5562">
        <v>18</v>
      </c>
      <c r="Z5562">
        <v>2</v>
      </c>
      <c r="AA5562">
        <v>1</v>
      </c>
      <c r="AB5562">
        <v>15</v>
      </c>
      <c r="AD5562">
        <v>1</v>
      </c>
      <c r="AE5562">
        <v>0</v>
      </c>
      <c r="AF5562">
        <v>0</v>
      </c>
      <c r="AG5562">
        <v>0</v>
      </c>
      <c r="AI5562">
        <v>0</v>
      </c>
      <c r="AJ5562">
        <v>8</v>
      </c>
      <c r="AK5562">
        <v>210</v>
      </c>
      <c r="AL5562">
        <v>210</v>
      </c>
      <c r="AM5562">
        <v>280</v>
      </c>
      <c r="AN5562">
        <v>44</v>
      </c>
      <c r="AP5562">
        <v>1</v>
      </c>
      <c r="AR5562" t="s">
        <v>5668</v>
      </c>
      <c r="AS5562" s="1">
        <v>44354.07916666667</v>
      </c>
      <c r="AT5562" s="1">
        <v>44354.090127314812</v>
      </c>
      <c r="AU5562" s="1">
        <v>44354.09065972222</v>
      </c>
      <c r="AV5562" t="s">
        <v>71</v>
      </c>
      <c r="AW5562" t="s">
        <v>72</v>
      </c>
      <c r="AX5562" t="s">
        <v>73</v>
      </c>
    </row>
    <row r="5563" spans="1:50" x14ac:dyDescent="0.3">
      <c r="A5563" t="str">
        <f>"201529E0200"</f>
        <v>201529E0200</v>
      </c>
      <c r="B5563" t="str">
        <f>"201529E02002"</f>
        <v>201529E02002</v>
      </c>
      <c r="C5563" t="str">
        <f t="shared" si="274"/>
        <v>20</v>
      </c>
      <c r="D5563" t="s">
        <v>67</v>
      </c>
      <c r="E5563" t="str">
        <f t="shared" si="278"/>
        <v>025</v>
      </c>
      <c r="F5563" t="s">
        <v>5603</v>
      </c>
      <c r="G5563" t="str">
        <f t="shared" si="277"/>
        <v>1529</v>
      </c>
      <c r="H5563" t="str">
        <f>"0002"</f>
        <v>0002</v>
      </c>
      <c r="I5563" t="s">
        <v>109</v>
      </c>
      <c r="J5563">
        <v>0</v>
      </c>
      <c r="K5563">
        <v>1</v>
      </c>
      <c r="L5563">
        <v>2</v>
      </c>
      <c r="M5563">
        <v>92</v>
      </c>
      <c r="N5563">
        <v>173</v>
      </c>
      <c r="O5563">
        <v>6</v>
      </c>
      <c r="P5563">
        <v>173</v>
      </c>
      <c r="Q5563">
        <v>1</v>
      </c>
      <c r="R5563">
        <v>18</v>
      </c>
      <c r="S5563">
        <v>8</v>
      </c>
      <c r="T5563">
        <v>53</v>
      </c>
      <c r="U5563">
        <v>4</v>
      </c>
      <c r="V5563">
        <v>7</v>
      </c>
      <c r="W5563">
        <v>7</v>
      </c>
      <c r="X5563">
        <v>34</v>
      </c>
      <c r="Y5563">
        <v>17</v>
      </c>
      <c r="Z5563">
        <v>12</v>
      </c>
      <c r="AA5563">
        <v>1</v>
      </c>
      <c r="AB5563">
        <v>6</v>
      </c>
      <c r="AD5563">
        <v>0</v>
      </c>
      <c r="AE5563">
        <v>0</v>
      </c>
      <c r="AF5563">
        <v>0</v>
      </c>
      <c r="AG5563">
        <v>1</v>
      </c>
      <c r="AI5563">
        <v>0</v>
      </c>
      <c r="AJ5563">
        <v>4</v>
      </c>
      <c r="AK5563">
        <v>173</v>
      </c>
      <c r="AL5563">
        <v>173</v>
      </c>
      <c r="AM5563">
        <v>221</v>
      </c>
      <c r="AN5563">
        <v>44</v>
      </c>
      <c r="AP5563">
        <v>1</v>
      </c>
      <c r="AR5563" t="s">
        <v>5669</v>
      </c>
      <c r="AS5563" s="1">
        <v>44354.080555555556</v>
      </c>
      <c r="AT5563" s="1">
        <v>44354.088807870372</v>
      </c>
      <c r="AU5563" s="1">
        <v>44354.089942129627</v>
      </c>
      <c r="AV5563" t="s">
        <v>71</v>
      </c>
      <c r="AW5563" t="s">
        <v>72</v>
      </c>
      <c r="AX5563" t="s">
        <v>73</v>
      </c>
    </row>
    <row r="5564" spans="1:50" x14ac:dyDescent="0.3">
      <c r="A5564" t="str">
        <f>"201530B0000"</f>
        <v>201530B0000</v>
      </c>
      <c r="B5564" t="str">
        <f>"201530B00002"</f>
        <v>201530B00002</v>
      </c>
      <c r="C5564" t="str">
        <f t="shared" si="274"/>
        <v>20</v>
      </c>
      <c r="D5564" t="s">
        <v>67</v>
      </c>
      <c r="E5564" t="str">
        <f t="shared" si="278"/>
        <v>025</v>
      </c>
      <c r="F5564" t="s">
        <v>5603</v>
      </c>
      <c r="G5564" t="str">
        <f>"1530"</f>
        <v>1530</v>
      </c>
      <c r="H5564" t="str">
        <f>"0000"</f>
        <v>0000</v>
      </c>
      <c r="I5564" t="s">
        <v>69</v>
      </c>
      <c r="J5564">
        <v>0</v>
      </c>
      <c r="K5564">
        <v>1</v>
      </c>
      <c r="L5564">
        <v>2</v>
      </c>
      <c r="M5564">
        <v>275</v>
      </c>
      <c r="N5564">
        <v>299</v>
      </c>
      <c r="O5564">
        <v>2</v>
      </c>
      <c r="P5564">
        <v>299</v>
      </c>
      <c r="Q5564">
        <v>4</v>
      </c>
      <c r="R5564">
        <v>14</v>
      </c>
      <c r="S5564">
        <v>62</v>
      </c>
      <c r="T5564">
        <v>70</v>
      </c>
      <c r="U5564">
        <v>19</v>
      </c>
      <c r="V5564">
        <v>4</v>
      </c>
      <c r="W5564">
        <v>1</v>
      </c>
      <c r="X5564">
        <v>63</v>
      </c>
      <c r="Y5564">
        <v>30</v>
      </c>
      <c r="Z5564">
        <v>2</v>
      </c>
      <c r="AA5564">
        <v>3</v>
      </c>
      <c r="AB5564">
        <v>9</v>
      </c>
      <c r="AD5564">
        <v>2</v>
      </c>
      <c r="AE5564">
        <v>1</v>
      </c>
      <c r="AF5564">
        <v>1</v>
      </c>
      <c r="AG5564">
        <v>1</v>
      </c>
      <c r="AI5564">
        <v>0</v>
      </c>
      <c r="AJ5564">
        <v>13</v>
      </c>
      <c r="AK5564">
        <v>299</v>
      </c>
      <c r="AL5564">
        <v>299</v>
      </c>
      <c r="AM5564">
        <v>530</v>
      </c>
      <c r="AN5564">
        <v>44</v>
      </c>
      <c r="AP5564">
        <v>1</v>
      </c>
      <c r="AR5564" t="s">
        <v>5670</v>
      </c>
      <c r="AS5564" s="1">
        <v>44354.161111111112</v>
      </c>
      <c r="AT5564" s="1">
        <v>44354.163993055554</v>
      </c>
      <c r="AU5564" s="1">
        <v>44354.164756944447</v>
      </c>
      <c r="AV5564" t="s">
        <v>71</v>
      </c>
      <c r="AW5564" t="s">
        <v>72</v>
      </c>
      <c r="AX5564" t="s">
        <v>73</v>
      </c>
    </row>
    <row r="5565" spans="1:50" x14ac:dyDescent="0.3">
      <c r="A5565" t="str">
        <f>"201530C0100"</f>
        <v>201530C0100</v>
      </c>
      <c r="B5565" t="str">
        <f>"201530C01002"</f>
        <v>201530C01002</v>
      </c>
      <c r="C5565" t="str">
        <f t="shared" si="274"/>
        <v>20</v>
      </c>
      <c r="D5565" t="s">
        <v>67</v>
      </c>
      <c r="E5565" t="str">
        <f t="shared" si="278"/>
        <v>025</v>
      </c>
      <c r="F5565" t="s">
        <v>5603</v>
      </c>
      <c r="G5565" t="str">
        <f>"1530"</f>
        <v>1530</v>
      </c>
      <c r="H5565" t="str">
        <f>"0001"</f>
        <v>0001</v>
      </c>
      <c r="I5565" t="s">
        <v>75</v>
      </c>
      <c r="J5565">
        <v>0</v>
      </c>
      <c r="K5565">
        <v>1</v>
      </c>
      <c r="L5565">
        <v>2</v>
      </c>
      <c r="M5565">
        <v>267</v>
      </c>
      <c r="N5565" t="s">
        <v>99</v>
      </c>
      <c r="O5565">
        <v>3</v>
      </c>
      <c r="P5565">
        <v>307</v>
      </c>
      <c r="Q5565">
        <v>8</v>
      </c>
      <c r="R5565">
        <v>19</v>
      </c>
      <c r="S5565">
        <v>60</v>
      </c>
      <c r="T5565">
        <v>74</v>
      </c>
      <c r="U5565">
        <v>9</v>
      </c>
      <c r="V5565">
        <v>6</v>
      </c>
      <c r="W5565">
        <v>4</v>
      </c>
      <c r="X5565">
        <v>62</v>
      </c>
      <c r="Y5565">
        <v>31</v>
      </c>
      <c r="Z5565">
        <v>6</v>
      </c>
      <c r="AA5565">
        <v>2</v>
      </c>
      <c r="AB5565">
        <v>8</v>
      </c>
      <c r="AD5565">
        <v>4</v>
      </c>
      <c r="AE5565">
        <v>0</v>
      </c>
      <c r="AF5565">
        <v>1</v>
      </c>
      <c r="AG5565">
        <v>1</v>
      </c>
      <c r="AI5565" t="s">
        <v>77</v>
      </c>
      <c r="AJ5565">
        <v>12</v>
      </c>
      <c r="AK5565">
        <v>307</v>
      </c>
      <c r="AL5565">
        <v>307</v>
      </c>
      <c r="AM5565">
        <v>530</v>
      </c>
      <c r="AN5565">
        <v>44</v>
      </c>
      <c r="AO5565" t="s">
        <v>78</v>
      </c>
      <c r="AP5565">
        <v>1</v>
      </c>
      <c r="AR5565" t="s">
        <v>5671</v>
      </c>
      <c r="AS5565" s="1">
        <v>44354.161111111112</v>
      </c>
      <c r="AT5565" s="1">
        <v>44354.165856481479</v>
      </c>
      <c r="AU5565" s="1">
        <v>44354.166805555556</v>
      </c>
      <c r="AV5565" t="s">
        <v>71</v>
      </c>
      <c r="AW5565" t="s">
        <v>72</v>
      </c>
      <c r="AX5565" t="s">
        <v>73</v>
      </c>
    </row>
    <row r="5566" spans="1:50" x14ac:dyDescent="0.3">
      <c r="A5566" t="str">
        <f>"201530C0200"</f>
        <v>201530C0200</v>
      </c>
      <c r="B5566" t="str">
        <f>"201530C02002"</f>
        <v>201530C02002</v>
      </c>
      <c r="C5566" t="str">
        <f t="shared" si="274"/>
        <v>20</v>
      </c>
      <c r="D5566" t="s">
        <v>67</v>
      </c>
      <c r="E5566" t="str">
        <f t="shared" si="278"/>
        <v>025</v>
      </c>
      <c r="F5566" t="s">
        <v>5603</v>
      </c>
      <c r="G5566" t="str">
        <f>"1530"</f>
        <v>1530</v>
      </c>
      <c r="H5566" t="str">
        <f>"0002"</f>
        <v>0002</v>
      </c>
      <c r="I5566" t="s">
        <v>75</v>
      </c>
      <c r="J5566">
        <v>0</v>
      </c>
      <c r="K5566">
        <v>1</v>
      </c>
      <c r="L5566">
        <v>2</v>
      </c>
      <c r="M5566">
        <v>271</v>
      </c>
      <c r="N5566">
        <v>573</v>
      </c>
      <c r="O5566">
        <v>2</v>
      </c>
      <c r="P5566">
        <v>302</v>
      </c>
      <c r="Q5566">
        <v>8</v>
      </c>
      <c r="R5566">
        <v>24</v>
      </c>
      <c r="S5566">
        <v>57</v>
      </c>
      <c r="T5566">
        <v>46</v>
      </c>
      <c r="U5566">
        <v>18</v>
      </c>
      <c r="V5566">
        <v>4</v>
      </c>
      <c r="W5566">
        <v>1</v>
      </c>
      <c r="X5566">
        <v>65</v>
      </c>
      <c r="Y5566">
        <v>38</v>
      </c>
      <c r="Z5566">
        <v>8</v>
      </c>
      <c r="AA5566">
        <v>1</v>
      </c>
      <c r="AB5566">
        <v>14</v>
      </c>
      <c r="AD5566">
        <v>2</v>
      </c>
      <c r="AE5566" t="s">
        <v>77</v>
      </c>
      <c r="AF5566" t="s">
        <v>77</v>
      </c>
      <c r="AG5566" t="s">
        <v>77</v>
      </c>
      <c r="AI5566" t="s">
        <v>77</v>
      </c>
      <c r="AJ5566">
        <v>10</v>
      </c>
      <c r="AK5566">
        <v>302</v>
      </c>
      <c r="AL5566">
        <v>296</v>
      </c>
      <c r="AM5566">
        <v>529</v>
      </c>
      <c r="AN5566">
        <v>44</v>
      </c>
      <c r="AO5566" t="s">
        <v>78</v>
      </c>
      <c r="AP5566">
        <v>1</v>
      </c>
      <c r="AR5566" t="s">
        <v>5672</v>
      </c>
      <c r="AS5566" s="1">
        <v>44354.161805555559</v>
      </c>
      <c r="AT5566" s="1">
        <v>44354.405844907407</v>
      </c>
      <c r="AU5566" s="1">
        <v>44354.406666666669</v>
      </c>
      <c r="AV5566" t="s">
        <v>71</v>
      </c>
      <c r="AW5566" t="s">
        <v>72</v>
      </c>
      <c r="AX5566" t="s">
        <v>73</v>
      </c>
    </row>
    <row r="5567" spans="1:50" x14ac:dyDescent="0.3">
      <c r="A5567" t="str">
        <f>"201531B0000"</f>
        <v>201531B0000</v>
      </c>
      <c r="B5567" t="str">
        <f>"201531B00002"</f>
        <v>201531B00002</v>
      </c>
      <c r="C5567" t="str">
        <f t="shared" si="274"/>
        <v>20</v>
      </c>
      <c r="D5567" t="s">
        <v>67</v>
      </c>
      <c r="E5567" t="str">
        <f t="shared" si="278"/>
        <v>025</v>
      </c>
      <c r="F5567" t="s">
        <v>5603</v>
      </c>
      <c r="G5567" t="str">
        <f>"1531"</f>
        <v>1531</v>
      </c>
      <c r="H5567" t="str">
        <f>"0000"</f>
        <v>0000</v>
      </c>
      <c r="I5567" t="s">
        <v>69</v>
      </c>
      <c r="J5567">
        <v>0</v>
      </c>
      <c r="K5567">
        <v>1</v>
      </c>
      <c r="L5567">
        <v>2</v>
      </c>
      <c r="M5567">
        <v>231</v>
      </c>
      <c r="N5567">
        <v>400</v>
      </c>
      <c r="O5567">
        <v>1</v>
      </c>
      <c r="P5567">
        <v>400</v>
      </c>
      <c r="Q5567">
        <v>4</v>
      </c>
      <c r="R5567">
        <v>20</v>
      </c>
      <c r="S5567">
        <v>18</v>
      </c>
      <c r="T5567">
        <v>77</v>
      </c>
      <c r="U5567">
        <v>8</v>
      </c>
      <c r="V5567">
        <v>4</v>
      </c>
      <c r="W5567">
        <v>4</v>
      </c>
      <c r="X5567">
        <v>168</v>
      </c>
      <c r="Y5567">
        <v>78</v>
      </c>
      <c r="Z5567">
        <v>3</v>
      </c>
      <c r="AA5567">
        <v>7</v>
      </c>
      <c r="AB5567">
        <v>4</v>
      </c>
      <c r="AD5567">
        <v>0</v>
      </c>
      <c r="AE5567">
        <v>0</v>
      </c>
      <c r="AF5567">
        <v>0</v>
      </c>
      <c r="AG5567">
        <v>0</v>
      </c>
      <c r="AI5567">
        <v>0</v>
      </c>
      <c r="AJ5567">
        <v>5</v>
      </c>
      <c r="AK5567">
        <v>400</v>
      </c>
      <c r="AL5567">
        <v>400</v>
      </c>
      <c r="AM5567">
        <v>587</v>
      </c>
      <c r="AN5567">
        <v>44</v>
      </c>
      <c r="AP5567">
        <v>1</v>
      </c>
      <c r="AR5567" t="s">
        <v>5673</v>
      </c>
      <c r="AS5567" s="1">
        <v>44354.031944444447</v>
      </c>
      <c r="AT5567" s="1">
        <v>44354.039837962962</v>
      </c>
      <c r="AU5567" s="1">
        <v>44354.04047453704</v>
      </c>
      <c r="AV5567" t="s">
        <v>71</v>
      </c>
      <c r="AW5567" t="s">
        <v>72</v>
      </c>
      <c r="AX5567" t="s">
        <v>73</v>
      </c>
    </row>
    <row r="5568" spans="1:50" x14ac:dyDescent="0.3">
      <c r="A5568" t="str">
        <f>"201531C0100"</f>
        <v>201531C0100</v>
      </c>
      <c r="B5568" t="str">
        <f>"201531C01002"</f>
        <v>201531C01002</v>
      </c>
      <c r="C5568" t="str">
        <f t="shared" si="274"/>
        <v>20</v>
      </c>
      <c r="D5568" t="s">
        <v>67</v>
      </c>
      <c r="E5568" t="str">
        <f t="shared" si="278"/>
        <v>025</v>
      </c>
      <c r="F5568" t="s">
        <v>5603</v>
      </c>
      <c r="G5568" t="str">
        <f>"1531"</f>
        <v>1531</v>
      </c>
      <c r="H5568" t="str">
        <f>"0001"</f>
        <v>0001</v>
      </c>
      <c r="I5568" t="s">
        <v>75</v>
      </c>
      <c r="J5568">
        <v>0</v>
      </c>
      <c r="K5568">
        <v>1</v>
      </c>
      <c r="L5568">
        <v>2</v>
      </c>
      <c r="M5568">
        <v>224</v>
      </c>
      <c r="N5568">
        <v>630</v>
      </c>
      <c r="O5568">
        <v>0</v>
      </c>
      <c r="P5568" t="s">
        <v>80</v>
      </c>
      <c r="Q5568">
        <v>7</v>
      </c>
      <c r="R5568">
        <v>44</v>
      </c>
      <c r="S5568">
        <v>26</v>
      </c>
      <c r="T5568">
        <v>81</v>
      </c>
      <c r="U5568">
        <v>8</v>
      </c>
      <c r="V5568">
        <v>6</v>
      </c>
      <c r="W5568">
        <v>3</v>
      </c>
      <c r="X5568">
        <v>128</v>
      </c>
      <c r="Y5568">
        <v>76</v>
      </c>
      <c r="Z5568">
        <v>3</v>
      </c>
      <c r="AA5568">
        <v>5</v>
      </c>
      <c r="AB5568">
        <v>5</v>
      </c>
      <c r="AD5568">
        <v>0</v>
      </c>
      <c r="AE5568">
        <v>1</v>
      </c>
      <c r="AF5568">
        <v>0</v>
      </c>
      <c r="AG5568">
        <v>1</v>
      </c>
      <c r="AI5568" t="s">
        <v>77</v>
      </c>
      <c r="AJ5568">
        <v>12</v>
      </c>
      <c r="AK5568">
        <v>406</v>
      </c>
      <c r="AL5568">
        <v>406</v>
      </c>
      <c r="AM5568">
        <v>587</v>
      </c>
      <c r="AN5568">
        <v>44</v>
      </c>
      <c r="AO5568" t="s">
        <v>78</v>
      </c>
      <c r="AP5568">
        <v>1</v>
      </c>
      <c r="AR5568" t="s">
        <v>5674</v>
      </c>
      <c r="AS5568" s="1">
        <v>44354.032638888886</v>
      </c>
      <c r="AT5568" s="1">
        <v>44354.040416666663</v>
      </c>
      <c r="AU5568" s="1">
        <v>44354.041377314818</v>
      </c>
      <c r="AV5568" t="s">
        <v>71</v>
      </c>
      <c r="AW5568" t="s">
        <v>72</v>
      </c>
      <c r="AX5568" t="s">
        <v>73</v>
      </c>
    </row>
    <row r="5569" spans="1:50" x14ac:dyDescent="0.3">
      <c r="A5569" t="str">
        <f>"201531C0200"</f>
        <v>201531C0200</v>
      </c>
      <c r="B5569" t="str">
        <f>"201531C02002"</f>
        <v>201531C02002</v>
      </c>
      <c r="C5569" t="str">
        <f t="shared" si="274"/>
        <v>20</v>
      </c>
      <c r="D5569" t="s">
        <v>67</v>
      </c>
      <c r="E5569" t="str">
        <f t="shared" si="278"/>
        <v>025</v>
      </c>
      <c r="F5569" t="s">
        <v>5603</v>
      </c>
      <c r="G5569" t="str">
        <f>"1531"</f>
        <v>1531</v>
      </c>
      <c r="H5569" t="str">
        <f>"0002"</f>
        <v>0002</v>
      </c>
      <c r="I5569" t="s">
        <v>75</v>
      </c>
      <c r="J5569">
        <v>0</v>
      </c>
      <c r="K5569">
        <v>1</v>
      </c>
      <c r="L5569">
        <v>2</v>
      </c>
      <c r="M5569">
        <v>240</v>
      </c>
      <c r="N5569">
        <v>390</v>
      </c>
      <c r="O5569">
        <v>1</v>
      </c>
      <c r="P5569">
        <v>391</v>
      </c>
      <c r="Q5569">
        <v>7</v>
      </c>
      <c r="R5569">
        <v>38</v>
      </c>
      <c r="S5569">
        <v>25</v>
      </c>
      <c r="T5569">
        <v>51</v>
      </c>
      <c r="U5569">
        <v>6</v>
      </c>
      <c r="V5569">
        <v>4</v>
      </c>
      <c r="W5569">
        <v>5</v>
      </c>
      <c r="X5569">
        <v>134</v>
      </c>
      <c r="Y5569">
        <v>97</v>
      </c>
      <c r="Z5569">
        <v>3</v>
      </c>
      <c r="AA5569">
        <v>3</v>
      </c>
      <c r="AB5569">
        <v>4</v>
      </c>
      <c r="AD5569">
        <v>1</v>
      </c>
      <c r="AE5569">
        <v>1</v>
      </c>
      <c r="AF5569">
        <v>0</v>
      </c>
      <c r="AG5569">
        <v>0</v>
      </c>
      <c r="AI5569">
        <v>0</v>
      </c>
      <c r="AJ5569">
        <v>12</v>
      </c>
      <c r="AK5569">
        <v>391</v>
      </c>
      <c r="AL5569">
        <v>391</v>
      </c>
      <c r="AM5569">
        <v>586</v>
      </c>
      <c r="AN5569">
        <v>44</v>
      </c>
      <c r="AP5569">
        <v>1</v>
      </c>
      <c r="AR5569" t="s">
        <v>5675</v>
      </c>
      <c r="AS5569" s="1">
        <v>44354.031944444447</v>
      </c>
      <c r="AT5569" s="1">
        <v>44354.039525462962</v>
      </c>
      <c r="AU5569" s="1">
        <v>44354.039895833332</v>
      </c>
      <c r="AV5569" t="s">
        <v>71</v>
      </c>
      <c r="AW5569" t="s">
        <v>72</v>
      </c>
      <c r="AX5569" t="s">
        <v>73</v>
      </c>
    </row>
    <row r="5570" spans="1:50" x14ac:dyDescent="0.3">
      <c r="A5570" t="str">
        <f>"201532B0000"</f>
        <v>201532B0000</v>
      </c>
      <c r="B5570" t="str">
        <f>"201532B00002"</f>
        <v>201532B00002</v>
      </c>
      <c r="C5570" t="str">
        <f t="shared" si="274"/>
        <v>20</v>
      </c>
      <c r="D5570" t="s">
        <v>67</v>
      </c>
      <c r="E5570" t="str">
        <f t="shared" si="278"/>
        <v>025</v>
      </c>
      <c r="F5570" t="s">
        <v>5603</v>
      </c>
      <c r="G5570" t="str">
        <f>"1532"</f>
        <v>1532</v>
      </c>
      <c r="H5570" t="str">
        <f>"0000"</f>
        <v>0000</v>
      </c>
      <c r="I5570" t="s">
        <v>69</v>
      </c>
      <c r="J5570">
        <v>0</v>
      </c>
      <c r="K5570">
        <v>1</v>
      </c>
      <c r="L5570">
        <v>2</v>
      </c>
      <c r="M5570">
        <v>301</v>
      </c>
      <c r="N5570">
        <v>410</v>
      </c>
      <c r="O5570">
        <v>4</v>
      </c>
      <c r="P5570">
        <v>410</v>
      </c>
      <c r="Q5570">
        <v>19</v>
      </c>
      <c r="R5570">
        <v>27</v>
      </c>
      <c r="S5570">
        <v>22</v>
      </c>
      <c r="T5570">
        <v>54</v>
      </c>
      <c r="U5570">
        <v>11</v>
      </c>
      <c r="V5570">
        <v>7</v>
      </c>
      <c r="W5570">
        <v>8</v>
      </c>
      <c r="X5570">
        <v>129</v>
      </c>
      <c r="Y5570">
        <v>64</v>
      </c>
      <c r="Z5570">
        <v>23</v>
      </c>
      <c r="AA5570">
        <v>12</v>
      </c>
      <c r="AB5570">
        <v>11</v>
      </c>
      <c r="AD5570">
        <v>3</v>
      </c>
      <c r="AE5570">
        <v>0</v>
      </c>
      <c r="AF5570">
        <v>0</v>
      </c>
      <c r="AG5570">
        <v>1</v>
      </c>
      <c r="AI5570">
        <v>0</v>
      </c>
      <c r="AJ5570">
        <v>19</v>
      </c>
      <c r="AK5570">
        <v>410</v>
      </c>
      <c r="AL5570">
        <v>410</v>
      </c>
      <c r="AM5570">
        <v>668</v>
      </c>
      <c r="AN5570">
        <v>44</v>
      </c>
      <c r="AP5570">
        <v>1</v>
      </c>
      <c r="AR5570" t="s">
        <v>5676</v>
      </c>
      <c r="AS5570" s="1">
        <v>44354.161805555559</v>
      </c>
      <c r="AT5570" s="1">
        <v>44354.391006944446</v>
      </c>
      <c r="AU5570" s="1">
        <v>44354.391585648147</v>
      </c>
      <c r="AV5570" t="s">
        <v>71</v>
      </c>
      <c r="AW5570" t="s">
        <v>72</v>
      </c>
      <c r="AX5570" t="s">
        <v>73</v>
      </c>
    </row>
    <row r="5571" spans="1:50" x14ac:dyDescent="0.3">
      <c r="A5571" t="str">
        <f>"201532E0100"</f>
        <v>201532E0100</v>
      </c>
      <c r="B5571" t="str">
        <f>"201532E01002"</f>
        <v>201532E01002</v>
      </c>
      <c r="C5571" t="str">
        <f t="shared" si="274"/>
        <v>20</v>
      </c>
      <c r="D5571" t="s">
        <v>67</v>
      </c>
      <c r="E5571" t="str">
        <f t="shared" si="278"/>
        <v>025</v>
      </c>
      <c r="F5571" t="s">
        <v>5603</v>
      </c>
      <c r="G5571" t="str">
        <f>"1532"</f>
        <v>1532</v>
      </c>
      <c r="H5571" t="str">
        <f>"0001"</f>
        <v>0001</v>
      </c>
      <c r="I5571" t="s">
        <v>109</v>
      </c>
      <c r="J5571">
        <v>0</v>
      </c>
      <c r="K5571">
        <v>1</v>
      </c>
      <c r="L5571">
        <v>2</v>
      </c>
      <c r="M5571">
        <v>301</v>
      </c>
      <c r="N5571">
        <v>444</v>
      </c>
      <c r="O5571">
        <v>9</v>
      </c>
      <c r="P5571">
        <v>444</v>
      </c>
      <c r="Q5571">
        <v>6</v>
      </c>
      <c r="R5571">
        <v>23</v>
      </c>
      <c r="S5571">
        <v>13</v>
      </c>
      <c r="T5571">
        <v>67</v>
      </c>
      <c r="U5571">
        <v>60</v>
      </c>
      <c r="V5571">
        <v>14</v>
      </c>
      <c r="W5571">
        <v>5</v>
      </c>
      <c r="X5571">
        <v>125</v>
      </c>
      <c r="Y5571">
        <v>86</v>
      </c>
      <c r="Z5571">
        <v>13</v>
      </c>
      <c r="AA5571">
        <v>5</v>
      </c>
      <c r="AB5571">
        <v>7</v>
      </c>
      <c r="AD5571">
        <v>4</v>
      </c>
      <c r="AE5571">
        <v>1</v>
      </c>
      <c r="AF5571">
        <v>0</v>
      </c>
      <c r="AG5571">
        <v>0</v>
      </c>
      <c r="AI5571">
        <v>0</v>
      </c>
      <c r="AJ5571">
        <v>14</v>
      </c>
      <c r="AK5571">
        <v>444</v>
      </c>
      <c r="AL5571">
        <v>443</v>
      </c>
      <c r="AM5571">
        <v>700</v>
      </c>
      <c r="AN5571">
        <v>44</v>
      </c>
      <c r="AP5571">
        <v>1</v>
      </c>
      <c r="AR5571" t="s">
        <v>5677</v>
      </c>
      <c r="AS5571" s="1">
        <v>44354.161111111112</v>
      </c>
      <c r="AT5571" s="1">
        <v>44354.168020833335</v>
      </c>
      <c r="AU5571" s="1">
        <v>44354.169340277775</v>
      </c>
      <c r="AV5571" t="s">
        <v>71</v>
      </c>
      <c r="AW5571" t="s">
        <v>72</v>
      </c>
      <c r="AX5571" t="s">
        <v>73</v>
      </c>
    </row>
    <row r="5572" spans="1:50" x14ac:dyDescent="0.3">
      <c r="A5572" t="str">
        <f>"201533B0000"</f>
        <v>201533B0000</v>
      </c>
      <c r="B5572" t="str">
        <f>"201533B00002"</f>
        <v>201533B00002</v>
      </c>
      <c r="C5572" t="str">
        <f t="shared" si="274"/>
        <v>20</v>
      </c>
      <c r="D5572" t="s">
        <v>67</v>
      </c>
      <c r="E5572" t="str">
        <f t="shared" si="278"/>
        <v>025</v>
      </c>
      <c r="F5572" t="s">
        <v>5603</v>
      </c>
      <c r="G5572" t="str">
        <f>"1533"</f>
        <v>1533</v>
      </c>
      <c r="H5572" t="str">
        <f>"0000"</f>
        <v>0000</v>
      </c>
      <c r="I5572" t="s">
        <v>69</v>
      </c>
      <c r="J5572">
        <v>0</v>
      </c>
      <c r="K5572">
        <v>1</v>
      </c>
      <c r="L5572">
        <v>2</v>
      </c>
      <c r="M5572">
        <v>313</v>
      </c>
      <c r="N5572">
        <v>429</v>
      </c>
      <c r="O5572">
        <v>1</v>
      </c>
      <c r="P5572">
        <v>429</v>
      </c>
      <c r="Q5572">
        <v>9</v>
      </c>
      <c r="R5572">
        <v>26</v>
      </c>
      <c r="S5572">
        <v>16</v>
      </c>
      <c r="T5572">
        <v>32</v>
      </c>
      <c r="U5572">
        <v>28</v>
      </c>
      <c r="V5572">
        <v>32</v>
      </c>
      <c r="W5572">
        <v>47</v>
      </c>
      <c r="X5572">
        <v>165</v>
      </c>
      <c r="Y5572">
        <v>30</v>
      </c>
      <c r="Z5572">
        <v>13</v>
      </c>
      <c r="AA5572">
        <v>3</v>
      </c>
      <c r="AB5572">
        <v>12</v>
      </c>
      <c r="AD5572">
        <v>3</v>
      </c>
      <c r="AE5572">
        <v>0</v>
      </c>
      <c r="AF5572">
        <v>0</v>
      </c>
      <c r="AG5572">
        <v>0</v>
      </c>
      <c r="AI5572">
        <v>0</v>
      </c>
      <c r="AJ5572">
        <v>13</v>
      </c>
      <c r="AK5572">
        <v>429</v>
      </c>
      <c r="AL5572">
        <v>429</v>
      </c>
      <c r="AM5572">
        <v>698</v>
      </c>
      <c r="AN5572">
        <v>44</v>
      </c>
      <c r="AP5572">
        <v>1</v>
      </c>
      <c r="AR5572" t="s">
        <v>5678</v>
      </c>
      <c r="AS5572" s="1">
        <v>44354.061805555553</v>
      </c>
      <c r="AT5572" s="1">
        <v>44354.068159722221</v>
      </c>
      <c r="AU5572" s="1">
        <v>44354.068749999999</v>
      </c>
      <c r="AV5572" t="s">
        <v>71</v>
      </c>
      <c r="AW5572" t="s">
        <v>72</v>
      </c>
      <c r="AX5572" t="s">
        <v>73</v>
      </c>
    </row>
    <row r="5573" spans="1:50" x14ac:dyDescent="0.3">
      <c r="A5573" t="str">
        <f>"201533C0100"</f>
        <v>201533C0100</v>
      </c>
      <c r="B5573" t="str">
        <f>"201533C01002"</f>
        <v>201533C01002</v>
      </c>
      <c r="C5573" t="str">
        <f t="shared" si="274"/>
        <v>20</v>
      </c>
      <c r="D5573" t="s">
        <v>67</v>
      </c>
      <c r="E5573" t="str">
        <f t="shared" si="278"/>
        <v>025</v>
      </c>
      <c r="F5573" t="s">
        <v>5603</v>
      </c>
      <c r="G5573" t="str">
        <f>"1533"</f>
        <v>1533</v>
      </c>
      <c r="H5573" t="str">
        <f>"0001"</f>
        <v>0001</v>
      </c>
      <c r="I5573" t="s">
        <v>75</v>
      </c>
      <c r="J5573">
        <v>0</v>
      </c>
      <c r="K5573">
        <v>1</v>
      </c>
      <c r="L5573">
        <v>2</v>
      </c>
      <c r="M5573">
        <v>316</v>
      </c>
      <c r="N5573">
        <v>425</v>
      </c>
      <c r="O5573">
        <v>2</v>
      </c>
      <c r="P5573">
        <v>425</v>
      </c>
      <c r="Q5573">
        <v>5</v>
      </c>
      <c r="R5573">
        <v>26</v>
      </c>
      <c r="S5573">
        <v>7</v>
      </c>
      <c r="T5573">
        <v>34</v>
      </c>
      <c r="U5573">
        <v>27</v>
      </c>
      <c r="V5573">
        <v>32</v>
      </c>
      <c r="W5573">
        <v>30</v>
      </c>
      <c r="X5573">
        <v>165</v>
      </c>
      <c r="Y5573">
        <v>29</v>
      </c>
      <c r="Z5573">
        <v>23</v>
      </c>
      <c r="AA5573">
        <v>15</v>
      </c>
      <c r="AB5573">
        <v>11</v>
      </c>
      <c r="AD5573">
        <v>2</v>
      </c>
      <c r="AE5573" t="s">
        <v>77</v>
      </c>
      <c r="AF5573" t="s">
        <v>77</v>
      </c>
      <c r="AG5573" t="s">
        <v>77</v>
      </c>
      <c r="AI5573" t="s">
        <v>77</v>
      </c>
      <c r="AJ5573">
        <v>19</v>
      </c>
      <c r="AK5573">
        <v>425</v>
      </c>
      <c r="AL5573">
        <v>425</v>
      </c>
      <c r="AM5573">
        <v>697</v>
      </c>
      <c r="AN5573">
        <v>44</v>
      </c>
      <c r="AO5573" t="s">
        <v>78</v>
      </c>
      <c r="AP5573">
        <v>1</v>
      </c>
      <c r="AR5573" t="s">
        <v>5679</v>
      </c>
      <c r="AS5573" s="1">
        <v>44354.0625</v>
      </c>
      <c r="AT5573" s="1">
        <v>44354.069351851853</v>
      </c>
      <c r="AU5573" s="1">
        <v>44354.069953703707</v>
      </c>
      <c r="AV5573" t="s">
        <v>71</v>
      </c>
      <c r="AW5573" t="s">
        <v>72</v>
      </c>
      <c r="AX5573" t="s">
        <v>73</v>
      </c>
    </row>
    <row r="5574" spans="1:50" x14ac:dyDescent="0.3">
      <c r="A5574" t="str">
        <f>"201533E0100"</f>
        <v>201533E0100</v>
      </c>
      <c r="B5574" t="str">
        <f>"201533E01002"</f>
        <v>201533E01002</v>
      </c>
      <c r="C5574" t="str">
        <f t="shared" si="274"/>
        <v>20</v>
      </c>
      <c r="D5574" t="s">
        <v>67</v>
      </c>
      <c r="E5574" t="str">
        <f t="shared" si="278"/>
        <v>025</v>
      </c>
      <c r="F5574" t="s">
        <v>5603</v>
      </c>
      <c r="G5574" t="str">
        <f>"1533"</f>
        <v>1533</v>
      </c>
      <c r="H5574" t="str">
        <f>"0001"</f>
        <v>0001</v>
      </c>
      <c r="I5574" t="s">
        <v>109</v>
      </c>
      <c r="J5574">
        <v>0</v>
      </c>
      <c r="K5574">
        <v>1</v>
      </c>
      <c r="L5574">
        <v>2</v>
      </c>
      <c r="M5574">
        <v>229</v>
      </c>
      <c r="N5574">
        <v>296</v>
      </c>
      <c r="O5574">
        <v>3</v>
      </c>
      <c r="P5574">
        <v>296</v>
      </c>
      <c r="Q5574">
        <v>5</v>
      </c>
      <c r="R5574">
        <v>12</v>
      </c>
      <c r="S5574">
        <v>9</v>
      </c>
      <c r="T5574">
        <v>27</v>
      </c>
      <c r="U5574">
        <v>10</v>
      </c>
      <c r="V5574">
        <v>26</v>
      </c>
      <c r="W5574">
        <v>10</v>
      </c>
      <c r="X5574">
        <v>128</v>
      </c>
      <c r="Y5574">
        <v>38</v>
      </c>
      <c r="Z5574">
        <v>8</v>
      </c>
      <c r="AA5574">
        <v>4</v>
      </c>
      <c r="AB5574">
        <v>4</v>
      </c>
      <c r="AD5574">
        <v>0</v>
      </c>
      <c r="AE5574">
        <v>0</v>
      </c>
      <c r="AF5574">
        <v>0</v>
      </c>
      <c r="AG5574">
        <v>0</v>
      </c>
      <c r="AI5574">
        <v>0</v>
      </c>
      <c r="AJ5574">
        <v>0</v>
      </c>
      <c r="AK5574">
        <v>0</v>
      </c>
      <c r="AL5574">
        <v>281</v>
      </c>
      <c r="AM5574">
        <v>481</v>
      </c>
      <c r="AN5574">
        <v>44</v>
      </c>
      <c r="AP5574">
        <v>1</v>
      </c>
      <c r="AR5574" t="s">
        <v>5680</v>
      </c>
      <c r="AS5574" s="1">
        <v>44354.063194444447</v>
      </c>
      <c r="AT5574" s="1">
        <v>44354.077789351853</v>
      </c>
      <c r="AU5574" s="1">
        <v>44354.078263888892</v>
      </c>
      <c r="AV5574" t="s">
        <v>71</v>
      </c>
      <c r="AW5574" t="s">
        <v>72</v>
      </c>
      <c r="AX5574" t="s">
        <v>73</v>
      </c>
    </row>
    <row r="5575" spans="1:50" x14ac:dyDescent="0.3">
      <c r="A5575" t="str">
        <f>"201533E0101"</f>
        <v>201533E0101</v>
      </c>
      <c r="B5575" t="str">
        <f>"201533E01012"</f>
        <v>201533E01012</v>
      </c>
      <c r="C5575" t="str">
        <f t="shared" ref="C5575:C5638" si="279">"20"</f>
        <v>20</v>
      </c>
      <c r="D5575" t="s">
        <v>67</v>
      </c>
      <c r="E5575" t="str">
        <f t="shared" si="278"/>
        <v>025</v>
      </c>
      <c r="F5575" t="s">
        <v>5603</v>
      </c>
      <c r="G5575" t="str">
        <f>"1533"</f>
        <v>1533</v>
      </c>
      <c r="H5575" t="str">
        <f>"0001"</f>
        <v>0001</v>
      </c>
      <c r="I5575" t="s">
        <v>109</v>
      </c>
      <c r="J5575">
        <v>1</v>
      </c>
      <c r="K5575">
        <v>1</v>
      </c>
      <c r="L5575">
        <v>2</v>
      </c>
      <c r="M5575">
        <v>255</v>
      </c>
      <c r="N5575">
        <v>269</v>
      </c>
      <c r="O5575">
        <v>5</v>
      </c>
      <c r="P5575">
        <v>268</v>
      </c>
      <c r="Q5575">
        <v>3</v>
      </c>
      <c r="R5575">
        <v>11</v>
      </c>
      <c r="S5575">
        <v>14</v>
      </c>
      <c r="T5575">
        <v>32</v>
      </c>
      <c r="U5575">
        <v>10</v>
      </c>
      <c r="V5575">
        <v>17</v>
      </c>
      <c r="W5575">
        <v>3</v>
      </c>
      <c r="X5575">
        <v>126</v>
      </c>
      <c r="Y5575">
        <v>36</v>
      </c>
      <c r="Z5575">
        <v>5</v>
      </c>
      <c r="AA5575">
        <v>0</v>
      </c>
      <c r="AB5575">
        <v>6</v>
      </c>
      <c r="AD5575">
        <v>0</v>
      </c>
      <c r="AE5575">
        <v>0</v>
      </c>
      <c r="AF5575">
        <v>0</v>
      </c>
      <c r="AG5575">
        <v>0</v>
      </c>
      <c r="AI5575">
        <v>0</v>
      </c>
      <c r="AJ5575">
        <v>0</v>
      </c>
      <c r="AK5575">
        <v>0</v>
      </c>
      <c r="AL5575">
        <v>263</v>
      </c>
      <c r="AM5575">
        <v>480</v>
      </c>
      <c r="AN5575">
        <v>44</v>
      </c>
      <c r="AP5575">
        <v>1</v>
      </c>
      <c r="AR5575" t="s">
        <v>5681</v>
      </c>
      <c r="AS5575" s="1">
        <v>44354.063194444447</v>
      </c>
      <c r="AT5575" s="1">
        <v>44354.077164351853</v>
      </c>
      <c r="AU5575" s="1">
        <v>44354.077719907407</v>
      </c>
      <c r="AV5575" t="s">
        <v>71</v>
      </c>
      <c r="AW5575" t="s">
        <v>72</v>
      </c>
      <c r="AX5575" t="s">
        <v>73</v>
      </c>
    </row>
    <row r="5576" spans="1:50" x14ac:dyDescent="0.3">
      <c r="A5576" t="str">
        <f>"201534B0000"</f>
        <v>201534B0000</v>
      </c>
      <c r="B5576" t="str">
        <f>"201534B00002"</f>
        <v>201534B00002</v>
      </c>
      <c r="C5576" t="str">
        <f t="shared" si="279"/>
        <v>20</v>
      </c>
      <c r="D5576" t="s">
        <v>67</v>
      </c>
      <c r="E5576" t="str">
        <f t="shared" si="278"/>
        <v>025</v>
      </c>
      <c r="F5576" t="s">
        <v>5603</v>
      </c>
      <c r="G5576" t="str">
        <f>"1534"</f>
        <v>1534</v>
      </c>
      <c r="H5576" t="str">
        <f>"0000"</f>
        <v>0000</v>
      </c>
      <c r="I5576" t="s">
        <v>69</v>
      </c>
      <c r="J5576">
        <v>0</v>
      </c>
      <c r="K5576">
        <v>1</v>
      </c>
      <c r="L5576">
        <v>2</v>
      </c>
      <c r="M5576">
        <v>310</v>
      </c>
      <c r="N5576">
        <v>399</v>
      </c>
      <c r="O5576">
        <v>5</v>
      </c>
      <c r="P5576">
        <v>399</v>
      </c>
      <c r="Q5576">
        <v>8</v>
      </c>
      <c r="R5576">
        <v>34</v>
      </c>
      <c r="S5576">
        <v>19</v>
      </c>
      <c r="T5576">
        <v>51</v>
      </c>
      <c r="U5576">
        <v>10</v>
      </c>
      <c r="V5576">
        <v>13</v>
      </c>
      <c r="W5576">
        <v>35</v>
      </c>
      <c r="X5576">
        <v>133</v>
      </c>
      <c r="Y5576">
        <v>51</v>
      </c>
      <c r="Z5576">
        <v>19</v>
      </c>
      <c r="AA5576">
        <v>7</v>
      </c>
      <c r="AB5576">
        <v>4</v>
      </c>
      <c r="AD5576">
        <v>2</v>
      </c>
      <c r="AE5576">
        <v>0</v>
      </c>
      <c r="AF5576">
        <v>0</v>
      </c>
      <c r="AG5576">
        <v>1</v>
      </c>
      <c r="AI5576">
        <v>0</v>
      </c>
      <c r="AJ5576">
        <v>12</v>
      </c>
      <c r="AK5576">
        <v>399</v>
      </c>
      <c r="AL5576">
        <v>399</v>
      </c>
      <c r="AM5576">
        <v>665</v>
      </c>
      <c r="AN5576">
        <v>44</v>
      </c>
      <c r="AP5576">
        <v>1</v>
      </c>
      <c r="AR5576" t="s">
        <v>5682</v>
      </c>
      <c r="AS5576" s="1">
        <v>44354.063194444447</v>
      </c>
      <c r="AT5576" s="1">
        <v>44354.069548611114</v>
      </c>
      <c r="AU5576" s="1">
        <v>44354.070509259262</v>
      </c>
      <c r="AV5576" t="s">
        <v>71</v>
      </c>
      <c r="AW5576" t="s">
        <v>72</v>
      </c>
      <c r="AX5576" t="s">
        <v>73</v>
      </c>
    </row>
    <row r="5577" spans="1:50" x14ac:dyDescent="0.3">
      <c r="A5577" t="str">
        <f>"201534C0100"</f>
        <v>201534C0100</v>
      </c>
      <c r="B5577" t="str">
        <f>"201534C01002"</f>
        <v>201534C01002</v>
      </c>
      <c r="C5577" t="str">
        <f t="shared" si="279"/>
        <v>20</v>
      </c>
      <c r="D5577" t="s">
        <v>67</v>
      </c>
      <c r="E5577" t="str">
        <f t="shared" si="278"/>
        <v>025</v>
      </c>
      <c r="F5577" t="s">
        <v>5603</v>
      </c>
      <c r="G5577" t="str">
        <f>"1534"</f>
        <v>1534</v>
      </c>
      <c r="H5577" t="str">
        <f>"0001"</f>
        <v>0001</v>
      </c>
      <c r="I5577" t="s">
        <v>75</v>
      </c>
      <c r="J5577">
        <v>0</v>
      </c>
      <c r="K5577">
        <v>1</v>
      </c>
      <c r="L5577">
        <v>2</v>
      </c>
      <c r="M5577">
        <v>309</v>
      </c>
      <c r="N5577">
        <v>400</v>
      </c>
      <c r="O5577">
        <v>6</v>
      </c>
      <c r="P5577">
        <v>400</v>
      </c>
      <c r="Q5577">
        <v>5</v>
      </c>
      <c r="R5577">
        <v>41</v>
      </c>
      <c r="S5577">
        <v>22</v>
      </c>
      <c r="T5577">
        <v>70</v>
      </c>
      <c r="U5577">
        <v>18</v>
      </c>
      <c r="V5577">
        <v>14</v>
      </c>
      <c r="W5577">
        <v>16</v>
      </c>
      <c r="X5577">
        <v>122</v>
      </c>
      <c r="Y5577">
        <v>42</v>
      </c>
      <c r="Z5577">
        <v>14</v>
      </c>
      <c r="AA5577">
        <v>14</v>
      </c>
      <c r="AB5577">
        <v>4</v>
      </c>
      <c r="AD5577">
        <v>3</v>
      </c>
      <c r="AE5577">
        <v>0</v>
      </c>
      <c r="AF5577">
        <v>0</v>
      </c>
      <c r="AG5577">
        <v>0</v>
      </c>
      <c r="AI5577">
        <v>15</v>
      </c>
      <c r="AJ5577">
        <v>15</v>
      </c>
      <c r="AK5577">
        <v>400</v>
      </c>
      <c r="AL5577">
        <v>415</v>
      </c>
      <c r="AM5577">
        <v>665</v>
      </c>
      <c r="AN5577">
        <v>44</v>
      </c>
      <c r="AP5577">
        <v>1</v>
      </c>
      <c r="AR5577" t="s">
        <v>5683</v>
      </c>
      <c r="AS5577" s="1">
        <v>44354.064583333333</v>
      </c>
      <c r="AT5577" s="1">
        <v>44354.09474537037</v>
      </c>
      <c r="AU5577" s="1">
        <v>44354.097824074073</v>
      </c>
      <c r="AV5577" t="s">
        <v>71</v>
      </c>
      <c r="AW5577" t="s">
        <v>72</v>
      </c>
      <c r="AX5577" t="s">
        <v>73</v>
      </c>
    </row>
    <row r="5578" spans="1:50" x14ac:dyDescent="0.3">
      <c r="A5578" t="str">
        <f>"201534C0200"</f>
        <v>201534C0200</v>
      </c>
      <c r="B5578" t="str">
        <f>"201534C02002"</f>
        <v>201534C02002</v>
      </c>
      <c r="C5578" t="str">
        <f t="shared" si="279"/>
        <v>20</v>
      </c>
      <c r="D5578" t="s">
        <v>67</v>
      </c>
      <c r="E5578" t="str">
        <f t="shared" si="278"/>
        <v>025</v>
      </c>
      <c r="F5578" t="s">
        <v>5603</v>
      </c>
      <c r="G5578" t="str">
        <f>"1534"</f>
        <v>1534</v>
      </c>
      <c r="H5578" t="str">
        <f>"0002"</f>
        <v>0002</v>
      </c>
      <c r="I5578" t="s">
        <v>75</v>
      </c>
      <c r="J5578">
        <v>0</v>
      </c>
      <c r="K5578">
        <v>1</v>
      </c>
      <c r="L5578">
        <v>2</v>
      </c>
      <c r="M5578">
        <v>330</v>
      </c>
      <c r="N5578">
        <v>379</v>
      </c>
      <c r="O5578">
        <v>5</v>
      </c>
      <c r="P5578">
        <v>379</v>
      </c>
      <c r="Q5578">
        <v>12</v>
      </c>
      <c r="R5578">
        <v>29</v>
      </c>
      <c r="S5578">
        <v>15</v>
      </c>
      <c r="T5578">
        <v>47</v>
      </c>
      <c r="U5578">
        <v>12</v>
      </c>
      <c r="V5578">
        <v>12</v>
      </c>
      <c r="W5578">
        <v>19</v>
      </c>
      <c r="X5578">
        <v>149</v>
      </c>
      <c r="Y5578">
        <v>39</v>
      </c>
      <c r="Z5578">
        <v>6</v>
      </c>
      <c r="AA5578">
        <v>13</v>
      </c>
      <c r="AB5578">
        <v>8</v>
      </c>
      <c r="AD5578">
        <v>1</v>
      </c>
      <c r="AE5578" t="s">
        <v>77</v>
      </c>
      <c r="AF5578" t="s">
        <v>77</v>
      </c>
      <c r="AG5578" t="s">
        <v>77</v>
      </c>
      <c r="AI5578" t="s">
        <v>77</v>
      </c>
      <c r="AJ5578">
        <v>18</v>
      </c>
      <c r="AK5578">
        <v>379</v>
      </c>
      <c r="AL5578">
        <v>380</v>
      </c>
      <c r="AM5578">
        <v>665</v>
      </c>
      <c r="AN5578">
        <v>44</v>
      </c>
      <c r="AO5578" t="s">
        <v>78</v>
      </c>
      <c r="AP5578">
        <v>1</v>
      </c>
      <c r="AR5578" t="s">
        <v>5684</v>
      </c>
      <c r="AS5578" s="1">
        <v>44354.063888888886</v>
      </c>
      <c r="AT5578" s="1">
        <v>44354.078935185185</v>
      </c>
      <c r="AU5578" s="1">
        <v>44354.079560185186</v>
      </c>
      <c r="AV5578" t="s">
        <v>71</v>
      </c>
      <c r="AW5578" t="s">
        <v>72</v>
      </c>
      <c r="AX5578" t="s">
        <v>73</v>
      </c>
    </row>
    <row r="5579" spans="1:50" x14ac:dyDescent="0.3">
      <c r="A5579" t="str">
        <f>"201816B0000"</f>
        <v>201816B0000</v>
      </c>
      <c r="B5579" t="str">
        <f>"201816B00002"</f>
        <v>201816B00002</v>
      </c>
      <c r="C5579" t="str">
        <f t="shared" si="279"/>
        <v>20</v>
      </c>
      <c r="D5579" t="s">
        <v>67</v>
      </c>
      <c r="E5579" t="str">
        <f t="shared" si="278"/>
        <v>025</v>
      </c>
      <c r="F5579" t="s">
        <v>5603</v>
      </c>
      <c r="G5579" t="str">
        <f>"1816"</f>
        <v>1816</v>
      </c>
      <c r="H5579" t="str">
        <f>"0000"</f>
        <v>0000</v>
      </c>
      <c r="I5579" t="s">
        <v>69</v>
      </c>
      <c r="J5579">
        <v>0</v>
      </c>
      <c r="K5579">
        <v>1</v>
      </c>
      <c r="L5579">
        <v>2</v>
      </c>
      <c r="M5579">
        <v>476</v>
      </c>
      <c r="N5579">
        <v>240</v>
      </c>
      <c r="O5579">
        <v>1</v>
      </c>
      <c r="P5579">
        <v>240</v>
      </c>
      <c r="Q5579">
        <v>3</v>
      </c>
      <c r="R5579">
        <v>23</v>
      </c>
      <c r="S5579">
        <v>1</v>
      </c>
      <c r="T5579">
        <v>16</v>
      </c>
      <c r="U5579">
        <v>14</v>
      </c>
      <c r="V5579">
        <v>2</v>
      </c>
      <c r="W5579">
        <v>3</v>
      </c>
      <c r="X5579">
        <v>162</v>
      </c>
      <c r="Y5579">
        <v>0</v>
      </c>
      <c r="Z5579">
        <v>3</v>
      </c>
      <c r="AA5579">
        <v>8</v>
      </c>
      <c r="AB5579">
        <v>0</v>
      </c>
      <c r="AD5579">
        <v>0</v>
      </c>
      <c r="AE5579">
        <v>0</v>
      </c>
      <c r="AF5579">
        <v>0</v>
      </c>
      <c r="AG5579">
        <v>0</v>
      </c>
      <c r="AI5579">
        <v>0</v>
      </c>
      <c r="AJ5579">
        <v>5</v>
      </c>
      <c r="AK5579">
        <v>240</v>
      </c>
      <c r="AL5579">
        <v>240</v>
      </c>
      <c r="AM5579">
        <v>672</v>
      </c>
      <c r="AN5579">
        <v>44</v>
      </c>
      <c r="AP5579">
        <v>1</v>
      </c>
      <c r="AR5579" t="s">
        <v>5685</v>
      </c>
      <c r="AS5579" s="1">
        <v>44354.087500000001</v>
      </c>
      <c r="AT5579" s="1">
        <v>44354.09479166667</v>
      </c>
      <c r="AU5579" s="1">
        <v>44354.095300925925</v>
      </c>
      <c r="AV5579" t="s">
        <v>71</v>
      </c>
      <c r="AW5579" t="s">
        <v>72</v>
      </c>
      <c r="AX5579" t="s">
        <v>73</v>
      </c>
    </row>
    <row r="5580" spans="1:50" x14ac:dyDescent="0.3">
      <c r="A5580" t="str">
        <f>"201816C0100"</f>
        <v>201816C0100</v>
      </c>
      <c r="B5580" t="str">
        <f>"201816C01002"</f>
        <v>201816C01002</v>
      </c>
      <c r="C5580" t="str">
        <f t="shared" si="279"/>
        <v>20</v>
      </c>
      <c r="D5580" t="s">
        <v>67</v>
      </c>
      <c r="E5580" t="str">
        <f t="shared" si="278"/>
        <v>025</v>
      </c>
      <c r="F5580" t="s">
        <v>5603</v>
      </c>
      <c r="G5580" t="str">
        <f>"1816"</f>
        <v>1816</v>
      </c>
      <c r="H5580" t="str">
        <f>"0001"</f>
        <v>0001</v>
      </c>
      <c r="I5580" t="s">
        <v>75</v>
      </c>
      <c r="J5580">
        <v>0</v>
      </c>
      <c r="K5580">
        <v>1</v>
      </c>
      <c r="L5580">
        <v>2</v>
      </c>
      <c r="M5580">
        <v>455</v>
      </c>
      <c r="N5580">
        <v>260</v>
      </c>
      <c r="O5580">
        <v>0</v>
      </c>
      <c r="P5580" t="s">
        <v>80</v>
      </c>
      <c r="Q5580">
        <v>3</v>
      </c>
      <c r="R5580">
        <v>38</v>
      </c>
      <c r="S5580">
        <v>3</v>
      </c>
      <c r="T5580">
        <v>29</v>
      </c>
      <c r="U5580">
        <v>8</v>
      </c>
      <c r="V5580">
        <v>5</v>
      </c>
      <c r="W5580">
        <v>1</v>
      </c>
      <c r="X5580">
        <v>152</v>
      </c>
      <c r="Y5580">
        <v>0</v>
      </c>
      <c r="Z5580">
        <v>6</v>
      </c>
      <c r="AA5580">
        <v>8</v>
      </c>
      <c r="AB5580">
        <v>0</v>
      </c>
      <c r="AD5580">
        <v>1</v>
      </c>
      <c r="AE5580">
        <v>0</v>
      </c>
      <c r="AF5580">
        <v>0</v>
      </c>
      <c r="AG5580">
        <v>0</v>
      </c>
      <c r="AI5580">
        <v>0</v>
      </c>
      <c r="AJ5580">
        <v>6</v>
      </c>
      <c r="AK5580">
        <v>260</v>
      </c>
      <c r="AL5580">
        <v>260</v>
      </c>
      <c r="AM5580">
        <v>672</v>
      </c>
      <c r="AN5580">
        <v>44</v>
      </c>
      <c r="AP5580">
        <v>1</v>
      </c>
      <c r="AR5580" t="s">
        <v>5686</v>
      </c>
      <c r="AS5580" s="1">
        <v>44354.087500000001</v>
      </c>
      <c r="AT5580" s="1">
        <v>44354.09511574074</v>
      </c>
      <c r="AU5580" s="1">
        <v>44354.096076388887</v>
      </c>
      <c r="AV5580" t="s">
        <v>71</v>
      </c>
      <c r="AW5580" t="s">
        <v>72</v>
      </c>
      <c r="AX5580" t="s">
        <v>73</v>
      </c>
    </row>
    <row r="5581" spans="1:50" x14ac:dyDescent="0.3">
      <c r="A5581" t="str">
        <f>"201816E0100"</f>
        <v>201816E0100</v>
      </c>
      <c r="B5581" t="str">
        <f>"201816E01002"</f>
        <v>201816E01002</v>
      </c>
      <c r="C5581" t="str">
        <f t="shared" si="279"/>
        <v>20</v>
      </c>
      <c r="D5581" t="s">
        <v>67</v>
      </c>
      <c r="E5581" t="str">
        <f t="shared" si="278"/>
        <v>025</v>
      </c>
      <c r="F5581" t="s">
        <v>5603</v>
      </c>
      <c r="G5581" t="str">
        <f>"1816"</f>
        <v>1816</v>
      </c>
      <c r="H5581" t="str">
        <f>"0001"</f>
        <v>0001</v>
      </c>
      <c r="I5581" t="s">
        <v>109</v>
      </c>
      <c r="J5581">
        <v>0</v>
      </c>
      <c r="K5581">
        <v>1</v>
      </c>
      <c r="L5581">
        <v>2</v>
      </c>
      <c r="M5581">
        <v>136</v>
      </c>
      <c r="N5581">
        <v>169</v>
      </c>
      <c r="O5581">
        <v>1</v>
      </c>
      <c r="P5581">
        <v>169</v>
      </c>
      <c r="Q5581">
        <v>8</v>
      </c>
      <c r="R5581">
        <v>19</v>
      </c>
      <c r="S5581">
        <v>2</v>
      </c>
      <c r="T5581">
        <v>7</v>
      </c>
      <c r="U5581">
        <v>3</v>
      </c>
      <c r="V5581">
        <v>1</v>
      </c>
      <c r="W5581">
        <v>2</v>
      </c>
      <c r="X5581">
        <v>104</v>
      </c>
      <c r="Y5581">
        <v>1</v>
      </c>
      <c r="Z5581">
        <v>12</v>
      </c>
      <c r="AA5581">
        <v>5</v>
      </c>
      <c r="AB5581">
        <v>1</v>
      </c>
      <c r="AD5581">
        <v>0</v>
      </c>
      <c r="AE5581">
        <v>0</v>
      </c>
      <c r="AF5581">
        <v>0</v>
      </c>
      <c r="AG5581">
        <v>0</v>
      </c>
      <c r="AI5581">
        <v>0</v>
      </c>
      <c r="AJ5581">
        <v>0</v>
      </c>
      <c r="AK5581">
        <v>0</v>
      </c>
      <c r="AL5581">
        <v>165</v>
      </c>
      <c r="AM5581">
        <v>261</v>
      </c>
      <c r="AN5581">
        <v>44</v>
      </c>
      <c r="AP5581">
        <v>1</v>
      </c>
      <c r="AR5581" t="s">
        <v>5687</v>
      </c>
      <c r="AS5581" s="1">
        <v>44354.086805555555</v>
      </c>
      <c r="AT5581" s="1">
        <v>44354.093969907408</v>
      </c>
      <c r="AU5581" s="1">
        <v>44354.094421296293</v>
      </c>
      <c r="AV5581" t="s">
        <v>71</v>
      </c>
      <c r="AW5581" t="s">
        <v>72</v>
      </c>
      <c r="AX5581" t="s">
        <v>73</v>
      </c>
    </row>
    <row r="5582" spans="1:50" x14ac:dyDescent="0.3">
      <c r="A5582" t="str">
        <f>"201817B0000"</f>
        <v>201817B0000</v>
      </c>
      <c r="B5582" t="str">
        <f>"201817B00002"</f>
        <v>201817B00002</v>
      </c>
      <c r="C5582" t="str">
        <f t="shared" si="279"/>
        <v>20</v>
      </c>
      <c r="D5582" t="s">
        <v>67</v>
      </c>
      <c r="E5582" t="str">
        <f t="shared" si="278"/>
        <v>025</v>
      </c>
      <c r="F5582" t="s">
        <v>5603</v>
      </c>
      <c r="G5582" t="str">
        <f t="shared" ref="G5582:G5587" si="280">"1817"</f>
        <v>1817</v>
      </c>
      <c r="H5582" t="str">
        <f>"0000"</f>
        <v>0000</v>
      </c>
      <c r="I5582" t="s">
        <v>69</v>
      </c>
      <c r="J5582">
        <v>0</v>
      </c>
      <c r="K5582">
        <v>1</v>
      </c>
      <c r="L5582">
        <v>2</v>
      </c>
      <c r="M5582">
        <v>531</v>
      </c>
      <c r="N5582">
        <v>147</v>
      </c>
      <c r="O5582">
        <v>2</v>
      </c>
      <c r="P5582">
        <v>147</v>
      </c>
      <c r="Q5582">
        <v>4</v>
      </c>
      <c r="R5582">
        <v>13</v>
      </c>
      <c r="S5582">
        <v>1</v>
      </c>
      <c r="T5582">
        <v>1</v>
      </c>
      <c r="U5582">
        <v>4</v>
      </c>
      <c r="V5582">
        <v>1</v>
      </c>
      <c r="W5582">
        <v>1</v>
      </c>
      <c r="X5582">
        <v>115</v>
      </c>
      <c r="Y5582">
        <v>0</v>
      </c>
      <c r="Z5582">
        <v>0</v>
      </c>
      <c r="AA5582">
        <v>1</v>
      </c>
      <c r="AB5582">
        <v>0</v>
      </c>
      <c r="AD5582">
        <v>1</v>
      </c>
      <c r="AE5582">
        <v>0</v>
      </c>
      <c r="AF5582">
        <v>0</v>
      </c>
      <c r="AG5582">
        <v>0</v>
      </c>
      <c r="AI5582">
        <v>0</v>
      </c>
      <c r="AJ5582">
        <v>5</v>
      </c>
      <c r="AK5582">
        <v>147</v>
      </c>
      <c r="AL5582">
        <v>147</v>
      </c>
      <c r="AM5582">
        <v>634</v>
      </c>
      <c r="AN5582">
        <v>44</v>
      </c>
      <c r="AP5582">
        <v>1</v>
      </c>
      <c r="AR5582" t="s">
        <v>5688</v>
      </c>
      <c r="AS5582" s="1">
        <v>44354.011805555558</v>
      </c>
      <c r="AT5582" s="1">
        <v>44354.018460648149</v>
      </c>
      <c r="AU5582" s="1">
        <v>44354.01934027778</v>
      </c>
      <c r="AV5582" t="s">
        <v>71</v>
      </c>
      <c r="AW5582" t="s">
        <v>72</v>
      </c>
      <c r="AX5582" t="s">
        <v>73</v>
      </c>
    </row>
    <row r="5583" spans="1:50" x14ac:dyDescent="0.3">
      <c r="A5583" t="str">
        <f>"201817C0100"</f>
        <v>201817C0100</v>
      </c>
      <c r="B5583" t="str">
        <f>"201817C01002"</f>
        <v>201817C01002</v>
      </c>
      <c r="C5583" t="str">
        <f t="shared" si="279"/>
        <v>20</v>
      </c>
      <c r="D5583" t="s">
        <v>67</v>
      </c>
      <c r="E5583" t="str">
        <f t="shared" si="278"/>
        <v>025</v>
      </c>
      <c r="F5583" t="s">
        <v>5603</v>
      </c>
      <c r="G5583" t="str">
        <f t="shared" si="280"/>
        <v>1817</v>
      </c>
      <c r="H5583" t="str">
        <f>"0001"</f>
        <v>0001</v>
      </c>
      <c r="I5583" t="s">
        <v>75</v>
      </c>
      <c r="J5583">
        <v>0</v>
      </c>
      <c r="K5583">
        <v>1</v>
      </c>
      <c r="L5583">
        <v>2</v>
      </c>
      <c r="M5583">
        <v>526</v>
      </c>
      <c r="N5583">
        <v>152</v>
      </c>
      <c r="O5583">
        <v>0</v>
      </c>
      <c r="P5583">
        <v>152</v>
      </c>
      <c r="Q5583">
        <v>6</v>
      </c>
      <c r="R5583">
        <v>27</v>
      </c>
      <c r="S5583">
        <v>1</v>
      </c>
      <c r="T5583">
        <v>2</v>
      </c>
      <c r="U5583">
        <v>8</v>
      </c>
      <c r="V5583">
        <v>0</v>
      </c>
      <c r="W5583">
        <v>1</v>
      </c>
      <c r="X5583">
        <v>98</v>
      </c>
      <c r="Y5583">
        <v>1</v>
      </c>
      <c r="Z5583">
        <v>1</v>
      </c>
      <c r="AA5583">
        <v>1</v>
      </c>
      <c r="AB5583">
        <v>2</v>
      </c>
      <c r="AD5583">
        <v>2</v>
      </c>
      <c r="AE5583">
        <v>0</v>
      </c>
      <c r="AF5583">
        <v>0</v>
      </c>
      <c r="AG5583">
        <v>0</v>
      </c>
      <c r="AI5583">
        <v>0</v>
      </c>
      <c r="AJ5583">
        <v>2</v>
      </c>
      <c r="AK5583">
        <v>152</v>
      </c>
      <c r="AL5583">
        <v>152</v>
      </c>
      <c r="AM5583">
        <v>634</v>
      </c>
      <c r="AN5583">
        <v>44</v>
      </c>
      <c r="AP5583">
        <v>1</v>
      </c>
      <c r="AR5583" t="s">
        <v>5689</v>
      </c>
      <c r="AS5583" s="1">
        <v>44354.013888888891</v>
      </c>
      <c r="AT5583" s="1">
        <v>44354.02071759259</v>
      </c>
      <c r="AU5583" s="1">
        <v>44354.021203703705</v>
      </c>
      <c r="AV5583" t="s">
        <v>71</v>
      </c>
      <c r="AW5583" t="s">
        <v>72</v>
      </c>
      <c r="AX5583" t="s">
        <v>73</v>
      </c>
    </row>
    <row r="5584" spans="1:50" x14ac:dyDescent="0.3">
      <c r="A5584" t="str">
        <f>"201817C0200"</f>
        <v>201817C0200</v>
      </c>
      <c r="B5584" t="str">
        <f>"201817C02002"</f>
        <v>201817C02002</v>
      </c>
      <c r="C5584" t="str">
        <f t="shared" si="279"/>
        <v>20</v>
      </c>
      <c r="D5584" t="s">
        <v>67</v>
      </c>
      <c r="E5584" t="str">
        <f t="shared" si="278"/>
        <v>025</v>
      </c>
      <c r="F5584" t="s">
        <v>5603</v>
      </c>
      <c r="G5584" t="str">
        <f t="shared" si="280"/>
        <v>1817</v>
      </c>
      <c r="H5584" t="str">
        <f>"0002"</f>
        <v>0002</v>
      </c>
      <c r="I5584" t="s">
        <v>75</v>
      </c>
      <c r="J5584">
        <v>0</v>
      </c>
      <c r="K5584">
        <v>1</v>
      </c>
      <c r="L5584">
        <v>2</v>
      </c>
      <c r="M5584">
        <v>547</v>
      </c>
      <c r="N5584">
        <v>130</v>
      </c>
      <c r="O5584">
        <v>2</v>
      </c>
      <c r="P5584">
        <v>130</v>
      </c>
      <c r="Q5584">
        <v>0</v>
      </c>
      <c r="R5584">
        <v>13</v>
      </c>
      <c r="S5584">
        <v>2</v>
      </c>
      <c r="T5584">
        <v>2</v>
      </c>
      <c r="U5584">
        <v>2</v>
      </c>
      <c r="V5584">
        <v>2</v>
      </c>
      <c r="W5584">
        <v>1</v>
      </c>
      <c r="X5584">
        <v>99</v>
      </c>
      <c r="Y5584">
        <v>0</v>
      </c>
      <c r="Z5584">
        <v>5</v>
      </c>
      <c r="AA5584">
        <v>1</v>
      </c>
      <c r="AB5584">
        <v>1</v>
      </c>
      <c r="AD5584">
        <v>0</v>
      </c>
      <c r="AE5584">
        <v>0</v>
      </c>
      <c r="AF5584">
        <v>0</v>
      </c>
      <c r="AG5584">
        <v>0</v>
      </c>
      <c r="AI5584">
        <v>0</v>
      </c>
      <c r="AJ5584">
        <v>2</v>
      </c>
      <c r="AK5584" t="s">
        <v>77</v>
      </c>
      <c r="AL5584">
        <v>130</v>
      </c>
      <c r="AM5584">
        <v>633</v>
      </c>
      <c r="AN5584">
        <v>44</v>
      </c>
      <c r="AP5584">
        <v>1</v>
      </c>
      <c r="AR5584" t="s">
        <v>5690</v>
      </c>
      <c r="AS5584" s="1">
        <v>44354.011805555558</v>
      </c>
      <c r="AT5584" s="1">
        <v>44354.018819444442</v>
      </c>
      <c r="AU5584" s="1">
        <v>44354.019652777781</v>
      </c>
      <c r="AV5584" t="s">
        <v>71</v>
      </c>
      <c r="AW5584" t="s">
        <v>72</v>
      </c>
      <c r="AX5584" t="s">
        <v>73</v>
      </c>
    </row>
    <row r="5585" spans="1:50" x14ac:dyDescent="0.3">
      <c r="A5585" t="str">
        <f>"201817C0300"</f>
        <v>201817C0300</v>
      </c>
      <c r="B5585" t="str">
        <f>"201817C03002"</f>
        <v>201817C03002</v>
      </c>
      <c r="C5585" t="str">
        <f t="shared" si="279"/>
        <v>20</v>
      </c>
      <c r="D5585" t="s">
        <v>67</v>
      </c>
      <c r="E5585" t="str">
        <f t="shared" si="278"/>
        <v>025</v>
      </c>
      <c r="F5585" t="s">
        <v>5603</v>
      </c>
      <c r="G5585" t="str">
        <f t="shared" si="280"/>
        <v>1817</v>
      </c>
      <c r="H5585" t="str">
        <f>"0003"</f>
        <v>0003</v>
      </c>
      <c r="I5585" t="s">
        <v>75</v>
      </c>
      <c r="J5585">
        <v>0</v>
      </c>
      <c r="K5585">
        <v>1</v>
      </c>
      <c r="L5585">
        <v>2</v>
      </c>
      <c r="M5585">
        <v>486</v>
      </c>
      <c r="N5585">
        <v>191</v>
      </c>
      <c r="O5585">
        <v>0</v>
      </c>
      <c r="P5585">
        <v>191</v>
      </c>
      <c r="Q5585">
        <v>8</v>
      </c>
      <c r="R5585">
        <v>17</v>
      </c>
      <c r="S5585">
        <v>3</v>
      </c>
      <c r="T5585">
        <v>1</v>
      </c>
      <c r="U5585">
        <v>6</v>
      </c>
      <c r="V5585">
        <v>3</v>
      </c>
      <c r="W5585">
        <v>1</v>
      </c>
      <c r="X5585">
        <v>137</v>
      </c>
      <c r="Y5585">
        <v>0</v>
      </c>
      <c r="Z5585">
        <v>1</v>
      </c>
      <c r="AA5585">
        <v>3</v>
      </c>
      <c r="AB5585">
        <v>2</v>
      </c>
      <c r="AD5585">
        <v>3</v>
      </c>
      <c r="AE5585">
        <v>1</v>
      </c>
      <c r="AF5585">
        <v>0</v>
      </c>
      <c r="AG5585">
        <v>0</v>
      </c>
      <c r="AI5585">
        <v>0</v>
      </c>
      <c r="AJ5585">
        <v>5</v>
      </c>
      <c r="AK5585">
        <v>190</v>
      </c>
      <c r="AL5585">
        <v>191</v>
      </c>
      <c r="AM5585">
        <v>633</v>
      </c>
      <c r="AN5585">
        <v>44</v>
      </c>
      <c r="AP5585">
        <v>1</v>
      </c>
      <c r="AR5585" t="s">
        <v>5691</v>
      </c>
      <c r="AS5585" s="1">
        <v>44354.013888888891</v>
      </c>
      <c r="AT5585" s="1">
        <v>44354.020949074074</v>
      </c>
      <c r="AU5585" s="1">
        <v>44354.021331018521</v>
      </c>
      <c r="AV5585" t="s">
        <v>71</v>
      </c>
      <c r="AW5585" t="s">
        <v>72</v>
      </c>
      <c r="AX5585" t="s">
        <v>73</v>
      </c>
    </row>
    <row r="5586" spans="1:50" x14ac:dyDescent="0.3">
      <c r="A5586" t="str">
        <f>"201817C0400"</f>
        <v>201817C0400</v>
      </c>
      <c r="B5586" t="str">
        <f>"201817C04002"</f>
        <v>201817C04002</v>
      </c>
      <c r="C5586" t="str">
        <f t="shared" si="279"/>
        <v>20</v>
      </c>
      <c r="D5586" t="s">
        <v>67</v>
      </c>
      <c r="E5586" t="str">
        <f t="shared" si="278"/>
        <v>025</v>
      </c>
      <c r="F5586" t="s">
        <v>5603</v>
      </c>
      <c r="G5586" t="str">
        <f t="shared" si="280"/>
        <v>1817</v>
      </c>
      <c r="H5586" t="str">
        <f>"0004"</f>
        <v>0004</v>
      </c>
      <c r="I5586" t="s">
        <v>75</v>
      </c>
      <c r="J5586">
        <v>0</v>
      </c>
      <c r="K5586">
        <v>1</v>
      </c>
      <c r="L5586">
        <v>2</v>
      </c>
      <c r="M5586">
        <v>526</v>
      </c>
      <c r="N5586">
        <v>151</v>
      </c>
      <c r="O5586">
        <v>0</v>
      </c>
      <c r="P5586">
        <v>151</v>
      </c>
      <c r="Q5586">
        <v>7</v>
      </c>
      <c r="R5586">
        <v>20</v>
      </c>
      <c r="S5586">
        <v>4</v>
      </c>
      <c r="T5586">
        <v>2</v>
      </c>
      <c r="U5586">
        <v>9</v>
      </c>
      <c r="V5586">
        <v>1</v>
      </c>
      <c r="W5586">
        <v>2</v>
      </c>
      <c r="X5586">
        <v>96</v>
      </c>
      <c r="Y5586">
        <v>1</v>
      </c>
      <c r="Z5586">
        <v>3</v>
      </c>
      <c r="AA5586">
        <v>1</v>
      </c>
      <c r="AB5586">
        <v>1</v>
      </c>
      <c r="AD5586">
        <v>0</v>
      </c>
      <c r="AE5586">
        <v>0</v>
      </c>
      <c r="AF5586">
        <v>0</v>
      </c>
      <c r="AG5586">
        <v>0</v>
      </c>
      <c r="AI5586">
        <v>0</v>
      </c>
      <c r="AJ5586">
        <v>4</v>
      </c>
      <c r="AK5586">
        <v>151</v>
      </c>
      <c r="AL5586">
        <v>151</v>
      </c>
      <c r="AM5586">
        <v>633</v>
      </c>
      <c r="AN5586">
        <v>44</v>
      </c>
      <c r="AP5586">
        <v>1</v>
      </c>
      <c r="AR5586" t="s">
        <v>5692</v>
      </c>
      <c r="AS5586" s="1">
        <v>44354.011111111111</v>
      </c>
      <c r="AT5586" s="1">
        <v>44354.017025462963</v>
      </c>
      <c r="AU5586" s="1">
        <v>44354.018125000002</v>
      </c>
      <c r="AV5586" t="s">
        <v>71</v>
      </c>
      <c r="AW5586" t="s">
        <v>72</v>
      </c>
      <c r="AX5586" t="s">
        <v>73</v>
      </c>
    </row>
    <row r="5587" spans="1:50" x14ac:dyDescent="0.3">
      <c r="A5587" t="str">
        <f>"201817C0500"</f>
        <v>201817C0500</v>
      </c>
      <c r="B5587" t="str">
        <f>"201817C05002"</f>
        <v>201817C05002</v>
      </c>
      <c r="C5587" t="str">
        <f t="shared" si="279"/>
        <v>20</v>
      </c>
      <c r="D5587" t="s">
        <v>67</v>
      </c>
      <c r="E5587" t="str">
        <f t="shared" si="278"/>
        <v>025</v>
      </c>
      <c r="F5587" t="s">
        <v>5603</v>
      </c>
      <c r="G5587" t="str">
        <f t="shared" si="280"/>
        <v>1817</v>
      </c>
      <c r="H5587" t="str">
        <f>"0005"</f>
        <v>0005</v>
      </c>
      <c r="I5587" t="s">
        <v>75</v>
      </c>
      <c r="J5587">
        <v>0</v>
      </c>
      <c r="K5587">
        <v>1</v>
      </c>
      <c r="L5587">
        <v>2</v>
      </c>
      <c r="M5587">
        <v>505</v>
      </c>
      <c r="N5587">
        <v>172</v>
      </c>
      <c r="O5587">
        <v>0</v>
      </c>
      <c r="P5587">
        <v>172</v>
      </c>
      <c r="Q5587">
        <v>11</v>
      </c>
      <c r="R5587">
        <v>15</v>
      </c>
      <c r="S5587">
        <v>2</v>
      </c>
      <c r="T5587">
        <v>3</v>
      </c>
      <c r="U5587">
        <v>6</v>
      </c>
      <c r="V5587">
        <v>2</v>
      </c>
      <c r="W5587">
        <v>1</v>
      </c>
      <c r="X5587">
        <v>122</v>
      </c>
      <c r="Y5587">
        <v>0</v>
      </c>
      <c r="Z5587">
        <v>3</v>
      </c>
      <c r="AA5587">
        <v>2</v>
      </c>
      <c r="AB5587">
        <v>2</v>
      </c>
      <c r="AD5587">
        <v>1</v>
      </c>
      <c r="AE5587">
        <v>0</v>
      </c>
      <c r="AF5587">
        <v>0</v>
      </c>
      <c r="AG5587">
        <v>0</v>
      </c>
      <c r="AI5587">
        <v>0</v>
      </c>
      <c r="AJ5587">
        <v>2</v>
      </c>
      <c r="AK5587">
        <v>172</v>
      </c>
      <c r="AL5587">
        <v>172</v>
      </c>
      <c r="AM5587">
        <v>633</v>
      </c>
      <c r="AN5587">
        <v>44</v>
      </c>
      <c r="AP5587">
        <v>1</v>
      </c>
      <c r="AR5587" t="s">
        <v>5693</v>
      </c>
      <c r="AS5587" s="1">
        <v>44354.012499999997</v>
      </c>
      <c r="AT5587" s="1">
        <v>44354.019988425927</v>
      </c>
      <c r="AU5587" s="1">
        <v>44354.020462962966</v>
      </c>
      <c r="AV5587" t="s">
        <v>71</v>
      </c>
      <c r="AW5587" t="s">
        <v>72</v>
      </c>
      <c r="AX5587" t="s">
        <v>73</v>
      </c>
    </row>
    <row r="5588" spans="1:50" x14ac:dyDescent="0.3">
      <c r="A5588" t="str">
        <f>"201818B0000"</f>
        <v>201818B0000</v>
      </c>
      <c r="B5588" t="str">
        <f>"201818B00002"</f>
        <v>201818B00002</v>
      </c>
      <c r="C5588" t="str">
        <f t="shared" si="279"/>
        <v>20</v>
      </c>
      <c r="D5588" t="s">
        <v>67</v>
      </c>
      <c r="E5588" t="str">
        <f t="shared" si="278"/>
        <v>025</v>
      </c>
      <c r="F5588" t="s">
        <v>5603</v>
      </c>
      <c r="G5588" t="str">
        <f>"1818"</f>
        <v>1818</v>
      </c>
      <c r="H5588" t="str">
        <f>"0000"</f>
        <v>0000</v>
      </c>
      <c r="I5588" t="s">
        <v>69</v>
      </c>
      <c r="J5588">
        <v>0</v>
      </c>
      <c r="K5588">
        <v>1</v>
      </c>
      <c r="L5588">
        <v>2</v>
      </c>
      <c r="M5588">
        <v>471</v>
      </c>
      <c r="N5588">
        <v>184</v>
      </c>
      <c r="O5588">
        <v>0</v>
      </c>
      <c r="P5588">
        <v>184</v>
      </c>
      <c r="Q5588">
        <v>1</v>
      </c>
      <c r="R5588">
        <v>21</v>
      </c>
      <c r="S5588">
        <v>3</v>
      </c>
      <c r="T5588">
        <v>4</v>
      </c>
      <c r="U5588">
        <v>3</v>
      </c>
      <c r="V5588">
        <v>4</v>
      </c>
      <c r="W5588">
        <v>1</v>
      </c>
      <c r="X5588">
        <v>138</v>
      </c>
      <c r="Y5588">
        <v>0</v>
      </c>
      <c r="Z5588">
        <v>2</v>
      </c>
      <c r="AA5588">
        <v>0</v>
      </c>
      <c r="AB5588">
        <v>1</v>
      </c>
      <c r="AD5588">
        <v>1</v>
      </c>
      <c r="AE5588">
        <v>0</v>
      </c>
      <c r="AF5588">
        <v>1</v>
      </c>
      <c r="AG5588">
        <v>0</v>
      </c>
      <c r="AI5588">
        <v>0</v>
      </c>
      <c r="AJ5588">
        <v>4</v>
      </c>
      <c r="AK5588">
        <v>184</v>
      </c>
      <c r="AL5588">
        <v>184</v>
      </c>
      <c r="AM5588">
        <v>611</v>
      </c>
      <c r="AN5588">
        <v>44</v>
      </c>
      <c r="AP5588">
        <v>1</v>
      </c>
      <c r="AR5588" t="s">
        <v>5694</v>
      </c>
      <c r="AS5588" s="1">
        <v>44353.968055555553</v>
      </c>
      <c r="AT5588" s="1">
        <v>44353.969965277778</v>
      </c>
      <c r="AU5588" s="1">
        <v>44353.971018518518</v>
      </c>
      <c r="AV5588" t="s">
        <v>71</v>
      </c>
      <c r="AW5588" t="s">
        <v>72</v>
      </c>
      <c r="AX5588" t="s">
        <v>73</v>
      </c>
    </row>
    <row r="5589" spans="1:50" x14ac:dyDescent="0.3">
      <c r="A5589" t="str">
        <f>"201818C0100"</f>
        <v>201818C0100</v>
      </c>
      <c r="B5589" t="str">
        <f>"201818C01002"</f>
        <v>201818C01002</v>
      </c>
      <c r="C5589" t="str">
        <f t="shared" si="279"/>
        <v>20</v>
      </c>
      <c r="D5589" t="s">
        <v>67</v>
      </c>
      <c r="E5589" t="str">
        <f t="shared" si="278"/>
        <v>025</v>
      </c>
      <c r="F5589" t="s">
        <v>5603</v>
      </c>
      <c r="G5589" t="str">
        <f>"1818"</f>
        <v>1818</v>
      </c>
      <c r="H5589" t="str">
        <f>"0001"</f>
        <v>0001</v>
      </c>
      <c r="I5589" t="s">
        <v>75</v>
      </c>
      <c r="J5589">
        <v>0</v>
      </c>
      <c r="K5589">
        <v>1</v>
      </c>
      <c r="L5589">
        <v>2</v>
      </c>
      <c r="M5589">
        <v>445</v>
      </c>
      <c r="N5589">
        <v>210</v>
      </c>
      <c r="O5589">
        <v>0</v>
      </c>
      <c r="P5589" t="s">
        <v>80</v>
      </c>
      <c r="Q5589">
        <v>6</v>
      </c>
      <c r="R5589">
        <v>8</v>
      </c>
      <c r="S5589">
        <v>0</v>
      </c>
      <c r="T5589">
        <v>1</v>
      </c>
      <c r="U5589">
        <v>13</v>
      </c>
      <c r="V5589">
        <v>2</v>
      </c>
      <c r="W5589">
        <v>2</v>
      </c>
      <c r="X5589">
        <v>163</v>
      </c>
      <c r="Y5589">
        <v>0</v>
      </c>
      <c r="Z5589">
        <v>4</v>
      </c>
      <c r="AA5589">
        <v>3</v>
      </c>
      <c r="AB5589">
        <v>1</v>
      </c>
      <c r="AD5589">
        <v>1</v>
      </c>
      <c r="AE5589">
        <v>0</v>
      </c>
      <c r="AF5589">
        <v>1</v>
      </c>
      <c r="AG5589">
        <v>0</v>
      </c>
      <c r="AI5589">
        <v>0</v>
      </c>
      <c r="AJ5589">
        <v>5</v>
      </c>
      <c r="AK5589">
        <v>210</v>
      </c>
      <c r="AL5589">
        <v>210</v>
      </c>
      <c r="AM5589">
        <v>611</v>
      </c>
      <c r="AN5589">
        <v>44</v>
      </c>
      <c r="AP5589">
        <v>1</v>
      </c>
      <c r="AR5589" t="s">
        <v>5695</v>
      </c>
      <c r="AS5589" s="1">
        <v>44353.96597222222</v>
      </c>
      <c r="AT5589" s="1">
        <v>44353.969178240739</v>
      </c>
      <c r="AU5589" s="1">
        <v>44353.969930555555</v>
      </c>
      <c r="AV5589" t="s">
        <v>71</v>
      </c>
      <c r="AW5589" t="s">
        <v>72</v>
      </c>
      <c r="AX5589" t="s">
        <v>73</v>
      </c>
    </row>
    <row r="5590" spans="1:50" x14ac:dyDescent="0.3">
      <c r="A5590" t="str">
        <f>"201818C0200"</f>
        <v>201818C0200</v>
      </c>
      <c r="B5590" t="str">
        <f>"201818C02002"</f>
        <v>201818C02002</v>
      </c>
      <c r="C5590" t="str">
        <f t="shared" si="279"/>
        <v>20</v>
      </c>
      <c r="D5590" t="s">
        <v>67</v>
      </c>
      <c r="E5590" t="str">
        <f t="shared" si="278"/>
        <v>025</v>
      </c>
      <c r="F5590" t="s">
        <v>5603</v>
      </c>
      <c r="G5590" t="str">
        <f>"1818"</f>
        <v>1818</v>
      </c>
      <c r="H5590" t="str">
        <f>"0002"</f>
        <v>0002</v>
      </c>
      <c r="I5590" t="s">
        <v>75</v>
      </c>
      <c r="J5590">
        <v>0</v>
      </c>
      <c r="K5590">
        <v>1</v>
      </c>
      <c r="L5590">
        <v>2</v>
      </c>
      <c r="AM5590">
        <v>610</v>
      </c>
      <c r="AN5590">
        <v>44</v>
      </c>
      <c r="AO5590" t="s">
        <v>2056</v>
      </c>
      <c r="AP5590">
        <v>0</v>
      </c>
      <c r="AR5590" t="s">
        <v>5696</v>
      </c>
      <c r="AS5590" s="1">
        <v>44354.635416666664</v>
      </c>
      <c r="AT5590" s="1">
        <v>44354.647222222222</v>
      </c>
      <c r="AU5590" s="1">
        <v>44354.647222222222</v>
      </c>
      <c r="AV5590" t="s">
        <v>71</v>
      </c>
      <c r="AW5590" t="s">
        <v>72</v>
      </c>
      <c r="AX5590" t="s">
        <v>73</v>
      </c>
    </row>
    <row r="5591" spans="1:50" x14ac:dyDescent="0.3">
      <c r="A5591" t="str">
        <f>"201819B0000"</f>
        <v>201819B0000</v>
      </c>
      <c r="B5591" t="str">
        <f>"201819B00002"</f>
        <v>201819B00002</v>
      </c>
      <c r="C5591" t="str">
        <f t="shared" si="279"/>
        <v>20</v>
      </c>
      <c r="D5591" t="s">
        <v>67</v>
      </c>
      <c r="E5591" t="str">
        <f t="shared" si="278"/>
        <v>025</v>
      </c>
      <c r="F5591" t="s">
        <v>5603</v>
      </c>
      <c r="G5591" t="str">
        <f>"1819"</f>
        <v>1819</v>
      </c>
      <c r="H5591" t="str">
        <f>"0000"</f>
        <v>0000</v>
      </c>
      <c r="I5591" t="s">
        <v>69</v>
      </c>
      <c r="J5591">
        <v>0</v>
      </c>
      <c r="K5591">
        <v>1</v>
      </c>
      <c r="L5591">
        <v>2</v>
      </c>
      <c r="M5591">
        <v>361</v>
      </c>
      <c r="N5591">
        <v>499</v>
      </c>
      <c r="O5591">
        <v>0</v>
      </c>
      <c r="P5591" t="s">
        <v>80</v>
      </c>
      <c r="Q5591">
        <v>3</v>
      </c>
      <c r="R5591">
        <v>16</v>
      </c>
      <c r="S5591">
        <v>0</v>
      </c>
      <c r="T5591">
        <v>2</v>
      </c>
      <c r="U5591">
        <v>6</v>
      </c>
      <c r="V5591">
        <v>1</v>
      </c>
      <c r="W5591">
        <v>0</v>
      </c>
      <c r="X5591">
        <v>103</v>
      </c>
      <c r="Y5591">
        <v>6</v>
      </c>
      <c r="Z5591">
        <v>1</v>
      </c>
      <c r="AA5591">
        <v>1</v>
      </c>
      <c r="AB5591">
        <v>0</v>
      </c>
      <c r="AD5591">
        <v>0</v>
      </c>
      <c r="AE5591">
        <v>0</v>
      </c>
      <c r="AF5591">
        <v>0</v>
      </c>
      <c r="AG5591">
        <v>0</v>
      </c>
      <c r="AI5591">
        <v>0</v>
      </c>
      <c r="AJ5591">
        <v>0</v>
      </c>
      <c r="AK5591">
        <v>138</v>
      </c>
      <c r="AL5591">
        <v>139</v>
      </c>
      <c r="AM5591">
        <v>455</v>
      </c>
      <c r="AN5591">
        <v>44</v>
      </c>
      <c r="AP5591">
        <v>1</v>
      </c>
      <c r="AR5591" t="s">
        <v>5697</v>
      </c>
      <c r="AS5591" s="1">
        <v>44353.964583333334</v>
      </c>
      <c r="AT5591" s="1">
        <v>44353.966562499998</v>
      </c>
      <c r="AU5591" s="1">
        <v>44353.968877314815</v>
      </c>
      <c r="AV5591" t="s">
        <v>71</v>
      </c>
      <c r="AW5591" t="s">
        <v>72</v>
      </c>
      <c r="AX5591" t="s">
        <v>73</v>
      </c>
    </row>
    <row r="5592" spans="1:50" x14ac:dyDescent="0.3">
      <c r="A5592" t="str">
        <f>"201819C0100"</f>
        <v>201819C0100</v>
      </c>
      <c r="B5592" t="str">
        <f>"201819C01002"</f>
        <v>201819C01002</v>
      </c>
      <c r="C5592" t="str">
        <f t="shared" si="279"/>
        <v>20</v>
      </c>
      <c r="D5592" t="s">
        <v>67</v>
      </c>
      <c r="E5592" t="str">
        <f t="shared" si="278"/>
        <v>025</v>
      </c>
      <c r="F5592" t="s">
        <v>5603</v>
      </c>
      <c r="G5592" t="str">
        <f>"1819"</f>
        <v>1819</v>
      </c>
      <c r="H5592" t="str">
        <f>"0001"</f>
        <v>0001</v>
      </c>
      <c r="I5592" t="s">
        <v>75</v>
      </c>
      <c r="J5592">
        <v>0</v>
      </c>
      <c r="K5592">
        <v>1</v>
      </c>
      <c r="L5592">
        <v>2</v>
      </c>
      <c r="M5592">
        <v>353</v>
      </c>
      <c r="N5592">
        <v>145</v>
      </c>
      <c r="O5592">
        <v>0</v>
      </c>
      <c r="P5592">
        <v>145</v>
      </c>
      <c r="Q5592">
        <v>7</v>
      </c>
      <c r="R5592">
        <v>10</v>
      </c>
      <c r="S5592">
        <v>1</v>
      </c>
      <c r="T5592">
        <v>3</v>
      </c>
      <c r="U5592">
        <v>7</v>
      </c>
      <c r="V5592">
        <v>2</v>
      </c>
      <c r="W5592">
        <v>0</v>
      </c>
      <c r="X5592">
        <v>102</v>
      </c>
      <c r="Y5592">
        <v>0</v>
      </c>
      <c r="Z5592">
        <v>2</v>
      </c>
      <c r="AA5592">
        <v>0</v>
      </c>
      <c r="AB5592">
        <v>4</v>
      </c>
      <c r="AD5592">
        <v>0</v>
      </c>
      <c r="AE5592">
        <v>4</v>
      </c>
      <c r="AF5592">
        <v>0</v>
      </c>
      <c r="AG5592">
        <v>0</v>
      </c>
      <c r="AI5592">
        <v>0</v>
      </c>
      <c r="AJ5592">
        <v>3</v>
      </c>
      <c r="AK5592">
        <v>145</v>
      </c>
      <c r="AL5592">
        <v>145</v>
      </c>
      <c r="AM5592">
        <v>454</v>
      </c>
      <c r="AN5592">
        <v>44</v>
      </c>
      <c r="AP5592">
        <v>1</v>
      </c>
      <c r="AR5592" t="s">
        <v>5698</v>
      </c>
      <c r="AS5592" s="1">
        <v>44353.964583333334</v>
      </c>
      <c r="AT5592" s="1">
        <v>44353.96665509259</v>
      </c>
      <c r="AU5592" s="1">
        <v>44353.967175925929</v>
      </c>
      <c r="AV5592" t="s">
        <v>71</v>
      </c>
      <c r="AW5592" t="s">
        <v>72</v>
      </c>
      <c r="AX5592" t="s">
        <v>73</v>
      </c>
    </row>
    <row r="5593" spans="1:50" x14ac:dyDescent="0.3">
      <c r="A5593" t="str">
        <f>"201820B0000"</f>
        <v>201820B0000</v>
      </c>
      <c r="B5593" t="str">
        <f>"201820B00002"</f>
        <v>201820B00002</v>
      </c>
      <c r="C5593" t="str">
        <f t="shared" si="279"/>
        <v>20</v>
      </c>
      <c r="D5593" t="s">
        <v>67</v>
      </c>
      <c r="E5593" t="str">
        <f t="shared" si="278"/>
        <v>025</v>
      </c>
      <c r="F5593" t="s">
        <v>5603</v>
      </c>
      <c r="G5593" t="str">
        <f>"1820"</f>
        <v>1820</v>
      </c>
      <c r="H5593" t="str">
        <f>"0000"</f>
        <v>0000</v>
      </c>
      <c r="I5593" t="s">
        <v>69</v>
      </c>
      <c r="J5593">
        <v>0</v>
      </c>
      <c r="K5593">
        <v>1</v>
      </c>
      <c r="L5593">
        <v>2</v>
      </c>
      <c r="M5593">
        <v>574</v>
      </c>
      <c r="N5593">
        <v>216</v>
      </c>
      <c r="O5593">
        <v>1</v>
      </c>
      <c r="P5593" t="s">
        <v>80</v>
      </c>
      <c r="Q5593">
        <v>9</v>
      </c>
      <c r="R5593">
        <v>10</v>
      </c>
      <c r="S5593">
        <v>4</v>
      </c>
      <c r="T5593">
        <v>2</v>
      </c>
      <c r="U5593">
        <v>9</v>
      </c>
      <c r="V5593">
        <v>1</v>
      </c>
      <c r="W5593">
        <v>1</v>
      </c>
      <c r="X5593">
        <v>158</v>
      </c>
      <c r="Y5593">
        <v>1</v>
      </c>
      <c r="Z5593">
        <v>9</v>
      </c>
      <c r="AA5593">
        <v>2</v>
      </c>
      <c r="AB5593">
        <v>4</v>
      </c>
      <c r="AD5593" t="s">
        <v>77</v>
      </c>
      <c r="AE5593" t="s">
        <v>77</v>
      </c>
      <c r="AF5593" t="s">
        <v>77</v>
      </c>
      <c r="AG5593" t="s">
        <v>77</v>
      </c>
      <c r="AI5593" t="s">
        <v>77</v>
      </c>
      <c r="AJ5593">
        <v>6</v>
      </c>
      <c r="AK5593">
        <v>216</v>
      </c>
      <c r="AL5593">
        <v>216</v>
      </c>
      <c r="AM5593">
        <v>746</v>
      </c>
      <c r="AN5593">
        <v>44</v>
      </c>
      <c r="AO5593" t="s">
        <v>78</v>
      </c>
      <c r="AP5593">
        <v>1</v>
      </c>
      <c r="AR5593" t="s">
        <v>5699</v>
      </c>
      <c r="AS5593" s="1">
        <v>44354.009027777778</v>
      </c>
      <c r="AT5593" s="1">
        <v>44354.013402777775</v>
      </c>
      <c r="AU5593" s="1">
        <v>44354.014143518521</v>
      </c>
      <c r="AV5593" t="s">
        <v>71</v>
      </c>
      <c r="AW5593" t="s">
        <v>72</v>
      </c>
      <c r="AX5593" t="s">
        <v>73</v>
      </c>
    </row>
    <row r="5594" spans="1:50" x14ac:dyDescent="0.3">
      <c r="A5594" t="str">
        <f>"201820C0100"</f>
        <v>201820C0100</v>
      </c>
      <c r="B5594" t="str">
        <f>"201820C01002"</f>
        <v>201820C01002</v>
      </c>
      <c r="C5594" t="str">
        <f t="shared" si="279"/>
        <v>20</v>
      </c>
      <c r="D5594" t="s">
        <v>67</v>
      </c>
      <c r="E5594" t="str">
        <f t="shared" si="278"/>
        <v>025</v>
      </c>
      <c r="F5594" t="s">
        <v>5603</v>
      </c>
      <c r="G5594" t="str">
        <f>"1820"</f>
        <v>1820</v>
      </c>
      <c r="H5594" t="str">
        <f>"0001"</f>
        <v>0001</v>
      </c>
      <c r="I5594" t="s">
        <v>75</v>
      </c>
      <c r="J5594">
        <v>0</v>
      </c>
      <c r="K5594">
        <v>1</v>
      </c>
      <c r="L5594">
        <v>2</v>
      </c>
      <c r="M5594" t="s">
        <v>80</v>
      </c>
      <c r="N5594" t="s">
        <v>80</v>
      </c>
      <c r="O5594" t="s">
        <v>80</v>
      </c>
      <c r="P5594">
        <v>208</v>
      </c>
      <c r="Q5594">
        <v>6</v>
      </c>
      <c r="R5594">
        <v>16</v>
      </c>
      <c r="S5594">
        <v>5</v>
      </c>
      <c r="T5594">
        <v>2</v>
      </c>
      <c r="U5594">
        <v>11</v>
      </c>
      <c r="V5594">
        <v>2</v>
      </c>
      <c r="W5594">
        <v>2</v>
      </c>
      <c r="X5594">
        <v>151</v>
      </c>
      <c r="Y5594">
        <v>0</v>
      </c>
      <c r="Z5594">
        <v>6</v>
      </c>
      <c r="AA5594">
        <v>1</v>
      </c>
      <c r="AB5594">
        <v>4</v>
      </c>
      <c r="AD5594">
        <v>0</v>
      </c>
      <c r="AE5594">
        <v>0</v>
      </c>
      <c r="AF5594">
        <v>0</v>
      </c>
      <c r="AG5594">
        <v>0</v>
      </c>
      <c r="AI5594">
        <v>0</v>
      </c>
      <c r="AJ5594">
        <v>2</v>
      </c>
      <c r="AK5594">
        <v>208</v>
      </c>
      <c r="AL5594">
        <v>208</v>
      </c>
      <c r="AM5594">
        <v>746</v>
      </c>
      <c r="AN5594">
        <v>44</v>
      </c>
      <c r="AP5594">
        <v>1</v>
      </c>
      <c r="AR5594" t="s">
        <v>5700</v>
      </c>
      <c r="AS5594" s="1">
        <v>44354.009027777778</v>
      </c>
      <c r="AT5594" s="1">
        <v>44354.014074074075</v>
      </c>
      <c r="AU5594" s="1">
        <v>44354.014537037037</v>
      </c>
      <c r="AV5594" t="s">
        <v>71</v>
      </c>
      <c r="AW5594" t="s">
        <v>72</v>
      </c>
      <c r="AX5594" t="s">
        <v>73</v>
      </c>
    </row>
    <row r="5595" spans="1:50" x14ac:dyDescent="0.3">
      <c r="A5595" t="str">
        <f>"201820C0200"</f>
        <v>201820C0200</v>
      </c>
      <c r="B5595" t="str">
        <f>"201820C02002"</f>
        <v>201820C02002</v>
      </c>
      <c r="C5595" t="str">
        <f t="shared" si="279"/>
        <v>20</v>
      </c>
      <c r="D5595" t="s">
        <v>67</v>
      </c>
      <c r="E5595" t="str">
        <f t="shared" si="278"/>
        <v>025</v>
      </c>
      <c r="F5595" t="s">
        <v>5603</v>
      </c>
      <c r="G5595" t="str">
        <f>"1820"</f>
        <v>1820</v>
      </c>
      <c r="H5595" t="str">
        <f>"0002"</f>
        <v>0002</v>
      </c>
      <c r="I5595" t="s">
        <v>75</v>
      </c>
      <c r="J5595">
        <v>0</v>
      </c>
      <c r="K5595">
        <v>1</v>
      </c>
      <c r="L5595">
        <v>2</v>
      </c>
      <c r="M5595">
        <v>585</v>
      </c>
      <c r="N5595">
        <v>204</v>
      </c>
      <c r="O5595">
        <v>0</v>
      </c>
      <c r="P5595">
        <v>204</v>
      </c>
      <c r="Q5595">
        <v>8</v>
      </c>
      <c r="R5595">
        <v>19</v>
      </c>
      <c r="S5595">
        <v>2</v>
      </c>
      <c r="T5595">
        <v>0</v>
      </c>
      <c r="U5595">
        <v>5</v>
      </c>
      <c r="V5595">
        <v>0</v>
      </c>
      <c r="W5595">
        <v>2</v>
      </c>
      <c r="X5595">
        <v>148</v>
      </c>
      <c r="Y5595">
        <v>2</v>
      </c>
      <c r="Z5595">
        <v>4</v>
      </c>
      <c r="AA5595">
        <v>2</v>
      </c>
      <c r="AB5595">
        <v>4</v>
      </c>
      <c r="AD5595">
        <v>0</v>
      </c>
      <c r="AE5595">
        <v>0</v>
      </c>
      <c r="AF5595">
        <v>0</v>
      </c>
      <c r="AG5595">
        <v>0</v>
      </c>
      <c r="AI5595">
        <v>0</v>
      </c>
      <c r="AJ5595">
        <v>8</v>
      </c>
      <c r="AK5595">
        <v>8</v>
      </c>
      <c r="AL5595">
        <v>204</v>
      </c>
      <c r="AM5595">
        <v>745</v>
      </c>
      <c r="AN5595">
        <v>44</v>
      </c>
      <c r="AP5595">
        <v>1</v>
      </c>
      <c r="AR5595" t="s">
        <v>5701</v>
      </c>
      <c r="AS5595" s="1">
        <v>44354.009722222225</v>
      </c>
      <c r="AT5595" s="1">
        <v>44354.015300925923</v>
      </c>
      <c r="AU5595" s="1">
        <v>44354.0158912037</v>
      </c>
      <c r="AV5595" t="s">
        <v>71</v>
      </c>
      <c r="AW5595" t="s">
        <v>72</v>
      </c>
      <c r="AX5595" t="s">
        <v>73</v>
      </c>
    </row>
    <row r="5596" spans="1:50" x14ac:dyDescent="0.3">
      <c r="A5596" t="str">
        <f>"201820C0300"</f>
        <v>201820C0300</v>
      </c>
      <c r="B5596" t="str">
        <f>"201820C03002"</f>
        <v>201820C03002</v>
      </c>
      <c r="C5596" t="str">
        <f t="shared" si="279"/>
        <v>20</v>
      </c>
      <c r="D5596" t="s">
        <v>67</v>
      </c>
      <c r="E5596" t="str">
        <f t="shared" si="278"/>
        <v>025</v>
      </c>
      <c r="F5596" t="s">
        <v>5603</v>
      </c>
      <c r="G5596" t="str">
        <f>"1820"</f>
        <v>1820</v>
      </c>
      <c r="H5596" t="str">
        <f>"0003"</f>
        <v>0003</v>
      </c>
      <c r="I5596" t="s">
        <v>75</v>
      </c>
      <c r="J5596">
        <v>0</v>
      </c>
      <c r="K5596">
        <v>1</v>
      </c>
      <c r="L5596">
        <v>2</v>
      </c>
      <c r="M5596">
        <v>597</v>
      </c>
      <c r="N5596">
        <v>192</v>
      </c>
      <c r="O5596">
        <v>0</v>
      </c>
      <c r="P5596">
        <v>192</v>
      </c>
      <c r="Q5596">
        <v>6</v>
      </c>
      <c r="R5596">
        <v>15</v>
      </c>
      <c r="S5596">
        <v>1</v>
      </c>
      <c r="T5596">
        <v>1</v>
      </c>
      <c r="U5596">
        <v>8</v>
      </c>
      <c r="V5596">
        <v>1</v>
      </c>
      <c r="W5596">
        <v>0</v>
      </c>
      <c r="X5596">
        <v>144</v>
      </c>
      <c r="Y5596">
        <v>0</v>
      </c>
      <c r="Z5596">
        <v>6</v>
      </c>
      <c r="AA5596">
        <v>4</v>
      </c>
      <c r="AB5596">
        <v>2</v>
      </c>
      <c r="AD5596">
        <v>0</v>
      </c>
      <c r="AE5596">
        <v>0</v>
      </c>
      <c r="AF5596">
        <v>0</v>
      </c>
      <c r="AG5596">
        <v>0</v>
      </c>
      <c r="AI5596">
        <v>0</v>
      </c>
      <c r="AJ5596">
        <v>4</v>
      </c>
      <c r="AK5596">
        <v>192</v>
      </c>
      <c r="AL5596">
        <v>192</v>
      </c>
      <c r="AM5596">
        <v>745</v>
      </c>
      <c r="AN5596">
        <v>44</v>
      </c>
      <c r="AP5596">
        <v>1</v>
      </c>
      <c r="AR5596" t="s">
        <v>5702</v>
      </c>
      <c r="AS5596" s="1">
        <v>44354.010416666664</v>
      </c>
      <c r="AT5596" s="1">
        <v>44354.01667824074</v>
      </c>
      <c r="AU5596" s="1">
        <v>44354.017916666664</v>
      </c>
      <c r="AV5596" t="s">
        <v>71</v>
      </c>
      <c r="AW5596" t="s">
        <v>72</v>
      </c>
      <c r="AX5596" t="s">
        <v>73</v>
      </c>
    </row>
    <row r="5597" spans="1:50" x14ac:dyDescent="0.3">
      <c r="A5597" t="str">
        <f>"201821B0000"</f>
        <v>201821B0000</v>
      </c>
      <c r="B5597" t="str">
        <f>"201821B00002"</f>
        <v>201821B00002</v>
      </c>
      <c r="C5597" t="str">
        <f t="shared" si="279"/>
        <v>20</v>
      </c>
      <c r="D5597" t="s">
        <v>67</v>
      </c>
      <c r="E5597" t="str">
        <f t="shared" si="278"/>
        <v>025</v>
      </c>
      <c r="F5597" t="s">
        <v>5603</v>
      </c>
      <c r="G5597" t="str">
        <f>"1821"</f>
        <v>1821</v>
      </c>
      <c r="H5597" t="str">
        <f>"0000"</f>
        <v>0000</v>
      </c>
      <c r="I5597" t="s">
        <v>69</v>
      </c>
      <c r="J5597">
        <v>0</v>
      </c>
      <c r="K5597">
        <v>1</v>
      </c>
      <c r="L5597">
        <v>2</v>
      </c>
      <c r="M5597">
        <v>242</v>
      </c>
      <c r="N5597">
        <v>121</v>
      </c>
      <c r="O5597">
        <v>1</v>
      </c>
      <c r="P5597">
        <v>121</v>
      </c>
      <c r="Q5597">
        <v>5</v>
      </c>
      <c r="R5597">
        <v>40</v>
      </c>
      <c r="S5597">
        <v>3</v>
      </c>
      <c r="T5597">
        <v>2</v>
      </c>
      <c r="U5597">
        <v>0</v>
      </c>
      <c r="V5597">
        <v>0</v>
      </c>
      <c r="W5597">
        <v>2</v>
      </c>
      <c r="X5597">
        <v>65</v>
      </c>
      <c r="Y5597">
        <v>0</v>
      </c>
      <c r="Z5597">
        <v>2</v>
      </c>
      <c r="AA5597">
        <v>1</v>
      </c>
      <c r="AB5597">
        <v>0</v>
      </c>
      <c r="AD5597">
        <v>0</v>
      </c>
      <c r="AE5597">
        <v>0</v>
      </c>
      <c r="AF5597">
        <v>0</v>
      </c>
      <c r="AG5597">
        <v>0</v>
      </c>
      <c r="AI5597">
        <v>0</v>
      </c>
      <c r="AJ5597">
        <v>1</v>
      </c>
      <c r="AK5597">
        <v>121</v>
      </c>
      <c r="AL5597">
        <v>121</v>
      </c>
      <c r="AM5597">
        <v>319</v>
      </c>
      <c r="AN5597">
        <v>44</v>
      </c>
      <c r="AP5597">
        <v>1</v>
      </c>
      <c r="AR5597" t="s">
        <v>5703</v>
      </c>
      <c r="AS5597" s="1">
        <v>44354.086805555555</v>
      </c>
      <c r="AT5597" s="1">
        <v>44354.093969907408</v>
      </c>
      <c r="AU5597" s="1">
        <v>44354.094409722224</v>
      </c>
      <c r="AV5597" t="s">
        <v>71</v>
      </c>
      <c r="AW5597" t="s">
        <v>72</v>
      </c>
      <c r="AX5597" t="s">
        <v>73</v>
      </c>
    </row>
    <row r="5598" spans="1:50" x14ac:dyDescent="0.3">
      <c r="A5598" t="str">
        <f>"201821E0100"</f>
        <v>201821E0100</v>
      </c>
      <c r="B5598" t="str">
        <f>"201821E01002"</f>
        <v>201821E01002</v>
      </c>
      <c r="C5598" t="str">
        <f t="shared" si="279"/>
        <v>20</v>
      </c>
      <c r="D5598" t="s">
        <v>67</v>
      </c>
      <c r="E5598" t="str">
        <f t="shared" si="278"/>
        <v>025</v>
      </c>
      <c r="F5598" t="s">
        <v>5603</v>
      </c>
      <c r="G5598" t="str">
        <f>"1821"</f>
        <v>1821</v>
      </c>
      <c r="H5598" t="str">
        <f>"0001"</f>
        <v>0001</v>
      </c>
      <c r="I5598" t="s">
        <v>109</v>
      </c>
      <c r="J5598">
        <v>0</v>
      </c>
      <c r="K5598">
        <v>1</v>
      </c>
      <c r="L5598">
        <v>2</v>
      </c>
      <c r="M5598">
        <v>498</v>
      </c>
      <c r="N5598">
        <v>241</v>
      </c>
      <c r="O5598">
        <v>4</v>
      </c>
      <c r="P5598">
        <v>241</v>
      </c>
      <c r="Q5598">
        <v>33</v>
      </c>
      <c r="R5598">
        <v>56</v>
      </c>
      <c r="S5598">
        <v>3</v>
      </c>
      <c r="T5598">
        <v>55</v>
      </c>
      <c r="U5598">
        <v>5</v>
      </c>
      <c r="V5598">
        <v>1</v>
      </c>
      <c r="W5598">
        <v>2</v>
      </c>
      <c r="X5598">
        <v>74</v>
      </c>
      <c r="Y5598">
        <v>0</v>
      </c>
      <c r="Z5598">
        <v>6</v>
      </c>
      <c r="AA5598">
        <v>3</v>
      </c>
      <c r="AB5598">
        <v>1</v>
      </c>
      <c r="AD5598">
        <v>0</v>
      </c>
      <c r="AE5598">
        <v>0</v>
      </c>
      <c r="AF5598">
        <v>0</v>
      </c>
      <c r="AG5598">
        <v>0</v>
      </c>
      <c r="AI5598">
        <v>0</v>
      </c>
      <c r="AJ5598">
        <v>3</v>
      </c>
      <c r="AK5598">
        <v>241</v>
      </c>
      <c r="AL5598">
        <v>242</v>
      </c>
      <c r="AM5598">
        <v>695</v>
      </c>
      <c r="AN5598">
        <v>44</v>
      </c>
      <c r="AP5598">
        <v>1</v>
      </c>
      <c r="AR5598" t="s">
        <v>5704</v>
      </c>
      <c r="AS5598" s="1">
        <v>44354.087500000001</v>
      </c>
      <c r="AT5598" s="1">
        <v>44354.094768518517</v>
      </c>
      <c r="AU5598" s="1">
        <v>44354.095312500001</v>
      </c>
      <c r="AV5598" t="s">
        <v>71</v>
      </c>
      <c r="AW5598" t="s">
        <v>72</v>
      </c>
      <c r="AX5598" t="s">
        <v>73</v>
      </c>
    </row>
    <row r="5599" spans="1:50" x14ac:dyDescent="0.3">
      <c r="A5599" t="str">
        <f>"201822B0000"</f>
        <v>201822B0000</v>
      </c>
      <c r="B5599" t="str">
        <f>"201822B00002"</f>
        <v>201822B00002</v>
      </c>
      <c r="C5599" t="str">
        <f t="shared" si="279"/>
        <v>20</v>
      </c>
      <c r="D5599" t="s">
        <v>67</v>
      </c>
      <c r="E5599" t="str">
        <f t="shared" si="278"/>
        <v>025</v>
      </c>
      <c r="F5599" t="s">
        <v>5603</v>
      </c>
      <c r="G5599" t="str">
        <f>"1822"</f>
        <v>1822</v>
      </c>
      <c r="H5599" t="str">
        <f>"0000"</f>
        <v>0000</v>
      </c>
      <c r="I5599" t="s">
        <v>69</v>
      </c>
      <c r="J5599">
        <v>0</v>
      </c>
      <c r="K5599">
        <v>1</v>
      </c>
      <c r="L5599">
        <v>2</v>
      </c>
      <c r="M5599">
        <v>230</v>
      </c>
      <c r="N5599">
        <v>192</v>
      </c>
      <c r="O5599">
        <v>1</v>
      </c>
      <c r="P5599">
        <v>192</v>
      </c>
      <c r="Q5599">
        <v>20</v>
      </c>
      <c r="R5599">
        <v>95</v>
      </c>
      <c r="S5599">
        <v>0</v>
      </c>
      <c r="T5599">
        <v>4</v>
      </c>
      <c r="U5599">
        <v>17</v>
      </c>
      <c r="V5599">
        <v>0</v>
      </c>
      <c r="W5599">
        <v>1</v>
      </c>
      <c r="X5599">
        <v>43</v>
      </c>
      <c r="Y5599">
        <v>0</v>
      </c>
      <c r="Z5599">
        <v>3</v>
      </c>
      <c r="AA5599">
        <v>3</v>
      </c>
      <c r="AB5599">
        <v>3</v>
      </c>
      <c r="AD5599">
        <v>0</v>
      </c>
      <c r="AE5599">
        <v>0</v>
      </c>
      <c r="AF5599">
        <v>0</v>
      </c>
      <c r="AG5599">
        <v>0</v>
      </c>
      <c r="AI5599">
        <v>0</v>
      </c>
      <c r="AJ5599">
        <v>3</v>
      </c>
      <c r="AK5599">
        <v>192</v>
      </c>
      <c r="AL5599">
        <v>192</v>
      </c>
      <c r="AM5599">
        <v>378</v>
      </c>
      <c r="AN5599">
        <v>44</v>
      </c>
      <c r="AP5599">
        <v>1</v>
      </c>
      <c r="AR5599" t="s">
        <v>5705</v>
      </c>
      <c r="AS5599" s="1">
        <v>44354.076388888891</v>
      </c>
      <c r="AT5599" s="1">
        <v>44354.085312499999</v>
      </c>
      <c r="AU5599" s="1">
        <v>44354.085833333331</v>
      </c>
      <c r="AV5599" t="s">
        <v>71</v>
      </c>
      <c r="AW5599" t="s">
        <v>72</v>
      </c>
      <c r="AX5599" t="s">
        <v>73</v>
      </c>
    </row>
    <row r="5600" spans="1:50" x14ac:dyDescent="0.3">
      <c r="A5600" t="str">
        <f>"201822E0100"</f>
        <v>201822E0100</v>
      </c>
      <c r="B5600" t="str">
        <f>"201822E01002"</f>
        <v>201822E01002</v>
      </c>
      <c r="C5600" t="str">
        <f t="shared" si="279"/>
        <v>20</v>
      </c>
      <c r="D5600" t="s">
        <v>67</v>
      </c>
      <c r="E5600" t="str">
        <f t="shared" si="278"/>
        <v>025</v>
      </c>
      <c r="F5600" t="s">
        <v>5603</v>
      </c>
      <c r="G5600" t="str">
        <f>"1822"</f>
        <v>1822</v>
      </c>
      <c r="H5600" t="str">
        <f>"0001"</f>
        <v>0001</v>
      </c>
      <c r="I5600" t="s">
        <v>109</v>
      </c>
      <c r="J5600">
        <v>0</v>
      </c>
      <c r="K5600">
        <v>1</v>
      </c>
      <c r="L5600">
        <v>2</v>
      </c>
      <c r="M5600">
        <v>307</v>
      </c>
      <c r="N5600">
        <v>125</v>
      </c>
      <c r="O5600">
        <v>1</v>
      </c>
      <c r="P5600">
        <v>125</v>
      </c>
      <c r="Q5600">
        <v>4</v>
      </c>
      <c r="R5600">
        <v>39</v>
      </c>
      <c r="S5600">
        <v>0</v>
      </c>
      <c r="T5600">
        <v>7</v>
      </c>
      <c r="U5600" t="s">
        <v>99</v>
      </c>
      <c r="V5600">
        <v>0</v>
      </c>
      <c r="W5600">
        <v>0</v>
      </c>
      <c r="X5600">
        <v>38</v>
      </c>
      <c r="Y5600">
        <v>3</v>
      </c>
      <c r="Z5600">
        <v>2</v>
      </c>
      <c r="AA5600">
        <v>1</v>
      </c>
      <c r="AB5600">
        <v>2</v>
      </c>
      <c r="AD5600">
        <v>1</v>
      </c>
      <c r="AE5600">
        <v>0</v>
      </c>
      <c r="AF5600">
        <v>0</v>
      </c>
      <c r="AG5600">
        <v>0</v>
      </c>
      <c r="AI5600">
        <v>0</v>
      </c>
      <c r="AJ5600">
        <v>5</v>
      </c>
      <c r="AK5600">
        <v>125</v>
      </c>
      <c r="AL5600">
        <v>102</v>
      </c>
      <c r="AM5600">
        <v>388</v>
      </c>
      <c r="AN5600">
        <v>44</v>
      </c>
      <c r="AO5600" t="s">
        <v>78</v>
      </c>
      <c r="AP5600">
        <v>1</v>
      </c>
      <c r="AR5600" t="s">
        <v>5706</v>
      </c>
      <c r="AS5600" s="1">
        <v>44354.077777777777</v>
      </c>
      <c r="AT5600" s="1">
        <v>44354.087534722225</v>
      </c>
      <c r="AU5600" s="1">
        <v>44354.087905092594</v>
      </c>
      <c r="AV5600" t="s">
        <v>71</v>
      </c>
      <c r="AW5600" t="s">
        <v>72</v>
      </c>
      <c r="AX5600" t="s">
        <v>73</v>
      </c>
    </row>
    <row r="5601" spans="1:50" x14ac:dyDescent="0.3">
      <c r="A5601" t="str">
        <f>"201822E0101"</f>
        <v>201822E0101</v>
      </c>
      <c r="B5601" t="str">
        <f>"201822E01012"</f>
        <v>201822E01012</v>
      </c>
      <c r="C5601" t="str">
        <f t="shared" si="279"/>
        <v>20</v>
      </c>
      <c r="D5601" t="s">
        <v>67</v>
      </c>
      <c r="E5601" t="str">
        <f t="shared" si="278"/>
        <v>025</v>
      </c>
      <c r="F5601" t="s">
        <v>5603</v>
      </c>
      <c r="G5601" t="str">
        <f>"1822"</f>
        <v>1822</v>
      </c>
      <c r="H5601" t="str">
        <f>"0001"</f>
        <v>0001</v>
      </c>
      <c r="I5601" t="s">
        <v>109</v>
      </c>
      <c r="J5601">
        <v>1</v>
      </c>
      <c r="K5601">
        <v>1</v>
      </c>
      <c r="L5601">
        <v>2</v>
      </c>
      <c r="M5601">
        <v>298</v>
      </c>
      <c r="N5601">
        <v>134</v>
      </c>
      <c r="O5601">
        <v>0</v>
      </c>
      <c r="P5601">
        <v>134</v>
      </c>
      <c r="Q5601">
        <v>7</v>
      </c>
      <c r="R5601">
        <v>29</v>
      </c>
      <c r="S5601">
        <v>2</v>
      </c>
      <c r="T5601">
        <v>4</v>
      </c>
      <c r="U5601">
        <v>24</v>
      </c>
      <c r="V5601">
        <v>2</v>
      </c>
      <c r="W5601">
        <v>0</v>
      </c>
      <c r="X5601">
        <v>47</v>
      </c>
      <c r="Y5601">
        <v>8</v>
      </c>
      <c r="Z5601">
        <v>2</v>
      </c>
      <c r="AA5601">
        <v>1</v>
      </c>
      <c r="AB5601">
        <v>1</v>
      </c>
      <c r="AD5601">
        <v>0</v>
      </c>
      <c r="AE5601">
        <v>0</v>
      </c>
      <c r="AF5601">
        <v>0</v>
      </c>
      <c r="AG5601">
        <v>0</v>
      </c>
      <c r="AI5601">
        <v>0</v>
      </c>
      <c r="AJ5601">
        <v>7</v>
      </c>
      <c r="AK5601">
        <v>134</v>
      </c>
      <c r="AL5601">
        <v>134</v>
      </c>
      <c r="AM5601">
        <v>388</v>
      </c>
      <c r="AN5601">
        <v>44</v>
      </c>
      <c r="AP5601">
        <v>1</v>
      </c>
      <c r="AR5601" t="s">
        <v>5707</v>
      </c>
      <c r="AS5601" s="1">
        <v>44354.078472222223</v>
      </c>
      <c r="AT5601" s="1">
        <v>44354.086365740739</v>
      </c>
      <c r="AU5601" s="1">
        <v>44354.086840277778</v>
      </c>
      <c r="AV5601" t="s">
        <v>71</v>
      </c>
      <c r="AW5601" t="s">
        <v>72</v>
      </c>
      <c r="AX5601" t="s">
        <v>73</v>
      </c>
    </row>
    <row r="5602" spans="1:50" x14ac:dyDescent="0.3">
      <c r="A5602" t="str">
        <f>"201822E0200"</f>
        <v>201822E0200</v>
      </c>
      <c r="B5602" t="str">
        <f>"201822E02002"</f>
        <v>201822E02002</v>
      </c>
      <c r="C5602" t="str">
        <f t="shared" si="279"/>
        <v>20</v>
      </c>
      <c r="D5602" t="s">
        <v>67</v>
      </c>
      <c r="E5602" t="str">
        <f t="shared" si="278"/>
        <v>025</v>
      </c>
      <c r="F5602" t="s">
        <v>5603</v>
      </c>
      <c r="G5602" t="str">
        <f>"1822"</f>
        <v>1822</v>
      </c>
      <c r="H5602" t="str">
        <f>"0002"</f>
        <v>0002</v>
      </c>
      <c r="I5602" t="s">
        <v>109</v>
      </c>
      <c r="J5602">
        <v>0</v>
      </c>
      <c r="K5602">
        <v>1</v>
      </c>
      <c r="L5602">
        <v>2</v>
      </c>
      <c r="M5602">
        <v>222</v>
      </c>
      <c r="N5602">
        <v>160</v>
      </c>
      <c r="O5602">
        <v>1</v>
      </c>
      <c r="P5602">
        <v>160</v>
      </c>
      <c r="Q5602">
        <v>15</v>
      </c>
      <c r="R5602">
        <v>79</v>
      </c>
      <c r="S5602">
        <v>5</v>
      </c>
      <c r="T5602">
        <v>17</v>
      </c>
      <c r="U5602">
        <v>8</v>
      </c>
      <c r="V5602">
        <v>1</v>
      </c>
      <c r="W5602">
        <v>1</v>
      </c>
      <c r="X5602">
        <v>26</v>
      </c>
      <c r="Y5602">
        <v>0</v>
      </c>
      <c r="Z5602">
        <v>3</v>
      </c>
      <c r="AA5602">
        <v>3</v>
      </c>
      <c r="AB5602">
        <v>0</v>
      </c>
      <c r="AD5602">
        <v>0</v>
      </c>
      <c r="AE5602">
        <v>0</v>
      </c>
      <c r="AF5602">
        <v>0</v>
      </c>
      <c r="AG5602">
        <v>0</v>
      </c>
      <c r="AI5602">
        <v>0</v>
      </c>
      <c r="AJ5602">
        <v>2</v>
      </c>
      <c r="AK5602">
        <v>160</v>
      </c>
      <c r="AL5602">
        <v>160</v>
      </c>
      <c r="AM5602">
        <v>338</v>
      </c>
      <c r="AN5602">
        <v>44</v>
      </c>
      <c r="AP5602">
        <v>1</v>
      </c>
      <c r="AR5602" t="s">
        <v>5708</v>
      </c>
      <c r="AS5602" s="1">
        <v>44354.078472222223</v>
      </c>
      <c r="AT5602" s="1">
        <v>44354.086828703701</v>
      </c>
      <c r="AU5602" s="1">
        <v>44354.087465277778</v>
      </c>
      <c r="AV5602" t="s">
        <v>71</v>
      </c>
      <c r="AW5602" t="s">
        <v>72</v>
      </c>
      <c r="AX5602" t="s">
        <v>73</v>
      </c>
    </row>
    <row r="5603" spans="1:50" x14ac:dyDescent="0.3">
      <c r="A5603" t="str">
        <f>"201823B0000"</f>
        <v>201823B0000</v>
      </c>
      <c r="B5603" t="str">
        <f>"201823B00002"</f>
        <v>201823B00002</v>
      </c>
      <c r="C5603" t="str">
        <f t="shared" si="279"/>
        <v>20</v>
      </c>
      <c r="D5603" t="s">
        <v>67</v>
      </c>
      <c r="E5603" t="str">
        <f t="shared" si="278"/>
        <v>025</v>
      </c>
      <c r="F5603" t="s">
        <v>5603</v>
      </c>
      <c r="G5603" t="str">
        <f>"1823"</f>
        <v>1823</v>
      </c>
      <c r="H5603" t="str">
        <f>"0000"</f>
        <v>0000</v>
      </c>
      <c r="I5603" t="s">
        <v>69</v>
      </c>
      <c r="J5603">
        <v>0</v>
      </c>
      <c r="K5603">
        <v>1</v>
      </c>
      <c r="L5603">
        <v>2</v>
      </c>
      <c r="M5603">
        <v>365</v>
      </c>
      <c r="N5603">
        <v>213</v>
      </c>
      <c r="O5603">
        <v>2</v>
      </c>
      <c r="P5603">
        <v>213</v>
      </c>
      <c r="Q5603">
        <v>5</v>
      </c>
      <c r="R5603">
        <v>32</v>
      </c>
      <c r="S5603">
        <v>5</v>
      </c>
      <c r="T5603">
        <v>11</v>
      </c>
      <c r="U5603">
        <v>14</v>
      </c>
      <c r="V5603">
        <v>0</v>
      </c>
      <c r="W5603">
        <v>4</v>
      </c>
      <c r="X5603">
        <v>126</v>
      </c>
      <c r="Y5603">
        <v>2</v>
      </c>
      <c r="Z5603">
        <v>4</v>
      </c>
      <c r="AA5603">
        <v>2</v>
      </c>
      <c r="AB5603">
        <v>0</v>
      </c>
      <c r="AD5603">
        <v>0</v>
      </c>
      <c r="AE5603">
        <v>0</v>
      </c>
      <c r="AF5603">
        <v>0</v>
      </c>
      <c r="AG5603">
        <v>0</v>
      </c>
      <c r="AI5603" t="s">
        <v>77</v>
      </c>
      <c r="AJ5603">
        <v>8</v>
      </c>
      <c r="AK5603">
        <v>213</v>
      </c>
      <c r="AL5603">
        <v>213</v>
      </c>
      <c r="AM5603">
        <v>534</v>
      </c>
      <c r="AN5603">
        <v>44</v>
      </c>
      <c r="AO5603" t="s">
        <v>78</v>
      </c>
      <c r="AP5603">
        <v>1</v>
      </c>
      <c r="AR5603" t="s">
        <v>5709</v>
      </c>
      <c r="AS5603" s="1">
        <v>44354.065972222219</v>
      </c>
      <c r="AT5603" s="1">
        <v>44354.071481481478</v>
      </c>
      <c r="AU5603" s="1">
        <v>44354.072071759256</v>
      </c>
      <c r="AV5603" t="s">
        <v>71</v>
      </c>
      <c r="AW5603" t="s">
        <v>72</v>
      </c>
      <c r="AX5603" t="s">
        <v>73</v>
      </c>
    </row>
    <row r="5604" spans="1:50" x14ac:dyDescent="0.3">
      <c r="A5604" t="str">
        <f>"201823E0100"</f>
        <v>201823E0100</v>
      </c>
      <c r="B5604" t="str">
        <f>"201823E01002"</f>
        <v>201823E01002</v>
      </c>
      <c r="C5604" t="str">
        <f t="shared" si="279"/>
        <v>20</v>
      </c>
      <c r="D5604" t="s">
        <v>67</v>
      </c>
      <c r="E5604" t="str">
        <f t="shared" si="278"/>
        <v>025</v>
      </c>
      <c r="F5604" t="s">
        <v>5603</v>
      </c>
      <c r="G5604" t="str">
        <f>"1823"</f>
        <v>1823</v>
      </c>
      <c r="H5604" t="str">
        <f>"0001"</f>
        <v>0001</v>
      </c>
      <c r="I5604" t="s">
        <v>109</v>
      </c>
      <c r="J5604">
        <v>0</v>
      </c>
      <c r="K5604">
        <v>1</v>
      </c>
      <c r="L5604">
        <v>2</v>
      </c>
      <c r="M5604">
        <v>514</v>
      </c>
      <c r="N5604">
        <v>125</v>
      </c>
      <c r="O5604">
        <v>0</v>
      </c>
      <c r="P5604">
        <v>125</v>
      </c>
      <c r="Q5604">
        <v>5</v>
      </c>
      <c r="R5604">
        <v>26</v>
      </c>
      <c r="S5604">
        <v>1</v>
      </c>
      <c r="T5604">
        <v>11</v>
      </c>
      <c r="U5604">
        <v>4</v>
      </c>
      <c r="V5604">
        <v>1</v>
      </c>
      <c r="W5604">
        <v>2</v>
      </c>
      <c r="X5604">
        <v>70</v>
      </c>
      <c r="Y5604">
        <v>0</v>
      </c>
      <c r="Z5604">
        <v>4</v>
      </c>
      <c r="AA5604">
        <v>0</v>
      </c>
      <c r="AB5604">
        <v>0</v>
      </c>
      <c r="AD5604">
        <v>0</v>
      </c>
      <c r="AE5604">
        <v>0</v>
      </c>
      <c r="AF5604">
        <v>0</v>
      </c>
      <c r="AG5604">
        <v>0</v>
      </c>
      <c r="AI5604">
        <v>0</v>
      </c>
      <c r="AJ5604">
        <v>1</v>
      </c>
      <c r="AK5604">
        <v>125</v>
      </c>
      <c r="AL5604">
        <v>125</v>
      </c>
      <c r="AM5604">
        <v>595</v>
      </c>
      <c r="AN5604">
        <v>44</v>
      </c>
      <c r="AP5604">
        <v>1</v>
      </c>
      <c r="AR5604" t="s">
        <v>5710</v>
      </c>
      <c r="AS5604" s="1">
        <v>44354.065972222219</v>
      </c>
      <c r="AT5604" s="1">
        <v>44354.071840277778</v>
      </c>
      <c r="AU5604" s="1">
        <v>44354.072395833333</v>
      </c>
      <c r="AV5604" t="s">
        <v>71</v>
      </c>
      <c r="AW5604" t="s">
        <v>72</v>
      </c>
      <c r="AX5604" t="s">
        <v>73</v>
      </c>
    </row>
    <row r="5605" spans="1:50" x14ac:dyDescent="0.3">
      <c r="A5605" t="str">
        <f>"201823E0200"</f>
        <v>201823E0200</v>
      </c>
      <c r="B5605" t="str">
        <f>"201823E02002"</f>
        <v>201823E02002</v>
      </c>
      <c r="C5605" t="str">
        <f t="shared" si="279"/>
        <v>20</v>
      </c>
      <c r="D5605" t="s">
        <v>67</v>
      </c>
      <c r="E5605" t="str">
        <f t="shared" si="278"/>
        <v>025</v>
      </c>
      <c r="F5605" t="s">
        <v>5603</v>
      </c>
      <c r="G5605" t="str">
        <f>"1823"</f>
        <v>1823</v>
      </c>
      <c r="H5605" t="str">
        <f>"0002"</f>
        <v>0002</v>
      </c>
      <c r="I5605" t="s">
        <v>109</v>
      </c>
      <c r="J5605">
        <v>0</v>
      </c>
      <c r="K5605">
        <v>1</v>
      </c>
      <c r="L5605">
        <v>2</v>
      </c>
      <c r="M5605">
        <v>186</v>
      </c>
      <c r="N5605">
        <v>129</v>
      </c>
      <c r="O5605">
        <v>1</v>
      </c>
      <c r="P5605">
        <v>129</v>
      </c>
      <c r="Q5605">
        <v>9</v>
      </c>
      <c r="R5605">
        <v>45</v>
      </c>
      <c r="S5605">
        <v>3</v>
      </c>
      <c r="T5605">
        <v>7</v>
      </c>
      <c r="U5605">
        <v>2</v>
      </c>
      <c r="V5605">
        <v>0</v>
      </c>
      <c r="W5605">
        <v>1</v>
      </c>
      <c r="X5605">
        <v>55</v>
      </c>
      <c r="Y5605">
        <v>0</v>
      </c>
      <c r="Z5605">
        <v>1</v>
      </c>
      <c r="AA5605">
        <v>0</v>
      </c>
      <c r="AB5605">
        <v>1</v>
      </c>
      <c r="AD5605">
        <v>0</v>
      </c>
      <c r="AE5605">
        <v>0</v>
      </c>
      <c r="AF5605">
        <v>0</v>
      </c>
      <c r="AG5605">
        <v>0</v>
      </c>
      <c r="AI5605">
        <v>0</v>
      </c>
      <c r="AJ5605">
        <v>5</v>
      </c>
      <c r="AK5605">
        <v>129</v>
      </c>
      <c r="AL5605">
        <v>129</v>
      </c>
      <c r="AM5605">
        <v>271</v>
      </c>
      <c r="AN5605">
        <v>44</v>
      </c>
      <c r="AP5605">
        <v>1</v>
      </c>
      <c r="AR5605" t="s">
        <v>5711</v>
      </c>
      <c r="AS5605" s="1">
        <v>44354.06527777778</v>
      </c>
      <c r="AT5605" s="1">
        <v>44354.075023148151</v>
      </c>
      <c r="AU5605" s="1">
        <v>44354.076006944444</v>
      </c>
      <c r="AV5605" t="s">
        <v>71</v>
      </c>
      <c r="AW5605" t="s">
        <v>72</v>
      </c>
      <c r="AX5605" t="s">
        <v>73</v>
      </c>
    </row>
    <row r="5606" spans="1:50" x14ac:dyDescent="0.3">
      <c r="A5606" t="str">
        <f>"201824B0000"</f>
        <v>201824B0000</v>
      </c>
      <c r="B5606" t="str">
        <f>"201824B00002"</f>
        <v>201824B00002</v>
      </c>
      <c r="C5606" t="str">
        <f t="shared" si="279"/>
        <v>20</v>
      </c>
      <c r="D5606" t="s">
        <v>67</v>
      </c>
      <c r="E5606" t="str">
        <f t="shared" si="278"/>
        <v>025</v>
      </c>
      <c r="F5606" t="s">
        <v>5603</v>
      </c>
      <c r="G5606" t="str">
        <f>"1824"</f>
        <v>1824</v>
      </c>
      <c r="H5606" t="str">
        <f>"0000"</f>
        <v>0000</v>
      </c>
      <c r="I5606" t="s">
        <v>69</v>
      </c>
      <c r="J5606">
        <v>0</v>
      </c>
      <c r="K5606">
        <v>1</v>
      </c>
      <c r="L5606">
        <v>2</v>
      </c>
      <c r="M5606">
        <v>548</v>
      </c>
      <c r="N5606">
        <v>137</v>
      </c>
      <c r="O5606">
        <v>0</v>
      </c>
      <c r="P5606">
        <v>137</v>
      </c>
      <c r="Q5606">
        <v>11</v>
      </c>
      <c r="R5606">
        <v>19</v>
      </c>
      <c r="S5606">
        <v>1</v>
      </c>
      <c r="T5606">
        <v>2</v>
      </c>
      <c r="U5606">
        <v>2</v>
      </c>
      <c r="V5606">
        <v>1</v>
      </c>
      <c r="W5606">
        <v>2</v>
      </c>
      <c r="X5606">
        <v>92</v>
      </c>
      <c r="Y5606">
        <v>0</v>
      </c>
      <c r="Z5606">
        <v>2</v>
      </c>
      <c r="AA5606">
        <v>0</v>
      </c>
      <c r="AB5606">
        <v>1</v>
      </c>
      <c r="AD5606">
        <v>1</v>
      </c>
      <c r="AE5606">
        <v>0</v>
      </c>
      <c r="AF5606">
        <v>0</v>
      </c>
      <c r="AG5606">
        <v>0</v>
      </c>
      <c r="AI5606">
        <v>0</v>
      </c>
      <c r="AJ5606">
        <v>3</v>
      </c>
      <c r="AK5606">
        <v>137</v>
      </c>
      <c r="AL5606">
        <v>137</v>
      </c>
      <c r="AM5606">
        <v>641</v>
      </c>
      <c r="AN5606">
        <v>44</v>
      </c>
      <c r="AP5606">
        <v>1</v>
      </c>
      <c r="AR5606" t="s">
        <v>5712</v>
      </c>
      <c r="AS5606" s="1">
        <v>44354.048611111109</v>
      </c>
      <c r="AT5606" s="1">
        <v>44354.057233796295</v>
      </c>
      <c r="AU5606" s="1">
        <v>44354.058206018519</v>
      </c>
      <c r="AV5606" t="s">
        <v>71</v>
      </c>
      <c r="AW5606" t="s">
        <v>72</v>
      </c>
      <c r="AX5606" t="s">
        <v>73</v>
      </c>
    </row>
    <row r="5607" spans="1:50" x14ac:dyDescent="0.3">
      <c r="A5607" t="str">
        <f>"201824C0100"</f>
        <v>201824C0100</v>
      </c>
      <c r="B5607" t="str">
        <f>"201824C01002"</f>
        <v>201824C01002</v>
      </c>
      <c r="C5607" t="str">
        <f t="shared" si="279"/>
        <v>20</v>
      </c>
      <c r="D5607" t="s">
        <v>67</v>
      </c>
      <c r="E5607" t="str">
        <f t="shared" si="278"/>
        <v>025</v>
      </c>
      <c r="F5607" t="s">
        <v>5603</v>
      </c>
      <c r="G5607" t="str">
        <f>"1824"</f>
        <v>1824</v>
      </c>
      <c r="H5607" t="str">
        <f>"0001"</f>
        <v>0001</v>
      </c>
      <c r="I5607" t="s">
        <v>75</v>
      </c>
      <c r="J5607">
        <v>0</v>
      </c>
      <c r="K5607">
        <v>1</v>
      </c>
      <c r="L5607">
        <v>2</v>
      </c>
      <c r="M5607" t="s">
        <v>80</v>
      </c>
      <c r="N5607" t="s">
        <v>80</v>
      </c>
      <c r="O5607" t="s">
        <v>80</v>
      </c>
      <c r="P5607" t="s">
        <v>80</v>
      </c>
      <c r="Q5607" t="s">
        <v>77</v>
      </c>
      <c r="R5607" t="s">
        <v>77</v>
      </c>
      <c r="S5607" t="s">
        <v>77</v>
      </c>
      <c r="T5607" t="s">
        <v>77</v>
      </c>
      <c r="U5607" t="s">
        <v>77</v>
      </c>
      <c r="V5607" t="s">
        <v>77</v>
      </c>
      <c r="W5607" t="s">
        <v>77</v>
      </c>
      <c r="X5607" t="s">
        <v>77</v>
      </c>
      <c r="Y5607" t="s">
        <v>77</v>
      </c>
      <c r="Z5607" t="s">
        <v>77</v>
      </c>
      <c r="AA5607" t="s">
        <v>77</v>
      </c>
      <c r="AB5607" t="s">
        <v>77</v>
      </c>
      <c r="AD5607" t="s">
        <v>77</v>
      </c>
      <c r="AE5607" t="s">
        <v>77</v>
      </c>
      <c r="AF5607" t="s">
        <v>77</v>
      </c>
      <c r="AG5607" t="s">
        <v>77</v>
      </c>
      <c r="AI5607" t="s">
        <v>77</v>
      </c>
      <c r="AJ5607" t="s">
        <v>77</v>
      </c>
      <c r="AM5607">
        <v>641</v>
      </c>
      <c r="AN5607">
        <v>44</v>
      </c>
      <c r="AO5607" t="s">
        <v>392</v>
      </c>
      <c r="AP5607">
        <v>0</v>
      </c>
      <c r="AR5607" t="s">
        <v>5713</v>
      </c>
      <c r="AS5607" s="1">
        <v>44354.04791666667</v>
      </c>
      <c r="AT5607" s="1">
        <v>44354.486238425925</v>
      </c>
      <c r="AU5607" s="1">
        <v>44354.496331018519</v>
      </c>
      <c r="AV5607" t="s">
        <v>71</v>
      </c>
      <c r="AW5607" t="s">
        <v>72</v>
      </c>
      <c r="AX5607" t="s">
        <v>73</v>
      </c>
    </row>
    <row r="5608" spans="1:50" x14ac:dyDescent="0.3">
      <c r="A5608" t="str">
        <f>"201824C0200"</f>
        <v>201824C0200</v>
      </c>
      <c r="B5608" t="str">
        <f>"201824C02002"</f>
        <v>201824C02002</v>
      </c>
      <c r="C5608" t="str">
        <f t="shared" si="279"/>
        <v>20</v>
      </c>
      <c r="D5608" t="s">
        <v>67</v>
      </c>
      <c r="E5608" t="str">
        <f t="shared" si="278"/>
        <v>025</v>
      </c>
      <c r="F5608" t="s">
        <v>5603</v>
      </c>
      <c r="G5608" t="str">
        <f>"1824"</f>
        <v>1824</v>
      </c>
      <c r="H5608" t="str">
        <f>"0002"</f>
        <v>0002</v>
      </c>
      <c r="I5608" t="s">
        <v>75</v>
      </c>
      <c r="J5608">
        <v>0</v>
      </c>
      <c r="K5608">
        <v>1</v>
      </c>
      <c r="L5608">
        <v>2</v>
      </c>
      <c r="M5608">
        <v>512</v>
      </c>
      <c r="N5608">
        <v>173</v>
      </c>
      <c r="O5608">
        <v>0</v>
      </c>
      <c r="P5608">
        <v>173</v>
      </c>
      <c r="Q5608">
        <v>5</v>
      </c>
      <c r="R5608">
        <v>29</v>
      </c>
      <c r="S5608">
        <v>0</v>
      </c>
      <c r="T5608">
        <v>2</v>
      </c>
      <c r="U5608">
        <v>3</v>
      </c>
      <c r="V5608">
        <v>1</v>
      </c>
      <c r="W5608">
        <v>1</v>
      </c>
      <c r="X5608">
        <v>115</v>
      </c>
      <c r="Y5608">
        <v>2</v>
      </c>
      <c r="Z5608">
        <v>5</v>
      </c>
      <c r="AA5608">
        <v>3</v>
      </c>
      <c r="AB5608">
        <v>0</v>
      </c>
      <c r="AD5608">
        <v>0</v>
      </c>
      <c r="AE5608">
        <v>1</v>
      </c>
      <c r="AF5608">
        <v>0</v>
      </c>
      <c r="AG5608">
        <v>0</v>
      </c>
      <c r="AI5608">
        <v>0</v>
      </c>
      <c r="AJ5608">
        <v>6</v>
      </c>
      <c r="AK5608">
        <v>173</v>
      </c>
      <c r="AL5608">
        <v>173</v>
      </c>
      <c r="AM5608">
        <v>641</v>
      </c>
      <c r="AN5608">
        <v>44</v>
      </c>
      <c r="AP5608">
        <v>1</v>
      </c>
      <c r="AR5608" t="s">
        <v>5714</v>
      </c>
      <c r="AS5608" s="1">
        <v>44354.048611111109</v>
      </c>
      <c r="AT5608" s="1">
        <v>44354.054965277777</v>
      </c>
      <c r="AU5608" s="1">
        <v>44354.055451388886</v>
      </c>
      <c r="AV5608" t="s">
        <v>71</v>
      </c>
      <c r="AW5608" t="s">
        <v>72</v>
      </c>
      <c r="AX5608" t="s">
        <v>73</v>
      </c>
    </row>
    <row r="5609" spans="1:50" x14ac:dyDescent="0.3">
      <c r="A5609" t="str">
        <f>"201824E0100"</f>
        <v>201824E0100</v>
      </c>
      <c r="B5609" t="str">
        <f>"201824E01002"</f>
        <v>201824E01002</v>
      </c>
      <c r="C5609" t="str">
        <f t="shared" si="279"/>
        <v>20</v>
      </c>
      <c r="D5609" t="s">
        <v>67</v>
      </c>
      <c r="E5609" t="str">
        <f t="shared" si="278"/>
        <v>025</v>
      </c>
      <c r="F5609" t="s">
        <v>5603</v>
      </c>
      <c r="G5609" t="str">
        <f>"1824"</f>
        <v>1824</v>
      </c>
      <c r="H5609" t="str">
        <f>"0001"</f>
        <v>0001</v>
      </c>
      <c r="I5609" t="s">
        <v>109</v>
      </c>
      <c r="J5609">
        <v>0</v>
      </c>
      <c r="K5609">
        <v>1</v>
      </c>
      <c r="L5609">
        <v>2</v>
      </c>
      <c r="M5609">
        <v>494</v>
      </c>
      <c r="N5609">
        <v>275</v>
      </c>
      <c r="O5609">
        <v>2</v>
      </c>
      <c r="P5609">
        <v>275</v>
      </c>
      <c r="Q5609">
        <v>20</v>
      </c>
      <c r="R5609">
        <v>52</v>
      </c>
      <c r="S5609">
        <v>4</v>
      </c>
      <c r="T5609">
        <v>5</v>
      </c>
      <c r="U5609">
        <v>13</v>
      </c>
      <c r="V5609">
        <v>8</v>
      </c>
      <c r="W5609">
        <v>0</v>
      </c>
      <c r="X5609">
        <v>144</v>
      </c>
      <c r="Y5609">
        <v>1</v>
      </c>
      <c r="Z5609">
        <v>9</v>
      </c>
      <c r="AA5609">
        <v>6</v>
      </c>
      <c r="AB5609">
        <v>6</v>
      </c>
      <c r="AD5609" t="s">
        <v>77</v>
      </c>
      <c r="AE5609">
        <v>1</v>
      </c>
      <c r="AF5609" t="s">
        <v>77</v>
      </c>
      <c r="AG5609" t="s">
        <v>77</v>
      </c>
      <c r="AI5609" t="s">
        <v>77</v>
      </c>
      <c r="AJ5609">
        <v>6</v>
      </c>
      <c r="AK5609">
        <v>275</v>
      </c>
      <c r="AL5609">
        <v>275</v>
      </c>
      <c r="AM5609">
        <v>725</v>
      </c>
      <c r="AN5609">
        <v>44</v>
      </c>
      <c r="AO5609" t="s">
        <v>78</v>
      </c>
      <c r="AP5609">
        <v>1</v>
      </c>
      <c r="AR5609" t="s">
        <v>5715</v>
      </c>
      <c r="AS5609" s="1">
        <v>44354.049305555556</v>
      </c>
      <c r="AT5609" s="1">
        <v>44354.055277777778</v>
      </c>
      <c r="AU5609" s="1">
        <v>44354.055752314816</v>
      </c>
      <c r="AV5609" t="s">
        <v>71</v>
      </c>
      <c r="AW5609" t="s">
        <v>72</v>
      </c>
      <c r="AX5609" t="s">
        <v>73</v>
      </c>
    </row>
    <row r="5610" spans="1:50" x14ac:dyDescent="0.3">
      <c r="A5610" t="str">
        <f>"201825B0000"</f>
        <v>201825B0000</v>
      </c>
      <c r="B5610" t="str">
        <f>"201825B00002"</f>
        <v>201825B00002</v>
      </c>
      <c r="C5610" t="str">
        <f t="shared" si="279"/>
        <v>20</v>
      </c>
      <c r="D5610" t="s">
        <v>67</v>
      </c>
      <c r="E5610" t="str">
        <f t="shared" si="278"/>
        <v>025</v>
      </c>
      <c r="F5610" t="s">
        <v>5603</v>
      </c>
      <c r="G5610" t="str">
        <f>"1825"</f>
        <v>1825</v>
      </c>
      <c r="H5610" t="str">
        <f>"0000"</f>
        <v>0000</v>
      </c>
      <c r="I5610" t="s">
        <v>69</v>
      </c>
      <c r="J5610">
        <v>0</v>
      </c>
      <c r="K5610">
        <v>1</v>
      </c>
      <c r="L5610">
        <v>2</v>
      </c>
      <c r="M5610">
        <v>588</v>
      </c>
      <c r="N5610">
        <v>200</v>
      </c>
      <c r="O5610">
        <v>0</v>
      </c>
      <c r="P5610">
        <v>200</v>
      </c>
      <c r="Q5610">
        <v>6</v>
      </c>
      <c r="R5610">
        <v>55</v>
      </c>
      <c r="S5610">
        <v>3</v>
      </c>
      <c r="T5610">
        <v>4</v>
      </c>
      <c r="U5610">
        <v>18</v>
      </c>
      <c r="V5610">
        <v>1</v>
      </c>
      <c r="W5610">
        <v>1</v>
      </c>
      <c r="X5610">
        <v>90</v>
      </c>
      <c r="Y5610">
        <v>0</v>
      </c>
      <c r="Z5610">
        <v>8</v>
      </c>
      <c r="AA5610">
        <v>4</v>
      </c>
      <c r="AB5610">
        <v>2</v>
      </c>
      <c r="AD5610">
        <v>0</v>
      </c>
      <c r="AE5610">
        <v>0</v>
      </c>
      <c r="AF5610">
        <v>0</v>
      </c>
      <c r="AG5610">
        <v>0</v>
      </c>
      <c r="AI5610">
        <v>0</v>
      </c>
      <c r="AJ5610">
        <v>0</v>
      </c>
      <c r="AK5610">
        <v>200</v>
      </c>
      <c r="AL5610">
        <v>192</v>
      </c>
      <c r="AM5610">
        <v>744</v>
      </c>
      <c r="AN5610">
        <v>44</v>
      </c>
      <c r="AP5610">
        <v>1</v>
      </c>
      <c r="AR5610" t="s">
        <v>5716</v>
      </c>
      <c r="AS5610" s="1">
        <v>44354.04583333333</v>
      </c>
      <c r="AT5610" s="1">
        <v>44354.053738425922</v>
      </c>
      <c r="AU5610" s="1">
        <v>44354.054293981484</v>
      </c>
      <c r="AV5610" t="s">
        <v>71</v>
      </c>
      <c r="AW5610" t="s">
        <v>72</v>
      </c>
      <c r="AX5610" t="s">
        <v>73</v>
      </c>
    </row>
    <row r="5611" spans="1:50" x14ac:dyDescent="0.3">
      <c r="A5611" t="str">
        <f>"201825C0100"</f>
        <v>201825C0100</v>
      </c>
      <c r="B5611" t="str">
        <f>"201825C01002"</f>
        <v>201825C01002</v>
      </c>
      <c r="C5611" t="str">
        <f t="shared" si="279"/>
        <v>20</v>
      </c>
      <c r="D5611" t="s">
        <v>67</v>
      </c>
      <c r="E5611" t="str">
        <f t="shared" si="278"/>
        <v>025</v>
      </c>
      <c r="F5611" t="s">
        <v>5603</v>
      </c>
      <c r="G5611" t="str">
        <f>"1825"</f>
        <v>1825</v>
      </c>
      <c r="H5611" t="str">
        <f>"0001"</f>
        <v>0001</v>
      </c>
      <c r="I5611" t="s">
        <v>75</v>
      </c>
      <c r="J5611">
        <v>0</v>
      </c>
      <c r="K5611">
        <v>1</v>
      </c>
      <c r="L5611">
        <v>2</v>
      </c>
      <c r="M5611">
        <v>570</v>
      </c>
      <c r="N5611">
        <v>218</v>
      </c>
      <c r="O5611">
        <v>1</v>
      </c>
      <c r="P5611">
        <v>218</v>
      </c>
      <c r="Q5611">
        <v>6</v>
      </c>
      <c r="R5611">
        <v>53</v>
      </c>
      <c r="S5611">
        <v>3</v>
      </c>
      <c r="T5611">
        <v>5</v>
      </c>
      <c r="U5611">
        <v>19</v>
      </c>
      <c r="V5611">
        <v>1</v>
      </c>
      <c r="W5611">
        <v>1</v>
      </c>
      <c r="X5611">
        <v>110</v>
      </c>
      <c r="Y5611">
        <v>1</v>
      </c>
      <c r="Z5611">
        <v>7</v>
      </c>
      <c r="AA5611">
        <v>2</v>
      </c>
      <c r="AB5611">
        <v>3</v>
      </c>
      <c r="AD5611">
        <v>1</v>
      </c>
      <c r="AE5611">
        <v>0</v>
      </c>
      <c r="AF5611">
        <v>0</v>
      </c>
      <c r="AG5611">
        <v>0</v>
      </c>
      <c r="AI5611">
        <v>0</v>
      </c>
      <c r="AJ5611">
        <v>6</v>
      </c>
      <c r="AK5611">
        <v>218</v>
      </c>
      <c r="AL5611">
        <v>218</v>
      </c>
      <c r="AM5611">
        <v>744</v>
      </c>
      <c r="AN5611">
        <v>44</v>
      </c>
      <c r="AP5611">
        <v>1</v>
      </c>
      <c r="AR5611" t="s">
        <v>5717</v>
      </c>
      <c r="AS5611" s="1">
        <v>44354.045138888891</v>
      </c>
      <c r="AT5611" s="1">
        <v>44354.052847222221</v>
      </c>
      <c r="AU5611" s="1">
        <v>44354.053310185183</v>
      </c>
      <c r="AV5611" t="s">
        <v>71</v>
      </c>
      <c r="AW5611" t="s">
        <v>72</v>
      </c>
      <c r="AX5611" t="s">
        <v>73</v>
      </c>
    </row>
    <row r="5612" spans="1:50" x14ac:dyDescent="0.3">
      <c r="A5612" t="str">
        <f>"201825E0100"</f>
        <v>201825E0100</v>
      </c>
      <c r="B5612" t="str">
        <f>"201825E01002"</f>
        <v>201825E01002</v>
      </c>
      <c r="C5612" t="str">
        <f t="shared" si="279"/>
        <v>20</v>
      </c>
      <c r="D5612" t="s">
        <v>67</v>
      </c>
      <c r="E5612" t="str">
        <f t="shared" si="278"/>
        <v>025</v>
      </c>
      <c r="F5612" t="s">
        <v>5603</v>
      </c>
      <c r="G5612" t="str">
        <f>"1825"</f>
        <v>1825</v>
      </c>
      <c r="H5612" t="str">
        <f>"0001"</f>
        <v>0001</v>
      </c>
      <c r="I5612" t="s">
        <v>109</v>
      </c>
      <c r="J5612">
        <v>0</v>
      </c>
      <c r="K5612">
        <v>1</v>
      </c>
      <c r="L5612">
        <v>2</v>
      </c>
      <c r="M5612">
        <v>224</v>
      </c>
      <c r="N5612">
        <v>139</v>
      </c>
      <c r="O5612">
        <v>4</v>
      </c>
      <c r="P5612">
        <v>139</v>
      </c>
      <c r="Q5612">
        <v>22</v>
      </c>
      <c r="R5612">
        <v>17</v>
      </c>
      <c r="S5612">
        <v>3</v>
      </c>
      <c r="T5612">
        <v>4</v>
      </c>
      <c r="U5612">
        <v>8</v>
      </c>
      <c r="V5612">
        <v>1</v>
      </c>
      <c r="W5612">
        <v>0</v>
      </c>
      <c r="X5612">
        <v>78</v>
      </c>
      <c r="Y5612">
        <v>0</v>
      </c>
      <c r="Z5612">
        <v>1</v>
      </c>
      <c r="AA5612">
        <v>2</v>
      </c>
      <c r="AB5612">
        <v>1</v>
      </c>
      <c r="AD5612">
        <v>0</v>
      </c>
      <c r="AE5612">
        <v>0</v>
      </c>
      <c r="AF5612">
        <v>0</v>
      </c>
      <c r="AG5612">
        <v>0</v>
      </c>
      <c r="AI5612">
        <v>0</v>
      </c>
      <c r="AJ5612">
        <v>2</v>
      </c>
      <c r="AK5612">
        <v>139</v>
      </c>
      <c r="AL5612">
        <v>139</v>
      </c>
      <c r="AM5612">
        <v>319</v>
      </c>
      <c r="AN5612">
        <v>44</v>
      </c>
      <c r="AP5612">
        <v>1</v>
      </c>
      <c r="AR5612" t="s">
        <v>5718</v>
      </c>
      <c r="AS5612" s="1">
        <v>44354.04583333333</v>
      </c>
      <c r="AT5612" s="1">
        <v>44354.054930555554</v>
      </c>
      <c r="AU5612" s="1">
        <v>44354.055254629631</v>
      </c>
      <c r="AV5612" t="s">
        <v>71</v>
      </c>
      <c r="AW5612" t="s">
        <v>72</v>
      </c>
      <c r="AX5612" t="s">
        <v>73</v>
      </c>
    </row>
    <row r="5613" spans="1:50" x14ac:dyDescent="0.3">
      <c r="A5613" t="str">
        <f>"201841B0000"</f>
        <v>201841B0000</v>
      </c>
      <c r="B5613" t="str">
        <f>"201841B00002"</f>
        <v>201841B00002</v>
      </c>
      <c r="C5613" t="str">
        <f t="shared" si="279"/>
        <v>20</v>
      </c>
      <c r="D5613" t="s">
        <v>67</v>
      </c>
      <c r="E5613" t="str">
        <f t="shared" si="278"/>
        <v>025</v>
      </c>
      <c r="F5613" t="s">
        <v>5603</v>
      </c>
      <c r="G5613" t="str">
        <f>"1841"</f>
        <v>1841</v>
      </c>
      <c r="H5613" t="str">
        <f>"0000"</f>
        <v>0000</v>
      </c>
      <c r="I5613" t="s">
        <v>69</v>
      </c>
      <c r="J5613">
        <v>0</v>
      </c>
      <c r="K5613">
        <v>1</v>
      </c>
      <c r="L5613">
        <v>2</v>
      </c>
      <c r="M5613">
        <v>324</v>
      </c>
      <c r="N5613">
        <v>349</v>
      </c>
      <c r="O5613">
        <v>6</v>
      </c>
      <c r="P5613">
        <v>348</v>
      </c>
      <c r="Q5613">
        <v>15</v>
      </c>
      <c r="R5613">
        <v>58</v>
      </c>
      <c r="S5613">
        <v>35</v>
      </c>
      <c r="T5613">
        <v>9</v>
      </c>
      <c r="U5613">
        <v>9</v>
      </c>
      <c r="V5613">
        <v>5</v>
      </c>
      <c r="W5613">
        <v>4</v>
      </c>
      <c r="X5613">
        <v>144</v>
      </c>
      <c r="Y5613">
        <v>13</v>
      </c>
      <c r="Z5613">
        <v>3</v>
      </c>
      <c r="AA5613">
        <v>6</v>
      </c>
      <c r="AB5613">
        <v>26</v>
      </c>
      <c r="AD5613">
        <v>2</v>
      </c>
      <c r="AE5613">
        <v>0</v>
      </c>
      <c r="AF5613">
        <v>1</v>
      </c>
      <c r="AG5613">
        <v>0</v>
      </c>
      <c r="AI5613">
        <v>0</v>
      </c>
      <c r="AJ5613">
        <v>18</v>
      </c>
      <c r="AK5613">
        <v>348</v>
      </c>
      <c r="AL5613">
        <v>348</v>
      </c>
      <c r="AM5613">
        <v>627</v>
      </c>
      <c r="AN5613">
        <v>46</v>
      </c>
      <c r="AP5613">
        <v>1</v>
      </c>
      <c r="AR5613" t="s">
        <v>5719</v>
      </c>
      <c r="AS5613" s="1">
        <v>44354.287499999999</v>
      </c>
      <c r="AT5613" s="1">
        <v>44354.425046296295</v>
      </c>
      <c r="AU5613" s="1">
        <v>44354.426180555558</v>
      </c>
      <c r="AV5613" t="s">
        <v>71</v>
      </c>
      <c r="AW5613" t="s">
        <v>72</v>
      </c>
      <c r="AX5613" t="s">
        <v>73</v>
      </c>
    </row>
    <row r="5614" spans="1:50" x14ac:dyDescent="0.3">
      <c r="A5614" t="str">
        <f>"201841C0100"</f>
        <v>201841C0100</v>
      </c>
      <c r="B5614" t="str">
        <f>"201841C01002"</f>
        <v>201841C01002</v>
      </c>
      <c r="C5614" t="str">
        <f t="shared" si="279"/>
        <v>20</v>
      </c>
      <c r="D5614" t="s">
        <v>67</v>
      </c>
      <c r="E5614" t="str">
        <f t="shared" si="278"/>
        <v>025</v>
      </c>
      <c r="F5614" t="s">
        <v>5603</v>
      </c>
      <c r="G5614" t="str">
        <f>"1841"</f>
        <v>1841</v>
      </c>
      <c r="H5614" t="str">
        <f>"0001"</f>
        <v>0001</v>
      </c>
      <c r="I5614" t="s">
        <v>75</v>
      </c>
      <c r="J5614">
        <v>0</v>
      </c>
      <c r="K5614">
        <v>1</v>
      </c>
      <c r="L5614">
        <v>2</v>
      </c>
      <c r="M5614">
        <v>331</v>
      </c>
      <c r="N5614">
        <v>342</v>
      </c>
      <c r="O5614">
        <v>5</v>
      </c>
      <c r="P5614">
        <v>343</v>
      </c>
      <c r="Q5614">
        <v>19</v>
      </c>
      <c r="R5614">
        <v>55</v>
      </c>
      <c r="S5614">
        <v>25</v>
      </c>
      <c r="T5614">
        <v>10</v>
      </c>
      <c r="U5614">
        <v>9</v>
      </c>
      <c r="V5614">
        <v>4</v>
      </c>
      <c r="W5614">
        <v>5</v>
      </c>
      <c r="X5614">
        <v>164</v>
      </c>
      <c r="Y5614">
        <v>15</v>
      </c>
      <c r="Z5614">
        <v>4</v>
      </c>
      <c r="AA5614">
        <v>3</v>
      </c>
      <c r="AB5614">
        <v>19</v>
      </c>
      <c r="AD5614">
        <v>2</v>
      </c>
      <c r="AE5614">
        <v>1</v>
      </c>
      <c r="AF5614">
        <v>0</v>
      </c>
      <c r="AG5614">
        <v>0</v>
      </c>
      <c r="AI5614">
        <v>0</v>
      </c>
      <c r="AJ5614">
        <v>8</v>
      </c>
      <c r="AK5614">
        <v>343</v>
      </c>
      <c r="AL5614">
        <v>343</v>
      </c>
      <c r="AM5614">
        <v>627</v>
      </c>
      <c r="AN5614">
        <v>46</v>
      </c>
      <c r="AP5614">
        <v>1</v>
      </c>
      <c r="AR5614" t="s">
        <v>5720</v>
      </c>
      <c r="AS5614" s="1">
        <v>44354.285416666666</v>
      </c>
      <c r="AT5614" s="1">
        <v>44354.290902777779</v>
      </c>
      <c r="AU5614" s="1">
        <v>44354.291655092595</v>
      </c>
      <c r="AV5614" t="s">
        <v>71</v>
      </c>
      <c r="AW5614" t="s">
        <v>72</v>
      </c>
      <c r="AX5614" t="s">
        <v>73</v>
      </c>
    </row>
    <row r="5615" spans="1:50" x14ac:dyDescent="0.3">
      <c r="A5615" t="str">
        <f>"201841C0200"</f>
        <v>201841C0200</v>
      </c>
      <c r="B5615" t="str">
        <f>"201841C02002"</f>
        <v>201841C02002</v>
      </c>
      <c r="C5615" t="str">
        <f t="shared" si="279"/>
        <v>20</v>
      </c>
      <c r="D5615" t="s">
        <v>67</v>
      </c>
      <c r="E5615" t="str">
        <f t="shared" si="278"/>
        <v>025</v>
      </c>
      <c r="F5615" t="s">
        <v>5603</v>
      </c>
      <c r="G5615" t="str">
        <f>"1841"</f>
        <v>1841</v>
      </c>
      <c r="H5615" t="str">
        <f>"0002"</f>
        <v>0002</v>
      </c>
      <c r="I5615" t="s">
        <v>75</v>
      </c>
      <c r="J5615">
        <v>0</v>
      </c>
      <c r="K5615">
        <v>1</v>
      </c>
      <c r="L5615">
        <v>2</v>
      </c>
      <c r="M5615">
        <v>320</v>
      </c>
      <c r="N5615">
        <v>353</v>
      </c>
      <c r="O5615">
        <v>9</v>
      </c>
      <c r="P5615">
        <v>354</v>
      </c>
      <c r="Q5615">
        <v>8</v>
      </c>
      <c r="R5615">
        <v>44</v>
      </c>
      <c r="S5615">
        <v>32</v>
      </c>
      <c r="T5615">
        <v>6</v>
      </c>
      <c r="U5615">
        <v>12</v>
      </c>
      <c r="V5615">
        <v>3</v>
      </c>
      <c r="W5615">
        <v>6</v>
      </c>
      <c r="X5615">
        <v>174</v>
      </c>
      <c r="Y5615">
        <v>23</v>
      </c>
      <c r="Z5615">
        <v>5</v>
      </c>
      <c r="AA5615">
        <v>1</v>
      </c>
      <c r="AB5615">
        <v>18</v>
      </c>
      <c r="AD5615">
        <v>6</v>
      </c>
      <c r="AE5615">
        <v>1</v>
      </c>
      <c r="AF5615">
        <v>0</v>
      </c>
      <c r="AG5615">
        <v>0</v>
      </c>
      <c r="AI5615">
        <v>0</v>
      </c>
      <c r="AJ5615">
        <v>15</v>
      </c>
      <c r="AK5615">
        <v>354</v>
      </c>
      <c r="AL5615">
        <v>354</v>
      </c>
      <c r="AM5615">
        <v>627</v>
      </c>
      <c r="AN5615">
        <v>46</v>
      </c>
      <c r="AP5615">
        <v>1</v>
      </c>
      <c r="AR5615" t="s">
        <v>5721</v>
      </c>
      <c r="AS5615" s="1">
        <v>44354.286111111112</v>
      </c>
      <c r="AT5615" s="1">
        <v>44354.289421296293</v>
      </c>
      <c r="AU5615" s="1">
        <v>44354.290636574071</v>
      </c>
      <c r="AV5615" t="s">
        <v>71</v>
      </c>
      <c r="AW5615" t="s">
        <v>72</v>
      </c>
      <c r="AX5615" t="s">
        <v>73</v>
      </c>
    </row>
    <row r="5616" spans="1:50" x14ac:dyDescent="0.3">
      <c r="A5616" t="str">
        <f>"201841C0300"</f>
        <v>201841C0300</v>
      </c>
      <c r="B5616" t="str">
        <f>"201841C03002"</f>
        <v>201841C03002</v>
      </c>
      <c r="C5616" t="str">
        <f t="shared" si="279"/>
        <v>20</v>
      </c>
      <c r="D5616" t="s">
        <v>67</v>
      </c>
      <c r="E5616" t="str">
        <f t="shared" si="278"/>
        <v>025</v>
      </c>
      <c r="F5616" t="s">
        <v>5603</v>
      </c>
      <c r="G5616" t="str">
        <f>"1841"</f>
        <v>1841</v>
      </c>
      <c r="H5616" t="str">
        <f>"0003"</f>
        <v>0003</v>
      </c>
      <c r="I5616" t="s">
        <v>75</v>
      </c>
      <c r="J5616">
        <v>0</v>
      </c>
      <c r="K5616">
        <v>1</v>
      </c>
      <c r="L5616">
        <v>2</v>
      </c>
      <c r="M5616">
        <v>324</v>
      </c>
      <c r="N5616">
        <v>348</v>
      </c>
      <c r="O5616">
        <v>7</v>
      </c>
      <c r="P5616">
        <v>347</v>
      </c>
      <c r="Q5616">
        <v>5</v>
      </c>
      <c r="R5616">
        <v>50</v>
      </c>
      <c r="S5616">
        <v>40</v>
      </c>
      <c r="T5616">
        <v>6</v>
      </c>
      <c r="U5616">
        <v>17</v>
      </c>
      <c r="V5616">
        <v>6</v>
      </c>
      <c r="W5616">
        <v>6</v>
      </c>
      <c r="X5616">
        <v>171</v>
      </c>
      <c r="Y5616">
        <v>16</v>
      </c>
      <c r="Z5616">
        <v>1</v>
      </c>
      <c r="AA5616">
        <v>7</v>
      </c>
      <c r="AB5616">
        <v>8</v>
      </c>
      <c r="AD5616">
        <v>0</v>
      </c>
      <c r="AE5616">
        <v>0</v>
      </c>
      <c r="AF5616">
        <v>1</v>
      </c>
      <c r="AG5616">
        <v>0</v>
      </c>
      <c r="AI5616">
        <v>0</v>
      </c>
      <c r="AJ5616">
        <v>13</v>
      </c>
      <c r="AK5616">
        <v>347</v>
      </c>
      <c r="AL5616">
        <v>347</v>
      </c>
      <c r="AM5616">
        <v>626</v>
      </c>
      <c r="AN5616">
        <v>46</v>
      </c>
      <c r="AP5616">
        <v>1</v>
      </c>
      <c r="AR5616" t="s">
        <v>5722</v>
      </c>
      <c r="AS5616" s="1">
        <v>44354.286111111112</v>
      </c>
      <c r="AT5616" s="1">
        <v>44354.289386574077</v>
      </c>
      <c r="AU5616" s="1">
        <v>44354.29010416667</v>
      </c>
      <c r="AV5616" t="s">
        <v>71</v>
      </c>
      <c r="AW5616" t="s">
        <v>72</v>
      </c>
      <c r="AX5616" t="s">
        <v>73</v>
      </c>
    </row>
    <row r="5617" spans="1:50" x14ac:dyDescent="0.3">
      <c r="A5617" t="str">
        <f>"201841C0400"</f>
        <v>201841C0400</v>
      </c>
      <c r="B5617" t="str">
        <f>"201841C04002"</f>
        <v>201841C04002</v>
      </c>
      <c r="C5617" t="str">
        <f t="shared" si="279"/>
        <v>20</v>
      </c>
      <c r="D5617" t="s">
        <v>67</v>
      </c>
      <c r="E5617" t="str">
        <f t="shared" si="278"/>
        <v>025</v>
      </c>
      <c r="F5617" t="s">
        <v>5603</v>
      </c>
      <c r="G5617" t="str">
        <f>"1841"</f>
        <v>1841</v>
      </c>
      <c r="H5617" t="str">
        <f>"0004"</f>
        <v>0004</v>
      </c>
      <c r="I5617" t="s">
        <v>75</v>
      </c>
      <c r="J5617">
        <v>0</v>
      </c>
      <c r="K5617">
        <v>1</v>
      </c>
      <c r="L5617">
        <v>2</v>
      </c>
      <c r="M5617" t="s">
        <v>80</v>
      </c>
      <c r="N5617" t="s">
        <v>80</v>
      </c>
      <c r="O5617" t="s">
        <v>80</v>
      </c>
      <c r="P5617" t="s">
        <v>80</v>
      </c>
      <c r="Q5617">
        <v>18</v>
      </c>
      <c r="R5617">
        <v>37</v>
      </c>
      <c r="S5617">
        <v>38</v>
      </c>
      <c r="T5617">
        <v>6</v>
      </c>
      <c r="U5617">
        <v>9</v>
      </c>
      <c r="V5617">
        <v>7</v>
      </c>
      <c r="W5617">
        <v>3</v>
      </c>
      <c r="X5617">
        <v>184</v>
      </c>
      <c r="Y5617">
        <v>12</v>
      </c>
      <c r="Z5617">
        <v>4</v>
      </c>
      <c r="AA5617">
        <v>10</v>
      </c>
      <c r="AB5617">
        <v>9</v>
      </c>
      <c r="AD5617">
        <v>2</v>
      </c>
      <c r="AE5617" t="s">
        <v>77</v>
      </c>
      <c r="AF5617" t="s">
        <v>77</v>
      </c>
      <c r="AG5617" t="s">
        <v>77</v>
      </c>
      <c r="AI5617" t="s">
        <v>77</v>
      </c>
      <c r="AJ5617" t="s">
        <v>77</v>
      </c>
      <c r="AK5617">
        <v>346</v>
      </c>
      <c r="AL5617">
        <v>339</v>
      </c>
      <c r="AM5617">
        <v>626</v>
      </c>
      <c r="AN5617">
        <v>46</v>
      </c>
      <c r="AO5617" t="s">
        <v>78</v>
      </c>
      <c r="AP5617">
        <v>1</v>
      </c>
      <c r="AR5617" t="s">
        <v>5723</v>
      </c>
      <c r="AS5617" s="1">
        <v>44354.285416666666</v>
      </c>
      <c r="AT5617" s="1">
        <v>44354.290069444447</v>
      </c>
      <c r="AU5617" s="1">
        <v>44354.291342592594</v>
      </c>
      <c r="AV5617" t="s">
        <v>71</v>
      </c>
      <c r="AW5617" t="s">
        <v>72</v>
      </c>
      <c r="AX5617" t="s">
        <v>73</v>
      </c>
    </row>
    <row r="5618" spans="1:50" x14ac:dyDescent="0.3">
      <c r="A5618" t="str">
        <f>"201842B0000"</f>
        <v>201842B0000</v>
      </c>
      <c r="B5618" t="str">
        <f>"201842B00002"</f>
        <v>201842B00002</v>
      </c>
      <c r="C5618" t="str">
        <f t="shared" si="279"/>
        <v>20</v>
      </c>
      <c r="D5618" t="s">
        <v>67</v>
      </c>
      <c r="E5618" t="str">
        <f t="shared" si="278"/>
        <v>025</v>
      </c>
      <c r="F5618" t="s">
        <v>5603</v>
      </c>
      <c r="G5618" t="str">
        <f t="shared" ref="G5618:G5625" si="281">"1842"</f>
        <v>1842</v>
      </c>
      <c r="H5618" t="str">
        <f>"0000"</f>
        <v>0000</v>
      </c>
      <c r="I5618" t="s">
        <v>69</v>
      </c>
      <c r="J5618">
        <v>0</v>
      </c>
      <c r="K5618">
        <v>1</v>
      </c>
      <c r="L5618">
        <v>2</v>
      </c>
      <c r="M5618">
        <v>337</v>
      </c>
      <c r="N5618">
        <v>418</v>
      </c>
      <c r="O5618">
        <v>11</v>
      </c>
      <c r="P5618">
        <v>418</v>
      </c>
      <c r="Q5618">
        <v>14</v>
      </c>
      <c r="R5618">
        <v>65</v>
      </c>
      <c r="S5618">
        <v>58</v>
      </c>
      <c r="T5618">
        <v>4</v>
      </c>
      <c r="U5618">
        <v>11</v>
      </c>
      <c r="V5618">
        <v>9</v>
      </c>
      <c r="W5618">
        <v>6</v>
      </c>
      <c r="X5618">
        <v>186</v>
      </c>
      <c r="Y5618">
        <v>12</v>
      </c>
      <c r="Z5618">
        <v>4</v>
      </c>
      <c r="AA5618">
        <v>7</v>
      </c>
      <c r="AB5618">
        <v>23</v>
      </c>
      <c r="AD5618">
        <v>0</v>
      </c>
      <c r="AE5618">
        <v>0</v>
      </c>
      <c r="AF5618">
        <v>0</v>
      </c>
      <c r="AG5618">
        <v>0</v>
      </c>
      <c r="AI5618">
        <v>0</v>
      </c>
      <c r="AJ5618">
        <v>19</v>
      </c>
      <c r="AK5618">
        <v>418</v>
      </c>
      <c r="AL5618">
        <v>418</v>
      </c>
      <c r="AM5618">
        <v>709</v>
      </c>
      <c r="AN5618">
        <v>46</v>
      </c>
      <c r="AP5618">
        <v>1</v>
      </c>
      <c r="AR5618" t="s">
        <v>5724</v>
      </c>
      <c r="AS5618" s="1">
        <v>44354.284722222219</v>
      </c>
      <c r="AT5618" s="1">
        <v>44354.291956018518</v>
      </c>
      <c r="AU5618" s="1">
        <v>44354.29278935185</v>
      </c>
      <c r="AV5618" t="s">
        <v>71</v>
      </c>
      <c r="AW5618" t="s">
        <v>72</v>
      </c>
      <c r="AX5618" t="s">
        <v>73</v>
      </c>
    </row>
    <row r="5619" spans="1:50" x14ac:dyDescent="0.3">
      <c r="A5619" t="str">
        <f>"201842C0100"</f>
        <v>201842C0100</v>
      </c>
      <c r="B5619" t="str">
        <f>"201842C01002"</f>
        <v>201842C01002</v>
      </c>
      <c r="C5619" t="str">
        <f t="shared" si="279"/>
        <v>20</v>
      </c>
      <c r="D5619" t="s">
        <v>67</v>
      </c>
      <c r="E5619" t="str">
        <f t="shared" si="278"/>
        <v>025</v>
      </c>
      <c r="F5619" t="s">
        <v>5603</v>
      </c>
      <c r="G5619" t="str">
        <f t="shared" si="281"/>
        <v>1842</v>
      </c>
      <c r="H5619" t="str">
        <f>"0001"</f>
        <v>0001</v>
      </c>
      <c r="I5619" t="s">
        <v>75</v>
      </c>
      <c r="J5619">
        <v>0</v>
      </c>
      <c r="K5619">
        <v>1</v>
      </c>
      <c r="L5619">
        <v>2</v>
      </c>
      <c r="M5619">
        <v>372</v>
      </c>
      <c r="N5619">
        <v>383</v>
      </c>
      <c r="O5619">
        <v>7</v>
      </c>
      <c r="P5619">
        <v>383</v>
      </c>
      <c r="Q5619">
        <v>18</v>
      </c>
      <c r="R5619">
        <v>55</v>
      </c>
      <c r="S5619">
        <v>21</v>
      </c>
      <c r="T5619">
        <v>10</v>
      </c>
      <c r="U5619">
        <v>4</v>
      </c>
      <c r="V5619">
        <v>6</v>
      </c>
      <c r="W5619">
        <v>2</v>
      </c>
      <c r="X5619">
        <v>222</v>
      </c>
      <c r="Y5619">
        <v>8</v>
      </c>
      <c r="Z5619">
        <v>5</v>
      </c>
      <c r="AA5619">
        <v>6</v>
      </c>
      <c r="AB5619">
        <v>11</v>
      </c>
      <c r="AD5619">
        <v>1</v>
      </c>
      <c r="AE5619">
        <v>0</v>
      </c>
      <c r="AF5619">
        <v>0</v>
      </c>
      <c r="AG5619">
        <v>1</v>
      </c>
      <c r="AI5619">
        <v>0</v>
      </c>
      <c r="AJ5619">
        <v>13</v>
      </c>
      <c r="AK5619">
        <v>383</v>
      </c>
      <c r="AL5619">
        <v>383</v>
      </c>
      <c r="AM5619">
        <v>709</v>
      </c>
      <c r="AN5619">
        <v>46</v>
      </c>
      <c r="AP5619">
        <v>1</v>
      </c>
      <c r="AR5619" t="s">
        <v>5725</v>
      </c>
      <c r="AS5619" s="1">
        <v>44354.283333333333</v>
      </c>
      <c r="AT5619" s="1">
        <v>44354.28765046296</v>
      </c>
      <c r="AU5619" s="1">
        <v>44354.288043981483</v>
      </c>
      <c r="AV5619" t="s">
        <v>71</v>
      </c>
      <c r="AW5619" t="s">
        <v>72</v>
      </c>
      <c r="AX5619" t="s">
        <v>73</v>
      </c>
    </row>
    <row r="5620" spans="1:50" x14ac:dyDescent="0.3">
      <c r="A5620" t="str">
        <f>"201842C0200"</f>
        <v>201842C0200</v>
      </c>
      <c r="B5620" t="str">
        <f>"201842C02002"</f>
        <v>201842C02002</v>
      </c>
      <c r="C5620" t="str">
        <f t="shared" si="279"/>
        <v>20</v>
      </c>
      <c r="D5620" t="s">
        <v>67</v>
      </c>
      <c r="E5620" t="str">
        <f t="shared" si="278"/>
        <v>025</v>
      </c>
      <c r="F5620" t="s">
        <v>5603</v>
      </c>
      <c r="G5620" t="str">
        <f t="shared" si="281"/>
        <v>1842</v>
      </c>
      <c r="H5620" t="str">
        <f>"0002"</f>
        <v>0002</v>
      </c>
      <c r="I5620" t="s">
        <v>75</v>
      </c>
      <c r="J5620">
        <v>0</v>
      </c>
      <c r="K5620">
        <v>1</v>
      </c>
      <c r="L5620">
        <v>2</v>
      </c>
      <c r="M5620">
        <v>357</v>
      </c>
      <c r="N5620">
        <v>397</v>
      </c>
      <c r="O5620">
        <v>10</v>
      </c>
      <c r="P5620">
        <v>397</v>
      </c>
      <c r="Q5620">
        <v>13</v>
      </c>
      <c r="R5620">
        <v>56</v>
      </c>
      <c r="S5620">
        <v>33</v>
      </c>
      <c r="T5620">
        <v>6</v>
      </c>
      <c r="U5620">
        <v>8</v>
      </c>
      <c r="V5620">
        <v>4</v>
      </c>
      <c r="W5620">
        <v>3</v>
      </c>
      <c r="X5620">
        <v>213</v>
      </c>
      <c r="Y5620">
        <v>18</v>
      </c>
      <c r="Z5620">
        <v>5</v>
      </c>
      <c r="AA5620">
        <v>3</v>
      </c>
      <c r="AB5620">
        <v>5</v>
      </c>
      <c r="AD5620">
        <v>6</v>
      </c>
      <c r="AE5620">
        <v>0</v>
      </c>
      <c r="AF5620">
        <v>1</v>
      </c>
      <c r="AG5620">
        <v>0</v>
      </c>
      <c r="AI5620">
        <v>0</v>
      </c>
      <c r="AJ5620">
        <v>12</v>
      </c>
      <c r="AK5620">
        <v>397</v>
      </c>
      <c r="AL5620">
        <v>386</v>
      </c>
      <c r="AM5620">
        <v>708</v>
      </c>
      <c r="AN5620">
        <v>46</v>
      </c>
      <c r="AP5620">
        <v>1</v>
      </c>
      <c r="AR5620" t="s">
        <v>5726</v>
      </c>
      <c r="AS5620" s="1">
        <v>44354.284722222219</v>
      </c>
      <c r="AT5620" s="1">
        <v>44354.299722222226</v>
      </c>
      <c r="AU5620" s="1">
        <v>44354.335127314815</v>
      </c>
      <c r="AV5620" t="s">
        <v>71</v>
      </c>
      <c r="AW5620" t="s">
        <v>72</v>
      </c>
      <c r="AX5620" t="s">
        <v>73</v>
      </c>
    </row>
    <row r="5621" spans="1:50" x14ac:dyDescent="0.3">
      <c r="A5621" t="str">
        <f>"201842C0300"</f>
        <v>201842C0300</v>
      </c>
      <c r="B5621" t="str">
        <f>"201842C03002"</f>
        <v>201842C03002</v>
      </c>
      <c r="C5621" t="str">
        <f t="shared" si="279"/>
        <v>20</v>
      </c>
      <c r="D5621" t="s">
        <v>67</v>
      </c>
      <c r="E5621" t="str">
        <f t="shared" si="278"/>
        <v>025</v>
      </c>
      <c r="F5621" t="s">
        <v>5603</v>
      </c>
      <c r="G5621" t="str">
        <f t="shared" si="281"/>
        <v>1842</v>
      </c>
      <c r="H5621" t="str">
        <f>"0003"</f>
        <v>0003</v>
      </c>
      <c r="I5621" t="s">
        <v>75</v>
      </c>
      <c r="J5621">
        <v>0</v>
      </c>
      <c r="K5621">
        <v>1</v>
      </c>
      <c r="L5621">
        <v>2</v>
      </c>
      <c r="M5621">
        <v>359</v>
      </c>
      <c r="N5621">
        <v>421</v>
      </c>
      <c r="O5621">
        <v>7</v>
      </c>
      <c r="P5621">
        <v>415</v>
      </c>
      <c r="Q5621">
        <v>20</v>
      </c>
      <c r="R5621">
        <v>64</v>
      </c>
      <c r="S5621">
        <v>45</v>
      </c>
      <c r="T5621">
        <v>7</v>
      </c>
      <c r="U5621">
        <v>15</v>
      </c>
      <c r="V5621">
        <v>7</v>
      </c>
      <c r="W5621">
        <v>2</v>
      </c>
      <c r="X5621">
        <v>211</v>
      </c>
      <c r="Y5621">
        <v>14</v>
      </c>
      <c r="Z5621">
        <v>4</v>
      </c>
      <c r="AA5621">
        <v>4</v>
      </c>
      <c r="AB5621">
        <v>2</v>
      </c>
      <c r="AD5621">
        <v>0</v>
      </c>
      <c r="AE5621">
        <v>0</v>
      </c>
      <c r="AF5621">
        <v>0</v>
      </c>
      <c r="AG5621">
        <v>0</v>
      </c>
      <c r="AI5621">
        <v>0</v>
      </c>
      <c r="AJ5621">
        <v>0</v>
      </c>
      <c r="AK5621">
        <v>395</v>
      </c>
      <c r="AL5621">
        <v>395</v>
      </c>
      <c r="AM5621">
        <v>708</v>
      </c>
      <c r="AN5621">
        <v>46</v>
      </c>
      <c r="AP5621">
        <v>1</v>
      </c>
      <c r="AR5621" t="s">
        <v>5727</v>
      </c>
      <c r="AS5621" s="1">
        <v>44354.284722222219</v>
      </c>
      <c r="AT5621" s="1">
        <v>44354.291458333333</v>
      </c>
      <c r="AU5621" s="1">
        <v>44354.291979166665</v>
      </c>
      <c r="AV5621" t="s">
        <v>71</v>
      </c>
      <c r="AW5621" t="s">
        <v>72</v>
      </c>
      <c r="AX5621" t="s">
        <v>73</v>
      </c>
    </row>
    <row r="5622" spans="1:50" x14ac:dyDescent="0.3">
      <c r="A5622" t="str">
        <f>"201842C0400"</f>
        <v>201842C0400</v>
      </c>
      <c r="B5622" t="str">
        <f>"201842C04002"</f>
        <v>201842C04002</v>
      </c>
      <c r="C5622" t="str">
        <f t="shared" si="279"/>
        <v>20</v>
      </c>
      <c r="D5622" t="s">
        <v>67</v>
      </c>
      <c r="E5622" t="str">
        <f t="shared" si="278"/>
        <v>025</v>
      </c>
      <c r="F5622" t="s">
        <v>5603</v>
      </c>
      <c r="G5622" t="str">
        <f t="shared" si="281"/>
        <v>1842</v>
      </c>
      <c r="H5622" t="str">
        <f>"0004"</f>
        <v>0004</v>
      </c>
      <c r="I5622" t="s">
        <v>75</v>
      </c>
      <c r="J5622">
        <v>0</v>
      </c>
      <c r="K5622">
        <v>1</v>
      </c>
      <c r="L5622">
        <v>2</v>
      </c>
      <c r="M5622">
        <v>357</v>
      </c>
      <c r="N5622">
        <v>397</v>
      </c>
      <c r="O5622">
        <v>7</v>
      </c>
      <c r="P5622" t="s">
        <v>80</v>
      </c>
      <c r="Q5622">
        <v>22</v>
      </c>
      <c r="R5622">
        <v>62</v>
      </c>
      <c r="S5622">
        <v>31</v>
      </c>
      <c r="T5622">
        <v>6</v>
      </c>
      <c r="U5622">
        <v>12</v>
      </c>
      <c r="V5622">
        <v>6</v>
      </c>
      <c r="W5622">
        <v>5</v>
      </c>
      <c r="X5622">
        <v>208</v>
      </c>
      <c r="Y5622">
        <v>9</v>
      </c>
      <c r="Z5622">
        <v>5</v>
      </c>
      <c r="AA5622">
        <v>7</v>
      </c>
      <c r="AB5622">
        <v>9</v>
      </c>
      <c r="AD5622">
        <v>0</v>
      </c>
      <c r="AE5622">
        <v>0</v>
      </c>
      <c r="AF5622">
        <v>1</v>
      </c>
      <c r="AG5622">
        <v>1</v>
      </c>
      <c r="AI5622">
        <v>0</v>
      </c>
      <c r="AJ5622">
        <v>12</v>
      </c>
      <c r="AK5622">
        <v>396</v>
      </c>
      <c r="AL5622">
        <v>396</v>
      </c>
      <c r="AM5622">
        <v>708</v>
      </c>
      <c r="AN5622">
        <v>46</v>
      </c>
      <c r="AP5622">
        <v>1</v>
      </c>
      <c r="AR5622" t="s">
        <v>5728</v>
      </c>
      <c r="AS5622" s="1">
        <v>44354.28402777778</v>
      </c>
      <c r="AT5622" s="1">
        <v>44354.291296296295</v>
      </c>
      <c r="AU5622" s="1">
        <v>44354.292199074072</v>
      </c>
      <c r="AV5622" t="s">
        <v>71</v>
      </c>
      <c r="AW5622" t="s">
        <v>72</v>
      </c>
      <c r="AX5622" t="s">
        <v>73</v>
      </c>
    </row>
    <row r="5623" spans="1:50" x14ac:dyDescent="0.3">
      <c r="A5623" t="str">
        <f>"201842E0100"</f>
        <v>201842E0100</v>
      </c>
      <c r="B5623" t="str">
        <f>"201842E01002"</f>
        <v>201842E01002</v>
      </c>
      <c r="C5623" t="str">
        <f t="shared" si="279"/>
        <v>20</v>
      </c>
      <c r="D5623" t="s">
        <v>67</v>
      </c>
      <c r="E5623" t="str">
        <f t="shared" si="278"/>
        <v>025</v>
      </c>
      <c r="F5623" t="s">
        <v>5603</v>
      </c>
      <c r="G5623" t="str">
        <f t="shared" si="281"/>
        <v>1842</v>
      </c>
      <c r="H5623" t="str">
        <f>"0001"</f>
        <v>0001</v>
      </c>
      <c r="I5623" t="s">
        <v>109</v>
      </c>
      <c r="J5623">
        <v>0</v>
      </c>
      <c r="K5623">
        <v>1</v>
      </c>
      <c r="L5623">
        <v>2</v>
      </c>
      <c r="M5623">
        <v>396</v>
      </c>
      <c r="N5623">
        <v>352</v>
      </c>
      <c r="O5623">
        <v>6</v>
      </c>
      <c r="P5623">
        <v>352</v>
      </c>
      <c r="Q5623">
        <v>5</v>
      </c>
      <c r="R5623">
        <v>32</v>
      </c>
      <c r="S5623">
        <v>33</v>
      </c>
      <c r="T5623">
        <v>10</v>
      </c>
      <c r="U5623">
        <v>11</v>
      </c>
      <c r="V5623">
        <v>5</v>
      </c>
      <c r="W5623">
        <v>9</v>
      </c>
      <c r="X5623">
        <v>184</v>
      </c>
      <c r="Y5623">
        <v>10</v>
      </c>
      <c r="Z5623">
        <v>4</v>
      </c>
      <c r="AA5623">
        <v>5</v>
      </c>
      <c r="AB5623">
        <v>16</v>
      </c>
      <c r="AD5623">
        <v>1</v>
      </c>
      <c r="AE5623">
        <v>1</v>
      </c>
      <c r="AF5623">
        <v>0</v>
      </c>
      <c r="AG5623">
        <v>3</v>
      </c>
      <c r="AI5623">
        <v>0</v>
      </c>
      <c r="AJ5623">
        <v>21</v>
      </c>
      <c r="AK5623">
        <v>350</v>
      </c>
      <c r="AL5623">
        <v>350</v>
      </c>
      <c r="AM5623">
        <v>702</v>
      </c>
      <c r="AN5623">
        <v>46</v>
      </c>
      <c r="AP5623">
        <v>1</v>
      </c>
      <c r="AR5623" t="s">
        <v>5729</v>
      </c>
      <c r="AS5623" s="1">
        <v>44354.284722222219</v>
      </c>
      <c r="AT5623" s="1">
        <v>44354.292974537035</v>
      </c>
      <c r="AU5623" s="1">
        <v>44354.2968287037</v>
      </c>
      <c r="AV5623" t="s">
        <v>71</v>
      </c>
      <c r="AW5623" t="s">
        <v>72</v>
      </c>
      <c r="AX5623" t="s">
        <v>73</v>
      </c>
    </row>
    <row r="5624" spans="1:50" x14ac:dyDescent="0.3">
      <c r="A5624" t="str">
        <f>"201842E0200"</f>
        <v>201842E0200</v>
      </c>
      <c r="B5624" t="str">
        <f>"201842E02002"</f>
        <v>201842E02002</v>
      </c>
      <c r="C5624" t="str">
        <f t="shared" si="279"/>
        <v>20</v>
      </c>
      <c r="D5624" t="s">
        <v>67</v>
      </c>
      <c r="E5624" t="str">
        <f t="shared" si="278"/>
        <v>025</v>
      </c>
      <c r="F5624" t="s">
        <v>5603</v>
      </c>
      <c r="G5624" t="str">
        <f t="shared" si="281"/>
        <v>1842</v>
      </c>
      <c r="H5624" t="str">
        <f>"0002"</f>
        <v>0002</v>
      </c>
      <c r="I5624" t="s">
        <v>109</v>
      </c>
      <c r="J5624">
        <v>0</v>
      </c>
      <c r="K5624">
        <v>1</v>
      </c>
      <c r="L5624">
        <v>2</v>
      </c>
      <c r="M5624">
        <v>371</v>
      </c>
      <c r="N5624">
        <v>328</v>
      </c>
      <c r="O5624">
        <v>10</v>
      </c>
      <c r="P5624">
        <v>329</v>
      </c>
      <c r="Q5624">
        <v>7</v>
      </c>
      <c r="R5624">
        <v>56</v>
      </c>
      <c r="S5624">
        <v>40</v>
      </c>
      <c r="T5624">
        <v>6</v>
      </c>
      <c r="U5624">
        <v>13</v>
      </c>
      <c r="V5624">
        <v>6</v>
      </c>
      <c r="W5624">
        <v>2</v>
      </c>
      <c r="X5624">
        <v>148</v>
      </c>
      <c r="Y5624">
        <v>10</v>
      </c>
      <c r="Z5624">
        <v>5</v>
      </c>
      <c r="AA5624">
        <v>11</v>
      </c>
      <c r="AB5624">
        <v>13</v>
      </c>
      <c r="AD5624">
        <v>1</v>
      </c>
      <c r="AE5624">
        <v>0</v>
      </c>
      <c r="AF5624">
        <v>0</v>
      </c>
      <c r="AG5624">
        <v>1</v>
      </c>
      <c r="AI5624">
        <v>0</v>
      </c>
      <c r="AJ5624">
        <v>10</v>
      </c>
      <c r="AK5624">
        <v>329</v>
      </c>
      <c r="AL5624">
        <v>329</v>
      </c>
      <c r="AM5624">
        <v>654</v>
      </c>
      <c r="AN5624">
        <v>46</v>
      </c>
      <c r="AP5624">
        <v>1</v>
      </c>
      <c r="AR5624" t="s">
        <v>5730</v>
      </c>
      <c r="AS5624" s="1">
        <v>44354.28402777778</v>
      </c>
      <c r="AT5624" s="1">
        <v>44354.293136574073</v>
      </c>
      <c r="AU5624" s="1">
        <v>44354.293703703705</v>
      </c>
      <c r="AV5624" t="s">
        <v>71</v>
      </c>
      <c r="AW5624" t="s">
        <v>72</v>
      </c>
      <c r="AX5624" t="s">
        <v>73</v>
      </c>
    </row>
    <row r="5625" spans="1:50" x14ac:dyDescent="0.3">
      <c r="A5625" t="str">
        <f>"201842E0201"</f>
        <v>201842E0201</v>
      </c>
      <c r="B5625" t="str">
        <f>"201842E02012"</f>
        <v>201842E02012</v>
      </c>
      <c r="C5625" t="str">
        <f t="shared" si="279"/>
        <v>20</v>
      </c>
      <c r="D5625" t="s">
        <v>67</v>
      </c>
      <c r="E5625" t="str">
        <f t="shared" si="278"/>
        <v>025</v>
      </c>
      <c r="F5625" t="s">
        <v>5603</v>
      </c>
      <c r="G5625" t="str">
        <f t="shared" si="281"/>
        <v>1842</v>
      </c>
      <c r="H5625" t="str">
        <f>"0002"</f>
        <v>0002</v>
      </c>
      <c r="I5625" t="s">
        <v>109</v>
      </c>
      <c r="J5625">
        <v>1</v>
      </c>
      <c r="K5625">
        <v>1</v>
      </c>
      <c r="L5625">
        <v>2</v>
      </c>
      <c r="M5625">
        <v>326</v>
      </c>
      <c r="N5625">
        <v>374</v>
      </c>
      <c r="O5625">
        <v>11</v>
      </c>
      <c r="P5625">
        <v>373</v>
      </c>
      <c r="Q5625">
        <v>4</v>
      </c>
      <c r="R5625">
        <v>40</v>
      </c>
      <c r="S5625">
        <v>60</v>
      </c>
      <c r="T5625">
        <v>5</v>
      </c>
      <c r="U5625">
        <v>24</v>
      </c>
      <c r="V5625">
        <v>10</v>
      </c>
      <c r="W5625">
        <v>6</v>
      </c>
      <c r="X5625">
        <v>145</v>
      </c>
      <c r="Y5625">
        <v>9</v>
      </c>
      <c r="Z5625">
        <v>6</v>
      </c>
      <c r="AA5625">
        <v>10</v>
      </c>
      <c r="AB5625">
        <v>21</v>
      </c>
      <c r="AD5625">
        <v>0</v>
      </c>
      <c r="AE5625">
        <v>0</v>
      </c>
      <c r="AF5625">
        <v>2</v>
      </c>
      <c r="AG5625">
        <v>0</v>
      </c>
      <c r="AI5625">
        <v>0</v>
      </c>
      <c r="AJ5625">
        <v>22</v>
      </c>
      <c r="AK5625">
        <v>373</v>
      </c>
      <c r="AL5625">
        <v>364</v>
      </c>
      <c r="AM5625">
        <v>654</v>
      </c>
      <c r="AN5625">
        <v>46</v>
      </c>
      <c r="AP5625">
        <v>1</v>
      </c>
      <c r="AR5625" t="s">
        <v>5731</v>
      </c>
      <c r="AS5625" s="1">
        <v>44354.283333333333</v>
      </c>
      <c r="AT5625" s="1">
        <v>44354.286620370367</v>
      </c>
      <c r="AU5625" s="1">
        <v>44354.287245370368</v>
      </c>
      <c r="AV5625" t="s">
        <v>71</v>
      </c>
      <c r="AW5625" t="s">
        <v>72</v>
      </c>
      <c r="AX5625" t="s">
        <v>73</v>
      </c>
    </row>
    <row r="5626" spans="1:50" x14ac:dyDescent="0.3">
      <c r="A5626" t="str">
        <f>"201843B0000"</f>
        <v>201843B0000</v>
      </c>
      <c r="B5626" t="str">
        <f>"201843B00002"</f>
        <v>201843B00002</v>
      </c>
      <c r="C5626" t="str">
        <f t="shared" si="279"/>
        <v>20</v>
      </c>
      <c r="D5626" t="s">
        <v>67</v>
      </c>
      <c r="E5626" t="str">
        <f t="shared" ref="E5626:E5689" si="282">"025"</f>
        <v>025</v>
      </c>
      <c r="F5626" t="s">
        <v>5603</v>
      </c>
      <c r="G5626" t="str">
        <f>"1843"</f>
        <v>1843</v>
      </c>
      <c r="H5626" t="str">
        <f>"0000"</f>
        <v>0000</v>
      </c>
      <c r="I5626" t="s">
        <v>69</v>
      </c>
      <c r="J5626">
        <v>0</v>
      </c>
      <c r="K5626">
        <v>1</v>
      </c>
      <c r="L5626">
        <v>2</v>
      </c>
      <c r="M5626">
        <v>128</v>
      </c>
      <c r="N5626">
        <v>199</v>
      </c>
      <c r="O5626">
        <v>10</v>
      </c>
      <c r="P5626">
        <v>196</v>
      </c>
      <c r="Q5626">
        <v>2</v>
      </c>
      <c r="R5626">
        <v>13</v>
      </c>
      <c r="S5626">
        <v>4</v>
      </c>
      <c r="T5626">
        <v>3</v>
      </c>
      <c r="U5626">
        <v>13</v>
      </c>
      <c r="V5626">
        <v>3</v>
      </c>
      <c r="W5626">
        <v>3</v>
      </c>
      <c r="X5626">
        <v>92</v>
      </c>
      <c r="Y5626">
        <v>16</v>
      </c>
      <c r="Z5626">
        <v>6</v>
      </c>
      <c r="AA5626">
        <v>6</v>
      </c>
      <c r="AB5626">
        <v>25</v>
      </c>
      <c r="AD5626">
        <v>0</v>
      </c>
      <c r="AE5626">
        <v>0</v>
      </c>
      <c r="AF5626">
        <v>0</v>
      </c>
      <c r="AG5626">
        <v>0</v>
      </c>
      <c r="AI5626">
        <v>0</v>
      </c>
      <c r="AJ5626">
        <v>10</v>
      </c>
      <c r="AK5626">
        <v>196</v>
      </c>
      <c r="AL5626">
        <v>196</v>
      </c>
      <c r="AM5626">
        <v>284</v>
      </c>
      <c r="AN5626">
        <v>46</v>
      </c>
      <c r="AP5626">
        <v>1</v>
      </c>
      <c r="AR5626" t="s">
        <v>5732</v>
      </c>
      <c r="AS5626" s="1">
        <v>44354.279861111114</v>
      </c>
      <c r="AT5626" s="1">
        <v>44354.283090277779</v>
      </c>
      <c r="AU5626" s="1">
        <v>44354.283703703702</v>
      </c>
      <c r="AV5626" t="s">
        <v>71</v>
      </c>
      <c r="AW5626" t="s">
        <v>72</v>
      </c>
      <c r="AX5626" t="s">
        <v>73</v>
      </c>
    </row>
    <row r="5627" spans="1:50" x14ac:dyDescent="0.3">
      <c r="A5627" t="str">
        <f>"201844B0000"</f>
        <v>201844B0000</v>
      </c>
      <c r="B5627" t="str">
        <f>"201844B00002"</f>
        <v>201844B00002</v>
      </c>
      <c r="C5627" t="str">
        <f t="shared" si="279"/>
        <v>20</v>
      </c>
      <c r="D5627" t="s">
        <v>67</v>
      </c>
      <c r="E5627" t="str">
        <f t="shared" si="282"/>
        <v>025</v>
      </c>
      <c r="F5627" t="s">
        <v>5603</v>
      </c>
      <c r="G5627" t="str">
        <f>"1844"</f>
        <v>1844</v>
      </c>
      <c r="H5627" t="str">
        <f>"0000"</f>
        <v>0000</v>
      </c>
      <c r="I5627" t="s">
        <v>69</v>
      </c>
      <c r="J5627">
        <v>0</v>
      </c>
      <c r="K5627">
        <v>1</v>
      </c>
      <c r="L5627">
        <v>2</v>
      </c>
      <c r="M5627">
        <v>274</v>
      </c>
      <c r="N5627">
        <v>516</v>
      </c>
      <c r="O5627">
        <v>3</v>
      </c>
      <c r="P5627">
        <v>516</v>
      </c>
      <c r="Q5627">
        <v>21</v>
      </c>
      <c r="R5627">
        <v>55</v>
      </c>
      <c r="S5627">
        <v>48</v>
      </c>
      <c r="T5627">
        <v>33</v>
      </c>
      <c r="U5627">
        <v>6</v>
      </c>
      <c r="V5627">
        <v>5</v>
      </c>
      <c r="W5627">
        <v>6</v>
      </c>
      <c r="X5627">
        <v>219</v>
      </c>
      <c r="Y5627">
        <v>24</v>
      </c>
      <c r="Z5627">
        <v>7</v>
      </c>
      <c r="AA5627">
        <v>11</v>
      </c>
      <c r="AB5627">
        <v>68</v>
      </c>
      <c r="AD5627">
        <v>1</v>
      </c>
      <c r="AE5627">
        <v>0</v>
      </c>
      <c r="AF5627">
        <v>0</v>
      </c>
      <c r="AG5627">
        <v>0</v>
      </c>
      <c r="AI5627">
        <v>0</v>
      </c>
      <c r="AJ5627">
        <v>12</v>
      </c>
      <c r="AK5627">
        <v>516</v>
      </c>
      <c r="AL5627">
        <v>516</v>
      </c>
      <c r="AM5627">
        <v>744</v>
      </c>
      <c r="AN5627">
        <v>46</v>
      </c>
      <c r="AP5627">
        <v>1</v>
      </c>
      <c r="AR5627" t="s">
        <v>5733</v>
      </c>
      <c r="AS5627" s="1">
        <v>44354.28125</v>
      </c>
      <c r="AT5627" s="1">
        <v>44354.290462962963</v>
      </c>
      <c r="AU5627" s="1">
        <v>44354.291574074072</v>
      </c>
      <c r="AV5627" t="s">
        <v>71</v>
      </c>
      <c r="AW5627" t="s">
        <v>72</v>
      </c>
      <c r="AX5627" t="s">
        <v>73</v>
      </c>
    </row>
    <row r="5628" spans="1:50" x14ac:dyDescent="0.3">
      <c r="A5628" t="str">
        <f>"201844E0100"</f>
        <v>201844E0100</v>
      </c>
      <c r="B5628" t="str">
        <f>"201844E01002"</f>
        <v>201844E01002</v>
      </c>
      <c r="C5628" t="str">
        <f t="shared" si="279"/>
        <v>20</v>
      </c>
      <c r="D5628" t="s">
        <v>67</v>
      </c>
      <c r="E5628" t="str">
        <f t="shared" si="282"/>
        <v>025</v>
      </c>
      <c r="F5628" t="s">
        <v>5603</v>
      </c>
      <c r="G5628" t="str">
        <f>"1844"</f>
        <v>1844</v>
      </c>
      <c r="H5628" t="str">
        <f>"0001"</f>
        <v>0001</v>
      </c>
      <c r="I5628" t="s">
        <v>109</v>
      </c>
      <c r="J5628">
        <v>0</v>
      </c>
      <c r="K5628">
        <v>1</v>
      </c>
      <c r="L5628">
        <v>2</v>
      </c>
      <c r="M5628">
        <v>227</v>
      </c>
      <c r="N5628">
        <v>334</v>
      </c>
      <c r="O5628">
        <v>5</v>
      </c>
      <c r="P5628">
        <v>334</v>
      </c>
      <c r="Q5628">
        <v>5</v>
      </c>
      <c r="R5628">
        <v>33</v>
      </c>
      <c r="S5628">
        <v>13</v>
      </c>
      <c r="T5628">
        <v>13</v>
      </c>
      <c r="U5628">
        <v>9</v>
      </c>
      <c r="V5628">
        <v>6</v>
      </c>
      <c r="W5628">
        <v>2</v>
      </c>
      <c r="X5628">
        <v>141</v>
      </c>
      <c r="Y5628">
        <v>31</v>
      </c>
      <c r="Z5628">
        <v>3</v>
      </c>
      <c r="AA5628">
        <v>4</v>
      </c>
      <c r="AB5628">
        <v>56</v>
      </c>
      <c r="AD5628">
        <v>1</v>
      </c>
      <c r="AE5628">
        <v>1</v>
      </c>
      <c r="AF5628" t="s">
        <v>77</v>
      </c>
      <c r="AG5628">
        <v>1</v>
      </c>
      <c r="AI5628" t="s">
        <v>77</v>
      </c>
      <c r="AJ5628">
        <v>15</v>
      </c>
      <c r="AK5628">
        <v>334</v>
      </c>
      <c r="AL5628">
        <v>334</v>
      </c>
      <c r="AM5628">
        <v>515</v>
      </c>
      <c r="AN5628">
        <v>46</v>
      </c>
      <c r="AO5628" t="s">
        <v>78</v>
      </c>
      <c r="AP5628">
        <v>1</v>
      </c>
      <c r="AR5628" t="s">
        <v>5734</v>
      </c>
      <c r="AS5628" s="1">
        <v>44354.280555555553</v>
      </c>
      <c r="AT5628" s="1">
        <v>44354.283877314818</v>
      </c>
      <c r="AU5628" s="1">
        <v>44354.284722222219</v>
      </c>
      <c r="AV5628" t="s">
        <v>71</v>
      </c>
      <c r="AW5628" t="s">
        <v>72</v>
      </c>
      <c r="AX5628" t="s">
        <v>73</v>
      </c>
    </row>
    <row r="5629" spans="1:50" x14ac:dyDescent="0.3">
      <c r="A5629" t="str">
        <f>"201844E0200"</f>
        <v>201844E0200</v>
      </c>
      <c r="B5629" t="str">
        <f>"201844E02002"</f>
        <v>201844E02002</v>
      </c>
      <c r="C5629" t="str">
        <f t="shared" si="279"/>
        <v>20</v>
      </c>
      <c r="D5629" t="s">
        <v>67</v>
      </c>
      <c r="E5629" t="str">
        <f t="shared" si="282"/>
        <v>025</v>
      </c>
      <c r="F5629" t="s">
        <v>5603</v>
      </c>
      <c r="G5629" t="str">
        <f>"1844"</f>
        <v>1844</v>
      </c>
      <c r="H5629" t="str">
        <f>"0002"</f>
        <v>0002</v>
      </c>
      <c r="I5629" t="s">
        <v>109</v>
      </c>
      <c r="J5629">
        <v>0</v>
      </c>
      <c r="K5629">
        <v>1</v>
      </c>
      <c r="L5629">
        <v>2</v>
      </c>
      <c r="AM5629">
        <v>472</v>
      </c>
      <c r="AN5629">
        <v>46</v>
      </c>
      <c r="AO5629" t="s">
        <v>2056</v>
      </c>
      <c r="AP5629">
        <v>0</v>
      </c>
      <c r="AR5629" t="s">
        <v>5735</v>
      </c>
      <c r="AS5629" s="1">
        <v>44354.634027777778</v>
      </c>
      <c r="AT5629" s="1">
        <v>44354.646273148152</v>
      </c>
      <c r="AU5629" s="1">
        <v>44354.646273148152</v>
      </c>
      <c r="AV5629" t="s">
        <v>71</v>
      </c>
      <c r="AW5629" t="s">
        <v>72</v>
      </c>
      <c r="AX5629" t="s">
        <v>73</v>
      </c>
    </row>
    <row r="5630" spans="1:50" x14ac:dyDescent="0.3">
      <c r="A5630" t="str">
        <f>"201844E0300"</f>
        <v>201844E0300</v>
      </c>
      <c r="B5630" t="str">
        <f>"201844E03002"</f>
        <v>201844E03002</v>
      </c>
      <c r="C5630" t="str">
        <f t="shared" si="279"/>
        <v>20</v>
      </c>
      <c r="D5630" t="s">
        <v>67</v>
      </c>
      <c r="E5630" t="str">
        <f t="shared" si="282"/>
        <v>025</v>
      </c>
      <c r="F5630" t="s">
        <v>5603</v>
      </c>
      <c r="G5630" t="str">
        <f>"1844"</f>
        <v>1844</v>
      </c>
      <c r="H5630" t="str">
        <f>"0003"</f>
        <v>0003</v>
      </c>
      <c r="I5630" t="s">
        <v>109</v>
      </c>
      <c r="J5630">
        <v>0</v>
      </c>
      <c r="K5630">
        <v>1</v>
      </c>
      <c r="L5630">
        <v>2</v>
      </c>
      <c r="M5630">
        <v>335</v>
      </c>
      <c r="N5630" t="s">
        <v>80</v>
      </c>
      <c r="O5630" t="s">
        <v>80</v>
      </c>
      <c r="P5630">
        <v>1</v>
      </c>
      <c r="Q5630">
        <v>19</v>
      </c>
      <c r="R5630">
        <v>34</v>
      </c>
      <c r="S5630">
        <v>32</v>
      </c>
      <c r="T5630">
        <v>4</v>
      </c>
      <c r="U5630">
        <v>3</v>
      </c>
      <c r="V5630">
        <v>6</v>
      </c>
      <c r="W5630">
        <v>6</v>
      </c>
      <c r="X5630">
        <v>198</v>
      </c>
      <c r="Y5630">
        <v>17</v>
      </c>
      <c r="Z5630">
        <v>6</v>
      </c>
      <c r="AA5630">
        <v>15</v>
      </c>
      <c r="AB5630">
        <v>63</v>
      </c>
      <c r="AD5630">
        <v>2</v>
      </c>
      <c r="AE5630">
        <v>0</v>
      </c>
      <c r="AF5630">
        <v>0</v>
      </c>
      <c r="AG5630">
        <v>2</v>
      </c>
      <c r="AI5630">
        <v>0</v>
      </c>
      <c r="AJ5630">
        <v>24</v>
      </c>
      <c r="AK5630">
        <v>431</v>
      </c>
      <c r="AL5630">
        <v>431</v>
      </c>
      <c r="AM5630">
        <v>726</v>
      </c>
      <c r="AN5630">
        <v>46</v>
      </c>
      <c r="AP5630">
        <v>1</v>
      </c>
      <c r="AR5630" t="s">
        <v>5736</v>
      </c>
      <c r="AS5630" s="1">
        <v>44354.280555555553</v>
      </c>
      <c r="AT5630" s="1">
        <v>44354.284490740742</v>
      </c>
      <c r="AU5630" s="1">
        <v>44354.28496527778</v>
      </c>
      <c r="AV5630" t="s">
        <v>71</v>
      </c>
      <c r="AW5630" t="s">
        <v>72</v>
      </c>
      <c r="AX5630" t="s">
        <v>73</v>
      </c>
    </row>
    <row r="5631" spans="1:50" x14ac:dyDescent="0.3">
      <c r="A5631" t="str">
        <f>"201845B0000"</f>
        <v>201845B0000</v>
      </c>
      <c r="B5631" t="str">
        <f>"201845B00002"</f>
        <v>201845B00002</v>
      </c>
      <c r="C5631" t="str">
        <f t="shared" si="279"/>
        <v>20</v>
      </c>
      <c r="D5631" t="s">
        <v>67</v>
      </c>
      <c r="E5631" t="str">
        <f t="shared" si="282"/>
        <v>025</v>
      </c>
      <c r="F5631" t="s">
        <v>5603</v>
      </c>
      <c r="G5631" t="str">
        <f t="shared" ref="G5631:G5639" si="283">"1845"</f>
        <v>1845</v>
      </c>
      <c r="H5631" t="str">
        <f>"0000"</f>
        <v>0000</v>
      </c>
      <c r="I5631" t="s">
        <v>69</v>
      </c>
      <c r="J5631">
        <v>0</v>
      </c>
      <c r="K5631">
        <v>1</v>
      </c>
      <c r="L5631">
        <v>2</v>
      </c>
      <c r="M5631">
        <v>350</v>
      </c>
      <c r="N5631">
        <v>364</v>
      </c>
      <c r="O5631">
        <v>12</v>
      </c>
      <c r="P5631" t="s">
        <v>80</v>
      </c>
      <c r="Q5631">
        <v>15</v>
      </c>
      <c r="R5631">
        <v>28</v>
      </c>
      <c r="S5631">
        <v>40</v>
      </c>
      <c r="T5631">
        <v>3</v>
      </c>
      <c r="U5631">
        <v>12</v>
      </c>
      <c r="V5631">
        <v>3</v>
      </c>
      <c r="W5631">
        <v>16</v>
      </c>
      <c r="X5631">
        <v>170</v>
      </c>
      <c r="Y5631">
        <v>11</v>
      </c>
      <c r="Z5631">
        <v>4</v>
      </c>
      <c r="AA5631">
        <v>22</v>
      </c>
      <c r="AB5631">
        <v>21</v>
      </c>
      <c r="AD5631">
        <v>2</v>
      </c>
      <c r="AE5631">
        <v>0</v>
      </c>
      <c r="AF5631">
        <v>0</v>
      </c>
      <c r="AG5631">
        <v>0</v>
      </c>
      <c r="AI5631">
        <v>0</v>
      </c>
      <c r="AJ5631">
        <v>16</v>
      </c>
      <c r="AK5631">
        <v>363</v>
      </c>
      <c r="AL5631">
        <v>363</v>
      </c>
      <c r="AM5631">
        <v>666</v>
      </c>
      <c r="AN5631">
        <v>46</v>
      </c>
      <c r="AP5631">
        <v>1</v>
      </c>
      <c r="AR5631" t="s">
        <v>5737</v>
      </c>
      <c r="AS5631" s="1">
        <v>44354.291666666664</v>
      </c>
      <c r="AT5631" s="1">
        <v>44354.304444444446</v>
      </c>
      <c r="AU5631" s="1">
        <v>44354.305555555555</v>
      </c>
      <c r="AV5631" t="s">
        <v>71</v>
      </c>
      <c r="AW5631" t="s">
        <v>72</v>
      </c>
      <c r="AX5631" t="s">
        <v>73</v>
      </c>
    </row>
    <row r="5632" spans="1:50" x14ac:dyDescent="0.3">
      <c r="A5632" t="str">
        <f>"201845C0100"</f>
        <v>201845C0100</v>
      </c>
      <c r="B5632" t="str">
        <f>"201845C01002"</f>
        <v>201845C01002</v>
      </c>
      <c r="C5632" t="str">
        <f t="shared" si="279"/>
        <v>20</v>
      </c>
      <c r="D5632" t="s">
        <v>67</v>
      </c>
      <c r="E5632" t="str">
        <f t="shared" si="282"/>
        <v>025</v>
      </c>
      <c r="F5632" t="s">
        <v>5603</v>
      </c>
      <c r="G5632" t="str">
        <f t="shared" si="283"/>
        <v>1845</v>
      </c>
      <c r="H5632" t="str">
        <f>"0001"</f>
        <v>0001</v>
      </c>
      <c r="I5632" t="s">
        <v>75</v>
      </c>
      <c r="J5632">
        <v>0</v>
      </c>
      <c r="K5632">
        <v>1</v>
      </c>
      <c r="L5632">
        <v>2</v>
      </c>
      <c r="AM5632">
        <v>666</v>
      </c>
      <c r="AN5632">
        <v>46</v>
      </c>
      <c r="AO5632" t="s">
        <v>2056</v>
      </c>
      <c r="AP5632">
        <v>0</v>
      </c>
      <c r="AR5632" s="2" t="s">
        <v>5738</v>
      </c>
      <c r="AS5632" s="1">
        <v>44354.634027777778</v>
      </c>
      <c r="AT5632" s="1">
        <v>44354.646435185183</v>
      </c>
      <c r="AU5632" s="1">
        <v>44354.646435185183</v>
      </c>
      <c r="AV5632" t="s">
        <v>71</v>
      </c>
      <c r="AW5632" t="s">
        <v>72</v>
      </c>
      <c r="AX5632" t="s">
        <v>73</v>
      </c>
    </row>
    <row r="5633" spans="1:50" x14ac:dyDescent="0.3">
      <c r="A5633" t="str">
        <f>"201845C0200"</f>
        <v>201845C0200</v>
      </c>
      <c r="B5633" t="str">
        <f>"201845C02002"</f>
        <v>201845C02002</v>
      </c>
      <c r="C5633" t="str">
        <f t="shared" si="279"/>
        <v>20</v>
      </c>
      <c r="D5633" t="s">
        <v>67</v>
      </c>
      <c r="E5633" t="str">
        <f t="shared" si="282"/>
        <v>025</v>
      </c>
      <c r="F5633" t="s">
        <v>5603</v>
      </c>
      <c r="G5633" t="str">
        <f t="shared" si="283"/>
        <v>1845</v>
      </c>
      <c r="H5633" t="str">
        <f>"0002"</f>
        <v>0002</v>
      </c>
      <c r="I5633" t="s">
        <v>75</v>
      </c>
      <c r="J5633">
        <v>0</v>
      </c>
      <c r="K5633">
        <v>1</v>
      </c>
      <c r="L5633">
        <v>2</v>
      </c>
      <c r="M5633">
        <v>359</v>
      </c>
      <c r="N5633">
        <v>353</v>
      </c>
      <c r="O5633">
        <v>9</v>
      </c>
      <c r="P5633">
        <v>353</v>
      </c>
      <c r="Q5633">
        <v>14</v>
      </c>
      <c r="R5633">
        <v>29</v>
      </c>
      <c r="S5633">
        <v>50</v>
      </c>
      <c r="T5633">
        <v>3</v>
      </c>
      <c r="U5633">
        <v>9</v>
      </c>
      <c r="V5633">
        <v>4</v>
      </c>
      <c r="W5633">
        <v>20</v>
      </c>
      <c r="X5633">
        <v>162</v>
      </c>
      <c r="Y5633">
        <v>13</v>
      </c>
      <c r="Z5633">
        <v>2</v>
      </c>
      <c r="AA5633">
        <v>18</v>
      </c>
      <c r="AB5633">
        <v>20</v>
      </c>
      <c r="AD5633">
        <v>2</v>
      </c>
      <c r="AE5633">
        <v>0</v>
      </c>
      <c r="AF5633">
        <v>0</v>
      </c>
      <c r="AG5633">
        <v>0</v>
      </c>
      <c r="AI5633">
        <v>0</v>
      </c>
      <c r="AJ5633">
        <v>7</v>
      </c>
      <c r="AK5633">
        <v>353</v>
      </c>
      <c r="AL5633">
        <v>353</v>
      </c>
      <c r="AM5633">
        <v>666</v>
      </c>
      <c r="AN5633">
        <v>46</v>
      </c>
      <c r="AP5633">
        <v>1</v>
      </c>
      <c r="AR5633" t="s">
        <v>5739</v>
      </c>
      <c r="AS5633" s="1">
        <v>44354.292361111111</v>
      </c>
      <c r="AT5633" s="1">
        <v>44354.304247685184</v>
      </c>
      <c r="AU5633" s="1">
        <v>44354.305011574077</v>
      </c>
      <c r="AV5633" t="s">
        <v>71</v>
      </c>
      <c r="AW5633" t="s">
        <v>72</v>
      </c>
      <c r="AX5633" t="s">
        <v>73</v>
      </c>
    </row>
    <row r="5634" spans="1:50" x14ac:dyDescent="0.3">
      <c r="A5634" t="str">
        <f>"201845C0300"</f>
        <v>201845C0300</v>
      </c>
      <c r="B5634" t="str">
        <f>"201845C03002"</f>
        <v>201845C03002</v>
      </c>
      <c r="C5634" t="str">
        <f t="shared" si="279"/>
        <v>20</v>
      </c>
      <c r="D5634" t="s">
        <v>67</v>
      </c>
      <c r="E5634" t="str">
        <f t="shared" si="282"/>
        <v>025</v>
      </c>
      <c r="F5634" t="s">
        <v>5603</v>
      </c>
      <c r="G5634" t="str">
        <f t="shared" si="283"/>
        <v>1845</v>
      </c>
      <c r="H5634" t="str">
        <f>"0003"</f>
        <v>0003</v>
      </c>
      <c r="I5634" t="s">
        <v>75</v>
      </c>
      <c r="J5634">
        <v>0</v>
      </c>
      <c r="K5634">
        <v>1</v>
      </c>
      <c r="L5634">
        <v>2</v>
      </c>
      <c r="M5634">
        <v>372</v>
      </c>
      <c r="N5634">
        <v>340</v>
      </c>
      <c r="O5634">
        <v>9</v>
      </c>
      <c r="P5634">
        <v>1</v>
      </c>
      <c r="Q5634">
        <v>12</v>
      </c>
      <c r="R5634">
        <v>26</v>
      </c>
      <c r="S5634">
        <v>39</v>
      </c>
      <c r="T5634">
        <v>5</v>
      </c>
      <c r="U5634">
        <v>15</v>
      </c>
      <c r="V5634">
        <v>5</v>
      </c>
      <c r="W5634">
        <v>9</v>
      </c>
      <c r="X5634">
        <v>154</v>
      </c>
      <c r="Y5634">
        <v>13</v>
      </c>
      <c r="Z5634">
        <v>3</v>
      </c>
      <c r="AA5634">
        <v>22</v>
      </c>
      <c r="AB5634">
        <v>25</v>
      </c>
      <c r="AD5634">
        <v>0</v>
      </c>
      <c r="AE5634">
        <v>0</v>
      </c>
      <c r="AF5634">
        <v>0</v>
      </c>
      <c r="AG5634">
        <v>0</v>
      </c>
      <c r="AI5634">
        <v>1</v>
      </c>
      <c r="AJ5634">
        <v>11</v>
      </c>
      <c r="AK5634">
        <v>340</v>
      </c>
      <c r="AL5634">
        <v>340</v>
      </c>
      <c r="AM5634">
        <v>666</v>
      </c>
      <c r="AN5634">
        <v>46</v>
      </c>
      <c r="AP5634">
        <v>1</v>
      </c>
      <c r="AR5634" t="s">
        <v>5740</v>
      </c>
      <c r="AS5634" s="1">
        <v>44354.291666666664</v>
      </c>
      <c r="AT5634" s="1">
        <v>44354.304155092592</v>
      </c>
      <c r="AU5634" s="1">
        <v>44354.305173611108</v>
      </c>
      <c r="AV5634" t="s">
        <v>71</v>
      </c>
      <c r="AW5634" t="s">
        <v>72</v>
      </c>
      <c r="AX5634" t="s">
        <v>73</v>
      </c>
    </row>
    <row r="5635" spans="1:50" x14ac:dyDescent="0.3">
      <c r="A5635" t="str">
        <f>"201845C0400"</f>
        <v>201845C0400</v>
      </c>
      <c r="B5635" t="str">
        <f>"201845C04002"</f>
        <v>201845C04002</v>
      </c>
      <c r="C5635" t="str">
        <f t="shared" si="279"/>
        <v>20</v>
      </c>
      <c r="D5635" t="s">
        <v>67</v>
      </c>
      <c r="E5635" t="str">
        <f t="shared" si="282"/>
        <v>025</v>
      </c>
      <c r="F5635" t="s">
        <v>5603</v>
      </c>
      <c r="G5635" t="str">
        <f t="shared" si="283"/>
        <v>1845</v>
      </c>
      <c r="H5635" t="str">
        <f>"0004"</f>
        <v>0004</v>
      </c>
      <c r="I5635" t="s">
        <v>75</v>
      </c>
      <c r="J5635">
        <v>0</v>
      </c>
      <c r="K5635">
        <v>1</v>
      </c>
      <c r="L5635">
        <v>2</v>
      </c>
      <c r="M5635">
        <v>364</v>
      </c>
      <c r="N5635">
        <v>348</v>
      </c>
      <c r="O5635">
        <v>4</v>
      </c>
      <c r="P5635" t="s">
        <v>80</v>
      </c>
      <c r="Q5635">
        <v>12</v>
      </c>
      <c r="R5635">
        <v>33</v>
      </c>
      <c r="S5635">
        <v>35</v>
      </c>
      <c r="T5635">
        <v>4</v>
      </c>
      <c r="U5635">
        <v>13</v>
      </c>
      <c r="V5635">
        <v>4</v>
      </c>
      <c r="W5635">
        <v>11</v>
      </c>
      <c r="X5635">
        <v>165</v>
      </c>
      <c r="Y5635">
        <v>7</v>
      </c>
      <c r="Z5635">
        <v>2</v>
      </c>
      <c r="AA5635">
        <v>31</v>
      </c>
      <c r="AB5635">
        <v>23</v>
      </c>
      <c r="AD5635">
        <v>1</v>
      </c>
      <c r="AE5635">
        <v>1</v>
      </c>
      <c r="AF5635">
        <v>0</v>
      </c>
      <c r="AG5635">
        <v>1</v>
      </c>
      <c r="AI5635">
        <v>0</v>
      </c>
      <c r="AJ5635">
        <v>5</v>
      </c>
      <c r="AK5635">
        <v>348</v>
      </c>
      <c r="AL5635">
        <v>348</v>
      </c>
      <c r="AM5635">
        <v>666</v>
      </c>
      <c r="AN5635">
        <v>46</v>
      </c>
      <c r="AP5635">
        <v>1</v>
      </c>
      <c r="AR5635" t="s">
        <v>5741</v>
      </c>
      <c r="AS5635" s="1">
        <v>44354.290972222225</v>
      </c>
      <c r="AT5635" s="1">
        <v>44354.304826388892</v>
      </c>
      <c r="AU5635" s="1">
        <v>44354.306203703702</v>
      </c>
      <c r="AV5635" t="s">
        <v>71</v>
      </c>
      <c r="AW5635" t="s">
        <v>72</v>
      </c>
      <c r="AX5635" t="s">
        <v>73</v>
      </c>
    </row>
    <row r="5636" spans="1:50" x14ac:dyDescent="0.3">
      <c r="A5636" t="str">
        <f>"201845C0500"</f>
        <v>201845C0500</v>
      </c>
      <c r="B5636" t="str">
        <f>"201845C05002"</f>
        <v>201845C05002</v>
      </c>
      <c r="C5636" t="str">
        <f t="shared" si="279"/>
        <v>20</v>
      </c>
      <c r="D5636" t="s">
        <v>67</v>
      </c>
      <c r="E5636" t="str">
        <f t="shared" si="282"/>
        <v>025</v>
      </c>
      <c r="F5636" t="s">
        <v>5603</v>
      </c>
      <c r="G5636" t="str">
        <f t="shared" si="283"/>
        <v>1845</v>
      </c>
      <c r="H5636" t="str">
        <f>"0005"</f>
        <v>0005</v>
      </c>
      <c r="I5636" t="s">
        <v>75</v>
      </c>
      <c r="J5636">
        <v>0</v>
      </c>
      <c r="K5636">
        <v>1</v>
      </c>
      <c r="L5636">
        <v>2</v>
      </c>
      <c r="M5636">
        <v>356</v>
      </c>
      <c r="N5636">
        <v>356</v>
      </c>
      <c r="O5636">
        <v>8</v>
      </c>
      <c r="P5636">
        <v>356</v>
      </c>
      <c r="Q5636">
        <v>8</v>
      </c>
      <c r="R5636">
        <v>25</v>
      </c>
      <c r="S5636">
        <v>38</v>
      </c>
      <c r="T5636">
        <v>6</v>
      </c>
      <c r="U5636">
        <v>6</v>
      </c>
      <c r="V5636">
        <v>5</v>
      </c>
      <c r="W5636">
        <v>16</v>
      </c>
      <c r="X5636">
        <v>186</v>
      </c>
      <c r="Y5636">
        <v>12</v>
      </c>
      <c r="Z5636">
        <v>0</v>
      </c>
      <c r="AA5636">
        <v>16</v>
      </c>
      <c r="AB5636">
        <v>25</v>
      </c>
      <c r="AD5636">
        <v>0</v>
      </c>
      <c r="AE5636">
        <v>0</v>
      </c>
      <c r="AF5636">
        <v>0</v>
      </c>
      <c r="AG5636">
        <v>0</v>
      </c>
      <c r="AI5636">
        <v>0</v>
      </c>
      <c r="AJ5636">
        <v>13</v>
      </c>
      <c r="AK5636">
        <v>356</v>
      </c>
      <c r="AL5636">
        <v>356</v>
      </c>
      <c r="AM5636">
        <v>666</v>
      </c>
      <c r="AN5636">
        <v>46</v>
      </c>
      <c r="AP5636">
        <v>1</v>
      </c>
      <c r="AR5636" t="s">
        <v>5742</v>
      </c>
      <c r="AS5636" s="1">
        <v>44354.292361111111</v>
      </c>
      <c r="AT5636" s="1">
        <v>44354.298750000002</v>
      </c>
      <c r="AU5636" s="1">
        <v>44354.29928240741</v>
      </c>
      <c r="AV5636" t="s">
        <v>71</v>
      </c>
      <c r="AW5636" t="s">
        <v>72</v>
      </c>
      <c r="AX5636" t="s">
        <v>73</v>
      </c>
    </row>
    <row r="5637" spans="1:50" x14ac:dyDescent="0.3">
      <c r="A5637" t="str">
        <f>"201845C0600"</f>
        <v>201845C0600</v>
      </c>
      <c r="B5637" t="str">
        <f>"201845C06002"</f>
        <v>201845C06002</v>
      </c>
      <c r="C5637" t="str">
        <f t="shared" si="279"/>
        <v>20</v>
      </c>
      <c r="D5637" t="s">
        <v>67</v>
      </c>
      <c r="E5637" t="str">
        <f t="shared" si="282"/>
        <v>025</v>
      </c>
      <c r="F5637" t="s">
        <v>5603</v>
      </c>
      <c r="G5637" t="str">
        <f t="shared" si="283"/>
        <v>1845</v>
      </c>
      <c r="H5637" t="str">
        <f>"0006"</f>
        <v>0006</v>
      </c>
      <c r="I5637" t="s">
        <v>75</v>
      </c>
      <c r="J5637">
        <v>0</v>
      </c>
      <c r="K5637">
        <v>1</v>
      </c>
      <c r="L5637">
        <v>2</v>
      </c>
      <c r="M5637">
        <v>351</v>
      </c>
      <c r="N5637">
        <v>361</v>
      </c>
      <c r="O5637">
        <v>12</v>
      </c>
      <c r="P5637">
        <v>361</v>
      </c>
      <c r="Q5637">
        <v>12</v>
      </c>
      <c r="R5637">
        <v>24</v>
      </c>
      <c r="S5637">
        <v>32</v>
      </c>
      <c r="T5637">
        <v>8</v>
      </c>
      <c r="U5637">
        <v>19</v>
      </c>
      <c r="V5637">
        <v>8</v>
      </c>
      <c r="W5637">
        <v>22</v>
      </c>
      <c r="X5637">
        <v>168</v>
      </c>
      <c r="Y5637">
        <v>10</v>
      </c>
      <c r="Z5637">
        <v>3</v>
      </c>
      <c r="AA5637">
        <v>17</v>
      </c>
      <c r="AB5637">
        <v>27</v>
      </c>
      <c r="AD5637">
        <v>1</v>
      </c>
      <c r="AE5637">
        <v>0</v>
      </c>
      <c r="AF5637">
        <v>0</v>
      </c>
      <c r="AG5637">
        <v>0</v>
      </c>
      <c r="AI5637">
        <v>0</v>
      </c>
      <c r="AJ5637">
        <v>10</v>
      </c>
      <c r="AK5637">
        <v>361</v>
      </c>
      <c r="AL5637">
        <v>361</v>
      </c>
      <c r="AM5637">
        <v>666</v>
      </c>
      <c r="AN5637">
        <v>46</v>
      </c>
      <c r="AP5637">
        <v>1</v>
      </c>
      <c r="AR5637" t="s">
        <v>5743</v>
      </c>
      <c r="AS5637" s="1">
        <v>44354.290972222225</v>
      </c>
      <c r="AT5637" s="1">
        <v>44354.302673611113</v>
      </c>
      <c r="AU5637" s="1">
        <v>44354.303622685184</v>
      </c>
      <c r="AV5637" t="s">
        <v>71</v>
      </c>
      <c r="AW5637" t="s">
        <v>72</v>
      </c>
      <c r="AX5637" t="s">
        <v>73</v>
      </c>
    </row>
    <row r="5638" spans="1:50" x14ac:dyDescent="0.3">
      <c r="A5638" t="str">
        <f>"201845C0700"</f>
        <v>201845C0700</v>
      </c>
      <c r="B5638" t="str">
        <f>"201845C07002"</f>
        <v>201845C07002</v>
      </c>
      <c r="C5638" t="str">
        <f t="shared" si="279"/>
        <v>20</v>
      </c>
      <c r="D5638" t="s">
        <v>67</v>
      </c>
      <c r="E5638" t="str">
        <f t="shared" si="282"/>
        <v>025</v>
      </c>
      <c r="F5638" t="s">
        <v>5603</v>
      </c>
      <c r="G5638" t="str">
        <f t="shared" si="283"/>
        <v>1845</v>
      </c>
      <c r="H5638" t="str">
        <f>"0007"</f>
        <v>0007</v>
      </c>
      <c r="I5638" t="s">
        <v>75</v>
      </c>
      <c r="J5638">
        <v>0</v>
      </c>
      <c r="K5638">
        <v>1</v>
      </c>
      <c r="L5638">
        <v>2</v>
      </c>
      <c r="M5638">
        <v>346</v>
      </c>
      <c r="N5638">
        <v>362</v>
      </c>
      <c r="O5638">
        <v>3</v>
      </c>
      <c r="P5638">
        <v>362</v>
      </c>
      <c r="Q5638">
        <v>12</v>
      </c>
      <c r="R5638">
        <v>23</v>
      </c>
      <c r="S5638">
        <v>52</v>
      </c>
      <c r="T5638">
        <v>2</v>
      </c>
      <c r="U5638">
        <v>17</v>
      </c>
      <c r="V5638">
        <v>9</v>
      </c>
      <c r="W5638">
        <v>10</v>
      </c>
      <c r="X5638">
        <v>169</v>
      </c>
      <c r="Y5638">
        <v>9</v>
      </c>
      <c r="Z5638">
        <v>3</v>
      </c>
      <c r="AA5638">
        <v>17</v>
      </c>
      <c r="AB5638">
        <v>24</v>
      </c>
      <c r="AD5638" t="s">
        <v>77</v>
      </c>
      <c r="AE5638" t="s">
        <v>77</v>
      </c>
      <c r="AF5638">
        <v>1</v>
      </c>
      <c r="AG5638">
        <v>2</v>
      </c>
      <c r="AI5638" t="s">
        <v>77</v>
      </c>
      <c r="AJ5638" t="s">
        <v>77</v>
      </c>
      <c r="AK5638" t="s">
        <v>77</v>
      </c>
      <c r="AL5638">
        <v>350</v>
      </c>
      <c r="AM5638">
        <v>666</v>
      </c>
      <c r="AN5638">
        <v>46</v>
      </c>
      <c r="AO5638" t="s">
        <v>78</v>
      </c>
      <c r="AP5638">
        <v>1</v>
      </c>
      <c r="AR5638" t="s">
        <v>5744</v>
      </c>
      <c r="AS5638" s="1">
        <v>44354.290277777778</v>
      </c>
      <c r="AT5638" s="1">
        <v>44354.297129629631</v>
      </c>
      <c r="AU5638" s="1">
        <v>44354.297777777778</v>
      </c>
      <c r="AV5638" t="s">
        <v>71</v>
      </c>
      <c r="AW5638" t="s">
        <v>72</v>
      </c>
      <c r="AX5638" t="s">
        <v>73</v>
      </c>
    </row>
    <row r="5639" spans="1:50" x14ac:dyDescent="0.3">
      <c r="A5639" t="str">
        <f>"201845S0100"</f>
        <v>201845S0100</v>
      </c>
      <c r="B5639" t="str">
        <f>"201845S01002EMR"</f>
        <v>201845S01002EMR</v>
      </c>
      <c r="C5639" t="str">
        <f t="shared" ref="C5639:C5702" si="284">"20"</f>
        <v>20</v>
      </c>
      <c r="D5639" t="s">
        <v>67</v>
      </c>
      <c r="E5639" t="str">
        <f t="shared" si="282"/>
        <v>025</v>
      </c>
      <c r="F5639" t="s">
        <v>5603</v>
      </c>
      <c r="G5639" t="str">
        <f t="shared" si="283"/>
        <v>1845</v>
      </c>
      <c r="H5639" t="str">
        <f>"0001"</f>
        <v>0001</v>
      </c>
      <c r="I5639" t="s">
        <v>85</v>
      </c>
      <c r="J5639">
        <v>0</v>
      </c>
      <c r="K5639">
        <v>1</v>
      </c>
      <c r="L5639" t="s">
        <v>86</v>
      </c>
      <c r="AM5639">
        <v>0</v>
      </c>
      <c r="AN5639">
        <v>46</v>
      </c>
      <c r="AO5639" t="s">
        <v>352</v>
      </c>
      <c r="AP5639">
        <v>0</v>
      </c>
      <c r="AR5639" t="s">
        <v>5745</v>
      </c>
      <c r="AS5639" s="1">
        <v>44354.660416666666</v>
      </c>
      <c r="AT5639" s="1">
        <v>44354.661643518521</v>
      </c>
      <c r="AU5639" s="1">
        <v>44354.661643518521</v>
      </c>
      <c r="AV5639" t="s">
        <v>71</v>
      </c>
      <c r="AW5639" t="s">
        <v>72</v>
      </c>
      <c r="AX5639" t="s">
        <v>73</v>
      </c>
    </row>
    <row r="5640" spans="1:50" x14ac:dyDescent="0.3">
      <c r="A5640" t="str">
        <f>"201846B0000"</f>
        <v>201846B0000</v>
      </c>
      <c r="B5640" t="str">
        <f>"201846B00002"</f>
        <v>201846B00002</v>
      </c>
      <c r="C5640" t="str">
        <f t="shared" si="284"/>
        <v>20</v>
      </c>
      <c r="D5640" t="s">
        <v>67</v>
      </c>
      <c r="E5640" t="str">
        <f t="shared" si="282"/>
        <v>025</v>
      </c>
      <c r="F5640" t="s">
        <v>5603</v>
      </c>
      <c r="G5640" t="str">
        <f t="shared" ref="G5640:G5655" si="285">"1846"</f>
        <v>1846</v>
      </c>
      <c r="H5640" t="str">
        <f>"0000"</f>
        <v>0000</v>
      </c>
      <c r="I5640" t="s">
        <v>69</v>
      </c>
      <c r="J5640">
        <v>0</v>
      </c>
      <c r="K5640">
        <v>1</v>
      </c>
      <c r="L5640">
        <v>2</v>
      </c>
      <c r="M5640">
        <v>348</v>
      </c>
      <c r="N5640">
        <v>394</v>
      </c>
      <c r="O5640">
        <v>11</v>
      </c>
      <c r="P5640">
        <v>394</v>
      </c>
      <c r="Q5640">
        <v>16</v>
      </c>
      <c r="R5640">
        <v>35</v>
      </c>
      <c r="S5640">
        <v>36</v>
      </c>
      <c r="T5640">
        <v>15</v>
      </c>
      <c r="U5640">
        <v>11</v>
      </c>
      <c r="V5640">
        <v>5</v>
      </c>
      <c r="W5640">
        <v>16</v>
      </c>
      <c r="X5640">
        <v>181</v>
      </c>
      <c r="Y5640">
        <v>7</v>
      </c>
      <c r="Z5640">
        <v>6</v>
      </c>
      <c r="AA5640">
        <v>21</v>
      </c>
      <c r="AB5640">
        <v>37</v>
      </c>
      <c r="AD5640">
        <v>2</v>
      </c>
      <c r="AE5640">
        <v>0</v>
      </c>
      <c r="AF5640">
        <v>0</v>
      </c>
      <c r="AG5640">
        <v>0</v>
      </c>
      <c r="AI5640">
        <v>0</v>
      </c>
      <c r="AJ5640">
        <v>6</v>
      </c>
      <c r="AK5640">
        <v>394</v>
      </c>
      <c r="AL5640">
        <v>394</v>
      </c>
      <c r="AM5640">
        <v>696</v>
      </c>
      <c r="AN5640">
        <v>46</v>
      </c>
      <c r="AP5640">
        <v>1</v>
      </c>
      <c r="AR5640" t="s">
        <v>5746</v>
      </c>
      <c r="AS5640" s="1">
        <v>44354.28125</v>
      </c>
      <c r="AT5640" s="1">
        <v>44354.287268518521</v>
      </c>
      <c r="AU5640" s="1">
        <v>44354.28800925926</v>
      </c>
      <c r="AV5640" t="s">
        <v>71</v>
      </c>
      <c r="AW5640" t="s">
        <v>72</v>
      </c>
      <c r="AX5640" t="s">
        <v>73</v>
      </c>
    </row>
    <row r="5641" spans="1:50" x14ac:dyDescent="0.3">
      <c r="A5641" t="str">
        <f>"201846C0100"</f>
        <v>201846C0100</v>
      </c>
      <c r="B5641" t="str">
        <f>"201846C01002"</f>
        <v>201846C01002</v>
      </c>
      <c r="C5641" t="str">
        <f t="shared" si="284"/>
        <v>20</v>
      </c>
      <c r="D5641" t="s">
        <v>67</v>
      </c>
      <c r="E5641" t="str">
        <f t="shared" si="282"/>
        <v>025</v>
      </c>
      <c r="F5641" t="s">
        <v>5603</v>
      </c>
      <c r="G5641" t="str">
        <f t="shared" si="285"/>
        <v>1846</v>
      </c>
      <c r="H5641" t="str">
        <f>"0001"</f>
        <v>0001</v>
      </c>
      <c r="I5641" t="s">
        <v>75</v>
      </c>
      <c r="J5641">
        <v>0</v>
      </c>
      <c r="K5641">
        <v>1</v>
      </c>
      <c r="L5641">
        <v>2</v>
      </c>
      <c r="M5641">
        <v>351</v>
      </c>
      <c r="N5641">
        <v>388</v>
      </c>
      <c r="O5641">
        <v>11</v>
      </c>
      <c r="P5641" t="s">
        <v>80</v>
      </c>
      <c r="Q5641">
        <v>17</v>
      </c>
      <c r="R5641">
        <v>17</v>
      </c>
      <c r="S5641">
        <v>29</v>
      </c>
      <c r="T5641">
        <v>6</v>
      </c>
      <c r="U5641">
        <v>14</v>
      </c>
      <c r="V5641">
        <v>6</v>
      </c>
      <c r="W5641">
        <v>8</v>
      </c>
      <c r="X5641">
        <v>214</v>
      </c>
      <c r="Y5641">
        <v>9</v>
      </c>
      <c r="Z5641">
        <v>3</v>
      </c>
      <c r="AA5641">
        <v>26</v>
      </c>
      <c r="AB5641">
        <v>25</v>
      </c>
      <c r="AD5641">
        <v>1</v>
      </c>
      <c r="AE5641">
        <v>0</v>
      </c>
      <c r="AF5641">
        <v>0</v>
      </c>
      <c r="AG5641">
        <v>1</v>
      </c>
      <c r="AI5641">
        <v>1</v>
      </c>
      <c r="AJ5641">
        <v>3</v>
      </c>
      <c r="AK5641">
        <v>380</v>
      </c>
      <c r="AL5641">
        <v>380</v>
      </c>
      <c r="AM5641">
        <v>696</v>
      </c>
      <c r="AN5641">
        <v>46</v>
      </c>
      <c r="AP5641">
        <v>1</v>
      </c>
      <c r="AR5641" t="s">
        <v>5747</v>
      </c>
      <c r="AS5641" s="1">
        <v>44354.280555555553</v>
      </c>
      <c r="AT5641" s="1">
        <v>44354.283171296294</v>
      </c>
      <c r="AU5641" s="1">
        <v>44354.283854166664</v>
      </c>
      <c r="AV5641" t="s">
        <v>71</v>
      </c>
      <c r="AW5641" t="s">
        <v>72</v>
      </c>
      <c r="AX5641" t="s">
        <v>73</v>
      </c>
    </row>
    <row r="5642" spans="1:50" x14ac:dyDescent="0.3">
      <c r="A5642" t="str">
        <f>"201846C0200"</f>
        <v>201846C0200</v>
      </c>
      <c r="B5642" t="str">
        <f>"201846C02002"</f>
        <v>201846C02002</v>
      </c>
      <c r="C5642" t="str">
        <f t="shared" si="284"/>
        <v>20</v>
      </c>
      <c r="D5642" t="s">
        <v>67</v>
      </c>
      <c r="E5642" t="str">
        <f t="shared" si="282"/>
        <v>025</v>
      </c>
      <c r="F5642" t="s">
        <v>5603</v>
      </c>
      <c r="G5642" t="str">
        <f t="shared" si="285"/>
        <v>1846</v>
      </c>
      <c r="H5642" t="str">
        <f>"0002"</f>
        <v>0002</v>
      </c>
      <c r="I5642" t="s">
        <v>75</v>
      </c>
      <c r="J5642">
        <v>0</v>
      </c>
      <c r="K5642">
        <v>1</v>
      </c>
      <c r="L5642">
        <v>2</v>
      </c>
      <c r="M5642">
        <v>337</v>
      </c>
      <c r="N5642">
        <v>404</v>
      </c>
      <c r="O5642">
        <v>7</v>
      </c>
      <c r="P5642">
        <v>405</v>
      </c>
      <c r="Q5642">
        <v>24</v>
      </c>
      <c r="R5642">
        <v>20</v>
      </c>
      <c r="S5642">
        <v>27</v>
      </c>
      <c r="T5642">
        <v>8</v>
      </c>
      <c r="U5642">
        <v>15</v>
      </c>
      <c r="V5642">
        <v>5</v>
      </c>
      <c r="W5642">
        <v>18</v>
      </c>
      <c r="X5642">
        <v>203</v>
      </c>
      <c r="Y5642">
        <v>9</v>
      </c>
      <c r="Z5642">
        <v>1</v>
      </c>
      <c r="AA5642">
        <v>23</v>
      </c>
      <c r="AB5642">
        <v>34</v>
      </c>
      <c r="AD5642">
        <v>3</v>
      </c>
      <c r="AE5642">
        <v>1</v>
      </c>
      <c r="AF5642">
        <v>2</v>
      </c>
      <c r="AG5642">
        <v>0</v>
      </c>
      <c r="AI5642">
        <v>0</v>
      </c>
      <c r="AJ5642">
        <v>12</v>
      </c>
      <c r="AK5642">
        <v>405</v>
      </c>
      <c r="AL5642">
        <v>405</v>
      </c>
      <c r="AM5642">
        <v>696</v>
      </c>
      <c r="AN5642">
        <v>46</v>
      </c>
      <c r="AP5642">
        <v>1</v>
      </c>
      <c r="AR5642" t="s">
        <v>5748</v>
      </c>
      <c r="AS5642" s="1">
        <v>44354.281944444447</v>
      </c>
      <c r="AT5642" s="1">
        <v>44354.285358796296</v>
      </c>
      <c r="AU5642" s="1">
        <v>44354.285937499997</v>
      </c>
      <c r="AV5642" t="s">
        <v>71</v>
      </c>
      <c r="AW5642" t="s">
        <v>72</v>
      </c>
      <c r="AX5642" t="s">
        <v>73</v>
      </c>
    </row>
    <row r="5643" spans="1:50" x14ac:dyDescent="0.3">
      <c r="A5643" t="str">
        <f>"201846C0300"</f>
        <v>201846C0300</v>
      </c>
      <c r="B5643" t="str">
        <f>"201846C03002"</f>
        <v>201846C03002</v>
      </c>
      <c r="C5643" t="str">
        <f t="shared" si="284"/>
        <v>20</v>
      </c>
      <c r="D5643" t="s">
        <v>67</v>
      </c>
      <c r="E5643" t="str">
        <f t="shared" si="282"/>
        <v>025</v>
      </c>
      <c r="F5643" t="s">
        <v>5603</v>
      </c>
      <c r="G5643" t="str">
        <f t="shared" si="285"/>
        <v>1846</v>
      </c>
      <c r="H5643" t="str">
        <f>"0003"</f>
        <v>0003</v>
      </c>
      <c r="I5643" t="s">
        <v>75</v>
      </c>
      <c r="J5643">
        <v>0</v>
      </c>
      <c r="K5643">
        <v>1</v>
      </c>
      <c r="L5643">
        <v>2</v>
      </c>
      <c r="M5643">
        <v>333</v>
      </c>
      <c r="N5643">
        <v>409</v>
      </c>
      <c r="O5643">
        <v>12</v>
      </c>
      <c r="P5643">
        <v>409</v>
      </c>
      <c r="Q5643">
        <v>25</v>
      </c>
      <c r="R5643">
        <v>29</v>
      </c>
      <c r="S5643">
        <v>34</v>
      </c>
      <c r="T5643">
        <v>6</v>
      </c>
      <c r="U5643">
        <v>16</v>
      </c>
      <c r="V5643">
        <v>4</v>
      </c>
      <c r="W5643">
        <v>15</v>
      </c>
      <c r="X5643">
        <v>204</v>
      </c>
      <c r="Y5643">
        <v>10</v>
      </c>
      <c r="Z5643">
        <v>5</v>
      </c>
      <c r="AA5643">
        <v>20</v>
      </c>
      <c r="AB5643">
        <v>27</v>
      </c>
      <c r="AD5643">
        <v>1</v>
      </c>
      <c r="AE5643">
        <v>1</v>
      </c>
      <c r="AF5643">
        <v>0</v>
      </c>
      <c r="AG5643">
        <v>0</v>
      </c>
      <c r="AI5643">
        <v>1</v>
      </c>
      <c r="AJ5643">
        <v>11</v>
      </c>
      <c r="AK5643">
        <v>409</v>
      </c>
      <c r="AL5643">
        <v>409</v>
      </c>
      <c r="AM5643">
        <v>696</v>
      </c>
      <c r="AN5643">
        <v>46</v>
      </c>
      <c r="AP5643">
        <v>1</v>
      </c>
      <c r="AR5643" t="s">
        <v>5749</v>
      </c>
      <c r="AS5643" s="1">
        <v>44354.282638888886</v>
      </c>
      <c r="AT5643" s="1">
        <v>44354.287754629629</v>
      </c>
      <c r="AU5643" s="1">
        <v>44354.2890625</v>
      </c>
      <c r="AV5643" t="s">
        <v>71</v>
      </c>
      <c r="AW5643" t="s">
        <v>72</v>
      </c>
      <c r="AX5643" t="s">
        <v>73</v>
      </c>
    </row>
    <row r="5644" spans="1:50" x14ac:dyDescent="0.3">
      <c r="A5644" t="str">
        <f>"201846C0400"</f>
        <v>201846C0400</v>
      </c>
      <c r="B5644" t="str">
        <f>"201846C04002"</f>
        <v>201846C04002</v>
      </c>
      <c r="C5644" t="str">
        <f t="shared" si="284"/>
        <v>20</v>
      </c>
      <c r="D5644" t="s">
        <v>67</v>
      </c>
      <c r="E5644" t="str">
        <f t="shared" si="282"/>
        <v>025</v>
      </c>
      <c r="F5644" t="s">
        <v>5603</v>
      </c>
      <c r="G5644" t="str">
        <f t="shared" si="285"/>
        <v>1846</v>
      </c>
      <c r="H5644" t="str">
        <f>"0004"</f>
        <v>0004</v>
      </c>
      <c r="I5644" t="s">
        <v>75</v>
      </c>
      <c r="J5644">
        <v>0</v>
      </c>
      <c r="K5644">
        <v>1</v>
      </c>
      <c r="L5644">
        <v>2</v>
      </c>
      <c r="AM5644">
        <v>695</v>
      </c>
      <c r="AN5644">
        <v>46</v>
      </c>
      <c r="AO5644" t="s">
        <v>2056</v>
      </c>
      <c r="AP5644">
        <v>0</v>
      </c>
      <c r="AR5644" t="s">
        <v>5750</v>
      </c>
      <c r="AS5644" s="1">
        <v>44354.650694444441</v>
      </c>
      <c r="AT5644" s="1">
        <v>44354.653668981482</v>
      </c>
      <c r="AU5644" s="1">
        <v>44354.653668981482</v>
      </c>
      <c r="AV5644" t="s">
        <v>71</v>
      </c>
      <c r="AW5644" t="s">
        <v>72</v>
      </c>
      <c r="AX5644" t="s">
        <v>73</v>
      </c>
    </row>
    <row r="5645" spans="1:50" x14ac:dyDescent="0.3">
      <c r="A5645" t="str">
        <f>"201846C0500"</f>
        <v>201846C0500</v>
      </c>
      <c r="B5645" t="str">
        <f>"201846C05002"</f>
        <v>201846C05002</v>
      </c>
      <c r="C5645" t="str">
        <f t="shared" si="284"/>
        <v>20</v>
      </c>
      <c r="D5645" t="s">
        <v>67</v>
      </c>
      <c r="E5645" t="str">
        <f t="shared" si="282"/>
        <v>025</v>
      </c>
      <c r="F5645" t="s">
        <v>5603</v>
      </c>
      <c r="G5645" t="str">
        <f t="shared" si="285"/>
        <v>1846</v>
      </c>
      <c r="H5645" t="str">
        <f>"0005"</f>
        <v>0005</v>
      </c>
      <c r="I5645" t="s">
        <v>75</v>
      </c>
      <c r="J5645">
        <v>0</v>
      </c>
      <c r="K5645">
        <v>1</v>
      </c>
      <c r="L5645">
        <v>2</v>
      </c>
      <c r="M5645">
        <v>350</v>
      </c>
      <c r="N5645">
        <v>392</v>
      </c>
      <c r="O5645">
        <v>12</v>
      </c>
      <c r="P5645">
        <v>392</v>
      </c>
      <c r="Q5645">
        <v>22</v>
      </c>
      <c r="R5645">
        <v>23</v>
      </c>
      <c r="S5645">
        <v>33</v>
      </c>
      <c r="T5645">
        <v>6</v>
      </c>
      <c r="U5645">
        <v>19</v>
      </c>
      <c r="V5645">
        <v>9</v>
      </c>
      <c r="W5645">
        <v>5</v>
      </c>
      <c r="X5645">
        <v>206</v>
      </c>
      <c r="Y5645">
        <v>10</v>
      </c>
      <c r="Z5645">
        <v>3</v>
      </c>
      <c r="AA5645">
        <v>19</v>
      </c>
      <c r="AB5645">
        <v>25</v>
      </c>
      <c r="AD5645">
        <v>2</v>
      </c>
      <c r="AE5645">
        <v>0</v>
      </c>
      <c r="AF5645">
        <v>0</v>
      </c>
      <c r="AG5645">
        <v>0</v>
      </c>
      <c r="AI5645">
        <v>0</v>
      </c>
      <c r="AJ5645">
        <v>9</v>
      </c>
      <c r="AK5645">
        <v>391</v>
      </c>
      <c r="AL5645">
        <v>391</v>
      </c>
      <c r="AM5645">
        <v>695</v>
      </c>
      <c r="AN5645">
        <v>46</v>
      </c>
      <c r="AP5645">
        <v>1</v>
      </c>
      <c r="AR5645" t="s">
        <v>5751</v>
      </c>
      <c r="AS5645" s="1">
        <v>44354.281944444447</v>
      </c>
      <c r="AT5645" s="1">
        <v>44354.287210648145</v>
      </c>
      <c r="AU5645" s="1">
        <v>44354.287662037037</v>
      </c>
      <c r="AV5645" t="s">
        <v>71</v>
      </c>
      <c r="AW5645" t="s">
        <v>72</v>
      </c>
      <c r="AX5645" t="s">
        <v>73</v>
      </c>
    </row>
    <row r="5646" spans="1:50" x14ac:dyDescent="0.3">
      <c r="A5646" t="str">
        <f>"201846E0100"</f>
        <v>201846E0100</v>
      </c>
      <c r="B5646" t="str">
        <f>"201846E01002"</f>
        <v>201846E01002</v>
      </c>
      <c r="C5646" t="str">
        <f t="shared" si="284"/>
        <v>20</v>
      </c>
      <c r="D5646" t="s">
        <v>67</v>
      </c>
      <c r="E5646" t="str">
        <f t="shared" si="282"/>
        <v>025</v>
      </c>
      <c r="F5646" t="s">
        <v>5603</v>
      </c>
      <c r="G5646" t="str">
        <f t="shared" si="285"/>
        <v>1846</v>
      </c>
      <c r="H5646" t="str">
        <f>"0001"</f>
        <v>0001</v>
      </c>
      <c r="I5646" t="s">
        <v>109</v>
      </c>
      <c r="J5646">
        <v>0</v>
      </c>
      <c r="K5646">
        <v>1</v>
      </c>
      <c r="L5646">
        <v>2</v>
      </c>
      <c r="M5646">
        <v>373</v>
      </c>
      <c r="N5646">
        <v>342</v>
      </c>
      <c r="O5646">
        <v>15</v>
      </c>
      <c r="P5646">
        <v>342</v>
      </c>
      <c r="Q5646">
        <v>38</v>
      </c>
      <c r="R5646">
        <v>33</v>
      </c>
      <c r="S5646">
        <v>20</v>
      </c>
      <c r="T5646">
        <v>5</v>
      </c>
      <c r="U5646">
        <v>9</v>
      </c>
      <c r="V5646">
        <v>7</v>
      </c>
      <c r="W5646">
        <v>12</v>
      </c>
      <c r="X5646">
        <v>151</v>
      </c>
      <c r="Y5646">
        <v>11</v>
      </c>
      <c r="Z5646">
        <v>3</v>
      </c>
      <c r="AA5646">
        <v>18</v>
      </c>
      <c r="AB5646">
        <v>26</v>
      </c>
      <c r="AD5646">
        <v>0</v>
      </c>
      <c r="AE5646">
        <v>1</v>
      </c>
      <c r="AF5646">
        <v>0</v>
      </c>
      <c r="AG5646">
        <v>0</v>
      </c>
      <c r="AI5646">
        <v>0</v>
      </c>
      <c r="AJ5646">
        <v>8</v>
      </c>
      <c r="AK5646">
        <v>342</v>
      </c>
      <c r="AL5646">
        <v>342</v>
      </c>
      <c r="AM5646">
        <v>669</v>
      </c>
      <c r="AN5646">
        <v>46</v>
      </c>
      <c r="AP5646">
        <v>1</v>
      </c>
      <c r="AR5646" t="s">
        <v>5752</v>
      </c>
      <c r="AS5646" s="1">
        <v>44354.289583333331</v>
      </c>
      <c r="AT5646" s="1">
        <v>44354.296134259261</v>
      </c>
      <c r="AU5646" s="1">
        <v>44354.296770833331</v>
      </c>
      <c r="AV5646" t="s">
        <v>71</v>
      </c>
      <c r="AW5646" t="s">
        <v>72</v>
      </c>
      <c r="AX5646" t="s">
        <v>73</v>
      </c>
    </row>
    <row r="5647" spans="1:50" x14ac:dyDescent="0.3">
      <c r="A5647" t="str">
        <f>"201846E0101"</f>
        <v>201846E0101</v>
      </c>
      <c r="B5647" t="str">
        <f>"201846E01012"</f>
        <v>201846E01012</v>
      </c>
      <c r="C5647" t="str">
        <f t="shared" si="284"/>
        <v>20</v>
      </c>
      <c r="D5647" t="s">
        <v>67</v>
      </c>
      <c r="E5647" t="str">
        <f t="shared" si="282"/>
        <v>025</v>
      </c>
      <c r="F5647" t="s">
        <v>5603</v>
      </c>
      <c r="G5647" t="str">
        <f t="shared" si="285"/>
        <v>1846</v>
      </c>
      <c r="H5647" t="str">
        <f>"0001"</f>
        <v>0001</v>
      </c>
      <c r="I5647" t="s">
        <v>109</v>
      </c>
      <c r="J5647">
        <v>1</v>
      </c>
      <c r="K5647">
        <v>1</v>
      </c>
      <c r="L5647">
        <v>2</v>
      </c>
      <c r="AM5647">
        <v>669</v>
      </c>
      <c r="AN5647">
        <v>46</v>
      </c>
      <c r="AO5647" t="s">
        <v>2056</v>
      </c>
      <c r="AP5647">
        <v>0</v>
      </c>
      <c r="AR5647" t="s">
        <v>5753</v>
      </c>
      <c r="AS5647" s="1">
        <v>44354.634027777778</v>
      </c>
      <c r="AT5647" s="1">
        <v>44354.64570601852</v>
      </c>
      <c r="AU5647" s="1">
        <v>44354.64570601852</v>
      </c>
      <c r="AV5647" t="s">
        <v>71</v>
      </c>
      <c r="AW5647" t="s">
        <v>72</v>
      </c>
      <c r="AX5647" t="s">
        <v>73</v>
      </c>
    </row>
    <row r="5648" spans="1:50" x14ac:dyDescent="0.3">
      <c r="A5648" t="str">
        <f>"201846E0102"</f>
        <v>201846E0102</v>
      </c>
      <c r="B5648" t="str">
        <f>"201846E01022"</f>
        <v>201846E01022</v>
      </c>
      <c r="C5648" t="str">
        <f t="shared" si="284"/>
        <v>20</v>
      </c>
      <c r="D5648" t="s">
        <v>67</v>
      </c>
      <c r="E5648" t="str">
        <f t="shared" si="282"/>
        <v>025</v>
      </c>
      <c r="F5648" t="s">
        <v>5603</v>
      </c>
      <c r="G5648" t="str">
        <f t="shared" si="285"/>
        <v>1846</v>
      </c>
      <c r="H5648" t="str">
        <f>"0001"</f>
        <v>0001</v>
      </c>
      <c r="I5648" t="s">
        <v>109</v>
      </c>
      <c r="J5648">
        <v>2</v>
      </c>
      <c r="K5648">
        <v>1</v>
      </c>
      <c r="L5648">
        <v>2</v>
      </c>
      <c r="M5648">
        <v>350</v>
      </c>
      <c r="N5648">
        <v>363</v>
      </c>
      <c r="O5648">
        <v>8</v>
      </c>
      <c r="P5648">
        <v>363</v>
      </c>
      <c r="Q5648">
        <v>45</v>
      </c>
      <c r="R5648">
        <v>47</v>
      </c>
      <c r="S5648">
        <v>101</v>
      </c>
      <c r="T5648">
        <v>5</v>
      </c>
      <c r="U5648">
        <v>8</v>
      </c>
      <c r="V5648">
        <v>1</v>
      </c>
      <c r="W5648">
        <v>5</v>
      </c>
      <c r="X5648">
        <v>149</v>
      </c>
      <c r="Y5648">
        <v>9</v>
      </c>
      <c r="Z5648">
        <v>5</v>
      </c>
      <c r="AA5648">
        <v>11</v>
      </c>
      <c r="AB5648">
        <v>32</v>
      </c>
      <c r="AD5648">
        <v>0</v>
      </c>
      <c r="AE5648">
        <v>0</v>
      </c>
      <c r="AF5648">
        <v>0</v>
      </c>
      <c r="AG5648">
        <v>0</v>
      </c>
      <c r="AI5648">
        <v>0</v>
      </c>
      <c r="AJ5648">
        <v>15</v>
      </c>
      <c r="AK5648">
        <v>363</v>
      </c>
      <c r="AL5648">
        <v>433</v>
      </c>
      <c r="AM5648">
        <v>668</v>
      </c>
      <c r="AN5648">
        <v>46</v>
      </c>
      <c r="AP5648">
        <v>1</v>
      </c>
      <c r="AR5648" t="s">
        <v>5754</v>
      </c>
      <c r="AS5648" s="1">
        <v>44354.292361111111</v>
      </c>
      <c r="AT5648" s="1">
        <v>44354.496168981481</v>
      </c>
      <c r="AU5648" s="1">
        <v>44354.497685185182</v>
      </c>
      <c r="AV5648" t="s">
        <v>71</v>
      </c>
      <c r="AW5648" t="s">
        <v>72</v>
      </c>
      <c r="AX5648" t="s">
        <v>73</v>
      </c>
    </row>
    <row r="5649" spans="1:50" x14ac:dyDescent="0.3">
      <c r="A5649" t="str">
        <f>"201846E0103"</f>
        <v>201846E0103</v>
      </c>
      <c r="B5649" t="str">
        <f>"201846E01032"</f>
        <v>201846E01032</v>
      </c>
      <c r="C5649" t="str">
        <f t="shared" si="284"/>
        <v>20</v>
      </c>
      <c r="D5649" t="s">
        <v>67</v>
      </c>
      <c r="E5649" t="str">
        <f t="shared" si="282"/>
        <v>025</v>
      </c>
      <c r="F5649" t="s">
        <v>5603</v>
      </c>
      <c r="G5649" t="str">
        <f t="shared" si="285"/>
        <v>1846</v>
      </c>
      <c r="H5649" t="str">
        <f>"0001"</f>
        <v>0001</v>
      </c>
      <c r="I5649" t="s">
        <v>109</v>
      </c>
      <c r="J5649">
        <v>3</v>
      </c>
      <c r="K5649">
        <v>1</v>
      </c>
      <c r="L5649">
        <v>2</v>
      </c>
      <c r="M5649">
        <v>342</v>
      </c>
      <c r="N5649">
        <v>352</v>
      </c>
      <c r="O5649">
        <v>14</v>
      </c>
      <c r="P5649">
        <v>373</v>
      </c>
      <c r="Q5649">
        <v>52</v>
      </c>
      <c r="R5649">
        <v>48</v>
      </c>
      <c r="S5649">
        <v>18</v>
      </c>
      <c r="T5649">
        <v>7</v>
      </c>
      <c r="U5649">
        <v>12</v>
      </c>
      <c r="V5649">
        <v>5</v>
      </c>
      <c r="W5649">
        <v>9</v>
      </c>
      <c r="X5649">
        <v>151</v>
      </c>
      <c r="Y5649">
        <v>5</v>
      </c>
      <c r="Z5649">
        <v>2</v>
      </c>
      <c r="AA5649">
        <v>18</v>
      </c>
      <c r="AB5649">
        <v>33</v>
      </c>
      <c r="AD5649">
        <v>1</v>
      </c>
      <c r="AE5649" t="s">
        <v>77</v>
      </c>
      <c r="AF5649" t="s">
        <v>77</v>
      </c>
      <c r="AG5649" t="s">
        <v>77</v>
      </c>
      <c r="AI5649" t="s">
        <v>77</v>
      </c>
      <c r="AJ5649">
        <v>12</v>
      </c>
      <c r="AK5649">
        <v>373</v>
      </c>
      <c r="AL5649">
        <v>373</v>
      </c>
      <c r="AM5649">
        <v>668</v>
      </c>
      <c r="AN5649">
        <v>46</v>
      </c>
      <c r="AO5649" t="s">
        <v>78</v>
      </c>
      <c r="AP5649">
        <v>1</v>
      </c>
      <c r="AR5649" t="s">
        <v>5755</v>
      </c>
      <c r="AS5649" s="1">
        <v>44354.293055555558</v>
      </c>
      <c r="AT5649" s="1">
        <v>44354.300138888888</v>
      </c>
      <c r="AU5649" s="1">
        <v>44354.300532407404</v>
      </c>
      <c r="AV5649" t="s">
        <v>71</v>
      </c>
      <c r="AW5649" t="s">
        <v>72</v>
      </c>
      <c r="AX5649" t="s">
        <v>73</v>
      </c>
    </row>
    <row r="5650" spans="1:50" x14ac:dyDescent="0.3">
      <c r="A5650" t="str">
        <f>"201846E0200"</f>
        <v>201846E0200</v>
      </c>
      <c r="B5650" t="str">
        <f>"201846E02002"</f>
        <v>201846E02002</v>
      </c>
      <c r="C5650" t="str">
        <f t="shared" si="284"/>
        <v>20</v>
      </c>
      <c r="D5650" t="s">
        <v>67</v>
      </c>
      <c r="E5650" t="str">
        <f t="shared" si="282"/>
        <v>025</v>
      </c>
      <c r="F5650" t="s">
        <v>5603</v>
      </c>
      <c r="G5650" t="str">
        <f t="shared" si="285"/>
        <v>1846</v>
      </c>
      <c r="H5650" t="str">
        <f t="shared" ref="H5650:H5655" si="286">"0002"</f>
        <v>0002</v>
      </c>
      <c r="I5650" t="s">
        <v>109</v>
      </c>
      <c r="J5650">
        <v>0</v>
      </c>
      <c r="K5650">
        <v>1</v>
      </c>
      <c r="L5650">
        <v>2</v>
      </c>
      <c r="M5650">
        <v>343</v>
      </c>
      <c r="N5650">
        <v>359</v>
      </c>
      <c r="O5650">
        <v>9</v>
      </c>
      <c r="P5650">
        <v>359</v>
      </c>
      <c r="Q5650">
        <v>13</v>
      </c>
      <c r="R5650">
        <v>40</v>
      </c>
      <c r="S5650">
        <v>30</v>
      </c>
      <c r="T5650">
        <v>4</v>
      </c>
      <c r="U5650">
        <v>19</v>
      </c>
      <c r="V5650">
        <v>2</v>
      </c>
      <c r="W5650">
        <v>21</v>
      </c>
      <c r="X5650">
        <v>164</v>
      </c>
      <c r="Y5650">
        <v>6</v>
      </c>
      <c r="Z5650">
        <v>3</v>
      </c>
      <c r="AA5650">
        <v>10</v>
      </c>
      <c r="AB5650">
        <v>31</v>
      </c>
      <c r="AD5650">
        <v>1</v>
      </c>
      <c r="AE5650">
        <v>0</v>
      </c>
      <c r="AF5650">
        <v>0</v>
      </c>
      <c r="AG5650">
        <v>0</v>
      </c>
      <c r="AI5650">
        <v>0</v>
      </c>
      <c r="AJ5650">
        <v>15</v>
      </c>
      <c r="AK5650">
        <v>359</v>
      </c>
      <c r="AL5650">
        <v>359</v>
      </c>
      <c r="AM5650">
        <v>657</v>
      </c>
      <c r="AN5650">
        <v>46</v>
      </c>
      <c r="AP5650">
        <v>1</v>
      </c>
      <c r="AR5650" t="s">
        <v>5756</v>
      </c>
      <c r="AS5650" s="1">
        <v>44354.293749999997</v>
      </c>
      <c r="AT5650" s="1">
        <v>44354.444710648146</v>
      </c>
      <c r="AU5650" s="1">
        <v>44354.446030092593</v>
      </c>
      <c r="AV5650" t="s">
        <v>71</v>
      </c>
      <c r="AW5650" t="s">
        <v>72</v>
      </c>
      <c r="AX5650" t="s">
        <v>73</v>
      </c>
    </row>
    <row r="5651" spans="1:50" x14ac:dyDescent="0.3">
      <c r="A5651" t="str">
        <f>"201846E0201"</f>
        <v>201846E0201</v>
      </c>
      <c r="B5651" t="str">
        <f>"201846E02012"</f>
        <v>201846E02012</v>
      </c>
      <c r="C5651" t="str">
        <f t="shared" si="284"/>
        <v>20</v>
      </c>
      <c r="D5651" t="s">
        <v>67</v>
      </c>
      <c r="E5651" t="str">
        <f t="shared" si="282"/>
        <v>025</v>
      </c>
      <c r="F5651" t="s">
        <v>5603</v>
      </c>
      <c r="G5651" t="str">
        <f t="shared" si="285"/>
        <v>1846</v>
      </c>
      <c r="H5651" t="str">
        <f t="shared" si="286"/>
        <v>0002</v>
      </c>
      <c r="I5651" t="s">
        <v>109</v>
      </c>
      <c r="J5651">
        <v>1</v>
      </c>
      <c r="K5651">
        <v>1</v>
      </c>
      <c r="L5651">
        <v>2</v>
      </c>
      <c r="M5651">
        <v>314</v>
      </c>
      <c r="N5651">
        <v>388</v>
      </c>
      <c r="O5651">
        <v>7</v>
      </c>
      <c r="P5651">
        <v>389</v>
      </c>
      <c r="Q5651">
        <v>10</v>
      </c>
      <c r="R5651">
        <v>31</v>
      </c>
      <c r="S5651">
        <v>27</v>
      </c>
      <c r="T5651">
        <v>2</v>
      </c>
      <c r="U5651">
        <v>15</v>
      </c>
      <c r="V5651">
        <v>8</v>
      </c>
      <c r="W5651">
        <v>16</v>
      </c>
      <c r="X5651">
        <v>193</v>
      </c>
      <c r="Y5651">
        <v>8</v>
      </c>
      <c r="Z5651">
        <v>4</v>
      </c>
      <c r="AA5651">
        <v>31</v>
      </c>
      <c r="AB5651">
        <v>33</v>
      </c>
      <c r="AD5651">
        <v>2</v>
      </c>
      <c r="AE5651">
        <v>0</v>
      </c>
      <c r="AF5651">
        <v>0</v>
      </c>
      <c r="AG5651">
        <v>1</v>
      </c>
      <c r="AI5651">
        <v>0</v>
      </c>
      <c r="AJ5651">
        <v>8</v>
      </c>
      <c r="AK5651">
        <v>389</v>
      </c>
      <c r="AL5651">
        <v>389</v>
      </c>
      <c r="AM5651">
        <v>657</v>
      </c>
      <c r="AN5651">
        <v>46</v>
      </c>
      <c r="AP5651">
        <v>1</v>
      </c>
      <c r="AR5651" t="s">
        <v>5757</v>
      </c>
      <c r="AS5651" s="1">
        <v>44354.293055555558</v>
      </c>
      <c r="AT5651" s="1">
        <v>44354.299722222226</v>
      </c>
      <c r="AU5651" s="1">
        <v>44354.30091435185</v>
      </c>
      <c r="AV5651" t="s">
        <v>71</v>
      </c>
      <c r="AW5651" t="s">
        <v>72</v>
      </c>
      <c r="AX5651" t="s">
        <v>73</v>
      </c>
    </row>
    <row r="5652" spans="1:50" x14ac:dyDescent="0.3">
      <c r="A5652" t="str">
        <f>"201846E0202"</f>
        <v>201846E0202</v>
      </c>
      <c r="B5652" t="str">
        <f>"201846E02022"</f>
        <v>201846E02022</v>
      </c>
      <c r="C5652" t="str">
        <f t="shared" si="284"/>
        <v>20</v>
      </c>
      <c r="D5652" t="s">
        <v>67</v>
      </c>
      <c r="E5652" t="str">
        <f t="shared" si="282"/>
        <v>025</v>
      </c>
      <c r="F5652" t="s">
        <v>5603</v>
      </c>
      <c r="G5652" t="str">
        <f t="shared" si="285"/>
        <v>1846</v>
      </c>
      <c r="H5652" t="str">
        <f t="shared" si="286"/>
        <v>0002</v>
      </c>
      <c r="I5652" t="s">
        <v>109</v>
      </c>
      <c r="J5652">
        <v>2</v>
      </c>
      <c r="K5652">
        <v>1</v>
      </c>
      <c r="L5652">
        <v>2</v>
      </c>
      <c r="M5652">
        <v>324</v>
      </c>
      <c r="N5652">
        <v>379</v>
      </c>
      <c r="O5652">
        <v>6</v>
      </c>
      <c r="P5652">
        <v>376</v>
      </c>
      <c r="Q5652">
        <v>19</v>
      </c>
      <c r="R5652">
        <v>29</v>
      </c>
      <c r="S5652">
        <v>34</v>
      </c>
      <c r="T5652">
        <v>3</v>
      </c>
      <c r="U5652">
        <v>14</v>
      </c>
      <c r="V5652">
        <v>8</v>
      </c>
      <c r="W5652">
        <v>13</v>
      </c>
      <c r="X5652">
        <v>190</v>
      </c>
      <c r="Y5652">
        <v>7</v>
      </c>
      <c r="Z5652">
        <v>5</v>
      </c>
      <c r="AA5652">
        <v>15</v>
      </c>
      <c r="AB5652">
        <v>26</v>
      </c>
      <c r="AD5652">
        <v>2</v>
      </c>
      <c r="AE5652">
        <v>0</v>
      </c>
      <c r="AF5652">
        <v>0</v>
      </c>
      <c r="AG5652">
        <v>1</v>
      </c>
      <c r="AI5652" t="s">
        <v>77</v>
      </c>
      <c r="AJ5652">
        <v>9</v>
      </c>
      <c r="AK5652">
        <v>376</v>
      </c>
      <c r="AL5652">
        <v>375</v>
      </c>
      <c r="AM5652">
        <v>657</v>
      </c>
      <c r="AN5652">
        <v>46</v>
      </c>
      <c r="AO5652" t="s">
        <v>78</v>
      </c>
      <c r="AP5652">
        <v>1</v>
      </c>
      <c r="AR5652" t="s">
        <v>5758</v>
      </c>
      <c r="AS5652" s="1">
        <v>44354.288888888892</v>
      </c>
      <c r="AT5652" s="1">
        <v>44354.29446759259</v>
      </c>
      <c r="AU5652" s="1">
        <v>44354.294999999998</v>
      </c>
      <c r="AV5652" t="s">
        <v>71</v>
      </c>
      <c r="AW5652" t="s">
        <v>72</v>
      </c>
      <c r="AX5652" t="s">
        <v>73</v>
      </c>
    </row>
    <row r="5653" spans="1:50" x14ac:dyDescent="0.3">
      <c r="A5653" t="str">
        <f>"201846E0203"</f>
        <v>201846E0203</v>
      </c>
      <c r="B5653" t="str">
        <f>"201846E02032"</f>
        <v>201846E02032</v>
      </c>
      <c r="C5653" t="str">
        <f t="shared" si="284"/>
        <v>20</v>
      </c>
      <c r="D5653" t="s">
        <v>67</v>
      </c>
      <c r="E5653" t="str">
        <f t="shared" si="282"/>
        <v>025</v>
      </c>
      <c r="F5653" t="s">
        <v>5603</v>
      </c>
      <c r="G5653" t="str">
        <f t="shared" si="285"/>
        <v>1846</v>
      </c>
      <c r="H5653" t="str">
        <f t="shared" si="286"/>
        <v>0002</v>
      </c>
      <c r="I5653" t="s">
        <v>109</v>
      </c>
      <c r="J5653">
        <v>3</v>
      </c>
      <c r="K5653">
        <v>1</v>
      </c>
      <c r="L5653">
        <v>2</v>
      </c>
      <c r="M5653">
        <v>338</v>
      </c>
      <c r="N5653">
        <v>365</v>
      </c>
      <c r="O5653">
        <v>7</v>
      </c>
      <c r="P5653">
        <v>365</v>
      </c>
      <c r="Q5653">
        <v>15</v>
      </c>
      <c r="R5653">
        <v>22</v>
      </c>
      <c r="S5653">
        <v>36</v>
      </c>
      <c r="T5653">
        <v>2</v>
      </c>
      <c r="U5653">
        <v>16</v>
      </c>
      <c r="V5653">
        <v>5</v>
      </c>
      <c r="W5653">
        <v>22</v>
      </c>
      <c r="X5653">
        <v>175</v>
      </c>
      <c r="Y5653">
        <v>14</v>
      </c>
      <c r="Z5653">
        <v>3</v>
      </c>
      <c r="AA5653">
        <v>20</v>
      </c>
      <c r="AB5653">
        <v>22</v>
      </c>
      <c r="AD5653">
        <v>1</v>
      </c>
      <c r="AE5653">
        <v>0</v>
      </c>
      <c r="AF5653">
        <v>0</v>
      </c>
      <c r="AG5653">
        <v>0</v>
      </c>
      <c r="AI5653">
        <v>0</v>
      </c>
      <c r="AJ5653">
        <v>13</v>
      </c>
      <c r="AK5653">
        <v>366</v>
      </c>
      <c r="AL5653">
        <v>366</v>
      </c>
      <c r="AM5653">
        <v>656</v>
      </c>
      <c r="AN5653">
        <v>46</v>
      </c>
      <c r="AP5653">
        <v>1</v>
      </c>
      <c r="AR5653" t="s">
        <v>5759</v>
      </c>
      <c r="AS5653" s="1">
        <v>44354.292361111111</v>
      </c>
      <c r="AT5653" s="1">
        <v>44354.300555555557</v>
      </c>
      <c r="AU5653" s="1">
        <v>44354.300879629627</v>
      </c>
      <c r="AV5653" t="s">
        <v>71</v>
      </c>
      <c r="AW5653" t="s">
        <v>72</v>
      </c>
      <c r="AX5653" t="s">
        <v>73</v>
      </c>
    </row>
    <row r="5654" spans="1:50" x14ac:dyDescent="0.3">
      <c r="A5654" t="str">
        <f>"201846E0204"</f>
        <v>201846E0204</v>
      </c>
      <c r="B5654" t="str">
        <f>"201846E02042"</f>
        <v>201846E02042</v>
      </c>
      <c r="C5654" t="str">
        <f t="shared" si="284"/>
        <v>20</v>
      </c>
      <c r="D5654" t="s">
        <v>67</v>
      </c>
      <c r="E5654" t="str">
        <f t="shared" si="282"/>
        <v>025</v>
      </c>
      <c r="F5654" t="s">
        <v>5603</v>
      </c>
      <c r="G5654" t="str">
        <f t="shared" si="285"/>
        <v>1846</v>
      </c>
      <c r="H5654" t="str">
        <f t="shared" si="286"/>
        <v>0002</v>
      </c>
      <c r="I5654" t="s">
        <v>109</v>
      </c>
      <c r="J5654">
        <v>4</v>
      </c>
      <c r="K5654">
        <v>1</v>
      </c>
      <c r="L5654">
        <v>2</v>
      </c>
      <c r="M5654">
        <v>331</v>
      </c>
      <c r="N5654">
        <v>368</v>
      </c>
      <c r="O5654">
        <v>11</v>
      </c>
      <c r="P5654">
        <v>369</v>
      </c>
      <c r="Q5654">
        <v>9</v>
      </c>
      <c r="R5654">
        <v>28</v>
      </c>
      <c r="S5654">
        <v>31</v>
      </c>
      <c r="T5654">
        <v>6</v>
      </c>
      <c r="U5654">
        <v>16</v>
      </c>
      <c r="V5654">
        <v>4</v>
      </c>
      <c r="W5654">
        <v>13</v>
      </c>
      <c r="X5654">
        <v>191</v>
      </c>
      <c r="Y5654">
        <v>9</v>
      </c>
      <c r="Z5654">
        <v>4</v>
      </c>
      <c r="AA5654">
        <v>23</v>
      </c>
      <c r="AB5654">
        <v>27</v>
      </c>
      <c r="AD5654">
        <v>1</v>
      </c>
      <c r="AE5654">
        <v>0</v>
      </c>
      <c r="AF5654">
        <v>0</v>
      </c>
      <c r="AG5654">
        <v>1</v>
      </c>
      <c r="AI5654">
        <v>0</v>
      </c>
      <c r="AJ5654">
        <v>6</v>
      </c>
      <c r="AK5654">
        <v>369</v>
      </c>
      <c r="AL5654">
        <v>369</v>
      </c>
      <c r="AM5654">
        <v>656</v>
      </c>
      <c r="AN5654">
        <v>46</v>
      </c>
      <c r="AP5654">
        <v>1</v>
      </c>
      <c r="AR5654" t="s">
        <v>5760</v>
      </c>
      <c r="AS5654" s="1">
        <v>44354.288194444445</v>
      </c>
      <c r="AT5654" s="1">
        <v>44354.298668981479</v>
      </c>
      <c r="AU5654" s="1">
        <v>44354.298981481479</v>
      </c>
      <c r="AV5654" t="s">
        <v>71</v>
      </c>
      <c r="AW5654" t="s">
        <v>72</v>
      </c>
      <c r="AX5654" t="s">
        <v>73</v>
      </c>
    </row>
    <row r="5655" spans="1:50" x14ac:dyDescent="0.3">
      <c r="A5655" t="str">
        <f>"201846E0205"</f>
        <v>201846E0205</v>
      </c>
      <c r="B5655" t="str">
        <f>"201846E02052"</f>
        <v>201846E02052</v>
      </c>
      <c r="C5655" t="str">
        <f t="shared" si="284"/>
        <v>20</v>
      </c>
      <c r="D5655" t="s">
        <v>67</v>
      </c>
      <c r="E5655" t="str">
        <f t="shared" si="282"/>
        <v>025</v>
      </c>
      <c r="F5655" t="s">
        <v>5603</v>
      </c>
      <c r="G5655" t="str">
        <f t="shared" si="285"/>
        <v>1846</v>
      </c>
      <c r="H5655" t="str">
        <f t="shared" si="286"/>
        <v>0002</v>
      </c>
      <c r="I5655" t="s">
        <v>109</v>
      </c>
      <c r="J5655">
        <v>5</v>
      </c>
      <c r="K5655">
        <v>1</v>
      </c>
      <c r="L5655">
        <v>2</v>
      </c>
      <c r="M5655">
        <v>338</v>
      </c>
      <c r="N5655">
        <v>362</v>
      </c>
      <c r="O5655">
        <v>16</v>
      </c>
      <c r="P5655">
        <v>363</v>
      </c>
      <c r="Q5655">
        <v>8</v>
      </c>
      <c r="R5655">
        <v>26</v>
      </c>
      <c r="S5655">
        <v>23</v>
      </c>
      <c r="T5655">
        <v>6</v>
      </c>
      <c r="U5655">
        <v>9</v>
      </c>
      <c r="V5655">
        <v>7</v>
      </c>
      <c r="W5655">
        <v>8</v>
      </c>
      <c r="X5655">
        <v>196</v>
      </c>
      <c r="Y5655">
        <v>9</v>
      </c>
      <c r="Z5655">
        <v>4</v>
      </c>
      <c r="AA5655">
        <v>24</v>
      </c>
      <c r="AB5655">
        <v>31</v>
      </c>
      <c r="AD5655" t="s">
        <v>77</v>
      </c>
      <c r="AE5655" t="s">
        <v>77</v>
      </c>
      <c r="AF5655" t="s">
        <v>77</v>
      </c>
      <c r="AG5655" t="s">
        <v>77</v>
      </c>
      <c r="AI5655" t="s">
        <v>77</v>
      </c>
      <c r="AJ5655">
        <v>12</v>
      </c>
      <c r="AK5655">
        <v>363</v>
      </c>
      <c r="AL5655">
        <v>363</v>
      </c>
      <c r="AM5655">
        <v>656</v>
      </c>
      <c r="AN5655">
        <v>46</v>
      </c>
      <c r="AO5655" t="s">
        <v>78</v>
      </c>
      <c r="AP5655">
        <v>1</v>
      </c>
      <c r="AR5655" t="s">
        <v>5761</v>
      </c>
      <c r="AS5655" s="1">
        <v>44354.290972222225</v>
      </c>
      <c r="AT5655" s="1">
        <v>44354.302106481482</v>
      </c>
      <c r="AU5655" s="1">
        <v>44354.303877314815</v>
      </c>
      <c r="AV5655" t="s">
        <v>71</v>
      </c>
      <c r="AW5655" t="s">
        <v>72</v>
      </c>
      <c r="AX5655" t="s">
        <v>73</v>
      </c>
    </row>
    <row r="5656" spans="1:50" x14ac:dyDescent="0.3">
      <c r="A5656" t="str">
        <f>"201847B0000"</f>
        <v>201847B0000</v>
      </c>
      <c r="B5656" t="str">
        <f>"201847B00002"</f>
        <v>201847B00002</v>
      </c>
      <c r="C5656" t="str">
        <f t="shared" si="284"/>
        <v>20</v>
      </c>
      <c r="D5656" t="s">
        <v>67</v>
      </c>
      <c r="E5656" t="str">
        <f t="shared" si="282"/>
        <v>025</v>
      </c>
      <c r="F5656" t="s">
        <v>5603</v>
      </c>
      <c r="G5656" t="str">
        <f>"1847"</f>
        <v>1847</v>
      </c>
      <c r="H5656" t="str">
        <f>"0000"</f>
        <v>0000</v>
      </c>
      <c r="I5656" t="s">
        <v>69</v>
      </c>
      <c r="J5656">
        <v>0</v>
      </c>
      <c r="K5656">
        <v>1</v>
      </c>
      <c r="L5656">
        <v>2</v>
      </c>
      <c r="M5656">
        <v>287</v>
      </c>
      <c r="N5656">
        <v>288</v>
      </c>
      <c r="O5656">
        <v>6</v>
      </c>
      <c r="P5656">
        <v>288</v>
      </c>
      <c r="Q5656">
        <v>22</v>
      </c>
      <c r="R5656">
        <v>46</v>
      </c>
      <c r="S5656">
        <v>28</v>
      </c>
      <c r="T5656">
        <v>6</v>
      </c>
      <c r="U5656">
        <v>8</v>
      </c>
      <c r="V5656">
        <v>5</v>
      </c>
      <c r="W5656">
        <v>5</v>
      </c>
      <c r="X5656">
        <v>108</v>
      </c>
      <c r="Y5656">
        <v>10</v>
      </c>
      <c r="Z5656">
        <v>0</v>
      </c>
      <c r="AA5656">
        <v>17</v>
      </c>
      <c r="AB5656">
        <v>25</v>
      </c>
      <c r="AD5656">
        <v>0</v>
      </c>
      <c r="AE5656">
        <v>0</v>
      </c>
      <c r="AF5656">
        <v>0</v>
      </c>
      <c r="AG5656">
        <v>0</v>
      </c>
      <c r="AI5656">
        <v>0</v>
      </c>
      <c r="AJ5656">
        <v>8</v>
      </c>
      <c r="AK5656" t="s">
        <v>99</v>
      </c>
      <c r="AL5656">
        <v>288</v>
      </c>
      <c r="AM5656">
        <v>529</v>
      </c>
      <c r="AN5656">
        <v>46</v>
      </c>
      <c r="AP5656">
        <v>1</v>
      </c>
      <c r="AR5656" t="s">
        <v>5762</v>
      </c>
      <c r="AS5656" s="1">
        <v>44354.282638888886</v>
      </c>
      <c r="AT5656" s="1">
        <v>44354.297997685186</v>
      </c>
      <c r="AU5656" s="1">
        <v>44354.298356481479</v>
      </c>
      <c r="AV5656" t="s">
        <v>71</v>
      </c>
      <c r="AW5656" t="s">
        <v>72</v>
      </c>
      <c r="AX5656" t="s">
        <v>73</v>
      </c>
    </row>
    <row r="5657" spans="1:50" x14ac:dyDescent="0.3">
      <c r="A5657" t="str">
        <f>"201847C0100"</f>
        <v>201847C0100</v>
      </c>
      <c r="B5657" t="str">
        <f>"201847C01002"</f>
        <v>201847C01002</v>
      </c>
      <c r="C5657" t="str">
        <f t="shared" si="284"/>
        <v>20</v>
      </c>
      <c r="D5657" t="s">
        <v>67</v>
      </c>
      <c r="E5657" t="str">
        <f t="shared" si="282"/>
        <v>025</v>
      </c>
      <c r="F5657" t="s">
        <v>5603</v>
      </c>
      <c r="G5657" t="str">
        <f>"1847"</f>
        <v>1847</v>
      </c>
      <c r="H5657" t="str">
        <f>"0001"</f>
        <v>0001</v>
      </c>
      <c r="I5657" t="s">
        <v>75</v>
      </c>
      <c r="J5657">
        <v>0</v>
      </c>
      <c r="K5657">
        <v>1</v>
      </c>
      <c r="L5657">
        <v>2</v>
      </c>
      <c r="M5657">
        <v>302</v>
      </c>
      <c r="N5657">
        <v>273</v>
      </c>
      <c r="O5657">
        <v>8</v>
      </c>
      <c r="P5657">
        <v>273</v>
      </c>
      <c r="Q5657">
        <v>23</v>
      </c>
      <c r="R5657">
        <v>30</v>
      </c>
      <c r="S5657">
        <v>36</v>
      </c>
      <c r="T5657">
        <v>4</v>
      </c>
      <c r="U5657">
        <v>9</v>
      </c>
      <c r="V5657">
        <v>2</v>
      </c>
      <c r="W5657">
        <v>4</v>
      </c>
      <c r="X5657">
        <v>104</v>
      </c>
      <c r="Y5657">
        <v>13</v>
      </c>
      <c r="Z5657">
        <v>3</v>
      </c>
      <c r="AA5657">
        <v>10</v>
      </c>
      <c r="AB5657">
        <v>20</v>
      </c>
      <c r="AD5657">
        <v>4</v>
      </c>
      <c r="AE5657">
        <v>0</v>
      </c>
      <c r="AF5657">
        <v>0</v>
      </c>
      <c r="AG5657">
        <v>1</v>
      </c>
      <c r="AI5657">
        <v>0</v>
      </c>
      <c r="AJ5657">
        <v>10</v>
      </c>
      <c r="AK5657">
        <v>273</v>
      </c>
      <c r="AL5657">
        <v>273</v>
      </c>
      <c r="AM5657">
        <v>529</v>
      </c>
      <c r="AN5657">
        <v>46</v>
      </c>
      <c r="AP5657">
        <v>1</v>
      </c>
      <c r="AR5657" t="s">
        <v>5763</v>
      </c>
      <c r="AS5657" s="1">
        <v>44354.283333333333</v>
      </c>
      <c r="AT5657" s="1">
        <v>44354.288680555554</v>
      </c>
      <c r="AU5657" s="1">
        <v>44354.289884259262</v>
      </c>
      <c r="AV5657" t="s">
        <v>71</v>
      </c>
      <c r="AW5657" t="s">
        <v>72</v>
      </c>
      <c r="AX5657" t="s">
        <v>73</v>
      </c>
    </row>
    <row r="5658" spans="1:50" x14ac:dyDescent="0.3">
      <c r="A5658" t="str">
        <f>"201847S0100"</f>
        <v>201847S0100</v>
      </c>
      <c r="B5658" t="str">
        <f>"201847S01002EMR"</f>
        <v>201847S01002EMR</v>
      </c>
      <c r="C5658" t="str">
        <f t="shared" si="284"/>
        <v>20</v>
      </c>
      <c r="D5658" t="s">
        <v>67</v>
      </c>
      <c r="E5658" t="str">
        <f t="shared" si="282"/>
        <v>025</v>
      </c>
      <c r="F5658" t="s">
        <v>5603</v>
      </c>
      <c r="G5658" t="str">
        <f>"1847"</f>
        <v>1847</v>
      </c>
      <c r="H5658" t="str">
        <f>"0001"</f>
        <v>0001</v>
      </c>
      <c r="I5658" t="s">
        <v>85</v>
      </c>
      <c r="J5658">
        <v>0</v>
      </c>
      <c r="K5658">
        <v>1</v>
      </c>
      <c r="L5658" t="s">
        <v>86</v>
      </c>
      <c r="M5658">
        <v>802</v>
      </c>
      <c r="N5658">
        <v>51</v>
      </c>
      <c r="O5658">
        <v>0</v>
      </c>
      <c r="P5658">
        <v>51</v>
      </c>
      <c r="Q5658">
        <v>4</v>
      </c>
      <c r="R5658">
        <v>7</v>
      </c>
      <c r="S5658">
        <v>8</v>
      </c>
      <c r="T5658">
        <v>1</v>
      </c>
      <c r="U5658">
        <v>0</v>
      </c>
      <c r="V5658">
        <v>0</v>
      </c>
      <c r="W5658">
        <v>1</v>
      </c>
      <c r="X5658">
        <v>20</v>
      </c>
      <c r="Y5658">
        <v>2</v>
      </c>
      <c r="Z5658">
        <v>0</v>
      </c>
      <c r="AA5658">
        <v>5</v>
      </c>
      <c r="AB5658">
        <v>0</v>
      </c>
      <c r="AD5658">
        <v>0</v>
      </c>
      <c r="AE5658">
        <v>0</v>
      </c>
      <c r="AF5658">
        <v>0</v>
      </c>
      <c r="AG5658">
        <v>0</v>
      </c>
      <c r="AI5658">
        <v>0</v>
      </c>
      <c r="AJ5658">
        <v>3</v>
      </c>
      <c r="AK5658">
        <v>51</v>
      </c>
      <c r="AL5658">
        <v>51</v>
      </c>
      <c r="AM5658">
        <v>0</v>
      </c>
      <c r="AN5658">
        <v>46</v>
      </c>
      <c r="AP5658">
        <v>1</v>
      </c>
      <c r="AR5658" t="s">
        <v>5764</v>
      </c>
      <c r="AS5658" s="1">
        <v>44354.368055555555</v>
      </c>
      <c r="AT5658" s="1">
        <v>44354.545266203706</v>
      </c>
      <c r="AU5658" s="1">
        <v>44354.545543981483</v>
      </c>
      <c r="AV5658" t="s">
        <v>71</v>
      </c>
      <c r="AW5658" t="s">
        <v>72</v>
      </c>
      <c r="AX5658" t="s">
        <v>73</v>
      </c>
    </row>
    <row r="5659" spans="1:50" x14ac:dyDescent="0.3">
      <c r="A5659" t="str">
        <f>"201849B0000"</f>
        <v>201849B0000</v>
      </c>
      <c r="B5659" t="str">
        <f>"201849B00002"</f>
        <v>201849B00002</v>
      </c>
      <c r="C5659" t="str">
        <f t="shared" si="284"/>
        <v>20</v>
      </c>
      <c r="D5659" t="s">
        <v>67</v>
      </c>
      <c r="E5659" t="str">
        <f t="shared" si="282"/>
        <v>025</v>
      </c>
      <c r="F5659" t="s">
        <v>5603</v>
      </c>
      <c r="G5659" t="str">
        <f>"1849"</f>
        <v>1849</v>
      </c>
      <c r="H5659" t="str">
        <f>"0000"</f>
        <v>0000</v>
      </c>
      <c r="I5659" t="s">
        <v>69</v>
      </c>
      <c r="J5659">
        <v>0</v>
      </c>
      <c r="K5659">
        <v>1</v>
      </c>
      <c r="L5659">
        <v>2</v>
      </c>
      <c r="M5659">
        <v>306</v>
      </c>
      <c r="N5659">
        <v>693</v>
      </c>
      <c r="O5659">
        <v>7</v>
      </c>
      <c r="P5659">
        <v>387</v>
      </c>
      <c r="Q5659">
        <v>11</v>
      </c>
      <c r="R5659">
        <v>36</v>
      </c>
      <c r="S5659">
        <v>65</v>
      </c>
      <c r="T5659">
        <v>8</v>
      </c>
      <c r="U5659">
        <v>13</v>
      </c>
      <c r="V5659">
        <v>6</v>
      </c>
      <c r="W5659">
        <v>4</v>
      </c>
      <c r="X5659">
        <v>180</v>
      </c>
      <c r="Y5659">
        <v>14</v>
      </c>
      <c r="Z5659">
        <v>6</v>
      </c>
      <c r="AA5659">
        <v>10</v>
      </c>
      <c r="AB5659">
        <v>24</v>
      </c>
      <c r="AD5659">
        <v>0</v>
      </c>
      <c r="AE5659">
        <v>0</v>
      </c>
      <c r="AF5659">
        <v>0</v>
      </c>
      <c r="AG5659">
        <v>0</v>
      </c>
      <c r="AI5659">
        <v>0</v>
      </c>
      <c r="AJ5659">
        <v>10</v>
      </c>
      <c r="AK5659">
        <v>387</v>
      </c>
      <c r="AL5659">
        <v>387</v>
      </c>
      <c r="AM5659">
        <v>647</v>
      </c>
      <c r="AN5659">
        <v>46</v>
      </c>
      <c r="AP5659">
        <v>1</v>
      </c>
      <c r="AR5659" t="s">
        <v>5765</v>
      </c>
      <c r="AS5659" s="1">
        <v>44354.289583333331</v>
      </c>
      <c r="AT5659" s="1">
        <v>44354.294259259259</v>
      </c>
      <c r="AU5659" s="1">
        <v>44354.294629629629</v>
      </c>
      <c r="AV5659" t="s">
        <v>71</v>
      </c>
      <c r="AW5659" t="s">
        <v>72</v>
      </c>
      <c r="AX5659" t="s">
        <v>73</v>
      </c>
    </row>
    <row r="5660" spans="1:50" x14ac:dyDescent="0.3">
      <c r="A5660" t="str">
        <f>"201849C0100"</f>
        <v>201849C0100</v>
      </c>
      <c r="B5660" t="str">
        <f>"201849C01002"</f>
        <v>201849C01002</v>
      </c>
      <c r="C5660" t="str">
        <f t="shared" si="284"/>
        <v>20</v>
      </c>
      <c r="D5660" t="s">
        <v>67</v>
      </c>
      <c r="E5660" t="str">
        <f t="shared" si="282"/>
        <v>025</v>
      </c>
      <c r="F5660" t="s">
        <v>5603</v>
      </c>
      <c r="G5660" t="str">
        <f>"1849"</f>
        <v>1849</v>
      </c>
      <c r="H5660" t="str">
        <f>"0001"</f>
        <v>0001</v>
      </c>
      <c r="I5660" t="s">
        <v>75</v>
      </c>
      <c r="J5660">
        <v>0</v>
      </c>
      <c r="K5660">
        <v>1</v>
      </c>
      <c r="L5660">
        <v>2</v>
      </c>
      <c r="M5660">
        <v>330</v>
      </c>
      <c r="N5660">
        <v>362</v>
      </c>
      <c r="O5660">
        <v>4</v>
      </c>
      <c r="P5660">
        <v>362</v>
      </c>
      <c r="Q5660">
        <v>9</v>
      </c>
      <c r="R5660">
        <v>52</v>
      </c>
      <c r="S5660">
        <v>42</v>
      </c>
      <c r="T5660">
        <v>7</v>
      </c>
      <c r="U5660">
        <v>10</v>
      </c>
      <c r="V5660">
        <v>3</v>
      </c>
      <c r="W5660">
        <v>1</v>
      </c>
      <c r="X5660">
        <v>180</v>
      </c>
      <c r="Y5660">
        <v>22</v>
      </c>
      <c r="Z5660">
        <v>3</v>
      </c>
      <c r="AA5660">
        <v>5</v>
      </c>
      <c r="AB5660">
        <v>12</v>
      </c>
      <c r="AD5660">
        <v>0</v>
      </c>
      <c r="AE5660">
        <v>0</v>
      </c>
      <c r="AF5660">
        <v>0</v>
      </c>
      <c r="AG5660">
        <v>0</v>
      </c>
      <c r="AI5660">
        <v>0</v>
      </c>
      <c r="AJ5660">
        <v>16</v>
      </c>
      <c r="AK5660">
        <v>362</v>
      </c>
      <c r="AL5660">
        <v>362</v>
      </c>
      <c r="AM5660">
        <v>647</v>
      </c>
      <c r="AN5660">
        <v>46</v>
      </c>
      <c r="AP5660">
        <v>1</v>
      </c>
      <c r="AR5660" t="s">
        <v>5766</v>
      </c>
      <c r="AS5660" s="1">
        <v>44354.289583333331</v>
      </c>
      <c r="AT5660" s="1">
        <v>44354.30060185185</v>
      </c>
      <c r="AU5660" s="1">
        <v>44354.30096064815</v>
      </c>
      <c r="AV5660" t="s">
        <v>71</v>
      </c>
      <c r="AW5660" t="s">
        <v>72</v>
      </c>
      <c r="AX5660" t="s">
        <v>73</v>
      </c>
    </row>
    <row r="5661" spans="1:50" x14ac:dyDescent="0.3">
      <c r="A5661" t="str">
        <f>"201849C0200"</f>
        <v>201849C0200</v>
      </c>
      <c r="B5661" t="str">
        <f>"201849C02002"</f>
        <v>201849C02002</v>
      </c>
      <c r="C5661" t="str">
        <f t="shared" si="284"/>
        <v>20</v>
      </c>
      <c r="D5661" t="s">
        <v>67</v>
      </c>
      <c r="E5661" t="str">
        <f t="shared" si="282"/>
        <v>025</v>
      </c>
      <c r="F5661" t="s">
        <v>5603</v>
      </c>
      <c r="G5661" t="str">
        <f>"1849"</f>
        <v>1849</v>
      </c>
      <c r="H5661" t="str">
        <f>"0002"</f>
        <v>0002</v>
      </c>
      <c r="I5661" t="s">
        <v>75</v>
      </c>
      <c r="J5661">
        <v>0</v>
      </c>
      <c r="K5661">
        <v>1</v>
      </c>
      <c r="L5661">
        <v>2</v>
      </c>
      <c r="M5661">
        <v>334</v>
      </c>
      <c r="N5661">
        <v>359</v>
      </c>
      <c r="O5661">
        <v>9</v>
      </c>
      <c r="P5661" t="s">
        <v>80</v>
      </c>
      <c r="Q5661">
        <v>14</v>
      </c>
      <c r="R5661">
        <v>47</v>
      </c>
      <c r="S5661">
        <v>40</v>
      </c>
      <c r="T5661">
        <v>6</v>
      </c>
      <c r="U5661">
        <v>19</v>
      </c>
      <c r="V5661">
        <v>8</v>
      </c>
      <c r="W5661">
        <v>3</v>
      </c>
      <c r="X5661">
        <v>161</v>
      </c>
      <c r="Y5661">
        <v>20</v>
      </c>
      <c r="Z5661">
        <v>2</v>
      </c>
      <c r="AA5661">
        <v>9</v>
      </c>
      <c r="AB5661">
        <v>8</v>
      </c>
      <c r="AD5661">
        <v>2</v>
      </c>
      <c r="AE5661">
        <v>0</v>
      </c>
      <c r="AF5661">
        <v>1</v>
      </c>
      <c r="AG5661">
        <v>1</v>
      </c>
      <c r="AI5661">
        <v>0</v>
      </c>
      <c r="AJ5661">
        <v>13</v>
      </c>
      <c r="AK5661">
        <v>354</v>
      </c>
      <c r="AL5661">
        <v>354</v>
      </c>
      <c r="AM5661">
        <v>646</v>
      </c>
      <c r="AN5661">
        <v>46</v>
      </c>
      <c r="AP5661">
        <v>1</v>
      </c>
      <c r="AR5661" t="s">
        <v>5767</v>
      </c>
      <c r="AS5661" s="1">
        <v>44354.333333333336</v>
      </c>
      <c r="AT5661" s="1">
        <v>44354.336145833331</v>
      </c>
      <c r="AU5661" s="1">
        <v>44354.336817129632</v>
      </c>
      <c r="AV5661" t="s">
        <v>71</v>
      </c>
      <c r="AW5661" t="s">
        <v>72</v>
      </c>
      <c r="AX5661" t="s">
        <v>73</v>
      </c>
    </row>
    <row r="5662" spans="1:50" x14ac:dyDescent="0.3">
      <c r="A5662" t="str">
        <f>"201850B0000"</f>
        <v>201850B0000</v>
      </c>
      <c r="B5662" t="str">
        <f>"201850B00002"</f>
        <v>201850B00002</v>
      </c>
      <c r="C5662" t="str">
        <f t="shared" si="284"/>
        <v>20</v>
      </c>
      <c r="D5662" t="s">
        <v>67</v>
      </c>
      <c r="E5662" t="str">
        <f t="shared" si="282"/>
        <v>025</v>
      </c>
      <c r="F5662" t="s">
        <v>5603</v>
      </c>
      <c r="G5662" t="str">
        <f>"1850"</f>
        <v>1850</v>
      </c>
      <c r="H5662" t="str">
        <f>"0000"</f>
        <v>0000</v>
      </c>
      <c r="I5662" t="s">
        <v>69</v>
      </c>
      <c r="J5662">
        <v>0</v>
      </c>
      <c r="K5662">
        <v>1</v>
      </c>
      <c r="L5662">
        <v>2</v>
      </c>
      <c r="M5662">
        <v>329</v>
      </c>
      <c r="N5662">
        <v>386</v>
      </c>
      <c r="O5662">
        <v>7</v>
      </c>
      <c r="P5662" t="s">
        <v>80</v>
      </c>
      <c r="Q5662">
        <v>26</v>
      </c>
      <c r="R5662">
        <v>49</v>
      </c>
      <c r="S5662">
        <v>40</v>
      </c>
      <c r="T5662">
        <v>10</v>
      </c>
      <c r="U5662">
        <v>7</v>
      </c>
      <c r="V5662">
        <v>3</v>
      </c>
      <c r="W5662">
        <v>10</v>
      </c>
      <c r="X5662">
        <v>162</v>
      </c>
      <c r="Y5662">
        <v>10</v>
      </c>
      <c r="Z5662">
        <v>3</v>
      </c>
      <c r="AA5662">
        <v>26</v>
      </c>
      <c r="AB5662">
        <v>27</v>
      </c>
      <c r="AD5662">
        <v>6</v>
      </c>
      <c r="AE5662" t="s">
        <v>77</v>
      </c>
      <c r="AF5662" t="s">
        <v>77</v>
      </c>
      <c r="AG5662" t="s">
        <v>77</v>
      </c>
      <c r="AI5662" t="s">
        <v>77</v>
      </c>
      <c r="AJ5662">
        <v>7</v>
      </c>
      <c r="AK5662">
        <v>386</v>
      </c>
      <c r="AL5662">
        <v>386</v>
      </c>
      <c r="AM5662">
        <v>669</v>
      </c>
      <c r="AN5662">
        <v>46</v>
      </c>
      <c r="AO5662" t="s">
        <v>78</v>
      </c>
      <c r="AP5662">
        <v>1</v>
      </c>
      <c r="AR5662" t="s">
        <v>5768</v>
      </c>
      <c r="AS5662" s="1">
        <v>44354.282638888886</v>
      </c>
      <c r="AT5662" s="1">
        <v>44354.287569444445</v>
      </c>
      <c r="AU5662" s="1">
        <v>44354.288773148146</v>
      </c>
      <c r="AV5662" t="s">
        <v>71</v>
      </c>
      <c r="AW5662" t="s">
        <v>72</v>
      </c>
      <c r="AX5662" t="s">
        <v>73</v>
      </c>
    </row>
    <row r="5663" spans="1:50" x14ac:dyDescent="0.3">
      <c r="A5663" t="str">
        <f>"201850C0100"</f>
        <v>201850C0100</v>
      </c>
      <c r="B5663" t="str">
        <f>"201850C01002"</f>
        <v>201850C01002</v>
      </c>
      <c r="C5663" t="str">
        <f t="shared" si="284"/>
        <v>20</v>
      </c>
      <c r="D5663" t="s">
        <v>67</v>
      </c>
      <c r="E5663" t="str">
        <f t="shared" si="282"/>
        <v>025</v>
      </c>
      <c r="F5663" t="s">
        <v>5603</v>
      </c>
      <c r="G5663" t="str">
        <f>"1850"</f>
        <v>1850</v>
      </c>
      <c r="H5663" t="str">
        <f>"0001"</f>
        <v>0001</v>
      </c>
      <c r="I5663" t="s">
        <v>75</v>
      </c>
      <c r="J5663">
        <v>0</v>
      </c>
      <c r="K5663">
        <v>1</v>
      </c>
      <c r="L5663">
        <v>2</v>
      </c>
      <c r="M5663">
        <v>374</v>
      </c>
      <c r="N5663">
        <v>343</v>
      </c>
      <c r="O5663">
        <v>3</v>
      </c>
      <c r="P5663">
        <v>340</v>
      </c>
      <c r="Q5663">
        <v>17</v>
      </c>
      <c r="R5663">
        <v>32</v>
      </c>
      <c r="S5663">
        <v>34</v>
      </c>
      <c r="T5663">
        <v>7</v>
      </c>
      <c r="U5663">
        <v>10</v>
      </c>
      <c r="V5663">
        <v>5</v>
      </c>
      <c r="W5663">
        <v>4</v>
      </c>
      <c r="X5663">
        <v>142</v>
      </c>
      <c r="Y5663">
        <v>6</v>
      </c>
      <c r="Z5663">
        <v>4</v>
      </c>
      <c r="AA5663">
        <v>34</v>
      </c>
      <c r="AB5663">
        <v>29</v>
      </c>
      <c r="AD5663">
        <v>2</v>
      </c>
      <c r="AE5663" t="s">
        <v>77</v>
      </c>
      <c r="AF5663" t="s">
        <v>77</v>
      </c>
      <c r="AG5663" t="s">
        <v>77</v>
      </c>
      <c r="AI5663" t="s">
        <v>77</v>
      </c>
      <c r="AJ5663">
        <v>14</v>
      </c>
      <c r="AK5663">
        <v>340</v>
      </c>
      <c r="AL5663">
        <v>340</v>
      </c>
      <c r="AM5663">
        <v>668</v>
      </c>
      <c r="AN5663">
        <v>46</v>
      </c>
      <c r="AO5663" t="s">
        <v>78</v>
      </c>
      <c r="AP5663">
        <v>1</v>
      </c>
      <c r="AR5663" t="s">
        <v>5769</v>
      </c>
      <c r="AS5663" s="1">
        <v>44354.282638888886</v>
      </c>
      <c r="AT5663" s="1">
        <v>44354.288136574076</v>
      </c>
      <c r="AU5663" s="1">
        <v>44354.288923611108</v>
      </c>
      <c r="AV5663" t="s">
        <v>71</v>
      </c>
      <c r="AW5663" t="s">
        <v>72</v>
      </c>
      <c r="AX5663" t="s">
        <v>73</v>
      </c>
    </row>
    <row r="5664" spans="1:50" x14ac:dyDescent="0.3">
      <c r="A5664" t="str">
        <f>"201919B0000"</f>
        <v>201919B0000</v>
      </c>
      <c r="B5664" t="str">
        <f>"201919B00002"</f>
        <v>201919B00002</v>
      </c>
      <c r="C5664" t="str">
        <f t="shared" si="284"/>
        <v>20</v>
      </c>
      <c r="D5664" t="s">
        <v>67</v>
      </c>
      <c r="E5664" t="str">
        <f t="shared" si="282"/>
        <v>025</v>
      </c>
      <c r="F5664" t="s">
        <v>5603</v>
      </c>
      <c r="G5664" t="str">
        <f>"1919"</f>
        <v>1919</v>
      </c>
      <c r="H5664" t="str">
        <f>"0000"</f>
        <v>0000</v>
      </c>
      <c r="I5664" t="s">
        <v>69</v>
      </c>
      <c r="J5664">
        <v>0</v>
      </c>
      <c r="K5664">
        <v>1</v>
      </c>
      <c r="L5664">
        <v>2</v>
      </c>
      <c r="M5664">
        <v>222</v>
      </c>
      <c r="N5664">
        <v>469</v>
      </c>
      <c r="O5664">
        <v>2</v>
      </c>
      <c r="P5664">
        <v>469</v>
      </c>
      <c r="Q5664">
        <v>75</v>
      </c>
      <c r="R5664">
        <v>86</v>
      </c>
      <c r="S5664">
        <v>14</v>
      </c>
      <c r="T5664">
        <v>26</v>
      </c>
      <c r="U5664">
        <v>54</v>
      </c>
      <c r="V5664">
        <v>2</v>
      </c>
      <c r="W5664">
        <v>36</v>
      </c>
      <c r="X5664">
        <v>124</v>
      </c>
      <c r="Y5664">
        <v>6</v>
      </c>
      <c r="Z5664">
        <v>3</v>
      </c>
      <c r="AA5664">
        <v>8</v>
      </c>
      <c r="AB5664">
        <v>12</v>
      </c>
      <c r="AD5664">
        <v>9</v>
      </c>
      <c r="AE5664">
        <v>3</v>
      </c>
      <c r="AF5664">
        <v>0</v>
      </c>
      <c r="AG5664">
        <v>0</v>
      </c>
      <c r="AI5664">
        <v>0</v>
      </c>
      <c r="AJ5664">
        <v>11</v>
      </c>
      <c r="AK5664">
        <v>469</v>
      </c>
      <c r="AL5664">
        <v>469</v>
      </c>
      <c r="AM5664">
        <v>647</v>
      </c>
      <c r="AN5664">
        <v>44</v>
      </c>
      <c r="AP5664">
        <v>1</v>
      </c>
      <c r="AR5664" t="s">
        <v>5770</v>
      </c>
      <c r="AS5664" s="1">
        <v>44354.100694444445</v>
      </c>
      <c r="AT5664" s="1">
        <v>44354.104131944441</v>
      </c>
      <c r="AU5664" s="1">
        <v>44354.104641203703</v>
      </c>
      <c r="AV5664" t="s">
        <v>71</v>
      </c>
      <c r="AW5664" t="s">
        <v>72</v>
      </c>
      <c r="AX5664" t="s">
        <v>73</v>
      </c>
    </row>
    <row r="5665" spans="1:50" x14ac:dyDescent="0.3">
      <c r="A5665" t="str">
        <f>"201919C0100"</f>
        <v>201919C0100</v>
      </c>
      <c r="B5665" t="str">
        <f>"201919C01002"</f>
        <v>201919C01002</v>
      </c>
      <c r="C5665" t="str">
        <f t="shared" si="284"/>
        <v>20</v>
      </c>
      <c r="D5665" t="s">
        <v>67</v>
      </c>
      <c r="E5665" t="str">
        <f t="shared" si="282"/>
        <v>025</v>
      </c>
      <c r="F5665" t="s">
        <v>5603</v>
      </c>
      <c r="G5665" t="str">
        <f>"1919"</f>
        <v>1919</v>
      </c>
      <c r="H5665" t="str">
        <f>"0001"</f>
        <v>0001</v>
      </c>
      <c r="I5665" t="s">
        <v>75</v>
      </c>
      <c r="J5665">
        <v>0</v>
      </c>
      <c r="K5665">
        <v>1</v>
      </c>
      <c r="L5665">
        <v>2</v>
      </c>
      <c r="M5665">
        <v>218</v>
      </c>
      <c r="N5665">
        <v>476</v>
      </c>
      <c r="O5665">
        <v>1</v>
      </c>
      <c r="P5665">
        <v>473</v>
      </c>
      <c r="Q5665">
        <v>81</v>
      </c>
      <c r="R5665">
        <v>77</v>
      </c>
      <c r="S5665">
        <v>8</v>
      </c>
      <c r="T5665">
        <v>22</v>
      </c>
      <c r="U5665">
        <v>68</v>
      </c>
      <c r="V5665">
        <v>0</v>
      </c>
      <c r="W5665">
        <v>60</v>
      </c>
      <c r="X5665">
        <v>108</v>
      </c>
      <c r="Y5665">
        <v>2</v>
      </c>
      <c r="Z5665">
        <v>0</v>
      </c>
      <c r="AA5665">
        <v>9</v>
      </c>
      <c r="AB5665">
        <v>7</v>
      </c>
      <c r="AD5665">
        <v>8</v>
      </c>
      <c r="AE5665">
        <v>4</v>
      </c>
      <c r="AF5665">
        <v>0</v>
      </c>
      <c r="AG5665">
        <v>0</v>
      </c>
      <c r="AI5665">
        <v>0</v>
      </c>
      <c r="AJ5665">
        <v>19</v>
      </c>
      <c r="AK5665">
        <v>473</v>
      </c>
      <c r="AL5665">
        <v>473</v>
      </c>
      <c r="AM5665">
        <v>647</v>
      </c>
      <c r="AN5665">
        <v>44</v>
      </c>
      <c r="AP5665">
        <v>1</v>
      </c>
      <c r="AR5665" s="2" t="s">
        <v>5771</v>
      </c>
      <c r="AS5665" s="1">
        <v>44354.101388888892</v>
      </c>
      <c r="AT5665" s="1">
        <v>44354.105381944442</v>
      </c>
      <c r="AU5665" s="1">
        <v>44354.10596064815</v>
      </c>
      <c r="AV5665" t="s">
        <v>71</v>
      </c>
      <c r="AW5665" t="s">
        <v>72</v>
      </c>
      <c r="AX5665" t="s">
        <v>73</v>
      </c>
    </row>
    <row r="5666" spans="1:50" x14ac:dyDescent="0.3">
      <c r="A5666" t="str">
        <f>"201919C0200"</f>
        <v>201919C0200</v>
      </c>
      <c r="B5666" t="str">
        <f>"201919C02002"</f>
        <v>201919C02002</v>
      </c>
      <c r="C5666" t="str">
        <f t="shared" si="284"/>
        <v>20</v>
      </c>
      <c r="D5666" t="s">
        <v>67</v>
      </c>
      <c r="E5666" t="str">
        <f t="shared" si="282"/>
        <v>025</v>
      </c>
      <c r="F5666" t="s">
        <v>5603</v>
      </c>
      <c r="G5666" t="str">
        <f>"1919"</f>
        <v>1919</v>
      </c>
      <c r="H5666" t="str">
        <f>"0002"</f>
        <v>0002</v>
      </c>
      <c r="I5666" t="s">
        <v>75</v>
      </c>
      <c r="J5666">
        <v>0</v>
      </c>
      <c r="K5666">
        <v>1</v>
      </c>
      <c r="L5666">
        <v>2</v>
      </c>
      <c r="M5666">
        <v>211</v>
      </c>
      <c r="N5666">
        <v>480</v>
      </c>
      <c r="O5666">
        <v>3</v>
      </c>
      <c r="P5666">
        <v>480</v>
      </c>
      <c r="Q5666">
        <v>55</v>
      </c>
      <c r="R5666">
        <v>71</v>
      </c>
      <c r="S5666">
        <v>9</v>
      </c>
      <c r="T5666">
        <v>28</v>
      </c>
      <c r="U5666">
        <v>84</v>
      </c>
      <c r="V5666">
        <v>1</v>
      </c>
      <c r="W5666">
        <v>48</v>
      </c>
      <c r="X5666">
        <v>131</v>
      </c>
      <c r="Y5666">
        <v>6</v>
      </c>
      <c r="Z5666">
        <v>5</v>
      </c>
      <c r="AA5666">
        <v>6</v>
      </c>
      <c r="AB5666">
        <v>5</v>
      </c>
      <c r="AD5666">
        <v>6</v>
      </c>
      <c r="AE5666">
        <v>6</v>
      </c>
      <c r="AF5666">
        <v>1</v>
      </c>
      <c r="AG5666">
        <v>1</v>
      </c>
      <c r="AI5666">
        <v>0</v>
      </c>
      <c r="AJ5666">
        <v>17</v>
      </c>
      <c r="AK5666">
        <v>480</v>
      </c>
      <c r="AL5666">
        <v>480</v>
      </c>
      <c r="AM5666">
        <v>647</v>
      </c>
      <c r="AN5666">
        <v>44</v>
      </c>
      <c r="AP5666">
        <v>1</v>
      </c>
      <c r="AR5666" t="s">
        <v>5772</v>
      </c>
      <c r="AS5666" s="1">
        <v>44354.1</v>
      </c>
      <c r="AT5666" s="1">
        <v>44354.103425925925</v>
      </c>
      <c r="AU5666" s="1">
        <v>44354.103726851848</v>
      </c>
      <c r="AV5666" t="s">
        <v>71</v>
      </c>
      <c r="AW5666" t="s">
        <v>72</v>
      </c>
      <c r="AX5666" t="s">
        <v>73</v>
      </c>
    </row>
    <row r="5667" spans="1:50" x14ac:dyDescent="0.3">
      <c r="A5667" t="str">
        <f>"201919E0100"</f>
        <v>201919E0100</v>
      </c>
      <c r="B5667" t="str">
        <f>"201919E01002"</f>
        <v>201919E01002</v>
      </c>
      <c r="C5667" t="str">
        <f t="shared" si="284"/>
        <v>20</v>
      </c>
      <c r="D5667" t="s">
        <v>67</v>
      </c>
      <c r="E5667" t="str">
        <f t="shared" si="282"/>
        <v>025</v>
      </c>
      <c r="F5667" t="s">
        <v>5603</v>
      </c>
      <c r="G5667" t="str">
        <f>"1919"</f>
        <v>1919</v>
      </c>
      <c r="H5667" t="str">
        <f>"0001"</f>
        <v>0001</v>
      </c>
      <c r="I5667" t="s">
        <v>109</v>
      </c>
      <c r="J5667">
        <v>0</v>
      </c>
      <c r="K5667">
        <v>1</v>
      </c>
      <c r="L5667">
        <v>2</v>
      </c>
      <c r="M5667">
        <v>151</v>
      </c>
      <c r="N5667">
        <v>360</v>
      </c>
      <c r="O5667">
        <v>5</v>
      </c>
      <c r="P5667">
        <v>360</v>
      </c>
      <c r="Q5667">
        <v>26</v>
      </c>
      <c r="R5667">
        <v>64</v>
      </c>
      <c r="S5667">
        <v>2</v>
      </c>
      <c r="T5667">
        <v>46</v>
      </c>
      <c r="U5667">
        <v>36</v>
      </c>
      <c r="V5667">
        <v>0</v>
      </c>
      <c r="W5667">
        <v>38</v>
      </c>
      <c r="X5667">
        <v>81</v>
      </c>
      <c r="Y5667">
        <v>37</v>
      </c>
      <c r="Z5667">
        <v>0</v>
      </c>
      <c r="AA5667">
        <v>8</v>
      </c>
      <c r="AB5667">
        <v>15</v>
      </c>
      <c r="AD5667">
        <v>0</v>
      </c>
      <c r="AE5667">
        <v>0</v>
      </c>
      <c r="AF5667">
        <v>0</v>
      </c>
      <c r="AG5667">
        <v>0</v>
      </c>
      <c r="AI5667">
        <v>0</v>
      </c>
      <c r="AJ5667">
        <v>7</v>
      </c>
      <c r="AK5667">
        <v>360</v>
      </c>
      <c r="AL5667">
        <v>360</v>
      </c>
      <c r="AM5667">
        <v>467</v>
      </c>
      <c r="AN5667">
        <v>44</v>
      </c>
      <c r="AP5667">
        <v>1</v>
      </c>
      <c r="AR5667" t="s">
        <v>5773</v>
      </c>
      <c r="AS5667" s="1">
        <v>44354.099305555559</v>
      </c>
      <c r="AT5667" s="1">
        <v>44354.101458333331</v>
      </c>
      <c r="AU5667" s="1">
        <v>44354.101782407408</v>
      </c>
      <c r="AV5667" t="s">
        <v>71</v>
      </c>
      <c r="AW5667" t="s">
        <v>72</v>
      </c>
      <c r="AX5667" t="s">
        <v>73</v>
      </c>
    </row>
    <row r="5668" spans="1:50" x14ac:dyDescent="0.3">
      <c r="A5668" t="str">
        <f>"201919E0101"</f>
        <v>201919E0101</v>
      </c>
      <c r="B5668" t="str">
        <f>"201919E01012"</f>
        <v>201919E01012</v>
      </c>
      <c r="C5668" t="str">
        <f t="shared" si="284"/>
        <v>20</v>
      </c>
      <c r="D5668" t="s">
        <v>67</v>
      </c>
      <c r="E5668" t="str">
        <f t="shared" si="282"/>
        <v>025</v>
      </c>
      <c r="F5668" t="s">
        <v>5603</v>
      </c>
      <c r="G5668" t="str">
        <f>"1919"</f>
        <v>1919</v>
      </c>
      <c r="H5668" t="str">
        <f>"0001"</f>
        <v>0001</v>
      </c>
      <c r="I5668" t="s">
        <v>109</v>
      </c>
      <c r="J5668">
        <v>1</v>
      </c>
      <c r="K5668">
        <v>1</v>
      </c>
      <c r="L5668">
        <v>2</v>
      </c>
      <c r="M5668">
        <v>159</v>
      </c>
      <c r="N5668">
        <v>351</v>
      </c>
      <c r="O5668">
        <v>6</v>
      </c>
      <c r="P5668">
        <v>351</v>
      </c>
      <c r="Q5668">
        <v>33</v>
      </c>
      <c r="R5668">
        <v>59</v>
      </c>
      <c r="S5668">
        <v>11</v>
      </c>
      <c r="T5668">
        <v>34</v>
      </c>
      <c r="U5668">
        <v>47</v>
      </c>
      <c r="V5668">
        <v>1</v>
      </c>
      <c r="W5668">
        <v>28</v>
      </c>
      <c r="X5668">
        <v>94</v>
      </c>
      <c r="Y5668">
        <v>10</v>
      </c>
      <c r="Z5668">
        <v>1</v>
      </c>
      <c r="AA5668">
        <v>3</v>
      </c>
      <c r="AB5668">
        <v>19</v>
      </c>
      <c r="AD5668">
        <v>4</v>
      </c>
      <c r="AE5668">
        <v>1</v>
      </c>
      <c r="AF5668">
        <v>0</v>
      </c>
      <c r="AG5668">
        <v>0</v>
      </c>
      <c r="AI5668">
        <v>0</v>
      </c>
      <c r="AJ5668">
        <v>6</v>
      </c>
      <c r="AK5668">
        <v>351</v>
      </c>
      <c r="AL5668">
        <v>351</v>
      </c>
      <c r="AM5668">
        <v>466</v>
      </c>
      <c r="AN5668">
        <v>44</v>
      </c>
      <c r="AP5668">
        <v>1</v>
      </c>
      <c r="AR5668" t="s">
        <v>5774</v>
      </c>
      <c r="AS5668" s="1">
        <v>44354.102083333331</v>
      </c>
      <c r="AT5668" s="1">
        <v>44354.106157407405</v>
      </c>
      <c r="AU5668" s="1">
        <v>44354.10701388889</v>
      </c>
      <c r="AV5668" t="s">
        <v>71</v>
      </c>
      <c r="AW5668" t="s">
        <v>72</v>
      </c>
      <c r="AX5668" t="s">
        <v>73</v>
      </c>
    </row>
    <row r="5669" spans="1:50" x14ac:dyDescent="0.3">
      <c r="A5669" t="str">
        <f>"201920B0000"</f>
        <v>201920B0000</v>
      </c>
      <c r="B5669" t="str">
        <f>"201920B00002"</f>
        <v>201920B00002</v>
      </c>
      <c r="C5669" t="str">
        <f t="shared" si="284"/>
        <v>20</v>
      </c>
      <c r="D5669" t="s">
        <v>67</v>
      </c>
      <c r="E5669" t="str">
        <f t="shared" si="282"/>
        <v>025</v>
      </c>
      <c r="F5669" t="s">
        <v>5603</v>
      </c>
      <c r="G5669" t="str">
        <f>"1920"</f>
        <v>1920</v>
      </c>
      <c r="H5669" t="str">
        <f>"0000"</f>
        <v>0000</v>
      </c>
      <c r="I5669" t="s">
        <v>69</v>
      </c>
      <c r="J5669">
        <v>0</v>
      </c>
      <c r="K5669">
        <v>1</v>
      </c>
      <c r="L5669">
        <v>2</v>
      </c>
      <c r="M5669">
        <v>292</v>
      </c>
      <c r="N5669">
        <v>462</v>
      </c>
      <c r="O5669">
        <v>1</v>
      </c>
      <c r="P5669">
        <v>462</v>
      </c>
      <c r="Q5669">
        <v>15</v>
      </c>
      <c r="R5669">
        <v>80</v>
      </c>
      <c r="S5669">
        <v>5</v>
      </c>
      <c r="T5669">
        <v>67</v>
      </c>
      <c r="U5669">
        <v>80</v>
      </c>
      <c r="V5669">
        <v>3</v>
      </c>
      <c r="W5669">
        <v>32</v>
      </c>
      <c r="X5669">
        <v>105</v>
      </c>
      <c r="Y5669">
        <v>3</v>
      </c>
      <c r="Z5669">
        <v>5</v>
      </c>
      <c r="AA5669">
        <v>4</v>
      </c>
      <c r="AB5669">
        <v>45</v>
      </c>
      <c r="AD5669">
        <v>1</v>
      </c>
      <c r="AE5669">
        <v>1</v>
      </c>
      <c r="AF5669">
        <v>0</v>
      </c>
      <c r="AG5669">
        <v>0</v>
      </c>
      <c r="AI5669">
        <v>0</v>
      </c>
      <c r="AJ5669">
        <v>16</v>
      </c>
      <c r="AK5669">
        <v>462</v>
      </c>
      <c r="AL5669">
        <v>462</v>
      </c>
      <c r="AM5669">
        <v>710</v>
      </c>
      <c r="AN5669">
        <v>44</v>
      </c>
      <c r="AP5669">
        <v>1</v>
      </c>
      <c r="AR5669" t="s">
        <v>5775</v>
      </c>
      <c r="AS5669" s="1">
        <v>44354.287499999999</v>
      </c>
      <c r="AT5669" s="1">
        <v>44354.485590277778</v>
      </c>
      <c r="AU5669" s="1">
        <v>44354.48646990741</v>
      </c>
      <c r="AV5669" t="s">
        <v>71</v>
      </c>
      <c r="AW5669" t="s">
        <v>72</v>
      </c>
      <c r="AX5669" t="s">
        <v>73</v>
      </c>
    </row>
    <row r="5670" spans="1:50" x14ac:dyDescent="0.3">
      <c r="A5670" t="str">
        <f>"201920C0100"</f>
        <v>201920C0100</v>
      </c>
      <c r="B5670" t="str">
        <f>"201920C01002"</f>
        <v>201920C01002</v>
      </c>
      <c r="C5670" t="str">
        <f t="shared" si="284"/>
        <v>20</v>
      </c>
      <c r="D5670" t="s">
        <v>67</v>
      </c>
      <c r="E5670" t="str">
        <f t="shared" si="282"/>
        <v>025</v>
      </c>
      <c r="F5670" t="s">
        <v>5603</v>
      </c>
      <c r="G5670" t="str">
        <f>"1920"</f>
        <v>1920</v>
      </c>
      <c r="H5670" t="str">
        <f>"0001"</f>
        <v>0001</v>
      </c>
      <c r="I5670" t="s">
        <v>75</v>
      </c>
      <c r="J5670">
        <v>0</v>
      </c>
      <c r="K5670">
        <v>1</v>
      </c>
      <c r="L5670">
        <v>2</v>
      </c>
      <c r="M5670">
        <v>254</v>
      </c>
      <c r="N5670">
        <v>500</v>
      </c>
      <c r="O5670">
        <v>4</v>
      </c>
      <c r="P5670">
        <v>500</v>
      </c>
      <c r="Q5670">
        <v>20</v>
      </c>
      <c r="R5670">
        <v>75</v>
      </c>
      <c r="S5670">
        <v>4</v>
      </c>
      <c r="T5670">
        <v>82</v>
      </c>
      <c r="U5670">
        <v>130</v>
      </c>
      <c r="V5670">
        <v>1</v>
      </c>
      <c r="W5670">
        <v>20</v>
      </c>
      <c r="X5670">
        <v>90</v>
      </c>
      <c r="Y5670">
        <v>2</v>
      </c>
      <c r="Z5670">
        <v>5</v>
      </c>
      <c r="AA5670">
        <v>9</v>
      </c>
      <c r="AB5670">
        <v>45</v>
      </c>
      <c r="AD5670">
        <v>1</v>
      </c>
      <c r="AE5670">
        <v>2</v>
      </c>
      <c r="AF5670">
        <v>0</v>
      </c>
      <c r="AG5670">
        <v>0</v>
      </c>
      <c r="AI5670">
        <v>0</v>
      </c>
      <c r="AJ5670">
        <v>14</v>
      </c>
      <c r="AK5670">
        <v>500</v>
      </c>
      <c r="AL5670">
        <v>500</v>
      </c>
      <c r="AM5670">
        <v>710</v>
      </c>
      <c r="AN5670">
        <v>44</v>
      </c>
      <c r="AP5670">
        <v>1</v>
      </c>
      <c r="AR5670" s="2" t="s">
        <v>5776</v>
      </c>
      <c r="AS5670" s="1">
        <v>44354.286805555559</v>
      </c>
      <c r="AT5670" s="1">
        <v>44354.304791666669</v>
      </c>
      <c r="AU5670" s="1">
        <v>44354.305092592593</v>
      </c>
      <c r="AV5670" t="s">
        <v>71</v>
      </c>
      <c r="AW5670" t="s">
        <v>72</v>
      </c>
      <c r="AX5670" t="s">
        <v>73</v>
      </c>
    </row>
    <row r="5671" spans="1:50" x14ac:dyDescent="0.3">
      <c r="A5671" t="str">
        <f>"201921B0000"</f>
        <v>201921B0000</v>
      </c>
      <c r="B5671" t="str">
        <f>"201921B00002"</f>
        <v>201921B00002</v>
      </c>
      <c r="C5671" t="str">
        <f t="shared" si="284"/>
        <v>20</v>
      </c>
      <c r="D5671" t="s">
        <v>67</v>
      </c>
      <c r="E5671" t="str">
        <f t="shared" si="282"/>
        <v>025</v>
      </c>
      <c r="F5671" t="s">
        <v>5603</v>
      </c>
      <c r="G5671" t="str">
        <f>"1921"</f>
        <v>1921</v>
      </c>
      <c r="H5671" t="str">
        <f>"0000"</f>
        <v>0000</v>
      </c>
      <c r="I5671" t="s">
        <v>69</v>
      </c>
      <c r="J5671">
        <v>0</v>
      </c>
      <c r="K5671">
        <v>1</v>
      </c>
      <c r="L5671">
        <v>2</v>
      </c>
      <c r="M5671">
        <v>242</v>
      </c>
      <c r="N5671">
        <v>299</v>
      </c>
      <c r="O5671">
        <v>6</v>
      </c>
      <c r="P5671">
        <v>299</v>
      </c>
      <c r="Q5671">
        <v>9</v>
      </c>
      <c r="R5671">
        <v>19</v>
      </c>
      <c r="S5671">
        <v>2</v>
      </c>
      <c r="T5671">
        <v>44</v>
      </c>
      <c r="U5671">
        <v>60</v>
      </c>
      <c r="V5671">
        <v>3</v>
      </c>
      <c r="W5671">
        <v>39</v>
      </c>
      <c r="X5671">
        <v>72</v>
      </c>
      <c r="Y5671">
        <v>4</v>
      </c>
      <c r="Z5671">
        <v>0</v>
      </c>
      <c r="AA5671">
        <v>10</v>
      </c>
      <c r="AB5671">
        <v>23</v>
      </c>
      <c r="AD5671">
        <v>0</v>
      </c>
      <c r="AE5671">
        <v>0</v>
      </c>
      <c r="AF5671">
        <v>0</v>
      </c>
      <c r="AG5671">
        <v>0</v>
      </c>
      <c r="AI5671">
        <v>0</v>
      </c>
      <c r="AJ5671">
        <v>14</v>
      </c>
      <c r="AK5671">
        <v>299</v>
      </c>
      <c r="AL5671">
        <v>299</v>
      </c>
      <c r="AM5671">
        <v>497</v>
      </c>
      <c r="AN5671">
        <v>44</v>
      </c>
      <c r="AP5671">
        <v>1</v>
      </c>
      <c r="AR5671" t="s">
        <v>5777</v>
      </c>
      <c r="AS5671" s="1">
        <v>44354.286805555559</v>
      </c>
      <c r="AT5671" s="1">
        <v>44354.301921296297</v>
      </c>
      <c r="AU5671" s="1">
        <v>44354.302997685183</v>
      </c>
      <c r="AV5671" t="s">
        <v>71</v>
      </c>
      <c r="AW5671" t="s">
        <v>72</v>
      </c>
      <c r="AX5671" t="s">
        <v>73</v>
      </c>
    </row>
    <row r="5672" spans="1:50" x14ac:dyDescent="0.3">
      <c r="A5672" t="str">
        <f>"201921C0100"</f>
        <v>201921C0100</v>
      </c>
      <c r="B5672" t="str">
        <f>"201921C01002"</f>
        <v>201921C01002</v>
      </c>
      <c r="C5672" t="str">
        <f t="shared" si="284"/>
        <v>20</v>
      </c>
      <c r="D5672" t="s">
        <v>67</v>
      </c>
      <c r="E5672" t="str">
        <f t="shared" si="282"/>
        <v>025</v>
      </c>
      <c r="F5672" t="s">
        <v>5603</v>
      </c>
      <c r="G5672" t="str">
        <f>"1921"</f>
        <v>1921</v>
      </c>
      <c r="H5672" t="str">
        <f>"0001"</f>
        <v>0001</v>
      </c>
      <c r="I5672" t="s">
        <v>75</v>
      </c>
      <c r="J5672">
        <v>0</v>
      </c>
      <c r="K5672">
        <v>1</v>
      </c>
      <c r="L5672">
        <v>2</v>
      </c>
      <c r="M5672">
        <v>240</v>
      </c>
      <c r="N5672">
        <v>300</v>
      </c>
      <c r="O5672">
        <v>7</v>
      </c>
      <c r="P5672" t="s">
        <v>80</v>
      </c>
      <c r="Q5672">
        <v>8</v>
      </c>
      <c r="R5672">
        <v>17</v>
      </c>
      <c r="S5672">
        <v>4</v>
      </c>
      <c r="T5672">
        <v>59</v>
      </c>
      <c r="U5672">
        <v>79</v>
      </c>
      <c r="V5672">
        <v>2</v>
      </c>
      <c r="W5672">
        <v>15</v>
      </c>
      <c r="X5672">
        <v>79</v>
      </c>
      <c r="Y5672">
        <v>3</v>
      </c>
      <c r="Z5672">
        <v>4</v>
      </c>
      <c r="AA5672">
        <v>7</v>
      </c>
      <c r="AB5672">
        <v>12</v>
      </c>
      <c r="AD5672" t="s">
        <v>77</v>
      </c>
      <c r="AE5672" t="s">
        <v>77</v>
      </c>
      <c r="AF5672" t="s">
        <v>77</v>
      </c>
      <c r="AG5672" t="s">
        <v>77</v>
      </c>
      <c r="AI5672" t="s">
        <v>77</v>
      </c>
      <c r="AJ5672">
        <v>12</v>
      </c>
      <c r="AK5672" t="s">
        <v>77</v>
      </c>
      <c r="AL5672">
        <v>301</v>
      </c>
      <c r="AM5672">
        <v>497</v>
      </c>
      <c r="AN5672">
        <v>44</v>
      </c>
      <c r="AO5672" t="s">
        <v>78</v>
      </c>
      <c r="AP5672">
        <v>1</v>
      </c>
      <c r="AR5672" t="s">
        <v>5778</v>
      </c>
      <c r="AS5672" s="1">
        <v>44354.286111111112</v>
      </c>
      <c r="AT5672" s="1">
        <v>44354.289143518516</v>
      </c>
      <c r="AU5672" s="1">
        <v>44354.289710648147</v>
      </c>
      <c r="AV5672" t="s">
        <v>71</v>
      </c>
      <c r="AW5672" t="s">
        <v>72</v>
      </c>
      <c r="AX5672" t="s">
        <v>73</v>
      </c>
    </row>
    <row r="5673" spans="1:50" x14ac:dyDescent="0.3">
      <c r="A5673" t="str">
        <f>"201922B0000"</f>
        <v>201922B0000</v>
      </c>
      <c r="B5673" t="str">
        <f>"201922B00002"</f>
        <v>201922B00002</v>
      </c>
      <c r="C5673" t="str">
        <f t="shared" si="284"/>
        <v>20</v>
      </c>
      <c r="D5673" t="s">
        <v>67</v>
      </c>
      <c r="E5673" t="str">
        <f t="shared" si="282"/>
        <v>025</v>
      </c>
      <c r="F5673" t="s">
        <v>5603</v>
      </c>
      <c r="G5673" t="str">
        <f>"1922"</f>
        <v>1922</v>
      </c>
      <c r="H5673" t="str">
        <f>"0000"</f>
        <v>0000</v>
      </c>
      <c r="I5673" t="s">
        <v>69</v>
      </c>
      <c r="J5673">
        <v>0</v>
      </c>
      <c r="K5673">
        <v>1</v>
      </c>
      <c r="L5673">
        <v>2</v>
      </c>
      <c r="M5673">
        <v>293</v>
      </c>
      <c r="N5673">
        <v>406</v>
      </c>
      <c r="O5673">
        <v>5</v>
      </c>
      <c r="P5673">
        <v>405</v>
      </c>
      <c r="Q5673" t="s">
        <v>99</v>
      </c>
      <c r="R5673">
        <v>34</v>
      </c>
      <c r="S5673">
        <v>5</v>
      </c>
      <c r="T5673">
        <v>74</v>
      </c>
      <c r="U5673">
        <v>111</v>
      </c>
      <c r="V5673">
        <v>3</v>
      </c>
      <c r="W5673">
        <v>25</v>
      </c>
      <c r="X5673">
        <v>82</v>
      </c>
      <c r="Y5673">
        <v>7</v>
      </c>
      <c r="Z5673">
        <v>2</v>
      </c>
      <c r="AA5673">
        <v>4</v>
      </c>
      <c r="AB5673">
        <v>10</v>
      </c>
      <c r="AD5673">
        <v>0</v>
      </c>
      <c r="AE5673">
        <v>0</v>
      </c>
      <c r="AF5673">
        <v>0</v>
      </c>
      <c r="AG5673">
        <v>0</v>
      </c>
      <c r="AI5673">
        <v>0</v>
      </c>
      <c r="AJ5673">
        <v>20</v>
      </c>
      <c r="AK5673">
        <v>405</v>
      </c>
      <c r="AL5673">
        <v>377</v>
      </c>
      <c r="AM5673">
        <v>655</v>
      </c>
      <c r="AN5673">
        <v>44</v>
      </c>
      <c r="AO5673" t="s">
        <v>78</v>
      </c>
      <c r="AP5673">
        <v>1</v>
      </c>
      <c r="AR5673" t="s">
        <v>5779</v>
      </c>
      <c r="AS5673" s="1">
        <v>44354.089583333334</v>
      </c>
      <c r="AT5673" s="1">
        <v>44354.096412037034</v>
      </c>
      <c r="AU5673" s="1">
        <v>44354.097650462965</v>
      </c>
      <c r="AV5673" t="s">
        <v>71</v>
      </c>
      <c r="AW5673" t="s">
        <v>72</v>
      </c>
      <c r="AX5673" t="s">
        <v>73</v>
      </c>
    </row>
    <row r="5674" spans="1:50" x14ac:dyDescent="0.3">
      <c r="A5674" t="str">
        <f>"201922C0100"</f>
        <v>201922C0100</v>
      </c>
      <c r="B5674" t="str">
        <f>"201922C01002"</f>
        <v>201922C01002</v>
      </c>
      <c r="C5674" t="str">
        <f t="shared" si="284"/>
        <v>20</v>
      </c>
      <c r="D5674" t="s">
        <v>67</v>
      </c>
      <c r="E5674" t="str">
        <f t="shared" si="282"/>
        <v>025</v>
      </c>
      <c r="F5674" t="s">
        <v>5603</v>
      </c>
      <c r="G5674" t="str">
        <f>"1922"</f>
        <v>1922</v>
      </c>
      <c r="H5674" t="str">
        <f>"0001"</f>
        <v>0001</v>
      </c>
      <c r="I5674" t="s">
        <v>75</v>
      </c>
      <c r="J5674">
        <v>0</v>
      </c>
      <c r="K5674">
        <v>1</v>
      </c>
      <c r="L5674">
        <v>2</v>
      </c>
      <c r="M5674">
        <v>299</v>
      </c>
      <c r="N5674">
        <v>400</v>
      </c>
      <c r="O5674">
        <v>2</v>
      </c>
      <c r="P5674">
        <v>400</v>
      </c>
      <c r="Q5674">
        <v>21</v>
      </c>
      <c r="R5674">
        <v>34</v>
      </c>
      <c r="S5674">
        <v>9</v>
      </c>
      <c r="T5674">
        <v>71</v>
      </c>
      <c r="U5674">
        <v>141</v>
      </c>
      <c r="V5674">
        <v>0</v>
      </c>
      <c r="W5674">
        <v>36</v>
      </c>
      <c r="X5674">
        <v>61</v>
      </c>
      <c r="Y5674">
        <v>3</v>
      </c>
      <c r="Z5674">
        <v>1</v>
      </c>
      <c r="AA5674">
        <v>2</v>
      </c>
      <c r="AB5674">
        <v>8</v>
      </c>
      <c r="AD5674">
        <v>0</v>
      </c>
      <c r="AE5674">
        <v>0</v>
      </c>
      <c r="AF5674">
        <v>1</v>
      </c>
      <c r="AG5674">
        <v>0</v>
      </c>
      <c r="AI5674">
        <v>0</v>
      </c>
      <c r="AJ5674">
        <v>0</v>
      </c>
      <c r="AK5674">
        <v>400</v>
      </c>
      <c r="AL5674">
        <v>388</v>
      </c>
      <c r="AM5674">
        <v>655</v>
      </c>
      <c r="AN5674">
        <v>44</v>
      </c>
      <c r="AP5674">
        <v>1</v>
      </c>
      <c r="AR5674" t="s">
        <v>5780</v>
      </c>
      <c r="AS5674" s="1">
        <v>44354.094444444447</v>
      </c>
      <c r="AT5674" s="1">
        <v>44354.098738425928</v>
      </c>
      <c r="AU5674" s="1">
        <v>44354.099629629629</v>
      </c>
      <c r="AV5674" t="s">
        <v>71</v>
      </c>
      <c r="AW5674" t="s">
        <v>72</v>
      </c>
      <c r="AX5674" t="s">
        <v>73</v>
      </c>
    </row>
    <row r="5675" spans="1:50" x14ac:dyDescent="0.3">
      <c r="A5675" t="str">
        <f>"201922C0200"</f>
        <v>201922C0200</v>
      </c>
      <c r="B5675" t="str">
        <f>"201922C02002"</f>
        <v>201922C02002</v>
      </c>
      <c r="C5675" t="str">
        <f t="shared" si="284"/>
        <v>20</v>
      </c>
      <c r="D5675" t="s">
        <v>67</v>
      </c>
      <c r="E5675" t="str">
        <f t="shared" si="282"/>
        <v>025</v>
      </c>
      <c r="F5675" t="s">
        <v>5603</v>
      </c>
      <c r="G5675" t="str">
        <f>"1922"</f>
        <v>1922</v>
      </c>
      <c r="H5675" t="str">
        <f>"0002"</f>
        <v>0002</v>
      </c>
      <c r="I5675" t="s">
        <v>75</v>
      </c>
      <c r="J5675">
        <v>0</v>
      </c>
      <c r="K5675">
        <v>1</v>
      </c>
      <c r="L5675">
        <v>2</v>
      </c>
      <c r="M5675">
        <v>284</v>
      </c>
      <c r="N5675">
        <v>414</v>
      </c>
      <c r="O5675">
        <v>4</v>
      </c>
      <c r="P5675">
        <v>414</v>
      </c>
      <c r="Q5675">
        <v>25</v>
      </c>
      <c r="R5675">
        <v>31</v>
      </c>
      <c r="S5675">
        <v>6</v>
      </c>
      <c r="T5675">
        <v>73</v>
      </c>
      <c r="U5675">
        <v>134</v>
      </c>
      <c r="V5675">
        <v>2</v>
      </c>
      <c r="W5675">
        <v>52</v>
      </c>
      <c r="X5675">
        <v>52</v>
      </c>
      <c r="Y5675">
        <v>5</v>
      </c>
      <c r="Z5675">
        <v>1</v>
      </c>
      <c r="AA5675">
        <v>5</v>
      </c>
      <c r="AB5675">
        <v>7</v>
      </c>
      <c r="AD5675">
        <v>1</v>
      </c>
      <c r="AE5675">
        <v>0</v>
      </c>
      <c r="AF5675">
        <v>0</v>
      </c>
      <c r="AG5675">
        <v>0</v>
      </c>
      <c r="AI5675">
        <v>0</v>
      </c>
      <c r="AJ5675">
        <v>20</v>
      </c>
      <c r="AK5675">
        <v>414</v>
      </c>
      <c r="AL5675">
        <v>414</v>
      </c>
      <c r="AM5675">
        <v>655</v>
      </c>
      <c r="AN5675">
        <v>44</v>
      </c>
      <c r="AP5675">
        <v>1</v>
      </c>
      <c r="AR5675" t="s">
        <v>5781</v>
      </c>
      <c r="AS5675" s="1">
        <v>44354.090277777781</v>
      </c>
      <c r="AT5675" s="1">
        <v>44354.096030092594</v>
      </c>
      <c r="AU5675" s="1">
        <v>44354.096689814818</v>
      </c>
      <c r="AV5675" t="s">
        <v>71</v>
      </c>
      <c r="AW5675" t="s">
        <v>72</v>
      </c>
      <c r="AX5675" t="s">
        <v>73</v>
      </c>
    </row>
    <row r="5676" spans="1:50" x14ac:dyDescent="0.3">
      <c r="A5676" t="str">
        <f>"201922C0300"</f>
        <v>201922C0300</v>
      </c>
      <c r="B5676" t="str">
        <f>"201922C03002"</f>
        <v>201922C03002</v>
      </c>
      <c r="C5676" t="str">
        <f t="shared" si="284"/>
        <v>20</v>
      </c>
      <c r="D5676" t="s">
        <v>67</v>
      </c>
      <c r="E5676" t="str">
        <f t="shared" si="282"/>
        <v>025</v>
      </c>
      <c r="F5676" t="s">
        <v>5603</v>
      </c>
      <c r="G5676" t="str">
        <f>"1922"</f>
        <v>1922</v>
      </c>
      <c r="H5676" t="str">
        <f>"0003"</f>
        <v>0003</v>
      </c>
      <c r="I5676" t="s">
        <v>75</v>
      </c>
      <c r="J5676">
        <v>0</v>
      </c>
      <c r="K5676">
        <v>1</v>
      </c>
      <c r="L5676">
        <v>2</v>
      </c>
      <c r="M5676" t="s">
        <v>80</v>
      </c>
      <c r="N5676" t="s">
        <v>80</v>
      </c>
      <c r="O5676" t="s">
        <v>80</v>
      </c>
      <c r="P5676" t="s">
        <v>80</v>
      </c>
      <c r="Q5676" t="s">
        <v>77</v>
      </c>
      <c r="R5676" t="s">
        <v>77</v>
      </c>
      <c r="S5676" t="s">
        <v>77</v>
      </c>
      <c r="T5676" t="s">
        <v>77</v>
      </c>
      <c r="U5676" t="s">
        <v>77</v>
      </c>
      <c r="V5676" t="s">
        <v>77</v>
      </c>
      <c r="W5676" t="s">
        <v>77</v>
      </c>
      <c r="X5676" t="s">
        <v>77</v>
      </c>
      <c r="Y5676" t="s">
        <v>77</v>
      </c>
      <c r="Z5676" t="s">
        <v>77</v>
      </c>
      <c r="AA5676" t="s">
        <v>77</v>
      </c>
      <c r="AB5676" t="s">
        <v>77</v>
      </c>
      <c r="AD5676" t="s">
        <v>77</v>
      </c>
      <c r="AE5676" t="s">
        <v>77</v>
      </c>
      <c r="AF5676" t="s">
        <v>77</v>
      </c>
      <c r="AG5676" t="s">
        <v>77</v>
      </c>
      <c r="AI5676" t="s">
        <v>77</v>
      </c>
      <c r="AJ5676" t="s">
        <v>77</v>
      </c>
      <c r="AM5676">
        <v>654</v>
      </c>
      <c r="AN5676">
        <v>44</v>
      </c>
      <c r="AO5676" t="s">
        <v>392</v>
      </c>
      <c r="AP5676">
        <v>0</v>
      </c>
      <c r="AR5676" t="s">
        <v>5782</v>
      </c>
      <c r="AS5676" s="1">
        <v>44354.088888888888</v>
      </c>
      <c r="AT5676" s="1">
        <v>44354.119780092595</v>
      </c>
      <c r="AU5676" s="1">
        <v>44354.119780092595</v>
      </c>
      <c r="AV5676" t="s">
        <v>71</v>
      </c>
      <c r="AW5676" t="s">
        <v>72</v>
      </c>
      <c r="AX5676" t="s">
        <v>73</v>
      </c>
    </row>
    <row r="5677" spans="1:50" x14ac:dyDescent="0.3">
      <c r="A5677" t="str">
        <f>"201923B0000"</f>
        <v>201923B0000</v>
      </c>
      <c r="B5677" t="str">
        <f>"201923B00002"</f>
        <v>201923B00002</v>
      </c>
      <c r="C5677" t="str">
        <f t="shared" si="284"/>
        <v>20</v>
      </c>
      <c r="D5677" t="s">
        <v>67</v>
      </c>
      <c r="E5677" t="str">
        <f t="shared" si="282"/>
        <v>025</v>
      </c>
      <c r="F5677" t="s">
        <v>5603</v>
      </c>
      <c r="G5677" t="str">
        <f>"1923"</f>
        <v>1923</v>
      </c>
      <c r="H5677" t="str">
        <f>"0000"</f>
        <v>0000</v>
      </c>
      <c r="I5677" t="s">
        <v>69</v>
      </c>
      <c r="J5677">
        <v>0</v>
      </c>
      <c r="K5677">
        <v>1</v>
      </c>
      <c r="L5677">
        <v>2</v>
      </c>
      <c r="AM5677">
        <v>612</v>
      </c>
      <c r="AN5677">
        <v>44</v>
      </c>
      <c r="AO5677" t="s">
        <v>2056</v>
      </c>
      <c r="AP5677">
        <v>0</v>
      </c>
      <c r="AR5677" t="s">
        <v>5783</v>
      </c>
      <c r="AS5677" s="1">
        <v>44354.609027777777</v>
      </c>
      <c r="AT5677" s="1">
        <v>44354.626030092593</v>
      </c>
      <c r="AU5677" s="1">
        <v>44354.626030092593</v>
      </c>
      <c r="AV5677" t="s">
        <v>71</v>
      </c>
      <c r="AW5677" t="s">
        <v>72</v>
      </c>
      <c r="AX5677" t="s">
        <v>73</v>
      </c>
    </row>
    <row r="5678" spans="1:50" x14ac:dyDescent="0.3">
      <c r="A5678" t="str">
        <f>"201923C0100"</f>
        <v>201923C0100</v>
      </c>
      <c r="B5678" t="str">
        <f>"201923C01002"</f>
        <v>201923C01002</v>
      </c>
      <c r="C5678" t="str">
        <f t="shared" si="284"/>
        <v>20</v>
      </c>
      <c r="D5678" t="s">
        <v>67</v>
      </c>
      <c r="E5678" t="str">
        <f t="shared" si="282"/>
        <v>025</v>
      </c>
      <c r="F5678" t="s">
        <v>5603</v>
      </c>
      <c r="G5678" t="str">
        <f>"1923"</f>
        <v>1923</v>
      </c>
      <c r="H5678" t="str">
        <f>"0001"</f>
        <v>0001</v>
      </c>
      <c r="I5678" t="s">
        <v>75</v>
      </c>
      <c r="J5678">
        <v>0</v>
      </c>
      <c r="K5678">
        <v>1</v>
      </c>
      <c r="L5678">
        <v>2</v>
      </c>
      <c r="M5678">
        <v>306</v>
      </c>
      <c r="N5678">
        <v>350</v>
      </c>
      <c r="O5678">
        <v>1</v>
      </c>
      <c r="P5678">
        <v>350</v>
      </c>
      <c r="Q5678">
        <v>16</v>
      </c>
      <c r="R5678">
        <v>36</v>
      </c>
      <c r="S5678">
        <v>3</v>
      </c>
      <c r="T5678">
        <v>37</v>
      </c>
      <c r="U5678">
        <v>125</v>
      </c>
      <c r="V5678">
        <v>1</v>
      </c>
      <c r="W5678">
        <v>27</v>
      </c>
      <c r="X5678">
        <v>32</v>
      </c>
      <c r="Y5678">
        <v>7</v>
      </c>
      <c r="Z5678" t="s">
        <v>99</v>
      </c>
      <c r="AA5678">
        <v>1</v>
      </c>
      <c r="AB5678">
        <v>47</v>
      </c>
      <c r="AD5678">
        <v>1</v>
      </c>
      <c r="AE5678">
        <v>1</v>
      </c>
      <c r="AF5678" t="s">
        <v>99</v>
      </c>
      <c r="AG5678" t="s">
        <v>99</v>
      </c>
      <c r="AI5678" t="s">
        <v>99</v>
      </c>
      <c r="AJ5678">
        <v>16</v>
      </c>
      <c r="AK5678">
        <v>350</v>
      </c>
      <c r="AL5678">
        <v>350</v>
      </c>
      <c r="AM5678">
        <v>612</v>
      </c>
      <c r="AN5678">
        <v>44</v>
      </c>
      <c r="AO5678" t="s">
        <v>78</v>
      </c>
      <c r="AP5678">
        <v>1</v>
      </c>
      <c r="AR5678" t="s">
        <v>5784</v>
      </c>
      <c r="AS5678" s="1">
        <v>44354.086111111108</v>
      </c>
      <c r="AT5678" s="1">
        <v>44354.093576388892</v>
      </c>
      <c r="AU5678" s="1">
        <v>44354.094629629632</v>
      </c>
      <c r="AV5678" t="s">
        <v>71</v>
      </c>
      <c r="AW5678" t="s">
        <v>72</v>
      </c>
      <c r="AX5678" t="s">
        <v>73</v>
      </c>
    </row>
    <row r="5679" spans="1:50" x14ac:dyDescent="0.3">
      <c r="A5679" t="str">
        <f>"201923E0100"</f>
        <v>201923E0100</v>
      </c>
      <c r="B5679" t="str">
        <f>"201923E01002"</f>
        <v>201923E01002</v>
      </c>
      <c r="C5679" t="str">
        <f t="shared" si="284"/>
        <v>20</v>
      </c>
      <c r="D5679" t="s">
        <v>67</v>
      </c>
      <c r="E5679" t="str">
        <f t="shared" si="282"/>
        <v>025</v>
      </c>
      <c r="F5679" t="s">
        <v>5603</v>
      </c>
      <c r="G5679" t="str">
        <f>"1923"</f>
        <v>1923</v>
      </c>
      <c r="H5679" t="str">
        <f>"0001"</f>
        <v>0001</v>
      </c>
      <c r="I5679" t="s">
        <v>109</v>
      </c>
      <c r="J5679">
        <v>0</v>
      </c>
      <c r="K5679">
        <v>1</v>
      </c>
      <c r="L5679">
        <v>2</v>
      </c>
      <c r="M5679">
        <v>168</v>
      </c>
      <c r="N5679">
        <v>255</v>
      </c>
      <c r="O5679">
        <v>5</v>
      </c>
      <c r="P5679">
        <v>255</v>
      </c>
      <c r="Q5679">
        <v>6</v>
      </c>
      <c r="R5679">
        <v>28</v>
      </c>
      <c r="S5679">
        <v>1</v>
      </c>
      <c r="T5679">
        <v>39</v>
      </c>
      <c r="U5679">
        <v>53</v>
      </c>
      <c r="V5679">
        <v>2</v>
      </c>
      <c r="W5679">
        <v>35</v>
      </c>
      <c r="X5679">
        <v>42</v>
      </c>
      <c r="Y5679">
        <v>3</v>
      </c>
      <c r="Z5679">
        <v>3</v>
      </c>
      <c r="AA5679">
        <v>1</v>
      </c>
      <c r="AB5679">
        <v>24</v>
      </c>
      <c r="AD5679">
        <v>0</v>
      </c>
      <c r="AE5679">
        <v>0</v>
      </c>
      <c r="AF5679">
        <v>0</v>
      </c>
      <c r="AG5679">
        <v>0</v>
      </c>
      <c r="AI5679">
        <v>0</v>
      </c>
      <c r="AJ5679">
        <v>18</v>
      </c>
      <c r="AK5679">
        <v>255</v>
      </c>
      <c r="AL5679">
        <v>255</v>
      </c>
      <c r="AM5679">
        <v>379</v>
      </c>
      <c r="AN5679">
        <v>44</v>
      </c>
      <c r="AP5679">
        <v>1</v>
      </c>
      <c r="AR5679" t="s">
        <v>5785</v>
      </c>
      <c r="AS5679" s="1">
        <v>44354.085416666669</v>
      </c>
      <c r="AT5679" s="1">
        <v>44354.093287037038</v>
      </c>
      <c r="AU5679" s="1">
        <v>44354.093773148146</v>
      </c>
      <c r="AV5679" t="s">
        <v>71</v>
      </c>
      <c r="AW5679" t="s">
        <v>72</v>
      </c>
      <c r="AX5679" t="s">
        <v>73</v>
      </c>
    </row>
    <row r="5680" spans="1:50" x14ac:dyDescent="0.3">
      <c r="A5680" t="str">
        <f>"201923E0101"</f>
        <v>201923E0101</v>
      </c>
      <c r="B5680" t="str">
        <f>"201923E01012"</f>
        <v>201923E01012</v>
      </c>
      <c r="C5680" t="str">
        <f t="shared" si="284"/>
        <v>20</v>
      </c>
      <c r="D5680" t="s">
        <v>67</v>
      </c>
      <c r="E5680" t="str">
        <f t="shared" si="282"/>
        <v>025</v>
      </c>
      <c r="F5680" t="s">
        <v>5603</v>
      </c>
      <c r="G5680" t="str">
        <f>"1923"</f>
        <v>1923</v>
      </c>
      <c r="H5680" t="str">
        <f>"0001"</f>
        <v>0001</v>
      </c>
      <c r="I5680" t="s">
        <v>109</v>
      </c>
      <c r="J5680">
        <v>1</v>
      </c>
      <c r="K5680">
        <v>1</v>
      </c>
      <c r="L5680">
        <v>2</v>
      </c>
      <c r="M5680">
        <v>193</v>
      </c>
      <c r="N5680">
        <v>229</v>
      </c>
      <c r="O5680">
        <v>1</v>
      </c>
      <c r="P5680">
        <v>0</v>
      </c>
      <c r="Q5680">
        <v>15</v>
      </c>
      <c r="R5680">
        <v>33</v>
      </c>
      <c r="S5680">
        <v>2</v>
      </c>
      <c r="T5680">
        <v>42</v>
      </c>
      <c r="U5680">
        <v>47</v>
      </c>
      <c r="V5680">
        <v>1</v>
      </c>
      <c r="W5680">
        <v>19</v>
      </c>
      <c r="X5680">
        <v>27</v>
      </c>
      <c r="Y5680">
        <v>6</v>
      </c>
      <c r="Z5680">
        <v>0</v>
      </c>
      <c r="AA5680">
        <v>3</v>
      </c>
      <c r="AB5680">
        <v>20</v>
      </c>
      <c r="AD5680">
        <v>1</v>
      </c>
      <c r="AE5680">
        <v>0</v>
      </c>
      <c r="AF5680">
        <v>0</v>
      </c>
      <c r="AG5680">
        <v>1</v>
      </c>
      <c r="AI5680">
        <v>0</v>
      </c>
      <c r="AJ5680">
        <v>14</v>
      </c>
      <c r="AK5680">
        <v>230</v>
      </c>
      <c r="AL5680">
        <v>231</v>
      </c>
      <c r="AM5680">
        <v>378</v>
      </c>
      <c r="AN5680">
        <v>44</v>
      </c>
      <c r="AP5680">
        <v>1</v>
      </c>
      <c r="AR5680" t="s">
        <v>5786</v>
      </c>
      <c r="AS5680" s="1">
        <v>44354.086111111108</v>
      </c>
      <c r="AT5680" s="1">
        <v>44354.100775462961</v>
      </c>
      <c r="AU5680" s="1">
        <v>44354.101180555554</v>
      </c>
      <c r="AV5680" t="s">
        <v>71</v>
      </c>
      <c r="AW5680" t="s">
        <v>72</v>
      </c>
      <c r="AX5680" t="s">
        <v>73</v>
      </c>
    </row>
    <row r="5681" spans="1:50" x14ac:dyDescent="0.3">
      <c r="A5681" t="str">
        <f>"201924B0000"</f>
        <v>201924B0000</v>
      </c>
      <c r="B5681" t="str">
        <f>"201924B00002"</f>
        <v>201924B00002</v>
      </c>
      <c r="C5681" t="str">
        <f t="shared" si="284"/>
        <v>20</v>
      </c>
      <c r="D5681" t="s">
        <v>67</v>
      </c>
      <c r="E5681" t="str">
        <f t="shared" si="282"/>
        <v>025</v>
      </c>
      <c r="F5681" t="s">
        <v>5603</v>
      </c>
      <c r="G5681" t="str">
        <f>"1924"</f>
        <v>1924</v>
      </c>
      <c r="H5681" t="str">
        <f>"0000"</f>
        <v>0000</v>
      </c>
      <c r="I5681" t="s">
        <v>69</v>
      </c>
      <c r="J5681">
        <v>0</v>
      </c>
      <c r="K5681">
        <v>1</v>
      </c>
      <c r="L5681">
        <v>2</v>
      </c>
      <c r="M5681">
        <v>267</v>
      </c>
      <c r="N5681">
        <v>315</v>
      </c>
      <c r="O5681">
        <v>4</v>
      </c>
      <c r="P5681">
        <v>315</v>
      </c>
      <c r="Q5681">
        <v>15</v>
      </c>
      <c r="R5681">
        <v>19</v>
      </c>
      <c r="S5681">
        <v>0</v>
      </c>
      <c r="T5681">
        <v>37</v>
      </c>
      <c r="U5681">
        <v>114</v>
      </c>
      <c r="V5681">
        <v>7</v>
      </c>
      <c r="W5681">
        <v>10</v>
      </c>
      <c r="X5681">
        <v>81</v>
      </c>
      <c r="Y5681">
        <v>4</v>
      </c>
      <c r="Z5681">
        <v>3</v>
      </c>
      <c r="AA5681">
        <v>6</v>
      </c>
      <c r="AB5681">
        <v>8</v>
      </c>
      <c r="AD5681">
        <v>0</v>
      </c>
      <c r="AE5681">
        <v>0</v>
      </c>
      <c r="AF5681">
        <v>0</v>
      </c>
      <c r="AG5681">
        <v>0</v>
      </c>
      <c r="AI5681">
        <v>0</v>
      </c>
      <c r="AJ5681">
        <v>11</v>
      </c>
      <c r="AK5681">
        <v>315</v>
      </c>
      <c r="AL5681">
        <v>315</v>
      </c>
      <c r="AM5681">
        <v>538</v>
      </c>
      <c r="AN5681">
        <v>44</v>
      </c>
      <c r="AP5681">
        <v>1</v>
      </c>
      <c r="AR5681" t="s">
        <v>5787</v>
      </c>
      <c r="AS5681" s="1">
        <v>44354.038888888892</v>
      </c>
      <c r="AT5681" s="1">
        <v>44354.048182870371</v>
      </c>
      <c r="AU5681" s="1">
        <v>44354.048993055556</v>
      </c>
      <c r="AV5681" t="s">
        <v>71</v>
      </c>
      <c r="AW5681" t="s">
        <v>72</v>
      </c>
      <c r="AX5681" t="s">
        <v>73</v>
      </c>
    </row>
    <row r="5682" spans="1:50" x14ac:dyDescent="0.3">
      <c r="A5682" t="str">
        <f>"201924C0100"</f>
        <v>201924C0100</v>
      </c>
      <c r="B5682" t="str">
        <f>"201924C01002"</f>
        <v>201924C01002</v>
      </c>
      <c r="C5682" t="str">
        <f t="shared" si="284"/>
        <v>20</v>
      </c>
      <c r="D5682" t="s">
        <v>67</v>
      </c>
      <c r="E5682" t="str">
        <f t="shared" si="282"/>
        <v>025</v>
      </c>
      <c r="F5682" t="s">
        <v>5603</v>
      </c>
      <c r="G5682" t="str">
        <f>"1924"</f>
        <v>1924</v>
      </c>
      <c r="H5682" t="str">
        <f>"0001"</f>
        <v>0001</v>
      </c>
      <c r="I5682" t="s">
        <v>75</v>
      </c>
      <c r="J5682">
        <v>0</v>
      </c>
      <c r="K5682">
        <v>1</v>
      </c>
      <c r="L5682">
        <v>2</v>
      </c>
      <c r="M5682">
        <v>236</v>
      </c>
      <c r="N5682">
        <v>346</v>
      </c>
      <c r="O5682">
        <v>3</v>
      </c>
      <c r="P5682">
        <v>346</v>
      </c>
      <c r="Q5682">
        <v>28</v>
      </c>
      <c r="R5682">
        <v>25</v>
      </c>
      <c r="S5682">
        <v>4</v>
      </c>
      <c r="T5682">
        <v>16</v>
      </c>
      <c r="U5682">
        <v>144</v>
      </c>
      <c r="V5682">
        <v>2</v>
      </c>
      <c r="W5682">
        <v>13</v>
      </c>
      <c r="X5682">
        <v>84</v>
      </c>
      <c r="Y5682">
        <v>4</v>
      </c>
      <c r="Z5682">
        <v>1</v>
      </c>
      <c r="AA5682">
        <v>2</v>
      </c>
      <c r="AB5682">
        <v>9</v>
      </c>
      <c r="AD5682">
        <v>1</v>
      </c>
      <c r="AE5682">
        <v>0</v>
      </c>
      <c r="AF5682">
        <v>1</v>
      </c>
      <c r="AG5682">
        <v>0</v>
      </c>
      <c r="AI5682">
        <v>0</v>
      </c>
      <c r="AJ5682">
        <v>12</v>
      </c>
      <c r="AK5682">
        <v>346</v>
      </c>
      <c r="AL5682">
        <v>346</v>
      </c>
      <c r="AM5682">
        <v>538</v>
      </c>
      <c r="AN5682">
        <v>44</v>
      </c>
      <c r="AP5682">
        <v>1</v>
      </c>
      <c r="AR5682" t="s">
        <v>5788</v>
      </c>
      <c r="AS5682" s="1">
        <v>44354.036805555559</v>
      </c>
      <c r="AT5682" s="1">
        <v>44354.430833333332</v>
      </c>
      <c r="AU5682" s="1">
        <v>44354.431956018518</v>
      </c>
      <c r="AV5682" t="s">
        <v>71</v>
      </c>
      <c r="AW5682" t="s">
        <v>72</v>
      </c>
      <c r="AX5682" t="s">
        <v>73</v>
      </c>
    </row>
    <row r="5683" spans="1:50" x14ac:dyDescent="0.3">
      <c r="A5683" t="str">
        <f>"201924E0100"</f>
        <v>201924E0100</v>
      </c>
      <c r="B5683" t="str">
        <f>"201924E01002"</f>
        <v>201924E01002</v>
      </c>
      <c r="C5683" t="str">
        <f t="shared" si="284"/>
        <v>20</v>
      </c>
      <c r="D5683" t="s">
        <v>67</v>
      </c>
      <c r="E5683" t="str">
        <f t="shared" si="282"/>
        <v>025</v>
      </c>
      <c r="F5683" t="s">
        <v>5603</v>
      </c>
      <c r="G5683" t="str">
        <f>"1924"</f>
        <v>1924</v>
      </c>
      <c r="H5683" t="str">
        <f>"0001"</f>
        <v>0001</v>
      </c>
      <c r="I5683" t="s">
        <v>109</v>
      </c>
      <c r="J5683">
        <v>0</v>
      </c>
      <c r="K5683">
        <v>1</v>
      </c>
      <c r="L5683">
        <v>2</v>
      </c>
      <c r="M5683">
        <v>172</v>
      </c>
      <c r="N5683">
        <v>262</v>
      </c>
      <c r="O5683">
        <v>5</v>
      </c>
      <c r="P5683">
        <v>262</v>
      </c>
      <c r="Q5683">
        <v>30</v>
      </c>
      <c r="R5683">
        <v>39</v>
      </c>
      <c r="S5683">
        <v>2</v>
      </c>
      <c r="T5683">
        <v>14</v>
      </c>
      <c r="U5683">
        <v>61</v>
      </c>
      <c r="V5683">
        <v>1</v>
      </c>
      <c r="W5683">
        <v>10</v>
      </c>
      <c r="X5683">
        <v>49</v>
      </c>
      <c r="Y5683">
        <v>8</v>
      </c>
      <c r="Z5683">
        <v>3</v>
      </c>
      <c r="AA5683">
        <v>2</v>
      </c>
      <c r="AB5683">
        <v>19</v>
      </c>
      <c r="AD5683">
        <v>0</v>
      </c>
      <c r="AE5683">
        <v>0</v>
      </c>
      <c r="AF5683">
        <v>0</v>
      </c>
      <c r="AG5683">
        <v>1</v>
      </c>
      <c r="AI5683" t="s">
        <v>77</v>
      </c>
      <c r="AJ5683">
        <v>23</v>
      </c>
      <c r="AK5683">
        <v>262</v>
      </c>
      <c r="AL5683">
        <v>262</v>
      </c>
      <c r="AM5683">
        <v>390</v>
      </c>
      <c r="AN5683">
        <v>44</v>
      </c>
      <c r="AO5683" t="s">
        <v>78</v>
      </c>
      <c r="AP5683">
        <v>1</v>
      </c>
      <c r="AR5683" t="s">
        <v>5789</v>
      </c>
      <c r="AS5683" s="1">
        <v>44354.038888888892</v>
      </c>
      <c r="AT5683" s="1">
        <v>44354.047962962963</v>
      </c>
      <c r="AU5683" s="1">
        <v>44354.048738425925</v>
      </c>
      <c r="AV5683" t="s">
        <v>71</v>
      </c>
      <c r="AW5683" t="s">
        <v>72</v>
      </c>
      <c r="AX5683" t="s">
        <v>73</v>
      </c>
    </row>
    <row r="5684" spans="1:50" x14ac:dyDescent="0.3">
      <c r="A5684" t="str">
        <f>"201924E0101"</f>
        <v>201924E0101</v>
      </c>
      <c r="B5684" t="str">
        <f>"201924E01012"</f>
        <v>201924E01012</v>
      </c>
      <c r="C5684" t="str">
        <f t="shared" si="284"/>
        <v>20</v>
      </c>
      <c r="D5684" t="s">
        <v>67</v>
      </c>
      <c r="E5684" t="str">
        <f t="shared" si="282"/>
        <v>025</v>
      </c>
      <c r="F5684" t="s">
        <v>5603</v>
      </c>
      <c r="G5684" t="str">
        <f>"1924"</f>
        <v>1924</v>
      </c>
      <c r="H5684" t="str">
        <f>"0001"</f>
        <v>0001</v>
      </c>
      <c r="I5684" t="s">
        <v>109</v>
      </c>
      <c r="J5684">
        <v>1</v>
      </c>
      <c r="K5684">
        <v>1</v>
      </c>
      <c r="L5684">
        <v>2</v>
      </c>
      <c r="M5684">
        <v>192</v>
      </c>
      <c r="N5684">
        <v>241</v>
      </c>
      <c r="O5684">
        <v>6</v>
      </c>
      <c r="P5684">
        <v>241</v>
      </c>
      <c r="Q5684">
        <v>24</v>
      </c>
      <c r="R5684">
        <v>32</v>
      </c>
      <c r="S5684">
        <v>1</v>
      </c>
      <c r="T5684">
        <v>20</v>
      </c>
      <c r="U5684">
        <v>46</v>
      </c>
      <c r="V5684">
        <v>1</v>
      </c>
      <c r="W5684">
        <v>21</v>
      </c>
      <c r="X5684">
        <v>60</v>
      </c>
      <c r="Y5684">
        <v>7</v>
      </c>
      <c r="Z5684">
        <v>2</v>
      </c>
      <c r="AA5684">
        <v>3</v>
      </c>
      <c r="AB5684">
        <v>18</v>
      </c>
      <c r="AD5684">
        <v>0</v>
      </c>
      <c r="AE5684">
        <v>0</v>
      </c>
      <c r="AF5684">
        <v>0</v>
      </c>
      <c r="AG5684">
        <v>0</v>
      </c>
      <c r="AI5684" t="s">
        <v>77</v>
      </c>
      <c r="AJ5684">
        <v>6</v>
      </c>
      <c r="AK5684">
        <v>241</v>
      </c>
      <c r="AL5684">
        <v>241</v>
      </c>
      <c r="AM5684">
        <v>389</v>
      </c>
      <c r="AN5684">
        <v>44</v>
      </c>
      <c r="AO5684" t="s">
        <v>78</v>
      </c>
      <c r="AP5684">
        <v>1</v>
      </c>
      <c r="AR5684" t="s">
        <v>5790</v>
      </c>
      <c r="AS5684" s="1">
        <v>44354.037499999999</v>
      </c>
      <c r="AT5684" s="1">
        <v>44354.05059027778</v>
      </c>
      <c r="AU5684" s="1">
        <v>44354.051076388889</v>
      </c>
      <c r="AV5684" t="s">
        <v>71</v>
      </c>
      <c r="AW5684" t="s">
        <v>72</v>
      </c>
      <c r="AX5684" t="s">
        <v>73</v>
      </c>
    </row>
    <row r="5685" spans="1:50" x14ac:dyDescent="0.3">
      <c r="A5685" t="str">
        <f>"201925B0000"</f>
        <v>201925B0000</v>
      </c>
      <c r="B5685" t="str">
        <f>"201925B00002"</f>
        <v>201925B00002</v>
      </c>
      <c r="C5685" t="str">
        <f t="shared" si="284"/>
        <v>20</v>
      </c>
      <c r="D5685" t="s">
        <v>67</v>
      </c>
      <c r="E5685" t="str">
        <f t="shared" si="282"/>
        <v>025</v>
      </c>
      <c r="F5685" t="s">
        <v>5603</v>
      </c>
      <c r="G5685" t="str">
        <f>"1925"</f>
        <v>1925</v>
      </c>
      <c r="H5685" t="str">
        <f>"0000"</f>
        <v>0000</v>
      </c>
      <c r="I5685" t="s">
        <v>69</v>
      </c>
      <c r="J5685">
        <v>0</v>
      </c>
      <c r="K5685">
        <v>1</v>
      </c>
      <c r="L5685">
        <v>2</v>
      </c>
      <c r="M5685">
        <v>325</v>
      </c>
      <c r="N5685">
        <v>435</v>
      </c>
      <c r="O5685">
        <v>1</v>
      </c>
      <c r="P5685" t="s">
        <v>80</v>
      </c>
      <c r="Q5685">
        <v>51</v>
      </c>
      <c r="R5685">
        <v>61</v>
      </c>
      <c r="S5685">
        <v>7</v>
      </c>
      <c r="T5685">
        <v>28</v>
      </c>
      <c r="U5685">
        <v>68</v>
      </c>
      <c r="V5685">
        <v>4</v>
      </c>
      <c r="W5685">
        <v>45</v>
      </c>
      <c r="X5685">
        <v>93</v>
      </c>
      <c r="Y5685">
        <v>21</v>
      </c>
      <c r="Z5685">
        <v>1</v>
      </c>
      <c r="AA5685">
        <v>2</v>
      </c>
      <c r="AB5685">
        <v>23</v>
      </c>
      <c r="AD5685">
        <v>5</v>
      </c>
      <c r="AE5685">
        <v>4</v>
      </c>
      <c r="AF5685">
        <v>1</v>
      </c>
      <c r="AG5685">
        <v>1</v>
      </c>
      <c r="AI5685" t="s">
        <v>77</v>
      </c>
      <c r="AJ5685">
        <v>20</v>
      </c>
      <c r="AK5685">
        <v>435</v>
      </c>
      <c r="AL5685">
        <v>435</v>
      </c>
      <c r="AM5685">
        <v>716</v>
      </c>
      <c r="AN5685">
        <v>44</v>
      </c>
      <c r="AO5685" t="s">
        <v>78</v>
      </c>
      <c r="AP5685">
        <v>1</v>
      </c>
      <c r="AR5685" t="s">
        <v>5791</v>
      </c>
      <c r="AS5685" s="1">
        <v>44354.128472222219</v>
      </c>
      <c r="AT5685" s="1">
        <v>44354.131307870368</v>
      </c>
      <c r="AU5685" s="1">
        <v>44354.131967592592</v>
      </c>
      <c r="AV5685" t="s">
        <v>71</v>
      </c>
      <c r="AW5685" t="s">
        <v>72</v>
      </c>
      <c r="AX5685" t="s">
        <v>73</v>
      </c>
    </row>
    <row r="5686" spans="1:50" x14ac:dyDescent="0.3">
      <c r="A5686" t="str">
        <f>"201925C0100"</f>
        <v>201925C0100</v>
      </c>
      <c r="B5686" t="str">
        <f>"201925C01002"</f>
        <v>201925C01002</v>
      </c>
      <c r="C5686" t="str">
        <f t="shared" si="284"/>
        <v>20</v>
      </c>
      <c r="D5686" t="s">
        <v>67</v>
      </c>
      <c r="E5686" t="str">
        <f t="shared" si="282"/>
        <v>025</v>
      </c>
      <c r="F5686" t="s">
        <v>5603</v>
      </c>
      <c r="G5686" t="str">
        <f>"1925"</f>
        <v>1925</v>
      </c>
      <c r="H5686" t="str">
        <f>"0001"</f>
        <v>0001</v>
      </c>
      <c r="I5686" t="s">
        <v>75</v>
      </c>
      <c r="J5686">
        <v>0</v>
      </c>
      <c r="K5686">
        <v>1</v>
      </c>
      <c r="L5686">
        <v>2</v>
      </c>
      <c r="M5686">
        <v>336</v>
      </c>
      <c r="N5686">
        <v>423</v>
      </c>
      <c r="O5686">
        <v>2</v>
      </c>
      <c r="P5686">
        <v>423</v>
      </c>
      <c r="Q5686">
        <v>42</v>
      </c>
      <c r="R5686">
        <v>56</v>
      </c>
      <c r="S5686">
        <v>5</v>
      </c>
      <c r="T5686">
        <v>24</v>
      </c>
      <c r="U5686">
        <v>75</v>
      </c>
      <c r="V5686">
        <v>2</v>
      </c>
      <c r="W5686">
        <v>63</v>
      </c>
      <c r="X5686">
        <v>86</v>
      </c>
      <c r="Y5686">
        <v>7</v>
      </c>
      <c r="Z5686">
        <v>3</v>
      </c>
      <c r="AA5686">
        <v>8</v>
      </c>
      <c r="AB5686">
        <v>29</v>
      </c>
      <c r="AD5686">
        <v>5</v>
      </c>
      <c r="AE5686">
        <v>3</v>
      </c>
      <c r="AF5686">
        <v>2</v>
      </c>
      <c r="AG5686">
        <v>0</v>
      </c>
      <c r="AI5686">
        <v>0</v>
      </c>
      <c r="AJ5686">
        <v>13</v>
      </c>
      <c r="AK5686">
        <v>423</v>
      </c>
      <c r="AL5686">
        <v>423</v>
      </c>
      <c r="AM5686">
        <v>715</v>
      </c>
      <c r="AN5686">
        <v>44</v>
      </c>
      <c r="AP5686">
        <v>1</v>
      </c>
      <c r="AR5686" t="s">
        <v>5792</v>
      </c>
      <c r="AS5686" s="1">
        <v>44354.128472222219</v>
      </c>
      <c r="AT5686" s="1">
        <v>44354.131423611114</v>
      </c>
      <c r="AU5686" s="1">
        <v>44354.131944444445</v>
      </c>
      <c r="AV5686" t="s">
        <v>71</v>
      </c>
      <c r="AW5686" t="s">
        <v>72</v>
      </c>
      <c r="AX5686" t="s">
        <v>73</v>
      </c>
    </row>
    <row r="5687" spans="1:50" x14ac:dyDescent="0.3">
      <c r="A5687" t="str">
        <f>"201925E0100"</f>
        <v>201925E0100</v>
      </c>
      <c r="B5687" t="str">
        <f>"201925E01002"</f>
        <v>201925E01002</v>
      </c>
      <c r="C5687" t="str">
        <f t="shared" si="284"/>
        <v>20</v>
      </c>
      <c r="D5687" t="s">
        <v>67</v>
      </c>
      <c r="E5687" t="str">
        <f t="shared" si="282"/>
        <v>025</v>
      </c>
      <c r="F5687" t="s">
        <v>5603</v>
      </c>
      <c r="G5687" t="str">
        <f>"1925"</f>
        <v>1925</v>
      </c>
      <c r="H5687" t="str">
        <f>"0001"</f>
        <v>0001</v>
      </c>
      <c r="I5687" t="s">
        <v>109</v>
      </c>
      <c r="J5687">
        <v>0</v>
      </c>
      <c r="K5687">
        <v>1</v>
      </c>
      <c r="L5687">
        <v>2</v>
      </c>
      <c r="M5687" t="s">
        <v>99</v>
      </c>
      <c r="N5687">
        <v>468</v>
      </c>
      <c r="O5687">
        <v>8</v>
      </c>
      <c r="P5687">
        <v>468</v>
      </c>
      <c r="Q5687">
        <v>81</v>
      </c>
      <c r="R5687">
        <v>74</v>
      </c>
      <c r="S5687">
        <v>8</v>
      </c>
      <c r="T5687">
        <v>67</v>
      </c>
      <c r="U5687">
        <v>27</v>
      </c>
      <c r="V5687">
        <v>3</v>
      </c>
      <c r="W5687">
        <v>62</v>
      </c>
      <c r="X5687">
        <v>102</v>
      </c>
      <c r="Y5687">
        <v>5</v>
      </c>
      <c r="Z5687">
        <v>1</v>
      </c>
      <c r="AA5687">
        <v>2</v>
      </c>
      <c r="AB5687">
        <v>21</v>
      </c>
      <c r="AD5687">
        <v>6</v>
      </c>
      <c r="AE5687">
        <v>1</v>
      </c>
      <c r="AF5687">
        <v>0</v>
      </c>
      <c r="AG5687">
        <v>0</v>
      </c>
      <c r="AI5687">
        <v>0</v>
      </c>
      <c r="AJ5687">
        <v>8</v>
      </c>
      <c r="AK5687">
        <v>468</v>
      </c>
      <c r="AL5687">
        <v>468</v>
      </c>
      <c r="AM5687">
        <v>705</v>
      </c>
      <c r="AN5687">
        <v>44</v>
      </c>
      <c r="AP5687">
        <v>1</v>
      </c>
      <c r="AR5687" t="s">
        <v>5793</v>
      </c>
      <c r="AS5687" s="1">
        <v>44354.127083333333</v>
      </c>
      <c r="AT5687" s="1">
        <v>44354.131655092591</v>
      </c>
      <c r="AU5687" s="1">
        <v>44354.132280092592</v>
      </c>
      <c r="AV5687" t="s">
        <v>71</v>
      </c>
      <c r="AW5687" t="s">
        <v>72</v>
      </c>
      <c r="AX5687" t="s">
        <v>73</v>
      </c>
    </row>
    <row r="5688" spans="1:50" x14ac:dyDescent="0.3">
      <c r="A5688" t="str">
        <f>"201925E0200"</f>
        <v>201925E0200</v>
      </c>
      <c r="B5688" t="str">
        <f>"201925E02002"</f>
        <v>201925E02002</v>
      </c>
      <c r="C5688" t="str">
        <f t="shared" si="284"/>
        <v>20</v>
      </c>
      <c r="D5688" t="s">
        <v>67</v>
      </c>
      <c r="E5688" t="str">
        <f t="shared" si="282"/>
        <v>025</v>
      </c>
      <c r="F5688" t="s">
        <v>5603</v>
      </c>
      <c r="G5688" t="str">
        <f>"1925"</f>
        <v>1925</v>
      </c>
      <c r="H5688" t="str">
        <f>"0002"</f>
        <v>0002</v>
      </c>
      <c r="I5688" t="s">
        <v>109</v>
      </c>
      <c r="J5688">
        <v>0</v>
      </c>
      <c r="K5688">
        <v>1</v>
      </c>
      <c r="L5688">
        <v>2</v>
      </c>
      <c r="M5688">
        <v>108</v>
      </c>
      <c r="N5688">
        <v>234</v>
      </c>
      <c r="O5688">
        <v>5</v>
      </c>
      <c r="P5688">
        <v>234</v>
      </c>
      <c r="Q5688">
        <v>4</v>
      </c>
      <c r="R5688">
        <v>24</v>
      </c>
      <c r="S5688">
        <v>2</v>
      </c>
      <c r="T5688">
        <v>34</v>
      </c>
      <c r="U5688">
        <v>86</v>
      </c>
      <c r="V5688">
        <v>3</v>
      </c>
      <c r="W5688">
        <v>40</v>
      </c>
      <c r="X5688">
        <v>15</v>
      </c>
      <c r="Y5688">
        <v>6</v>
      </c>
      <c r="Z5688">
        <v>2</v>
      </c>
      <c r="AA5688">
        <v>2</v>
      </c>
      <c r="AB5688">
        <v>1</v>
      </c>
      <c r="AD5688">
        <v>0</v>
      </c>
      <c r="AE5688">
        <v>1</v>
      </c>
      <c r="AF5688">
        <v>0</v>
      </c>
      <c r="AG5688">
        <v>0</v>
      </c>
      <c r="AI5688">
        <v>0</v>
      </c>
      <c r="AJ5688">
        <v>14</v>
      </c>
      <c r="AK5688" t="s">
        <v>77</v>
      </c>
      <c r="AL5688">
        <v>234</v>
      </c>
      <c r="AM5688">
        <v>298</v>
      </c>
      <c r="AN5688">
        <v>44</v>
      </c>
      <c r="AP5688">
        <v>1</v>
      </c>
      <c r="AR5688" t="s">
        <v>5794</v>
      </c>
      <c r="AS5688" s="1">
        <v>44354.127083333333</v>
      </c>
      <c r="AT5688" s="1">
        <v>44354.130393518521</v>
      </c>
      <c r="AU5688" s="1">
        <v>44354.131319444445</v>
      </c>
      <c r="AV5688" t="s">
        <v>71</v>
      </c>
      <c r="AW5688" t="s">
        <v>72</v>
      </c>
      <c r="AX5688" t="s">
        <v>73</v>
      </c>
    </row>
    <row r="5689" spans="1:50" x14ac:dyDescent="0.3">
      <c r="A5689" t="str">
        <f>"201926B0000"</f>
        <v>201926B0000</v>
      </c>
      <c r="B5689" t="str">
        <f>"201926B00002"</f>
        <v>201926B00002</v>
      </c>
      <c r="C5689" t="str">
        <f t="shared" si="284"/>
        <v>20</v>
      </c>
      <c r="D5689" t="s">
        <v>67</v>
      </c>
      <c r="E5689" t="str">
        <f t="shared" si="282"/>
        <v>025</v>
      </c>
      <c r="F5689" t="s">
        <v>5603</v>
      </c>
      <c r="G5689" t="str">
        <f>"1926"</f>
        <v>1926</v>
      </c>
      <c r="H5689" t="str">
        <f>"0000"</f>
        <v>0000</v>
      </c>
      <c r="I5689" t="s">
        <v>69</v>
      </c>
      <c r="J5689">
        <v>0</v>
      </c>
      <c r="K5689">
        <v>1</v>
      </c>
      <c r="L5689">
        <v>2</v>
      </c>
      <c r="M5689">
        <v>173</v>
      </c>
      <c r="N5689">
        <v>378</v>
      </c>
      <c r="O5689">
        <v>4</v>
      </c>
      <c r="P5689">
        <v>378</v>
      </c>
      <c r="Q5689">
        <v>50</v>
      </c>
      <c r="R5689">
        <v>41</v>
      </c>
      <c r="S5689">
        <v>3</v>
      </c>
      <c r="T5689">
        <v>38</v>
      </c>
      <c r="U5689">
        <v>53</v>
      </c>
      <c r="V5689">
        <v>3</v>
      </c>
      <c r="W5689">
        <v>51</v>
      </c>
      <c r="X5689">
        <v>98</v>
      </c>
      <c r="Y5689">
        <v>3</v>
      </c>
      <c r="Z5689">
        <v>8</v>
      </c>
      <c r="AA5689">
        <v>6</v>
      </c>
      <c r="AB5689">
        <v>10</v>
      </c>
      <c r="AD5689">
        <v>4</v>
      </c>
      <c r="AE5689">
        <v>3</v>
      </c>
      <c r="AF5689">
        <v>0</v>
      </c>
      <c r="AG5689">
        <v>0</v>
      </c>
      <c r="AI5689">
        <v>0</v>
      </c>
      <c r="AJ5689">
        <v>7</v>
      </c>
      <c r="AK5689">
        <v>378</v>
      </c>
      <c r="AL5689">
        <v>378</v>
      </c>
      <c r="AM5689">
        <v>507</v>
      </c>
      <c r="AN5689">
        <v>44</v>
      </c>
      <c r="AP5689">
        <v>1</v>
      </c>
      <c r="AR5689" t="s">
        <v>5795</v>
      </c>
      <c r="AS5689" s="1">
        <v>44354.060416666667</v>
      </c>
      <c r="AT5689" s="1">
        <v>44354.080277777779</v>
      </c>
      <c r="AU5689" s="1">
        <v>44354.081747685188</v>
      </c>
      <c r="AV5689" t="s">
        <v>71</v>
      </c>
      <c r="AW5689" t="s">
        <v>72</v>
      </c>
      <c r="AX5689" t="s">
        <v>73</v>
      </c>
    </row>
    <row r="5690" spans="1:50" x14ac:dyDescent="0.3">
      <c r="A5690" t="str">
        <f>"201926C0100"</f>
        <v>201926C0100</v>
      </c>
      <c r="B5690" t="str">
        <f>"201926C01002"</f>
        <v>201926C01002</v>
      </c>
      <c r="C5690" t="str">
        <f t="shared" si="284"/>
        <v>20</v>
      </c>
      <c r="D5690" t="s">
        <v>67</v>
      </c>
      <c r="E5690" t="str">
        <f t="shared" ref="E5690:E5718" si="287">"025"</f>
        <v>025</v>
      </c>
      <c r="F5690" t="s">
        <v>5603</v>
      </c>
      <c r="G5690" t="str">
        <f>"1926"</f>
        <v>1926</v>
      </c>
      <c r="H5690" t="str">
        <f>"0001"</f>
        <v>0001</v>
      </c>
      <c r="I5690" t="s">
        <v>75</v>
      </c>
      <c r="J5690">
        <v>0</v>
      </c>
      <c r="K5690">
        <v>1</v>
      </c>
      <c r="L5690">
        <v>2</v>
      </c>
      <c r="M5690" t="s">
        <v>99</v>
      </c>
      <c r="N5690" t="s">
        <v>80</v>
      </c>
      <c r="O5690" t="s">
        <v>80</v>
      </c>
      <c r="P5690" t="s">
        <v>80</v>
      </c>
      <c r="Q5690">
        <v>64</v>
      </c>
      <c r="R5690">
        <v>61</v>
      </c>
      <c r="S5690">
        <v>7</v>
      </c>
      <c r="T5690">
        <v>29</v>
      </c>
      <c r="U5690">
        <v>21</v>
      </c>
      <c r="V5690">
        <v>3</v>
      </c>
      <c r="W5690">
        <v>50</v>
      </c>
      <c r="X5690">
        <v>101</v>
      </c>
      <c r="Y5690">
        <v>2</v>
      </c>
      <c r="Z5690">
        <v>6</v>
      </c>
      <c r="AA5690">
        <v>2</v>
      </c>
      <c r="AB5690">
        <v>5</v>
      </c>
      <c r="AD5690">
        <v>13</v>
      </c>
      <c r="AE5690">
        <v>5</v>
      </c>
      <c r="AF5690">
        <v>0</v>
      </c>
      <c r="AG5690">
        <v>0</v>
      </c>
      <c r="AI5690">
        <v>0</v>
      </c>
      <c r="AJ5690">
        <v>13</v>
      </c>
      <c r="AK5690">
        <v>382</v>
      </c>
      <c r="AL5690">
        <v>382</v>
      </c>
      <c r="AM5690">
        <v>507</v>
      </c>
      <c r="AN5690">
        <v>44</v>
      </c>
      <c r="AP5690">
        <v>1</v>
      </c>
      <c r="AR5690" t="s">
        <v>5796</v>
      </c>
      <c r="AS5690" s="1">
        <v>44354.05972222222</v>
      </c>
      <c r="AT5690" s="1">
        <v>44354.081342592595</v>
      </c>
      <c r="AU5690" s="1">
        <v>44354.081817129627</v>
      </c>
      <c r="AV5690" t="s">
        <v>71</v>
      </c>
      <c r="AW5690" t="s">
        <v>72</v>
      </c>
      <c r="AX5690" t="s">
        <v>73</v>
      </c>
    </row>
    <row r="5691" spans="1:50" x14ac:dyDescent="0.3">
      <c r="A5691" t="str">
        <f>"201926C0200"</f>
        <v>201926C0200</v>
      </c>
      <c r="B5691" t="str">
        <f>"201926C02002"</f>
        <v>201926C02002</v>
      </c>
      <c r="C5691" t="str">
        <f t="shared" si="284"/>
        <v>20</v>
      </c>
      <c r="D5691" t="s">
        <v>67</v>
      </c>
      <c r="E5691" t="str">
        <f t="shared" si="287"/>
        <v>025</v>
      </c>
      <c r="F5691" t="s">
        <v>5603</v>
      </c>
      <c r="G5691" t="str">
        <f>"1926"</f>
        <v>1926</v>
      </c>
      <c r="H5691" t="str">
        <f>"0002"</f>
        <v>0002</v>
      </c>
      <c r="I5691" t="s">
        <v>75</v>
      </c>
      <c r="J5691">
        <v>0</v>
      </c>
      <c r="K5691">
        <v>1</v>
      </c>
      <c r="L5691">
        <v>2</v>
      </c>
      <c r="M5691">
        <v>198</v>
      </c>
      <c r="N5691">
        <v>352</v>
      </c>
      <c r="O5691">
        <v>1</v>
      </c>
      <c r="P5691">
        <v>352</v>
      </c>
      <c r="Q5691">
        <v>72</v>
      </c>
      <c r="R5691">
        <v>38</v>
      </c>
      <c r="S5691">
        <v>3</v>
      </c>
      <c r="T5691">
        <v>33</v>
      </c>
      <c r="U5691">
        <v>26</v>
      </c>
      <c r="V5691">
        <v>3</v>
      </c>
      <c r="W5691">
        <v>53</v>
      </c>
      <c r="X5691">
        <v>94</v>
      </c>
      <c r="Y5691">
        <v>3</v>
      </c>
      <c r="Z5691">
        <v>2</v>
      </c>
      <c r="AA5691">
        <v>1</v>
      </c>
      <c r="AB5691">
        <v>2</v>
      </c>
      <c r="AD5691">
        <v>6</v>
      </c>
      <c r="AE5691">
        <v>3</v>
      </c>
      <c r="AF5691">
        <v>0</v>
      </c>
      <c r="AG5691">
        <v>0</v>
      </c>
      <c r="AI5691">
        <v>0</v>
      </c>
      <c r="AJ5691">
        <v>13</v>
      </c>
      <c r="AK5691">
        <v>352</v>
      </c>
      <c r="AL5691">
        <v>352</v>
      </c>
      <c r="AM5691">
        <v>506</v>
      </c>
      <c r="AN5691">
        <v>44</v>
      </c>
      <c r="AP5691">
        <v>1</v>
      </c>
      <c r="AR5691" t="s">
        <v>5797</v>
      </c>
      <c r="AS5691" s="1">
        <v>44354.061111111114</v>
      </c>
      <c r="AT5691" s="1">
        <v>44354.068530092591</v>
      </c>
      <c r="AU5691" s="1">
        <v>44354.068888888891</v>
      </c>
      <c r="AV5691" t="s">
        <v>71</v>
      </c>
      <c r="AW5691" t="s">
        <v>72</v>
      </c>
      <c r="AX5691" t="s">
        <v>73</v>
      </c>
    </row>
    <row r="5692" spans="1:50" x14ac:dyDescent="0.3">
      <c r="A5692" t="str">
        <f>"202176B0000"</f>
        <v>202176B0000</v>
      </c>
      <c r="B5692" t="str">
        <f>"202176B00002"</f>
        <v>202176B00002</v>
      </c>
      <c r="C5692" t="str">
        <f t="shared" si="284"/>
        <v>20</v>
      </c>
      <c r="D5692" t="s">
        <v>67</v>
      </c>
      <c r="E5692" t="str">
        <f t="shared" si="287"/>
        <v>025</v>
      </c>
      <c r="F5692" t="s">
        <v>5603</v>
      </c>
      <c r="G5692" t="str">
        <f>"2176"</f>
        <v>2176</v>
      </c>
      <c r="H5692" t="str">
        <f>"0000"</f>
        <v>0000</v>
      </c>
      <c r="I5692" t="s">
        <v>69</v>
      </c>
      <c r="J5692">
        <v>0</v>
      </c>
      <c r="K5692">
        <v>1</v>
      </c>
      <c r="L5692">
        <v>2</v>
      </c>
      <c r="M5692">
        <v>515</v>
      </c>
      <c r="N5692">
        <v>226</v>
      </c>
      <c r="O5692">
        <v>0</v>
      </c>
      <c r="P5692">
        <v>226</v>
      </c>
      <c r="Q5692">
        <v>9</v>
      </c>
      <c r="R5692">
        <v>21</v>
      </c>
      <c r="S5692">
        <v>1</v>
      </c>
      <c r="T5692">
        <v>3</v>
      </c>
      <c r="U5692">
        <v>94</v>
      </c>
      <c r="V5692">
        <v>1</v>
      </c>
      <c r="W5692">
        <v>0</v>
      </c>
      <c r="X5692">
        <v>72</v>
      </c>
      <c r="Y5692">
        <v>3</v>
      </c>
      <c r="Z5692">
        <v>4</v>
      </c>
      <c r="AA5692">
        <v>3</v>
      </c>
      <c r="AB5692">
        <v>1</v>
      </c>
      <c r="AD5692">
        <v>0</v>
      </c>
      <c r="AE5692">
        <v>1</v>
      </c>
      <c r="AF5692">
        <v>0</v>
      </c>
      <c r="AG5692">
        <v>0</v>
      </c>
      <c r="AI5692">
        <v>0</v>
      </c>
      <c r="AJ5692">
        <v>13</v>
      </c>
      <c r="AK5692">
        <v>226</v>
      </c>
      <c r="AL5692">
        <v>226</v>
      </c>
      <c r="AM5692">
        <v>697</v>
      </c>
      <c r="AN5692">
        <v>44</v>
      </c>
      <c r="AP5692">
        <v>1</v>
      </c>
      <c r="AR5692" t="s">
        <v>5798</v>
      </c>
      <c r="AS5692" s="1">
        <v>44353.961111111108</v>
      </c>
      <c r="AT5692" s="1">
        <v>44353.963125000002</v>
      </c>
      <c r="AU5692" s="1">
        <v>44353.96365740741</v>
      </c>
      <c r="AV5692" t="s">
        <v>71</v>
      </c>
      <c r="AW5692" t="s">
        <v>72</v>
      </c>
      <c r="AX5692" t="s">
        <v>73</v>
      </c>
    </row>
    <row r="5693" spans="1:50" x14ac:dyDescent="0.3">
      <c r="A5693" t="str">
        <f>"202176C0100"</f>
        <v>202176C0100</v>
      </c>
      <c r="B5693" t="str">
        <f>"202176C01002"</f>
        <v>202176C01002</v>
      </c>
      <c r="C5693" t="str">
        <f t="shared" si="284"/>
        <v>20</v>
      </c>
      <c r="D5693" t="s">
        <v>67</v>
      </c>
      <c r="E5693" t="str">
        <f t="shared" si="287"/>
        <v>025</v>
      </c>
      <c r="F5693" t="s">
        <v>5603</v>
      </c>
      <c r="G5693" t="str">
        <f>"2176"</f>
        <v>2176</v>
      </c>
      <c r="H5693" t="str">
        <f>"0001"</f>
        <v>0001</v>
      </c>
      <c r="I5693" t="s">
        <v>75</v>
      </c>
      <c r="J5693">
        <v>0</v>
      </c>
      <c r="K5693">
        <v>1</v>
      </c>
      <c r="L5693">
        <v>2</v>
      </c>
      <c r="M5693">
        <v>509</v>
      </c>
      <c r="N5693">
        <v>232</v>
      </c>
      <c r="O5693">
        <v>0</v>
      </c>
      <c r="P5693">
        <v>232</v>
      </c>
      <c r="Q5693">
        <v>6</v>
      </c>
      <c r="R5693">
        <v>19</v>
      </c>
      <c r="S5693">
        <v>1</v>
      </c>
      <c r="T5693">
        <v>5</v>
      </c>
      <c r="U5693">
        <v>101</v>
      </c>
      <c r="V5693">
        <v>0</v>
      </c>
      <c r="W5693">
        <v>2</v>
      </c>
      <c r="X5693">
        <v>74</v>
      </c>
      <c r="Y5693">
        <v>6</v>
      </c>
      <c r="Z5693">
        <v>2</v>
      </c>
      <c r="AA5693">
        <v>5</v>
      </c>
      <c r="AB5693">
        <v>1</v>
      </c>
      <c r="AD5693">
        <v>0</v>
      </c>
      <c r="AE5693">
        <v>0</v>
      </c>
      <c r="AF5693">
        <v>0</v>
      </c>
      <c r="AG5693">
        <v>0</v>
      </c>
      <c r="AI5693">
        <v>0</v>
      </c>
      <c r="AJ5693">
        <v>10</v>
      </c>
      <c r="AK5693">
        <v>232</v>
      </c>
      <c r="AL5693">
        <v>232</v>
      </c>
      <c r="AM5693">
        <v>697</v>
      </c>
      <c r="AN5693">
        <v>44</v>
      </c>
      <c r="AP5693">
        <v>1</v>
      </c>
      <c r="AR5693" s="2" t="s">
        <v>5799</v>
      </c>
      <c r="AS5693" s="1">
        <v>44353.959027777775</v>
      </c>
      <c r="AT5693" s="1">
        <v>44353.962048611109</v>
      </c>
      <c r="AU5693" s="1">
        <v>44353.962523148148</v>
      </c>
      <c r="AV5693" t="s">
        <v>71</v>
      </c>
      <c r="AW5693" t="s">
        <v>72</v>
      </c>
      <c r="AX5693" t="s">
        <v>73</v>
      </c>
    </row>
    <row r="5694" spans="1:50" x14ac:dyDescent="0.3">
      <c r="A5694" t="str">
        <f>"202176E0100"</f>
        <v>202176E0100</v>
      </c>
      <c r="B5694" t="str">
        <f>"202176E01002"</f>
        <v>202176E01002</v>
      </c>
      <c r="C5694" t="str">
        <f t="shared" si="284"/>
        <v>20</v>
      </c>
      <c r="D5694" t="s">
        <v>67</v>
      </c>
      <c r="E5694" t="str">
        <f t="shared" si="287"/>
        <v>025</v>
      </c>
      <c r="F5694" t="s">
        <v>5603</v>
      </c>
      <c r="G5694" t="str">
        <f>"2176"</f>
        <v>2176</v>
      </c>
      <c r="H5694" t="str">
        <f>"0001"</f>
        <v>0001</v>
      </c>
      <c r="I5694" t="s">
        <v>109</v>
      </c>
      <c r="J5694">
        <v>0</v>
      </c>
      <c r="K5694">
        <v>1</v>
      </c>
      <c r="L5694">
        <v>2</v>
      </c>
      <c r="M5694">
        <v>386</v>
      </c>
      <c r="N5694">
        <v>105</v>
      </c>
      <c r="O5694">
        <v>5</v>
      </c>
      <c r="P5694">
        <v>105</v>
      </c>
      <c r="Q5694">
        <v>6</v>
      </c>
      <c r="R5694">
        <v>9</v>
      </c>
      <c r="S5694">
        <v>5</v>
      </c>
      <c r="T5694">
        <v>1</v>
      </c>
      <c r="U5694">
        <v>58</v>
      </c>
      <c r="V5694">
        <v>1</v>
      </c>
      <c r="W5694">
        <v>0</v>
      </c>
      <c r="X5694">
        <v>14</v>
      </c>
      <c r="Y5694">
        <v>6</v>
      </c>
      <c r="Z5694">
        <v>0</v>
      </c>
      <c r="AA5694">
        <v>2</v>
      </c>
      <c r="AB5694">
        <v>0</v>
      </c>
      <c r="AD5694">
        <v>0</v>
      </c>
      <c r="AE5694">
        <v>0</v>
      </c>
      <c r="AF5694">
        <v>1</v>
      </c>
      <c r="AG5694">
        <v>0</v>
      </c>
      <c r="AI5694">
        <v>0</v>
      </c>
      <c r="AJ5694">
        <v>2</v>
      </c>
      <c r="AK5694">
        <v>105</v>
      </c>
      <c r="AL5694">
        <v>105</v>
      </c>
      <c r="AM5694">
        <v>447</v>
      </c>
      <c r="AN5694">
        <v>44</v>
      </c>
      <c r="AP5694">
        <v>1</v>
      </c>
      <c r="AR5694" t="s">
        <v>5800</v>
      </c>
      <c r="AS5694" s="1">
        <v>44353.959722222222</v>
      </c>
      <c r="AT5694" s="1">
        <v>44353.961238425924</v>
      </c>
      <c r="AU5694" s="1">
        <v>44353.961631944447</v>
      </c>
      <c r="AV5694" t="s">
        <v>71</v>
      </c>
      <c r="AW5694" t="s">
        <v>72</v>
      </c>
      <c r="AX5694" t="s">
        <v>73</v>
      </c>
    </row>
    <row r="5695" spans="1:50" x14ac:dyDescent="0.3">
      <c r="A5695" t="str">
        <f>"202177B0000"</f>
        <v>202177B0000</v>
      </c>
      <c r="B5695" t="str">
        <f>"202177B00002"</f>
        <v>202177B00002</v>
      </c>
      <c r="C5695" t="str">
        <f t="shared" si="284"/>
        <v>20</v>
      </c>
      <c r="D5695" t="s">
        <v>67</v>
      </c>
      <c r="E5695" t="str">
        <f t="shared" si="287"/>
        <v>025</v>
      </c>
      <c r="F5695" t="s">
        <v>5603</v>
      </c>
      <c r="G5695" t="str">
        <f>"2177"</f>
        <v>2177</v>
      </c>
      <c r="H5695" t="str">
        <f>"0000"</f>
        <v>0000</v>
      </c>
      <c r="I5695" t="s">
        <v>69</v>
      </c>
      <c r="J5695">
        <v>0</v>
      </c>
      <c r="K5695">
        <v>1</v>
      </c>
      <c r="L5695">
        <v>2</v>
      </c>
      <c r="M5695">
        <v>578</v>
      </c>
      <c r="N5695">
        <v>201</v>
      </c>
      <c r="O5695">
        <v>4</v>
      </c>
      <c r="P5695">
        <v>201</v>
      </c>
      <c r="Q5695">
        <v>8</v>
      </c>
      <c r="R5695">
        <v>11</v>
      </c>
      <c r="S5695">
        <v>7</v>
      </c>
      <c r="T5695">
        <v>9</v>
      </c>
      <c r="U5695">
        <v>77</v>
      </c>
      <c r="V5695">
        <v>1</v>
      </c>
      <c r="W5695">
        <v>0</v>
      </c>
      <c r="X5695">
        <v>69</v>
      </c>
      <c r="Y5695">
        <v>3</v>
      </c>
      <c r="Z5695">
        <v>2</v>
      </c>
      <c r="AA5695">
        <v>4</v>
      </c>
      <c r="AB5695">
        <v>1</v>
      </c>
      <c r="AD5695">
        <v>0</v>
      </c>
      <c r="AE5695">
        <v>0</v>
      </c>
      <c r="AF5695">
        <v>0</v>
      </c>
      <c r="AG5695">
        <v>0</v>
      </c>
      <c r="AI5695">
        <v>0</v>
      </c>
      <c r="AJ5695">
        <v>9</v>
      </c>
      <c r="AK5695">
        <v>201</v>
      </c>
      <c r="AL5695">
        <v>201</v>
      </c>
      <c r="AM5695">
        <v>735</v>
      </c>
      <c r="AN5695">
        <v>44</v>
      </c>
      <c r="AP5695">
        <v>1</v>
      </c>
      <c r="AR5695" t="s">
        <v>5801</v>
      </c>
      <c r="AS5695" s="1">
        <v>44353.95208333333</v>
      </c>
      <c r="AT5695" s="1">
        <v>44353.958252314813</v>
      </c>
      <c r="AU5695" s="1">
        <v>44353.958993055552</v>
      </c>
      <c r="AV5695" t="s">
        <v>71</v>
      </c>
      <c r="AW5695" t="s">
        <v>72</v>
      </c>
      <c r="AX5695" t="s">
        <v>73</v>
      </c>
    </row>
    <row r="5696" spans="1:50" x14ac:dyDescent="0.3">
      <c r="A5696" t="str">
        <f>"202177C0100"</f>
        <v>202177C0100</v>
      </c>
      <c r="B5696" t="str">
        <f>"202177C01002"</f>
        <v>202177C01002</v>
      </c>
      <c r="C5696" t="str">
        <f t="shared" si="284"/>
        <v>20</v>
      </c>
      <c r="D5696" t="s">
        <v>67</v>
      </c>
      <c r="E5696" t="str">
        <f t="shared" si="287"/>
        <v>025</v>
      </c>
      <c r="F5696" t="s">
        <v>5603</v>
      </c>
      <c r="G5696" t="str">
        <f>"2177"</f>
        <v>2177</v>
      </c>
      <c r="H5696" t="str">
        <f>"0001"</f>
        <v>0001</v>
      </c>
      <c r="I5696" t="s">
        <v>75</v>
      </c>
      <c r="J5696">
        <v>0</v>
      </c>
      <c r="K5696">
        <v>1</v>
      </c>
      <c r="L5696">
        <v>2</v>
      </c>
      <c r="M5696">
        <v>582</v>
      </c>
      <c r="N5696">
        <v>196</v>
      </c>
      <c r="O5696">
        <v>6</v>
      </c>
      <c r="P5696">
        <v>196</v>
      </c>
      <c r="Q5696">
        <v>5</v>
      </c>
      <c r="R5696">
        <v>21</v>
      </c>
      <c r="S5696">
        <v>6</v>
      </c>
      <c r="T5696">
        <v>8</v>
      </c>
      <c r="U5696">
        <v>82</v>
      </c>
      <c r="V5696">
        <v>1</v>
      </c>
      <c r="W5696">
        <v>2</v>
      </c>
      <c r="X5696">
        <v>63</v>
      </c>
      <c r="Y5696">
        <v>1</v>
      </c>
      <c r="Z5696">
        <v>4</v>
      </c>
      <c r="AA5696">
        <v>0</v>
      </c>
      <c r="AB5696">
        <v>0</v>
      </c>
      <c r="AD5696">
        <v>0</v>
      </c>
      <c r="AE5696">
        <v>0</v>
      </c>
      <c r="AF5696">
        <v>0</v>
      </c>
      <c r="AG5696">
        <v>0</v>
      </c>
      <c r="AI5696">
        <v>0</v>
      </c>
      <c r="AJ5696">
        <v>3</v>
      </c>
      <c r="AK5696">
        <v>196</v>
      </c>
      <c r="AL5696">
        <v>196</v>
      </c>
      <c r="AM5696">
        <v>734</v>
      </c>
      <c r="AN5696">
        <v>44</v>
      </c>
      <c r="AP5696">
        <v>1</v>
      </c>
      <c r="AR5696" t="s">
        <v>5802</v>
      </c>
      <c r="AS5696" s="1">
        <v>44353.945833333331</v>
      </c>
      <c r="AT5696" s="1">
        <v>44353.948067129626</v>
      </c>
      <c r="AU5696" s="1">
        <v>44353.948784722219</v>
      </c>
      <c r="AV5696" t="s">
        <v>71</v>
      </c>
      <c r="AW5696" t="s">
        <v>72</v>
      </c>
      <c r="AX5696" t="s">
        <v>73</v>
      </c>
    </row>
    <row r="5697" spans="1:50" x14ac:dyDescent="0.3">
      <c r="A5697" t="str">
        <f>"202177E0100"</f>
        <v>202177E0100</v>
      </c>
      <c r="B5697" t="str">
        <f>"202177E01002"</f>
        <v>202177E01002</v>
      </c>
      <c r="C5697" t="str">
        <f t="shared" si="284"/>
        <v>20</v>
      </c>
      <c r="D5697" t="s">
        <v>67</v>
      </c>
      <c r="E5697" t="str">
        <f t="shared" si="287"/>
        <v>025</v>
      </c>
      <c r="F5697" t="s">
        <v>5603</v>
      </c>
      <c r="G5697" t="str">
        <f>"2177"</f>
        <v>2177</v>
      </c>
      <c r="H5697" t="str">
        <f>"0001"</f>
        <v>0001</v>
      </c>
      <c r="I5697" t="s">
        <v>109</v>
      </c>
      <c r="J5697">
        <v>0</v>
      </c>
      <c r="K5697">
        <v>1</v>
      </c>
      <c r="L5697">
        <v>2</v>
      </c>
      <c r="M5697">
        <v>406</v>
      </c>
      <c r="N5697">
        <v>65</v>
      </c>
      <c r="O5697">
        <v>7</v>
      </c>
      <c r="P5697">
        <v>65</v>
      </c>
      <c r="Q5697">
        <v>1</v>
      </c>
      <c r="R5697">
        <v>18</v>
      </c>
      <c r="S5697">
        <v>1</v>
      </c>
      <c r="T5697">
        <v>1</v>
      </c>
      <c r="U5697">
        <v>28</v>
      </c>
      <c r="V5697">
        <v>0</v>
      </c>
      <c r="W5697">
        <v>0</v>
      </c>
      <c r="X5697">
        <v>12</v>
      </c>
      <c r="Y5697">
        <v>1</v>
      </c>
      <c r="Z5697">
        <v>0</v>
      </c>
      <c r="AA5697">
        <v>0</v>
      </c>
      <c r="AB5697">
        <v>0</v>
      </c>
      <c r="AD5697">
        <v>0</v>
      </c>
      <c r="AE5697">
        <v>0</v>
      </c>
      <c r="AF5697">
        <v>0</v>
      </c>
      <c r="AG5697">
        <v>0</v>
      </c>
      <c r="AI5697">
        <v>0</v>
      </c>
      <c r="AJ5697">
        <v>3</v>
      </c>
      <c r="AK5697">
        <v>65</v>
      </c>
      <c r="AL5697">
        <v>65</v>
      </c>
      <c r="AM5697">
        <v>427</v>
      </c>
      <c r="AN5697">
        <v>44</v>
      </c>
      <c r="AP5697">
        <v>1</v>
      </c>
      <c r="AR5697" t="s">
        <v>5803</v>
      </c>
      <c r="AS5697" s="1">
        <v>44353.95208333333</v>
      </c>
      <c r="AT5697" s="1">
        <v>44353.957708333335</v>
      </c>
      <c r="AU5697" s="1">
        <v>44353.958414351851</v>
      </c>
      <c r="AV5697" t="s">
        <v>71</v>
      </c>
      <c r="AW5697" t="s">
        <v>72</v>
      </c>
      <c r="AX5697" t="s">
        <v>73</v>
      </c>
    </row>
    <row r="5698" spans="1:50" x14ac:dyDescent="0.3">
      <c r="A5698" t="str">
        <f>"202177E0101"</f>
        <v>202177E0101</v>
      </c>
      <c r="B5698" t="str">
        <f>"202177E01012"</f>
        <v>202177E01012</v>
      </c>
      <c r="C5698" t="str">
        <f t="shared" si="284"/>
        <v>20</v>
      </c>
      <c r="D5698" t="s">
        <v>67</v>
      </c>
      <c r="E5698" t="str">
        <f t="shared" si="287"/>
        <v>025</v>
      </c>
      <c r="F5698" t="s">
        <v>5603</v>
      </c>
      <c r="G5698" t="str">
        <f>"2177"</f>
        <v>2177</v>
      </c>
      <c r="H5698" t="str">
        <f>"0001"</f>
        <v>0001</v>
      </c>
      <c r="I5698" t="s">
        <v>109</v>
      </c>
      <c r="J5698">
        <v>1</v>
      </c>
      <c r="K5698">
        <v>1</v>
      </c>
      <c r="L5698">
        <v>2</v>
      </c>
      <c r="M5698">
        <v>397</v>
      </c>
      <c r="N5698">
        <v>73</v>
      </c>
      <c r="O5698">
        <v>6</v>
      </c>
      <c r="P5698">
        <v>73</v>
      </c>
      <c r="Q5698">
        <v>3</v>
      </c>
      <c r="R5698">
        <v>26</v>
      </c>
      <c r="S5698">
        <v>2</v>
      </c>
      <c r="T5698">
        <v>3</v>
      </c>
      <c r="U5698">
        <v>20</v>
      </c>
      <c r="V5698">
        <v>1</v>
      </c>
      <c r="W5698">
        <v>0</v>
      </c>
      <c r="X5698">
        <v>11</v>
      </c>
      <c r="Y5698">
        <v>1</v>
      </c>
      <c r="Z5698">
        <v>1</v>
      </c>
      <c r="AA5698">
        <v>2</v>
      </c>
      <c r="AB5698">
        <v>0</v>
      </c>
      <c r="AD5698">
        <v>0</v>
      </c>
      <c r="AE5698">
        <v>0</v>
      </c>
      <c r="AF5698">
        <v>0</v>
      </c>
      <c r="AG5698">
        <v>0</v>
      </c>
      <c r="AI5698">
        <v>0</v>
      </c>
      <c r="AJ5698">
        <v>3</v>
      </c>
      <c r="AK5698">
        <v>73</v>
      </c>
      <c r="AL5698">
        <v>73</v>
      </c>
      <c r="AM5698">
        <v>426</v>
      </c>
      <c r="AN5698">
        <v>44</v>
      </c>
      <c r="AP5698">
        <v>1</v>
      </c>
      <c r="AR5698" t="s">
        <v>5804</v>
      </c>
      <c r="AS5698" s="1">
        <v>44353.947222222225</v>
      </c>
      <c r="AT5698" s="1">
        <v>44353.949594907404</v>
      </c>
      <c r="AU5698" s="1">
        <v>44353.950289351851</v>
      </c>
      <c r="AV5698" t="s">
        <v>71</v>
      </c>
      <c r="AW5698" t="s">
        <v>72</v>
      </c>
      <c r="AX5698" t="s">
        <v>73</v>
      </c>
    </row>
    <row r="5699" spans="1:50" x14ac:dyDescent="0.3">
      <c r="A5699" t="str">
        <f>"202178B0000"</f>
        <v>202178B0000</v>
      </c>
      <c r="B5699" t="str">
        <f>"202178B00002"</f>
        <v>202178B00002</v>
      </c>
      <c r="C5699" t="str">
        <f t="shared" si="284"/>
        <v>20</v>
      </c>
      <c r="D5699" t="s">
        <v>67</v>
      </c>
      <c r="E5699" t="str">
        <f t="shared" si="287"/>
        <v>025</v>
      </c>
      <c r="F5699" t="s">
        <v>5603</v>
      </c>
      <c r="G5699" t="str">
        <f>"2178"</f>
        <v>2178</v>
      </c>
      <c r="H5699" t="str">
        <f>"0000"</f>
        <v>0000</v>
      </c>
      <c r="I5699" t="s">
        <v>69</v>
      </c>
      <c r="J5699">
        <v>0</v>
      </c>
      <c r="K5699">
        <v>1</v>
      </c>
      <c r="L5699">
        <v>2</v>
      </c>
      <c r="M5699">
        <v>309</v>
      </c>
      <c r="N5699">
        <v>116</v>
      </c>
      <c r="O5699">
        <v>1</v>
      </c>
      <c r="P5699">
        <v>116</v>
      </c>
      <c r="Q5699">
        <v>11</v>
      </c>
      <c r="R5699">
        <v>38</v>
      </c>
      <c r="S5699">
        <v>5</v>
      </c>
      <c r="T5699">
        <v>4</v>
      </c>
      <c r="U5699">
        <v>28</v>
      </c>
      <c r="V5699">
        <v>0</v>
      </c>
      <c r="W5699">
        <v>1</v>
      </c>
      <c r="X5699">
        <v>20</v>
      </c>
      <c r="Y5699">
        <v>3</v>
      </c>
      <c r="Z5699">
        <v>0</v>
      </c>
      <c r="AA5699">
        <v>3</v>
      </c>
      <c r="AB5699">
        <v>1</v>
      </c>
      <c r="AD5699">
        <v>0</v>
      </c>
      <c r="AE5699">
        <v>1</v>
      </c>
      <c r="AF5699">
        <v>0</v>
      </c>
      <c r="AG5699">
        <v>0</v>
      </c>
      <c r="AI5699">
        <v>0</v>
      </c>
      <c r="AJ5699">
        <v>1</v>
      </c>
      <c r="AK5699">
        <v>116</v>
      </c>
      <c r="AL5699">
        <v>116</v>
      </c>
      <c r="AM5699">
        <v>381</v>
      </c>
      <c r="AN5699">
        <v>44</v>
      </c>
      <c r="AP5699">
        <v>1</v>
      </c>
      <c r="AR5699" t="s">
        <v>5805</v>
      </c>
      <c r="AS5699" s="1">
        <v>44354.11041666667</v>
      </c>
      <c r="AT5699" s="1">
        <v>44354.116435185184</v>
      </c>
      <c r="AU5699" s="1">
        <v>44354.116770833331</v>
      </c>
      <c r="AV5699" t="s">
        <v>71</v>
      </c>
      <c r="AW5699" t="s">
        <v>72</v>
      </c>
      <c r="AX5699" t="s">
        <v>73</v>
      </c>
    </row>
    <row r="5700" spans="1:50" x14ac:dyDescent="0.3">
      <c r="A5700" t="str">
        <f>"202178C0100"</f>
        <v>202178C0100</v>
      </c>
      <c r="B5700" t="str">
        <f>"202178C01002"</f>
        <v>202178C01002</v>
      </c>
      <c r="C5700" t="str">
        <f t="shared" si="284"/>
        <v>20</v>
      </c>
      <c r="D5700" t="s">
        <v>67</v>
      </c>
      <c r="E5700" t="str">
        <f t="shared" si="287"/>
        <v>025</v>
      </c>
      <c r="F5700" t="s">
        <v>5603</v>
      </c>
      <c r="G5700" t="str">
        <f>"2178"</f>
        <v>2178</v>
      </c>
      <c r="H5700" t="str">
        <f>"0001"</f>
        <v>0001</v>
      </c>
      <c r="I5700" t="s">
        <v>75</v>
      </c>
      <c r="J5700">
        <v>0</v>
      </c>
      <c r="K5700">
        <v>1</v>
      </c>
      <c r="L5700">
        <v>2</v>
      </c>
      <c r="M5700">
        <v>306</v>
      </c>
      <c r="N5700">
        <v>118</v>
      </c>
      <c r="O5700">
        <v>2</v>
      </c>
      <c r="P5700">
        <v>118</v>
      </c>
      <c r="Q5700">
        <v>7</v>
      </c>
      <c r="R5700">
        <v>19</v>
      </c>
      <c r="S5700">
        <v>10</v>
      </c>
      <c r="T5700">
        <v>3</v>
      </c>
      <c r="U5700">
        <v>31</v>
      </c>
      <c r="V5700">
        <v>1</v>
      </c>
      <c r="W5700">
        <v>1</v>
      </c>
      <c r="X5700">
        <v>34</v>
      </c>
      <c r="Y5700">
        <v>1</v>
      </c>
      <c r="Z5700">
        <v>1</v>
      </c>
      <c r="AA5700">
        <v>1</v>
      </c>
      <c r="AB5700">
        <v>1</v>
      </c>
      <c r="AD5700">
        <v>1</v>
      </c>
      <c r="AE5700">
        <v>0</v>
      </c>
      <c r="AF5700">
        <v>0</v>
      </c>
      <c r="AG5700">
        <v>1</v>
      </c>
      <c r="AI5700">
        <v>0</v>
      </c>
      <c r="AJ5700">
        <v>6</v>
      </c>
      <c r="AK5700">
        <v>118</v>
      </c>
      <c r="AL5700">
        <v>118</v>
      </c>
      <c r="AM5700">
        <v>380</v>
      </c>
      <c r="AN5700">
        <v>44</v>
      </c>
      <c r="AP5700">
        <v>1</v>
      </c>
      <c r="AR5700" t="s">
        <v>5806</v>
      </c>
      <c r="AS5700" s="1">
        <v>44354.11041666667</v>
      </c>
      <c r="AT5700" s="1">
        <v>44354.115590277775</v>
      </c>
      <c r="AU5700" s="1">
        <v>44354.116354166668</v>
      </c>
      <c r="AV5700" t="s">
        <v>71</v>
      </c>
      <c r="AW5700" t="s">
        <v>72</v>
      </c>
      <c r="AX5700" t="s">
        <v>73</v>
      </c>
    </row>
    <row r="5701" spans="1:50" x14ac:dyDescent="0.3">
      <c r="A5701" t="str">
        <f>"202178E0100"</f>
        <v>202178E0100</v>
      </c>
      <c r="B5701" t="str">
        <f>"202178E01002"</f>
        <v>202178E01002</v>
      </c>
      <c r="C5701" t="str">
        <f t="shared" si="284"/>
        <v>20</v>
      </c>
      <c r="D5701" t="s">
        <v>67</v>
      </c>
      <c r="E5701" t="str">
        <f t="shared" si="287"/>
        <v>025</v>
      </c>
      <c r="F5701" t="s">
        <v>5603</v>
      </c>
      <c r="G5701" t="str">
        <f>"2178"</f>
        <v>2178</v>
      </c>
      <c r="H5701" t="str">
        <f>"0001"</f>
        <v>0001</v>
      </c>
      <c r="I5701" t="s">
        <v>109</v>
      </c>
      <c r="J5701">
        <v>0</v>
      </c>
      <c r="K5701">
        <v>1</v>
      </c>
      <c r="L5701">
        <v>2</v>
      </c>
      <c r="M5701">
        <v>385</v>
      </c>
      <c r="N5701">
        <v>541</v>
      </c>
      <c r="O5701">
        <v>0</v>
      </c>
      <c r="P5701">
        <v>156</v>
      </c>
      <c r="Q5701">
        <v>2</v>
      </c>
      <c r="R5701">
        <v>4</v>
      </c>
      <c r="S5701">
        <v>1</v>
      </c>
      <c r="T5701">
        <v>0</v>
      </c>
      <c r="U5701">
        <v>36</v>
      </c>
      <c r="V5701">
        <v>0</v>
      </c>
      <c r="W5701">
        <v>3</v>
      </c>
      <c r="X5701">
        <v>91</v>
      </c>
      <c r="Y5701">
        <v>0</v>
      </c>
      <c r="Z5701">
        <v>4</v>
      </c>
      <c r="AA5701">
        <v>6</v>
      </c>
      <c r="AB5701">
        <v>1</v>
      </c>
      <c r="AD5701">
        <v>0</v>
      </c>
      <c r="AE5701">
        <v>0</v>
      </c>
      <c r="AF5701">
        <v>0</v>
      </c>
      <c r="AG5701">
        <v>0</v>
      </c>
      <c r="AI5701">
        <v>0</v>
      </c>
      <c r="AJ5701">
        <v>8</v>
      </c>
      <c r="AK5701">
        <v>156</v>
      </c>
      <c r="AL5701">
        <v>156</v>
      </c>
      <c r="AM5701">
        <v>497</v>
      </c>
      <c r="AN5701">
        <v>44</v>
      </c>
      <c r="AP5701">
        <v>1</v>
      </c>
      <c r="AR5701" t="s">
        <v>5807</v>
      </c>
      <c r="AS5701" s="1">
        <v>44354.111111111109</v>
      </c>
      <c r="AT5701" s="1">
        <v>44354.119247685187</v>
      </c>
      <c r="AU5701" s="1">
        <v>44354.120949074073</v>
      </c>
      <c r="AV5701" t="s">
        <v>71</v>
      </c>
      <c r="AW5701" t="s">
        <v>72</v>
      </c>
      <c r="AX5701" t="s">
        <v>73</v>
      </c>
    </row>
    <row r="5702" spans="1:50" x14ac:dyDescent="0.3">
      <c r="A5702" t="str">
        <f>"202178E0200"</f>
        <v>202178E0200</v>
      </c>
      <c r="B5702" t="str">
        <f>"202178E02002"</f>
        <v>202178E02002</v>
      </c>
      <c r="C5702" t="str">
        <f t="shared" si="284"/>
        <v>20</v>
      </c>
      <c r="D5702" t="s">
        <v>67</v>
      </c>
      <c r="E5702" t="str">
        <f t="shared" si="287"/>
        <v>025</v>
      </c>
      <c r="F5702" t="s">
        <v>5603</v>
      </c>
      <c r="G5702" t="str">
        <f>"2178"</f>
        <v>2178</v>
      </c>
      <c r="H5702" t="str">
        <f>"0002"</f>
        <v>0002</v>
      </c>
      <c r="I5702" t="s">
        <v>109</v>
      </c>
      <c r="J5702">
        <v>0</v>
      </c>
      <c r="K5702">
        <v>1</v>
      </c>
      <c r="L5702">
        <v>2</v>
      </c>
      <c r="M5702">
        <v>246</v>
      </c>
      <c r="N5702">
        <v>176</v>
      </c>
      <c r="O5702">
        <v>4</v>
      </c>
      <c r="P5702">
        <v>176</v>
      </c>
      <c r="Q5702">
        <v>25</v>
      </c>
      <c r="R5702">
        <v>31</v>
      </c>
      <c r="S5702">
        <v>4</v>
      </c>
      <c r="T5702">
        <v>3</v>
      </c>
      <c r="U5702">
        <v>53</v>
      </c>
      <c r="V5702">
        <v>2</v>
      </c>
      <c r="W5702">
        <v>0</v>
      </c>
      <c r="X5702">
        <v>23</v>
      </c>
      <c r="Y5702">
        <v>18</v>
      </c>
      <c r="Z5702">
        <v>3</v>
      </c>
      <c r="AA5702">
        <v>1</v>
      </c>
      <c r="AB5702">
        <v>0</v>
      </c>
      <c r="AD5702">
        <v>1</v>
      </c>
      <c r="AE5702">
        <v>1</v>
      </c>
      <c r="AF5702">
        <v>0</v>
      </c>
      <c r="AG5702">
        <v>0</v>
      </c>
      <c r="AI5702">
        <v>0</v>
      </c>
      <c r="AJ5702">
        <v>10</v>
      </c>
      <c r="AK5702">
        <v>176</v>
      </c>
      <c r="AL5702">
        <v>175</v>
      </c>
      <c r="AM5702">
        <v>378</v>
      </c>
      <c r="AN5702">
        <v>44</v>
      </c>
      <c r="AP5702">
        <v>1</v>
      </c>
      <c r="AR5702" t="s">
        <v>5808</v>
      </c>
      <c r="AS5702" s="1">
        <v>44354.111111111109</v>
      </c>
      <c r="AT5702" s="1">
        <v>44354.123611111114</v>
      </c>
      <c r="AU5702" s="1">
        <v>44354.130277777775</v>
      </c>
      <c r="AV5702" t="s">
        <v>71</v>
      </c>
      <c r="AW5702" t="s">
        <v>72</v>
      </c>
      <c r="AX5702" t="s">
        <v>73</v>
      </c>
    </row>
    <row r="5703" spans="1:50" x14ac:dyDescent="0.3">
      <c r="A5703" t="str">
        <f>"202179B0000"</f>
        <v>202179B0000</v>
      </c>
      <c r="B5703" t="str">
        <f>"202179B00002"</f>
        <v>202179B00002</v>
      </c>
      <c r="C5703" t="str">
        <f t="shared" ref="C5703:C5766" si="288">"20"</f>
        <v>20</v>
      </c>
      <c r="D5703" t="s">
        <v>67</v>
      </c>
      <c r="E5703" t="str">
        <f t="shared" si="287"/>
        <v>025</v>
      </c>
      <c r="F5703" t="s">
        <v>5603</v>
      </c>
      <c r="G5703" t="str">
        <f>"2179"</f>
        <v>2179</v>
      </c>
      <c r="H5703" t="str">
        <f>"0000"</f>
        <v>0000</v>
      </c>
      <c r="I5703" t="s">
        <v>69</v>
      </c>
      <c r="J5703">
        <v>0</v>
      </c>
      <c r="K5703">
        <v>1</v>
      </c>
      <c r="L5703">
        <v>2</v>
      </c>
      <c r="M5703">
        <v>479</v>
      </c>
      <c r="N5703">
        <v>223</v>
      </c>
      <c r="O5703">
        <v>0</v>
      </c>
      <c r="P5703">
        <v>223</v>
      </c>
      <c r="Q5703">
        <v>8</v>
      </c>
      <c r="R5703">
        <v>49</v>
      </c>
      <c r="S5703">
        <v>1</v>
      </c>
      <c r="T5703">
        <v>3</v>
      </c>
      <c r="U5703">
        <v>103</v>
      </c>
      <c r="V5703">
        <v>2</v>
      </c>
      <c r="W5703">
        <v>0</v>
      </c>
      <c r="X5703">
        <v>39</v>
      </c>
      <c r="Y5703">
        <v>2</v>
      </c>
      <c r="Z5703">
        <v>5</v>
      </c>
      <c r="AA5703">
        <v>2</v>
      </c>
      <c r="AB5703">
        <v>0</v>
      </c>
      <c r="AD5703">
        <v>2</v>
      </c>
      <c r="AE5703">
        <v>1</v>
      </c>
      <c r="AF5703">
        <v>0</v>
      </c>
      <c r="AG5703">
        <v>0</v>
      </c>
      <c r="AI5703">
        <v>0</v>
      </c>
      <c r="AJ5703">
        <v>6</v>
      </c>
      <c r="AK5703">
        <v>223</v>
      </c>
      <c r="AL5703">
        <v>223</v>
      </c>
      <c r="AM5703">
        <v>658</v>
      </c>
      <c r="AN5703">
        <v>44</v>
      </c>
      <c r="AP5703">
        <v>1</v>
      </c>
      <c r="AR5703" t="s">
        <v>5809</v>
      </c>
      <c r="AS5703" s="1">
        <v>44353.978472222225</v>
      </c>
      <c r="AT5703" s="1">
        <v>44353.980578703704</v>
      </c>
      <c r="AU5703" s="1">
        <v>44353.981087962966</v>
      </c>
      <c r="AV5703" t="s">
        <v>71</v>
      </c>
      <c r="AW5703" t="s">
        <v>72</v>
      </c>
      <c r="AX5703" t="s">
        <v>73</v>
      </c>
    </row>
    <row r="5704" spans="1:50" x14ac:dyDescent="0.3">
      <c r="A5704" t="str">
        <f>"202179C0100"</f>
        <v>202179C0100</v>
      </c>
      <c r="B5704" t="str">
        <f>"202179C01002"</f>
        <v>202179C01002</v>
      </c>
      <c r="C5704" t="str">
        <f t="shared" si="288"/>
        <v>20</v>
      </c>
      <c r="D5704" t="s">
        <v>67</v>
      </c>
      <c r="E5704" t="str">
        <f t="shared" si="287"/>
        <v>025</v>
      </c>
      <c r="F5704" t="s">
        <v>5603</v>
      </c>
      <c r="G5704" t="str">
        <f>"2179"</f>
        <v>2179</v>
      </c>
      <c r="H5704" t="str">
        <f>"0001"</f>
        <v>0001</v>
      </c>
      <c r="I5704" t="s">
        <v>75</v>
      </c>
      <c r="J5704">
        <v>0</v>
      </c>
      <c r="K5704">
        <v>1</v>
      </c>
      <c r="L5704">
        <v>2</v>
      </c>
      <c r="M5704">
        <v>463</v>
      </c>
      <c r="N5704">
        <v>239</v>
      </c>
      <c r="O5704">
        <v>1</v>
      </c>
      <c r="P5704">
        <v>239</v>
      </c>
      <c r="Q5704">
        <v>5</v>
      </c>
      <c r="R5704">
        <v>58</v>
      </c>
      <c r="S5704">
        <v>6</v>
      </c>
      <c r="T5704">
        <v>6</v>
      </c>
      <c r="U5704">
        <v>101</v>
      </c>
      <c r="V5704">
        <v>1</v>
      </c>
      <c r="W5704">
        <v>1</v>
      </c>
      <c r="X5704">
        <v>36</v>
      </c>
      <c r="Y5704">
        <v>1</v>
      </c>
      <c r="Z5704">
        <v>5</v>
      </c>
      <c r="AA5704">
        <v>3</v>
      </c>
      <c r="AB5704">
        <v>1</v>
      </c>
      <c r="AD5704">
        <v>3</v>
      </c>
      <c r="AE5704">
        <v>1</v>
      </c>
      <c r="AF5704">
        <v>0</v>
      </c>
      <c r="AG5704">
        <v>0</v>
      </c>
      <c r="AI5704">
        <v>0</v>
      </c>
      <c r="AJ5704">
        <v>11</v>
      </c>
      <c r="AK5704">
        <v>239</v>
      </c>
      <c r="AL5704">
        <v>239</v>
      </c>
      <c r="AM5704">
        <v>658</v>
      </c>
      <c r="AN5704">
        <v>44</v>
      </c>
      <c r="AP5704">
        <v>1</v>
      </c>
      <c r="AR5704" t="s">
        <v>5810</v>
      </c>
      <c r="AS5704" s="1">
        <v>44353.977083333331</v>
      </c>
      <c r="AT5704" s="1">
        <v>44353.980069444442</v>
      </c>
      <c r="AU5704" s="1">
        <v>44353.980671296296</v>
      </c>
      <c r="AV5704" t="s">
        <v>71</v>
      </c>
      <c r="AW5704" t="s">
        <v>72</v>
      </c>
      <c r="AX5704" t="s">
        <v>73</v>
      </c>
    </row>
    <row r="5705" spans="1:50" x14ac:dyDescent="0.3">
      <c r="A5705" t="str">
        <f>"202179E0100"</f>
        <v>202179E0100</v>
      </c>
      <c r="B5705" t="str">
        <f>"202179E01002"</f>
        <v>202179E01002</v>
      </c>
      <c r="C5705" t="str">
        <f t="shared" si="288"/>
        <v>20</v>
      </c>
      <c r="D5705" t="s">
        <v>67</v>
      </c>
      <c r="E5705" t="str">
        <f t="shared" si="287"/>
        <v>025</v>
      </c>
      <c r="F5705" t="s">
        <v>5603</v>
      </c>
      <c r="G5705" t="str">
        <f>"2179"</f>
        <v>2179</v>
      </c>
      <c r="H5705" t="str">
        <f>"0001"</f>
        <v>0001</v>
      </c>
      <c r="I5705" t="s">
        <v>109</v>
      </c>
      <c r="J5705">
        <v>0</v>
      </c>
      <c r="K5705">
        <v>1</v>
      </c>
      <c r="L5705">
        <v>2</v>
      </c>
      <c r="M5705">
        <v>413</v>
      </c>
      <c r="N5705">
        <v>250</v>
      </c>
      <c r="O5705">
        <v>8</v>
      </c>
      <c r="P5705">
        <v>251</v>
      </c>
      <c r="Q5705">
        <v>28</v>
      </c>
      <c r="R5705">
        <v>69</v>
      </c>
      <c r="S5705">
        <v>10</v>
      </c>
      <c r="T5705">
        <v>10</v>
      </c>
      <c r="U5705">
        <v>50</v>
      </c>
      <c r="V5705">
        <v>3</v>
      </c>
      <c r="W5705">
        <v>3</v>
      </c>
      <c r="X5705">
        <v>51</v>
      </c>
      <c r="Y5705">
        <v>1</v>
      </c>
      <c r="Z5705">
        <v>3</v>
      </c>
      <c r="AA5705">
        <v>5</v>
      </c>
      <c r="AB5705">
        <v>2</v>
      </c>
      <c r="AD5705">
        <v>0</v>
      </c>
      <c r="AE5705">
        <v>0</v>
      </c>
      <c r="AF5705">
        <v>0</v>
      </c>
      <c r="AG5705">
        <v>0</v>
      </c>
      <c r="AI5705">
        <v>0</v>
      </c>
      <c r="AJ5705">
        <v>16</v>
      </c>
      <c r="AK5705">
        <v>251</v>
      </c>
      <c r="AL5705">
        <v>251</v>
      </c>
      <c r="AM5705">
        <v>620</v>
      </c>
      <c r="AN5705">
        <v>44</v>
      </c>
      <c r="AP5705">
        <v>1</v>
      </c>
      <c r="AR5705" t="s">
        <v>5811</v>
      </c>
      <c r="AS5705" s="1">
        <v>44353.977083333331</v>
      </c>
      <c r="AT5705" s="1">
        <v>44353.97896990741</v>
      </c>
      <c r="AU5705" s="1">
        <v>44353.979664351849</v>
      </c>
      <c r="AV5705" t="s">
        <v>71</v>
      </c>
      <c r="AW5705" t="s">
        <v>72</v>
      </c>
      <c r="AX5705" t="s">
        <v>73</v>
      </c>
    </row>
    <row r="5706" spans="1:50" x14ac:dyDescent="0.3">
      <c r="A5706" t="str">
        <f>"202493B0000"</f>
        <v>202493B0000</v>
      </c>
      <c r="B5706" t="str">
        <f>"202493B00002"</f>
        <v>202493B00002</v>
      </c>
      <c r="C5706" t="str">
        <f t="shared" si="288"/>
        <v>20</v>
      </c>
      <c r="D5706" t="s">
        <v>67</v>
      </c>
      <c r="E5706" t="str">
        <f t="shared" si="287"/>
        <v>025</v>
      </c>
      <c r="F5706" t="s">
        <v>5603</v>
      </c>
      <c r="G5706" t="str">
        <f>"2493"</f>
        <v>2493</v>
      </c>
      <c r="H5706" t="str">
        <f>"0000"</f>
        <v>0000</v>
      </c>
      <c r="I5706" t="s">
        <v>69</v>
      </c>
      <c r="J5706">
        <v>0</v>
      </c>
      <c r="K5706">
        <v>1</v>
      </c>
      <c r="L5706">
        <v>2</v>
      </c>
      <c r="M5706">
        <v>246</v>
      </c>
      <c r="N5706">
        <v>610</v>
      </c>
      <c r="O5706">
        <v>5</v>
      </c>
      <c r="P5706" t="s">
        <v>80</v>
      </c>
      <c r="Q5706">
        <v>10</v>
      </c>
      <c r="R5706">
        <v>30</v>
      </c>
      <c r="S5706">
        <v>32</v>
      </c>
      <c r="T5706">
        <v>3</v>
      </c>
      <c r="U5706">
        <v>11</v>
      </c>
      <c r="V5706">
        <v>6</v>
      </c>
      <c r="W5706">
        <v>5</v>
      </c>
      <c r="X5706">
        <v>180</v>
      </c>
      <c r="Y5706">
        <v>31</v>
      </c>
      <c r="Z5706">
        <v>3</v>
      </c>
      <c r="AA5706">
        <v>11</v>
      </c>
      <c r="AB5706">
        <v>27</v>
      </c>
      <c r="AD5706">
        <v>2</v>
      </c>
      <c r="AE5706">
        <v>0</v>
      </c>
      <c r="AF5706">
        <v>0</v>
      </c>
      <c r="AG5706">
        <v>1</v>
      </c>
      <c r="AI5706">
        <v>0</v>
      </c>
      <c r="AJ5706">
        <v>0</v>
      </c>
      <c r="AK5706">
        <v>0</v>
      </c>
      <c r="AL5706">
        <v>352</v>
      </c>
      <c r="AM5706">
        <v>564</v>
      </c>
      <c r="AN5706">
        <v>46</v>
      </c>
      <c r="AP5706">
        <v>1</v>
      </c>
      <c r="AR5706" t="s">
        <v>5812</v>
      </c>
      <c r="AS5706" s="1">
        <v>44354.34097222222</v>
      </c>
      <c r="AT5706" s="1">
        <v>44354.344537037039</v>
      </c>
      <c r="AU5706" s="1">
        <v>44354.345023148147</v>
      </c>
      <c r="AV5706" t="s">
        <v>71</v>
      </c>
      <c r="AW5706" t="s">
        <v>72</v>
      </c>
      <c r="AX5706" t="s">
        <v>73</v>
      </c>
    </row>
    <row r="5707" spans="1:50" x14ac:dyDescent="0.3">
      <c r="A5707" t="str">
        <f>"202494B0000"</f>
        <v>202494B0000</v>
      </c>
      <c r="B5707" t="str">
        <f>"202494B00002"</f>
        <v>202494B00002</v>
      </c>
      <c r="C5707" t="str">
        <f t="shared" si="288"/>
        <v>20</v>
      </c>
      <c r="D5707" t="s">
        <v>67</v>
      </c>
      <c r="E5707" t="str">
        <f t="shared" si="287"/>
        <v>025</v>
      </c>
      <c r="F5707" t="s">
        <v>5603</v>
      </c>
      <c r="G5707" t="str">
        <f>"2494"</f>
        <v>2494</v>
      </c>
      <c r="H5707" t="str">
        <f>"0000"</f>
        <v>0000</v>
      </c>
      <c r="I5707" t="s">
        <v>69</v>
      </c>
      <c r="J5707">
        <v>0</v>
      </c>
      <c r="K5707">
        <v>1</v>
      </c>
      <c r="L5707">
        <v>2</v>
      </c>
      <c r="M5707">
        <v>274</v>
      </c>
      <c r="N5707">
        <v>375</v>
      </c>
      <c r="O5707">
        <v>3</v>
      </c>
      <c r="P5707">
        <v>375</v>
      </c>
      <c r="Q5707">
        <v>17</v>
      </c>
      <c r="R5707">
        <v>25</v>
      </c>
      <c r="S5707">
        <v>41</v>
      </c>
      <c r="T5707">
        <v>14</v>
      </c>
      <c r="U5707">
        <v>12</v>
      </c>
      <c r="V5707">
        <v>7</v>
      </c>
      <c r="W5707">
        <v>9</v>
      </c>
      <c r="X5707">
        <v>197</v>
      </c>
      <c r="Y5707">
        <v>9</v>
      </c>
      <c r="Z5707">
        <v>4</v>
      </c>
      <c r="AA5707">
        <v>6</v>
      </c>
      <c r="AB5707">
        <v>16</v>
      </c>
      <c r="AD5707">
        <v>4</v>
      </c>
      <c r="AE5707">
        <v>0</v>
      </c>
      <c r="AF5707">
        <v>0</v>
      </c>
      <c r="AG5707">
        <v>0</v>
      </c>
      <c r="AI5707" t="s">
        <v>77</v>
      </c>
      <c r="AJ5707">
        <v>14</v>
      </c>
      <c r="AK5707">
        <v>375</v>
      </c>
      <c r="AL5707">
        <v>375</v>
      </c>
      <c r="AM5707">
        <v>603</v>
      </c>
      <c r="AN5707">
        <v>46</v>
      </c>
      <c r="AO5707" t="s">
        <v>78</v>
      </c>
      <c r="AP5707">
        <v>1</v>
      </c>
      <c r="AR5707" t="s">
        <v>5813</v>
      </c>
      <c r="AS5707" s="1">
        <v>44354.27847222222</v>
      </c>
      <c r="AT5707" s="1">
        <v>44354.281793981485</v>
      </c>
      <c r="AU5707" s="1">
        <v>44354.282592592594</v>
      </c>
      <c r="AV5707" t="s">
        <v>71</v>
      </c>
      <c r="AW5707" t="s">
        <v>72</v>
      </c>
      <c r="AX5707" t="s">
        <v>73</v>
      </c>
    </row>
    <row r="5708" spans="1:50" x14ac:dyDescent="0.3">
      <c r="A5708" t="str">
        <f>"202494C0100"</f>
        <v>202494C0100</v>
      </c>
      <c r="B5708" t="str">
        <f>"202494C01002"</f>
        <v>202494C01002</v>
      </c>
      <c r="C5708" t="str">
        <f t="shared" si="288"/>
        <v>20</v>
      </c>
      <c r="D5708" t="s">
        <v>67</v>
      </c>
      <c r="E5708" t="str">
        <f t="shared" si="287"/>
        <v>025</v>
      </c>
      <c r="F5708" t="s">
        <v>5603</v>
      </c>
      <c r="G5708" t="str">
        <f>"2494"</f>
        <v>2494</v>
      </c>
      <c r="H5708" t="str">
        <f>"0001"</f>
        <v>0001</v>
      </c>
      <c r="I5708" t="s">
        <v>75</v>
      </c>
      <c r="J5708">
        <v>0</v>
      </c>
      <c r="K5708">
        <v>1</v>
      </c>
      <c r="L5708">
        <v>2</v>
      </c>
      <c r="M5708">
        <v>280</v>
      </c>
      <c r="N5708">
        <v>369</v>
      </c>
      <c r="O5708">
        <v>3</v>
      </c>
      <c r="P5708">
        <v>369</v>
      </c>
      <c r="Q5708">
        <v>8</v>
      </c>
      <c r="R5708">
        <v>27</v>
      </c>
      <c r="S5708">
        <v>34</v>
      </c>
      <c r="T5708">
        <v>7</v>
      </c>
      <c r="U5708">
        <v>14</v>
      </c>
      <c r="V5708">
        <v>2</v>
      </c>
      <c r="W5708">
        <v>5</v>
      </c>
      <c r="X5708">
        <v>197</v>
      </c>
      <c r="Y5708">
        <v>13</v>
      </c>
      <c r="Z5708">
        <v>2</v>
      </c>
      <c r="AA5708">
        <v>14</v>
      </c>
      <c r="AB5708">
        <v>27</v>
      </c>
      <c r="AD5708">
        <v>0</v>
      </c>
      <c r="AE5708">
        <v>0</v>
      </c>
      <c r="AF5708">
        <v>3</v>
      </c>
      <c r="AG5708">
        <v>0</v>
      </c>
      <c r="AI5708">
        <v>0</v>
      </c>
      <c r="AJ5708">
        <v>16</v>
      </c>
      <c r="AK5708">
        <v>369</v>
      </c>
      <c r="AL5708">
        <v>369</v>
      </c>
      <c r="AM5708">
        <v>603</v>
      </c>
      <c r="AN5708">
        <v>46</v>
      </c>
      <c r="AP5708">
        <v>1</v>
      </c>
      <c r="AR5708" t="s">
        <v>5814</v>
      </c>
      <c r="AS5708" s="1">
        <v>44354.279861111114</v>
      </c>
      <c r="AT5708" s="1">
        <v>44354.282673611109</v>
      </c>
      <c r="AU5708" s="1">
        <v>44354.283668981479</v>
      </c>
      <c r="AV5708" t="s">
        <v>71</v>
      </c>
      <c r="AW5708" t="s">
        <v>72</v>
      </c>
      <c r="AX5708" t="s">
        <v>73</v>
      </c>
    </row>
    <row r="5709" spans="1:50" x14ac:dyDescent="0.3">
      <c r="A5709" t="str">
        <f>"202495B0000"</f>
        <v>202495B0000</v>
      </c>
      <c r="B5709" t="str">
        <f>"202495B00002"</f>
        <v>202495B00002</v>
      </c>
      <c r="C5709" t="str">
        <f t="shared" si="288"/>
        <v>20</v>
      </c>
      <c r="D5709" t="s">
        <v>67</v>
      </c>
      <c r="E5709" t="str">
        <f t="shared" si="287"/>
        <v>025</v>
      </c>
      <c r="F5709" t="s">
        <v>5603</v>
      </c>
      <c r="G5709" t="str">
        <f>"2495"</f>
        <v>2495</v>
      </c>
      <c r="H5709" t="str">
        <f>"0000"</f>
        <v>0000</v>
      </c>
      <c r="I5709" t="s">
        <v>69</v>
      </c>
      <c r="J5709">
        <v>0</v>
      </c>
      <c r="K5709">
        <v>1</v>
      </c>
      <c r="L5709">
        <v>2</v>
      </c>
      <c r="M5709">
        <v>174</v>
      </c>
      <c r="N5709">
        <v>329</v>
      </c>
      <c r="O5709">
        <v>4</v>
      </c>
      <c r="P5709">
        <v>329</v>
      </c>
      <c r="Q5709">
        <v>11</v>
      </c>
      <c r="R5709">
        <v>21</v>
      </c>
      <c r="S5709">
        <v>23</v>
      </c>
      <c r="T5709">
        <v>7</v>
      </c>
      <c r="U5709">
        <v>42</v>
      </c>
      <c r="V5709">
        <v>1</v>
      </c>
      <c r="W5709">
        <v>4</v>
      </c>
      <c r="X5709">
        <v>126</v>
      </c>
      <c r="Y5709">
        <v>25</v>
      </c>
      <c r="Z5709">
        <v>4</v>
      </c>
      <c r="AA5709">
        <v>9</v>
      </c>
      <c r="AB5709">
        <v>43</v>
      </c>
      <c r="AD5709">
        <v>0</v>
      </c>
      <c r="AE5709">
        <v>0</v>
      </c>
      <c r="AF5709">
        <v>0</v>
      </c>
      <c r="AG5709">
        <v>1</v>
      </c>
      <c r="AI5709">
        <v>0</v>
      </c>
      <c r="AJ5709">
        <v>12</v>
      </c>
      <c r="AK5709">
        <v>329</v>
      </c>
      <c r="AL5709">
        <v>329</v>
      </c>
      <c r="AM5709">
        <v>457</v>
      </c>
      <c r="AN5709">
        <v>46</v>
      </c>
      <c r="AP5709">
        <v>1</v>
      </c>
      <c r="AR5709" t="s">
        <v>5815</v>
      </c>
      <c r="AS5709" s="1">
        <v>44354.277777777781</v>
      </c>
      <c r="AT5709" s="1">
        <v>44354.420312499999</v>
      </c>
      <c r="AU5709" s="1">
        <v>44354.421967592592</v>
      </c>
      <c r="AV5709" t="s">
        <v>71</v>
      </c>
      <c r="AW5709" t="s">
        <v>72</v>
      </c>
      <c r="AX5709" t="s">
        <v>73</v>
      </c>
    </row>
    <row r="5710" spans="1:50" x14ac:dyDescent="0.3">
      <c r="A5710" t="str">
        <f>"202496B0000"</f>
        <v>202496B0000</v>
      </c>
      <c r="B5710" t="str">
        <f>"202496B00002"</f>
        <v>202496B00002</v>
      </c>
      <c r="C5710" t="str">
        <f t="shared" si="288"/>
        <v>20</v>
      </c>
      <c r="D5710" t="s">
        <v>67</v>
      </c>
      <c r="E5710" t="str">
        <f t="shared" si="287"/>
        <v>025</v>
      </c>
      <c r="F5710" t="s">
        <v>5603</v>
      </c>
      <c r="G5710" t="str">
        <f>"2496"</f>
        <v>2496</v>
      </c>
      <c r="H5710" t="str">
        <f>"0000"</f>
        <v>0000</v>
      </c>
      <c r="I5710" t="s">
        <v>69</v>
      </c>
      <c r="J5710">
        <v>0</v>
      </c>
      <c r="K5710">
        <v>1</v>
      </c>
      <c r="L5710">
        <v>2</v>
      </c>
      <c r="M5710">
        <v>248</v>
      </c>
      <c r="N5710">
        <v>334</v>
      </c>
      <c r="O5710">
        <v>3</v>
      </c>
      <c r="P5710">
        <v>334</v>
      </c>
      <c r="Q5710">
        <v>9</v>
      </c>
      <c r="R5710">
        <v>62</v>
      </c>
      <c r="S5710">
        <v>21</v>
      </c>
      <c r="T5710">
        <v>1</v>
      </c>
      <c r="U5710">
        <v>13</v>
      </c>
      <c r="V5710">
        <v>5</v>
      </c>
      <c r="W5710">
        <v>2</v>
      </c>
      <c r="X5710">
        <v>169</v>
      </c>
      <c r="Y5710">
        <v>14</v>
      </c>
      <c r="Z5710">
        <v>10</v>
      </c>
      <c r="AA5710">
        <v>5</v>
      </c>
      <c r="AB5710">
        <v>10</v>
      </c>
      <c r="AD5710">
        <v>1</v>
      </c>
      <c r="AE5710">
        <v>0</v>
      </c>
      <c r="AF5710">
        <v>0</v>
      </c>
      <c r="AG5710">
        <v>1</v>
      </c>
      <c r="AI5710">
        <v>0</v>
      </c>
      <c r="AJ5710">
        <v>12</v>
      </c>
      <c r="AK5710">
        <v>335</v>
      </c>
      <c r="AL5710">
        <v>335</v>
      </c>
      <c r="AM5710">
        <v>535</v>
      </c>
      <c r="AN5710">
        <v>46</v>
      </c>
      <c r="AP5710">
        <v>1</v>
      </c>
      <c r="AR5710" t="s">
        <v>5816</v>
      </c>
      <c r="AS5710" s="1">
        <v>44354.289583333331</v>
      </c>
      <c r="AT5710" s="1">
        <v>44354.293865740743</v>
      </c>
      <c r="AU5710" s="1">
        <v>44354.294710648152</v>
      </c>
      <c r="AV5710" t="s">
        <v>71</v>
      </c>
      <c r="AW5710" t="s">
        <v>72</v>
      </c>
      <c r="AX5710" t="s">
        <v>73</v>
      </c>
    </row>
    <row r="5711" spans="1:50" x14ac:dyDescent="0.3">
      <c r="A5711" t="str">
        <f>"202497B0000"</f>
        <v>202497B0000</v>
      </c>
      <c r="B5711" t="str">
        <f>"202497B00002"</f>
        <v>202497B00002</v>
      </c>
      <c r="C5711" t="str">
        <f t="shared" si="288"/>
        <v>20</v>
      </c>
      <c r="D5711" t="s">
        <v>67</v>
      </c>
      <c r="E5711" t="str">
        <f t="shared" si="287"/>
        <v>025</v>
      </c>
      <c r="F5711" t="s">
        <v>5603</v>
      </c>
      <c r="G5711" t="str">
        <f>"2497"</f>
        <v>2497</v>
      </c>
      <c r="H5711" t="str">
        <f>"0000"</f>
        <v>0000</v>
      </c>
      <c r="I5711" t="s">
        <v>69</v>
      </c>
      <c r="J5711">
        <v>0</v>
      </c>
      <c r="K5711">
        <v>1</v>
      </c>
      <c r="L5711">
        <v>2</v>
      </c>
      <c r="M5711">
        <v>226</v>
      </c>
      <c r="N5711">
        <v>363</v>
      </c>
      <c r="O5711">
        <v>1</v>
      </c>
      <c r="P5711">
        <v>363</v>
      </c>
      <c r="Q5711">
        <v>7</v>
      </c>
      <c r="R5711">
        <v>72</v>
      </c>
      <c r="S5711">
        <v>37</v>
      </c>
      <c r="T5711">
        <v>5</v>
      </c>
      <c r="U5711">
        <v>39</v>
      </c>
      <c r="V5711">
        <v>1</v>
      </c>
      <c r="W5711">
        <v>1</v>
      </c>
      <c r="X5711">
        <v>133</v>
      </c>
      <c r="Y5711">
        <v>12</v>
      </c>
      <c r="Z5711">
        <v>2</v>
      </c>
      <c r="AA5711">
        <v>3</v>
      </c>
      <c r="AB5711">
        <v>35</v>
      </c>
      <c r="AD5711">
        <v>0</v>
      </c>
      <c r="AE5711">
        <v>0</v>
      </c>
      <c r="AF5711">
        <v>0</v>
      </c>
      <c r="AG5711">
        <v>0</v>
      </c>
      <c r="AI5711">
        <v>0</v>
      </c>
      <c r="AJ5711">
        <v>16</v>
      </c>
      <c r="AK5711">
        <v>363</v>
      </c>
      <c r="AL5711">
        <v>363</v>
      </c>
      <c r="AM5711">
        <v>543</v>
      </c>
      <c r="AN5711">
        <v>46</v>
      </c>
      <c r="AP5711">
        <v>1</v>
      </c>
      <c r="AR5711" t="s">
        <v>5817</v>
      </c>
      <c r="AS5711" s="1">
        <v>44354.400000000001</v>
      </c>
      <c r="AT5711" s="1">
        <v>44354.402638888889</v>
      </c>
      <c r="AU5711" s="1">
        <v>44354.403321759259</v>
      </c>
      <c r="AV5711" t="s">
        <v>71</v>
      </c>
      <c r="AW5711" t="s">
        <v>72</v>
      </c>
      <c r="AX5711" t="s">
        <v>73</v>
      </c>
    </row>
    <row r="5712" spans="1:50" x14ac:dyDescent="0.3">
      <c r="A5712" t="str">
        <f>"202497C0100"</f>
        <v>202497C0100</v>
      </c>
      <c r="B5712" t="str">
        <f>"202497C01002"</f>
        <v>202497C01002</v>
      </c>
      <c r="C5712" t="str">
        <f t="shared" si="288"/>
        <v>20</v>
      </c>
      <c r="D5712" t="s">
        <v>67</v>
      </c>
      <c r="E5712" t="str">
        <f t="shared" si="287"/>
        <v>025</v>
      </c>
      <c r="F5712" t="s">
        <v>5603</v>
      </c>
      <c r="G5712" t="str">
        <f>"2497"</f>
        <v>2497</v>
      </c>
      <c r="H5712" t="str">
        <f>"0001"</f>
        <v>0001</v>
      </c>
      <c r="I5712" t="s">
        <v>75</v>
      </c>
      <c r="J5712">
        <v>0</v>
      </c>
      <c r="K5712">
        <v>1</v>
      </c>
      <c r="L5712">
        <v>2</v>
      </c>
      <c r="M5712">
        <v>266</v>
      </c>
      <c r="N5712">
        <v>382</v>
      </c>
      <c r="O5712">
        <v>4</v>
      </c>
      <c r="P5712" t="s">
        <v>80</v>
      </c>
      <c r="Q5712">
        <v>6</v>
      </c>
      <c r="R5712">
        <v>59</v>
      </c>
      <c r="S5712">
        <v>35</v>
      </c>
      <c r="T5712">
        <v>14</v>
      </c>
      <c r="U5712">
        <v>52</v>
      </c>
      <c r="V5712">
        <v>2</v>
      </c>
      <c r="W5712">
        <v>3</v>
      </c>
      <c r="X5712">
        <v>137</v>
      </c>
      <c r="Y5712">
        <v>10</v>
      </c>
      <c r="Z5712">
        <v>4</v>
      </c>
      <c r="AA5712">
        <v>3</v>
      </c>
      <c r="AB5712">
        <v>39</v>
      </c>
      <c r="AD5712">
        <v>0</v>
      </c>
      <c r="AE5712">
        <v>0</v>
      </c>
      <c r="AF5712">
        <v>1</v>
      </c>
      <c r="AG5712">
        <v>0</v>
      </c>
      <c r="AI5712">
        <v>0</v>
      </c>
      <c r="AJ5712">
        <v>17</v>
      </c>
      <c r="AK5712">
        <v>382</v>
      </c>
      <c r="AL5712">
        <v>382</v>
      </c>
      <c r="AM5712">
        <v>542</v>
      </c>
      <c r="AN5712">
        <v>46</v>
      </c>
      <c r="AP5712">
        <v>1</v>
      </c>
      <c r="AR5712" t="s">
        <v>5818</v>
      </c>
      <c r="AS5712" s="1">
        <v>44354.287499999999</v>
      </c>
      <c r="AT5712" s="1">
        <v>44354.301342592589</v>
      </c>
      <c r="AU5712" s="1">
        <v>44354.302314814813</v>
      </c>
      <c r="AV5712" t="s">
        <v>71</v>
      </c>
      <c r="AW5712" t="s">
        <v>72</v>
      </c>
      <c r="AX5712" t="s">
        <v>73</v>
      </c>
    </row>
    <row r="5713" spans="1:50" x14ac:dyDescent="0.3">
      <c r="A5713" t="str">
        <f>"202498B0000"</f>
        <v>202498B0000</v>
      </c>
      <c r="B5713" t="str">
        <f>"202498B00002"</f>
        <v>202498B00002</v>
      </c>
      <c r="C5713" t="str">
        <f t="shared" si="288"/>
        <v>20</v>
      </c>
      <c r="D5713" t="s">
        <v>67</v>
      </c>
      <c r="E5713" t="str">
        <f t="shared" si="287"/>
        <v>025</v>
      </c>
      <c r="F5713" t="s">
        <v>5603</v>
      </c>
      <c r="G5713" t="str">
        <f>"2498"</f>
        <v>2498</v>
      </c>
      <c r="H5713" t="str">
        <f>"0000"</f>
        <v>0000</v>
      </c>
      <c r="I5713" t="s">
        <v>69</v>
      </c>
      <c r="J5713">
        <v>0</v>
      </c>
      <c r="K5713">
        <v>1</v>
      </c>
      <c r="L5713">
        <v>2</v>
      </c>
      <c r="M5713">
        <v>267</v>
      </c>
      <c r="N5713">
        <v>516</v>
      </c>
      <c r="O5713">
        <v>4</v>
      </c>
      <c r="P5713" t="s">
        <v>80</v>
      </c>
      <c r="Q5713">
        <v>55</v>
      </c>
      <c r="R5713">
        <v>84</v>
      </c>
      <c r="S5713">
        <v>9</v>
      </c>
      <c r="T5713">
        <v>30</v>
      </c>
      <c r="U5713">
        <v>44</v>
      </c>
      <c r="V5713">
        <v>21</v>
      </c>
      <c r="W5713">
        <v>66</v>
      </c>
      <c r="X5713">
        <v>148</v>
      </c>
      <c r="Y5713">
        <v>11</v>
      </c>
      <c r="Z5713">
        <v>5</v>
      </c>
      <c r="AA5713">
        <v>3</v>
      </c>
      <c r="AB5713">
        <v>14</v>
      </c>
      <c r="AD5713">
        <v>7</v>
      </c>
      <c r="AE5713">
        <v>0</v>
      </c>
      <c r="AF5713">
        <v>0</v>
      </c>
      <c r="AG5713">
        <v>1</v>
      </c>
      <c r="AI5713">
        <v>0</v>
      </c>
      <c r="AJ5713">
        <v>18</v>
      </c>
      <c r="AK5713">
        <v>516</v>
      </c>
      <c r="AL5713">
        <v>516</v>
      </c>
      <c r="AM5713">
        <v>740</v>
      </c>
      <c r="AN5713">
        <v>44</v>
      </c>
      <c r="AP5713">
        <v>1</v>
      </c>
      <c r="AR5713" t="s">
        <v>5819</v>
      </c>
      <c r="AS5713" s="1">
        <v>44354.118055555555</v>
      </c>
      <c r="AT5713" s="1">
        <v>44354.121620370373</v>
      </c>
      <c r="AU5713" s="1">
        <v>44354.122118055559</v>
      </c>
      <c r="AV5713" t="s">
        <v>71</v>
      </c>
      <c r="AW5713" t="s">
        <v>72</v>
      </c>
      <c r="AX5713" t="s">
        <v>73</v>
      </c>
    </row>
    <row r="5714" spans="1:50" x14ac:dyDescent="0.3">
      <c r="A5714" t="str">
        <f>"202498C0100"</f>
        <v>202498C0100</v>
      </c>
      <c r="B5714" t="str">
        <f>"202498C01002"</f>
        <v>202498C01002</v>
      </c>
      <c r="C5714" t="str">
        <f t="shared" si="288"/>
        <v>20</v>
      </c>
      <c r="D5714" t="s">
        <v>67</v>
      </c>
      <c r="E5714" t="str">
        <f t="shared" si="287"/>
        <v>025</v>
      </c>
      <c r="F5714" t="s">
        <v>5603</v>
      </c>
      <c r="G5714" t="str">
        <f>"2498"</f>
        <v>2498</v>
      </c>
      <c r="H5714" t="str">
        <f>"0001"</f>
        <v>0001</v>
      </c>
      <c r="I5714" t="s">
        <v>75</v>
      </c>
      <c r="J5714">
        <v>0</v>
      </c>
      <c r="K5714">
        <v>1</v>
      </c>
      <c r="L5714">
        <v>2</v>
      </c>
      <c r="M5714">
        <v>268</v>
      </c>
      <c r="N5714">
        <v>515</v>
      </c>
      <c r="O5714">
        <v>1</v>
      </c>
      <c r="P5714">
        <v>515</v>
      </c>
      <c r="Q5714">
        <v>59</v>
      </c>
      <c r="R5714">
        <v>88</v>
      </c>
      <c r="S5714">
        <v>15</v>
      </c>
      <c r="T5714">
        <v>17</v>
      </c>
      <c r="U5714">
        <v>51</v>
      </c>
      <c r="V5714">
        <v>26</v>
      </c>
      <c r="W5714">
        <v>84</v>
      </c>
      <c r="X5714">
        <v>125</v>
      </c>
      <c r="Y5714">
        <v>8</v>
      </c>
      <c r="Z5714">
        <v>3</v>
      </c>
      <c r="AA5714">
        <v>6</v>
      </c>
      <c r="AB5714">
        <v>7</v>
      </c>
      <c r="AD5714">
        <v>6</v>
      </c>
      <c r="AE5714">
        <v>1</v>
      </c>
      <c r="AF5714">
        <v>0</v>
      </c>
      <c r="AG5714">
        <v>0</v>
      </c>
      <c r="AI5714">
        <v>0</v>
      </c>
      <c r="AJ5714">
        <v>19</v>
      </c>
      <c r="AK5714">
        <v>515</v>
      </c>
      <c r="AL5714">
        <v>515</v>
      </c>
      <c r="AM5714">
        <v>739</v>
      </c>
      <c r="AN5714">
        <v>44</v>
      </c>
      <c r="AP5714">
        <v>1</v>
      </c>
      <c r="AR5714" t="s">
        <v>5820</v>
      </c>
      <c r="AS5714" s="1">
        <v>44354.120138888888</v>
      </c>
      <c r="AT5714" s="1">
        <v>44354.12290509259</v>
      </c>
      <c r="AU5714" s="1">
        <v>44354.123472222222</v>
      </c>
      <c r="AV5714" t="s">
        <v>71</v>
      </c>
      <c r="AW5714" t="s">
        <v>72</v>
      </c>
      <c r="AX5714" t="s">
        <v>73</v>
      </c>
    </row>
    <row r="5715" spans="1:50" x14ac:dyDescent="0.3">
      <c r="A5715" t="str">
        <f>"202498C0200"</f>
        <v>202498C0200</v>
      </c>
      <c r="B5715" t="str">
        <f>"202498C02002"</f>
        <v>202498C02002</v>
      </c>
      <c r="C5715" t="str">
        <f t="shared" si="288"/>
        <v>20</v>
      </c>
      <c r="D5715" t="s">
        <v>67</v>
      </c>
      <c r="E5715" t="str">
        <f t="shared" si="287"/>
        <v>025</v>
      </c>
      <c r="F5715" t="s">
        <v>5603</v>
      </c>
      <c r="G5715" t="str">
        <f>"2498"</f>
        <v>2498</v>
      </c>
      <c r="H5715" t="str">
        <f>"0002"</f>
        <v>0002</v>
      </c>
      <c r="I5715" t="s">
        <v>75</v>
      </c>
      <c r="J5715">
        <v>0</v>
      </c>
      <c r="K5715">
        <v>1</v>
      </c>
      <c r="L5715">
        <v>2</v>
      </c>
      <c r="M5715">
        <v>260</v>
      </c>
      <c r="N5715">
        <v>523</v>
      </c>
      <c r="O5715">
        <v>2</v>
      </c>
      <c r="P5715">
        <v>523</v>
      </c>
      <c r="Q5715">
        <v>69</v>
      </c>
      <c r="R5715">
        <v>74</v>
      </c>
      <c r="S5715">
        <v>10</v>
      </c>
      <c r="T5715">
        <v>25</v>
      </c>
      <c r="U5715">
        <v>47</v>
      </c>
      <c r="V5715">
        <v>27</v>
      </c>
      <c r="W5715">
        <v>78</v>
      </c>
      <c r="X5715">
        <v>142</v>
      </c>
      <c r="Y5715">
        <v>21</v>
      </c>
      <c r="Z5715">
        <v>2</v>
      </c>
      <c r="AA5715">
        <v>2</v>
      </c>
      <c r="AB5715">
        <v>5</v>
      </c>
      <c r="AD5715">
        <v>3</v>
      </c>
      <c r="AE5715">
        <v>1</v>
      </c>
      <c r="AF5715">
        <v>1</v>
      </c>
      <c r="AG5715" t="s">
        <v>77</v>
      </c>
      <c r="AI5715" t="s">
        <v>77</v>
      </c>
      <c r="AJ5715">
        <v>16</v>
      </c>
      <c r="AK5715">
        <v>523</v>
      </c>
      <c r="AL5715">
        <v>523</v>
      </c>
      <c r="AM5715">
        <v>739</v>
      </c>
      <c r="AN5715">
        <v>44</v>
      </c>
      <c r="AO5715" t="s">
        <v>78</v>
      </c>
      <c r="AP5715">
        <v>1</v>
      </c>
      <c r="AR5715" t="s">
        <v>5821</v>
      </c>
      <c r="AS5715" s="1">
        <v>44354.117361111108</v>
      </c>
      <c r="AT5715" s="1">
        <v>44354.121087962965</v>
      </c>
      <c r="AU5715" s="1">
        <v>44354.121782407405</v>
      </c>
      <c r="AV5715" t="s">
        <v>71</v>
      </c>
      <c r="AW5715" t="s">
        <v>72</v>
      </c>
      <c r="AX5715" t="s">
        <v>73</v>
      </c>
    </row>
    <row r="5716" spans="1:50" x14ac:dyDescent="0.3">
      <c r="A5716" t="str">
        <f>"202499B0000"</f>
        <v>202499B0000</v>
      </c>
      <c r="B5716" t="str">
        <f>"202499B00002"</f>
        <v>202499B00002</v>
      </c>
      <c r="C5716" t="str">
        <f t="shared" si="288"/>
        <v>20</v>
      </c>
      <c r="D5716" t="s">
        <v>67</v>
      </c>
      <c r="E5716" t="str">
        <f t="shared" si="287"/>
        <v>025</v>
      </c>
      <c r="F5716" t="s">
        <v>5603</v>
      </c>
      <c r="G5716" t="str">
        <f>"2499"</f>
        <v>2499</v>
      </c>
      <c r="H5716" t="str">
        <f>"0000"</f>
        <v>0000</v>
      </c>
      <c r="I5716" t="s">
        <v>69</v>
      </c>
      <c r="J5716">
        <v>0</v>
      </c>
      <c r="K5716">
        <v>1</v>
      </c>
      <c r="L5716">
        <v>2</v>
      </c>
      <c r="M5716">
        <v>252</v>
      </c>
      <c r="N5716">
        <v>311</v>
      </c>
      <c r="O5716">
        <v>6</v>
      </c>
      <c r="P5716" t="s">
        <v>80</v>
      </c>
      <c r="Q5716">
        <v>25</v>
      </c>
      <c r="R5716">
        <v>23</v>
      </c>
      <c r="S5716">
        <v>6</v>
      </c>
      <c r="T5716">
        <v>22</v>
      </c>
      <c r="U5716">
        <v>33</v>
      </c>
      <c r="V5716">
        <v>9</v>
      </c>
      <c r="W5716">
        <v>37</v>
      </c>
      <c r="X5716">
        <v>113</v>
      </c>
      <c r="Y5716">
        <v>19</v>
      </c>
      <c r="Z5716">
        <v>5</v>
      </c>
      <c r="AA5716">
        <v>1</v>
      </c>
      <c r="AB5716">
        <v>6</v>
      </c>
      <c r="AD5716">
        <v>2</v>
      </c>
      <c r="AE5716">
        <v>0</v>
      </c>
      <c r="AF5716">
        <v>0</v>
      </c>
      <c r="AG5716">
        <v>0</v>
      </c>
      <c r="AI5716">
        <v>0</v>
      </c>
      <c r="AJ5716">
        <v>10</v>
      </c>
      <c r="AK5716">
        <v>311</v>
      </c>
      <c r="AL5716">
        <v>311</v>
      </c>
      <c r="AM5716">
        <v>519</v>
      </c>
      <c r="AN5716">
        <v>44</v>
      </c>
      <c r="AP5716">
        <v>1</v>
      </c>
      <c r="AR5716" t="s">
        <v>5822</v>
      </c>
      <c r="AS5716" s="1">
        <v>44354.118055555555</v>
      </c>
      <c r="AT5716" s="1">
        <v>44354.121689814812</v>
      </c>
      <c r="AU5716" s="1">
        <v>44354.122870370367</v>
      </c>
      <c r="AV5716" t="s">
        <v>71</v>
      </c>
      <c r="AW5716" t="s">
        <v>72</v>
      </c>
      <c r="AX5716" t="s">
        <v>73</v>
      </c>
    </row>
    <row r="5717" spans="1:50" x14ac:dyDescent="0.3">
      <c r="A5717" t="str">
        <f>"202499C0100"</f>
        <v>202499C0100</v>
      </c>
      <c r="B5717" t="str">
        <f>"202499C01002"</f>
        <v>202499C01002</v>
      </c>
      <c r="C5717" t="str">
        <f t="shared" si="288"/>
        <v>20</v>
      </c>
      <c r="D5717" t="s">
        <v>67</v>
      </c>
      <c r="E5717" t="str">
        <f t="shared" si="287"/>
        <v>025</v>
      </c>
      <c r="F5717" t="s">
        <v>5603</v>
      </c>
      <c r="G5717" t="str">
        <f>"2499"</f>
        <v>2499</v>
      </c>
      <c r="H5717" t="str">
        <f>"0001"</f>
        <v>0001</v>
      </c>
      <c r="I5717" t="s">
        <v>75</v>
      </c>
      <c r="J5717">
        <v>0</v>
      </c>
      <c r="K5717">
        <v>1</v>
      </c>
      <c r="L5717">
        <v>2</v>
      </c>
      <c r="M5717">
        <v>236</v>
      </c>
      <c r="N5717">
        <v>327</v>
      </c>
      <c r="O5717">
        <v>4</v>
      </c>
      <c r="P5717" t="s">
        <v>80</v>
      </c>
      <c r="Q5717">
        <v>18</v>
      </c>
      <c r="R5717">
        <v>35</v>
      </c>
      <c r="S5717">
        <v>7</v>
      </c>
      <c r="T5717">
        <v>13</v>
      </c>
      <c r="U5717">
        <v>33</v>
      </c>
      <c r="V5717">
        <v>4</v>
      </c>
      <c r="W5717">
        <v>50</v>
      </c>
      <c r="X5717">
        <v>110</v>
      </c>
      <c r="Y5717">
        <v>23</v>
      </c>
      <c r="Z5717">
        <v>6</v>
      </c>
      <c r="AA5717">
        <v>3</v>
      </c>
      <c r="AB5717">
        <v>5</v>
      </c>
      <c r="AD5717">
        <v>4</v>
      </c>
      <c r="AE5717">
        <v>1</v>
      </c>
      <c r="AF5717">
        <v>0</v>
      </c>
      <c r="AG5717">
        <v>0</v>
      </c>
      <c r="AI5717" t="s">
        <v>77</v>
      </c>
      <c r="AJ5717">
        <v>14</v>
      </c>
      <c r="AK5717">
        <v>326</v>
      </c>
      <c r="AL5717">
        <v>326</v>
      </c>
      <c r="AM5717">
        <v>519</v>
      </c>
      <c r="AN5717">
        <v>44</v>
      </c>
      <c r="AO5717" t="s">
        <v>78</v>
      </c>
      <c r="AP5717">
        <v>1</v>
      </c>
      <c r="AR5717" t="s">
        <v>5823</v>
      </c>
      <c r="AS5717" s="1">
        <v>44354.118055555555</v>
      </c>
      <c r="AT5717" s="1">
        <v>44354.121331018519</v>
      </c>
      <c r="AU5717" s="1">
        <v>44354.121782407405</v>
      </c>
      <c r="AV5717" t="s">
        <v>71</v>
      </c>
      <c r="AW5717" t="s">
        <v>72</v>
      </c>
      <c r="AX5717" t="s">
        <v>73</v>
      </c>
    </row>
    <row r="5718" spans="1:50" x14ac:dyDescent="0.3">
      <c r="A5718" t="str">
        <f>"202499C0200"</f>
        <v>202499C0200</v>
      </c>
      <c r="B5718" t="str">
        <f>"202499C02002"</f>
        <v>202499C02002</v>
      </c>
      <c r="C5718" t="str">
        <f t="shared" si="288"/>
        <v>20</v>
      </c>
      <c r="D5718" t="s">
        <v>67</v>
      </c>
      <c r="E5718" t="str">
        <f t="shared" si="287"/>
        <v>025</v>
      </c>
      <c r="F5718" t="s">
        <v>5603</v>
      </c>
      <c r="G5718" t="str">
        <f>"2499"</f>
        <v>2499</v>
      </c>
      <c r="H5718" t="str">
        <f>"0002"</f>
        <v>0002</v>
      </c>
      <c r="I5718" t="s">
        <v>75</v>
      </c>
      <c r="J5718">
        <v>0</v>
      </c>
      <c r="K5718">
        <v>1</v>
      </c>
      <c r="L5718">
        <v>2</v>
      </c>
      <c r="M5718">
        <v>221</v>
      </c>
      <c r="N5718">
        <v>341</v>
      </c>
      <c r="O5718">
        <v>4</v>
      </c>
      <c r="P5718">
        <v>34</v>
      </c>
      <c r="Q5718">
        <v>34</v>
      </c>
      <c r="R5718">
        <v>31</v>
      </c>
      <c r="S5718">
        <v>12</v>
      </c>
      <c r="T5718">
        <v>11</v>
      </c>
      <c r="U5718">
        <v>34</v>
      </c>
      <c r="V5718">
        <v>8</v>
      </c>
      <c r="W5718">
        <v>65</v>
      </c>
      <c r="X5718">
        <v>96</v>
      </c>
      <c r="Y5718">
        <v>17</v>
      </c>
      <c r="Z5718">
        <v>7</v>
      </c>
      <c r="AA5718">
        <v>2</v>
      </c>
      <c r="AB5718">
        <v>6</v>
      </c>
      <c r="AD5718">
        <v>3</v>
      </c>
      <c r="AE5718">
        <v>2</v>
      </c>
      <c r="AF5718">
        <v>1</v>
      </c>
      <c r="AG5718">
        <v>0</v>
      </c>
      <c r="AI5718">
        <v>0</v>
      </c>
      <c r="AJ5718">
        <v>13</v>
      </c>
      <c r="AK5718">
        <v>342</v>
      </c>
      <c r="AL5718">
        <v>342</v>
      </c>
      <c r="AM5718">
        <v>518</v>
      </c>
      <c r="AN5718">
        <v>44</v>
      </c>
      <c r="AP5718">
        <v>1</v>
      </c>
      <c r="AR5718" t="s">
        <v>5824</v>
      </c>
      <c r="AS5718" s="1">
        <v>44354.12222222222</v>
      </c>
      <c r="AT5718" s="1">
        <v>44354.125092592592</v>
      </c>
      <c r="AU5718" s="1">
        <v>44354.126157407409</v>
      </c>
      <c r="AV5718" t="s">
        <v>71</v>
      </c>
      <c r="AW5718" t="s">
        <v>72</v>
      </c>
      <c r="AX5718" t="s">
        <v>73</v>
      </c>
    </row>
    <row r="5719" spans="1:50" x14ac:dyDescent="0.3">
      <c r="A5719" t="str">
        <f>"200005S0100"</f>
        <v>200005S0100</v>
      </c>
      <c r="B5719" t="str">
        <f>"200005S01002ERP"</f>
        <v>200005S01002ERP</v>
      </c>
      <c r="C5719" t="str">
        <f t="shared" si="288"/>
        <v>20</v>
      </c>
      <c r="D5719" t="s">
        <v>67</v>
      </c>
      <c r="E5719" t="str">
        <f>"001"</f>
        <v>001</v>
      </c>
      <c r="F5719" t="s">
        <v>68</v>
      </c>
      <c r="G5719" t="str">
        <f>"0005"</f>
        <v>0005</v>
      </c>
      <c r="H5719" t="str">
        <f t="shared" ref="H5719:H5734" si="289">"0001"</f>
        <v>0001</v>
      </c>
      <c r="I5719" t="s">
        <v>85</v>
      </c>
      <c r="J5719">
        <v>0</v>
      </c>
      <c r="K5719">
        <v>1</v>
      </c>
      <c r="L5719" t="s">
        <v>5825</v>
      </c>
      <c r="M5719">
        <v>884</v>
      </c>
      <c r="N5719">
        <v>61</v>
      </c>
      <c r="O5719">
        <v>0</v>
      </c>
      <c r="P5719">
        <v>884</v>
      </c>
      <c r="Q5719">
        <v>2</v>
      </c>
      <c r="R5719">
        <v>19</v>
      </c>
      <c r="S5719">
        <v>1</v>
      </c>
      <c r="T5719">
        <v>0</v>
      </c>
      <c r="U5719">
        <v>0</v>
      </c>
      <c r="V5719">
        <v>0</v>
      </c>
      <c r="W5719">
        <v>1</v>
      </c>
      <c r="X5719">
        <v>36</v>
      </c>
      <c r="Y5719">
        <v>0</v>
      </c>
      <c r="Z5719">
        <v>0</v>
      </c>
      <c r="AA5719">
        <v>0</v>
      </c>
      <c r="AB5719">
        <v>1</v>
      </c>
      <c r="AI5719">
        <v>0</v>
      </c>
      <c r="AJ5719">
        <v>1</v>
      </c>
      <c r="AK5719">
        <v>61</v>
      </c>
      <c r="AL5719">
        <v>61</v>
      </c>
      <c r="AM5719">
        <v>0</v>
      </c>
      <c r="AN5719">
        <v>44</v>
      </c>
      <c r="AP5719">
        <v>1</v>
      </c>
      <c r="AR5719" s="2" t="s">
        <v>5826</v>
      </c>
      <c r="AS5719" s="1">
        <v>44354.00277777778</v>
      </c>
      <c r="AT5719" s="1">
        <v>44354.707199074073</v>
      </c>
      <c r="AU5719" s="1">
        <v>44354.708055555559</v>
      </c>
      <c r="AV5719" t="s">
        <v>71</v>
      </c>
      <c r="AW5719" t="s">
        <v>72</v>
      </c>
      <c r="AX5719" t="s">
        <v>73</v>
      </c>
    </row>
    <row r="5720" spans="1:50" x14ac:dyDescent="0.3">
      <c r="A5720" t="str">
        <f>"201375S0100"</f>
        <v>201375S0100</v>
      </c>
      <c r="B5720" t="str">
        <f>"201375S01002ERP"</f>
        <v>201375S01002ERP</v>
      </c>
      <c r="C5720" t="str">
        <f t="shared" si="288"/>
        <v>20</v>
      </c>
      <c r="D5720" t="s">
        <v>67</v>
      </c>
      <c r="E5720" t="str">
        <f>"001"</f>
        <v>001</v>
      </c>
      <c r="F5720" t="s">
        <v>68</v>
      </c>
      <c r="G5720" t="str">
        <f>"1375"</f>
        <v>1375</v>
      </c>
      <c r="H5720" t="str">
        <f t="shared" si="289"/>
        <v>0001</v>
      </c>
      <c r="I5720" t="s">
        <v>85</v>
      </c>
      <c r="J5720">
        <v>0</v>
      </c>
      <c r="K5720">
        <v>1</v>
      </c>
      <c r="L5720" t="s">
        <v>5825</v>
      </c>
      <c r="M5720">
        <v>907</v>
      </c>
      <c r="N5720" t="s">
        <v>99</v>
      </c>
      <c r="O5720">
        <v>0</v>
      </c>
      <c r="P5720">
        <v>46</v>
      </c>
      <c r="Q5720">
        <v>0</v>
      </c>
      <c r="R5720">
        <v>18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22</v>
      </c>
      <c r="Y5720">
        <v>1</v>
      </c>
      <c r="Z5720">
        <v>0</v>
      </c>
      <c r="AA5720">
        <v>0</v>
      </c>
      <c r="AB5720">
        <v>1</v>
      </c>
      <c r="AI5720">
        <v>0</v>
      </c>
      <c r="AJ5720">
        <v>0</v>
      </c>
      <c r="AK5720">
        <v>0</v>
      </c>
      <c r="AL5720">
        <v>42</v>
      </c>
      <c r="AM5720">
        <v>0</v>
      </c>
      <c r="AN5720">
        <v>44</v>
      </c>
      <c r="AP5720">
        <v>1</v>
      </c>
      <c r="AR5720" t="s">
        <v>5827</v>
      </c>
      <c r="AS5720" s="1">
        <v>44354.232638888891</v>
      </c>
      <c r="AT5720" s="1">
        <v>44354.706909722219</v>
      </c>
      <c r="AU5720" s="1">
        <v>44354.711886574078</v>
      </c>
      <c r="AV5720" t="s">
        <v>71</v>
      </c>
      <c r="AW5720" t="s">
        <v>72</v>
      </c>
      <c r="AX5720" t="s">
        <v>73</v>
      </c>
    </row>
    <row r="5721" spans="1:50" x14ac:dyDescent="0.3">
      <c r="A5721" t="str">
        <f>"201020S0100"</f>
        <v>201020S0100</v>
      </c>
      <c r="B5721" t="str">
        <f>"201020S01002ERP"</f>
        <v>201020S01002ERP</v>
      </c>
      <c r="C5721" t="str">
        <f t="shared" si="288"/>
        <v>20</v>
      </c>
      <c r="D5721" t="s">
        <v>67</v>
      </c>
      <c r="E5721" t="str">
        <f>"002"</f>
        <v>002</v>
      </c>
      <c r="F5721" t="s">
        <v>311</v>
      </c>
      <c r="G5721" t="str">
        <f>"1020"</f>
        <v>1020</v>
      </c>
      <c r="H5721" t="str">
        <f t="shared" si="289"/>
        <v>0001</v>
      </c>
      <c r="I5721" t="s">
        <v>85</v>
      </c>
      <c r="J5721">
        <v>0</v>
      </c>
      <c r="K5721">
        <v>1</v>
      </c>
      <c r="L5721" t="s">
        <v>5825</v>
      </c>
      <c r="M5721">
        <v>551</v>
      </c>
      <c r="N5721">
        <v>208</v>
      </c>
      <c r="O5721">
        <v>0</v>
      </c>
      <c r="P5721">
        <v>208</v>
      </c>
      <c r="Q5721">
        <v>9</v>
      </c>
      <c r="R5721">
        <v>30</v>
      </c>
      <c r="S5721">
        <v>2</v>
      </c>
      <c r="T5721">
        <v>3</v>
      </c>
      <c r="U5721">
        <v>4</v>
      </c>
      <c r="V5721">
        <v>7</v>
      </c>
      <c r="W5721">
        <v>3</v>
      </c>
      <c r="X5721">
        <v>127</v>
      </c>
      <c r="Y5721">
        <v>11</v>
      </c>
      <c r="Z5721">
        <v>0</v>
      </c>
      <c r="AA5721">
        <v>1</v>
      </c>
      <c r="AB5721">
        <v>5</v>
      </c>
      <c r="AI5721">
        <v>0</v>
      </c>
      <c r="AJ5721">
        <v>6</v>
      </c>
      <c r="AK5721">
        <v>208</v>
      </c>
      <c r="AL5721">
        <v>208</v>
      </c>
      <c r="AM5721">
        <v>0</v>
      </c>
      <c r="AN5721">
        <v>44</v>
      </c>
      <c r="AP5721">
        <v>1</v>
      </c>
      <c r="AR5721" t="s">
        <v>5828</v>
      </c>
      <c r="AS5721" s="1">
        <v>44354.102083333331</v>
      </c>
      <c r="AT5721" s="1">
        <v>44354.12771990741</v>
      </c>
      <c r="AU5721" s="1">
        <v>44354.128171296295</v>
      </c>
      <c r="AV5721" t="s">
        <v>71</v>
      </c>
      <c r="AW5721" t="s">
        <v>72</v>
      </c>
      <c r="AX5721" t="s">
        <v>73</v>
      </c>
    </row>
    <row r="5722" spans="1:50" x14ac:dyDescent="0.3">
      <c r="A5722" t="str">
        <f>"201028S0100"</f>
        <v>201028S0100</v>
      </c>
      <c r="B5722" t="str">
        <f>"201028S01002ERP"</f>
        <v>201028S01002ERP</v>
      </c>
      <c r="C5722" t="str">
        <f t="shared" si="288"/>
        <v>20</v>
      </c>
      <c r="D5722" t="s">
        <v>67</v>
      </c>
      <c r="E5722" t="str">
        <f>"002"</f>
        <v>002</v>
      </c>
      <c r="F5722" t="s">
        <v>311</v>
      </c>
      <c r="G5722" t="str">
        <f>"1028"</f>
        <v>1028</v>
      </c>
      <c r="H5722" t="str">
        <f t="shared" si="289"/>
        <v>0001</v>
      </c>
      <c r="I5722" t="s">
        <v>85</v>
      </c>
      <c r="J5722">
        <v>0</v>
      </c>
      <c r="K5722">
        <v>1</v>
      </c>
      <c r="L5722" t="s">
        <v>5825</v>
      </c>
      <c r="AM5722">
        <v>0</v>
      </c>
      <c r="AN5722">
        <v>44</v>
      </c>
      <c r="AO5722" t="s">
        <v>352</v>
      </c>
      <c r="AP5722">
        <v>0</v>
      </c>
      <c r="AR5722" t="s">
        <v>5829</v>
      </c>
      <c r="AS5722" s="1">
        <v>44354.447916666664</v>
      </c>
      <c r="AT5722" s="1">
        <v>44354.471134259256</v>
      </c>
      <c r="AU5722" s="1">
        <v>44354.471134259256</v>
      </c>
      <c r="AV5722" t="s">
        <v>71</v>
      </c>
      <c r="AW5722" t="s">
        <v>72</v>
      </c>
      <c r="AX5722" t="s">
        <v>73</v>
      </c>
    </row>
    <row r="5723" spans="1:50" x14ac:dyDescent="0.3">
      <c r="A5723" t="str">
        <f>"200344S0100"</f>
        <v>200344S0100</v>
      </c>
      <c r="B5723" t="str">
        <f>"200344S01002ERP"</f>
        <v>200344S01002ERP</v>
      </c>
      <c r="C5723" t="str">
        <f t="shared" si="288"/>
        <v>20</v>
      </c>
      <c r="D5723" t="s">
        <v>67</v>
      </c>
      <c r="E5723" t="str">
        <f>"003"</f>
        <v>003</v>
      </c>
      <c r="F5723" t="s">
        <v>511</v>
      </c>
      <c r="G5723" t="str">
        <f>"0344"</f>
        <v>0344</v>
      </c>
      <c r="H5723" t="str">
        <f t="shared" si="289"/>
        <v>0001</v>
      </c>
      <c r="I5723" t="s">
        <v>85</v>
      </c>
      <c r="J5723">
        <v>0</v>
      </c>
      <c r="K5723">
        <v>1</v>
      </c>
      <c r="L5723" t="s">
        <v>5825</v>
      </c>
      <c r="M5723">
        <v>837</v>
      </c>
      <c r="N5723">
        <v>163</v>
      </c>
      <c r="O5723">
        <v>0</v>
      </c>
      <c r="P5723">
        <v>99</v>
      </c>
      <c r="Q5723">
        <v>4</v>
      </c>
      <c r="R5723">
        <v>5</v>
      </c>
      <c r="S5723">
        <v>3</v>
      </c>
      <c r="T5723">
        <v>5</v>
      </c>
      <c r="U5723">
        <v>2</v>
      </c>
      <c r="V5723">
        <v>1</v>
      </c>
      <c r="W5723">
        <v>0</v>
      </c>
      <c r="X5723">
        <v>68</v>
      </c>
      <c r="Y5723">
        <v>4</v>
      </c>
      <c r="Z5723">
        <v>3</v>
      </c>
      <c r="AA5723">
        <v>2</v>
      </c>
      <c r="AB5723">
        <v>1</v>
      </c>
      <c r="AI5723">
        <v>0</v>
      </c>
      <c r="AJ5723">
        <v>1</v>
      </c>
      <c r="AK5723">
        <v>99</v>
      </c>
      <c r="AL5723">
        <v>99</v>
      </c>
      <c r="AM5723">
        <v>0</v>
      </c>
      <c r="AN5723">
        <v>44</v>
      </c>
      <c r="AP5723">
        <v>1</v>
      </c>
      <c r="AR5723" t="s">
        <v>5830</v>
      </c>
      <c r="AS5723" s="1">
        <v>44354.095833333333</v>
      </c>
      <c r="AT5723" s="1">
        <v>44354.099282407406</v>
      </c>
      <c r="AU5723" s="1">
        <v>44354.099606481483</v>
      </c>
      <c r="AV5723" t="s">
        <v>71</v>
      </c>
      <c r="AW5723" t="s">
        <v>72</v>
      </c>
      <c r="AX5723" t="s">
        <v>73</v>
      </c>
    </row>
    <row r="5724" spans="1:50" x14ac:dyDescent="0.3">
      <c r="A5724" t="str">
        <f>"200240S0100"</f>
        <v>200240S0100</v>
      </c>
      <c r="B5724" t="str">
        <f>"200240S01002ERP"</f>
        <v>200240S01002ERP</v>
      </c>
      <c r="C5724" t="str">
        <f t="shared" si="288"/>
        <v>20</v>
      </c>
      <c r="D5724" t="s">
        <v>67</v>
      </c>
      <c r="E5724" t="str">
        <f>"004"</f>
        <v>004</v>
      </c>
      <c r="F5724" t="s">
        <v>725</v>
      </c>
      <c r="G5724" t="str">
        <f>"0240"</f>
        <v>0240</v>
      </c>
      <c r="H5724" t="str">
        <f t="shared" si="289"/>
        <v>0001</v>
      </c>
      <c r="I5724" t="s">
        <v>85</v>
      </c>
      <c r="J5724">
        <v>0</v>
      </c>
      <c r="K5724">
        <v>1</v>
      </c>
      <c r="L5724" t="s">
        <v>5825</v>
      </c>
      <c r="M5724">
        <v>891</v>
      </c>
      <c r="N5724">
        <v>62</v>
      </c>
      <c r="O5724">
        <v>0</v>
      </c>
      <c r="P5724">
        <v>62</v>
      </c>
      <c r="Q5724">
        <v>0</v>
      </c>
      <c r="R5724">
        <v>9</v>
      </c>
      <c r="S5724">
        <v>2</v>
      </c>
      <c r="T5724">
        <v>0</v>
      </c>
      <c r="U5724">
        <v>4</v>
      </c>
      <c r="V5724">
        <v>3</v>
      </c>
      <c r="W5724">
        <v>0</v>
      </c>
      <c r="X5724">
        <v>41</v>
      </c>
      <c r="Y5724">
        <v>1</v>
      </c>
      <c r="Z5724">
        <v>0</v>
      </c>
      <c r="AA5724">
        <v>0</v>
      </c>
      <c r="AB5724">
        <v>2</v>
      </c>
      <c r="AI5724">
        <v>0</v>
      </c>
      <c r="AJ5724">
        <v>0</v>
      </c>
      <c r="AK5724">
        <v>62</v>
      </c>
      <c r="AL5724">
        <v>62</v>
      </c>
      <c r="AM5724">
        <v>0</v>
      </c>
      <c r="AN5724">
        <v>44</v>
      </c>
      <c r="AP5724">
        <v>1</v>
      </c>
      <c r="AR5724" t="s">
        <v>5831</v>
      </c>
      <c r="AS5724" s="1">
        <v>44354.193055555559</v>
      </c>
      <c r="AT5724" s="1">
        <v>44354.196423611109</v>
      </c>
      <c r="AU5724" s="1">
        <v>44354.196840277778</v>
      </c>
      <c r="AV5724" t="s">
        <v>71</v>
      </c>
      <c r="AW5724" t="s">
        <v>72</v>
      </c>
      <c r="AX5724" t="s">
        <v>73</v>
      </c>
    </row>
    <row r="5725" spans="1:50" x14ac:dyDescent="0.3">
      <c r="A5725" t="str">
        <f>"200988S0100"</f>
        <v>200988S0100</v>
      </c>
      <c r="B5725" t="str">
        <f>"200988S01002ERP"</f>
        <v>200988S01002ERP</v>
      </c>
      <c r="C5725" t="str">
        <f t="shared" si="288"/>
        <v>20</v>
      </c>
      <c r="D5725" t="s">
        <v>67</v>
      </c>
      <c r="E5725" t="str">
        <f>"004"</f>
        <v>004</v>
      </c>
      <c r="F5725" t="s">
        <v>725</v>
      </c>
      <c r="G5725" t="str">
        <f>"0988"</f>
        <v>0988</v>
      </c>
      <c r="H5725" t="str">
        <f t="shared" si="289"/>
        <v>0001</v>
      </c>
      <c r="I5725" t="s">
        <v>85</v>
      </c>
      <c r="J5725">
        <v>0</v>
      </c>
      <c r="K5725">
        <v>1</v>
      </c>
      <c r="L5725" t="s">
        <v>5825</v>
      </c>
      <c r="M5725">
        <v>802</v>
      </c>
      <c r="N5725">
        <v>198</v>
      </c>
      <c r="O5725">
        <v>0</v>
      </c>
      <c r="P5725" t="s">
        <v>80</v>
      </c>
      <c r="Q5725">
        <v>7</v>
      </c>
      <c r="R5725">
        <v>26</v>
      </c>
      <c r="S5725">
        <v>3</v>
      </c>
      <c r="T5725">
        <v>3</v>
      </c>
      <c r="U5725">
        <v>3</v>
      </c>
      <c r="V5725">
        <v>2</v>
      </c>
      <c r="W5725">
        <v>8</v>
      </c>
      <c r="X5725">
        <v>136</v>
      </c>
      <c r="Y5725">
        <v>1</v>
      </c>
      <c r="Z5725">
        <v>1</v>
      </c>
      <c r="AA5725">
        <v>0</v>
      </c>
      <c r="AB5725">
        <v>1</v>
      </c>
      <c r="AI5725">
        <v>0</v>
      </c>
      <c r="AJ5725">
        <v>6</v>
      </c>
      <c r="AK5725">
        <v>198</v>
      </c>
      <c r="AL5725">
        <v>197</v>
      </c>
      <c r="AM5725">
        <v>0</v>
      </c>
      <c r="AN5725">
        <v>44</v>
      </c>
      <c r="AP5725">
        <v>1</v>
      </c>
      <c r="AR5725" t="s">
        <v>5832</v>
      </c>
      <c r="AS5725" s="1">
        <v>44354.392361111109</v>
      </c>
      <c r="AT5725" s="1">
        <v>44354.394745370373</v>
      </c>
      <c r="AU5725" s="1">
        <v>44354.395266203705</v>
      </c>
      <c r="AV5725" t="s">
        <v>71</v>
      </c>
      <c r="AW5725" t="s">
        <v>72</v>
      </c>
      <c r="AX5725" t="s">
        <v>73</v>
      </c>
    </row>
    <row r="5726" spans="1:50" x14ac:dyDescent="0.3">
      <c r="A5726" t="str">
        <f>"202325S0100"</f>
        <v>202325S0100</v>
      </c>
      <c r="B5726" t="str">
        <f>"202325S01002ERP"</f>
        <v>202325S01002ERP</v>
      </c>
      <c r="C5726" t="str">
        <f t="shared" si="288"/>
        <v>20</v>
      </c>
      <c r="D5726" t="s">
        <v>67</v>
      </c>
      <c r="E5726" t="str">
        <f>"004"</f>
        <v>004</v>
      </c>
      <c r="F5726" t="s">
        <v>725</v>
      </c>
      <c r="G5726" t="str">
        <f>"2325"</f>
        <v>2325</v>
      </c>
      <c r="H5726" t="str">
        <f t="shared" si="289"/>
        <v>0001</v>
      </c>
      <c r="I5726" t="s">
        <v>85</v>
      </c>
      <c r="J5726">
        <v>0</v>
      </c>
      <c r="K5726">
        <v>1</v>
      </c>
      <c r="L5726" t="s">
        <v>5825</v>
      </c>
      <c r="M5726">
        <v>776</v>
      </c>
      <c r="N5726">
        <v>97</v>
      </c>
      <c r="O5726">
        <v>0</v>
      </c>
      <c r="P5726">
        <v>97</v>
      </c>
      <c r="Q5726">
        <v>1</v>
      </c>
      <c r="R5726">
        <v>19</v>
      </c>
      <c r="S5726">
        <v>2</v>
      </c>
      <c r="T5726">
        <v>3</v>
      </c>
      <c r="U5726">
        <v>4</v>
      </c>
      <c r="V5726">
        <v>1</v>
      </c>
      <c r="W5726">
        <v>2</v>
      </c>
      <c r="X5726">
        <v>53</v>
      </c>
      <c r="Y5726">
        <v>0</v>
      </c>
      <c r="Z5726">
        <v>3</v>
      </c>
      <c r="AA5726">
        <v>1</v>
      </c>
      <c r="AB5726">
        <v>5</v>
      </c>
      <c r="AI5726">
        <v>0</v>
      </c>
      <c r="AJ5726">
        <v>3</v>
      </c>
      <c r="AK5726">
        <v>97</v>
      </c>
      <c r="AL5726">
        <v>97</v>
      </c>
      <c r="AM5726">
        <v>0</v>
      </c>
      <c r="AN5726">
        <v>44</v>
      </c>
      <c r="AP5726">
        <v>1</v>
      </c>
      <c r="AR5726" t="s">
        <v>5833</v>
      </c>
      <c r="AS5726" s="1">
        <v>44354.027083333334</v>
      </c>
      <c r="AT5726" s="1">
        <v>44354.515196759261</v>
      </c>
      <c r="AU5726" s="1">
        <v>44354.515613425923</v>
      </c>
      <c r="AV5726" t="s">
        <v>71</v>
      </c>
      <c r="AW5726" t="s">
        <v>72</v>
      </c>
      <c r="AX5726" t="s">
        <v>73</v>
      </c>
    </row>
    <row r="5727" spans="1:50" x14ac:dyDescent="0.3">
      <c r="A5727" t="str">
        <f>"200059S0100"</f>
        <v>200059S0100</v>
      </c>
      <c r="B5727" t="str">
        <f>"200059S01002ERP"</f>
        <v>200059S01002ERP</v>
      </c>
      <c r="C5727" t="str">
        <f t="shared" si="288"/>
        <v>20</v>
      </c>
      <c r="D5727" t="s">
        <v>67</v>
      </c>
      <c r="E5727" t="str">
        <f>"005"</f>
        <v>005</v>
      </c>
      <c r="F5727" t="s">
        <v>962</v>
      </c>
      <c r="G5727" t="str">
        <f>"0059"</f>
        <v>0059</v>
      </c>
      <c r="H5727" t="str">
        <f t="shared" si="289"/>
        <v>0001</v>
      </c>
      <c r="I5727" t="s">
        <v>85</v>
      </c>
      <c r="J5727">
        <v>0</v>
      </c>
      <c r="K5727">
        <v>1</v>
      </c>
      <c r="L5727" t="s">
        <v>5825</v>
      </c>
      <c r="M5727">
        <v>573</v>
      </c>
      <c r="N5727">
        <v>161</v>
      </c>
      <c r="O5727">
        <v>0</v>
      </c>
      <c r="P5727">
        <v>161</v>
      </c>
      <c r="Q5727">
        <v>6</v>
      </c>
      <c r="R5727">
        <v>15</v>
      </c>
      <c r="S5727">
        <v>3</v>
      </c>
      <c r="T5727">
        <v>8</v>
      </c>
      <c r="U5727">
        <v>5</v>
      </c>
      <c r="V5727">
        <v>2</v>
      </c>
      <c r="W5727">
        <v>8</v>
      </c>
      <c r="X5727">
        <v>94</v>
      </c>
      <c r="Y5727">
        <v>6</v>
      </c>
      <c r="Z5727">
        <v>0</v>
      </c>
      <c r="AA5727">
        <v>6</v>
      </c>
      <c r="AB5727">
        <v>2</v>
      </c>
      <c r="AI5727">
        <v>0</v>
      </c>
      <c r="AJ5727">
        <v>6</v>
      </c>
      <c r="AK5727">
        <v>161</v>
      </c>
      <c r="AL5727">
        <v>161</v>
      </c>
      <c r="AM5727">
        <v>0</v>
      </c>
      <c r="AN5727">
        <v>44</v>
      </c>
      <c r="AP5727">
        <v>1</v>
      </c>
      <c r="AR5727" t="s">
        <v>5834</v>
      </c>
      <c r="AS5727" s="1">
        <v>44354.001087962963</v>
      </c>
      <c r="AT5727" s="1">
        <v>44354.005972222221</v>
      </c>
      <c r="AU5727" s="1">
        <v>44354.006574074076</v>
      </c>
      <c r="AV5727" t="s">
        <v>269</v>
      </c>
      <c r="AW5727" t="s">
        <v>270</v>
      </c>
      <c r="AX5727" t="s">
        <v>73</v>
      </c>
    </row>
    <row r="5728" spans="1:50" x14ac:dyDescent="0.3">
      <c r="A5728" t="str">
        <f>"201589S0100"</f>
        <v>201589S0100</v>
      </c>
      <c r="B5728" t="str">
        <f>"201589S01002ERP"</f>
        <v>201589S01002ERP</v>
      </c>
      <c r="C5728" t="str">
        <f t="shared" si="288"/>
        <v>20</v>
      </c>
      <c r="D5728" t="s">
        <v>67</v>
      </c>
      <c r="E5728" t="str">
        <f>"005"</f>
        <v>005</v>
      </c>
      <c r="F5728" t="s">
        <v>962</v>
      </c>
      <c r="G5728" t="str">
        <f>"1589"</f>
        <v>1589</v>
      </c>
      <c r="H5728" t="str">
        <f t="shared" si="289"/>
        <v>0001</v>
      </c>
      <c r="I5728" t="s">
        <v>85</v>
      </c>
      <c r="J5728">
        <v>0</v>
      </c>
      <c r="K5728">
        <v>1</v>
      </c>
      <c r="L5728" t="s">
        <v>5825</v>
      </c>
      <c r="M5728">
        <v>906</v>
      </c>
      <c r="N5728">
        <v>59</v>
      </c>
      <c r="O5728">
        <v>0</v>
      </c>
      <c r="P5728">
        <v>59</v>
      </c>
      <c r="Q5728">
        <v>2</v>
      </c>
      <c r="R5728">
        <v>9</v>
      </c>
      <c r="S5728">
        <v>1</v>
      </c>
      <c r="T5728">
        <v>2</v>
      </c>
      <c r="U5728">
        <v>3</v>
      </c>
      <c r="V5728">
        <v>4</v>
      </c>
      <c r="W5728">
        <v>0</v>
      </c>
      <c r="X5728">
        <v>29</v>
      </c>
      <c r="Y5728">
        <v>3</v>
      </c>
      <c r="Z5728">
        <v>0</v>
      </c>
      <c r="AA5728">
        <v>0</v>
      </c>
      <c r="AB5728">
        <v>2</v>
      </c>
      <c r="AI5728">
        <v>0</v>
      </c>
      <c r="AJ5728">
        <v>4</v>
      </c>
      <c r="AK5728">
        <v>59</v>
      </c>
      <c r="AL5728">
        <v>59</v>
      </c>
      <c r="AM5728">
        <v>0</v>
      </c>
      <c r="AN5728">
        <v>44</v>
      </c>
      <c r="AP5728">
        <v>1</v>
      </c>
      <c r="AR5728" t="s">
        <v>5835</v>
      </c>
      <c r="AS5728" s="1">
        <v>44354.21875</v>
      </c>
      <c r="AT5728" s="1">
        <v>44354.221504629626</v>
      </c>
      <c r="AU5728" s="1">
        <v>44354.225416666668</v>
      </c>
      <c r="AV5728" t="s">
        <v>71</v>
      </c>
      <c r="AW5728" t="s">
        <v>72</v>
      </c>
      <c r="AX5728" t="s">
        <v>73</v>
      </c>
    </row>
    <row r="5729" spans="1:50" x14ac:dyDescent="0.3">
      <c r="A5729" t="str">
        <f>"200212S0100"</f>
        <v>200212S0100</v>
      </c>
      <c r="B5729" t="str">
        <f>"200212S01002ERP"</f>
        <v>200212S01002ERP</v>
      </c>
      <c r="C5729" t="str">
        <f t="shared" si="288"/>
        <v>20</v>
      </c>
      <c r="D5729" t="s">
        <v>67</v>
      </c>
      <c r="E5729" t="str">
        <f>"006"</f>
        <v>006</v>
      </c>
      <c r="F5729" t="s">
        <v>1254</v>
      </c>
      <c r="G5729" t="str">
        <f>"0212"</f>
        <v>0212</v>
      </c>
      <c r="H5729" t="str">
        <f t="shared" si="289"/>
        <v>0001</v>
      </c>
      <c r="I5729" t="s">
        <v>85</v>
      </c>
      <c r="J5729">
        <v>0</v>
      </c>
      <c r="K5729">
        <v>1</v>
      </c>
      <c r="L5729" t="s">
        <v>5825</v>
      </c>
      <c r="M5729">
        <v>540</v>
      </c>
      <c r="N5729" t="s">
        <v>80</v>
      </c>
      <c r="O5729">
        <v>0</v>
      </c>
      <c r="P5729" t="s">
        <v>80</v>
      </c>
      <c r="Q5729">
        <v>27</v>
      </c>
      <c r="R5729">
        <v>30</v>
      </c>
      <c r="S5729">
        <v>5</v>
      </c>
      <c r="T5729">
        <v>18</v>
      </c>
      <c r="U5729">
        <v>15</v>
      </c>
      <c r="V5729">
        <v>5</v>
      </c>
      <c r="W5729">
        <v>1</v>
      </c>
      <c r="X5729">
        <v>168</v>
      </c>
      <c r="Y5729">
        <v>10</v>
      </c>
      <c r="Z5729">
        <v>4</v>
      </c>
      <c r="AA5729">
        <v>3</v>
      </c>
      <c r="AB5729">
        <v>5</v>
      </c>
      <c r="AI5729" t="s">
        <v>77</v>
      </c>
      <c r="AJ5729">
        <v>7</v>
      </c>
      <c r="AK5729">
        <v>298</v>
      </c>
      <c r="AL5729">
        <v>298</v>
      </c>
      <c r="AM5729">
        <v>0</v>
      </c>
      <c r="AN5729">
        <v>44</v>
      </c>
      <c r="AO5729" t="s">
        <v>78</v>
      </c>
      <c r="AP5729">
        <v>1</v>
      </c>
      <c r="AR5729" t="s">
        <v>5836</v>
      </c>
      <c r="AS5729" s="1">
        <v>44354.022546296299</v>
      </c>
      <c r="AT5729" s="1">
        <v>44354.030381944445</v>
      </c>
      <c r="AU5729" s="1">
        <v>44354.030763888892</v>
      </c>
      <c r="AV5729" t="s">
        <v>269</v>
      </c>
      <c r="AW5729" t="s">
        <v>270</v>
      </c>
      <c r="AX5729" t="s">
        <v>73</v>
      </c>
    </row>
    <row r="5730" spans="1:50" x14ac:dyDescent="0.3">
      <c r="A5730" t="str">
        <f>"200231S0100"</f>
        <v>200231S0100</v>
      </c>
      <c r="B5730" t="str">
        <f>"200231S01002ERP"</f>
        <v>200231S01002ERP</v>
      </c>
      <c r="C5730" t="str">
        <f t="shared" si="288"/>
        <v>20</v>
      </c>
      <c r="D5730" t="s">
        <v>67</v>
      </c>
      <c r="E5730" t="str">
        <f>"006"</f>
        <v>006</v>
      </c>
      <c r="F5730" t="s">
        <v>1254</v>
      </c>
      <c r="G5730" t="str">
        <f>"0231"</f>
        <v>0231</v>
      </c>
      <c r="H5730" t="str">
        <f t="shared" si="289"/>
        <v>0001</v>
      </c>
      <c r="I5730" t="s">
        <v>85</v>
      </c>
      <c r="J5730">
        <v>0</v>
      </c>
      <c r="K5730">
        <v>1</v>
      </c>
      <c r="L5730" t="s">
        <v>5825</v>
      </c>
      <c r="M5730">
        <v>819</v>
      </c>
      <c r="N5730">
        <v>109</v>
      </c>
      <c r="O5730">
        <v>0</v>
      </c>
      <c r="P5730" t="s">
        <v>80</v>
      </c>
      <c r="Q5730">
        <v>11</v>
      </c>
      <c r="R5730">
        <v>43</v>
      </c>
      <c r="S5730">
        <v>2</v>
      </c>
      <c r="T5730">
        <v>5</v>
      </c>
      <c r="U5730">
        <v>2</v>
      </c>
      <c r="V5730" t="s">
        <v>77</v>
      </c>
      <c r="W5730">
        <v>1</v>
      </c>
      <c r="X5730">
        <v>29</v>
      </c>
      <c r="Y5730">
        <v>3</v>
      </c>
      <c r="Z5730" t="s">
        <v>77</v>
      </c>
      <c r="AA5730">
        <v>7</v>
      </c>
      <c r="AB5730" t="s">
        <v>77</v>
      </c>
      <c r="AI5730">
        <v>4</v>
      </c>
      <c r="AJ5730" t="s">
        <v>77</v>
      </c>
      <c r="AK5730" t="s">
        <v>77</v>
      </c>
      <c r="AL5730">
        <v>107</v>
      </c>
      <c r="AM5730">
        <v>0</v>
      </c>
      <c r="AN5730">
        <v>44</v>
      </c>
      <c r="AO5730" t="s">
        <v>78</v>
      </c>
      <c r="AP5730">
        <v>1</v>
      </c>
      <c r="AR5730" t="s">
        <v>5837</v>
      </c>
      <c r="AS5730" s="1">
        <v>44353.885312500002</v>
      </c>
      <c r="AT5730" s="1">
        <v>44353.890416666669</v>
      </c>
      <c r="AU5730" s="1">
        <v>44353.891886574071</v>
      </c>
      <c r="AV5730" t="s">
        <v>269</v>
      </c>
      <c r="AW5730" t="s">
        <v>270</v>
      </c>
      <c r="AX5730" t="s">
        <v>73</v>
      </c>
    </row>
    <row r="5731" spans="1:50" x14ac:dyDescent="0.3">
      <c r="A5731" t="str">
        <f>"200646S0100"</f>
        <v>200646S0100</v>
      </c>
      <c r="B5731" t="str">
        <f>"200646S01002ERP"</f>
        <v>200646S01002ERP</v>
      </c>
      <c r="C5731" t="str">
        <f t="shared" si="288"/>
        <v>20</v>
      </c>
      <c r="D5731" t="s">
        <v>67</v>
      </c>
      <c r="E5731" t="str">
        <f>"007"</f>
        <v>007</v>
      </c>
      <c r="F5731" t="s">
        <v>1519</v>
      </c>
      <c r="G5731" t="str">
        <f>"0646"</f>
        <v>0646</v>
      </c>
      <c r="H5731" t="str">
        <f t="shared" si="289"/>
        <v>0001</v>
      </c>
      <c r="I5731" t="s">
        <v>85</v>
      </c>
      <c r="J5731">
        <v>0</v>
      </c>
      <c r="K5731">
        <v>1</v>
      </c>
      <c r="L5731" t="s">
        <v>5825</v>
      </c>
      <c r="M5731">
        <v>563</v>
      </c>
      <c r="N5731">
        <v>142</v>
      </c>
      <c r="O5731">
        <v>0</v>
      </c>
      <c r="P5731">
        <v>142</v>
      </c>
      <c r="Q5731">
        <v>0</v>
      </c>
      <c r="R5731">
        <v>2</v>
      </c>
      <c r="S5731">
        <v>4</v>
      </c>
      <c r="T5731">
        <v>5</v>
      </c>
      <c r="U5731">
        <v>12</v>
      </c>
      <c r="V5731">
        <v>2</v>
      </c>
      <c r="W5731">
        <v>2</v>
      </c>
      <c r="X5731">
        <v>63</v>
      </c>
      <c r="Y5731">
        <v>2</v>
      </c>
      <c r="Z5731">
        <v>3</v>
      </c>
      <c r="AA5731">
        <v>0</v>
      </c>
      <c r="AB5731">
        <v>3</v>
      </c>
      <c r="AI5731">
        <v>0</v>
      </c>
      <c r="AJ5731">
        <v>44</v>
      </c>
      <c r="AK5731">
        <v>142</v>
      </c>
      <c r="AL5731">
        <v>142</v>
      </c>
      <c r="AM5731">
        <v>0</v>
      </c>
      <c r="AN5731">
        <v>50</v>
      </c>
      <c r="AP5731">
        <v>1</v>
      </c>
      <c r="AR5731" t="s">
        <v>5838</v>
      </c>
      <c r="AS5731" s="1">
        <v>44354.034722222219</v>
      </c>
      <c r="AT5731" s="1">
        <v>44354.04488425926</v>
      </c>
      <c r="AU5731" s="1">
        <v>44354.046134259261</v>
      </c>
      <c r="AV5731" t="s">
        <v>71</v>
      </c>
      <c r="AW5731" t="s">
        <v>72</v>
      </c>
      <c r="AX5731" t="s">
        <v>73</v>
      </c>
    </row>
    <row r="5732" spans="1:50" x14ac:dyDescent="0.3">
      <c r="A5732" t="str">
        <f>"202033S0100"</f>
        <v>202033S0100</v>
      </c>
      <c r="B5732" t="str">
        <f>"202033S01002ERP"</f>
        <v>202033S01002ERP</v>
      </c>
      <c r="C5732" t="str">
        <f t="shared" si="288"/>
        <v>20</v>
      </c>
      <c r="D5732" t="s">
        <v>67</v>
      </c>
      <c r="E5732" t="str">
        <f>"007"</f>
        <v>007</v>
      </c>
      <c r="F5732" t="s">
        <v>1519</v>
      </c>
      <c r="G5732" t="str">
        <f>"2033"</f>
        <v>2033</v>
      </c>
      <c r="H5732" t="str">
        <f t="shared" si="289"/>
        <v>0001</v>
      </c>
      <c r="I5732" t="s">
        <v>85</v>
      </c>
      <c r="J5732">
        <v>0</v>
      </c>
      <c r="K5732">
        <v>1</v>
      </c>
      <c r="L5732" t="s">
        <v>5825</v>
      </c>
      <c r="M5732">
        <v>573</v>
      </c>
      <c r="N5732">
        <v>131</v>
      </c>
      <c r="O5732">
        <v>0</v>
      </c>
      <c r="P5732">
        <v>95</v>
      </c>
      <c r="Q5732">
        <v>3</v>
      </c>
      <c r="R5732">
        <v>6</v>
      </c>
      <c r="S5732">
        <v>1</v>
      </c>
      <c r="T5732">
        <v>4</v>
      </c>
      <c r="U5732">
        <v>6</v>
      </c>
      <c r="V5732">
        <v>3</v>
      </c>
      <c r="W5732">
        <v>0</v>
      </c>
      <c r="X5732">
        <v>57</v>
      </c>
      <c r="Y5732">
        <v>0</v>
      </c>
      <c r="Z5732">
        <v>0</v>
      </c>
      <c r="AA5732">
        <v>4</v>
      </c>
      <c r="AB5732">
        <v>7</v>
      </c>
      <c r="AI5732">
        <v>0</v>
      </c>
      <c r="AJ5732">
        <v>4</v>
      </c>
      <c r="AK5732">
        <v>95</v>
      </c>
      <c r="AL5732">
        <v>95</v>
      </c>
      <c r="AM5732">
        <v>0</v>
      </c>
      <c r="AN5732">
        <v>48</v>
      </c>
      <c r="AP5732">
        <v>1</v>
      </c>
      <c r="AR5732" t="s">
        <v>5839</v>
      </c>
      <c r="AS5732" s="1">
        <v>44354.32708333333</v>
      </c>
      <c r="AT5732" s="1">
        <v>44354.335648148146</v>
      </c>
      <c r="AU5732" s="1">
        <v>44354.336689814816</v>
      </c>
      <c r="AV5732" t="s">
        <v>71</v>
      </c>
      <c r="AW5732" t="s">
        <v>72</v>
      </c>
      <c r="AX5732" t="s">
        <v>73</v>
      </c>
    </row>
    <row r="5733" spans="1:50" x14ac:dyDescent="0.3">
      <c r="A5733" t="str">
        <f>"200106S0100"</f>
        <v>200106S0100</v>
      </c>
      <c r="B5733" t="str">
        <f>"200106S01002ERP"</f>
        <v>200106S01002ERP</v>
      </c>
      <c r="C5733" t="str">
        <f t="shared" si="288"/>
        <v>20</v>
      </c>
      <c r="D5733" t="s">
        <v>67</v>
      </c>
      <c r="E5733" t="str">
        <f>"008"</f>
        <v>008</v>
      </c>
      <c r="F5733" t="s">
        <v>1759</v>
      </c>
      <c r="G5733" t="str">
        <f>"0106"</f>
        <v>0106</v>
      </c>
      <c r="H5733" t="str">
        <f t="shared" si="289"/>
        <v>0001</v>
      </c>
      <c r="I5733" t="s">
        <v>85</v>
      </c>
      <c r="J5733">
        <v>0</v>
      </c>
      <c r="K5733">
        <v>1</v>
      </c>
      <c r="L5733" t="s">
        <v>5825</v>
      </c>
      <c r="M5733">
        <v>840</v>
      </c>
      <c r="N5733">
        <v>44</v>
      </c>
      <c r="O5733">
        <v>0</v>
      </c>
      <c r="P5733">
        <v>43</v>
      </c>
      <c r="Q5733">
        <v>2</v>
      </c>
      <c r="R5733">
        <v>3</v>
      </c>
      <c r="S5733">
        <v>0</v>
      </c>
      <c r="T5733">
        <v>0</v>
      </c>
      <c r="U5733">
        <v>8</v>
      </c>
      <c r="V5733">
        <v>0</v>
      </c>
      <c r="W5733">
        <v>0</v>
      </c>
      <c r="X5733">
        <v>26</v>
      </c>
      <c r="Y5733">
        <v>1</v>
      </c>
      <c r="Z5733">
        <v>1</v>
      </c>
      <c r="AA5733">
        <v>1</v>
      </c>
      <c r="AB5733">
        <v>0</v>
      </c>
      <c r="AI5733">
        <v>0</v>
      </c>
      <c r="AJ5733">
        <v>1</v>
      </c>
      <c r="AK5733">
        <v>43</v>
      </c>
      <c r="AL5733">
        <v>43</v>
      </c>
      <c r="AM5733">
        <v>0</v>
      </c>
      <c r="AN5733">
        <v>44</v>
      </c>
      <c r="AP5733">
        <v>1</v>
      </c>
      <c r="AR5733" t="s">
        <v>5840</v>
      </c>
      <c r="AS5733" s="1">
        <v>44354.222916666666</v>
      </c>
      <c r="AT5733" s="1">
        <v>44354.224745370368</v>
      </c>
      <c r="AU5733" s="1">
        <v>44354.225104166668</v>
      </c>
      <c r="AV5733" t="s">
        <v>71</v>
      </c>
      <c r="AW5733" t="s">
        <v>72</v>
      </c>
      <c r="AX5733" t="s">
        <v>73</v>
      </c>
    </row>
    <row r="5734" spans="1:50" x14ac:dyDescent="0.3">
      <c r="A5734" t="str">
        <f>"202368S0100"</f>
        <v>202368S0100</v>
      </c>
      <c r="B5734" t="str">
        <f>"202368S01002ERP"</f>
        <v>202368S01002ERP</v>
      </c>
      <c r="C5734" t="str">
        <f t="shared" si="288"/>
        <v>20</v>
      </c>
      <c r="D5734" t="s">
        <v>67</v>
      </c>
      <c r="E5734" t="str">
        <f>"008"</f>
        <v>008</v>
      </c>
      <c r="F5734" t="s">
        <v>1759</v>
      </c>
      <c r="G5734" t="str">
        <f>"2368"</f>
        <v>2368</v>
      </c>
      <c r="H5734" t="str">
        <f t="shared" si="289"/>
        <v>0001</v>
      </c>
      <c r="I5734" t="s">
        <v>85</v>
      </c>
      <c r="J5734">
        <v>0</v>
      </c>
      <c r="K5734">
        <v>1</v>
      </c>
      <c r="L5734" t="s">
        <v>5825</v>
      </c>
      <c r="M5734">
        <v>666</v>
      </c>
      <c r="N5734">
        <v>212</v>
      </c>
      <c r="O5734">
        <v>0</v>
      </c>
      <c r="P5734">
        <v>334</v>
      </c>
      <c r="Q5734">
        <v>6</v>
      </c>
      <c r="R5734">
        <v>20</v>
      </c>
      <c r="S5734">
        <v>3</v>
      </c>
      <c r="T5734">
        <v>9</v>
      </c>
      <c r="U5734">
        <v>68</v>
      </c>
      <c r="V5734">
        <v>2</v>
      </c>
      <c r="W5734">
        <v>5</v>
      </c>
      <c r="X5734">
        <v>74</v>
      </c>
      <c r="Y5734">
        <v>2</v>
      </c>
      <c r="Z5734">
        <v>8</v>
      </c>
      <c r="AA5734">
        <v>5</v>
      </c>
      <c r="AB5734">
        <v>3</v>
      </c>
      <c r="AI5734">
        <v>0</v>
      </c>
      <c r="AJ5734">
        <v>0</v>
      </c>
      <c r="AK5734">
        <v>0</v>
      </c>
      <c r="AL5734">
        <v>205</v>
      </c>
      <c r="AM5734">
        <v>0</v>
      </c>
      <c r="AN5734">
        <v>46</v>
      </c>
      <c r="AP5734">
        <v>1</v>
      </c>
      <c r="AR5734" t="s">
        <v>5841</v>
      </c>
      <c r="AS5734" s="1">
        <v>44354.147222222222</v>
      </c>
      <c r="AT5734" s="1">
        <v>44354.149016203701</v>
      </c>
      <c r="AU5734" s="1">
        <v>44354.149525462963</v>
      </c>
      <c r="AV5734" t="s">
        <v>71</v>
      </c>
      <c r="AW5734" t="s">
        <v>72</v>
      </c>
      <c r="AX5734" t="s">
        <v>73</v>
      </c>
    </row>
    <row r="5735" spans="1:50" x14ac:dyDescent="0.3">
      <c r="A5735" t="str">
        <f>"202368S0200"</f>
        <v>202368S0200</v>
      </c>
      <c r="B5735" t="str">
        <f>"202368S02002ERP"</f>
        <v>202368S02002ERP</v>
      </c>
      <c r="C5735" t="str">
        <f t="shared" si="288"/>
        <v>20</v>
      </c>
      <c r="D5735" t="s">
        <v>67</v>
      </c>
      <c r="E5735" t="str">
        <f>"008"</f>
        <v>008</v>
      </c>
      <c r="F5735" t="s">
        <v>1759</v>
      </c>
      <c r="G5735" t="str">
        <f>"2368"</f>
        <v>2368</v>
      </c>
      <c r="H5735" t="str">
        <f>"0002"</f>
        <v>0002</v>
      </c>
      <c r="I5735" t="s">
        <v>85</v>
      </c>
      <c r="J5735">
        <v>0</v>
      </c>
      <c r="K5735">
        <v>1</v>
      </c>
      <c r="L5735" t="s">
        <v>5825</v>
      </c>
      <c r="M5735">
        <v>680</v>
      </c>
      <c r="N5735">
        <v>119</v>
      </c>
      <c r="O5735">
        <v>0</v>
      </c>
      <c r="P5735">
        <v>119</v>
      </c>
      <c r="Q5735">
        <v>3</v>
      </c>
      <c r="R5735">
        <v>18</v>
      </c>
      <c r="S5735">
        <v>0</v>
      </c>
      <c r="T5735">
        <v>5</v>
      </c>
      <c r="U5735">
        <v>20</v>
      </c>
      <c r="V5735">
        <v>2</v>
      </c>
      <c r="W5735">
        <v>1</v>
      </c>
      <c r="X5735">
        <v>50</v>
      </c>
      <c r="Y5735">
        <v>2</v>
      </c>
      <c r="Z5735">
        <v>6</v>
      </c>
      <c r="AA5735">
        <v>1</v>
      </c>
      <c r="AB5735">
        <v>4</v>
      </c>
      <c r="AI5735">
        <v>1</v>
      </c>
      <c r="AJ5735">
        <v>6</v>
      </c>
      <c r="AK5735">
        <v>119</v>
      </c>
      <c r="AL5735">
        <v>119</v>
      </c>
      <c r="AM5735">
        <v>0</v>
      </c>
      <c r="AN5735">
        <v>46</v>
      </c>
      <c r="AP5735">
        <v>1</v>
      </c>
      <c r="AR5735" t="s">
        <v>5842</v>
      </c>
      <c r="AS5735" s="1">
        <v>44354.061805555553</v>
      </c>
      <c r="AT5735" s="1">
        <v>44354.068541666667</v>
      </c>
      <c r="AU5735" s="1">
        <v>44354.069039351853</v>
      </c>
      <c r="AV5735" t="s">
        <v>71</v>
      </c>
      <c r="AW5735" t="s">
        <v>72</v>
      </c>
      <c r="AX5735" t="s">
        <v>73</v>
      </c>
    </row>
    <row r="5736" spans="1:50" x14ac:dyDescent="0.3">
      <c r="A5736" t="str">
        <f>"200276S0100"</f>
        <v>200276S0100</v>
      </c>
      <c r="B5736" t="str">
        <f>"200276S01002ERP"</f>
        <v>200276S01002ERP</v>
      </c>
      <c r="C5736" t="str">
        <f t="shared" si="288"/>
        <v>20</v>
      </c>
      <c r="D5736" t="s">
        <v>67</v>
      </c>
      <c r="E5736" t="str">
        <f>"009"</f>
        <v>009</v>
      </c>
      <c r="F5736" t="s">
        <v>2003</v>
      </c>
      <c r="G5736" t="str">
        <f>"0276"</f>
        <v>0276</v>
      </c>
      <c r="H5736" t="str">
        <f t="shared" ref="H5736:H5755" si="290">"0001"</f>
        <v>0001</v>
      </c>
      <c r="I5736" t="s">
        <v>85</v>
      </c>
      <c r="J5736">
        <v>0</v>
      </c>
      <c r="K5736">
        <v>1</v>
      </c>
      <c r="L5736" t="s">
        <v>5825</v>
      </c>
      <c r="M5736">
        <v>797</v>
      </c>
      <c r="N5736">
        <v>95</v>
      </c>
      <c r="O5736">
        <v>0</v>
      </c>
      <c r="P5736">
        <v>95</v>
      </c>
      <c r="Q5736">
        <v>5</v>
      </c>
      <c r="R5736">
        <v>11</v>
      </c>
      <c r="S5736">
        <v>1</v>
      </c>
      <c r="T5736">
        <v>1</v>
      </c>
      <c r="U5736">
        <v>8</v>
      </c>
      <c r="V5736">
        <v>1</v>
      </c>
      <c r="W5736">
        <v>1</v>
      </c>
      <c r="X5736">
        <v>59</v>
      </c>
      <c r="Y5736">
        <v>1</v>
      </c>
      <c r="Z5736">
        <v>1</v>
      </c>
      <c r="AA5736">
        <v>0</v>
      </c>
      <c r="AB5736">
        <v>4</v>
      </c>
      <c r="AI5736">
        <v>0</v>
      </c>
      <c r="AJ5736">
        <v>2</v>
      </c>
      <c r="AK5736">
        <v>95</v>
      </c>
      <c r="AL5736">
        <v>95</v>
      </c>
      <c r="AM5736">
        <v>0</v>
      </c>
      <c r="AN5736">
        <v>44</v>
      </c>
      <c r="AP5736">
        <v>1</v>
      </c>
      <c r="AR5736" t="s">
        <v>5843</v>
      </c>
      <c r="AS5736" s="1">
        <v>44353.947916666664</v>
      </c>
      <c r="AT5736" s="1">
        <v>44353.951249999998</v>
      </c>
      <c r="AU5736" s="1">
        <v>44353.951620370368</v>
      </c>
      <c r="AV5736" t="s">
        <v>71</v>
      </c>
      <c r="AW5736" t="s">
        <v>72</v>
      </c>
      <c r="AX5736" t="s">
        <v>73</v>
      </c>
    </row>
    <row r="5737" spans="1:50" x14ac:dyDescent="0.3">
      <c r="A5737" t="str">
        <f>"200914S0100"</f>
        <v>200914S0100</v>
      </c>
      <c r="B5737" t="str">
        <f>"200914S01002ERP"</f>
        <v>200914S01002ERP</v>
      </c>
      <c r="C5737" t="str">
        <f t="shared" si="288"/>
        <v>20</v>
      </c>
      <c r="D5737" t="s">
        <v>67</v>
      </c>
      <c r="E5737" t="str">
        <f>"009"</f>
        <v>009</v>
      </c>
      <c r="F5737" t="s">
        <v>2003</v>
      </c>
      <c r="G5737" t="str">
        <f>"0914"</f>
        <v>0914</v>
      </c>
      <c r="H5737" t="str">
        <f t="shared" si="290"/>
        <v>0001</v>
      </c>
      <c r="I5737" t="s">
        <v>85</v>
      </c>
      <c r="J5737">
        <v>0</v>
      </c>
      <c r="K5737">
        <v>1</v>
      </c>
      <c r="L5737" t="s">
        <v>5825</v>
      </c>
      <c r="AM5737">
        <v>0</v>
      </c>
      <c r="AN5737">
        <v>44</v>
      </c>
      <c r="AO5737" t="s">
        <v>143</v>
      </c>
      <c r="AP5737">
        <v>0</v>
      </c>
      <c r="AR5737" t="s">
        <v>5844</v>
      </c>
      <c r="AS5737" s="1">
        <v>44354.72152777778</v>
      </c>
      <c r="AT5737" s="1">
        <v>44354.725046296298</v>
      </c>
      <c r="AU5737" s="1">
        <v>44354.725046296298</v>
      </c>
      <c r="AV5737" t="s">
        <v>71</v>
      </c>
      <c r="AW5737" t="s">
        <v>72</v>
      </c>
      <c r="AX5737" t="s">
        <v>73</v>
      </c>
    </row>
    <row r="5738" spans="1:50" x14ac:dyDescent="0.3">
      <c r="A5738" t="str">
        <f>"202409S0100"</f>
        <v>202409S0100</v>
      </c>
      <c r="B5738" t="str">
        <f>"202409S01002ERP"</f>
        <v>202409S01002ERP</v>
      </c>
      <c r="C5738" t="str">
        <f t="shared" si="288"/>
        <v>20</v>
      </c>
      <c r="D5738" t="s">
        <v>67</v>
      </c>
      <c r="E5738" t="str">
        <f>"009"</f>
        <v>009</v>
      </c>
      <c r="F5738" t="s">
        <v>2003</v>
      </c>
      <c r="G5738" t="str">
        <f>"2409"</f>
        <v>2409</v>
      </c>
      <c r="H5738" t="str">
        <f t="shared" si="290"/>
        <v>0001</v>
      </c>
      <c r="I5738" t="s">
        <v>85</v>
      </c>
      <c r="J5738">
        <v>0</v>
      </c>
      <c r="K5738">
        <v>1</v>
      </c>
      <c r="L5738" t="s">
        <v>5825</v>
      </c>
      <c r="AM5738">
        <v>0</v>
      </c>
      <c r="AN5738">
        <v>44</v>
      </c>
      <c r="AO5738" t="s">
        <v>143</v>
      </c>
      <c r="AP5738">
        <v>0</v>
      </c>
      <c r="AR5738" t="s">
        <v>5845</v>
      </c>
      <c r="AS5738" s="1">
        <v>44354.71597222222</v>
      </c>
      <c r="AT5738" s="1">
        <v>44354.717523148145</v>
      </c>
      <c r="AU5738" s="1">
        <v>44354.717523148145</v>
      </c>
      <c r="AV5738" t="s">
        <v>71</v>
      </c>
      <c r="AW5738" t="s">
        <v>72</v>
      </c>
      <c r="AX5738" t="s">
        <v>73</v>
      </c>
    </row>
    <row r="5739" spans="1:50" x14ac:dyDescent="0.3">
      <c r="A5739" t="str">
        <f>"201124S0100"</f>
        <v>201124S0100</v>
      </c>
      <c r="B5739" t="str">
        <f>"201124S01002ERP"</f>
        <v>201124S01002ERP</v>
      </c>
      <c r="C5739" t="str">
        <f t="shared" si="288"/>
        <v>20</v>
      </c>
      <c r="D5739" t="s">
        <v>67</v>
      </c>
      <c r="E5739" t="str">
        <f>"010"</f>
        <v>010</v>
      </c>
      <c r="F5739" t="s">
        <v>2245</v>
      </c>
      <c r="G5739" t="str">
        <f>"1124"</f>
        <v>1124</v>
      </c>
      <c r="H5739" t="str">
        <f t="shared" si="290"/>
        <v>0001</v>
      </c>
      <c r="I5739" t="s">
        <v>85</v>
      </c>
      <c r="J5739">
        <v>0</v>
      </c>
      <c r="K5739">
        <v>1</v>
      </c>
      <c r="L5739" t="s">
        <v>5825</v>
      </c>
      <c r="AM5739">
        <v>0</v>
      </c>
      <c r="AN5739">
        <v>44</v>
      </c>
      <c r="AO5739" t="s">
        <v>143</v>
      </c>
      <c r="AP5739">
        <v>0</v>
      </c>
      <c r="AR5739" t="s">
        <v>5846</v>
      </c>
      <c r="AS5739" s="1">
        <v>44354.795138888891</v>
      </c>
      <c r="AT5739" s="1">
        <v>44354.821296296293</v>
      </c>
      <c r="AU5739" s="1">
        <v>44354.821296296293</v>
      </c>
      <c r="AV5739" t="s">
        <v>71</v>
      </c>
      <c r="AW5739" t="s">
        <v>72</v>
      </c>
      <c r="AX5739" t="s">
        <v>73</v>
      </c>
    </row>
    <row r="5740" spans="1:50" x14ac:dyDescent="0.3">
      <c r="A5740" t="str">
        <f>"201586S0100"</f>
        <v>201586S0100</v>
      </c>
      <c r="B5740" t="str">
        <f>"201586S01002ERP"</f>
        <v>201586S01002ERP</v>
      </c>
      <c r="C5740" t="str">
        <f t="shared" si="288"/>
        <v>20</v>
      </c>
      <c r="D5740" t="s">
        <v>67</v>
      </c>
      <c r="E5740" t="str">
        <f>"010"</f>
        <v>010</v>
      </c>
      <c r="F5740" t="s">
        <v>2245</v>
      </c>
      <c r="G5740" t="str">
        <f>"1586"</f>
        <v>1586</v>
      </c>
      <c r="H5740" t="str">
        <f t="shared" si="290"/>
        <v>0001</v>
      </c>
      <c r="I5740" t="s">
        <v>85</v>
      </c>
      <c r="J5740">
        <v>0</v>
      </c>
      <c r="K5740">
        <v>1</v>
      </c>
      <c r="L5740" t="s">
        <v>5825</v>
      </c>
      <c r="M5740">
        <v>803</v>
      </c>
      <c r="N5740">
        <v>107</v>
      </c>
      <c r="O5740">
        <v>0</v>
      </c>
      <c r="P5740">
        <v>107</v>
      </c>
      <c r="Q5740">
        <v>1</v>
      </c>
      <c r="R5740">
        <v>6</v>
      </c>
      <c r="S5740">
        <v>1</v>
      </c>
      <c r="T5740">
        <v>4</v>
      </c>
      <c r="U5740">
        <v>16</v>
      </c>
      <c r="V5740">
        <v>2</v>
      </c>
      <c r="W5740">
        <v>1</v>
      </c>
      <c r="X5740">
        <v>56</v>
      </c>
      <c r="Y5740">
        <v>2</v>
      </c>
      <c r="Z5740">
        <v>4</v>
      </c>
      <c r="AA5740">
        <v>7</v>
      </c>
      <c r="AB5740">
        <v>6</v>
      </c>
      <c r="AI5740">
        <v>0</v>
      </c>
      <c r="AJ5740">
        <v>0</v>
      </c>
      <c r="AK5740">
        <v>0</v>
      </c>
      <c r="AL5740">
        <v>106</v>
      </c>
      <c r="AM5740">
        <v>0</v>
      </c>
      <c r="AN5740">
        <v>44</v>
      </c>
      <c r="AP5740">
        <v>1</v>
      </c>
      <c r="AR5740" t="s">
        <v>5847</v>
      </c>
      <c r="AS5740" s="1">
        <v>44353.936805555553</v>
      </c>
      <c r="AT5740" s="1">
        <v>44353.940694444442</v>
      </c>
      <c r="AU5740" s="1">
        <v>44353.941701388889</v>
      </c>
      <c r="AV5740" t="s">
        <v>71</v>
      </c>
      <c r="AW5740" t="s">
        <v>72</v>
      </c>
      <c r="AX5740" t="s">
        <v>73</v>
      </c>
    </row>
    <row r="5741" spans="1:50" x14ac:dyDescent="0.3">
      <c r="A5741" t="str">
        <f>"200402S0100"</f>
        <v>200402S0100</v>
      </c>
      <c r="B5741" t="str">
        <f>"200402S01002ERP"</f>
        <v>200402S01002ERP</v>
      </c>
      <c r="C5741" t="str">
        <f t="shared" si="288"/>
        <v>20</v>
      </c>
      <c r="D5741" t="s">
        <v>67</v>
      </c>
      <c r="E5741" t="str">
        <f>"011"</f>
        <v>011</v>
      </c>
      <c r="F5741" t="s">
        <v>2448</v>
      </c>
      <c r="G5741" t="str">
        <f>"0402"</f>
        <v>0402</v>
      </c>
      <c r="H5741" t="str">
        <f t="shared" si="290"/>
        <v>0001</v>
      </c>
      <c r="I5741" t="s">
        <v>85</v>
      </c>
      <c r="J5741">
        <v>0</v>
      </c>
      <c r="K5741">
        <v>1</v>
      </c>
      <c r="L5741" t="s">
        <v>5825</v>
      </c>
      <c r="M5741">
        <v>743</v>
      </c>
      <c r="N5741">
        <v>175</v>
      </c>
      <c r="O5741">
        <v>0</v>
      </c>
      <c r="P5741">
        <v>175</v>
      </c>
      <c r="Q5741">
        <v>12</v>
      </c>
      <c r="R5741">
        <v>21</v>
      </c>
      <c r="S5741">
        <v>2</v>
      </c>
      <c r="T5741">
        <v>4</v>
      </c>
      <c r="U5741">
        <v>12</v>
      </c>
      <c r="V5741">
        <v>5</v>
      </c>
      <c r="W5741">
        <v>4</v>
      </c>
      <c r="X5741">
        <v>104</v>
      </c>
      <c r="Y5741">
        <v>2</v>
      </c>
      <c r="Z5741">
        <v>0</v>
      </c>
      <c r="AA5741">
        <v>1</v>
      </c>
      <c r="AB5741">
        <v>2</v>
      </c>
      <c r="AI5741">
        <v>0</v>
      </c>
      <c r="AJ5741">
        <v>6</v>
      </c>
      <c r="AK5741">
        <v>175</v>
      </c>
      <c r="AL5741">
        <v>175</v>
      </c>
      <c r="AM5741">
        <v>0</v>
      </c>
      <c r="AN5741">
        <v>44</v>
      </c>
      <c r="AP5741">
        <v>1</v>
      </c>
      <c r="AR5741" t="s">
        <v>5848</v>
      </c>
      <c r="AS5741" s="1">
        <v>44353.92083333333</v>
      </c>
      <c r="AT5741" s="1">
        <v>44353.940011574072</v>
      </c>
      <c r="AU5741" s="1">
        <v>44353.941099537034</v>
      </c>
      <c r="AV5741" t="s">
        <v>71</v>
      </c>
      <c r="AW5741" t="s">
        <v>72</v>
      </c>
      <c r="AX5741" t="s">
        <v>73</v>
      </c>
    </row>
    <row r="5742" spans="1:50" x14ac:dyDescent="0.3">
      <c r="A5742" t="str">
        <f>"201750S0100"</f>
        <v>201750S0100</v>
      </c>
      <c r="B5742" t="str">
        <f>"201750S01002ERP"</f>
        <v>201750S01002ERP</v>
      </c>
      <c r="C5742" t="str">
        <f t="shared" si="288"/>
        <v>20</v>
      </c>
      <c r="D5742" t="s">
        <v>67</v>
      </c>
      <c r="E5742" t="str">
        <f>"012"</f>
        <v>012</v>
      </c>
      <c r="F5742" t="s">
        <v>2715</v>
      </c>
      <c r="G5742" t="str">
        <f>"1750"</f>
        <v>1750</v>
      </c>
      <c r="H5742" t="str">
        <f t="shared" si="290"/>
        <v>0001</v>
      </c>
      <c r="I5742" t="s">
        <v>85</v>
      </c>
      <c r="J5742">
        <v>0</v>
      </c>
      <c r="K5742">
        <v>1</v>
      </c>
      <c r="L5742" t="s">
        <v>5825</v>
      </c>
      <c r="M5742">
        <v>607</v>
      </c>
      <c r="N5742">
        <v>348</v>
      </c>
      <c r="O5742">
        <v>0</v>
      </c>
      <c r="P5742">
        <v>348</v>
      </c>
      <c r="Q5742">
        <v>11</v>
      </c>
      <c r="R5742">
        <v>57</v>
      </c>
      <c r="S5742">
        <v>3</v>
      </c>
      <c r="T5742">
        <v>1</v>
      </c>
      <c r="U5742">
        <v>43</v>
      </c>
      <c r="V5742">
        <v>11</v>
      </c>
      <c r="W5742">
        <v>2</v>
      </c>
      <c r="X5742">
        <v>180</v>
      </c>
      <c r="Y5742">
        <v>6</v>
      </c>
      <c r="Z5742">
        <v>3</v>
      </c>
      <c r="AA5742">
        <v>4</v>
      </c>
      <c r="AB5742">
        <v>14</v>
      </c>
      <c r="AI5742">
        <v>0</v>
      </c>
      <c r="AJ5742">
        <v>13</v>
      </c>
      <c r="AK5742">
        <v>348</v>
      </c>
      <c r="AL5742">
        <v>348</v>
      </c>
      <c r="AM5742">
        <v>0</v>
      </c>
      <c r="AN5742">
        <v>44</v>
      </c>
      <c r="AP5742">
        <v>1</v>
      </c>
      <c r="AR5742" t="s">
        <v>5849</v>
      </c>
      <c r="AS5742" s="1">
        <v>44353.982638888891</v>
      </c>
      <c r="AT5742" s="1">
        <v>44353.990659722222</v>
      </c>
      <c r="AU5742" s="1">
        <v>44353.991805555554</v>
      </c>
      <c r="AV5742" t="s">
        <v>71</v>
      </c>
      <c r="AW5742" t="s">
        <v>72</v>
      </c>
      <c r="AX5742" t="s">
        <v>73</v>
      </c>
    </row>
    <row r="5743" spans="1:50" x14ac:dyDescent="0.3">
      <c r="A5743" t="str">
        <f>"200545S0100"</f>
        <v>200545S0100</v>
      </c>
      <c r="B5743" t="str">
        <f>"200545S01002ERP"</f>
        <v>200545S01002ERP</v>
      </c>
      <c r="C5743" t="str">
        <f t="shared" si="288"/>
        <v>20</v>
      </c>
      <c r="D5743" t="s">
        <v>67</v>
      </c>
      <c r="E5743" t="str">
        <f>"013"</f>
        <v>013</v>
      </c>
      <c r="F5743" t="s">
        <v>2914</v>
      </c>
      <c r="G5743" t="str">
        <f>"0545"</f>
        <v>0545</v>
      </c>
      <c r="H5743" t="str">
        <f t="shared" si="290"/>
        <v>0001</v>
      </c>
      <c r="I5743" t="s">
        <v>85</v>
      </c>
      <c r="J5743">
        <v>0</v>
      </c>
      <c r="K5743">
        <v>1</v>
      </c>
      <c r="L5743" t="s">
        <v>5825</v>
      </c>
      <c r="M5743">
        <v>480</v>
      </c>
      <c r="N5743">
        <v>520</v>
      </c>
      <c r="O5743">
        <v>0</v>
      </c>
      <c r="P5743">
        <v>520</v>
      </c>
      <c r="Q5743">
        <v>11</v>
      </c>
      <c r="R5743">
        <v>72</v>
      </c>
      <c r="S5743">
        <v>5</v>
      </c>
      <c r="T5743">
        <v>4</v>
      </c>
      <c r="U5743">
        <v>24</v>
      </c>
      <c r="V5743">
        <v>13</v>
      </c>
      <c r="W5743">
        <v>7</v>
      </c>
      <c r="X5743">
        <v>340</v>
      </c>
      <c r="Y5743">
        <v>9</v>
      </c>
      <c r="Z5743">
        <v>5</v>
      </c>
      <c r="AA5743">
        <v>10</v>
      </c>
      <c r="AB5743">
        <v>10</v>
      </c>
      <c r="AI5743">
        <v>0</v>
      </c>
      <c r="AJ5743">
        <v>10</v>
      </c>
      <c r="AK5743">
        <v>520</v>
      </c>
      <c r="AL5743">
        <v>520</v>
      </c>
      <c r="AM5743">
        <v>0</v>
      </c>
      <c r="AN5743">
        <v>44</v>
      </c>
      <c r="AP5743">
        <v>1</v>
      </c>
      <c r="AR5743" t="s">
        <v>5850</v>
      </c>
      <c r="AS5743" s="1">
        <v>44354.070833333331</v>
      </c>
      <c r="AT5743" s="1">
        <v>44354.080324074072</v>
      </c>
      <c r="AU5743" s="1">
        <v>44354.080983796295</v>
      </c>
      <c r="AV5743" t="s">
        <v>71</v>
      </c>
      <c r="AW5743" t="s">
        <v>72</v>
      </c>
      <c r="AX5743" t="s">
        <v>73</v>
      </c>
    </row>
    <row r="5744" spans="1:50" x14ac:dyDescent="0.3">
      <c r="A5744" t="str">
        <f>"200581S0100"</f>
        <v>200581S0100</v>
      </c>
      <c r="B5744" t="str">
        <f>"200581S01002ERP"</f>
        <v>200581S01002ERP</v>
      </c>
      <c r="C5744" t="str">
        <f t="shared" si="288"/>
        <v>20</v>
      </c>
      <c r="D5744" t="s">
        <v>67</v>
      </c>
      <c r="E5744" t="str">
        <f>"013"</f>
        <v>013</v>
      </c>
      <c r="F5744" t="s">
        <v>2914</v>
      </c>
      <c r="G5744" t="str">
        <f>"0581"</f>
        <v>0581</v>
      </c>
      <c r="H5744" t="str">
        <f t="shared" si="290"/>
        <v>0001</v>
      </c>
      <c r="I5744" t="s">
        <v>85</v>
      </c>
      <c r="J5744">
        <v>0</v>
      </c>
      <c r="K5744">
        <v>1</v>
      </c>
      <c r="L5744" t="s">
        <v>5825</v>
      </c>
      <c r="M5744">
        <v>296</v>
      </c>
      <c r="N5744">
        <v>635</v>
      </c>
      <c r="O5744">
        <v>0</v>
      </c>
      <c r="P5744">
        <v>635</v>
      </c>
      <c r="Q5744">
        <v>8</v>
      </c>
      <c r="R5744">
        <v>60</v>
      </c>
      <c r="S5744">
        <v>7</v>
      </c>
      <c r="T5744">
        <v>7</v>
      </c>
      <c r="U5744">
        <v>34</v>
      </c>
      <c r="V5744">
        <v>10</v>
      </c>
      <c r="W5744">
        <v>9</v>
      </c>
      <c r="X5744">
        <v>437</v>
      </c>
      <c r="Y5744">
        <v>13</v>
      </c>
      <c r="Z5744">
        <v>6</v>
      </c>
      <c r="AA5744">
        <v>4</v>
      </c>
      <c r="AB5744">
        <v>13</v>
      </c>
      <c r="AI5744">
        <v>0</v>
      </c>
      <c r="AJ5744">
        <v>26</v>
      </c>
      <c r="AK5744">
        <v>635</v>
      </c>
      <c r="AL5744">
        <v>634</v>
      </c>
      <c r="AM5744">
        <v>0</v>
      </c>
      <c r="AN5744">
        <v>44</v>
      </c>
      <c r="AP5744">
        <v>1</v>
      </c>
      <c r="AR5744" t="s">
        <v>5851</v>
      </c>
      <c r="AS5744" s="1">
        <v>44354.05</v>
      </c>
      <c r="AT5744" s="1">
        <v>44354.061122685183</v>
      </c>
      <c r="AU5744" s="1">
        <v>44354.061493055553</v>
      </c>
      <c r="AV5744" t="s">
        <v>71</v>
      </c>
      <c r="AW5744" t="s">
        <v>72</v>
      </c>
      <c r="AX5744" t="s">
        <v>73</v>
      </c>
    </row>
    <row r="5745" spans="1:50" x14ac:dyDescent="0.3">
      <c r="A5745" t="str">
        <f>"200535S0100"</f>
        <v>200535S0100</v>
      </c>
      <c r="B5745" t="str">
        <f>"200535S01002ERP"</f>
        <v>200535S01002ERP</v>
      </c>
      <c r="C5745" t="str">
        <f t="shared" si="288"/>
        <v>20</v>
      </c>
      <c r="D5745" t="s">
        <v>67</v>
      </c>
      <c r="E5745" t="str">
        <f>"014"</f>
        <v>014</v>
      </c>
      <c r="F5745" t="s">
        <v>2914</v>
      </c>
      <c r="G5745" t="str">
        <f>"0535"</f>
        <v>0535</v>
      </c>
      <c r="H5745" t="str">
        <f t="shared" si="290"/>
        <v>0001</v>
      </c>
      <c r="I5745" t="s">
        <v>85</v>
      </c>
      <c r="J5745">
        <v>0</v>
      </c>
      <c r="K5745">
        <v>1</v>
      </c>
      <c r="L5745" t="s">
        <v>5825</v>
      </c>
      <c r="M5745">
        <v>966</v>
      </c>
      <c r="N5745">
        <v>34</v>
      </c>
      <c r="O5745">
        <v>0</v>
      </c>
      <c r="P5745">
        <v>375</v>
      </c>
      <c r="Q5745">
        <v>18</v>
      </c>
      <c r="R5745">
        <v>65</v>
      </c>
      <c r="S5745">
        <v>5</v>
      </c>
      <c r="T5745">
        <v>6</v>
      </c>
      <c r="U5745">
        <v>16</v>
      </c>
      <c r="V5745">
        <v>8</v>
      </c>
      <c r="W5745">
        <v>3</v>
      </c>
      <c r="X5745">
        <v>219</v>
      </c>
      <c r="Y5745">
        <v>4</v>
      </c>
      <c r="Z5745">
        <v>12</v>
      </c>
      <c r="AA5745">
        <v>4</v>
      </c>
      <c r="AB5745">
        <v>5</v>
      </c>
      <c r="AI5745">
        <v>1</v>
      </c>
      <c r="AJ5745">
        <v>9</v>
      </c>
      <c r="AK5745">
        <v>375</v>
      </c>
      <c r="AL5745">
        <v>375</v>
      </c>
      <c r="AM5745">
        <v>0</v>
      </c>
      <c r="AN5745">
        <v>44</v>
      </c>
      <c r="AP5745">
        <v>1</v>
      </c>
      <c r="AR5745" t="s">
        <v>5852</v>
      </c>
      <c r="AS5745" s="1">
        <v>44354.033333333333</v>
      </c>
      <c r="AT5745" s="1">
        <v>44354.063738425924</v>
      </c>
      <c r="AU5745" s="1">
        <v>44354.064212962963</v>
      </c>
      <c r="AV5745" t="s">
        <v>71</v>
      </c>
      <c r="AW5745" t="s">
        <v>72</v>
      </c>
      <c r="AX5745" t="s">
        <v>73</v>
      </c>
    </row>
    <row r="5746" spans="1:50" x14ac:dyDescent="0.3">
      <c r="A5746" t="str">
        <f>"200553S0100"</f>
        <v>200553S0100</v>
      </c>
      <c r="B5746" t="str">
        <f>"200553S01002ERP"</f>
        <v>200553S01002ERP</v>
      </c>
      <c r="C5746" t="str">
        <f t="shared" si="288"/>
        <v>20</v>
      </c>
      <c r="D5746" t="s">
        <v>67</v>
      </c>
      <c r="E5746" t="str">
        <f>"014"</f>
        <v>014</v>
      </c>
      <c r="F5746" t="s">
        <v>2914</v>
      </c>
      <c r="G5746" t="str">
        <f>"0553"</f>
        <v>0553</v>
      </c>
      <c r="H5746" t="str">
        <f t="shared" si="290"/>
        <v>0001</v>
      </c>
      <c r="I5746" t="s">
        <v>85</v>
      </c>
      <c r="J5746">
        <v>0</v>
      </c>
      <c r="K5746">
        <v>1</v>
      </c>
      <c r="L5746" t="s">
        <v>5825</v>
      </c>
      <c r="M5746">
        <v>366</v>
      </c>
      <c r="N5746">
        <v>611</v>
      </c>
      <c r="O5746">
        <v>0</v>
      </c>
      <c r="P5746">
        <v>611</v>
      </c>
      <c r="Q5746">
        <v>32</v>
      </c>
      <c r="R5746">
        <v>106</v>
      </c>
      <c r="S5746">
        <v>10</v>
      </c>
      <c r="T5746">
        <v>20</v>
      </c>
      <c r="U5746">
        <v>33</v>
      </c>
      <c r="V5746">
        <v>21</v>
      </c>
      <c r="W5746">
        <v>4</v>
      </c>
      <c r="X5746">
        <v>314</v>
      </c>
      <c r="Y5746">
        <v>9</v>
      </c>
      <c r="Z5746">
        <v>13</v>
      </c>
      <c r="AA5746">
        <v>11</v>
      </c>
      <c r="AB5746">
        <v>14</v>
      </c>
      <c r="AI5746">
        <v>1</v>
      </c>
      <c r="AJ5746">
        <v>23</v>
      </c>
      <c r="AK5746">
        <v>611</v>
      </c>
      <c r="AL5746">
        <v>611</v>
      </c>
      <c r="AM5746">
        <v>0</v>
      </c>
      <c r="AN5746">
        <v>44</v>
      </c>
      <c r="AP5746">
        <v>1</v>
      </c>
      <c r="AR5746" t="s">
        <v>5853</v>
      </c>
      <c r="AS5746" s="1">
        <v>44354.0625</v>
      </c>
      <c r="AT5746" s="1">
        <v>44354.077951388892</v>
      </c>
      <c r="AU5746" s="1">
        <v>44354.078564814816</v>
      </c>
      <c r="AV5746" t="s">
        <v>71</v>
      </c>
      <c r="AW5746" t="s">
        <v>72</v>
      </c>
      <c r="AX5746" t="s">
        <v>73</v>
      </c>
    </row>
    <row r="5747" spans="1:50" x14ac:dyDescent="0.3">
      <c r="A5747" t="str">
        <f>"201718S0100"</f>
        <v>201718S0100</v>
      </c>
      <c r="B5747" t="str">
        <f>"201718S01002ERP"</f>
        <v>201718S01002ERP</v>
      </c>
      <c r="C5747" t="str">
        <f t="shared" si="288"/>
        <v>20</v>
      </c>
      <c r="D5747" t="s">
        <v>67</v>
      </c>
      <c r="E5747" t="str">
        <f>"015"</f>
        <v>015</v>
      </c>
      <c r="F5747" t="s">
        <v>3364</v>
      </c>
      <c r="G5747" t="str">
        <f>"1718"</f>
        <v>1718</v>
      </c>
      <c r="H5747" t="str">
        <f t="shared" si="290"/>
        <v>0001</v>
      </c>
      <c r="I5747" t="s">
        <v>85</v>
      </c>
      <c r="J5747">
        <v>0</v>
      </c>
      <c r="K5747">
        <v>1</v>
      </c>
      <c r="L5747" t="s">
        <v>5825</v>
      </c>
      <c r="M5747">
        <v>497</v>
      </c>
      <c r="N5747">
        <v>159</v>
      </c>
      <c r="O5747">
        <v>0</v>
      </c>
      <c r="P5747">
        <v>159</v>
      </c>
      <c r="Q5747">
        <v>5</v>
      </c>
      <c r="R5747">
        <v>20</v>
      </c>
      <c r="S5747">
        <v>2</v>
      </c>
      <c r="T5747">
        <v>3</v>
      </c>
      <c r="U5747">
        <v>13</v>
      </c>
      <c r="V5747">
        <v>5</v>
      </c>
      <c r="W5747">
        <v>11</v>
      </c>
      <c r="X5747">
        <v>68</v>
      </c>
      <c r="Y5747">
        <v>5</v>
      </c>
      <c r="Z5747">
        <v>3</v>
      </c>
      <c r="AA5747">
        <v>0</v>
      </c>
      <c r="AB5747">
        <v>18</v>
      </c>
      <c r="AI5747">
        <v>1</v>
      </c>
      <c r="AJ5747">
        <v>0</v>
      </c>
      <c r="AK5747">
        <v>0</v>
      </c>
      <c r="AL5747">
        <v>154</v>
      </c>
      <c r="AM5747">
        <v>0</v>
      </c>
      <c r="AN5747">
        <v>44</v>
      </c>
      <c r="AP5747">
        <v>1</v>
      </c>
      <c r="AR5747" t="s">
        <v>5854</v>
      </c>
      <c r="AS5747" s="1">
        <v>44354.054166666669</v>
      </c>
      <c r="AT5747" s="1">
        <v>44354.315648148149</v>
      </c>
      <c r="AU5747" s="1">
        <v>44354.318611111114</v>
      </c>
      <c r="AV5747" t="s">
        <v>71</v>
      </c>
      <c r="AW5747" t="s">
        <v>72</v>
      </c>
      <c r="AX5747" t="s">
        <v>73</v>
      </c>
    </row>
    <row r="5748" spans="1:50" x14ac:dyDescent="0.3">
      <c r="A5748" t="str">
        <f>"200617S0100"</f>
        <v>200617S0100</v>
      </c>
      <c r="B5748" t="str">
        <f>"200617S01002ERP"</f>
        <v>200617S01002ERP</v>
      </c>
      <c r="C5748" t="str">
        <f t="shared" si="288"/>
        <v>20</v>
      </c>
      <c r="D5748" t="s">
        <v>67</v>
      </c>
      <c r="E5748" t="str">
        <f>"016"</f>
        <v>016</v>
      </c>
      <c r="F5748" t="s">
        <v>3578</v>
      </c>
      <c r="G5748" t="str">
        <f>"0617"</f>
        <v>0617</v>
      </c>
      <c r="H5748" t="str">
        <f t="shared" si="290"/>
        <v>0001</v>
      </c>
      <c r="I5748" t="s">
        <v>85</v>
      </c>
      <c r="J5748">
        <v>0</v>
      </c>
      <c r="K5748">
        <v>1</v>
      </c>
      <c r="L5748" t="s">
        <v>5825</v>
      </c>
      <c r="M5748">
        <v>728</v>
      </c>
      <c r="N5748">
        <v>42</v>
      </c>
      <c r="O5748">
        <v>0</v>
      </c>
      <c r="P5748">
        <v>42</v>
      </c>
      <c r="Q5748">
        <v>4</v>
      </c>
      <c r="R5748">
        <v>4</v>
      </c>
      <c r="S5748">
        <v>2</v>
      </c>
      <c r="T5748">
        <v>9</v>
      </c>
      <c r="U5748">
        <v>6</v>
      </c>
      <c r="V5748">
        <v>1</v>
      </c>
      <c r="W5748" t="s">
        <v>77</v>
      </c>
      <c r="X5748">
        <v>14</v>
      </c>
      <c r="Y5748" t="s">
        <v>77</v>
      </c>
      <c r="Z5748" t="s">
        <v>77</v>
      </c>
      <c r="AA5748" t="s">
        <v>77</v>
      </c>
      <c r="AB5748">
        <v>2</v>
      </c>
      <c r="AI5748" t="s">
        <v>77</v>
      </c>
      <c r="AJ5748" t="s">
        <v>77</v>
      </c>
      <c r="AK5748" t="s">
        <v>77</v>
      </c>
      <c r="AL5748">
        <v>42</v>
      </c>
      <c r="AM5748">
        <v>0</v>
      </c>
      <c r="AN5748">
        <v>44</v>
      </c>
      <c r="AO5748" t="s">
        <v>78</v>
      </c>
      <c r="AP5748">
        <v>1</v>
      </c>
      <c r="AR5748" t="s">
        <v>5855</v>
      </c>
      <c r="AS5748" s="1">
        <v>44353.905104166668</v>
      </c>
      <c r="AT5748" s="1">
        <v>44353.920578703706</v>
      </c>
      <c r="AU5748" s="1">
        <v>44353.922777777778</v>
      </c>
      <c r="AV5748" t="s">
        <v>269</v>
      </c>
      <c r="AW5748" t="s">
        <v>270</v>
      </c>
      <c r="AX5748" t="s">
        <v>73</v>
      </c>
    </row>
    <row r="5749" spans="1:50" x14ac:dyDescent="0.3">
      <c r="A5749" t="str">
        <f>"200798S0100"</f>
        <v>200798S0100</v>
      </c>
      <c r="B5749" t="str">
        <f>"200798S01002ERP"</f>
        <v>200798S01002ERP</v>
      </c>
      <c r="C5749" t="str">
        <f t="shared" si="288"/>
        <v>20</v>
      </c>
      <c r="D5749" t="s">
        <v>67</v>
      </c>
      <c r="E5749" t="str">
        <f>"016"</f>
        <v>016</v>
      </c>
      <c r="F5749" t="s">
        <v>3578</v>
      </c>
      <c r="G5749" t="str">
        <f>"0798"</f>
        <v>0798</v>
      </c>
      <c r="H5749" t="str">
        <f t="shared" si="290"/>
        <v>0001</v>
      </c>
      <c r="I5749" t="s">
        <v>85</v>
      </c>
      <c r="J5749">
        <v>0</v>
      </c>
      <c r="K5749">
        <v>1</v>
      </c>
      <c r="L5749" t="s">
        <v>5825</v>
      </c>
      <c r="M5749">
        <v>671</v>
      </c>
      <c r="N5749">
        <v>286</v>
      </c>
      <c r="O5749">
        <v>0</v>
      </c>
      <c r="P5749">
        <v>286</v>
      </c>
      <c r="Q5749">
        <v>9</v>
      </c>
      <c r="R5749">
        <v>27</v>
      </c>
      <c r="S5749">
        <v>3</v>
      </c>
      <c r="T5749">
        <v>8</v>
      </c>
      <c r="U5749">
        <v>13</v>
      </c>
      <c r="V5749">
        <v>3</v>
      </c>
      <c r="W5749">
        <v>4</v>
      </c>
      <c r="X5749">
        <v>191</v>
      </c>
      <c r="Y5749">
        <v>1</v>
      </c>
      <c r="Z5749">
        <v>6</v>
      </c>
      <c r="AA5749">
        <v>2</v>
      </c>
      <c r="AB5749">
        <v>5</v>
      </c>
      <c r="AI5749" t="s">
        <v>77</v>
      </c>
      <c r="AJ5749">
        <v>11</v>
      </c>
      <c r="AK5749">
        <v>286</v>
      </c>
      <c r="AL5749">
        <v>283</v>
      </c>
      <c r="AM5749">
        <v>0</v>
      </c>
      <c r="AN5749">
        <v>44</v>
      </c>
      <c r="AO5749" t="s">
        <v>78</v>
      </c>
      <c r="AP5749">
        <v>1</v>
      </c>
      <c r="AR5749" t="s">
        <v>5856</v>
      </c>
      <c r="AS5749" s="1">
        <v>44353.995138888888</v>
      </c>
      <c r="AT5749" s="1">
        <v>44354.000960648147</v>
      </c>
      <c r="AU5749" s="1">
        <v>44354.001307870371</v>
      </c>
      <c r="AV5749" t="s">
        <v>71</v>
      </c>
      <c r="AW5749" t="s">
        <v>72</v>
      </c>
      <c r="AX5749" t="s">
        <v>73</v>
      </c>
    </row>
    <row r="5750" spans="1:50" x14ac:dyDescent="0.3">
      <c r="A5750" t="str">
        <f>"202439S0100"</f>
        <v>202439S0100</v>
      </c>
      <c r="B5750" t="str">
        <f>"202439S01002ERP"</f>
        <v>202439S01002ERP</v>
      </c>
      <c r="C5750" t="str">
        <f t="shared" si="288"/>
        <v>20</v>
      </c>
      <c r="D5750" t="s">
        <v>67</v>
      </c>
      <c r="E5750" t="str">
        <f>"016"</f>
        <v>016</v>
      </c>
      <c r="F5750" t="s">
        <v>3578</v>
      </c>
      <c r="G5750" t="str">
        <f>"2439"</f>
        <v>2439</v>
      </c>
      <c r="H5750" t="str">
        <f t="shared" si="290"/>
        <v>0001</v>
      </c>
      <c r="I5750" t="s">
        <v>85</v>
      </c>
      <c r="J5750">
        <v>0</v>
      </c>
      <c r="K5750">
        <v>1</v>
      </c>
      <c r="L5750" t="s">
        <v>5825</v>
      </c>
      <c r="AM5750">
        <v>0</v>
      </c>
      <c r="AN5750">
        <v>44</v>
      </c>
      <c r="AO5750" t="s">
        <v>143</v>
      </c>
      <c r="AP5750">
        <v>0</v>
      </c>
      <c r="AR5750" t="s">
        <v>5857</v>
      </c>
      <c r="AS5750" s="1">
        <v>44354.454861111109</v>
      </c>
      <c r="AT5750" s="1">
        <v>44354.476134259261</v>
      </c>
      <c r="AU5750" s="1">
        <v>44354.476134259261</v>
      </c>
      <c r="AV5750" t="s">
        <v>71</v>
      </c>
      <c r="AW5750" t="s">
        <v>72</v>
      </c>
      <c r="AX5750" t="s">
        <v>73</v>
      </c>
    </row>
    <row r="5751" spans="1:50" x14ac:dyDescent="0.3">
      <c r="A5751" t="str">
        <f>"200463S0100"</f>
        <v>200463S0100</v>
      </c>
      <c r="B5751" t="str">
        <f>"200463S01002ERP"</f>
        <v>200463S01002ERP</v>
      </c>
      <c r="C5751" t="str">
        <f t="shared" si="288"/>
        <v>20</v>
      </c>
      <c r="D5751" t="s">
        <v>67</v>
      </c>
      <c r="E5751" t="str">
        <f>"017"</f>
        <v>017</v>
      </c>
      <c r="F5751" t="s">
        <v>3808</v>
      </c>
      <c r="G5751" t="str">
        <f>"0463"</f>
        <v>0463</v>
      </c>
      <c r="H5751" t="str">
        <f t="shared" si="290"/>
        <v>0001</v>
      </c>
      <c r="I5751" t="s">
        <v>85</v>
      </c>
      <c r="J5751">
        <v>0</v>
      </c>
      <c r="K5751">
        <v>1</v>
      </c>
      <c r="L5751" t="s">
        <v>5825</v>
      </c>
      <c r="M5751">
        <v>842</v>
      </c>
      <c r="N5751">
        <v>158</v>
      </c>
      <c r="O5751">
        <v>0</v>
      </c>
      <c r="P5751">
        <v>96</v>
      </c>
      <c r="Q5751">
        <v>3</v>
      </c>
      <c r="R5751">
        <v>9</v>
      </c>
      <c r="S5751">
        <v>3</v>
      </c>
      <c r="T5751">
        <v>0</v>
      </c>
      <c r="U5751">
        <v>13</v>
      </c>
      <c r="V5751">
        <v>0</v>
      </c>
      <c r="W5751">
        <v>0</v>
      </c>
      <c r="X5751">
        <v>63</v>
      </c>
      <c r="Y5751">
        <v>0</v>
      </c>
      <c r="Z5751">
        <v>0</v>
      </c>
      <c r="AA5751">
        <v>1</v>
      </c>
      <c r="AB5751">
        <v>0</v>
      </c>
      <c r="AI5751">
        <v>0</v>
      </c>
      <c r="AJ5751">
        <v>4</v>
      </c>
      <c r="AK5751">
        <v>96</v>
      </c>
      <c r="AL5751">
        <v>96</v>
      </c>
      <c r="AM5751">
        <v>0</v>
      </c>
      <c r="AN5751">
        <v>44</v>
      </c>
      <c r="AP5751">
        <v>1</v>
      </c>
      <c r="AR5751" t="s">
        <v>5858</v>
      </c>
      <c r="AS5751" s="1">
        <v>44354.329861111109</v>
      </c>
      <c r="AT5751" s="1">
        <v>44354.337847222225</v>
      </c>
      <c r="AU5751" s="1">
        <v>44354.338564814818</v>
      </c>
      <c r="AV5751" t="s">
        <v>71</v>
      </c>
      <c r="AW5751" t="s">
        <v>72</v>
      </c>
      <c r="AX5751" t="s">
        <v>73</v>
      </c>
    </row>
    <row r="5752" spans="1:50" x14ac:dyDescent="0.3">
      <c r="A5752" t="str">
        <f>"201441S0100"</f>
        <v>201441S0100</v>
      </c>
      <c r="B5752" t="str">
        <f>"201441S01002ERP"</f>
        <v>201441S01002ERP</v>
      </c>
      <c r="C5752" t="str">
        <f t="shared" si="288"/>
        <v>20</v>
      </c>
      <c r="D5752" t="s">
        <v>67</v>
      </c>
      <c r="E5752" t="str">
        <f>"017"</f>
        <v>017</v>
      </c>
      <c r="F5752" t="s">
        <v>3808</v>
      </c>
      <c r="G5752" t="str">
        <f>"1441"</f>
        <v>1441</v>
      </c>
      <c r="H5752" t="str">
        <f t="shared" si="290"/>
        <v>0001</v>
      </c>
      <c r="I5752" t="s">
        <v>85</v>
      </c>
      <c r="J5752">
        <v>0</v>
      </c>
      <c r="K5752">
        <v>1</v>
      </c>
      <c r="L5752" t="s">
        <v>5825</v>
      </c>
      <c r="M5752">
        <v>904</v>
      </c>
      <c r="N5752">
        <v>65</v>
      </c>
      <c r="O5752">
        <v>0</v>
      </c>
      <c r="P5752">
        <v>65</v>
      </c>
      <c r="Q5752">
        <v>2</v>
      </c>
      <c r="R5752">
        <v>16</v>
      </c>
      <c r="S5752">
        <v>1</v>
      </c>
      <c r="T5752">
        <v>0</v>
      </c>
      <c r="U5752">
        <v>6</v>
      </c>
      <c r="V5752">
        <v>1</v>
      </c>
      <c r="W5752">
        <v>0</v>
      </c>
      <c r="X5752">
        <v>35</v>
      </c>
      <c r="Y5752">
        <v>0</v>
      </c>
      <c r="Z5752">
        <v>0</v>
      </c>
      <c r="AA5752">
        <v>1</v>
      </c>
      <c r="AB5752">
        <v>2</v>
      </c>
      <c r="AI5752">
        <v>0</v>
      </c>
      <c r="AJ5752">
        <v>1</v>
      </c>
      <c r="AK5752">
        <v>65</v>
      </c>
      <c r="AL5752">
        <v>65</v>
      </c>
      <c r="AM5752">
        <v>0</v>
      </c>
      <c r="AN5752">
        <v>44</v>
      </c>
      <c r="AP5752">
        <v>1</v>
      </c>
      <c r="AR5752" t="s">
        <v>5859</v>
      </c>
      <c r="AS5752" s="1">
        <v>44354.027083333334</v>
      </c>
      <c r="AT5752" s="1">
        <v>44354.039282407408</v>
      </c>
      <c r="AU5752" s="1">
        <v>44354.03974537037</v>
      </c>
      <c r="AV5752" t="s">
        <v>71</v>
      </c>
      <c r="AW5752" t="s">
        <v>72</v>
      </c>
      <c r="AX5752" t="s">
        <v>73</v>
      </c>
    </row>
    <row r="5753" spans="1:50" x14ac:dyDescent="0.3">
      <c r="A5753" t="str">
        <f>"201833S0100"</f>
        <v>201833S0100</v>
      </c>
      <c r="B5753" t="str">
        <f>"201833S01002ERP"</f>
        <v>201833S01002ERP</v>
      </c>
      <c r="C5753" t="str">
        <f t="shared" si="288"/>
        <v>20</v>
      </c>
      <c r="D5753" t="s">
        <v>67</v>
      </c>
      <c r="E5753" t="str">
        <f>"017"</f>
        <v>017</v>
      </c>
      <c r="F5753" t="s">
        <v>3808</v>
      </c>
      <c r="G5753" t="str">
        <f>"1833"</f>
        <v>1833</v>
      </c>
      <c r="H5753" t="str">
        <f t="shared" si="290"/>
        <v>0001</v>
      </c>
      <c r="I5753" t="s">
        <v>85</v>
      </c>
      <c r="J5753">
        <v>0</v>
      </c>
      <c r="K5753">
        <v>1</v>
      </c>
      <c r="L5753" t="s">
        <v>5825</v>
      </c>
      <c r="M5753">
        <v>794</v>
      </c>
      <c r="N5753">
        <v>169</v>
      </c>
      <c r="O5753">
        <v>0</v>
      </c>
      <c r="P5753">
        <v>169</v>
      </c>
      <c r="Q5753">
        <v>3</v>
      </c>
      <c r="R5753">
        <v>34</v>
      </c>
      <c r="S5753">
        <v>1</v>
      </c>
      <c r="T5753">
        <v>1</v>
      </c>
      <c r="U5753">
        <v>9</v>
      </c>
      <c r="V5753">
        <v>3</v>
      </c>
      <c r="W5753">
        <v>1</v>
      </c>
      <c r="X5753">
        <v>104</v>
      </c>
      <c r="Y5753">
        <v>1</v>
      </c>
      <c r="Z5753">
        <v>2</v>
      </c>
      <c r="AA5753">
        <v>0</v>
      </c>
      <c r="AB5753">
        <v>5</v>
      </c>
      <c r="AI5753">
        <v>0</v>
      </c>
      <c r="AJ5753">
        <v>5</v>
      </c>
      <c r="AK5753">
        <v>169</v>
      </c>
      <c r="AL5753">
        <v>169</v>
      </c>
      <c r="AM5753">
        <v>0</v>
      </c>
      <c r="AN5753">
        <v>44</v>
      </c>
      <c r="AP5753">
        <v>1</v>
      </c>
      <c r="AR5753" t="s">
        <v>5860</v>
      </c>
      <c r="AS5753" s="1">
        <v>44353.750694444447</v>
      </c>
      <c r="AT5753" s="1">
        <v>44354.62400462963</v>
      </c>
      <c r="AU5753" s="1">
        <v>44354.624988425923</v>
      </c>
      <c r="AV5753" t="s">
        <v>71</v>
      </c>
      <c r="AW5753" t="s">
        <v>72</v>
      </c>
      <c r="AX5753" t="s">
        <v>73</v>
      </c>
    </row>
    <row r="5754" spans="1:50" x14ac:dyDescent="0.3">
      <c r="A5754" t="str">
        <f>"202352S0100"</f>
        <v>202352S0100</v>
      </c>
      <c r="B5754" t="str">
        <f>"202352S01002ERP"</f>
        <v>202352S01002ERP</v>
      </c>
      <c r="C5754" t="str">
        <f t="shared" si="288"/>
        <v>20</v>
      </c>
      <c r="D5754" t="s">
        <v>67</v>
      </c>
      <c r="E5754" t="str">
        <f>"017"</f>
        <v>017</v>
      </c>
      <c r="F5754" t="s">
        <v>3808</v>
      </c>
      <c r="G5754" t="str">
        <f>"2352"</f>
        <v>2352</v>
      </c>
      <c r="H5754" t="str">
        <f t="shared" si="290"/>
        <v>0001</v>
      </c>
      <c r="I5754" t="s">
        <v>85</v>
      </c>
      <c r="J5754">
        <v>0</v>
      </c>
      <c r="K5754">
        <v>1</v>
      </c>
      <c r="L5754" t="s">
        <v>5825</v>
      </c>
      <c r="AM5754">
        <v>0</v>
      </c>
      <c r="AN5754">
        <v>44</v>
      </c>
      <c r="AO5754" t="s">
        <v>143</v>
      </c>
      <c r="AP5754">
        <v>0</v>
      </c>
      <c r="AR5754" t="s">
        <v>5861</v>
      </c>
      <c r="AS5754" s="1">
        <v>44354.632638888892</v>
      </c>
      <c r="AT5754" s="1">
        <v>44354.644768518519</v>
      </c>
      <c r="AU5754" s="1">
        <v>44354.644768518519</v>
      </c>
      <c r="AV5754" t="s">
        <v>71</v>
      </c>
      <c r="AW5754" t="s">
        <v>72</v>
      </c>
      <c r="AX5754" t="s">
        <v>73</v>
      </c>
    </row>
    <row r="5755" spans="1:50" x14ac:dyDescent="0.3">
      <c r="A5755" t="str">
        <f>"202207S0100"</f>
        <v>202207S0100</v>
      </c>
      <c r="B5755" t="str">
        <f>"202207S01002ERP"</f>
        <v>202207S01002ERP</v>
      </c>
      <c r="C5755" t="str">
        <f t="shared" si="288"/>
        <v>20</v>
      </c>
      <c r="D5755" t="s">
        <v>67</v>
      </c>
      <c r="E5755" t="str">
        <f>"018"</f>
        <v>018</v>
      </c>
      <c r="F5755" t="s">
        <v>4075</v>
      </c>
      <c r="G5755" t="str">
        <f>"2207"</f>
        <v>2207</v>
      </c>
      <c r="H5755" t="str">
        <f t="shared" si="290"/>
        <v>0001</v>
      </c>
      <c r="I5755" t="s">
        <v>85</v>
      </c>
      <c r="J5755">
        <v>0</v>
      </c>
      <c r="K5755">
        <v>1</v>
      </c>
      <c r="L5755" t="s">
        <v>5825</v>
      </c>
      <c r="M5755">
        <v>901</v>
      </c>
      <c r="N5755">
        <v>59</v>
      </c>
      <c r="O5755">
        <v>0</v>
      </c>
      <c r="P5755">
        <v>58</v>
      </c>
      <c r="Q5755">
        <v>1</v>
      </c>
      <c r="R5755">
        <v>6</v>
      </c>
      <c r="S5755">
        <v>2</v>
      </c>
      <c r="T5755">
        <v>1</v>
      </c>
      <c r="U5755">
        <v>3</v>
      </c>
      <c r="V5755">
        <v>2</v>
      </c>
      <c r="W5755">
        <v>0</v>
      </c>
      <c r="X5755">
        <v>36</v>
      </c>
      <c r="Y5755">
        <v>0</v>
      </c>
      <c r="Z5755">
        <v>0</v>
      </c>
      <c r="AA5755">
        <v>1</v>
      </c>
      <c r="AB5755">
        <v>2</v>
      </c>
      <c r="AI5755">
        <v>0</v>
      </c>
      <c r="AJ5755">
        <v>4</v>
      </c>
      <c r="AK5755">
        <v>58</v>
      </c>
      <c r="AL5755">
        <v>58</v>
      </c>
      <c r="AM5755">
        <v>0</v>
      </c>
      <c r="AN5755">
        <v>44</v>
      </c>
      <c r="AP5755">
        <v>1</v>
      </c>
      <c r="AR5755" t="s">
        <v>5862</v>
      </c>
      <c r="AS5755" s="1">
        <v>44354.069444444445</v>
      </c>
      <c r="AT5755" s="1">
        <v>44354.075046296297</v>
      </c>
      <c r="AU5755" s="1">
        <v>44354.075370370374</v>
      </c>
      <c r="AV5755" t="s">
        <v>269</v>
      </c>
      <c r="AW5755" t="s">
        <v>270</v>
      </c>
      <c r="AX5755" t="s">
        <v>73</v>
      </c>
    </row>
    <row r="5756" spans="1:50" x14ac:dyDescent="0.3">
      <c r="A5756" t="str">
        <f>"202207S0200"</f>
        <v>202207S0200</v>
      </c>
      <c r="B5756" t="str">
        <f>"202207S02002ERP"</f>
        <v>202207S02002ERP</v>
      </c>
      <c r="C5756" t="str">
        <f t="shared" si="288"/>
        <v>20</v>
      </c>
      <c r="D5756" t="s">
        <v>67</v>
      </c>
      <c r="E5756" t="str">
        <f>"018"</f>
        <v>018</v>
      </c>
      <c r="F5756" t="s">
        <v>4075</v>
      </c>
      <c r="G5756" t="str">
        <f>"2207"</f>
        <v>2207</v>
      </c>
      <c r="H5756" t="str">
        <f>"0002"</f>
        <v>0002</v>
      </c>
      <c r="I5756" t="s">
        <v>85</v>
      </c>
      <c r="J5756">
        <v>0</v>
      </c>
      <c r="K5756">
        <v>1</v>
      </c>
      <c r="L5756" t="s">
        <v>5825</v>
      </c>
      <c r="M5756">
        <v>759</v>
      </c>
      <c r="N5756">
        <v>238</v>
      </c>
      <c r="O5756">
        <v>0</v>
      </c>
      <c r="P5756">
        <v>238</v>
      </c>
      <c r="Q5756">
        <v>6</v>
      </c>
      <c r="R5756">
        <v>21</v>
      </c>
      <c r="S5756">
        <v>1</v>
      </c>
      <c r="T5756">
        <v>10</v>
      </c>
      <c r="U5756">
        <v>9</v>
      </c>
      <c r="V5756">
        <v>3</v>
      </c>
      <c r="W5756">
        <v>5</v>
      </c>
      <c r="X5756">
        <v>156</v>
      </c>
      <c r="Y5756">
        <v>4</v>
      </c>
      <c r="Z5756">
        <v>4</v>
      </c>
      <c r="AA5756">
        <v>3</v>
      </c>
      <c r="AB5756">
        <v>6</v>
      </c>
      <c r="AI5756">
        <v>1</v>
      </c>
      <c r="AJ5756">
        <v>9</v>
      </c>
      <c r="AK5756">
        <v>238</v>
      </c>
      <c r="AL5756">
        <v>238</v>
      </c>
      <c r="AM5756">
        <v>0</v>
      </c>
      <c r="AN5756">
        <v>44</v>
      </c>
      <c r="AP5756">
        <v>1</v>
      </c>
      <c r="AR5756" t="s">
        <v>5863</v>
      </c>
      <c r="AS5756" s="1">
        <v>44354.175000000003</v>
      </c>
      <c r="AT5756" s="1">
        <v>44354.187060185184</v>
      </c>
      <c r="AU5756" s="1">
        <v>44354.187754629631</v>
      </c>
      <c r="AV5756" t="s">
        <v>71</v>
      </c>
      <c r="AW5756" t="s">
        <v>72</v>
      </c>
      <c r="AX5756" t="s">
        <v>73</v>
      </c>
    </row>
    <row r="5757" spans="1:50" x14ac:dyDescent="0.3">
      <c r="A5757" t="str">
        <f>"200267S0100"</f>
        <v>200267S0100</v>
      </c>
      <c r="B5757" t="str">
        <f>"200267S01002ERP"</f>
        <v>200267S01002ERP</v>
      </c>
      <c r="C5757" t="str">
        <f t="shared" si="288"/>
        <v>20</v>
      </c>
      <c r="D5757" t="s">
        <v>67</v>
      </c>
      <c r="E5757" t="str">
        <f>"019"</f>
        <v>019</v>
      </c>
      <c r="F5757" t="s">
        <v>4278</v>
      </c>
      <c r="G5757" t="str">
        <f>"0267"</f>
        <v>0267</v>
      </c>
      <c r="H5757" t="str">
        <f>"0001"</f>
        <v>0001</v>
      </c>
      <c r="I5757" t="s">
        <v>85</v>
      </c>
      <c r="J5757">
        <v>0</v>
      </c>
      <c r="K5757">
        <v>1</v>
      </c>
      <c r="L5757" t="s">
        <v>5825</v>
      </c>
      <c r="M5757">
        <v>850</v>
      </c>
      <c r="N5757">
        <v>30</v>
      </c>
      <c r="O5757">
        <v>0</v>
      </c>
      <c r="P5757">
        <v>30</v>
      </c>
      <c r="Q5757">
        <v>2</v>
      </c>
      <c r="R5757">
        <v>4</v>
      </c>
      <c r="S5757">
        <v>0</v>
      </c>
      <c r="T5757">
        <v>0</v>
      </c>
      <c r="U5757">
        <v>2</v>
      </c>
      <c r="V5757">
        <v>1</v>
      </c>
      <c r="W5757">
        <v>0</v>
      </c>
      <c r="X5757">
        <v>17</v>
      </c>
      <c r="Y5757">
        <v>1</v>
      </c>
      <c r="Z5757">
        <v>1</v>
      </c>
      <c r="AA5757">
        <v>0</v>
      </c>
      <c r="AB5757">
        <v>2</v>
      </c>
      <c r="AI5757">
        <v>0</v>
      </c>
      <c r="AJ5757">
        <v>0</v>
      </c>
      <c r="AK5757">
        <v>0</v>
      </c>
      <c r="AL5757">
        <v>30</v>
      </c>
      <c r="AM5757">
        <v>0</v>
      </c>
      <c r="AN5757">
        <v>46</v>
      </c>
      <c r="AP5757">
        <v>1</v>
      </c>
      <c r="AR5757" t="s">
        <v>5864</v>
      </c>
      <c r="AS5757" s="1">
        <v>44354.308333333334</v>
      </c>
      <c r="AT5757" s="1">
        <v>44354.314305555556</v>
      </c>
      <c r="AU5757" s="1">
        <v>44354.314756944441</v>
      </c>
      <c r="AV5757" t="s">
        <v>71</v>
      </c>
      <c r="AW5757" t="s">
        <v>72</v>
      </c>
      <c r="AX5757" t="s">
        <v>73</v>
      </c>
    </row>
    <row r="5758" spans="1:50" x14ac:dyDescent="0.3">
      <c r="A5758" t="str">
        <f>"200270S0100"</f>
        <v>200270S0100</v>
      </c>
      <c r="B5758" t="str">
        <f>"200270S01002ERP"</f>
        <v>200270S01002ERP</v>
      </c>
      <c r="C5758" t="str">
        <f t="shared" si="288"/>
        <v>20</v>
      </c>
      <c r="D5758" t="s">
        <v>67</v>
      </c>
      <c r="E5758" t="str">
        <f>"019"</f>
        <v>019</v>
      </c>
      <c r="F5758" t="s">
        <v>4278</v>
      </c>
      <c r="G5758" t="str">
        <f>"0270"</f>
        <v>0270</v>
      </c>
      <c r="H5758" t="str">
        <f>"0001"</f>
        <v>0001</v>
      </c>
      <c r="I5758" t="s">
        <v>85</v>
      </c>
      <c r="J5758">
        <v>0</v>
      </c>
      <c r="K5758">
        <v>1</v>
      </c>
      <c r="L5758" t="s">
        <v>5825</v>
      </c>
      <c r="M5758">
        <v>844</v>
      </c>
      <c r="N5758">
        <v>119</v>
      </c>
      <c r="O5758">
        <v>0</v>
      </c>
      <c r="P5758">
        <v>119</v>
      </c>
      <c r="Q5758">
        <v>4</v>
      </c>
      <c r="R5758">
        <v>18</v>
      </c>
      <c r="S5758">
        <v>2</v>
      </c>
      <c r="T5758">
        <v>1</v>
      </c>
      <c r="U5758">
        <v>3</v>
      </c>
      <c r="V5758">
        <v>1</v>
      </c>
      <c r="W5758" t="s">
        <v>77</v>
      </c>
      <c r="X5758">
        <v>83</v>
      </c>
      <c r="Y5758" t="s">
        <v>77</v>
      </c>
      <c r="Z5758">
        <v>1</v>
      </c>
      <c r="AA5758" t="s">
        <v>77</v>
      </c>
      <c r="AB5758">
        <v>4</v>
      </c>
      <c r="AI5758" t="s">
        <v>77</v>
      </c>
      <c r="AJ5758">
        <v>2</v>
      </c>
      <c r="AK5758">
        <v>119</v>
      </c>
      <c r="AL5758">
        <v>119</v>
      </c>
      <c r="AM5758">
        <v>0</v>
      </c>
      <c r="AN5758">
        <v>46</v>
      </c>
      <c r="AO5758" t="s">
        <v>78</v>
      </c>
      <c r="AP5758">
        <v>1</v>
      </c>
      <c r="AR5758" t="s">
        <v>5865</v>
      </c>
      <c r="AS5758" s="1">
        <v>44354.4375</v>
      </c>
      <c r="AT5758" s="1">
        <v>44354.43954861111</v>
      </c>
      <c r="AU5758" s="1">
        <v>44354.440081018518</v>
      </c>
      <c r="AV5758" t="s">
        <v>71</v>
      </c>
      <c r="AW5758" t="s">
        <v>72</v>
      </c>
      <c r="AX5758" t="s">
        <v>73</v>
      </c>
    </row>
    <row r="5759" spans="1:50" x14ac:dyDescent="0.3">
      <c r="A5759" t="str">
        <f>"200680S0100"</f>
        <v>200680S0100</v>
      </c>
      <c r="B5759" t="str">
        <f>"200680S01002ERP"</f>
        <v>200680S01002ERP</v>
      </c>
      <c r="C5759" t="str">
        <f t="shared" si="288"/>
        <v>20</v>
      </c>
      <c r="D5759" t="s">
        <v>67</v>
      </c>
      <c r="E5759" t="str">
        <f>"019"</f>
        <v>019</v>
      </c>
      <c r="F5759" t="s">
        <v>4278</v>
      </c>
      <c r="G5759" t="str">
        <f>"0680"</f>
        <v>0680</v>
      </c>
      <c r="H5759" t="str">
        <f>"0001"</f>
        <v>0001</v>
      </c>
      <c r="I5759" t="s">
        <v>85</v>
      </c>
      <c r="J5759">
        <v>0</v>
      </c>
      <c r="K5759">
        <v>1</v>
      </c>
      <c r="L5759" t="s">
        <v>5825</v>
      </c>
      <c r="M5759">
        <v>829</v>
      </c>
      <c r="N5759">
        <v>133</v>
      </c>
      <c r="O5759">
        <v>0</v>
      </c>
      <c r="P5759">
        <v>133</v>
      </c>
      <c r="Q5759">
        <v>6</v>
      </c>
      <c r="R5759">
        <v>9</v>
      </c>
      <c r="S5759">
        <v>1</v>
      </c>
      <c r="T5759">
        <v>3</v>
      </c>
      <c r="U5759">
        <v>2</v>
      </c>
      <c r="V5759">
        <v>4</v>
      </c>
      <c r="W5759">
        <v>3</v>
      </c>
      <c r="X5759">
        <v>94</v>
      </c>
      <c r="Y5759">
        <v>6</v>
      </c>
      <c r="Z5759">
        <v>1</v>
      </c>
      <c r="AA5759">
        <v>1</v>
      </c>
      <c r="AB5759">
        <v>1</v>
      </c>
      <c r="AI5759" t="s">
        <v>77</v>
      </c>
      <c r="AJ5759">
        <v>2</v>
      </c>
      <c r="AK5759">
        <v>133</v>
      </c>
      <c r="AL5759">
        <v>133</v>
      </c>
      <c r="AM5759">
        <v>0</v>
      </c>
      <c r="AN5759">
        <v>44</v>
      </c>
      <c r="AO5759" t="s">
        <v>78</v>
      </c>
      <c r="AP5759">
        <v>1</v>
      </c>
      <c r="AR5759" s="2" t="s">
        <v>5866</v>
      </c>
      <c r="AS5759" s="1">
        <v>44354.099305555559</v>
      </c>
      <c r="AT5759" s="1">
        <v>44354.100706018522</v>
      </c>
      <c r="AU5759" s="1">
        <v>44354.101041666669</v>
      </c>
      <c r="AV5759" t="s">
        <v>71</v>
      </c>
      <c r="AW5759" t="s">
        <v>72</v>
      </c>
      <c r="AX5759" t="s">
        <v>73</v>
      </c>
    </row>
    <row r="5760" spans="1:50" x14ac:dyDescent="0.3">
      <c r="A5760" t="str">
        <f>"200696S0100"</f>
        <v>200696S0100</v>
      </c>
      <c r="B5760" t="str">
        <f>"200696S01002ERP"</f>
        <v>200696S01002ERP</v>
      </c>
      <c r="C5760" t="str">
        <f t="shared" si="288"/>
        <v>20</v>
      </c>
      <c r="D5760" t="s">
        <v>67</v>
      </c>
      <c r="E5760" t="str">
        <f>"019"</f>
        <v>019</v>
      </c>
      <c r="F5760" t="s">
        <v>4278</v>
      </c>
      <c r="G5760" t="str">
        <f>"0696"</f>
        <v>0696</v>
      </c>
      <c r="H5760" t="str">
        <f>"0001"</f>
        <v>0001</v>
      </c>
      <c r="I5760" t="s">
        <v>85</v>
      </c>
      <c r="J5760">
        <v>0</v>
      </c>
      <c r="K5760">
        <v>1</v>
      </c>
      <c r="L5760" t="s">
        <v>5825</v>
      </c>
      <c r="AM5760">
        <v>0</v>
      </c>
      <c r="AN5760">
        <v>44</v>
      </c>
      <c r="AO5760" t="s">
        <v>352</v>
      </c>
      <c r="AP5760">
        <v>0</v>
      </c>
      <c r="AR5760" t="s">
        <v>5867</v>
      </c>
      <c r="AS5760" s="1">
        <v>44354.606944444444</v>
      </c>
      <c r="AT5760" s="1">
        <v>44354.610856481479</v>
      </c>
      <c r="AU5760" s="1">
        <v>44354.610856481479</v>
      </c>
      <c r="AV5760" t="s">
        <v>71</v>
      </c>
      <c r="AW5760" t="s">
        <v>72</v>
      </c>
      <c r="AX5760" t="s">
        <v>73</v>
      </c>
    </row>
    <row r="5761" spans="1:50" x14ac:dyDescent="0.3">
      <c r="A5761" t="str">
        <f>"200289S0100"</f>
        <v>200289S0100</v>
      </c>
      <c r="B5761" t="str">
        <f>"200289S01002ERP"</f>
        <v>200289S01002ERP</v>
      </c>
      <c r="C5761" t="str">
        <f t="shared" si="288"/>
        <v>20</v>
      </c>
      <c r="D5761" t="s">
        <v>67</v>
      </c>
      <c r="E5761" t="str">
        <f>"020"</f>
        <v>020</v>
      </c>
      <c r="F5761" t="s">
        <v>4506</v>
      </c>
      <c r="G5761" t="str">
        <f>"0289"</f>
        <v>0289</v>
      </c>
      <c r="H5761" t="str">
        <f>"0001"</f>
        <v>0001</v>
      </c>
      <c r="I5761" t="s">
        <v>85</v>
      </c>
      <c r="J5761">
        <v>0</v>
      </c>
      <c r="K5761">
        <v>1</v>
      </c>
      <c r="L5761" t="s">
        <v>5825</v>
      </c>
      <c r="M5761">
        <v>535</v>
      </c>
      <c r="N5761">
        <v>72</v>
      </c>
      <c r="O5761">
        <v>0</v>
      </c>
      <c r="P5761">
        <v>72</v>
      </c>
      <c r="Q5761">
        <v>3</v>
      </c>
      <c r="R5761">
        <v>17</v>
      </c>
      <c r="S5761">
        <v>1</v>
      </c>
      <c r="T5761">
        <v>2</v>
      </c>
      <c r="U5761">
        <v>7</v>
      </c>
      <c r="V5761">
        <v>1</v>
      </c>
      <c r="W5761">
        <v>1</v>
      </c>
      <c r="X5761">
        <v>36</v>
      </c>
      <c r="Y5761" t="s">
        <v>77</v>
      </c>
      <c r="Z5761">
        <v>2</v>
      </c>
      <c r="AA5761" t="s">
        <v>77</v>
      </c>
      <c r="AB5761">
        <v>2</v>
      </c>
      <c r="AI5761" t="s">
        <v>77</v>
      </c>
      <c r="AJ5761" t="s">
        <v>77</v>
      </c>
      <c r="AK5761" t="s">
        <v>77</v>
      </c>
      <c r="AL5761">
        <v>72</v>
      </c>
      <c r="AM5761">
        <v>0</v>
      </c>
      <c r="AN5761">
        <v>44</v>
      </c>
      <c r="AO5761" t="s">
        <v>78</v>
      </c>
      <c r="AP5761">
        <v>1</v>
      </c>
      <c r="AR5761" t="s">
        <v>5868</v>
      </c>
      <c r="AS5761" s="1">
        <v>44354.057638888888</v>
      </c>
      <c r="AT5761" s="1">
        <v>44354.271770833337</v>
      </c>
      <c r="AU5761" s="1">
        <v>44354.272245370368</v>
      </c>
      <c r="AV5761" t="s">
        <v>71</v>
      </c>
      <c r="AW5761" t="s">
        <v>72</v>
      </c>
      <c r="AX5761" t="s">
        <v>73</v>
      </c>
    </row>
    <row r="5762" spans="1:50" x14ac:dyDescent="0.3">
      <c r="A5762" t="str">
        <f>"200289S0200"</f>
        <v>200289S0200</v>
      </c>
      <c r="B5762" t="str">
        <f>"200289S02002ERP"</f>
        <v>200289S02002ERP</v>
      </c>
      <c r="C5762" t="str">
        <f t="shared" si="288"/>
        <v>20</v>
      </c>
      <c r="D5762" t="s">
        <v>67</v>
      </c>
      <c r="E5762" t="str">
        <f>"020"</f>
        <v>020</v>
      </c>
      <c r="F5762" t="s">
        <v>4506</v>
      </c>
      <c r="G5762" t="str">
        <f>"0289"</f>
        <v>0289</v>
      </c>
      <c r="H5762" t="str">
        <f>"0002"</f>
        <v>0002</v>
      </c>
      <c r="I5762" t="s">
        <v>85</v>
      </c>
      <c r="J5762">
        <v>0</v>
      </c>
      <c r="K5762">
        <v>1</v>
      </c>
      <c r="L5762" t="s">
        <v>5825</v>
      </c>
      <c r="AM5762">
        <v>0</v>
      </c>
      <c r="AN5762">
        <v>44</v>
      </c>
      <c r="AO5762" t="s">
        <v>143</v>
      </c>
      <c r="AP5762">
        <v>0</v>
      </c>
      <c r="AR5762" t="s">
        <v>5869</v>
      </c>
      <c r="AS5762" s="1">
        <v>44354.494444444441</v>
      </c>
      <c r="AT5762" s="1">
        <v>44354.500231481485</v>
      </c>
      <c r="AU5762" s="1">
        <v>44354.500231481485</v>
      </c>
      <c r="AV5762" t="s">
        <v>71</v>
      </c>
      <c r="AW5762" t="s">
        <v>72</v>
      </c>
      <c r="AX5762" t="s">
        <v>73</v>
      </c>
    </row>
    <row r="5763" spans="1:50" x14ac:dyDescent="0.3">
      <c r="A5763" t="str">
        <f>"200295S0100"</f>
        <v>200295S0100</v>
      </c>
      <c r="B5763" t="str">
        <f>"200295S01002ERP"</f>
        <v>200295S01002ERP</v>
      </c>
      <c r="C5763" t="str">
        <f t="shared" si="288"/>
        <v>20</v>
      </c>
      <c r="D5763" t="s">
        <v>67</v>
      </c>
      <c r="E5763" t="str">
        <f>"020"</f>
        <v>020</v>
      </c>
      <c r="F5763" t="s">
        <v>4506</v>
      </c>
      <c r="G5763" t="str">
        <f>"0295"</f>
        <v>0295</v>
      </c>
      <c r="H5763" t="str">
        <f t="shared" ref="H5763:H5774" si="291">"0001"</f>
        <v>0001</v>
      </c>
      <c r="I5763" t="s">
        <v>85</v>
      </c>
      <c r="J5763">
        <v>0</v>
      </c>
      <c r="K5763">
        <v>1</v>
      </c>
      <c r="L5763" t="s">
        <v>5825</v>
      </c>
      <c r="M5763">
        <v>690</v>
      </c>
      <c r="N5763">
        <v>277</v>
      </c>
      <c r="O5763">
        <v>0</v>
      </c>
      <c r="P5763">
        <v>285</v>
      </c>
      <c r="Q5763">
        <v>1</v>
      </c>
      <c r="R5763">
        <v>10</v>
      </c>
      <c r="S5763">
        <v>2</v>
      </c>
      <c r="T5763">
        <v>0</v>
      </c>
      <c r="U5763">
        <v>5</v>
      </c>
      <c r="V5763">
        <v>0</v>
      </c>
      <c r="W5763">
        <v>0</v>
      </c>
      <c r="X5763">
        <v>11</v>
      </c>
      <c r="Y5763">
        <v>0</v>
      </c>
      <c r="Z5763">
        <v>0</v>
      </c>
      <c r="AA5763">
        <v>0</v>
      </c>
      <c r="AB5763">
        <v>0</v>
      </c>
      <c r="AI5763">
        <v>0</v>
      </c>
      <c r="AJ5763">
        <v>8</v>
      </c>
      <c r="AK5763">
        <v>37</v>
      </c>
      <c r="AL5763">
        <v>37</v>
      </c>
      <c r="AM5763">
        <v>0</v>
      </c>
      <c r="AN5763">
        <v>44</v>
      </c>
      <c r="AP5763">
        <v>1</v>
      </c>
      <c r="AR5763" t="s">
        <v>5870</v>
      </c>
      <c r="AS5763" s="1">
        <v>44354.24722222222</v>
      </c>
      <c r="AT5763" s="1">
        <v>44354.253194444442</v>
      </c>
      <c r="AU5763" s="1">
        <v>44354.253668981481</v>
      </c>
      <c r="AV5763" t="s">
        <v>71</v>
      </c>
      <c r="AW5763" t="s">
        <v>72</v>
      </c>
      <c r="AX5763" t="s">
        <v>347</v>
      </c>
    </row>
    <row r="5764" spans="1:50" x14ac:dyDescent="0.3">
      <c r="A5764" t="str">
        <f>"202468S0100"</f>
        <v>202468S0100</v>
      </c>
      <c r="B5764" t="str">
        <f>"202468S01002ERP"</f>
        <v>202468S01002ERP</v>
      </c>
      <c r="C5764" t="str">
        <f t="shared" si="288"/>
        <v>20</v>
      </c>
      <c r="D5764" t="s">
        <v>67</v>
      </c>
      <c r="E5764" t="str">
        <f>"020"</f>
        <v>020</v>
      </c>
      <c r="F5764" t="s">
        <v>4506</v>
      </c>
      <c r="G5764" t="str">
        <f>"2468"</f>
        <v>2468</v>
      </c>
      <c r="H5764" t="str">
        <f t="shared" si="291"/>
        <v>0001</v>
      </c>
      <c r="I5764" t="s">
        <v>85</v>
      </c>
      <c r="J5764">
        <v>0</v>
      </c>
      <c r="K5764">
        <v>1</v>
      </c>
      <c r="L5764" t="s">
        <v>5825</v>
      </c>
      <c r="M5764">
        <v>430</v>
      </c>
      <c r="N5764">
        <v>84</v>
      </c>
      <c r="O5764">
        <v>0</v>
      </c>
      <c r="P5764">
        <v>570</v>
      </c>
      <c r="Q5764">
        <v>2</v>
      </c>
      <c r="R5764">
        <v>24</v>
      </c>
      <c r="S5764">
        <v>1</v>
      </c>
      <c r="T5764">
        <v>0</v>
      </c>
      <c r="U5764">
        <v>4</v>
      </c>
      <c r="V5764">
        <v>1</v>
      </c>
      <c r="W5764">
        <v>0</v>
      </c>
      <c r="X5764">
        <v>8</v>
      </c>
      <c r="Y5764">
        <v>41</v>
      </c>
      <c r="Z5764">
        <v>0</v>
      </c>
      <c r="AA5764">
        <v>1</v>
      </c>
      <c r="AB5764">
        <v>0</v>
      </c>
      <c r="AI5764">
        <v>1</v>
      </c>
      <c r="AJ5764">
        <v>1</v>
      </c>
      <c r="AK5764">
        <v>84</v>
      </c>
      <c r="AL5764">
        <v>84</v>
      </c>
      <c r="AM5764">
        <v>0</v>
      </c>
      <c r="AN5764">
        <v>44</v>
      </c>
      <c r="AP5764">
        <v>1</v>
      </c>
      <c r="AR5764" t="s">
        <v>5871</v>
      </c>
      <c r="AS5764" s="1">
        <v>44353.999305555553</v>
      </c>
      <c r="AT5764" s="1">
        <v>44354.006944444445</v>
      </c>
      <c r="AU5764" s="1">
        <v>44354.007662037038</v>
      </c>
      <c r="AV5764" t="s">
        <v>71</v>
      </c>
      <c r="AW5764" t="s">
        <v>72</v>
      </c>
      <c r="AX5764" t="s">
        <v>73</v>
      </c>
    </row>
    <row r="5765" spans="1:50" x14ac:dyDescent="0.3">
      <c r="A5765" t="str">
        <f>"200160S0100"</f>
        <v>200160S0100</v>
      </c>
      <c r="B5765" t="str">
        <f>"200160S01002ERP"</f>
        <v>200160S01002ERP</v>
      </c>
      <c r="C5765" t="str">
        <f t="shared" si="288"/>
        <v>20</v>
      </c>
      <c r="D5765" t="s">
        <v>67</v>
      </c>
      <c r="E5765" t="str">
        <f>"021"</f>
        <v>021</v>
      </c>
      <c r="F5765" t="s">
        <v>4711</v>
      </c>
      <c r="G5765" t="str">
        <f>"0160"</f>
        <v>0160</v>
      </c>
      <c r="H5765" t="str">
        <f t="shared" si="291"/>
        <v>0001</v>
      </c>
      <c r="I5765" t="s">
        <v>85</v>
      </c>
      <c r="J5765">
        <v>0</v>
      </c>
      <c r="K5765">
        <v>1</v>
      </c>
      <c r="L5765" t="s">
        <v>5825</v>
      </c>
      <c r="M5765">
        <v>782</v>
      </c>
      <c r="N5765">
        <v>138</v>
      </c>
      <c r="O5765">
        <v>0</v>
      </c>
      <c r="P5765">
        <v>218</v>
      </c>
      <c r="Q5765">
        <v>39</v>
      </c>
      <c r="R5765">
        <v>9</v>
      </c>
      <c r="S5765">
        <v>1</v>
      </c>
      <c r="T5765">
        <v>19</v>
      </c>
      <c r="U5765">
        <v>5</v>
      </c>
      <c r="V5765">
        <v>1</v>
      </c>
      <c r="W5765">
        <v>1</v>
      </c>
      <c r="X5765">
        <v>53</v>
      </c>
      <c r="Y5765">
        <v>2</v>
      </c>
      <c r="Z5765">
        <v>0</v>
      </c>
      <c r="AA5765">
        <v>1</v>
      </c>
      <c r="AB5765">
        <v>4</v>
      </c>
      <c r="AI5765">
        <v>0</v>
      </c>
      <c r="AJ5765">
        <v>3</v>
      </c>
      <c r="AK5765">
        <v>138</v>
      </c>
      <c r="AL5765">
        <v>138</v>
      </c>
      <c r="AM5765">
        <v>0</v>
      </c>
      <c r="AN5765">
        <v>44</v>
      </c>
      <c r="AP5765">
        <v>1</v>
      </c>
      <c r="AR5765" t="s">
        <v>5872</v>
      </c>
      <c r="AS5765" s="1">
        <v>44354.00277777778</v>
      </c>
      <c r="AT5765" s="1">
        <v>44354.642685185187</v>
      </c>
      <c r="AU5765" s="1">
        <v>44354.644074074073</v>
      </c>
      <c r="AV5765" t="s">
        <v>71</v>
      </c>
      <c r="AW5765" t="s">
        <v>72</v>
      </c>
      <c r="AX5765" t="s">
        <v>73</v>
      </c>
    </row>
    <row r="5766" spans="1:50" x14ac:dyDescent="0.3">
      <c r="A5766" t="str">
        <f>"202292S0100"</f>
        <v>202292S0100</v>
      </c>
      <c r="B5766" t="str">
        <f>"202292S01002ERP"</f>
        <v>202292S01002ERP</v>
      </c>
      <c r="C5766" t="str">
        <f t="shared" si="288"/>
        <v>20</v>
      </c>
      <c r="D5766" t="s">
        <v>67</v>
      </c>
      <c r="E5766" t="str">
        <f>"021"</f>
        <v>021</v>
      </c>
      <c r="F5766" t="s">
        <v>4711</v>
      </c>
      <c r="G5766" t="str">
        <f>"2292"</f>
        <v>2292</v>
      </c>
      <c r="H5766" t="str">
        <f t="shared" si="291"/>
        <v>0001</v>
      </c>
      <c r="I5766" t="s">
        <v>85</v>
      </c>
      <c r="J5766">
        <v>0</v>
      </c>
      <c r="K5766">
        <v>1</v>
      </c>
      <c r="L5766" t="s">
        <v>5825</v>
      </c>
      <c r="M5766">
        <v>807</v>
      </c>
      <c r="N5766">
        <v>193</v>
      </c>
      <c r="O5766">
        <v>0</v>
      </c>
      <c r="P5766">
        <v>76</v>
      </c>
      <c r="Q5766">
        <v>3</v>
      </c>
      <c r="R5766">
        <v>12</v>
      </c>
      <c r="S5766">
        <v>1</v>
      </c>
      <c r="T5766">
        <v>5</v>
      </c>
      <c r="U5766">
        <v>6</v>
      </c>
      <c r="V5766">
        <v>0</v>
      </c>
      <c r="W5766">
        <v>3</v>
      </c>
      <c r="X5766">
        <v>37</v>
      </c>
      <c r="Y5766">
        <v>1</v>
      </c>
      <c r="Z5766">
        <v>1</v>
      </c>
      <c r="AA5766">
        <v>1</v>
      </c>
      <c r="AB5766">
        <v>3</v>
      </c>
      <c r="AI5766" t="s">
        <v>77</v>
      </c>
      <c r="AJ5766">
        <v>3</v>
      </c>
      <c r="AK5766">
        <v>76</v>
      </c>
      <c r="AL5766">
        <v>76</v>
      </c>
      <c r="AM5766">
        <v>0</v>
      </c>
      <c r="AN5766">
        <v>46</v>
      </c>
      <c r="AO5766" t="s">
        <v>78</v>
      </c>
      <c r="AP5766">
        <v>1</v>
      </c>
      <c r="AR5766" t="s">
        <v>5873</v>
      </c>
      <c r="AS5766" s="1">
        <v>44354.097916666666</v>
      </c>
      <c r="AT5766" s="1">
        <v>44354.102442129632</v>
      </c>
      <c r="AU5766" s="1">
        <v>44354.103773148148</v>
      </c>
      <c r="AV5766" t="s">
        <v>71</v>
      </c>
      <c r="AW5766" t="s">
        <v>72</v>
      </c>
      <c r="AX5766" t="s">
        <v>73</v>
      </c>
    </row>
    <row r="5767" spans="1:50" x14ac:dyDescent="0.3">
      <c r="A5767" t="str">
        <f>"202088S0100"</f>
        <v>202088S0100</v>
      </c>
      <c r="B5767" t="str">
        <f>"202088S01002ERP"</f>
        <v>202088S01002ERP</v>
      </c>
      <c r="C5767" t="str">
        <f t="shared" ref="C5767:C5774" si="292">"20"</f>
        <v>20</v>
      </c>
      <c r="D5767" t="s">
        <v>67</v>
      </c>
      <c r="E5767" t="str">
        <f>"022"</f>
        <v>022</v>
      </c>
      <c r="F5767" t="s">
        <v>4913</v>
      </c>
      <c r="G5767" t="str">
        <f>"2088"</f>
        <v>2088</v>
      </c>
      <c r="H5767" t="str">
        <f t="shared" si="291"/>
        <v>0001</v>
      </c>
      <c r="I5767" t="s">
        <v>85</v>
      </c>
      <c r="J5767">
        <v>0</v>
      </c>
      <c r="K5767">
        <v>1</v>
      </c>
      <c r="L5767" t="s">
        <v>5825</v>
      </c>
      <c r="M5767">
        <v>665</v>
      </c>
      <c r="N5767">
        <v>334</v>
      </c>
      <c r="O5767">
        <v>0</v>
      </c>
      <c r="P5767">
        <v>216</v>
      </c>
      <c r="Q5767">
        <v>7</v>
      </c>
      <c r="R5767">
        <v>25</v>
      </c>
      <c r="S5767">
        <v>17</v>
      </c>
      <c r="T5767">
        <v>2</v>
      </c>
      <c r="U5767">
        <v>8</v>
      </c>
      <c r="V5767">
        <v>0</v>
      </c>
      <c r="W5767">
        <v>2</v>
      </c>
      <c r="X5767">
        <v>131</v>
      </c>
      <c r="Y5767">
        <v>6</v>
      </c>
      <c r="Z5767">
        <v>2</v>
      </c>
      <c r="AA5767">
        <v>3</v>
      </c>
      <c r="AB5767">
        <v>7</v>
      </c>
      <c r="AI5767">
        <v>2</v>
      </c>
      <c r="AJ5767">
        <v>4</v>
      </c>
      <c r="AK5767">
        <v>216</v>
      </c>
      <c r="AL5767">
        <v>216</v>
      </c>
      <c r="AM5767">
        <v>0</v>
      </c>
      <c r="AN5767">
        <v>44</v>
      </c>
      <c r="AP5767">
        <v>1</v>
      </c>
      <c r="AR5767" t="s">
        <v>5874</v>
      </c>
      <c r="AS5767" s="1">
        <v>44354.030555555553</v>
      </c>
      <c r="AT5767" s="1">
        <v>44354.040752314817</v>
      </c>
      <c r="AU5767" s="1">
        <v>44354.042303240742</v>
      </c>
      <c r="AV5767" t="s">
        <v>71</v>
      </c>
      <c r="AW5767" t="s">
        <v>72</v>
      </c>
      <c r="AX5767" t="s">
        <v>73</v>
      </c>
    </row>
    <row r="5768" spans="1:50" x14ac:dyDescent="0.3">
      <c r="A5768" t="str">
        <f>"201506S0100"</f>
        <v>201506S0100</v>
      </c>
      <c r="B5768" t="str">
        <f>"201506S01002ERP"</f>
        <v>201506S01002ERP</v>
      </c>
      <c r="C5768" t="str">
        <f t="shared" si="292"/>
        <v>20</v>
      </c>
      <c r="D5768" t="s">
        <v>67</v>
      </c>
      <c r="E5768" t="str">
        <f>"023"</f>
        <v>023</v>
      </c>
      <c r="F5768" t="s">
        <v>5157</v>
      </c>
      <c r="G5768" t="str">
        <f>"1506"</f>
        <v>1506</v>
      </c>
      <c r="H5768" t="str">
        <f t="shared" si="291"/>
        <v>0001</v>
      </c>
      <c r="I5768" t="s">
        <v>85</v>
      </c>
      <c r="J5768">
        <v>0</v>
      </c>
      <c r="K5768">
        <v>1</v>
      </c>
      <c r="L5768" t="s">
        <v>5825</v>
      </c>
      <c r="M5768">
        <v>496</v>
      </c>
      <c r="N5768">
        <v>378</v>
      </c>
      <c r="O5768">
        <v>0</v>
      </c>
      <c r="P5768">
        <v>377</v>
      </c>
      <c r="Q5768">
        <v>8</v>
      </c>
      <c r="R5768">
        <v>87</v>
      </c>
      <c r="S5768">
        <v>6</v>
      </c>
      <c r="T5768">
        <v>2</v>
      </c>
      <c r="U5768">
        <v>10</v>
      </c>
      <c r="V5768">
        <v>3</v>
      </c>
      <c r="W5768">
        <v>5</v>
      </c>
      <c r="X5768">
        <v>237</v>
      </c>
      <c r="Y5768">
        <v>2</v>
      </c>
      <c r="Z5768">
        <v>2</v>
      </c>
      <c r="AA5768">
        <v>4</v>
      </c>
      <c r="AB5768">
        <v>1</v>
      </c>
      <c r="AI5768">
        <v>0</v>
      </c>
      <c r="AJ5768">
        <v>10</v>
      </c>
      <c r="AK5768">
        <v>377</v>
      </c>
      <c r="AL5768">
        <v>377</v>
      </c>
      <c r="AM5768">
        <v>0</v>
      </c>
      <c r="AN5768">
        <v>44</v>
      </c>
      <c r="AP5768">
        <v>1</v>
      </c>
      <c r="AR5768" t="s">
        <v>5875</v>
      </c>
      <c r="AS5768" s="1">
        <v>44354.080555555556</v>
      </c>
      <c r="AT5768" s="1">
        <v>44354.090358796297</v>
      </c>
      <c r="AU5768" s="1">
        <v>44354.09101851852</v>
      </c>
      <c r="AV5768" t="s">
        <v>71</v>
      </c>
      <c r="AW5768" t="s">
        <v>72</v>
      </c>
      <c r="AX5768" t="s">
        <v>73</v>
      </c>
    </row>
    <row r="5769" spans="1:50" x14ac:dyDescent="0.3">
      <c r="A5769" t="str">
        <f>"201658S0100"</f>
        <v>201658S0100</v>
      </c>
      <c r="B5769" t="str">
        <f>"201658S01002ERP"</f>
        <v>201658S01002ERP</v>
      </c>
      <c r="C5769" t="str">
        <f t="shared" si="292"/>
        <v>20</v>
      </c>
      <c r="D5769" t="s">
        <v>67</v>
      </c>
      <c r="E5769" t="str">
        <f>"023"</f>
        <v>023</v>
      </c>
      <c r="F5769" t="s">
        <v>5157</v>
      </c>
      <c r="G5769" t="str">
        <f>"1658"</f>
        <v>1658</v>
      </c>
      <c r="H5769" t="str">
        <f t="shared" si="291"/>
        <v>0001</v>
      </c>
      <c r="I5769" t="s">
        <v>85</v>
      </c>
      <c r="J5769">
        <v>0</v>
      </c>
      <c r="K5769">
        <v>1</v>
      </c>
      <c r="L5769" t="s">
        <v>5825</v>
      </c>
      <c r="M5769">
        <v>693</v>
      </c>
      <c r="N5769">
        <v>146</v>
      </c>
      <c r="O5769">
        <v>0</v>
      </c>
      <c r="P5769">
        <v>161</v>
      </c>
      <c r="Q5769">
        <v>12</v>
      </c>
      <c r="R5769">
        <v>46</v>
      </c>
      <c r="S5769">
        <v>10</v>
      </c>
      <c r="T5769">
        <v>1</v>
      </c>
      <c r="U5769">
        <v>14</v>
      </c>
      <c r="V5769">
        <v>0</v>
      </c>
      <c r="W5769">
        <v>1</v>
      </c>
      <c r="X5769">
        <v>62</v>
      </c>
      <c r="Y5769">
        <v>0</v>
      </c>
      <c r="Z5769">
        <v>0</v>
      </c>
      <c r="AA5769">
        <v>2</v>
      </c>
      <c r="AB5769">
        <v>2</v>
      </c>
      <c r="AI5769">
        <v>0</v>
      </c>
      <c r="AJ5769">
        <v>11</v>
      </c>
      <c r="AK5769">
        <v>161</v>
      </c>
      <c r="AL5769">
        <v>161</v>
      </c>
      <c r="AM5769">
        <v>0</v>
      </c>
      <c r="AN5769">
        <v>46</v>
      </c>
      <c r="AP5769">
        <v>1</v>
      </c>
      <c r="AR5769" t="s">
        <v>5876</v>
      </c>
      <c r="AS5769" s="1">
        <v>44354.177083333336</v>
      </c>
      <c r="AT5769" s="1">
        <v>44354.180046296293</v>
      </c>
      <c r="AU5769" s="1">
        <v>44354.180543981478</v>
      </c>
      <c r="AV5769" t="s">
        <v>71</v>
      </c>
      <c r="AW5769" t="s">
        <v>72</v>
      </c>
      <c r="AX5769" t="s">
        <v>73</v>
      </c>
    </row>
    <row r="5770" spans="1:50" x14ac:dyDescent="0.3">
      <c r="A5770" t="str">
        <f>"200432S0100"</f>
        <v>200432S0100</v>
      </c>
      <c r="B5770" t="str">
        <f>"200432S01002ERP"</f>
        <v>200432S01002ERP</v>
      </c>
      <c r="C5770" t="str">
        <f t="shared" si="292"/>
        <v>20</v>
      </c>
      <c r="D5770" t="s">
        <v>67</v>
      </c>
      <c r="E5770" t="str">
        <f>"024"</f>
        <v>024</v>
      </c>
      <c r="F5770" t="s">
        <v>5370</v>
      </c>
      <c r="G5770" t="str">
        <f>"0432"</f>
        <v>0432</v>
      </c>
      <c r="H5770" t="str">
        <f t="shared" si="291"/>
        <v>0001</v>
      </c>
      <c r="I5770" t="s">
        <v>85</v>
      </c>
      <c r="J5770">
        <v>0</v>
      </c>
      <c r="K5770">
        <v>1</v>
      </c>
      <c r="L5770" t="s">
        <v>5825</v>
      </c>
      <c r="M5770">
        <v>648</v>
      </c>
      <c r="N5770">
        <v>101</v>
      </c>
      <c r="O5770">
        <v>0</v>
      </c>
      <c r="P5770">
        <v>101</v>
      </c>
      <c r="Q5770">
        <v>4</v>
      </c>
      <c r="R5770">
        <v>6</v>
      </c>
      <c r="S5770">
        <v>0</v>
      </c>
      <c r="T5770">
        <v>3</v>
      </c>
      <c r="U5770">
        <v>8</v>
      </c>
      <c r="V5770">
        <v>2</v>
      </c>
      <c r="W5770">
        <v>0</v>
      </c>
      <c r="X5770">
        <v>62</v>
      </c>
      <c r="Y5770">
        <v>7</v>
      </c>
      <c r="Z5770">
        <v>0</v>
      </c>
      <c r="AA5770">
        <v>0</v>
      </c>
      <c r="AB5770">
        <v>4</v>
      </c>
      <c r="AI5770">
        <v>0</v>
      </c>
      <c r="AJ5770">
        <v>5</v>
      </c>
      <c r="AK5770">
        <v>101</v>
      </c>
      <c r="AL5770">
        <v>101</v>
      </c>
      <c r="AM5770">
        <v>0</v>
      </c>
      <c r="AN5770">
        <v>48</v>
      </c>
      <c r="AP5770">
        <v>1</v>
      </c>
      <c r="AR5770" t="s">
        <v>5877</v>
      </c>
      <c r="AS5770" s="1">
        <v>44354.178472222222</v>
      </c>
      <c r="AT5770" s="1">
        <v>44354.180092592593</v>
      </c>
      <c r="AU5770" s="1">
        <v>44354.180312500001</v>
      </c>
      <c r="AV5770" t="s">
        <v>71</v>
      </c>
      <c r="AW5770" t="s">
        <v>72</v>
      </c>
      <c r="AX5770" t="s">
        <v>73</v>
      </c>
    </row>
    <row r="5771" spans="1:50" x14ac:dyDescent="0.3">
      <c r="A5771" t="str">
        <f>"200440S0100"</f>
        <v>200440S0100</v>
      </c>
      <c r="B5771" t="str">
        <f>"200440S01002ERP"</f>
        <v>200440S01002ERP</v>
      </c>
      <c r="C5771" t="str">
        <f t="shared" si="292"/>
        <v>20</v>
      </c>
      <c r="D5771" t="s">
        <v>67</v>
      </c>
      <c r="E5771" t="str">
        <f>"024"</f>
        <v>024</v>
      </c>
      <c r="F5771" t="s">
        <v>5370</v>
      </c>
      <c r="G5771" t="str">
        <f>"0440"</f>
        <v>0440</v>
      </c>
      <c r="H5771" t="str">
        <f t="shared" si="291"/>
        <v>0001</v>
      </c>
      <c r="I5771" t="s">
        <v>85</v>
      </c>
      <c r="J5771">
        <v>0</v>
      </c>
      <c r="K5771">
        <v>1</v>
      </c>
      <c r="L5771" t="s">
        <v>5825</v>
      </c>
      <c r="M5771">
        <v>428</v>
      </c>
      <c r="N5771">
        <v>373</v>
      </c>
      <c r="O5771">
        <v>0</v>
      </c>
      <c r="P5771">
        <v>373</v>
      </c>
      <c r="Q5771">
        <v>2</v>
      </c>
      <c r="R5771">
        <v>63</v>
      </c>
      <c r="S5771">
        <v>1</v>
      </c>
      <c r="T5771">
        <v>6</v>
      </c>
      <c r="U5771">
        <v>13</v>
      </c>
      <c r="V5771">
        <v>2</v>
      </c>
      <c r="W5771">
        <v>58</v>
      </c>
      <c r="X5771">
        <v>135</v>
      </c>
      <c r="Y5771">
        <v>56</v>
      </c>
      <c r="Z5771">
        <v>2</v>
      </c>
      <c r="AA5771">
        <v>5</v>
      </c>
      <c r="AB5771">
        <v>6</v>
      </c>
      <c r="AI5771">
        <v>0</v>
      </c>
      <c r="AJ5771">
        <v>1</v>
      </c>
      <c r="AK5771">
        <v>0</v>
      </c>
      <c r="AL5771">
        <v>350</v>
      </c>
      <c r="AM5771">
        <v>0</v>
      </c>
      <c r="AN5771">
        <v>48</v>
      </c>
      <c r="AP5771">
        <v>1</v>
      </c>
      <c r="AR5771" t="s">
        <v>5878</v>
      </c>
      <c r="AS5771" s="1">
        <v>44354.080555555556</v>
      </c>
      <c r="AT5771" s="1">
        <v>44354.09107638889</v>
      </c>
      <c r="AU5771" s="1">
        <v>44354.091516203705</v>
      </c>
      <c r="AV5771" t="s">
        <v>71</v>
      </c>
      <c r="AW5771" t="s">
        <v>72</v>
      </c>
      <c r="AX5771" t="s">
        <v>73</v>
      </c>
    </row>
    <row r="5772" spans="1:50" x14ac:dyDescent="0.3">
      <c r="A5772" t="str">
        <f>"201518S0100"</f>
        <v>201518S0100</v>
      </c>
      <c r="B5772" t="str">
        <f>"201518S01002ERP"</f>
        <v>201518S01002ERP</v>
      </c>
      <c r="C5772" t="str">
        <f t="shared" si="292"/>
        <v>20</v>
      </c>
      <c r="D5772" t="s">
        <v>67</v>
      </c>
      <c r="E5772" t="str">
        <f>"025"</f>
        <v>025</v>
      </c>
      <c r="F5772" t="s">
        <v>5603</v>
      </c>
      <c r="G5772" t="str">
        <f>"1518"</f>
        <v>1518</v>
      </c>
      <c r="H5772" t="str">
        <f t="shared" si="291"/>
        <v>0001</v>
      </c>
      <c r="I5772" t="s">
        <v>85</v>
      </c>
      <c r="J5772">
        <v>0</v>
      </c>
      <c r="K5772">
        <v>1</v>
      </c>
      <c r="L5772" t="s">
        <v>5825</v>
      </c>
      <c r="M5772">
        <v>634</v>
      </c>
      <c r="N5772">
        <v>261</v>
      </c>
      <c r="O5772">
        <v>0</v>
      </c>
      <c r="P5772">
        <v>261</v>
      </c>
      <c r="Q5772">
        <v>17</v>
      </c>
      <c r="R5772">
        <v>26</v>
      </c>
      <c r="S5772">
        <v>9</v>
      </c>
      <c r="T5772">
        <v>10</v>
      </c>
      <c r="U5772">
        <v>18</v>
      </c>
      <c r="V5772">
        <v>4</v>
      </c>
      <c r="W5772">
        <v>4</v>
      </c>
      <c r="X5772">
        <v>139</v>
      </c>
      <c r="Y5772">
        <v>11</v>
      </c>
      <c r="Z5772">
        <v>8</v>
      </c>
      <c r="AA5772">
        <v>1</v>
      </c>
      <c r="AB5772">
        <v>5</v>
      </c>
      <c r="AI5772">
        <v>0</v>
      </c>
      <c r="AJ5772">
        <v>9</v>
      </c>
      <c r="AK5772">
        <v>261</v>
      </c>
      <c r="AL5772">
        <v>261</v>
      </c>
      <c r="AM5772">
        <v>0</v>
      </c>
      <c r="AN5772">
        <v>44</v>
      </c>
      <c r="AP5772">
        <v>1</v>
      </c>
      <c r="AR5772" t="s">
        <v>5879</v>
      </c>
      <c r="AS5772" s="1">
        <v>44354.478472222225</v>
      </c>
      <c r="AT5772" s="1">
        <v>44354.485069444447</v>
      </c>
      <c r="AU5772" s="1">
        <v>44354.485462962963</v>
      </c>
      <c r="AV5772" t="s">
        <v>71</v>
      </c>
      <c r="AW5772" t="s">
        <v>72</v>
      </c>
      <c r="AX5772" t="s">
        <v>73</v>
      </c>
    </row>
    <row r="5773" spans="1:50" x14ac:dyDescent="0.3">
      <c r="A5773" t="str">
        <f>"201845S0100"</f>
        <v>201845S0100</v>
      </c>
      <c r="B5773" t="str">
        <f>"201845S01002ERP"</f>
        <v>201845S01002ERP</v>
      </c>
      <c r="C5773" t="str">
        <f t="shared" si="292"/>
        <v>20</v>
      </c>
      <c r="D5773" t="s">
        <v>67</v>
      </c>
      <c r="E5773" t="str">
        <f>"025"</f>
        <v>025</v>
      </c>
      <c r="F5773" t="s">
        <v>5603</v>
      </c>
      <c r="G5773" t="str">
        <f>"1845"</f>
        <v>1845</v>
      </c>
      <c r="H5773" t="str">
        <f t="shared" si="291"/>
        <v>0001</v>
      </c>
      <c r="I5773" t="s">
        <v>85</v>
      </c>
      <c r="J5773">
        <v>0</v>
      </c>
      <c r="K5773">
        <v>1</v>
      </c>
      <c r="L5773" t="s">
        <v>5825</v>
      </c>
      <c r="M5773">
        <v>556</v>
      </c>
      <c r="N5773">
        <v>380</v>
      </c>
      <c r="O5773">
        <v>0</v>
      </c>
      <c r="P5773">
        <v>380</v>
      </c>
      <c r="Q5773">
        <v>15</v>
      </c>
      <c r="R5773">
        <v>47</v>
      </c>
      <c r="S5773">
        <v>12</v>
      </c>
      <c r="T5773">
        <v>2</v>
      </c>
      <c r="U5773">
        <v>20</v>
      </c>
      <c r="V5773">
        <v>8</v>
      </c>
      <c r="W5773">
        <v>8</v>
      </c>
      <c r="X5773">
        <v>225</v>
      </c>
      <c r="Y5773">
        <v>4</v>
      </c>
      <c r="Z5773">
        <v>4</v>
      </c>
      <c r="AA5773">
        <v>12</v>
      </c>
      <c r="AB5773">
        <v>11</v>
      </c>
      <c r="AI5773" t="s">
        <v>77</v>
      </c>
      <c r="AJ5773">
        <v>12</v>
      </c>
      <c r="AK5773">
        <v>380</v>
      </c>
      <c r="AL5773">
        <v>380</v>
      </c>
      <c r="AM5773">
        <v>0</v>
      </c>
      <c r="AN5773">
        <v>46</v>
      </c>
      <c r="AO5773" t="s">
        <v>78</v>
      </c>
      <c r="AP5773">
        <v>1</v>
      </c>
      <c r="AR5773" t="s">
        <v>5880</v>
      </c>
      <c r="AS5773" s="1">
        <v>44354.290972222225</v>
      </c>
      <c r="AT5773" s="1">
        <v>44354.305324074077</v>
      </c>
      <c r="AU5773" s="1">
        <v>44354.306493055556</v>
      </c>
      <c r="AV5773" t="s">
        <v>71</v>
      </c>
      <c r="AW5773" t="s">
        <v>72</v>
      </c>
      <c r="AX5773" t="s">
        <v>73</v>
      </c>
    </row>
    <row r="5774" spans="1:50" x14ac:dyDescent="0.3">
      <c r="A5774" t="str">
        <f>"201847S0100"</f>
        <v>201847S0100</v>
      </c>
      <c r="B5774" t="str">
        <f>"201847S01002ERP"</f>
        <v>201847S01002ERP</v>
      </c>
      <c r="C5774" t="str">
        <f t="shared" si="292"/>
        <v>20</v>
      </c>
      <c r="D5774" t="s">
        <v>67</v>
      </c>
      <c r="E5774" t="str">
        <f>"025"</f>
        <v>025</v>
      </c>
      <c r="F5774" t="s">
        <v>5603</v>
      </c>
      <c r="G5774" t="str">
        <f>"1847"</f>
        <v>1847</v>
      </c>
      <c r="H5774" t="str">
        <f t="shared" si="291"/>
        <v>0001</v>
      </c>
      <c r="I5774" t="s">
        <v>85</v>
      </c>
      <c r="J5774">
        <v>0</v>
      </c>
      <c r="K5774">
        <v>1</v>
      </c>
      <c r="L5774" t="s">
        <v>5825</v>
      </c>
      <c r="M5774">
        <v>802</v>
      </c>
      <c r="N5774">
        <v>147</v>
      </c>
      <c r="O5774">
        <v>0</v>
      </c>
      <c r="P5774">
        <v>147</v>
      </c>
      <c r="Q5774">
        <v>4</v>
      </c>
      <c r="R5774">
        <v>27</v>
      </c>
      <c r="S5774">
        <v>7</v>
      </c>
      <c r="T5774">
        <v>0</v>
      </c>
      <c r="U5774">
        <v>3</v>
      </c>
      <c r="V5774">
        <v>1</v>
      </c>
      <c r="W5774">
        <v>2</v>
      </c>
      <c r="X5774">
        <v>86</v>
      </c>
      <c r="Y5774">
        <v>0</v>
      </c>
      <c r="Z5774">
        <v>2</v>
      </c>
      <c r="AA5774">
        <v>1</v>
      </c>
      <c r="AB5774">
        <v>5</v>
      </c>
      <c r="AI5774">
        <v>0</v>
      </c>
      <c r="AJ5774">
        <v>9</v>
      </c>
      <c r="AK5774">
        <v>147</v>
      </c>
      <c r="AL5774">
        <v>147</v>
      </c>
      <c r="AM5774">
        <v>0</v>
      </c>
      <c r="AN5774">
        <v>46</v>
      </c>
      <c r="AP5774">
        <v>1</v>
      </c>
      <c r="AR5774" t="s">
        <v>5881</v>
      </c>
      <c r="AS5774" s="1">
        <v>44354.283333333333</v>
      </c>
      <c r="AT5774" s="1">
        <v>44354.287418981483</v>
      </c>
      <c r="AU5774" s="1">
        <v>44354.287951388891</v>
      </c>
      <c r="AV5774" t="s">
        <v>71</v>
      </c>
      <c r="AW5774" t="s">
        <v>72</v>
      </c>
      <c r="AX5774" t="s">
        <v>73</v>
      </c>
    </row>
    <row r="5775" spans="1:50" x14ac:dyDescent="0.3">
      <c r="C5775">
        <v>20</v>
      </c>
      <c r="D5775" t="s">
        <v>67</v>
      </c>
      <c r="AO5775" t="s">
        <v>5882</v>
      </c>
      <c r="AR5775" t="s">
        <v>5883</v>
      </c>
      <c r="AS5775" s="1">
        <v>44354.416666666664</v>
      </c>
      <c r="AV5775" t="s">
        <v>71</v>
      </c>
      <c r="AW5775" t="s">
        <v>72</v>
      </c>
      <c r="AX5775" t="s">
        <v>73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OAX_DIP_LOC_2021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Myself</dc:creator>
  <cp:lastModifiedBy>Myself</cp:lastModifiedBy>
  <dcterms:created xsi:type="dcterms:W3CDTF">2021-06-10T18:30:38Z</dcterms:created>
  <dcterms:modified xsi:type="dcterms:W3CDTF">2021-06-10T18:30:39Z</dcterms:modified>
</cp:coreProperties>
</file>